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mons-lang" sheetId="1" r:id="rId1"/>
    <sheet name="gson" sheetId="2" r:id="rId2"/>
    <sheet name="commons-math" sheetId="3" r:id="rId3"/>
    <sheet name="jfreechart" sheetId="4" r:id="rId4"/>
    <sheet name="joda-time" sheetId="5" r:id="rId5"/>
    <sheet name="pmd" sheetId="6" r:id="rId6"/>
    <sheet name="cts" sheetId="7" r:id="rId7"/>
  </sheets>
  <calcPr calcId="124519" fullCalcOnLoad="1"/>
</workbook>
</file>

<file path=xl/sharedStrings.xml><?xml version="1.0" encoding="utf-8"?>
<sst xmlns="http://schemas.openxmlformats.org/spreadsheetml/2006/main" count="166452" uniqueCount="27549">
  <si>
    <t>Datetime</t>
  </si>
  <si>
    <t>Hash</t>
  </si>
  <si>
    <t>Parent</t>
  </si>
  <si>
    <t>Author</t>
  </si>
  <si>
    <t>Commit Msg</t>
  </si>
  <si>
    <t>Filepath</t>
  </si>
  <si>
    <t>Filename</t>
  </si>
  <si>
    <t>Removed Test Case</t>
  </si>
  <si>
    <t>Manual Validation</t>
  </si>
  <si>
    <t>Final Results</t>
  </si>
  <si>
    <t>Ajay Manual Validation</t>
  </si>
  <si>
    <t>Suraj Manual Validation</t>
  </si>
  <si>
    <t>Ajay Comments</t>
  </si>
  <si>
    <t>Suraj Comments</t>
  </si>
  <si>
    <t>07/25/2002 20:40:11</t>
  </si>
  <si>
    <t>08/15/2002 17:37:30</t>
  </si>
  <si>
    <t>09/12/2002 17:01:25</t>
  </si>
  <si>
    <t>11/06/2002 13:09:00</t>
  </si>
  <si>
    <t>12/08/2002 15:38:19</t>
  </si>
  <si>
    <t>12/15/2002 10:54:23</t>
  </si>
  <si>
    <t>05/16/2003 17:17:35</t>
  </si>
  <si>
    <t>06/08/2003 18:14:23</t>
  </si>
  <si>
    <t>07/19/2003 13:10:30</t>
  </si>
  <si>
    <t>07/19/2003 16:55:05</t>
  </si>
  <si>
    <t>07/19/2003 18:28:23</t>
  </si>
  <si>
    <t>07/20/2003 05:29:22</t>
  </si>
  <si>
    <t>07/20/2003 19:41:13</t>
  </si>
  <si>
    <t>07/25/2003 17:22:30</t>
  </si>
  <si>
    <t>07/30/2003 17:21:39</t>
  </si>
  <si>
    <t>08/15/2003 11:14:35</t>
  </si>
  <si>
    <t>08/17/2003 16:57:37</t>
  </si>
  <si>
    <t>08/18/2003 19:21:46</t>
  </si>
  <si>
    <t>02/16/2004 18:55:57</t>
  </si>
  <si>
    <t>03/03/2004 18:13:38</t>
  </si>
  <si>
    <t>03/04/2004 15:00:02</t>
  </si>
  <si>
    <t>06/01/2004 16:08:48</t>
  </si>
  <si>
    <t>07/07/2004 18:50:28</t>
  </si>
  <si>
    <t>10/10/2004 13:56:16</t>
  </si>
  <si>
    <t>12/19/2004 16:35:38</t>
  </si>
  <si>
    <t>12/25/2004 11:52:19</t>
  </si>
  <si>
    <t>02/03/2005 19:21:19</t>
  </si>
  <si>
    <t>07/09/2005 08:41:02</t>
  </si>
  <si>
    <t>07/23/2005 16:56:59</t>
  </si>
  <si>
    <t>07/30/2005 20:17:01</t>
  </si>
  <si>
    <t>08/14/2005 16:45:47</t>
  </si>
  <si>
    <t>08/15/2005 15:58:23</t>
  </si>
  <si>
    <t>10/04/2005 17:23:01</t>
  </si>
  <si>
    <t>05/03/2006 00:28:59</t>
  </si>
  <si>
    <t>07/21/2006 00:47:07</t>
  </si>
  <si>
    <t>08/08/2006 18:35:31</t>
  </si>
  <si>
    <t>12/29/2006 12:48:37</t>
  </si>
  <si>
    <t>02/09/2007 13:58:06</t>
  </si>
  <si>
    <t>11/16/2007 13:02:49</t>
  </si>
  <si>
    <t>02/25/2008 13:49:21</t>
  </si>
  <si>
    <t>02/27/2008 11:12:38</t>
  </si>
  <si>
    <t>03/04/2008 16:46:54</t>
  </si>
  <si>
    <t>05/07/2008 11:06:21</t>
  </si>
  <si>
    <t>03/01/2009 21:40:27</t>
  </si>
  <si>
    <t>03/07/2009 19:56:56</t>
  </si>
  <si>
    <t>03/14/2009 04:57:47</t>
  </si>
  <si>
    <t>03/14/2009 04:59:56</t>
  </si>
  <si>
    <t>03/14/2009 05:01:53</t>
  </si>
  <si>
    <t>03/14/2009 05:03:13</t>
  </si>
  <si>
    <t>03/14/2009 11:29:28</t>
  </si>
  <si>
    <t>03/14/2009 11:36:17</t>
  </si>
  <si>
    <t>03/14/2009 16:24:04</t>
  </si>
  <si>
    <t>03/14/2009 16:33:48</t>
  </si>
  <si>
    <t>03/14/2009 16:57:10</t>
  </si>
  <si>
    <t>03/14/2009 21:10:44</t>
  </si>
  <si>
    <t>03/14/2009 21:46:35</t>
  </si>
  <si>
    <t>04/09/2009 03:34:47</t>
  </si>
  <si>
    <t>06/21/2009 00:35:04</t>
  </si>
  <si>
    <t>06/23/2009 01:15:50</t>
  </si>
  <si>
    <t>06/23/2009 23:01:35</t>
  </si>
  <si>
    <t>07/20/2009 18:50:16</t>
  </si>
  <si>
    <t>07/20/2009 18:50:42</t>
  </si>
  <si>
    <t>07/20/2009 18:50:47</t>
  </si>
  <si>
    <t>07/20/2009 18:50:56</t>
  </si>
  <si>
    <t>07/20/2009 18:51:04</t>
  </si>
  <si>
    <t>10/23/2009 18:59:02</t>
  </si>
  <si>
    <t>10/26/2009 19:51:38</t>
  </si>
  <si>
    <t>11/01/2009 11:10:02</t>
  </si>
  <si>
    <t>11/13/2009 02:54:04</t>
  </si>
  <si>
    <t>11/14/2009 04:10:19</t>
  </si>
  <si>
    <t>11/17/2009 02:45:55</t>
  </si>
  <si>
    <t>11/18/2009 00:43:23</t>
  </si>
  <si>
    <t>01/01/2010 18:06:06</t>
  </si>
  <si>
    <t>01/01/2010 23:15:05</t>
  </si>
  <si>
    <t>01/01/2010 23:44:35</t>
  </si>
  <si>
    <t>02/02/2010 11:42:15</t>
  </si>
  <si>
    <t>03/15/2010 12:11:55</t>
  </si>
  <si>
    <t>03/15/2010 19:37:07</t>
  </si>
  <si>
    <t>07/13/2010 14:56:45</t>
  </si>
  <si>
    <t>07/22/2010 12:42:17</t>
  </si>
  <si>
    <t>07/22/2010 14:08:59</t>
  </si>
  <si>
    <t>08/22/2010 17:57:51</t>
  </si>
  <si>
    <t>09/13/2010 17:09:54</t>
  </si>
  <si>
    <t>01/16/2011 22:05:02</t>
  </si>
  <si>
    <t>01/22/2011 23:32:46</t>
  </si>
  <si>
    <t>01/29/2011 21:48:40</t>
  </si>
  <si>
    <t>03/07/2011 23:34:01</t>
  </si>
  <si>
    <t>03/15/2011 23:39:17</t>
  </si>
  <si>
    <t>03/21/2011 10:58:07</t>
  </si>
  <si>
    <t>04/21/2011 17:25:00</t>
  </si>
  <si>
    <t>05/25/2011 09:44:04</t>
  </si>
  <si>
    <t>07/06/2011 18:54:57</t>
  </si>
  <si>
    <t>08/17/2011 22:59:16</t>
  </si>
  <si>
    <t>09/07/2011 11:27:42</t>
  </si>
  <si>
    <t>11/08/2011 22:12:18</t>
  </si>
  <si>
    <t>09/22/2012 10:27:40</t>
  </si>
  <si>
    <t>09/23/2012 19:11:23</t>
  </si>
  <si>
    <t>09/26/2012 13:03:24</t>
  </si>
  <si>
    <t>09/27/2012 16:08:54</t>
  </si>
  <si>
    <t>10/03/2012 17:30:51</t>
  </si>
  <si>
    <t>10/22/2013 14:23:21</t>
  </si>
  <si>
    <t>10/25/2013 21:45:39</t>
  </si>
  <si>
    <t>01/11/2014 13:39:21</t>
  </si>
  <si>
    <t>02/01/2014 01:53:54</t>
  </si>
  <si>
    <t>05/09/2014 16:13:01</t>
  </si>
  <si>
    <t>02/26/2015 02:13:58</t>
  </si>
  <si>
    <t>03/13/2015 02:36:25</t>
  </si>
  <si>
    <t>04/07/2015 20:48:12</t>
  </si>
  <si>
    <t>04/28/2015 04:58:13</t>
  </si>
  <si>
    <t>05/07/2015 01:50:41</t>
  </si>
  <si>
    <t>06/24/2015 15:14:13</t>
  </si>
  <si>
    <t>12/17/2015 08:52:42</t>
  </si>
  <si>
    <t>06/08/2016 15:21:41</t>
  </si>
  <si>
    <t>07/31/2016 11:50:48</t>
  </si>
  <si>
    <t>09/11/2016 07:39:14</t>
  </si>
  <si>
    <t>09/11/2016 08:47:33</t>
  </si>
  <si>
    <t>09/19/2016 04:46:19</t>
  </si>
  <si>
    <t>09/25/2016 13:13:03</t>
  </si>
  <si>
    <t>09/25/2016 13:21:01</t>
  </si>
  <si>
    <t>12/12/2016 09:14:58</t>
  </si>
  <si>
    <t>03/06/2017 20:55:39</t>
  </si>
  <si>
    <t>03/12/2017 11:21:27</t>
  </si>
  <si>
    <t>03/19/2017 08:25:20</t>
  </si>
  <si>
    <t>04/28/2017 10:36:58</t>
  </si>
  <si>
    <t>05/17/2017 09:21:41</t>
  </si>
  <si>
    <t>10/23/2017 11:56:09</t>
  </si>
  <si>
    <t>07/14/2018 14:42:14</t>
  </si>
  <si>
    <t>10/11/2018 15:28:38</t>
  </si>
  <si>
    <t>05/01/2019 17:43:39</t>
  </si>
  <si>
    <t>06/24/2020 09:41:19</t>
  </si>
  <si>
    <t>06/25/2020 08:01:13</t>
  </si>
  <si>
    <t>07/09/2020 07:38:19</t>
  </si>
  <si>
    <t>10/22/2020 13:47:45</t>
  </si>
  <si>
    <t>06/07/2022 09:16:06</t>
  </si>
  <si>
    <t>07/16/2022 10:14:44</t>
  </si>
  <si>
    <t>dlr@apache.org</t>
  </si>
  <si>
    <t>scolebourne@apache.org</t>
  </si>
  <si>
    <t>bayard@apache.org</t>
  </si>
  <si>
    <t>ggregory@apache.org</t>
  </si>
  <si>
    <t>mbenson@apache.org</t>
  </si>
  <si>
    <t>niallp@apache.org</t>
  </si>
  <si>
    <t>sebb@apache.org</t>
  </si>
  <si>
    <t>joehni@apache.org</t>
  </si>
  <si>
    <t>jcarman@apache.org</t>
  </si>
  <si>
    <t>britter@apache.org</t>
  </si>
  <si>
    <t>djones@apache.org</t>
  </si>
  <si>
    <t>chas@apache.org</t>
  </si>
  <si>
    <t>beradrian@yahoo.com</t>
  </si>
  <si>
    <t>oliver.heger@oliver-heger.de</t>
  </si>
  <si>
    <t>pascalschumacher@gmx.net</t>
  </si>
  <si>
    <t>wangkaiyuanzz@gmail.com</t>
  </si>
  <si>
    <t>duncan@wortharead.com</t>
  </si>
  <si>
    <t>mark.dacek@richmond.edu</t>
  </si>
  <si>
    <t>gardgregory@gmail.com</t>
  </si>
  <si>
    <t>garydgregory@gmail.com</t>
  </si>
  <si>
    <t>steve.bosman@opencastsoftware.com</t>
  </si>
  <si>
    <t>Removed two broken methods from StringUtils.  Since a beta has gone out,
this is not good practice.  However, since 1.0 final has not yet been
released, it is out-weighed by the trade off of releasing code that just
plain doesn't work.
Use str.getBytes(encoding) in place of convertUnicodeToNative().
Use new String(byte[], encoding) in place of convertNativeToUnicode().
git-svn-id: https://svn.apache.org/repos/asf/jakarta/commons/proper/lang/trunk@136945 13f79535-47bb-0310-9956-ffa450edef68</t>
  </si>
  <si>
    <t>Change HashCodeUtils to HashCodeBuilder
git-svn-id: https://svn.apache.org/repos/asf/jakarta/commons/proper/lang/trunk@136970 13f79535-47bb-0310-9956-ffa450edef68</t>
  </si>
  <si>
    <t>New builder subpackage created
git-svn-id: https://svn.apache.org/repos/asf/jakarta/commons/proper/lang/trunk@137020 13f79535-47bb-0310-9956-ffa450edef68</t>
  </si>
  <si>
    <t>Closure deemed to be a bad name. Bye bye.
git-svn-id: https://svn.apache.org/repos/asf/jakarta/commons/proper/lang/trunk@137113 13f79535-47bb-0310-9956-ffa450edef68</t>
  </si>
  <si>
    <t>Rework to support nulls properly
Add support for comparators
git-svn-id: https://svn.apache.org/repos/asf/jakarta/commons/proper/lang/trunk@137176 13f79535-47bb-0310-9956-ffa450edef68</t>
  </si>
  <si>
    <t>Remove isTrue to BooleanUtils
git-svn-id: https://svn.apache.org/repos/asf/jakarta/commons/proper/lang/trunk@137183 13f79535-47bb-0310-9956-ffa450edef68</t>
  </si>
  <si>
    <t>Remove functor subpackage
git-svn-id: https://svn.apache.org/repos/asf/jakarta/commons/proper/lang/trunk@137321 13f79535-47bb-0310-9956-ffa450edef68</t>
  </si>
  <si>
    <t>Rework time package in preparation for 2.0 release
DateUtils split to DateFormatUtils and DurationFormatUtils
CalendarUtils renamed to DateUtils
StopWatch time format method moved to DurationFormatUtils
Tests updated and pass
git-svn-id: https://svn.apache.org/repos/asf/jakarta/commons/proper/lang/trunk@137361 13f79535-47bb-0310-9956-ffa450edef68</t>
  </si>
  <si>
    <t>Additional testing, especially in the area of whitespace
git-svn-id: https://svn.apache.org/repos/asf/jakarta/commons/proper/lang/trunk@137453 13f79535-47bb-0310-9956-ffa450edef68</t>
  </si>
  <si>
    <t>Rework isEmpty and isNotEmpty following user feedback
git-svn-id: https://svn.apache.org/repos/asf/jakarta/commons/proper/lang/trunk@137459 13f79535-47bb-0310-9956-ffa450edef68</t>
  </si>
  <si>
    <t>Move IndexOf and Contains tests to StringUtilsEqualsIndexOfTest
git-svn-id: https://svn.apache.org/repos/asf/jakarta/commons/proper/lang/trunk@137460 13f79535-47bb-0310-9956-ffa450edef68</t>
  </si>
  <si>
    <t>Add new method center(String, int, char) to complete API
Rework padding internals
Example javadoc difference()/differenceAt()
Remove dependency on NumberUtils
git-svn-id: https://svn.apache.org/repos/asf/jakarta/commons/proper/lang/trunk@137471 13f79535-47bb-0310-9956-ffa450edef68</t>
  </si>
  <si>
    <t>Update Javadoc examples
Change mid() to accept invalid startPos
git-svn-id: https://svn.apache.org/repos/asf/jakarta/commons/proper/lang/trunk@137480 13f79535-47bb-0310-9956-ffa450edef68</t>
  </si>
  <si>
    <t>Rename slice functions to substringAfter/substringBefore
git-svn-id: https://svn.apache.org/repos/asf/jakarta/commons/proper/lang/trunk@137493 13f79535-47bb-0310-9956-ffa450edef68</t>
  </si>
  <si>
    <t>Additional tests as suggested by Clover report
git-svn-id: https://svn.apache.org/repos/asf/jakarta/commons/proper/lang/trunk@137531 13f79535-47bb-0310-9956-ffa450edef68</t>
  </si>
  <si>
    <t>Commented out the parseCVS code for consideration/fixing for Lang 2.1
git-svn-id: https://svn.apache.org/repos/asf/jakarta/commons/proper/lang/trunk@137600 13f79535-47bb-0310-9956-ffa450edef68</t>
  </si>
  <si>
    <t>Rename WordWrapUtils to WordUtils
Refactor wrapLine method, making it public and work properly
Remove wrapText method
Test
git-svn-id: https://svn.apache.org/repos/asf/jakarta/commons/proper/lang/trunk@137618 13f79535-47bb-0310-9956-ffa450edef68</t>
  </si>
  <si>
    <t>Remove evaluateSet(String) which is deprecated, but wasn't in 1.0.1
git-svn-id: https://svn.apache.org/repos/asf/jakarta/commons/proper/lang/trunk@137631 13f79535-47bb-0310-9956-ffa450edef68</t>
  </si>
  <si>
    <t>PR: http://nagoya.apache.org/bugzilla/show_bug.cgi?id=26922
[lang] public static boolean DateUtils.equals(Date dt1, Date dt2) ?
Updated testDateEqualsJava(): The behavior is different b/w Sun Java 1.3.1_10 and 1.4.2_03.
git-svn-id: https://svn.apache.org/repos/asf/jakarta/commons/proper/lang/trunk@137796 13f79535-47bb-0310-9956-ffa450edef68</t>
  </si>
  <si>
    <t>Make exception implement Nestable interface and use NestableDelegate
bug 26954 (alternate implementation)
git-svn-id: https://svn.apache.org/repos/asf/jakarta/commons/proper/lang/trunk@137821 13f79535-47bb-0310-9956-ffa450edef68</t>
  </si>
  <si>
    <t>Remove util package - Identifier code now in sandbox [id] project
git-svn-id: https://svn.apache.org/repos/asf/jakarta/commons/proper/lang/trunk@137822 13f79535-47bb-0310-9956-ffa450edef68</t>
  </si>
  <si>
    <t>Add ObjectUtils.hashCode() - a null safe hash code
bug 28554, from Mario Winterer
git-svn-id: https://svn.apache.org/repos/asf/jakarta/commons/proper/lang/trunk@137840 13f79535-47bb-0310-9956-ffa450edef68</t>
  </si>
  <si>
    <t>Update mutable package for release 2.1
git-svn-id: https://svn.apache.org/repos/asf/jakarta/commons/proper/lang/trunk@137873 13f79535-47bb-0310-9956-ffa450edef68</t>
  </si>
  <si>
    <t>Remove lastIndex(), which is better done as getLength() - 1
git-svn-id: https://svn.apache.org/repos/asf/jakarta/commons/proper/lang/trunk@137971 13f79535-47bb-0310-9956-ffa450edef68</t>
  </si>
  <si>
    <t>Remove Class and Package comparators - too specific set of use cases
git-svn-id: https://svn.apache.org/repos/asf/jakarta/commons/proper/lang/trunk@138001 13f79535-47bb-0310-9956-ffa450edef68</t>
  </si>
  <si>
    <t>more test coverage of obscure situations
git-svn-id: https://svn.apache.org/repos/asf/jakarta/commons/proper/lang/trunk@138003 13f79535-47bb-0310-9956-ffa450edef68</t>
  </si>
  <si>
    <t>rolling the forName method out for the 2.1 release
git-svn-id: https://svn.apache.org/repos/asf/jakarta/commons/proper/lang/trunk@151282 13f79535-47bb-0310-9956-ffa450edef68</t>
  </si>
  <si>
    <t>New methods and testing of StrBuilder
git-svn-id: https://svn.apache.org/repos/asf/jakarta/commons/proper/lang/trunk@209943 13f79535-47bb-0310-9956-ffa450edef68</t>
  </si>
  <si>
    <t>Removes Interpolation and MappedMessageFormat from the text package in favor of VariableFormatter. (See message below) No one has complained on commons-dev.
-----Original Message-----
From: Gary Gregory [mailto:ggregory@seagullsoftware.com] 
Sent: Thursday, July 21, 2005 9:34 AM
To: Jakarta Commons Developers List
Subject: [lang] text.VariableFormatter to replace Interpolation and MappedMessageFormat (WAS a [POLL])
Hello:
It's been two weeks since I posted the original message below and I've
not heard negative comments on removing Interpolation and
MappedMessageFormat from the text package in favor of VariableFormatter.
I will therefore do so real soon. 
Please raise your hand you disagree.
Thanks,
Gary
git-svn-id: https://svn.apache.org/repos/asf/jakarta/commons/proper/lang/trunk@224558 13f79535-47bb-0310-9956-ffa450edef68</t>
  </si>
  <si>
    <t>Better code coverage from Nathan Beyer [nbeyer@kc.rr.com].
git-svn-id: https://svn.apache.org/repos/asf/jakarta/commons/proper/lang/trunk@226597 13f79535-47bb-0310-9956-ffa450edef68</t>
  </si>
  <si>
    <t>Add StrMatcher and update StrBuilder and test cases to use it, plus fix other bugs
git-svn-id: https://svn.apache.org/repos/asf/jakarta/commons/proper/lang/trunk@232652 13f79535-47bb-0310-9956-ffa450edef68</t>
  </si>
  <si>
    <t>Remove StrTokenizer.Matcher, replace with StrMatcher
git-svn-id: https://svn.apache.org/repos/asf/jakarta/commons/proper/lang/trunk@232878 13f79535-47bb-0310-9956-ffa450edef68</t>
  </si>
  <si>
    <t>More code that does not compile 1.3.1.
git-svn-id: https://svn.apache.org/repos/asf/jakarta/commons/proper/lang/trunk@294935 13f79535-47bb-0310-9956-ffa450edef68</t>
  </si>
  <si>
    <t>Commenting out unit test for 36061 so unit tests pass again
git-svn-id: https://svn.apache.org/repos/asf/jakarta/commons/proper/lang/trunk@399148 13f79535-47bb-0310-9956-ffa450edef68</t>
  </si>
  <si>
    <t>Adding Niall's fix for LANG-59 - an edge case in date truncation - and his enhancement 
for the unit test that was there. 
git-svn-id: https://svn.apache.org/repos/asf/jakarta/commons/proper/lang/trunk@424192 13f79535-47bb-0310-9956-ffa450edef68</t>
  </si>
  <si>
    <t>VariableFormatter became StrSubstitutor
git-svn-id: https://svn.apache.org/repos/asf/jakarta/commons/proper/lang/trunk@429884 13f79535-47bb-0310-9956-ffa450edef68</t>
  </si>
  <si>
    <t>Rolling back r467482 as the methods are already in java.util.Arrays. These were added as a part of #LANG-238. 
git-svn-id: https://svn.apache.org/repos/asf/jakarta/commons/proper/lang/trunk@491076 13f79535-47bb-0310-9956-ffa450edef68</t>
  </si>
  <si>
    <t>Commenting out the unit test for LANG-312. It's not resolved yet, so failure will happen
git-svn-id: https://svn.apache.org/repos/asf/jakarta/commons/proper/lang/trunk@505466 13f79535-47bb-0310-9956-ffa450edef68</t>
  </si>
  <si>
    <t>Removing testWTF as per LANG-376
git-svn-id: https://svn.apache.org/repos/asf/commons/proper/lang/trunk@595779 13f79535-47bb-0310-9956-ffa450edef68</t>
  </si>
  <si>
    <t>[LANG-366] retract
git-svn-id: https://svn.apache.org/repos/asf/commons/proper/lang/trunk@630967 13f79535-47bb-0310-9956-ffa450edef68</t>
  </si>
  <si>
    <t>Remove previous ExtendedMesageFormat tests and update package suite to include ExtendedMessageFormatTest
git-svn-id: https://svn.apache.org/repos/asf/commons/proper/lang/trunk@631652 13f79535-47bb-0310-9956-ffa450edef68</t>
  </si>
  <si>
    <t>Remove failing test for unsupported sub-formats
git-svn-id: https://svn.apache.org/repos/asf/commons/proper/lang/trunk@633693 13f79535-47bb-0310-9956-ffa450edef68</t>
  </si>
  <si>
    <t>LANG-436 Remove caching from MethodUtils
git-svn-id: https://svn.apache.org/repos/asf/commons/proper/lang/trunk@654159 13f79535-47bb-0310-9956-ffa450edef68</t>
  </si>
  <si>
    <t>Moving enum test package to back compat 'branch'
git-svn-id: https://svn.apache.org/repos/asf/commons/proper/lang/trunk@749173 13f79535-47bb-0310-9956-ffa450edef68</t>
  </si>
  <si>
    <t>Moving the enums package over to the backcompat branch. Won't be in 3.0 as people should use Java enums nowadays
git-svn-id: https://svn.apache.org/repos/asf/commons/proper/lang/trunk@751350 13f79535-47bb-0310-9956-ffa450edef68</t>
  </si>
  <si>
    <t>Removing deprecated fields in DateUtils as per LANG-438
git-svn-id: https://svn.apache.org/repos/asf/commons/proper/lang/trunk@753624 13f79535-47bb-0310-9956-ffa450edef68</t>
  </si>
  <si>
    <t>Removed deprecated org.apache.commons.lang.NumberUtils class as per LANG-438
git-svn-id: https://svn.apache.org/repos/asf/commons/proper/lang/trunk@753625 13f79535-47bb-0310-9956-ffa450edef68</t>
  </si>
  <si>
    <t>Removing deprecated NumberUtils.toInt methods [LANG-438]
git-svn-id: https://svn.apache.org/repos/asf/commons/proper/lang/trunk@753626 13f79535-47bb-0310-9956-ffa450edef68</t>
  </si>
  <si>
    <t>Removed deprecated NumberRange class [LANG-438]
git-svn-id: https://svn.apache.org/repos/asf/commons/proper/lang/trunk@753627 13f79535-47bb-0310-9956-ffa450edef68</t>
  </si>
  <si>
    <t>Removing deprecated evaluateSet and translate methods [LANG-438]
git-svn-id: https://svn.apache.org/repos/asf/commons/proper/lang/trunk@754482 13f79535-47bb-0310-9956-ffa450edef68</t>
  </si>
  <si>
    <t>Removed deprecated getJavaVersion() method from SystemUtils [LANG-438]
git-svn-id: https://svn.apache.org/repos/asf/commons/proper/lang/trunk@754485 13f79535-47bb-0310-9956-ffa450edef68</t>
  </si>
  <si>
    <t>Remove deprecated methods
git-svn-id: https://svn.apache.org/repos/asf/commons/proper/lang/trunk@754522 13f79535-47bb-0310-9956-ffa450edef68</t>
  </si>
  <si>
    <t>Remove deprecated methods
git-svn-id: https://svn.apache.org/repos/asf/commons/proper/lang/trunk@754531 13f79535-47bb-0310-9956-ffa450edef68</t>
  </si>
  <si>
    <t>Remove tests of removed deprecated methods
git-svn-id: https://svn.apache.org/repos/asf/commons/proper/lang/trunk@754539 13f79535-47bb-0310-9956-ffa450edef68</t>
  </si>
  <si>
    <t>Removing the Lang NestableException concept and instead relying on the JDK support. [LANG-492]. [LANG-491] notes the need to rethink ExceptionUtils and its test. 
git-svn-id: https://svn.apache.org/repos/asf/commons/proper/lang/trunk@754589 13f79535-47bb-0310-9956-ffa450edef68</t>
  </si>
  <si>
    <t>Dropping RandomUtils from Lang to the backcompat
git-svn-id: https://svn.apache.org/repos/asf/commons/proper/lang/trunk@754601 13f79535-47bb-0310-9956-ffa450edef68</t>
  </si>
  <si>
    <t>Removing BooleanUtils.toBooleanObject(boolean) as JDK 1.4 provides Boolean.valueOf(boolean) - even if we ignore autoboxing. LANG-492
git-svn-id: https://svn.apache.org/repos/asf/commons/proper/lang/trunk@763559 13f79535-47bb-0310-9956-ffa450edef68</t>
  </si>
  <si>
    <t>Removing escapeSql per LANG-493
git-svn-id: https://svn.apache.org/repos/asf/commons/proper/lang/trunk@786942 13f79535-47bb-0310-9956-ffa450edef68</t>
  </si>
  <si>
    <t>Committing a rewrite of StringEscapeUtils guts - LANG-505. Entities.java can now go away. Most of the code is in the new text.translate package. More work is needed, including what to actually define as 'ESCAPE_XML' etc, but it's now easy for someone to look at the source to EscapeUtils and UnescapeUtils and put their own ESCAPE_XML variable together, and with lots of reuse value. 
git-svn-id: https://svn.apache.org/repos/asf/commons/proper/lang/trunk@787560 13f79535-47bb-0310-9956-ffa450edef68</t>
  </si>
  <si>
    <t>Removing IntHashMap. Without Entities it's not needed. 
git-svn-id: https://svn.apache.org/repos/asf/commons/proper/lang/trunk@787895 13f79535-47bb-0310-9956-ffa450edef68</t>
  </si>
  <si>
    <t>Moving UnhandledException to backcompat
git-svn-id: https://svn.apache.org/repos/asf/commons/proper/lang/trunk@796071 13f79535-47bb-0310-9956-ffa450edef68</t>
  </si>
  <si>
    <t>Moving IllegalClassException to backcompat
git-svn-id: https://svn.apache.org/repos/asf/commons/proper/lang/trunk@796073 13f79535-47bb-0310-9956-ffa450edef68</t>
  </si>
  <si>
    <t>Moving NotImplementedException to backcompat
git-svn-id: https://svn.apache.org/repos/asf/commons/proper/lang/trunk@796074 13f79535-47bb-0310-9956-ffa450edef68</t>
  </si>
  <si>
    <t>Moving NullArgumentException to backcompat
git-svn-id: https://svn.apache.org/repos/asf/commons/proper/lang/trunk@796075 13f79535-47bb-0310-9956-ffa450edef68</t>
  </si>
  <si>
    <t>Moving IncompleteArgumentException to backcompat
git-svn-id: https://svn.apache.org/repos/asf/commons/proper/lang/trunk@796076 13f79535-47bb-0310-9956-ffa450edef68</t>
  </si>
  <si>
    <t>Applying patch from Vincent Ricard in LANG-514. CharRange constructors removed and replaced with readable static builder methods
git-svn-id: https://svn.apache.org/repos/asf/commons/proper/lang/trunk@829282 13f79535-47bb-0310-9956-ffa450edef68</t>
  </si>
  <si>
    <t>LANG-290 - Add more enum utility methods
git-svn-id: https://svn.apache.org/repos/asf/commons/proper/lang/trunk@830038 13f79535-47bb-0310-9956-ffa450edef68</t>
  </si>
  <si>
    <t>LANG-493 - Remove allElementsOfType as generics handles this pretty well now
git-svn-id: https://svn.apache.org/repos/asf/commons/proper/lang/trunk@831709 13f79535-47bb-0310-9956-ffa450edef68</t>
  </si>
  <si>
    <t>Removing old Range classes per LANG-551. New lang.Range class replaces these
git-svn-id: https://svn.apache.org/repos/asf/commons/proper/lang/trunk@835780 13f79535-47bb-0310-9956-ffa450edef68</t>
  </si>
  <si>
    <t>Rolling back r611543 for LANG-393, and removing the special handling of BigDecimal to use compareTo instead of equals because it creates an inequality with HashCodeBuilder [reported in LANG-467 by David Jones]
git-svn-id: https://svn.apache.org/repos/asf/commons/proper/lang/trunk@836149 13f79535-47bb-0310-9956-ffa450edef68</t>
  </si>
  <si>
    <t>Removing the EscapeUtils/UnescapeUtils classes, and making StringEscapeUtils the replacement. Writer variants of StringEscapeUtils are dropped - instead you hit those via the translator objects. Some javadoc/testing cleanup needed. 
git-svn-id: https://svn.apache.org/repos/asf/commons/proper/lang/trunk@881197 13f79535-47bb-0310-9956-ffa450edef68</t>
  </si>
  <si>
    <t>Removing ArrayUtils.hashCode per LANG-492; it is now available as java.util.Arrays.hashCode
git-svn-id: https://svn.apache.org/repos/asf/commons/proper/lang/trunk@881685 13f79535-47bb-0310-9956-ffa450edef68</t>
  </si>
  <si>
    <t>Removing isThrowableNested, isNestedThrowable and getFullStackTrace as they were all types of no-op once you got to JDK 1.4. LANG-491
git-svn-id: https://svn.apache.org/repos/asf/commons/proper/lang/trunk@895097 13f79535-47bb-0310-9956-ffa450edef68</t>
  </si>
  <si>
    <t>Removing the selfCause tests. This is not a legal state for JDK Throwable cause properties, and I'm going to drop the support for people creating methods named 'setCause'. I can't find a lot of examples of this method naming in search engines. LANG-491
git-svn-id: https://svn.apache.org/repos/asf/commons/proper/lang/trunk@895122 13f79535-47bb-0310-9956-ffa450edef68</t>
  </si>
  <si>
    <t>Removing setCause method. JDK 1.4 provided an initCause method and this method was to support both pre and post JDK 1.4 use cases. I don't see much of a reason to keep supporting Exceptions that have setCause as well as the inherited initCause. LANG-491
git-svn-id: https://svn.apache.org/repos/asf/commons/proper/lang/trunk@895126 13f79535-47bb-0310-9956-ffa450edef68</t>
  </si>
  <si>
    <t>Correct comment and test name: LANG-520 =&gt; LANG-530
git-svn-id: https://svn.apache.org/repos/asf/commons/proper/lang/trunk@905726 13f79535-47bb-0310-9956-ffa450edef68</t>
  </si>
  <si>
    <t>Fix DefaultExceptionContext.addValue that overwrites information in a recursive situation (LANG-605). Allow explicit replacement of a label with the new replaceValue methods.
git-svn-id: https://svn.apache.org/repos/asf/commons/proper/lang/trunk@923341 13f79535-47bb-0310-9956-ffa450edef68</t>
  </si>
  <si>
    <t>https://issues.apache.org/jira/browse/LANG-607 StringUtils methods do not handle Unicode 2.0+ supplementary characters correctly.
git-svn-id: https://svn.apache.org/repos/asf/commons/proper/lang/trunk@923525 13f79535-47bb-0310-9956-ffa450edef68</t>
  </si>
  <si>
    <t>[LANG-597] vastly expanded TypeUtils
git-svn-id: https://svn.apache.org/repos/asf/commons/proper/lang/trunk@963845 13f79535-47bb-0310-9956-ffa450edef68</t>
  </si>
  <si>
    <t>Removing ReflectiveEventSupport per author's suggestion.
git-svn-id: https://svn.apache.org/repos/asf/commons/proper/lang/trunk@966769 13f79535-47bb-0310-9956-ffa450edef68</t>
  </si>
  <si>
    <t>Backing out LANG-580
git-svn-id: https://svn.apache.org/repos/asf/commons/proper/lang/trunk@966806 13f79535-47bb-0310-9956-ffa450edef68</t>
  </si>
  <si>
    <t>Removing the CharSequenceUtils.length method in favour of the StringUtils.length method
git-svn-id: https://svn.apache.org/repos/asf/commons/proper/lang/trunk@987957 13f79535-47bb-0310-9956-ffa450edef68</t>
  </si>
  <si>
    <t>revert previous change with unintentional reformatting
git-svn-id: https://svn.apache.org/repos/asf/commons/proper/lang/trunk@996704 13f79535-47bb-0310-9956-ffa450edef68</t>
  </si>
  <si>
    <t>Removing the pending directory; doesn't look likely to ever get used
git-svn-id: https://svn.apache.org/repos/asf/commons/proper/lang/trunk@1059745 13f79535-47bb-0310-9956-ffa450edef68</t>
  </si>
  <si>
    <t>Removing WordUtils.abbreviate as it's already found in StringUtils.abbreviate. This was identified in LANG-673
git-svn-id: https://svn.apache.org/repos/asf/commons/proper/lang/trunk@1062328 13f79535-47bb-0310-9956-ffa450edef68</t>
  </si>
  <si>
    <t>Removed isJavaVersionAtLeast(float) and (int), and added an enum variant with the new JavaVersion enum. Updated the rest of the code, switched isJavaVersionAtLeast over to using java.specification.version and not java.version (the vendor code) and dropped JAVA_VERSION_TRIMMED, JAVA_VERSION_FLOAT and JAVA_VERSION_INT. See: LANG-624
git-svn-id: https://svn.apache.org/repos/asf/commons/proper/lang/trunk@1065174 13f79535-47bb-0310-9956-ffa450edef68</t>
  </si>
  <si>
    <t>Dropping the concat methods. Moving the join(Object[]) to join(Object...). LANG-396. LANG-683. 
git-svn-id: https://svn.apache.org/repos/asf/commons/proper/lang/trunk@1079173 13f79535-47bb-0310-9956-ffa450edef68</t>
  </si>
  <si>
    <t>Removing CharSequenceUtils in favour of putting the code in StringUtils
git-svn-id: https://svn.apache.org/repos/asf/commons/proper/lang/trunk@1082046 13f79535-47bb-0310-9956-ffa450edef68</t>
  </si>
  <si>
    <t>retract @Nonbinding support; doesn't seem proper default behavior
git-svn-id: https://svn.apache.org/repos/asf/commons/proper/lang/trunk@1083849 13f79535-47bb-0310-9956-ffa450edef68</t>
  </si>
  <si>
    <t>Pair implements java.util.Formattable and defers toString() handling thereto.
git-svn-id: https://svn.apache.org/repos/asf/commons/proper/lang/trunk@1095836 13f79535-47bb-0310-9956-ffa450edef68</t>
  </si>
  <si>
    <t>Remove Formattable from Pair
git-svn-id: https://svn.apache.org/repos/asf/commons/proper/lang/trunk@1127546 13f79535-47bb-0310-9956-ffa450edef68</t>
  </si>
  <si>
    <t>Refactor ExceptionContext and derived. Context contract stipulates a sequence of label-value entries with support for multiple entries for the same label.
git-svn-id: https://svn.apache.org/repos/asf/commons/proper/lang/trunk@1143612 13f79535-47bb-0310-9956-ffa450edef68</t>
  </si>
  <si>
    <t>Removing collections tests - far too complex a system for the comparators' needs. Will rewrite as standalone test classes
git-svn-id: https://svn.apache.org/repos/asf/commons/proper/lang/trunk@1159018 13f79535-47bb-0310-9956-ffa450edef68</t>
  </si>
  <si>
    <t>Revert changes from r1166233: [LANG-750] Add MethodUtil APIs to call methods without parameters.
git-svn-id: https://svn.apache.org/repos/asf/commons/proper/lang/trunk@1166253 13f79535-47bb-0310-9956-ffa450edef68</t>
  </si>
  <si>
    <t>Dropping comparators for next release (LANG-532)
git-svn-id: https://svn.apache.org/repos/asf/commons/proper/lang/trunk@1199609 13f79535-47bb-0310-9956-ffa450edef68</t>
  </si>
  <si>
    <t>LANG-799 - DateUtils#parseDate uses default locale; add Locale support
Remove unnecessary test
git-svn-id: https://svn.apache.org/repos/asf/commons/proper/lang/trunk@1388818 13f79535-47bb-0310-9956-ffa450edef68</t>
  </si>
  <si>
    <t>LANG-799 - DateUtils#parseDate uses default locale; add Locale support
Remove inappropriate test - we don't use localized formats
git-svn-id: https://svn.apache.org/repos/asf/commons/proper/lang/trunk@1389172 13f79535-47bb-0310-9956-ffa450edef68</t>
  </si>
  <si>
    <t>LANG-828 FastDateParser does not handle non-Gregorian calendars properly
Use Calendar#getDisplayNames() instead of DateFormatSymbols#getEras()
git-svn-id: https://svn.apache.org/repos/asf/commons/proper/lang/trunk@1390626 13f79535-47bb-0310-9956-ffa450edef68</t>
  </si>
  <si>
    <t>JUnit 3 --&gt; JUnit 4
git-svn-id: https://svn.apache.org/repos/asf/commons/proper/lang/trunk@1391222 13f79535-47bb-0310-9956-ffa450edef68</t>
  </si>
  <si>
    <t>Use term "binary" instead of "boolArray" in Conversion. Improve Javadoc of class.
git-svn-id: https://svn.apache.org/repos/asf/commons/proper/lang/trunk@1393800 13f79535-47bb-0310-9956-ffa450edef68</t>
  </si>
  <si>
    <t>Removing isExactlyOneTrue, since there is no consensus about this method. See also LANG-922.
git-svn-id: https://svn.apache.org/repos/asf/commons/proper/lang/trunk@1534738 13f79535-47bb-0310-9956-ffa450edef68</t>
  </si>
  <si>
    <t>Rewriting OctalUnescaper as a hand rolled parser (all of 4 characters), instead of trying to handle the conversion via repeated attempts to convert the numbers. This fixes bugs, see LANG-929, and also changes the behaviour for 'illegal' octals such as \999. Instead of throwing NumberFormatException, it will now ignore them. This seems the better behaviour. 
git-svn-id: https://svn.apache.org/repos/asf/commons/proper/lang/trunk@1535914 13f79535-47bb-0310-9956-ffa450edef68</t>
  </si>
  <si>
    <t>Use annotation based testing for failure cases
git-svn-id: https://svn.apache.org/repos/asf/commons/proper/lang/trunk@1557446 13f79535-47bb-0310-9956-ffa450edef68</t>
  </si>
  <si>
    <t>Reverts changes introduced in r1563259. Discussion to be had over correct place for this functionality (likely org.apache.commons.lang3.Conversion).
git-svn-id: https://svn.apache.org/repos/asf/commons/proper/lang/trunk@1563378 13f79535-47bb-0310-9956-ffa450edef68</t>
  </si>
  <si>
    <t>Using Validate where possible in builder package.
git-svn-id: https://svn.apache.org/repos/asf/commons/proper/lang/trunk@1593622 13f79535-47bb-0310-9956-ffa450edef68</t>
  </si>
  <si>
    <t>Reverting changes from r1661762 (LANG-1086) for now until we have consensus about this change.
git-svn-id: https://svn.apache.org/repos/asf/commons/proper/lang/trunk@1662379 13f79535-47bb-0310-9956-ffa450edef68</t>
  </si>
  <si>
    <t>Use annotation based testing for expected exceptions
git-svn-id: https://svn.apache.org/repos/asf/commons/proper/lang/trunk@1666364 13f79535-47bb-0310-9956-ffa450edef68</t>
  </si>
  <si>
    <t>revert muddled commit
git-svn-id: https://svn.apache.org/repos/asf/commons/proper/lang/trunk@1671989 13f79535-47bb-0310-9956-ffa450edef68</t>
  </si>
  <si>
    <t>testSwapIntExchangedOffsets</t>
  </si>
  <si>
    <t>consistent treatment for negative indices for swap method</t>
  </si>
  <si>
    <t>[LANG-1141] StrLookup for system properties now sees updated values.
The lookup implementation now directly accesses system properties without
caching the Properties object in any way.</t>
  </si>
  <si>
    <t>revert LANG-1192 while investigating travis failures</t>
  </si>
  <si>
    <t>LANG-1229: Performance regression due to cyclic hashCode guard
To fix this issues revert the unreleased "LANG-456: HashCodeBuilder throws StackOverflowError in bidirectional navigable".
This reverts commit b5749b4f54b30c0c2050e456c12cfcf516434f13.</t>
  </si>
  <si>
    <t>delete StringUtilsTest#testIsEmpty, #testIsNotEmpty, #testIsBlank and #testIsNotBlank, because these tests are redundant with StringUtilsTrimEmptyTest#testIsEmpty, #testIsNotEmpty, #testIsBlank and #testIsNotBlank (closes #175, closes #176)</t>
  </si>
  <si>
    <t>Revert "[LANG-1227] Add XMLCharacter class."
This reverts commit dd5a0e6e1e3edb41afb4b40e4ec2c99e5932e73c.</t>
  </si>
  <si>
    <t>Revert "[LANG-1201] Add a TimeUnit-like classes for base 2 and base 10 digital"
This reverts commit a1cde6ab707515ae014c2635f9d32ad0ba64e7a0.</t>
  </si>
  <si>
    <t>Revert parts of LANG-1134 to polish the API after 3.5</t>
  </si>
  <si>
    <t>Handle Comments</t>
  </si>
  <si>
    <t>CharEncodingTest: remove tests for java versions below 1.3.1</t>
  </si>
  <si>
    <t>Removed accidental commit of failing test case.</t>
  </si>
  <si>
    <t>LANG-1300: Reverted CharSequenceUtilsTest to original</t>
  </si>
  <si>
    <t>revert "LANG-1270: Add StringUtils#isAnyNotEmpty and #isAnyNotBlank" and add "LANG-1293: Add StringUtils#isAllEmpty and #isAllBlank methods" instead</t>
  </si>
  <si>
    <t>Revert "LANG-1269: Wrong name or result of StringUtils#getJaroWinklerDistance (closes #198)"
This reverts commit a40b2a907a69e51675d7d0502b2608833c4da343, because adding a new method StringUtils#getJaroWinklerSimilarity and immediately deprecating it makes not sense.</t>
  </si>
  <si>
    <t>LANG-1110: Implement HashSetvBitSetTest using JMH
(side effect: closes #253, closes #191)</t>
  </si>
  <si>
    <t>Remove annotations for documenting concurrency behavior.
As discussed on the ML, we need more time to figure out the design of
this annotations. So I'm removing them in order to get the next release
out of the door.</t>
  </si>
  <si>
    <t>[LANG-1360] Add methods to ClassUtils to get various forms of class
names in a null-safe manner</t>
  </si>
  <si>
    <t>removed ArrayUtils.get</t>
  </si>
  <si>
    <t>Update tests to JUnit Jupiter (closes #375)
This patch finalizes the upgrade of commons-lang's tests to use JUnit
Jupiter and remove the Vintage Engine dependency entirely.
While most of these changes are drop-in replacements with no functional
benefit, there are some non-obvious changes worth mentioning.
Unlike org.junit.Assert.assertEquals(double, double, double),
org.junit.jupiter.api.Assertions.assertEquals(double, double, double)
does not support deltas of zero, only strictly positive deltas.
This issue will be addressed in JUnit Jupiter 5.4 (see
https://github.com/junit-team/junit5/pull/1613 for details). In the
meanwhile, assertTrue(expected==actual) was used, and TODO comments were
placed in the code to refactor it to assertEquals once JUnit 5.4 is
available.
Unlike org.junit.Test, org.junit.jupiter.api.Test does not have an
"expected" argument. Instead, an explicit call to
org.junit.jupiter.api.Assertions.assertThrows is used.
Unlike org.junit.Test, org.junit.jupiter.api.Test does not have a
"timeout" argument either. Instead, an explicit call to
org.junit.jupiter.api.Assertions.assertTimeoutPreemptively is used.
JUnit Jupiter also no longer has the concept of Rules. Usages of the
SystemDefaultsSwitch rule and its accompanying annotates were replaced
with the @DefaultLocale annotation that Benedikt Ritter contributed to
JUnit Pioneer, the semi-official JUnit extension project.
Following the removal of their usages, the SystemDefaults annotation,
the SystemDefaultsSwitch rule and the SystemDefaultsSwitchTest class
that tests them had no more use, and they were removed entirely.
It's also worth noting this is a minimal patch for migrating the
package's tests to Jupiter. There are several tests that can be made
more elegant with Jupiter's new features, but that work is left for
subsequent patches.</t>
  </si>
  <si>
    <t>Revert "[LANG-1455] Add a DaemonThreadFactory.&lt;/action&gt;"
This reverts commit b30be60a81a14921b3c6bca9689f4886693f1bcd.</t>
  </si>
  <si>
    <t>Remove methods that will be new in 3.11 but which are now in the
function package.</t>
  </si>
  <si>
    <t>[LANG-1568] FailableDoubleUnaryOperator, FailableIntUnaryOperator,
FailableLongUnaryOperator.</t>
  </si>
  <si>
    <t>Clean up after merge. Class rename and package rename did not come
through.</t>
  </si>
  <si>
    <t>Split out tests for a Java 15 bug.
These tests fail on Java 15 due to a bug which was only fixed for Java
16.
See https://bugs.openjdk.java.net/browse/JDK-8248434
See https://bugs.openjdk.java.net/browse/JDK-8248655</t>
  </si>
  <si>
    <t>Move tests into FailableFunctionsTest</t>
  </si>
  <si>
    <t>Rename new method</t>
  </si>
  <si>
    <t>src/test/org/apache/commons/lang/StringUtilsTest.java</t>
  </si>
  <si>
    <t>src/test/org/apache/commons/lang/HashCodeUtilsTest.java</t>
  </si>
  <si>
    <t>src/test/org/apache/commons/lang/HashCodeBuilderTest.java</t>
  </si>
  <si>
    <t>src/test/org/apache/commons/lang/functor/TestClosureUtils.java</t>
  </si>
  <si>
    <t>src/test/org/apache/commons/lang/builder/CompareToBuilderTest.java</t>
  </si>
  <si>
    <t>src/test/org/apache/commons/lang/StringUtilsIsTest.java</t>
  </si>
  <si>
    <t>src/test/org/apache/commons/lang/functor/TestExecutorUtils.java</t>
  </si>
  <si>
    <t>src/test/org/apache/commons/lang/functor/TestFactoryUtils.java</t>
  </si>
  <si>
    <t>src/test/org/apache/commons/lang/functor/TestPredicateUtils.java</t>
  </si>
  <si>
    <t>src/test/org/apache/commons/lang/functor/TestTransformerUtils.java</t>
  </si>
  <si>
    <t>src/test/org/apache/commons/lang/time/DateUtilsTest.java</t>
  </si>
  <si>
    <t>src/test/org/apache/commons/lang/StringUtilsTrimEmptyTest.java</t>
  </si>
  <si>
    <t>src/test/org/apache/commons/lang/StringUtilsSubstringTest.java</t>
  </si>
  <si>
    <t>src/test/org/apache/commons/lang/WordWrapUtilsTest.java</t>
  </si>
  <si>
    <t>src/test/org/apache/commons/lang/CharSetUtilsTest.java</t>
  </si>
  <si>
    <t>src/test/org/apache/commons/lang/ObjectUtilsTest.java</t>
  </si>
  <si>
    <t>src/test/org/apache/commons/lang/NotImplementedExceptionTest.java</t>
  </si>
  <si>
    <t>src/test/org/apache/commons/lang/util/IdentifierUtilsTest.java</t>
  </si>
  <si>
    <t>src/test/org/apache/commons/lang/mutable/MutableNumberTest.java</t>
  </si>
  <si>
    <t>src/test/org/apache/commons/lang/ArrayUtilsTest.java</t>
  </si>
  <si>
    <t>src/test/org/apache/commons/lang/ClassUtilsTest.java</t>
  </si>
  <si>
    <t>src/test/org/apache/commons/lang/math/RandomUtilsTest.java</t>
  </si>
  <si>
    <t>src/test/org/apache/commons/lang/text/StrBuilderTest.java</t>
  </si>
  <si>
    <t>src/test/org/apache/commons/lang/text/InterpolationTest.java</t>
  </si>
  <si>
    <t>src/test/org/apache/commons/lang/text/StrTokenizerTest.java</t>
  </si>
  <si>
    <t>src/test/org/apache/commons/lang/builder/ToStringBuilderTest.java</t>
  </si>
  <si>
    <t>src/test/org/apache/commons/lang/text/VariableFormatterTest.java</t>
  </si>
  <si>
    <t>src/test/org/apache/commons/lang/math/NumberUtilsTest.java</t>
  </si>
  <si>
    <t>src/test/org/apache/commons/lang/time/DateFormatUtilsTest.java</t>
  </si>
  <si>
    <t>src/test/org/apache/commons/lang/text/MultiFormatTest.java</t>
  </si>
  <si>
    <t>src/test/org/apache/commons/lang/text/AbstractMessageFormatTest.java</t>
  </si>
  <si>
    <t>src/test/org/apache/commons/lang/text/MessageFormatExtensionTest.java</t>
  </si>
  <si>
    <t>src/test/org/apache/commons/lang/text/ExtendedMessageFormatTest.java</t>
  </si>
  <si>
    <t>src/test/org/apache/commons/lang/reflect/MethodUtilsTest.java</t>
  </si>
  <si>
    <t>src/test/org/apache/commons/lang/enum/EnumTest.java</t>
  </si>
  <si>
    <t>src/test/org/apache/commons/lang/enum/EnumUtilsTest.java</t>
  </si>
  <si>
    <t>src/test/org/apache/commons/lang/enum/ValuedEnumTest.java</t>
  </si>
  <si>
    <t>src/test/org/apache/commons/lang/enums/EnumEqualsTest.java</t>
  </si>
  <si>
    <t>src/test/org/apache/commons/lang/enums/EnumTest.java</t>
  </si>
  <si>
    <t>src/test/org/apache/commons/lang/enums/EnumUtilsTest.java</t>
  </si>
  <si>
    <t>src/test/org/apache/commons/lang/enums/ValuedEnumTest.java</t>
  </si>
  <si>
    <t>src/test/org/apache/commons/lang/NumberUtilsTest.java</t>
  </si>
  <si>
    <t>src/test/org/apache/commons/lang/NumberRangeTest.java</t>
  </si>
  <si>
    <t>src/test/org/apache/commons/lang/SystemUtilsTest.java</t>
  </si>
  <si>
    <t>src/test/org/apache/commons/lang/exception/AbstractNestableTest.java</t>
  </si>
  <si>
    <t>src/test/org/apache/commons/lang/exception/NestableDelegateTest.java</t>
  </si>
  <si>
    <t>src/test/org/apache/commons/lang/exception/NestableExceptionTest.java</t>
  </si>
  <si>
    <t>src/test/org/apache/commons/lang/exception/NestableRuntimeExceptionTest.java</t>
  </si>
  <si>
    <t>src/test/org/apache/commons/lang/BooleanUtilsTest.java</t>
  </si>
  <si>
    <t>src/test/org/apache/commons/lang/StringEscapeUtilsTest.java</t>
  </si>
  <si>
    <t>src/test/org/apache/commons/lang/EntitiesPerformanceTest.java</t>
  </si>
  <si>
    <t>src/test/org/apache/commons/lang/EntitiesTest.java</t>
  </si>
  <si>
    <t>src/test/org/apache/commons/lang/IntHashMapTest.java</t>
  </si>
  <si>
    <t>src/test/org/apache/commons/lang/UnhandledExceptionTest.java</t>
  </si>
  <si>
    <t>src/test/org/apache/commons/lang/IllegalClassExceptionTest.java</t>
  </si>
  <si>
    <t>src/test/org/apache/commons/lang/NullArgumentExceptionTest.java</t>
  </si>
  <si>
    <t>src/test/org/apache/commons/lang/IncompleteArgumentExceptionTest.java</t>
  </si>
  <si>
    <t>src/test/org/apache/commons/lang/CharRangeTest.java</t>
  </si>
  <si>
    <t>src/test/org/apache/commons/lang/EnumUtilsTest.java</t>
  </si>
  <si>
    <t>src/test/org/apache/commons/lang/ValidateTest.java</t>
  </si>
  <si>
    <t>src/test/org/apache/commons/lang/math/AbstractRangeTest.java</t>
  </si>
  <si>
    <t>src/test/org/apache/commons/lang/math/DoubleRangeTest.java</t>
  </si>
  <si>
    <t>src/test/org/apache/commons/lang/math/FloatRangeTest.java</t>
  </si>
  <si>
    <t>src/test/org/apache/commons/lang/math/IntRangeTest.java</t>
  </si>
  <si>
    <t>src/test/org/apache/commons/lang/math/LongRangeTest.java</t>
  </si>
  <si>
    <t>src/test/org/apache/commons/lang/math/NumberRangeTest.java</t>
  </si>
  <si>
    <t>src/test/org/apache/commons/lang/math/RangeTest.java</t>
  </si>
  <si>
    <t>src/test/org/apache/commons/lang/builder/EqualsBuilderTest.java</t>
  </si>
  <si>
    <t>src/test/org/apache/commons/lang/text/translate/EscapeUtilsTest.java</t>
  </si>
  <si>
    <t>src/test/org/apache/commons/lang/text/translate/UnescapeUtilsTest.java</t>
  </si>
  <si>
    <t>src/test/org/apache/commons/lang3/exception/ExceptionUtilsTest.java</t>
  </si>
  <si>
    <t>src/test/java/org/apache/commons/lang3/time/DateUtilsTest.java</t>
  </si>
  <si>
    <t>src/test/java/org/apache/commons/lang3/exception/ContextedExceptionTest.java</t>
  </si>
  <si>
    <t>src/test/java/org/apache/commons/lang3/exception/ContextedRuntimeExceptionTest.java</t>
  </si>
  <si>
    <t>src/test/java/org/apache/commons/lang3/StringUtilsEqualsIndexOfTest.java</t>
  </si>
  <si>
    <t>src/test/java/org/apache/commons/lang3/reflect/TypeUtilsTest.java</t>
  </si>
  <si>
    <t>src/test/java/org/apache/commons/lang3/event/ReflectiveEventSupportTest.java</t>
  </si>
  <si>
    <t>src/test/java/org/apache/commons/lang3/event/AbstractEventSupportTest.java</t>
  </si>
  <si>
    <t>src/test/java/org/apache/commons/lang3/CharSequenceUtilsTest.java</t>
  </si>
  <si>
    <t>src/test/java/org/apache/commons/lang3/AnnotationUtilsTest.java</t>
  </si>
  <si>
    <t>src/pending/CalendarUtilsTest.java</t>
  </si>
  <si>
    <t>src/pending/DateFormatterTest.java</t>
  </si>
  <si>
    <t>src/test/java/org/apache/commons/lang3/text/WordUtilsTest.java</t>
  </si>
  <si>
    <t>src/test/java/org/apache/commons/lang3/SystemUtilsTest.java</t>
  </si>
  <si>
    <t>src/test/java/org/apache/commons/lang3/StringUtilsTest.java</t>
  </si>
  <si>
    <t>src/test/java/org/apache/commons/lang3/tuple/PairTest.java</t>
  </si>
  <si>
    <t>src/test/java/org/apache/commons/lang3/text/FormattableUtilsTest.java</t>
  </si>
  <si>
    <t>src/test/java/org/apache/commons/lang3/exception/DefaultExceptionContextTest.java</t>
  </si>
  <si>
    <t>src/test/java/org/apache/commons/lang3/compare/TestComparatorChain.java</t>
  </si>
  <si>
    <t>src/test/java/org/apache/commons/lang3/compare/TestFixedOrderComparator.java</t>
  </si>
  <si>
    <t>src/test/java/org/apache/commons/lang3/compare/TestReverseComparator.java</t>
  </si>
  <si>
    <t>src/test/java/org/apache/commons/lang3/reflect/MethodUtilsTest.java</t>
  </si>
  <si>
    <t>src/test/java/org/apache/commons/lang3/compare/ComparableComparatorTest.java</t>
  </si>
  <si>
    <t>src/test/java/org/apache/commons/lang3/compare/ComparatorChainTest.java</t>
  </si>
  <si>
    <t>src/test/java/org/apache/commons/lang3/compare/FixedOrderComparatorTest.java</t>
  </si>
  <si>
    <t>src/test/java/org/apache/commons/lang3/compare/NullComparatorTest.java</t>
  </si>
  <si>
    <t>src/test/java/org/apache/commons/lang3/compare/ReverseComparatorTest.java</t>
  </si>
  <si>
    <t>src/test/java/org/apache/commons/lang3/time/FastDateParserTest.java</t>
  </si>
  <si>
    <t>src/test/java/org/apache/commons/lang3/ConversionTest.java</t>
  </si>
  <si>
    <t>src/test/java/org/apache/commons/lang3/BooleanUtilsTest.java</t>
  </si>
  <si>
    <t>src/test/java/org/apache/commons/lang3/text/translate/OctalUnescaperTest.java</t>
  </si>
  <si>
    <t>src/test/java/org/apache/commons/lang3/RandomUtilsTest.java</t>
  </si>
  <si>
    <t>src/test/java/org/apache/commons/lang3/math/NumberUtilsTest.java</t>
  </si>
  <si>
    <t>src/test/java/org/apache/commons/lang3/builder/HashCodeBuilderTest.java</t>
  </si>
  <si>
    <t>src/test/java/org/apache/commons/lang3/concurrent/AbstractConcurrentInitializerTest.java</t>
  </si>
  <si>
    <t>src/test/java/org/apache/commons/lang3/concurrent/AtomicInitializerTest.java</t>
  </si>
  <si>
    <t>src/test/java/org/apache/commons/lang3/concurrent/AtomicSafeInitializerTest.java</t>
  </si>
  <si>
    <t>src/test/java/org/apache/commons/lang3/concurrent/LazyInitializerTest.java</t>
  </si>
  <si>
    <t>src/test/java/org/apache/commons/lang3/ClassUtilsTest.java</t>
  </si>
  <si>
    <t>src/test/java/org/apache/commons/lang3/ArrayUtilsTest.java</t>
  </si>
  <si>
    <t>src/test/java/org/apache/commons/lang3/text/StrLookupTest.java</t>
  </si>
  <si>
    <t>src/test/java/org/apache/commons/lang3/time/WeekYearTest.java</t>
  </si>
  <si>
    <t>src/test/java/org/apache/commons/lang3/XMLCharacterTest.java</t>
  </si>
  <si>
    <t>src/test/java/org/apache/commons/lang3/DigitalBase10SizeUnitTest.java</t>
  </si>
  <si>
    <t>src/test/java/org/apache/commons/lang3/DigitalBase2SizeUnitTest.java</t>
  </si>
  <si>
    <t>src/test/java/org/apache/commons/lang3/ValidateTest.java</t>
  </si>
  <si>
    <t>src/test/java/org/apache/commons/lang3/CharEncodingTest.java</t>
  </si>
  <si>
    <t>src/test/java/org/apache/commons/lang3/StringUtilsEmptyBlankTest.java</t>
  </si>
  <si>
    <t>src/test/java/org/apache/commons/lang3/HashSetvBitSetTest.java</t>
  </si>
  <si>
    <t>src/test/java/org/apache/commons/lang3/concurrent/annotation/ContractTest.java</t>
  </si>
  <si>
    <t>src/test/java/org/apache/commons/lang3/concurrent/annotation/GuardedByTest.java</t>
  </si>
  <si>
    <t>src/test/java/org/apache/commons/lang3/concurrent/annotation/ImmutableTest.java</t>
  </si>
  <si>
    <t>src/test/java/org/apache/commons/lang3/concurrent/annotation/NotThreadSafeTest.java</t>
  </si>
  <si>
    <t>src/test/java/org/apache/commons/lang3/concurrent/annotation/ThreadSafeTest.java</t>
  </si>
  <si>
    <t>src/test/java/org/apache/commons/lang3/ObjectUtilsTest.java</t>
  </si>
  <si>
    <t>src/test/java/org/apache/commons/lang3/test/SystemDefaultsSwitchTest.java</t>
  </si>
  <si>
    <t>src/test/java/org/apache/commons/lang3/concurrent/DaemonThreadFactoryTest.java</t>
  </si>
  <si>
    <t>src/test/java/org/apache/commons/lang3/FunctionsTest.java</t>
  </si>
  <si>
    <t>src/test/java/org/apache/commons/lang3/function/FailableFunctionsTest.java</t>
  </si>
  <si>
    <t>src/test/java/org/apache/commons/lang3/concurrent/locks/LocksTest.java</t>
  </si>
  <si>
    <t>src/test/java/org/apache/commons/lang3/function/FailableDoubleToIntFunctionTest.java</t>
  </si>
  <si>
    <t>src/test/java/org/apache/commons/lang3/function/FailableDoubleToLongFunctionTest.java</t>
  </si>
  <si>
    <t>src/test/java/org/apache/commons/lang3/function/FailableObjDoubleConsumerTest.java</t>
  </si>
  <si>
    <t>src/test/java/org/apache/commons/lang3/function/FailableObjIntConsumerTest.java</t>
  </si>
  <si>
    <t>src/test/java/org/apache/commons/lang3/function/FailableObjLongConsumerTest.java</t>
  </si>
  <si>
    <t>src/test/java/org/apache/commons/lang3/function/FailableToDoubleBiFunctionTest.java</t>
  </si>
  <si>
    <t>src/test/java/org/apache/commons/lang3/function/FailableToDoubleFunctionTest.java</t>
  </si>
  <si>
    <t>src/test/java/org/apache/commons/lang3/function/FailableToIntBiFunctionTest.java</t>
  </si>
  <si>
    <t>src/test/java/org/apache/commons/lang3/function/FailableToIntFunctionTest.java</t>
  </si>
  <si>
    <t>src/test/java/org/apache/commons/lang3/function/FailableToLongBiFunctionTest.java</t>
  </si>
  <si>
    <t>src/test/java/org/apache/commons/lang3/stream/StreamsTest.java</t>
  </si>
  <si>
    <t>StringUtilsTest.java</t>
  </si>
  <si>
    <t>HashCodeUtilsTest.java</t>
  </si>
  <si>
    <t>HashCodeBuilderTest.java</t>
  </si>
  <si>
    <t>TestClosureUtils.java</t>
  </si>
  <si>
    <t>CompareToBuilderTest.java</t>
  </si>
  <si>
    <t>StringUtilsIsTest.java</t>
  </si>
  <si>
    <t>TestExecutorUtils.java</t>
  </si>
  <si>
    <t>TestFactoryUtils.java</t>
  </si>
  <si>
    <t>TestPredicateUtils.java</t>
  </si>
  <si>
    <t>TestTransformerUtils.java</t>
  </si>
  <si>
    <t>DateUtilsTest.java</t>
  </si>
  <si>
    <t>StringUtilsTrimEmptyTest.java</t>
  </si>
  <si>
    <t>StringUtilsSubstringTest.java</t>
  </si>
  <si>
    <t>WordWrapUtilsTest.java</t>
  </si>
  <si>
    <t>CharSetUtilsTest.java</t>
  </si>
  <si>
    <t>ObjectUtilsTest.java</t>
  </si>
  <si>
    <t>NotImplementedExceptionTest.java</t>
  </si>
  <si>
    <t>IdentifierUtilsTest.java</t>
  </si>
  <si>
    <t>MutableNumberTest.java</t>
  </si>
  <si>
    <t>ArrayUtilsTest.java</t>
  </si>
  <si>
    <t>ClassUtilsTest.java</t>
  </si>
  <si>
    <t>RandomUtilsTest.java</t>
  </si>
  <si>
    <t>StrBuilderTest.java</t>
  </si>
  <si>
    <t>InterpolationTest.java</t>
  </si>
  <si>
    <t>StrTokenizerTest.java</t>
  </si>
  <si>
    <t>ToStringBuilderTest.java</t>
  </si>
  <si>
    <t>VariableFormatterTest.java</t>
  </si>
  <si>
    <t>NumberUtilsTest.java</t>
  </si>
  <si>
    <t>DateFormatUtilsTest.java</t>
  </si>
  <si>
    <t>MultiFormatTest.java</t>
  </si>
  <si>
    <t>AbstractMessageFormatTest.java</t>
  </si>
  <si>
    <t>MessageFormatExtensionTest.java</t>
  </si>
  <si>
    <t>ExtendedMessageFormatTest.java</t>
  </si>
  <si>
    <t>MethodUtilsTest.java</t>
  </si>
  <si>
    <t>EnumTest.java</t>
  </si>
  <si>
    <t>EnumUtilsTest.java</t>
  </si>
  <si>
    <t>ValuedEnumTest.java</t>
  </si>
  <si>
    <t>EnumEqualsTest.java</t>
  </si>
  <si>
    <t>NumberRangeTest.java</t>
  </si>
  <si>
    <t>SystemUtilsTest.java</t>
  </si>
  <si>
    <t>AbstractNestableTest.java</t>
  </si>
  <si>
    <t>NestableDelegateTest.java</t>
  </si>
  <si>
    <t>NestableExceptionTest.java</t>
  </si>
  <si>
    <t>NestableRuntimeExceptionTest.java</t>
  </si>
  <si>
    <t>BooleanUtilsTest.java</t>
  </si>
  <si>
    <t>StringEscapeUtilsTest.java</t>
  </si>
  <si>
    <t>EntitiesPerformanceTest.java</t>
  </si>
  <si>
    <t>EntitiesTest.java</t>
  </si>
  <si>
    <t>IntHashMapTest.java</t>
  </si>
  <si>
    <t>UnhandledExceptionTest.java</t>
  </si>
  <si>
    <t>IllegalClassExceptionTest.java</t>
  </si>
  <si>
    <t>NullArgumentExceptionTest.java</t>
  </si>
  <si>
    <t>IncompleteArgumentExceptionTest.java</t>
  </si>
  <si>
    <t>CharRangeTest.java</t>
  </si>
  <si>
    <t>ValidateTest.java</t>
  </si>
  <si>
    <t>AbstractRangeTest.java</t>
  </si>
  <si>
    <t>DoubleRangeTest.java</t>
  </si>
  <si>
    <t>FloatRangeTest.java</t>
  </si>
  <si>
    <t>IntRangeTest.java</t>
  </si>
  <si>
    <t>LongRangeTest.java</t>
  </si>
  <si>
    <t>RangeTest.java</t>
  </si>
  <si>
    <t>EqualsBuilderTest.java</t>
  </si>
  <si>
    <t>EscapeUtilsTest.java</t>
  </si>
  <si>
    <t>UnescapeUtilsTest.java</t>
  </si>
  <si>
    <t>ExceptionUtilsTest.java</t>
  </si>
  <si>
    <t>ContextedExceptionTest.java</t>
  </si>
  <si>
    <t>ContextedRuntimeExceptionTest.java</t>
  </si>
  <si>
    <t>StringUtilsEqualsIndexOfTest.java</t>
  </si>
  <si>
    <t>TypeUtilsTest.java</t>
  </si>
  <si>
    <t>ReflectiveEventSupportTest.java</t>
  </si>
  <si>
    <t>AbstractEventSupportTest.java</t>
  </si>
  <si>
    <t>CharSequenceUtilsTest.java</t>
  </si>
  <si>
    <t>AnnotationUtilsTest.java</t>
  </si>
  <si>
    <t>CalendarUtilsTest.java</t>
  </si>
  <si>
    <t>DateFormatterTest.java</t>
  </si>
  <si>
    <t>WordUtilsTest.java</t>
  </si>
  <si>
    <t>PairTest.java</t>
  </si>
  <si>
    <t>FormattableUtilsTest.java</t>
  </si>
  <si>
    <t>DefaultExceptionContextTest.java</t>
  </si>
  <si>
    <t>TestComparatorChain.java</t>
  </si>
  <si>
    <t>TestFixedOrderComparator.java</t>
  </si>
  <si>
    <t>TestReverseComparator.java</t>
  </si>
  <si>
    <t>ComparableComparatorTest.java</t>
  </si>
  <si>
    <t>ComparatorChainTest.java</t>
  </si>
  <si>
    <t>FixedOrderComparatorTest.java</t>
  </si>
  <si>
    <t>NullComparatorTest.java</t>
  </si>
  <si>
    <t>ReverseComparatorTest.java</t>
  </si>
  <si>
    <t>FastDateParserTest.java</t>
  </si>
  <si>
    <t>ConversionTest.java</t>
  </si>
  <si>
    <t>OctalUnescaperTest.java</t>
  </si>
  <si>
    <t>AbstractConcurrentInitializerTest.java</t>
  </si>
  <si>
    <t>AtomicInitializerTest.java</t>
  </si>
  <si>
    <t>AtomicSafeInitializerTest.java</t>
  </si>
  <si>
    <t>LazyInitializerTest.java</t>
  </si>
  <si>
    <t>StrLookupTest.java</t>
  </si>
  <si>
    <t>WeekYearTest.java</t>
  </si>
  <si>
    <t>XMLCharacterTest.java</t>
  </si>
  <si>
    <t>DigitalBase10SizeUnitTest.java</t>
  </si>
  <si>
    <t>DigitalBase2SizeUnitTest.java</t>
  </si>
  <si>
    <t>CharEncodingTest.java</t>
  </si>
  <si>
    <t>StringUtilsEmptyBlankTest.java</t>
  </si>
  <si>
    <t>HashSetvBitSetTest.java</t>
  </si>
  <si>
    <t>ContractTest.java</t>
  </si>
  <si>
    <t>GuardedByTest.java</t>
  </si>
  <si>
    <t>ImmutableTest.java</t>
  </si>
  <si>
    <t>NotThreadSafeTest.java</t>
  </si>
  <si>
    <t>ThreadSafeTest.java</t>
  </si>
  <si>
    <t>SystemDefaultsSwitchTest.java</t>
  </si>
  <si>
    <t>DaemonThreadFactoryTest.java</t>
  </si>
  <si>
    <t>FunctionsTest.java</t>
  </si>
  <si>
    <t>FailableFunctionsTest.java</t>
  </si>
  <si>
    <t>LocksTest.java</t>
  </si>
  <si>
    <t>FailableDoubleToIntFunctionTest.java</t>
  </si>
  <si>
    <t>FailableDoubleToLongFunctionTest.java</t>
  </si>
  <si>
    <t>FailableObjDoubleConsumerTest.java</t>
  </si>
  <si>
    <t>FailableObjIntConsumerTest.java</t>
  </si>
  <si>
    <t>FailableObjLongConsumerTest.java</t>
  </si>
  <si>
    <t>FailableToDoubleBiFunctionTest.java</t>
  </si>
  <si>
    <t>FailableToDoubleFunctionTest.java</t>
  </si>
  <si>
    <t>FailableToIntBiFunctionTest.java</t>
  </si>
  <si>
    <t>FailableToIntFunctionTest.java</t>
  </si>
  <si>
    <t>FailableToLongBiFunctionTest.java</t>
  </si>
  <si>
    <t>StreamsTest.java</t>
  </si>
  <si>
    <t>testUnicodeFunctions</t>
  </si>
  <si>
    <t>testObject</t>
  </si>
  <si>
    <t>testLong</t>
  </si>
  <si>
    <t>testInt</t>
  </si>
  <si>
    <t>testShort</t>
  </si>
  <si>
    <t>testChar</t>
  </si>
  <si>
    <t>testByte</t>
  </si>
  <si>
    <t>testDouble</t>
  </si>
  <si>
    <t>testFloat</t>
  </si>
  <si>
    <t>testBoolean</t>
  </si>
  <si>
    <t>testObjectArray</t>
  </si>
  <si>
    <t>testLongArray</t>
  </si>
  <si>
    <t>testIntArray</t>
  </si>
  <si>
    <t>testShortArray</t>
  </si>
  <si>
    <t>testCharArray</t>
  </si>
  <si>
    <t>testByteArray</t>
  </si>
  <si>
    <t>testDoubleArray</t>
  </si>
  <si>
    <t>testFloatArray</t>
  </si>
  <si>
    <t>testBooleanArray</t>
  </si>
  <si>
    <t>testConstructorEx1</t>
  </si>
  <si>
    <t>testConstructorEx2</t>
  </si>
  <si>
    <t>testExceptionClosure</t>
  </si>
  <si>
    <t>testNopClosure</t>
  </si>
  <si>
    <t>testInvokeClosure</t>
  </si>
  <si>
    <t>testForClosure</t>
  </si>
  <si>
    <t>testWhileClosure</t>
  </si>
  <si>
    <t>testDoWhileClosure</t>
  </si>
  <si>
    <t>testChainedClosure</t>
  </si>
  <si>
    <t>testChainedClosureEx1a</t>
  </si>
  <si>
    <t>testChainedClosureEx1b</t>
  </si>
  <si>
    <t>testChainedClosureEx1c</t>
  </si>
  <si>
    <t>testChainedClosureEx2</t>
  </si>
  <si>
    <t>testChainedClosureEx3</t>
  </si>
  <si>
    <t>testChainedClosureEx4</t>
  </si>
  <si>
    <t>testChainedClosureEx5</t>
  </si>
  <si>
    <t>testSwitchClosure</t>
  </si>
  <si>
    <t>testSwitchClosureEx1a</t>
  </si>
  <si>
    <t>testSwitchClosureEx1b</t>
  </si>
  <si>
    <t>testSwitchClosureEx1c</t>
  </si>
  <si>
    <t>testSwitchClosureEx2</t>
  </si>
  <si>
    <t>testSwitchClosureEx3</t>
  </si>
  <si>
    <t>testSwitchClosureEx4</t>
  </si>
  <si>
    <t>testSwitchClosureEx5</t>
  </si>
  <si>
    <t>testSwitchClosureEx6</t>
  </si>
  <si>
    <t>testSwitchMapClosure</t>
  </si>
  <si>
    <t>testSwitchMapClosureEx1</t>
  </si>
  <si>
    <t>testSwitchMapClosureEx2</t>
  </si>
  <si>
    <t>testObjectEx1</t>
  </si>
  <si>
    <t>testObjectArrayEx1</t>
  </si>
  <si>
    <t>testIsTrue</t>
  </si>
  <si>
    <t>testExceptionExecutor</t>
  </si>
  <si>
    <t>testNopExecutor</t>
  </si>
  <si>
    <t>testInvokeExecutor</t>
  </si>
  <si>
    <t>testForExecutor</t>
  </si>
  <si>
    <t>testWhileExecutor</t>
  </si>
  <si>
    <t>testDoWhileExecutor</t>
  </si>
  <si>
    <t>testChainedExecutor</t>
  </si>
  <si>
    <t>testChainedExecutorEx1a</t>
  </si>
  <si>
    <t>testChainedExecutorEx1b</t>
  </si>
  <si>
    <t>testChainedExecutorEx1c</t>
  </si>
  <si>
    <t>testChainedExecutorEx2</t>
  </si>
  <si>
    <t>testChainedExecutorEx3</t>
  </si>
  <si>
    <t>testChainedExecutorEx4</t>
  </si>
  <si>
    <t>testChainedExecutorEx5</t>
  </si>
  <si>
    <t>testSwitchExecutor</t>
  </si>
  <si>
    <t>testSwitchExecutorEx1a</t>
  </si>
  <si>
    <t>testSwitchExecutorEx1b</t>
  </si>
  <si>
    <t>testSwitchExecutorEx1c</t>
  </si>
  <si>
    <t>testSwitchExecutorEx2</t>
  </si>
  <si>
    <t>testSwitchExecutorEx3</t>
  </si>
  <si>
    <t>testSwitchExecutorEx4</t>
  </si>
  <si>
    <t>testSwitchExecutorEx5</t>
  </si>
  <si>
    <t>testSwitchExecutorEx6</t>
  </si>
  <si>
    <t>testSwitchMapExecutor</t>
  </si>
  <si>
    <t>testSwitchMapExecutorEx1</t>
  </si>
  <si>
    <t>testSwitchMapExecutorEx2</t>
  </si>
  <si>
    <t>testExceptionFactory</t>
  </si>
  <si>
    <t>testNullFactory</t>
  </si>
  <si>
    <t>testConstantFactoryNull</t>
  </si>
  <si>
    <t>testConstantFactoryConstant</t>
  </si>
  <si>
    <t>testPrototypeFactoryNull</t>
  </si>
  <si>
    <t>testPrototypeFactoryPublicCloneMethod</t>
  </si>
  <si>
    <t>testPrototypeFactoryPublicCopyConstructor</t>
  </si>
  <si>
    <t>testPrototypeFactoryPublicSerialization</t>
  </si>
  <si>
    <t>testPrototypeFactoryPublicSerializationError</t>
  </si>
  <si>
    <t>testPrototypeFactoryPublicBad</t>
  </si>
  <si>
    <t>testReflectionFactoryNull</t>
  </si>
  <si>
    <t>testReflectionFactorySimple</t>
  </si>
  <si>
    <t>testReflectionFactoryMismatch</t>
  </si>
  <si>
    <t>testReflectionFactoryNoConstructor</t>
  </si>
  <si>
    <t>testReflectionFactoryComplex</t>
  </si>
  <si>
    <t>testExceptionPredicate</t>
  </si>
  <si>
    <t>testNullPredicate</t>
  </si>
  <si>
    <t>testIsNotNullPredicate</t>
  </si>
  <si>
    <t>testEqualPredicate</t>
  </si>
  <si>
    <t>testIdentityPredicate</t>
  </si>
  <si>
    <t>testTruePredicate</t>
  </si>
  <si>
    <t>testFalsePredicate</t>
  </si>
  <si>
    <t>testNotPredicate</t>
  </si>
  <si>
    <t>testNotPredicateEx</t>
  </si>
  <si>
    <t>testAndPredicate</t>
  </si>
  <si>
    <t>testAndPredicateEx</t>
  </si>
  <si>
    <t>testAllPredicate</t>
  </si>
  <si>
    <t>testAllPredicateEx1</t>
  </si>
  <si>
    <t>testAllPredicateEx2</t>
  </si>
  <si>
    <t>testAllPredicateEx3</t>
  </si>
  <si>
    <t>testAllPredicateEx4</t>
  </si>
  <si>
    <t>testAllPredicateEx5</t>
  </si>
  <si>
    <t>testAllPredicateEx6</t>
  </si>
  <si>
    <t>testOrPredicate</t>
  </si>
  <si>
    <t>testOrPredicateEx</t>
  </si>
  <si>
    <t>testAnyPredicate</t>
  </si>
  <si>
    <t>testAnyPredicateEx1</t>
  </si>
  <si>
    <t>testAnyPredicateEx2</t>
  </si>
  <si>
    <t>testAnyPredicateEx3</t>
  </si>
  <si>
    <t>testAnyPredicateEx4</t>
  </si>
  <si>
    <t>testAnyPredicateEx5</t>
  </si>
  <si>
    <t>testAnyPredicateEx6</t>
  </si>
  <si>
    <t>testEitherPredicate</t>
  </si>
  <si>
    <t>testEitherPredicateEx</t>
  </si>
  <si>
    <t>testOnePredicate</t>
  </si>
  <si>
    <t>testOnePredicateEx1</t>
  </si>
  <si>
    <t>testOnePredicateEx2</t>
  </si>
  <si>
    <t>testOnePredicateEx3</t>
  </si>
  <si>
    <t>testOnePredicateEx4</t>
  </si>
  <si>
    <t>testOnePredicateEx5</t>
  </si>
  <si>
    <t>testOnePredicateEx6</t>
  </si>
  <si>
    <t>testNeitherPredicate</t>
  </si>
  <si>
    <t>testNeitherPredicateEx</t>
  </si>
  <si>
    <t>testNonePredicate</t>
  </si>
  <si>
    <t>testNonePredicateEx1</t>
  </si>
  <si>
    <t>testNonePredicateEx2</t>
  </si>
  <si>
    <t>testNonePredicateEx3</t>
  </si>
  <si>
    <t>testNonePredicateEx4</t>
  </si>
  <si>
    <t>testNonePredicateEx5</t>
  </si>
  <si>
    <t>testNonePredicateEx6</t>
  </si>
  <si>
    <t>testInstanceOfPredicate</t>
  </si>
  <si>
    <t>testUniquePredicate</t>
  </si>
  <si>
    <t>testAsPredicateTransformer</t>
  </si>
  <si>
    <t>testAsPredicateTransformerEx1</t>
  </si>
  <si>
    <t>testAsPredicateTransformerEx2</t>
  </si>
  <si>
    <t>testInvokerPredicate</t>
  </si>
  <si>
    <t>testInvokerPredicateEx1</t>
  </si>
  <si>
    <t>testInvokerPredicateEx2</t>
  </si>
  <si>
    <t>testInvokerPredicateEx3</t>
  </si>
  <si>
    <t>testInvokerPredicate2</t>
  </si>
  <si>
    <t>testInvokerPredicate2Ex1</t>
  </si>
  <si>
    <t>testInvokerPredicate2Ex2</t>
  </si>
  <si>
    <t>testInvokerPredicate2Ex3</t>
  </si>
  <si>
    <t>testNullIsExceptionPredicate</t>
  </si>
  <si>
    <t>testNullIsExceptionPredicateEx1</t>
  </si>
  <si>
    <t>testNullIsTruePredicate</t>
  </si>
  <si>
    <t>testNullIsTruePredicateEx1</t>
  </si>
  <si>
    <t>testNullIsFalsePredicate</t>
  </si>
  <si>
    <t>testNullIsFalsePredicateEx1</t>
  </si>
  <si>
    <t>testExceptionTransformer</t>
  </si>
  <si>
    <t>testNullTransformer</t>
  </si>
  <si>
    <t>testNopTransformer</t>
  </si>
  <si>
    <t>testConstantTransformer</t>
  </si>
  <si>
    <t>testCloneTransformer</t>
  </si>
  <si>
    <t>testMapTransformer</t>
  </si>
  <si>
    <t>testExecutorTransformer</t>
  </si>
  <si>
    <t>testPredicateTransformer</t>
  </si>
  <si>
    <t>testFactoryTransformer</t>
  </si>
  <si>
    <t>testChainedTransformer</t>
  </si>
  <si>
    <t>testChainedTransformerEx1a</t>
  </si>
  <si>
    <t>testChainedTransformerEx1b</t>
  </si>
  <si>
    <t>testChainedTransformerEx1c</t>
  </si>
  <si>
    <t>testChainedTransformerEx2</t>
  </si>
  <si>
    <t>testChainedTransformerEx3</t>
  </si>
  <si>
    <t>testChainedTransformerEx4</t>
  </si>
  <si>
    <t>testChainedTransformerEx5</t>
  </si>
  <si>
    <t>testSwitchTransformer</t>
  </si>
  <si>
    <t>testSwitchTransformerEx1a</t>
  </si>
  <si>
    <t>testSwitchTransformerEx1b</t>
  </si>
  <si>
    <t>testSwitchTransformerEx1c</t>
  </si>
  <si>
    <t>testSwitchTransformerEx2</t>
  </si>
  <si>
    <t>testSwitchTransformerEx3</t>
  </si>
  <si>
    <t>testSwitchTransformerEx4</t>
  </si>
  <si>
    <t>testSwitchTransformerEx5</t>
  </si>
  <si>
    <t>testSwitchTransformerEx6</t>
  </si>
  <si>
    <t>testSwitchMapTransformer</t>
  </si>
  <si>
    <t>testSwitchMapTransformerEx1</t>
  </si>
  <si>
    <t>testSwitchMapTransformerEx2</t>
  </si>
  <si>
    <t>testInvokerTransformer</t>
  </si>
  <si>
    <t>testInvokerTransformerEx1</t>
  </si>
  <si>
    <t>testInvokerTransformerEx3</t>
  </si>
  <si>
    <t>testInvokerTransformer2</t>
  </si>
  <si>
    <t>testInvokerTransformer2Ex1</t>
  </si>
  <si>
    <t>testInvokerTransformer2Ex3</t>
  </si>
  <si>
    <t>testElapsedTime</t>
  </si>
  <si>
    <t>testDateTimeISO</t>
  </si>
  <si>
    <t>testDateISO</t>
  </si>
  <si>
    <t>testTimeISODate</t>
  </si>
  <si>
    <t>testTimeISO</t>
  </si>
  <si>
    <t>testPhaseOfMoon</t>
  </si>
  <si>
    <t>testStrip</t>
  </si>
  <si>
    <t>testIsNotEmptyOrNull</t>
  </si>
  <si>
    <t>testIsNotEmptyTrimmed</t>
  </si>
  <si>
    <t>testIsNotEmptyTrimmedOrNull</t>
  </si>
  <si>
    <t>testContainsOnlyString</t>
  </si>
  <si>
    <t>testContainsOnlyCharArray</t>
  </si>
  <si>
    <t>testContainsNoneString</t>
  </si>
  <si>
    <t>testContainsNoneCharArray</t>
  </si>
  <si>
    <t>testIndexOfAnyBut</t>
  </si>
  <si>
    <t>testPadFunctions</t>
  </si>
  <si>
    <t>testLeftEx</t>
  </si>
  <si>
    <t>testRightEx</t>
  </si>
  <si>
    <t>testMidEx1</t>
  </si>
  <si>
    <t>testMidEx2</t>
  </si>
  <si>
    <t>testMidEx3</t>
  </si>
  <si>
    <t>testSliceFunctions</t>
  </si>
  <si>
    <t>testSliceRemainder_StringString</t>
  </si>
  <si>
    <t>testSliceFirstRemainder_StringString</t>
  </si>
  <si>
    <t>testSubstring2</t>
  </si>
  <si>
    <t>testParseCVS</t>
  </si>
  <si>
    <t>testWrapText1</t>
  </si>
  <si>
    <t>testWrapText2</t>
  </si>
  <si>
    <t>testWrapText3</t>
  </si>
  <si>
    <t>testWrapText4</t>
  </si>
  <si>
    <t>testEvaluateSet_String</t>
  </si>
  <si>
    <t>testDateEquals</t>
  </si>
  <si>
    <t>testConstructor_classArg_nullInput</t>
  </si>
  <si>
    <t>testConstructor_stringArg_nullInput</t>
  </si>
  <si>
    <t>testGetMessage_stringArg_nullInput</t>
  </si>
  <si>
    <t>testGetMessage_stringArg_validInput</t>
  </si>
  <si>
    <t>testConstructor</t>
  </si>
  <si>
    <t>testLongIncrementing</t>
  </si>
  <si>
    <t>testLongIncrementingNoArgs</t>
  </si>
  <si>
    <t>testLongIncrementingInit</t>
  </si>
  <si>
    <t>testLongIncrementingWrap</t>
  </si>
  <si>
    <t>testLongIncrementingNoWrap</t>
  </si>
  <si>
    <t>testStringNumericLong</t>
  </si>
  <si>
    <t>testStringNumericNoArgs</t>
  </si>
  <si>
    <t>testStringNumericInit</t>
  </si>
  <si>
    <t>testStringNumericWrap</t>
  </si>
  <si>
    <t>testStringNumericNoWrap</t>
  </si>
  <si>
    <t>testStringAlphanumeric</t>
  </si>
  <si>
    <t>testLongAlphanumericNoArgs</t>
  </si>
  <si>
    <t>testStringAlphanumericWrap</t>
  </si>
  <si>
    <t>testStringAlphanumericNoWrap</t>
  </si>
  <si>
    <t>testStringSession</t>
  </si>
  <si>
    <t>testDateEqualsJava</t>
  </si>
  <si>
    <t>testCompareTo</t>
  </si>
  <si>
    <t>testSetValue</t>
  </si>
  <si>
    <t>testLastIndex</t>
  </si>
  <si>
    <t>testClassComparator</t>
  </si>
  <si>
    <t>testPackageComparator</t>
  </si>
  <si>
    <t>testPackageNameComparatorWithDifferentClassLoaders</t>
  </si>
  <si>
    <t>testSetSeed</t>
  </si>
  <si>
    <t>testForName</t>
  </si>
  <si>
    <t>testAppendWithSeparators</t>
  </si>
  <si>
    <t>testSimpleVariableSubstitution</t>
  </si>
  <si>
    <t>testNullMap</t>
  </si>
  <si>
    <t>testEmptyMap</t>
  </si>
  <si>
    <t>testNullTemplate</t>
  </si>
  <si>
    <t>testRecursive</t>
  </si>
  <si>
    <t>testDeleteCharAtExceptions</t>
  </si>
  <si>
    <t>testContainsChar</t>
  </si>
  <si>
    <t>testContainsString</t>
  </si>
  <si>
    <t>testMatcher</t>
  </si>
  <si>
    <t>testStringMatcher</t>
  </si>
  <si>
    <t>testGetMessage_Indexed</t>
  </si>
  <si>
    <t>testObjectCycle</t>
  </si>
  <si>
    <t>testLang59</t>
  </si>
  <si>
    <t>testCyclicReplacement</t>
  </si>
  <si>
    <t>testEscape</t>
  </si>
  <si>
    <t>testInitialize</t>
  </si>
  <si>
    <t>testNonDefaultTokens</t>
  </si>
  <si>
    <t>testNonInstanceMethods</t>
  </si>
  <si>
    <t>testRecursiveReplacement</t>
  </si>
  <si>
    <t>testReplace</t>
  </si>
  <si>
    <t>testReplaceEmptyKeys</t>
  </si>
  <si>
    <t>testReplaceNoEscape</t>
  </si>
  <si>
    <t>testReplaceNoMarkers</t>
  </si>
  <si>
    <t>testReplaceNoPrefix</t>
  </si>
  <si>
    <t>testReplaceNoSuffix</t>
  </si>
  <si>
    <t>testReplaceNothing</t>
  </si>
  <si>
    <t>testReplaceObject</t>
  </si>
  <si>
    <t>testReplaceSystemProperties</t>
  </si>
  <si>
    <t>testReplaceWeirdPattens</t>
  </si>
  <si>
    <t>testReplaceCharArray</t>
  </si>
  <si>
    <t>testEqualsByte</t>
  </si>
  <si>
    <t>testEqualsShort</t>
  </si>
  <si>
    <t>testEqualsInt</t>
  </si>
  <si>
    <t>testEqualsLong</t>
  </si>
  <si>
    <t>testEqualsFloat</t>
  </si>
  <si>
    <t>testEqualsDouble</t>
  </si>
  <si>
    <t>testLang312</t>
  </si>
  <si>
    <t>testWTF</t>
  </si>
  <si>
    <t>testFormatNumber</t>
  </si>
  <si>
    <t>testParseNumber</t>
  </si>
  <si>
    <t>testFormatDate</t>
  </si>
  <si>
    <t>testParseDate</t>
  </si>
  <si>
    <t>testFormatObject</t>
  </si>
  <si>
    <t>testParseGarbage</t>
  </si>
  <si>
    <t>testNoFormatElements</t>
  </si>
  <si>
    <t>testSimpleStrings</t>
  </si>
  <si>
    <t>testSimpleNumbers</t>
  </si>
  <si>
    <t>testSimpleDates</t>
  </si>
  <si>
    <t>testNumber</t>
  </si>
  <si>
    <t>testNumberLooseFormatting</t>
  </si>
  <si>
    <t>testInteger</t>
  </si>
  <si>
    <t>testIntegerLooseFormatting</t>
  </si>
  <si>
    <t>testCurrency</t>
  </si>
  <si>
    <t>testPercent</t>
  </si>
  <si>
    <t>testNumberPattern</t>
  </si>
  <si>
    <t>testDate</t>
  </si>
  <si>
    <t>testDateLooseFormatting</t>
  </si>
  <si>
    <t>testShortDate</t>
  </si>
  <si>
    <t>testShortDateLooseFormatting</t>
  </si>
  <si>
    <t>testMediumDate</t>
  </si>
  <si>
    <t>testLongDate</t>
  </si>
  <si>
    <t>testFullDate</t>
  </si>
  <si>
    <t>testDatePattern</t>
  </si>
  <si>
    <t>testTime</t>
  </si>
  <si>
    <t>testShortTime</t>
  </si>
  <si>
    <t>testMediumTime</t>
  </si>
  <si>
    <t>testLongTime</t>
  </si>
  <si>
    <t>testFullTime</t>
  </si>
  <si>
    <t>testTimePattern</t>
  </si>
  <si>
    <t>testChoice</t>
  </si>
  <si>
    <t>testChoiceLooseFormatting</t>
  </si>
  <si>
    <t>testChoiceRecursive</t>
  </si>
  <si>
    <t>testProperName</t>
  </si>
  <si>
    <t>testMixed</t>
  </si>
  <si>
    <t>testExtendedWithChoiceFormat</t>
  </si>
  <si>
    <t>testExtendedAndBuiltInWithChoiceFormat</t>
  </si>
  <si>
    <t>testSetCacheMethods</t>
  </si>
  <si>
    <t>testName</t>
  </si>
  <si>
    <t>testEquals</t>
  </si>
  <si>
    <t>testHashCode</t>
  </si>
  <si>
    <t>testToString</t>
  </si>
  <si>
    <t>testIterator</t>
  </si>
  <si>
    <t>testList</t>
  </si>
  <si>
    <t>testMap</t>
  </si>
  <si>
    <t>testGet</t>
  </si>
  <si>
    <t>testSerialization</t>
  </si>
  <si>
    <t>testBroken1</t>
  </si>
  <si>
    <t>testBroken2</t>
  </si>
  <si>
    <t>testBroken3</t>
  </si>
  <si>
    <t>testBroken1Operation</t>
  </si>
  <si>
    <t>testBroken2Operation</t>
  </si>
  <si>
    <t>testBroken3Operation</t>
  </si>
  <si>
    <t>testBroken4Operation</t>
  </si>
  <si>
    <t>testBroken5Operation</t>
  </si>
  <si>
    <t>testOperationGet</t>
  </si>
  <si>
    <t>testOperationSerialization</t>
  </si>
  <si>
    <t>testOperationToString</t>
  </si>
  <si>
    <t>testOperationList</t>
  </si>
  <si>
    <t>testOperationMap</t>
  </si>
  <si>
    <t>testOperationCalculation</t>
  </si>
  <si>
    <t>testExtended1Get</t>
  </si>
  <si>
    <t>testExtended2Get</t>
  </si>
  <si>
    <t>testExtended3Get</t>
  </si>
  <si>
    <t>testExtendedSerialization</t>
  </si>
  <si>
    <t>testExtendedToString</t>
  </si>
  <si>
    <t>testExtended1List</t>
  </si>
  <si>
    <t>testExtended2List</t>
  </si>
  <si>
    <t>testExtended3List</t>
  </si>
  <si>
    <t>testExtended1Map</t>
  </si>
  <si>
    <t>testExtended2Map</t>
  </si>
  <si>
    <t>testExtended3Map</t>
  </si>
  <si>
    <t>testNested</t>
  </si>
  <si>
    <t>testNestedBroken</t>
  </si>
  <si>
    <t>testNestedLinked</t>
  </si>
  <si>
    <t>testNestedReferenced</t>
  </si>
  <si>
    <t>testColorEnumEqualsWithDifferentClassLoaders</t>
  </si>
  <si>
    <t>testIteratorEx</t>
  </si>
  <si>
    <t>testListEx</t>
  </si>
  <si>
    <t>testMapEx</t>
  </si>
  <si>
    <t>testGetEx</t>
  </si>
  <si>
    <t>testGetValue</t>
  </si>
  <si>
    <t>testGetValueEx</t>
  </si>
  <si>
    <t>testValue</t>
  </si>
  <si>
    <t>testEquals_classloader_equal</t>
  </si>
  <si>
    <t>testEquals_classloader_different</t>
  </si>
  <si>
    <t>testCompareTo_classloader_equal</t>
  </si>
  <si>
    <t>testCompareTo_classloader_different</t>
  </si>
  <si>
    <t>testCompareTo_nonEnumType</t>
  </si>
  <si>
    <t>testCompareTo_otherEnumType</t>
  </si>
  <si>
    <t>testCompareTo_otherType</t>
  </si>
  <si>
    <t>testCompareTo_null</t>
  </si>
  <si>
    <t>testAddByField</t>
  </si>
  <si>
    <t>testStringToIntString</t>
  </si>
  <si>
    <t>testStringToIntStringI</t>
  </si>
  <si>
    <t>testCreateNumber</t>
  </si>
  <si>
    <t>testCreateFloat</t>
  </si>
  <si>
    <t>testCreateDouble</t>
  </si>
  <si>
    <t>testCreateInteger</t>
  </si>
  <si>
    <t>testCreateLong</t>
  </si>
  <si>
    <t>testCreateBigInteger</t>
  </si>
  <si>
    <t>testCreateBigDecimal</t>
  </si>
  <si>
    <t>testMinimumLong</t>
  </si>
  <si>
    <t>testMinimumInt</t>
  </si>
  <si>
    <t>testMaximumLong</t>
  </si>
  <si>
    <t>testMaximumInt</t>
  </si>
  <si>
    <t>testCompareDouble</t>
  </si>
  <si>
    <t>testCompareFloat</t>
  </si>
  <si>
    <t>testIsDigits</t>
  </si>
  <si>
    <t>testIsNumber</t>
  </si>
  <si>
    <t>testIsNumberInvalidInput</t>
  </si>
  <si>
    <t>testPublicNoArgConstructor</t>
  </si>
  <si>
    <t>testLang457</t>
  </si>
  <si>
    <t>testDeprecatedStringToIntString</t>
  </si>
  <si>
    <t>testDeprecatedStringToIntStringI</t>
  </si>
  <si>
    <t>testMaxMin</t>
  </si>
  <si>
    <t>testEqualsWithOtherObject</t>
  </si>
  <si>
    <t>testEqualsWithSameReference</t>
  </si>
  <si>
    <t>testEqualsNull</t>
  </si>
  <si>
    <t>testIncludesNumber</t>
  </si>
  <si>
    <t>testIncludesNumberNull</t>
  </si>
  <si>
    <t>testIncludesRange</t>
  </si>
  <si>
    <t>testIncludesRangeNull</t>
  </si>
  <si>
    <t>testConstructorNullParameters</t>
  </si>
  <si>
    <t>testConstructorWithMaxLessThanMin</t>
  </si>
  <si>
    <t>testOverlap</t>
  </si>
  <si>
    <t>testOverlapNull</t>
  </si>
  <si>
    <t>testToStringWithNegatives</t>
  </si>
  <si>
    <t>testEvaluateSet_Stringarray</t>
  </si>
  <si>
    <t>testTranslate</t>
  </si>
  <si>
    <t>testTranslateNullPointerException</t>
  </si>
  <si>
    <t>testDeprecatedJavaVersion</t>
  </si>
  <si>
    <t>testAppendIdentityToString</t>
  </si>
  <si>
    <t>testDeprecatedConcatenate_Objectarray</t>
  </si>
  <si>
    <t>testDeprecatedDeleteSpace_String</t>
  </si>
  <si>
    <t>testDeprecatedOverlayString_StringStringIntInt</t>
  </si>
  <si>
    <t>testDeprecatedChompFunctions</t>
  </si>
  <si>
    <t>testChopNewLine</t>
  </si>
  <si>
    <t>testDeprecatedReverseDelimitedString_StringString</t>
  </si>
  <si>
    <t>testDeprecatedEscapeFunctions_String</t>
  </si>
  <si>
    <t>testDeprecatedGetNestedString_StringString</t>
  </si>
  <si>
    <t>testDeprecatedGetNestedString_StringStringString</t>
  </si>
  <si>
    <t>testDeprecatedClean</t>
  </si>
  <si>
    <t>testGetThrowable</t>
  </si>
  <si>
    <t>testIndexOfThrowable</t>
  </si>
  <si>
    <t>testIndexOfThrowable_Index</t>
  </si>
  <si>
    <t>testPrintPartialStackTrace_Writer</t>
  </si>
  <si>
    <t>testGetCause</t>
  </si>
  <si>
    <t>testGetThrowableCount</t>
  </si>
  <si>
    <t>testGetMessage</t>
  </si>
  <si>
    <t>testGetMessageI</t>
  </si>
  <si>
    <t>testGetMessages</t>
  </si>
  <si>
    <t>testGetThrowableI</t>
  </si>
  <si>
    <t>testGetThrowables</t>
  </si>
  <si>
    <t>testIndexOfThrowableI</t>
  </si>
  <si>
    <t>testPrintPartialStackTrace</t>
  </si>
  <si>
    <t>testPrintStackTrace</t>
  </si>
  <si>
    <t>testNestableDelegateConstructor</t>
  </si>
  <si>
    <t>testNestableDelegateGetMessage</t>
  </si>
  <si>
    <t>testNestableDelegateGetThrowableCount</t>
  </si>
  <si>
    <t>testNestableDelegateGetMessages</t>
  </si>
  <si>
    <t>testGetMessageString</t>
  </si>
  <si>
    <t>testNestableDelegateGetMessageN</t>
  </si>
  <si>
    <t>testNestableDelegateGetThrowableN</t>
  </si>
  <si>
    <t>testNestableDelegateGetThrowables</t>
  </si>
  <si>
    <t>testNestableDelegetePrintStackTrace</t>
  </si>
  <si>
    <t>testSpecificPrintStackTrace</t>
  </si>
  <si>
    <t>testNextInt</t>
  </si>
  <si>
    <t>testNextInt2</t>
  </si>
  <si>
    <t>testJvmRandomNextInt</t>
  </si>
  <si>
    <t>testNextLong</t>
  </si>
  <si>
    <t>testNextLong2</t>
  </si>
  <si>
    <t>testNextBoolean</t>
  </si>
  <si>
    <t>testNextBoolean2</t>
  </si>
  <si>
    <t>testNextFloat</t>
  </si>
  <si>
    <t>testNextFloat2</t>
  </si>
  <si>
    <t>testNextDouble</t>
  </si>
  <si>
    <t>testNextDouble2</t>
  </si>
  <si>
    <t>testUnimplementedMethods</t>
  </si>
  <si>
    <t>testIllegalArguments</t>
  </si>
  <si>
    <t>test_toBooleanObject_boolean</t>
  </si>
  <si>
    <t>testEscapeSql</t>
  </si>
  <si>
    <t>testBuildHash</t>
  </si>
  <si>
    <t>testBuildTree</t>
  </si>
  <si>
    <t>testBuildArray</t>
  </si>
  <si>
    <t>testBuildBinary</t>
  </si>
  <si>
    <t>testBuildPrimitive</t>
  </si>
  <si>
    <t>testBuildLookup</t>
  </si>
  <si>
    <t>testLookupHash</t>
  </si>
  <si>
    <t>testLookupTree</t>
  </si>
  <si>
    <t>testLookupArray</t>
  </si>
  <si>
    <t>testLookupBinary</t>
  </si>
  <si>
    <t>testLookupPrimitive</t>
  </si>
  <si>
    <t>testLookupLookup</t>
  </si>
  <si>
    <t>testEscapeHash</t>
  </si>
  <si>
    <t>testEscapeTree</t>
  </si>
  <si>
    <t>testEscapeArray</t>
  </si>
  <si>
    <t>testEscapeBinary</t>
  </si>
  <si>
    <t>testEscapePrimitive</t>
  </si>
  <si>
    <t>testEscapeLookup</t>
  </si>
  <si>
    <t>testUnescapeHash</t>
  </si>
  <si>
    <t>testUnescapeTree</t>
  </si>
  <si>
    <t>testUnescapeArray</t>
  </si>
  <si>
    <t>testUnescapeBinary</t>
  </si>
  <si>
    <t>testEscapeNamedEntity</t>
  </si>
  <si>
    <t>testUnescapeNamedEntity</t>
  </si>
  <si>
    <t>testUnescapeUnknownEntity</t>
  </si>
  <si>
    <t>testUnescapeMiscellaneous</t>
  </si>
  <si>
    <t>testAddEntitiesArray</t>
  </si>
  <si>
    <t>testEntitiesXmlObject</t>
  </si>
  <si>
    <t>testArrayIntMap</t>
  </si>
  <si>
    <t>testTreeIntMap</t>
  </si>
  <si>
    <t>testHashIntMap</t>
  </si>
  <si>
    <t>testBinaryIntMap</t>
  </si>
  <si>
    <t>testPrimitiveIntMap</t>
  </si>
  <si>
    <t>testHtml40Nbsp</t>
  </si>
  <si>
    <t>testNumberOverflow</t>
  </si>
  <si>
    <t>testClear</t>
  </si>
  <si>
    <t>testContainsKey</t>
  </si>
  <si>
    <t>testContains</t>
  </si>
  <si>
    <t>testContainsValue</t>
  </si>
  <si>
    <t>testIsEmpty</t>
  </si>
  <si>
    <t>testPut</t>
  </si>
  <si>
    <t>testRemove</t>
  </si>
  <si>
    <t>testConstructor_throwable_nullInput</t>
  </si>
  <si>
    <t>testConstructor_stringAndThrowable_nullInput</t>
  </si>
  <si>
    <t>testGetCauseAndGetMessage</t>
  </si>
  <si>
    <t>testConstructor_classArgs_allNullInput</t>
  </si>
  <si>
    <t>testConstructor_classArgs_nullExpected</t>
  </si>
  <si>
    <t>testConstructor_classArgs_nullActual</t>
  </si>
  <si>
    <t>testConstructor_classObjectArgs_allNullInput</t>
  </si>
  <si>
    <t>testConstructor_classObjectArgs_nullExpected</t>
  </si>
  <si>
    <t>testConstructor_classObjectArgs_nullActual</t>
  </si>
  <si>
    <t>testGetMessage_classArgs_nullInput</t>
  </si>
  <si>
    <t>testGetMessage_classArgs_normalInput</t>
  </si>
  <si>
    <t>testGetMessage_classObjectArgs_nullInput</t>
  </si>
  <si>
    <t>testGetMessage_classObjectArgs_normalInput</t>
  </si>
  <si>
    <t>testConstructor_</t>
  </si>
  <si>
    <t>testConstructor_String1</t>
  </si>
  <si>
    <t>testConstructor_String2</t>
  </si>
  <si>
    <t>testConstructor_Throwable1</t>
  </si>
  <si>
    <t>testConstructor_Throwable2</t>
  </si>
  <si>
    <t>testConstructor_StringThrowable1</t>
  </si>
  <si>
    <t>testConstructor_StringThrowable2</t>
  </si>
  <si>
    <t>testConstructor_Class1</t>
  </si>
  <si>
    <t>testConstructor_Class2</t>
  </si>
  <si>
    <t>testPrintStackTrace_Stream</t>
  </si>
  <si>
    <t>testPrintStackTrace_Writer</t>
  </si>
  <si>
    <t>testConstructor_nullInput</t>
  </si>
  <si>
    <t>testGetMessage_nullConstructorInput</t>
  </si>
  <si>
    <t>testGetMessage_validConstructorInput</t>
  </si>
  <si>
    <t>test1arg_nullInput</t>
  </si>
  <si>
    <t>test1arg_validInput</t>
  </si>
  <si>
    <t>test2arg_allNullInput</t>
  </si>
  <si>
    <t>test2arg_nullString</t>
  </si>
  <si>
    <t>test2arg_nullArray</t>
  </si>
  <si>
    <t>test2arg_validInput</t>
  </si>
  <si>
    <t>testConstructorAccessors_CharCharBoolean_Same</t>
  </si>
  <si>
    <t>testConstructorAccessors_CharCharBoolean_SameNegated</t>
  </si>
  <si>
    <t>testGetEnumMap</t>
  </si>
  <si>
    <t>testAllElementsOfType</t>
  </si>
  <si>
    <t>testGetMinimum</t>
  </si>
  <si>
    <t>testGetMaximum</t>
  </si>
  <si>
    <t>testContainsLong</t>
  </si>
  <si>
    <t>testContainsInteger</t>
  </si>
  <si>
    <t>testContainsDouble</t>
  </si>
  <si>
    <t>testContainsFloat</t>
  </si>
  <si>
    <t>testContainsRange</t>
  </si>
  <si>
    <t>testOverlapsRange</t>
  </si>
  <si>
    <t>testConstructor1a</t>
  </si>
  <si>
    <t>testConstructor1b</t>
  </si>
  <si>
    <t>testConstructor2a</t>
  </si>
  <si>
    <t>testConstructor2b</t>
  </si>
  <si>
    <t>testContainsNumber</t>
  </si>
  <si>
    <t>testContainsIntegerBig</t>
  </si>
  <si>
    <t>testToArray</t>
  </si>
  <si>
    <t>testContainsLongBig</t>
  </si>
  <si>
    <t>testConstructor1</t>
  </si>
  <si>
    <t>testConstructor1Exceptions</t>
  </si>
  <si>
    <t>testConstructor2</t>
  </si>
  <si>
    <t>testConstructor2Exceptions</t>
  </si>
  <si>
    <t>testEqualsObject</t>
  </si>
  <si>
    <t>testBigDecimal</t>
  </si>
  <si>
    <t>testConstructorExists</t>
  </si>
  <si>
    <t>testIsThrowableNested</t>
  </si>
  <si>
    <t>testIsNestedThrowable_Throwable</t>
  </si>
  <si>
    <t>testGetThrowables_Throwable_selfCause</t>
  </si>
  <si>
    <t>testGetThrowableList_Throwable_selfCause</t>
  </si>
  <si>
    <t>testSetCause</t>
  </si>
  <si>
    <t>testSetCauseToNull</t>
  </si>
  <si>
    <t>testLang520</t>
  </si>
  <si>
    <t>testContainsAnyCharArrayWithSupplementaryChars</t>
  </si>
  <si>
    <t>testGetRawTypeClass</t>
  </si>
  <si>
    <t>testGetRawTypeParameterizedType</t>
  </si>
  <si>
    <t>testGetRawTypeTypeVariable</t>
  </si>
  <si>
    <t>testGetRawTypeUnresolvableTypeVariable</t>
  </si>
  <si>
    <t>testGetRawTypeGenericArray</t>
  </si>
  <si>
    <t>testReflectiveEventSupport</t>
  </si>
  <si>
    <t>testFireEventByMethodName</t>
  </si>
  <si>
    <t>testFireEventByMethodNameToInaccessibleMethods</t>
  </si>
  <si>
    <t>testFireEventNullMethodName</t>
  </si>
  <si>
    <t>testFireEventByMethod</t>
  </si>
  <si>
    <t>testFireEventByMethodToInaccessibleMethods</t>
  </si>
  <si>
    <t>testFireEventNullMethod</t>
  </si>
  <si>
    <t>testGetSource</t>
  </si>
  <si>
    <t>testAddListener</t>
  </si>
  <si>
    <t>testAddNullListener</t>
  </si>
  <si>
    <t>testRemoveListener</t>
  </si>
  <si>
    <t>testRemoveNullListener</t>
  </si>
  <si>
    <t>testLength_String</t>
  </si>
  <si>
    <t>testLength_StringBuffer</t>
  </si>
  <si>
    <t>testLength_StringBuilder</t>
  </si>
  <si>
    <t>testGeneratedAnnotationEquivalentToRealAnnotation</t>
  </si>
  <si>
    <t>testRound</t>
  </si>
  <si>
    <t>testTrunc</t>
  </si>
  <si>
    <t>testParse</t>
  </si>
  <si>
    <t>testWeekIterator</t>
  </si>
  <si>
    <t>testMonthIterator</t>
  </si>
  <si>
    <t>testAbbreviate</t>
  </si>
  <si>
    <t>testJavaVersionAsFloat</t>
  </si>
  <si>
    <t>testJavaVersionAsInt</t>
  </si>
  <si>
    <t>testJavaVersionAtLeastFloat</t>
  </si>
  <si>
    <t>testJavaVersionAtLeastInt</t>
  </si>
  <si>
    <t>testConcatWith_StringObjects</t>
  </si>
  <si>
    <t>testNonbinding</t>
  </si>
  <si>
    <t>testToStringFormat</t>
  </si>
  <si>
    <t>testToStringFormattable</t>
  </si>
  <si>
    <t>testGetLabelSet</t>
  </si>
  <si>
    <t>testNoopComparatorChain</t>
  </si>
  <si>
    <t>testBadNoopComparatorChain</t>
  </si>
  <si>
    <t>testListComparatorChain</t>
  </si>
  <si>
    <t>testBadListComparatorChain</t>
  </si>
  <si>
    <t>testComparatorChainOnMinvaluedCompatator</t>
  </si>
  <si>
    <t>testConstructorPlusAdd</t>
  </si>
  <si>
    <t>testArrayConstructor</t>
  </si>
  <si>
    <t>testListConstructor</t>
  </si>
  <si>
    <t>testAddAsEqual</t>
  </si>
  <si>
    <t>testLock</t>
  </si>
  <si>
    <t>testUnknownObjectBehavior</t>
  </si>
  <si>
    <t>testSerializeDeserializeThenCompare</t>
  </si>
  <si>
    <t>testInvokeMethodNoParam</t>
  </si>
  <si>
    <t>testInvokeMethodNoParamFailure</t>
  </si>
  <si>
    <t>testInvokeExactMethodNoParam</t>
  </si>
  <si>
    <t>testInvokeExactMethodNoParamFailure</t>
  </si>
  <si>
    <t>testInvokeStaticMethodNoParam</t>
  </si>
  <si>
    <t>testInvokeStaticMethodNoParamFailure</t>
  </si>
  <si>
    <t>testInvokeExactStaticMethodNoParam</t>
  </si>
  <si>
    <t>testInvokeExactStaticMethodNoParamFailure</t>
  </si>
  <si>
    <t>testUse</t>
  </si>
  <si>
    <t>testIterate</t>
  </si>
  <si>
    <t>testJavadocExample</t>
  </si>
  <si>
    <t>testNullHigh</t>
  </si>
  <si>
    <t>testNullLow</t>
  </si>
  <si>
    <t>testTwoCallsCancel</t>
  </si>
  <si>
    <t>testEquality</t>
  </si>
  <si>
    <t>testParseBadLocale</t>
  </si>
  <si>
    <t>testParseNonSystemLocale</t>
  </si>
  <si>
    <t>testEras</t>
  </si>
  <si>
    <t>testShortsToLong</t>
  </si>
  <si>
    <t>testTestsToCheckImplemented</t>
  </si>
  <si>
    <t>testLongToBoolArray</t>
  </si>
  <si>
    <t>testIntToBoolArray</t>
  </si>
  <si>
    <t>testShortToBoolArray</t>
  </si>
  <si>
    <t>testByteToBoolArray</t>
  </si>
  <si>
    <t>testIsExactlyOneTrue_primitive_nullInput</t>
  </si>
  <si>
    <t>testIsExactlyOneTrue_primitive_emptyInput</t>
  </si>
  <si>
    <t>testIsExactlyOneTrue_primitive_validInput_2items</t>
  </si>
  <si>
    <t>testIsExactlyOneTrue_primitive_validInput_3items</t>
  </si>
  <si>
    <t>testIsExactlyOneTrue_object_nullInput</t>
  </si>
  <si>
    <t>testIsExactlyOneTrue_object_emptyInput</t>
  </si>
  <si>
    <t>testIsExactlyOneTrue_object_nullElementInput</t>
  </si>
  <si>
    <t>testIsExactlyOneTrue_object_validInput_2items</t>
  </si>
  <si>
    <t>testIsExactlyOneTrue_object_validInput_3items</t>
  </si>
  <si>
    <t>testOutOfRange</t>
  </si>
  <si>
    <t>testExceptions</t>
  </si>
  <si>
    <t>testByteArrayConversionArgChecking</t>
  </si>
  <si>
    <t>testShortByteArrayConversion</t>
  </si>
  <si>
    <t>testIntByteArrayConversion</t>
  </si>
  <si>
    <t>testLongByteArrayConversion</t>
  </si>
  <si>
    <t>testDoubleByteArrayConversion</t>
  </si>
  <si>
    <t>testFloatByteArrayConversion</t>
  </si>
  <si>
    <t>testConstructorExEven</t>
  </si>
  <si>
    <t>testGetConcurrentWithException</t>
  </si>
  <si>
    <t>testExceptionOnInitialize</t>
  </si>
  <si>
    <t>testInterruptedWaitingOnInitialize</t>
  </si>
  <si>
    <t>testOneThreadWaitingForAnotherToInitialize</t>
  </si>
  <si>
    <t>test_getAbbreviatedName_Class_Exceptions</t>
  </si>
  <si>
    <t>testTimeZoneStrategyPattern</t>
  </si>
  <si>
    <t>testSwapCharOutOfBounds</t>
  </si>
  <si>
    <t>testSwapCharOutOfRange</t>
  </si>
  <si>
    <t>testSwapCharOutOfRangeLen</t>
  </si>
  <si>
    <t>testSwapFloatOutOfRange</t>
  </si>
  <si>
    <t>testSwapFloatOutOfRangeLen</t>
  </si>
  <si>
    <t>testSwapDoubleOutOfRange</t>
  </si>
  <si>
    <t>testSwapDoubleOutOfRangeLen</t>
  </si>
  <si>
    <t>testSwapIntOutOfRange</t>
  </si>
  <si>
    <t>testSwapIntOutOfRangeLen</t>
  </si>
  <si>
    <t>testSwapLongOutOfRange</t>
  </si>
  <si>
    <t>testSwapLongOutOfRangeLen</t>
  </si>
  <si>
    <t>testSwapObjectOutOfRange</t>
  </si>
  <si>
    <t>testSwapObjectOutOfRangeLen</t>
  </si>
  <si>
    <t>testSystemPropertiesLookupNotSingleton</t>
  </si>
  <si>
    <t>testParser</t>
  </si>
  <si>
    <t>testPrinter</t>
  </si>
  <si>
    <t>testNonreflectionObjectCycle</t>
  </si>
  <si>
    <t>testIsNotEmpty</t>
  </si>
  <si>
    <t>testIsBlank</t>
  </si>
  <si>
    <t>testIsNotBlank</t>
  </si>
  <si>
    <t>testIsWhitespace_char</t>
  </si>
  <si>
    <t>testIsWhitespace_char_arrary</t>
  </si>
  <si>
    <t>testIsWhitespace_CharSequence</t>
  </si>
  <si>
    <t>testIsWhitespace_EmptyArray</t>
  </si>
  <si>
    <t>testIsWhitespace_String_firstChar</t>
  </si>
  <si>
    <t>testIsWhitespace_String_lastChar</t>
  </si>
  <si>
    <t>testIsWhitespace_String_singleChar</t>
  </si>
  <si>
    <t>testToBits</t>
  </si>
  <si>
    <t>testToBytes</t>
  </si>
  <si>
    <t>testToGigabytes</t>
  </si>
  <si>
    <t>testToKilobytes</t>
  </si>
  <si>
    <t>testToMegabytes</t>
  </si>
  <si>
    <t>testToTerabytes</t>
  </si>
  <si>
    <t>testGreaterObject1</t>
  </si>
  <si>
    <t>testGreaterObject2</t>
  </si>
  <si>
    <t>testGreaterLong1</t>
  </si>
  <si>
    <t>testGreaterLong2</t>
  </si>
  <si>
    <t>testGreaterDouble1</t>
  </si>
  <si>
    <t>testGreaterDouble2</t>
  </si>
  <si>
    <t>testGreaterOrEqualObject1</t>
  </si>
  <si>
    <t>testGreaterOrEqualObject2</t>
  </si>
  <si>
    <t>testGreaterOrEqualLong1</t>
  </si>
  <si>
    <t>testGreaterOrEqualLong2</t>
  </si>
  <si>
    <t>testGreaterOrEqualDouble1</t>
  </si>
  <si>
    <t>testGreaterOrEqualDouble2</t>
  </si>
  <si>
    <t>testSmallerObject1</t>
  </si>
  <si>
    <t>testSmallerObject2</t>
  </si>
  <si>
    <t>testSmallerLong1</t>
  </si>
  <si>
    <t>testSmallerLong2</t>
  </si>
  <si>
    <t>testSmallerDouble1</t>
  </si>
  <si>
    <t>testSmallerDouble2</t>
  </si>
  <si>
    <t>testSmallerOrEqualObject1</t>
  </si>
  <si>
    <t>testSmallerOrEqualObject2</t>
  </si>
  <si>
    <t>testSmallerOrEqualLong1</t>
  </si>
  <si>
    <t>testSmallerOrEqualLong2</t>
  </si>
  <si>
    <t>testSmallerOrEqualDouble1</t>
  </si>
  <si>
    <t>testSmallerOrEqualDouble2</t>
  </si>
  <si>
    <t>testDifferentObject1</t>
  </si>
  <si>
    <t>testDifferentObject2</t>
  </si>
  <si>
    <t>testDifferentLong1</t>
  </si>
  <si>
    <t>testDifferentLong2</t>
  </si>
  <si>
    <t>testDifferentDouble1</t>
  </si>
  <si>
    <t>testDifferentDouble2</t>
  </si>
  <si>
    <t>testToCalendarWithDateNotNull</t>
  </si>
  <si>
    <t>testToCalendarWithTimeZoneNotNull</t>
  </si>
  <si>
    <t>testWorksOnJava1_1_8</t>
  </si>
  <si>
    <t>testWorksOnJava1_2_2</t>
  </si>
  <si>
    <t>testBadVarArgs</t>
  </si>
  <si>
    <t>testLastIndexOfSupplementaryCharacters</t>
  </si>
  <si>
    <t>testIndexOfSupplementaryCharacters</t>
  </si>
  <si>
    <t>testIsAnyNotEmpty</t>
  </si>
  <si>
    <t>testIsAnyNotBlank</t>
  </si>
  <si>
    <t>testGetJaroWinklerSimilarity_StringString</t>
  </si>
  <si>
    <t>testGetJaroWinklerSimilarity_NullNull</t>
  </si>
  <si>
    <t>testGetJaroWinklerSimilarity_StringNull</t>
  </si>
  <si>
    <t>testGetJaroWinklerSimilarity_NullString</t>
  </si>
  <si>
    <t>testTimes</t>
  </si>
  <si>
    <t>testTimesExtractOrBitset</t>
  </si>
  <si>
    <t>testClassAnnotationInClassFile</t>
  </si>
  <si>
    <t>testMethodAnnotationNotRetainedAtRuntime</t>
  </si>
  <si>
    <t>testMethodAnnotationInClassFile</t>
  </si>
  <si>
    <t>testGetClassName</t>
  </si>
  <si>
    <t>testGetSimpleName</t>
  </si>
  <si>
    <t>testGetCanonicalName</t>
  </si>
  <si>
    <t>testDefaultLocaleNoAnnotation</t>
  </si>
  <si>
    <t>testUseDifferentLocale</t>
  </si>
  <si>
    <t>testDefaultTimeZoneNoAnnotation</t>
  </si>
  <si>
    <t>testUseDifferentTimeZone</t>
  </si>
  <si>
    <t>testThreadFactory</t>
  </si>
  <si>
    <t>testThreadFactoryPrefix</t>
  </si>
  <si>
    <t>testApplyDoubleBinaryOperator</t>
  </si>
  <si>
    <t>testGetAsBooleanSupplier</t>
  </si>
  <si>
    <t>testGetAsDoubleSupplier</t>
  </si>
  <si>
    <t>testGetAsIntSupplier</t>
  </si>
  <si>
    <t>testGetAsLongSupplier</t>
  </si>
  <si>
    <t>testReadLock</t>
  </si>
  <si>
    <t>testWriteLock</t>
  </si>
  <si>
    <t>testResultValidation</t>
  </si>
  <si>
    <t>testLocales_Long_AD</t>
  </si>
  <si>
    <t>testLocales_Long_BC</t>
  </si>
  <si>
    <t>testLocales_LongNoEra_AD</t>
  </si>
  <si>
    <t>testLocales_LongNoEra_BC</t>
  </si>
  <si>
    <t>testLocales_Short_AD</t>
  </si>
  <si>
    <t>testLocales_Short_BC</t>
  </si>
  <si>
    <t>testLocales_ShortNoEra_AD</t>
  </si>
  <si>
    <t>testLocales_ShortNoEra_BC</t>
  </si>
  <si>
    <t>testNop</t>
  </si>
  <si>
    <t>testToStreamNotNull</t>
  </si>
  <si>
    <t>testToStreamNull</t>
  </si>
  <si>
    <t>yes</t>
  </si>
  <si>
    <t>no</t>
  </si>
  <si>
    <t>conflict</t>
  </si>
  <si>
    <t>empty test</t>
  </si>
  <si>
    <t>missing tests</t>
  </si>
  <si>
    <t>refactor; extended</t>
  </si>
  <si>
    <t>renamed and refactored</t>
  </si>
  <si>
    <t>commented out</t>
  </si>
  <si>
    <t>missing a test</t>
  </si>
  <si>
    <t>Missing a test</t>
  </si>
  <si>
    <t>missing tests from other classes in this commit</t>
  </si>
  <si>
    <t>could have been duplicated in previous/next commit</t>
  </si>
  <si>
    <t>refactor</t>
  </si>
  <si>
    <t>refactor; broken into multiple test</t>
  </si>
  <si>
    <t>not significant</t>
  </si>
  <si>
    <t>refactored</t>
  </si>
  <si>
    <t>remanamed and modified</t>
  </si>
  <si>
    <t>renamed</t>
  </si>
  <si>
    <t>renamed and modified to test more edge cases</t>
  </si>
  <si>
    <t>renamed; refactor</t>
  </si>
  <si>
    <t>refactored and broken into multiple tests</t>
  </si>
  <si>
    <t>refactored; broken into multiple test</t>
  </si>
  <si>
    <t>redundant</t>
  </si>
  <si>
    <t>11/13/2008 20:17:19</t>
  </si>
  <si>
    <t>11/14/2008 23:11:28</t>
  </si>
  <si>
    <t>12/19/2008 11:46:24</t>
  </si>
  <si>
    <t>03/30/2009 13:36:55</t>
  </si>
  <si>
    <t>05/19/2009 12:59:32</t>
  </si>
  <si>
    <t>09/23/2009 13:28:03</t>
  </si>
  <si>
    <t>11/01/2010 17:57:39</t>
  </si>
  <si>
    <t>11/12/2010 11:12:46</t>
  </si>
  <si>
    <t>11/16/2010 16:18:28</t>
  </si>
  <si>
    <t>12/03/2010 02:07:13</t>
  </si>
  <si>
    <t>01/10/2011 16:47:36</t>
  </si>
  <si>
    <t>02/03/2011 21:09:41</t>
  </si>
  <si>
    <t>03/14/2011 18:22:50</t>
  </si>
  <si>
    <t>04/12/2011 12:29:19</t>
  </si>
  <si>
    <t>07/12/2011 18:50:00</t>
  </si>
  <si>
    <t>09/08/2011 23:20:25</t>
  </si>
  <si>
    <t>09/09/2011 00:04:24</t>
  </si>
  <si>
    <t>09/09/2011 00:23:01</t>
  </si>
  <si>
    <t>09/09/2011 00:41:35</t>
  </si>
  <si>
    <t>09/09/2011 01:26:21</t>
  </si>
  <si>
    <t>09/11/2011 02:04:56</t>
  </si>
  <si>
    <t>09/16/2011 00:40:05</t>
  </si>
  <si>
    <t>09/28/2011 13:00:34</t>
  </si>
  <si>
    <t>11/12/2011 17:32:44</t>
  </si>
  <si>
    <t>11/20/2011 23:08:23</t>
  </si>
  <si>
    <t>11/22/2011 00:07:18</t>
  </si>
  <si>
    <t>11/22/2011 01:37:13</t>
  </si>
  <si>
    <t>11/23/2011 00:16:55</t>
  </si>
  <si>
    <t>11/26/2011 09:30:38</t>
  </si>
  <si>
    <t>04/12/2012 13:15:56</t>
  </si>
  <si>
    <t>06/29/2012 21:37:49</t>
  </si>
  <si>
    <t>09/04/2012 16:10:12</t>
  </si>
  <si>
    <t>10/11/2012 15:29:40</t>
  </si>
  <si>
    <t>12/20/2012 01:57:17</t>
  </si>
  <si>
    <t>04/04/2013 16:31:23</t>
  </si>
  <si>
    <t>03/09/2014 01:30:37</t>
  </si>
  <si>
    <t>01/18/2016 14:07:33</t>
  </si>
  <si>
    <t>02/25/2016 19:38:48</t>
  </si>
  <si>
    <t>09/17/2021 19:21:37</t>
  </si>
  <si>
    <t>11/01/2021 17:09:14</t>
  </si>
  <si>
    <t>11/09/2021 09:16:35</t>
  </si>
  <si>
    <t>04/03/2022 22:00:54</t>
  </si>
  <si>
    <t>07/29/2022 12:10:54</t>
  </si>
  <si>
    <t>07/31/2022 16:49:02</t>
  </si>
  <si>
    <t>08/07/2022 18:00:35</t>
  </si>
  <si>
    <t>10/22/2022 11:01:56</t>
  </si>
  <si>
    <t>inder123@gmail.com</t>
  </si>
  <si>
    <t>joel.leitch@gmail.com</t>
  </si>
  <si>
    <t>jesse@swank.ca</t>
  </si>
  <si>
    <t>jw@squareup.com</t>
  </si>
  <si>
    <t>inder@peel.com</t>
  </si>
  <si>
    <t>noreply@github.com</t>
  </si>
  <si>
    <t>Removed ExceptionWrapper from serializers. 
This is done since it is improper to throw a parse exception from serializers. Moreover, the serializers dont deal with external input, they deal with classes, so they need not guard against spurious input.</t>
  </si>
  <si>
    <t>Removed the TypeAdapter object from GSON now that the primitive objects and fields are created by a custom Type Adapter.</t>
  </si>
  <si>
    <t>removed tests for serialization of BigDecimal NaN, positive and negative infinity since BigDecimal can not be created with these values.</t>
  </si>
  <si>
    <t>Moved enum-related tests under EnumTest class.</t>
  </si>
  <si>
    <t>Allow JS Keywords as field name.  These names are quoted anyways (and are valid according to the JSON spec) so it should not cause any issues.</t>
  </si>
  <si>
    <t>Ensure that the JsonElement.toString() will always generate valid JSON (even when  control characters/whitespace characters are used).</t>
  </si>
  <si>
    <t>Removed JavaCC parser definition and its generated classes.</t>
  </si>
  <si>
    <t>moved contents of wsdef to greaze-definition.</t>
  </si>
  <si>
    <t>Remove duplicate test.</t>
  </si>
  <si>
    <t>Swap out GSON's type mechanics with the Type resolution code from Guice.
The most significant impact of this change is that fields whose types are type parameters should now GSONify just fine. For example, consider the class below.
abstract class Foo&lt;A, B&gt; {
   A a;
   B b;
   List&lt;A&gt; list;
   Map&lt;A, List&lt;B&gt;&gt; map;
}
class RealFoo extends Foo&lt;String, Integer&gt; {...}
This is a reasonable checkpoint but some work still needs to be done for this. In particular, the level of visibility of methods in TypeToken and Type should be reconsidered; we're exposing more than we need to!</t>
  </si>
  <si>
    <t>Added sonatype oss as parent for the pom. Diabled repository management with-in POM per instructions at: https://docs.sonatype.org/display/Repository/Sonatype+OSS+Maven+Repository+Usage+Guide</t>
  </si>
  <si>
    <t>Provide a means to add serialization or deserialization specific exclusion strategies.</t>
  </si>
  <si>
    <t>Fixed the bug where copyOf() for a ParameterizedTypeHandlerMap was failing when hierarchical type adapters for a sub class and its base class were present.
Fixed previously broken tests to verify the behavior that a hierarchical type adapter for a sub-class can be registered after registering a hierarchical type adapter for the base-class. The vice-versa is not allowed as it would result in hiding the sub-class hierarchical type adapter.</t>
  </si>
  <si>
    <t>Lift restriction on naming when using the "@SerializedNamed" annotation.
Fix for Issue 290.</t>
  </si>
  <si>
    <t>Use Streams instead of Escaper.
Fixes issue 345.</t>
  </si>
  <si>
    <t>Retire two old bad features
 - overriding primitive type adapters
 - auto unwrapping of single element arrays</t>
  </si>
  <si>
    <t>Throw the right exceptions when primitives fail to parse.</t>
  </si>
  <si>
    <t>GSON 1.x uses arbitrary precision for primitive type conversion (so -122.08e-2132 != 0)
GSON 2.x uses double precision (so -122.08e-2132 == 0)</t>
  </si>
  <si>
    <t>Don't unwrap single-element String arrays</t>
  </si>
  <si>
    <t>Forbid custom serializers for primitive types (so we can avoid boxing in the reflective and array adapters)</t>
  </si>
  <si>
    <t>Down to 22 failing tests.
Consolidated all of the different code paths that we use to construct instances. We now have an ObjectConstructor class that knows what type it constructs; this means that we don't need to ever do reflection to lookup a constructor at construction time.
Cleaned up some buggy type adapters, particularly around handling of null.
Removed dead code for object graph navigation.
Moved some classes into 'internal' so they are visible to the 'bind' subpackage.
Turned some TypeAdapterFactory/TypeAdapter pairs inside out so that the TypeAdapter is now the inner class. This is necessary so that the factories can take parameters.
Added an API to request the 'next' type adapter for a type. This allows type adapters to compose other type adapters. We're using this in two places:
 - where the user has excluded a type from serialization but not deserialization, we need to use the "default" deserialization but interpose null on serialization. We create a type adapter that delegates for one and returns null for the other.
 - similarly when a DOM type serializer is registered but no deserializer, or vice versa.
This is the biggest change to the MiniGson core.
For backwards compatibility, return null for the empty string.
Simplify JsonSerializationContext/JsonDeserializationContext to simply call through to GSON. SerializeDefault is currently unsupported.
More useful error messages when calling getAsBoolean on a JsonNull.
Remove currently unused MemoryRefStack. We might need this back again, though wiring it back in will be much more difficult because we don't interject ourselves between the users' various type adapters.</t>
  </si>
  <si>
    <t>Converted EnumTypeAdapter to new style.
Got rid of default Hierarchy Serializer/Deserializers from DefaultTypeAdapters.
Got rid of methods for gettting default serializers/deserializers/instance creators. Instead we reuse the static final instances.
Fixed warnings in TypeAdapters where a parameterized type T was hiding the parameterized T in methods.
Removed support to unwrap single element array of enums into enum values. Also removed the test that verifies this behavior.</t>
  </si>
  <si>
    <t>Death to serializeDefault and deserializeDefault</t>
  </si>
  <si>
    <t>Removing JsonObject.deepCopy() and JsonArray.deepCopy()</t>
  </si>
  <si>
    <t>Tighten up some of the fields naming policy code. The main thrust of this change is replacing classes like UpperCaseNamingPolicy with the corresponding method calls. Classes like CompositeFieldNamingPolicy are replaced by sequences of method calls. This also replaces unit tests with functional tests.
One nice benefit of this is a 3%/5.7KiB reduction in the size of gson.jar to 184KiB.</t>
  </si>
  <si>
    <t>Create a single, monolithic class to manage all exclusion strategies. This gets our file size within target of 177KiB.
I intend to follow this up with a builder for our new class to avoid multiple-argument constructor calls.</t>
  </si>
  <si>
    <t>Rename GsonExclusionStrategy to Excluder. The new class is its own factory, which simplifies its caller in GsonBuilder. It no longer implements ExclusionStrategy, which allows the callers to pass in a boolean for serialize/deserialize. This allows us to use one excluder for both code paths. The delegate ExclusionStrategy instances might end up not being shared so it has two lists internally.</t>
  </si>
  <si>
    <t>Commit to factories as the mechanism to lookup type adapters. This uses factories for type hierarchy adapters. We keep a separate list of factories for tree-style adapters registered with registerTypeHierarchyAdapter to guarantee that these come after the non-hierarchy adapters.
This drops support for type hierarchy instance creators. I don't expect this to be a problem. We'll also detect fewer errors where multiple type adapters can serialize the same type. With APIs like getNextTypeAdapter, I think this might actually be an improvement!</t>
  </si>
  <si>
    <t>Cache all computed type adapters. On one particularly violent test (issue 375) this improves performance by 77%.</t>
  </si>
  <si>
    <t>Remove testParameterizedMapSubclassDeserialization that never passed. We'll eventually add an equivalent to the extras/ package.</t>
  </si>
  <si>
    <t>Permit users to define type adapters for primitive types and strings.
 Also expose an API to get the field naming strategy.</t>
  </si>
  <si>
    <t>Deleted spurious directory gson-codegen. The real codegen code is in trunk/codegen</t>
  </si>
  <si>
    <t>added tests for using intercept in fields and lists. These tests are currently failing.</t>
  </si>
  <si>
    <t>Make JsonElement TypeAdapterFactory a type hierarchy factory.</t>
  </si>
  <si>
    <t>Use the LinkedHashTreeMap instead of LinkedTreeMap and delete the LinkedTreeMap version.</t>
  </si>
  <si>
    <t>deleted support for the magic GSON_TYPE_ADAPTER field</t>
  </si>
  <si>
    <t>Update reader and writer for RFC 7159.</t>
  </si>
  <si>
    <t>incorporated code review feedback. Simplified the code, merged Device and Control and removed unnecessary fields.</t>
  </si>
  <si>
    <t>Fix `RuntimeTypeAdapterFactory` depending on internal `Streams` class (#1959)
* Fix RuntimeTypeAdapterFactory depending on internal Streams class
* Clean up gson-extras project, make it Maven module of gson-parent
* Remove broken test from GraphAdapterBuilderTest</t>
  </si>
  <si>
    <t>Delete unused LinkedHashTreeMap (#1992)
Class seems to be unused since commit f29d5bc37b52c4b8d2ad15a10bb0c7f684c1d45d.
Gson currently only uses LinkedTreeMap.</t>
  </si>
  <si>
    <t>Fix failing to serialize Collection or Map with inaccessible constructor (#1902)
* Remove UnsafeReflectionAccessor
Revert #1218
Usage of sun.misc.Unsafe to change internal AccessibleObject.override field
to suppress JPMS warnings goes against the intentions of the JPMS and does not
work anymore in newer versions, see #1540.
Therefore remove it and instead create a descriptive exception when making a
member accessible fails. If necessary users can also still use `java` command
line flags to open external modules.
* Fix failing to serialize Collection or Map with inaccessible constructor
Also remove tests which rely on Java implementation details.
* Don't keep reference to access exception of ConstructorConstructor
This also avoids a confusing stack trace, since the previously caught
exception might have had a complete unrelated stack trace.
* Remove Maven toolchain requirement
* Address review feedback
* Add back test for Security Manager</t>
  </si>
  <si>
    <t>codegen removal (#2099)
* Delete CodeGenFunctionalTest.java
* codegen removal
* pom.xml update
* email config
* Remove unnecessary space change.
Co-authored-by: Éamonn McManus &lt;emcmanus@google.com&gt;</t>
  </si>
  <si>
    <t>Remove unused package-private FieldAttributes methods (#2162)</t>
  </si>
  <si>
    <t>Improve ArrayTypeAdapter for Object[] (#1716)
* Improve ArrayTypeAdapter for Object[]
* Fix typo in test method names</t>
  </si>
  <si>
    <t>Improve InternationalizationTest (#1705)
* Improve InternationalizationTest
- Remove "raw" tests since after compiling they are the same as the one with
  escape sequences
- Add tests for supplementary code points (&gt; \uFFFF)
* Improve variable names, fix incorrect escape sequences</t>
  </si>
  <si>
    <t>Adjust Record adapter and extend test coverage (#2224)
* Adjust Record adapter and extend test coverage
* Address review feedback
* Make constructor string more concise
* Add tests for Gson default behavior for static fields
* Improve exception for deserializing static final field
Previously it would report "Unexpected IllegalAccessException occurred..."
due to the uncaught IllegalAccessException.
* Improve handling of exception thrown by accessor
Such an exception is not 'unexpected' (which was claimed by the previous
exception handling) because user code could throw it.
* Improve constructor invocation exception handling and add tests</t>
  </si>
  <si>
    <t>gson/src/test/java/com/google/gson/JsonSerializerExceptionWrapperTest.java</t>
  </si>
  <si>
    <t>gson/src/test/java/com/google/gson/PrimitiveTypeAdapterTest.java</t>
  </si>
  <si>
    <t>gson/src/test/java/com/google/gson/functional/PrimitiveTest.java</t>
  </si>
  <si>
    <t>gson/src/test/java/com/google/gson/functional/EnumTest.java</t>
  </si>
  <si>
    <t>gson/src/test/java/com/google/gson/functional/ObjectTest.java</t>
  </si>
  <si>
    <t>gson/src/test/java/com/google/gson/JsonFieldNameValidatorTest.java</t>
  </si>
  <si>
    <t>gson/src/test/java/com/google/gson/JsonEscapingVisitorTest.java</t>
  </si>
  <si>
    <t>gson/src/test/java/com/google/gson/StringUnmarshallerTest.java</t>
  </si>
  <si>
    <t>wsdef/src/test/java/com/google/gson/rest/definition/IdTest.java</t>
  </si>
  <si>
    <t>wsdef/src/test/java/com/google/gson/rest/definition/IdTypeAdapterTest.java</t>
  </si>
  <si>
    <t>wsdef/src/test/java/com/google/gson/webservice/definition/CallPathTest.java</t>
  </si>
  <si>
    <t>wsdef/src/test/java/com/google/gson/webservice/definition/TypedKeyTest.java</t>
  </si>
  <si>
    <t>gson/src/test/java/com/google/gson/JsonParserTest.java</t>
  </si>
  <si>
    <t>gson/src/test/java/com/google/gson/TypeInfoArrayTest.java</t>
  </si>
  <si>
    <t>gson/src/test/java/com/google/gson/TypeInfoFactoryTest.java</t>
  </si>
  <si>
    <t>gson/src/test/java/com/google/gson/TypeInfoMapTest.java</t>
  </si>
  <si>
    <t>gson/src/test/java/com/google/gson/TypeInfoTest.java</t>
  </si>
  <si>
    <t>gson/src/test/java/com/google/gson/TypeUtilsTest.java</t>
  </si>
  <si>
    <t>gson/src/test/java/com/google/gson/reflect/TypeTokenTest.java</t>
  </si>
  <si>
    <t>gson/src/test/java/com/google/gson/ExclusionStrategy2AdapterTest.java</t>
  </si>
  <si>
    <t>gson/src/test/java/com/google/gson/FunctionWithInternalDependenciesTest.java</t>
  </si>
  <si>
    <t>gson/src/test/java/com/google/gson/functional/ExclusionStrategyFunctionalTest.java</t>
  </si>
  <si>
    <t>gson/src/test/java/com/google/gson/functional/TypeHierarchyAdapterTest.java</t>
  </si>
  <si>
    <t>gson/src/test/java/com/google/gson/EscaperTest.java</t>
  </si>
  <si>
    <t>gson/src/test/java/com/google/gson/functional/ArrayTest.java</t>
  </si>
  <si>
    <t>gson/src/test/java/com/google/gson/functional/StringTest.java</t>
  </si>
  <si>
    <t>gson/src/test/java/com/google/gson/functional/CustomDeserializerTest.java</t>
  </si>
  <si>
    <t>gson/src/test/java/com/google/gson/functional/CustomTypeAdaptersTest.java</t>
  </si>
  <si>
    <t>gson/src/test/java/com/google/gson/DefaultConstructorAllocatorTest.java</t>
  </si>
  <si>
    <t>gson/src/test/java/com/google/gson/MappedObjectConstructorTest.java</t>
  </si>
  <si>
    <t>gson/src/test/java/com/google/gson/MemoryRefStackTest.java</t>
  </si>
  <si>
    <t>gson/src/test/java/com/google/gson/NullExclusionStrategyTest.java</t>
  </si>
  <si>
    <t>gson/src/test/java/com/google/gson/functional/SystemOnlyTypeAdaptersTest.java</t>
  </si>
  <si>
    <t>gson/src/test/java/com/google/gson/JsonArrayTest.java</t>
  </si>
  <si>
    <t>gson/src/test/java/com/google/gson/JsonObjectTest.java</t>
  </si>
  <si>
    <t>gson/src/test/java/com/google/gson/CamelCaseSeparatorNamingPolicyTest.java</t>
  </si>
  <si>
    <t>gson/src/test/java/com/google/gson/FieldNamingStrategy2AdapterTest.java</t>
  </si>
  <si>
    <t>gson/src/test/java/com/google/gson/JavaFieldNamingPolicyTest.java</t>
  </si>
  <si>
    <t>gson/src/test/java/com/google/gson/LowerCamelCaseSeparatorNamingPolicyTest.java</t>
  </si>
  <si>
    <t>gson/src/test/java/com/google/gson/LowerCaseNamingPolicyTest.java</t>
  </si>
  <si>
    <t>gson/src/test/java/com/google/gson/ModifyFirstLetterNamingPolicyTest.java</t>
  </si>
  <si>
    <t>gson/src/test/java/com/google/gson/SerializedNameAnnotationInterceptingNamingPolicyTest.java</t>
  </si>
  <si>
    <t>gson/src/test/java/com/google/gson/UpperCamelCaseSeparatorNamingPolicyTest.java</t>
  </si>
  <si>
    <t>gson/src/test/java/com/google/gson/UpperCaseNamingPolicyTest.java</t>
  </si>
  <si>
    <t>gson/src/test/java/com/google/gson/DisjunctionExclusionStrategyTest.java</t>
  </si>
  <si>
    <t>gson/src/test/java/com/google/gson/VersionExclusionStrategyTest.java</t>
  </si>
  <si>
    <t>gson/src/test/java/com/google/gson/JsonDeserializerExceptionWrapperTest.java</t>
  </si>
  <si>
    <t>gson/src/test/java/com/google/gson/internal/TypeMapTest.java</t>
  </si>
  <si>
    <t>gson/src/test/java/com/google/gson/LruCacheTest.java</t>
  </si>
  <si>
    <t>gson/src/test/java/com/google/gson/functional/MapTest.java</t>
  </si>
  <si>
    <t>gson/gson-codegen/src/test/java/com/google/gson/codegen/functional/CodeGenFunctionalTest.java</t>
  </si>
  <si>
    <t>gson/src/test/java/com/google/gson/functional/InterceptorTest.java</t>
  </si>
  <si>
    <t>gson/src/test/java/com/google/gson/functional/DefaultTypeAdaptersTest.java</t>
  </si>
  <si>
    <t>gson/src/test/java/com/google/gson/internal/LinkedTreeMapTest.java</t>
  </si>
  <si>
    <t>gson/src/test/java/com/google/gson/functional/GsonFieldTypeAdapterTest.java</t>
  </si>
  <si>
    <t>gson/src/test/java/com/google/gson/stream/JsonReaderTest.java</t>
  </si>
  <si>
    <t>gson/src/test/java/com/google/gson/regression/JsonAdapterNullSafeTest.java</t>
  </si>
  <si>
    <t>extras/src/test/java/com/google/gson/graph/GraphAdapterBuilderTest.java</t>
  </si>
  <si>
    <t>gson/src/test/java/com/google/gson/internal/LinkedHashTreeMapTest.java</t>
  </si>
  <si>
    <t>gson/src/test/java/com/google/gson/functional/ThrowableFunctionalTest.java</t>
  </si>
  <si>
    <t>gson/src/test/java/com/google/gson/internal/bind/RecursiveTypesResolveTest.java</t>
  </si>
  <si>
    <t>gson/src/test/java/com/google/gson/internal/reflect/UnsafeReflectionAccessorTest.java</t>
  </si>
  <si>
    <t>codegen/src/test/java/com/google/gson/codegen/functional/CodeGenFunctionalTest.java</t>
  </si>
  <si>
    <t>gson/src/test/java/com/google/gson/FieldAttributesTest.java</t>
  </si>
  <si>
    <t>gson/src/test/java/com/google/gson/functional/InternationalizationTest.java</t>
  </si>
  <si>
    <t>gson/src/test/java/com/google/gson/functional/Java17RecordTest.java</t>
  </si>
  <si>
    <t>JsonSerializerExceptionWrapperTest.java</t>
  </si>
  <si>
    <t>PrimitiveTypeAdapterTest.java</t>
  </si>
  <si>
    <t>PrimitiveTest.java</t>
  </si>
  <si>
    <t>ObjectTest.java</t>
  </si>
  <si>
    <t>JsonFieldNameValidatorTest.java</t>
  </si>
  <si>
    <t>JsonEscapingVisitorTest.java</t>
  </si>
  <si>
    <t>StringUnmarshallerTest.java</t>
  </si>
  <si>
    <t>IdTest.java</t>
  </si>
  <si>
    <t>IdTypeAdapterTest.java</t>
  </si>
  <si>
    <t>CallPathTest.java</t>
  </si>
  <si>
    <t>TypedKeyTest.java</t>
  </si>
  <si>
    <t>JsonParserTest.java</t>
  </si>
  <si>
    <t>TypeInfoArrayTest.java</t>
  </si>
  <si>
    <t>TypeInfoFactoryTest.java</t>
  </si>
  <si>
    <t>TypeInfoMapTest.java</t>
  </si>
  <si>
    <t>TypeInfoTest.java</t>
  </si>
  <si>
    <t>TypeTokenTest.java</t>
  </si>
  <si>
    <t>ExclusionStrategy2AdapterTest.java</t>
  </si>
  <si>
    <t>FunctionWithInternalDependenciesTest.java</t>
  </si>
  <si>
    <t>ExclusionStrategyFunctionalTest.java</t>
  </si>
  <si>
    <t>TypeHierarchyAdapterTest.java</t>
  </si>
  <si>
    <t>EscaperTest.java</t>
  </si>
  <si>
    <t>ArrayTest.java</t>
  </si>
  <si>
    <t>StringTest.java</t>
  </si>
  <si>
    <t>CustomDeserializerTest.java</t>
  </si>
  <si>
    <t>CustomTypeAdaptersTest.java</t>
  </si>
  <si>
    <t>DefaultConstructorAllocatorTest.java</t>
  </si>
  <si>
    <t>MappedObjectConstructorTest.java</t>
  </si>
  <si>
    <t>MemoryRefStackTest.java</t>
  </si>
  <si>
    <t>NullExclusionStrategyTest.java</t>
  </si>
  <si>
    <t>SystemOnlyTypeAdaptersTest.java</t>
  </si>
  <si>
    <t>JsonArrayTest.java</t>
  </si>
  <si>
    <t>JsonObjectTest.java</t>
  </si>
  <si>
    <t>CamelCaseSeparatorNamingPolicyTest.java</t>
  </si>
  <si>
    <t>FieldNamingStrategy2AdapterTest.java</t>
  </si>
  <si>
    <t>JavaFieldNamingPolicyTest.java</t>
  </si>
  <si>
    <t>LowerCamelCaseSeparatorNamingPolicyTest.java</t>
  </si>
  <si>
    <t>LowerCaseNamingPolicyTest.java</t>
  </si>
  <si>
    <t>ModifyFirstLetterNamingPolicyTest.java</t>
  </si>
  <si>
    <t>SerializedNameAnnotationInterceptingNamingPolicyTest.java</t>
  </si>
  <si>
    <t>UpperCamelCaseSeparatorNamingPolicyTest.java</t>
  </si>
  <si>
    <t>UpperCaseNamingPolicyTest.java</t>
  </si>
  <si>
    <t>DisjunctionExclusionStrategyTest.java</t>
  </si>
  <si>
    <t>VersionExclusionStrategyTest.java</t>
  </si>
  <si>
    <t>JsonDeserializerExceptionWrapperTest.java</t>
  </si>
  <si>
    <t>TypeMapTest.java</t>
  </si>
  <si>
    <t>LruCacheTest.java</t>
  </si>
  <si>
    <t>MapTest.java</t>
  </si>
  <si>
    <t>CodeGenFunctionalTest.java</t>
  </si>
  <si>
    <t>InterceptorTest.java</t>
  </si>
  <si>
    <t>DefaultTypeAdaptersTest.java</t>
  </si>
  <si>
    <t>LinkedTreeMapTest.java</t>
  </si>
  <si>
    <t>GsonFieldTypeAdapterTest.java</t>
  </si>
  <si>
    <t>JsonReaderTest.java</t>
  </si>
  <si>
    <t>JsonAdapterNullSafeTest.java</t>
  </si>
  <si>
    <t>GraphAdapterBuilderTest.java</t>
  </si>
  <si>
    <t>LinkedHashTreeMapTest.java</t>
  </si>
  <si>
    <t>ThrowableFunctionalTest.java</t>
  </si>
  <si>
    <t>RecursiveTypesResolveTest.java</t>
  </si>
  <si>
    <t>UnsafeReflectionAccessorTest.java</t>
  </si>
  <si>
    <t>FieldAttributesTest.java</t>
  </si>
  <si>
    <t>InternationalizationTest.java</t>
  </si>
  <si>
    <t>Java17RecordTest.java</t>
  </si>
  <si>
    <t>testRethrowJsonParseException</t>
  </si>
  <si>
    <t>testWrappedExceptionPropagation</t>
  </si>
  <si>
    <t>testProperSerialization</t>
  </si>
  <si>
    <t>testImproperConversion</t>
  </si>
  <si>
    <t>testImproperCharacterConversion</t>
  </si>
  <si>
    <t>testProperPrimitiveConversions</t>
  </si>
  <si>
    <t>testProperEnumConversions</t>
  </si>
  <si>
    <t>testBigDecimalNaNSerializationNotSupported</t>
  </si>
  <si>
    <t>testBigDecimalInfinitySerializationNotSupported</t>
  </si>
  <si>
    <t>testNegativeInfinityBigDecimalSerializationNotSupported</t>
  </si>
  <si>
    <t>testEnumFieldSerialization</t>
  </si>
  <si>
    <t>testEnumFieldDeserialization</t>
  </si>
  <si>
    <t>testClassWithEnumFieldDeserialization</t>
  </si>
  <si>
    <t>testTopLevelEnumSerialization</t>
  </si>
  <si>
    <t>testTopLevelEnumDeserialization</t>
  </si>
  <si>
    <t>testKeywordAsFieldName</t>
  </si>
  <si>
    <t>testNonStringPrimitiveVisitation</t>
  </si>
  <si>
    <t>testStringPrimitiveVisitationNoEscapingRequired</t>
  </si>
  <si>
    <t>testStringPrimitiveVisitationEscapingRequired</t>
  </si>
  <si>
    <t>testNonStringArrayVisitation</t>
  </si>
  <si>
    <t>testStringArrayVisitationNoEscaping</t>
  </si>
  <si>
    <t>testStringArrayVisitationEscapingRequired</t>
  </si>
  <si>
    <t>testNonStringFieldVisitation</t>
  </si>
  <si>
    <t>testStringFieldVisitationNoEscaping</t>
  </si>
  <si>
    <t>testStringFieldVisitationEscapingRequired</t>
  </si>
  <si>
    <t>testCtrlN</t>
  </si>
  <si>
    <t>testCtrlR</t>
  </si>
  <si>
    <t>testCtrlT</t>
  </si>
  <si>
    <t>testBackSpace</t>
  </si>
  <si>
    <t>testFormFeed</t>
  </si>
  <si>
    <t>testSingleQuote</t>
  </si>
  <si>
    <t>testSingleQuoteEscaped</t>
  </si>
  <si>
    <t>testDoubleQuote</t>
  </si>
  <si>
    <t>testDoubleQuoteEscaped</t>
  </si>
  <si>
    <t>testBackslash</t>
  </si>
  <si>
    <t>testUnicodeString</t>
  </si>
  <si>
    <t>testRawTypeNotEqualToParameterizedOfConcreteType</t>
  </si>
  <si>
    <t>testRawTypeEqualToParameterizedOfWildcardType</t>
  </si>
  <si>
    <t>testStaticEquals</t>
  </si>
  <si>
    <t>testSerializeId</t>
  </si>
  <si>
    <t>testDeserializeId</t>
  </si>
  <si>
    <t>testVersionIsSkipped</t>
  </si>
  <si>
    <t>testVersionNotPresent</t>
  </si>
  <si>
    <t>testResourceIdPresent</t>
  </si>
  <si>
    <t>testResourceIdWithEndSlashPresent</t>
  </si>
  <si>
    <t>testVersionAndResourceIdPresent</t>
  </si>
  <si>
    <t>testNullPath</t>
  </si>
  <si>
    <t>testEmptyPath</t>
  </si>
  <si>
    <t>testWhiteSpacePath</t>
  </si>
  <si>
    <t>testEqualsForSameName</t>
  </si>
  <si>
    <t>testEqualsFailsForDifferentClasses</t>
  </si>
  <si>
    <t>testParseSingleWordFails</t>
  </si>
  <si>
    <t>testArray</t>
  </si>
  <si>
    <t>testArrayOfArrays</t>
  </si>
  <si>
    <t>testParameterizedArray</t>
  </si>
  <si>
    <t>testParameterizedArrayOfArrays</t>
  </si>
  <si>
    <t>testNestedParameterizedArray</t>
  </si>
  <si>
    <t>testPrimitiveArray</t>
  </si>
  <si>
    <t>testStringArray</t>
  </si>
  <si>
    <t>testPrimitiveArrayType</t>
  </si>
  <si>
    <t>testStringArrayType</t>
  </si>
  <si>
    <t>testArrayAsParameterizedTypes</t>
  </si>
  <si>
    <t>testSimpleField</t>
  </si>
  <si>
    <t>testEnumField</t>
  </si>
  <si>
    <t>testParameterizedTypeField</t>
  </si>
  <si>
    <t>testNestedParameterizedTypeField</t>
  </si>
  <si>
    <t>testGenericArrayTypeField</t>
  </si>
  <si>
    <t>testTypeVariableField</t>
  </si>
  <si>
    <t>testTypeVariableArrayField</t>
  </si>
  <si>
    <t>testMutliDimensionalTypeVariableArrayField</t>
  </si>
  <si>
    <t>testParameterizedTypeVariableField</t>
  </si>
  <si>
    <t>testNestedParameterizedTypeVariableField</t>
  </si>
  <si>
    <t>testParameterizedTypeVariableArrayField</t>
  </si>
  <si>
    <t>testWildcardField</t>
  </si>
  <si>
    <t>testArrayOfWildcardField</t>
  </si>
  <si>
    <t>testListStringWildcardField</t>
  </si>
  <si>
    <t>testArrayOfListStringWildcardField</t>
  </si>
  <si>
    <t>testListTypeVariableWildcardField</t>
  </si>
  <si>
    <t>testArrayOfListTypeVariableWildcardField</t>
  </si>
  <si>
    <t>testInvalidConstruction</t>
  </si>
  <si>
    <t>testNonMapConstruction</t>
  </si>
  <si>
    <t>testBasicGetters</t>
  </si>
  <si>
    <t>testMapImplementations</t>
  </si>
  <si>
    <t>testPrimitive</t>
  </si>
  <si>
    <t>testPrimitiveWrapper</t>
  </si>
  <si>
    <t>testString</t>
  </si>
  <si>
    <t>testPrimitiveType</t>
  </si>
  <si>
    <t>testObjectType</t>
  </si>
  <si>
    <t>testParameterizedTypes</t>
  </si>
  <si>
    <t>testGenericizedGenericType</t>
  </si>
  <si>
    <t>testStrangeTypeParameters</t>
  </si>
  <si>
    <t>testGetActualTypeForFirstTypeVariable</t>
  </si>
  <si>
    <t>testIsArrayForNonArrayClasses</t>
  </si>
  <si>
    <t>testIsArrayForArrayClasses</t>
  </si>
  <si>
    <t>testToRawClassForNonGenericClasses</t>
  </si>
  <si>
    <t>testToRawClassForGenericClasses</t>
  </si>
  <si>
    <t>testIsAssignableFromRawTypes</t>
  </si>
  <si>
    <t>testIsAssignableFromWithTypeParameters</t>
  </si>
  <si>
    <t>testIsAssignableFromWithBasicWildcards</t>
  </si>
  <si>
    <t>testIsAssignableFromWithNestedWildcards</t>
  </si>
  <si>
    <t>testConstruction</t>
  </si>
  <si>
    <t>testAdapterDoesSameForBothModes</t>
  </si>
  <si>
    <t>testUserDefinedExclusionPolicies</t>
  </si>
  <si>
    <t>testExclusionStrategy2Serialization</t>
  </si>
  <si>
    <t>testRegisterSubtypeFirst</t>
  </si>
  <si>
    <t>testValidFieldBeginsWithDollarSign</t>
  </si>
  <si>
    <t>testValidFieldBeginsWithUnderscore</t>
  </si>
  <si>
    <t>testValidFieldBeginsWithLetter</t>
  </si>
  <si>
    <t>testValidFieldMixingLetter</t>
  </si>
  <si>
    <t>testInvalidFieldStartingWithNumbers</t>
  </si>
  <si>
    <t>testInvalidFieldStartingTwoDollarSigns</t>
  </si>
  <si>
    <t>testInvalidFieldStartingTwoUnderscores</t>
  </si>
  <si>
    <t>testInvalidFieldStartingDollarUnderscore</t>
  </si>
  <si>
    <t>testJavaAndJsKeywordAsFieldName</t>
  </si>
  <si>
    <t>testInvalidCharacters</t>
  </si>
  <si>
    <t>testDashesInFieldName</t>
  </si>
  <si>
    <t>testSpacesInFieldName</t>
  </si>
  <si>
    <t>testSpacesInBeginningOfName</t>
  </si>
  <si>
    <t>testNoSpecialCharacters</t>
  </si>
  <si>
    <t>testNewlineEscaping</t>
  </si>
  <si>
    <t>testCarrageReturnEscaping</t>
  </si>
  <si>
    <t>testTabEscaping</t>
  </si>
  <si>
    <t>testDoubleQuoteEscaping</t>
  </si>
  <si>
    <t>testSingleQuoteEscaping</t>
  </si>
  <si>
    <t>testLineSeparatorEscaping</t>
  </si>
  <si>
    <t>testParagraphSeparatorEscaping</t>
  </si>
  <si>
    <t>testControlCharBlockEscaping</t>
  </si>
  <si>
    <t>testEqualsEscaping</t>
  </si>
  <si>
    <t>testGreaterThanAndLessThanEscaping</t>
  </si>
  <si>
    <t>testAmpersandEscaping</t>
  </si>
  <si>
    <t>testSlashEscaping</t>
  </si>
  <si>
    <t>testSingleQuoteNotEscaped</t>
  </si>
  <si>
    <t>testRequiredEscapingUnicodeCharacter</t>
  </si>
  <si>
    <t>testUnicodeCharacterStringNoEscaping</t>
  </si>
  <si>
    <t>testArrayOfPrimitivesWithCustomTypeAdapter</t>
  </si>
  <si>
    <t>testArrayOfObjectsWithoutTypeInfoDeserialization</t>
  </si>
  <si>
    <t>testArrayWithoutTypeInfoDeserialization</t>
  </si>
  <si>
    <t>testPrimitiveIntegerAutoboxedInASingleElementArrayDeserialization</t>
  </si>
  <si>
    <t>testPrimitiveLongAutoboxedInASingleElementArrayDeserialization</t>
  </si>
  <si>
    <t>testPrimitiveBooleanAutoboxedInASingleElementArrayDeserialization</t>
  </si>
  <si>
    <t>testPrimitiveDoubleAutoboxedInASingleElementArrayDeserialization</t>
  </si>
  <si>
    <t>testBigDecimalInASingleElementArrayDeserialization</t>
  </si>
  <si>
    <t>testBigIntegerInASingleElementArrayDeserialization</t>
  </si>
  <si>
    <t>testOverridingDefaultPrimitiveSerialization</t>
  </si>
  <si>
    <t>testDeserializingDecimalPointValuesAsIntegerFails</t>
  </si>
  <si>
    <t>testDeserializingBigDecimalAsLongFails</t>
  </si>
  <si>
    <t>testStringValueAsSingleElementArrayDeserialization</t>
  </si>
  <si>
    <t>testCustomDeserializerReturnsNullForTopLevelPrimitives</t>
  </si>
  <si>
    <t>testCustomDeserializerReturnsNullForPrimitiveFields</t>
  </si>
  <si>
    <t>testCustomSerializerForLong</t>
  </si>
  <si>
    <t>testCustomDeserializerForLong</t>
  </si>
  <si>
    <t>testObjectConstructor</t>
  </si>
  <si>
    <t>testMissingDefaultConstructor</t>
  </si>
  <si>
    <t>testInstanceCreatorTakesTopPrecedence</t>
  </si>
  <si>
    <t>testNoInstanceCreatorInvokesDefaultConstructor</t>
  </si>
  <si>
    <t>testNoDefaultConstructor</t>
  </si>
  <si>
    <t>testPeekEmptyStack</t>
  </si>
  <si>
    <t>testPushPeekAndPop</t>
  </si>
  <si>
    <t>testPopTooMany</t>
  </si>
  <si>
    <t>testNeverSkipsClass</t>
  </si>
  <si>
    <t>testNeverSkipsField</t>
  </si>
  <si>
    <t>testTopLevelEnumInASingleElementArrayDeserialization</t>
  </si>
  <si>
    <t>testSerializeDefault</t>
  </si>
  <si>
    <t>testDeserializeDefault</t>
  </si>
  <si>
    <t>testDeepCopy</t>
  </si>
  <si>
    <t>testInvalidInstantiation</t>
  </si>
  <si>
    <t>testUnderscoreSeparator</t>
  </si>
  <si>
    <t>testMultiCharSeparator</t>
  </si>
  <si>
    <t>testNameBeginsWithCapital</t>
  </si>
  <si>
    <t>testExceptionPossiblyIncorrectSeparation</t>
  </si>
  <si>
    <t>testSimpleAdapter</t>
  </si>
  <si>
    <t>testFieldNamingPolicy</t>
  </si>
  <si>
    <t>testNullField</t>
  </si>
  <si>
    <t>testNameBeginsWithLowerCase</t>
  </si>
  <si>
    <t>testNameBeginsWithUpperCase</t>
  </si>
  <si>
    <t>testUsingDashesInstead</t>
  </si>
  <si>
    <t>testAllLowerCase</t>
  </si>
  <si>
    <t>testAllUpperCase</t>
  </si>
  <si>
    <t>testMixedCase</t>
  </si>
  <si>
    <t>testLowerCaseFirstLetter</t>
  </si>
  <si>
    <t>testUpperCaseFirstLetter</t>
  </si>
  <si>
    <t>testSingleCharacterField</t>
  </si>
  <si>
    <t>testFieldStartsWithUnderscore</t>
  </si>
  <si>
    <t>testFieldStartsWithUnderscoreFollowedBySingleLetter</t>
  </si>
  <si>
    <t>testFieldHasSingleNonLetter</t>
  </si>
  <si>
    <t>testFieldHasNoLetters</t>
  </si>
  <si>
    <t>testFieldWithAnnotation</t>
  </si>
  <si>
    <t>testFieldWithoutAnnotation</t>
  </si>
  <si>
    <t>testAllUpperCaseExceptFirst</t>
  </si>
  <si>
    <t>testAllUpperCaseStartingWithUnderscore</t>
  </si>
  <si>
    <t>testBadInstantiation</t>
  </si>
  <si>
    <t>testSkipFieldsWithMixedTrueAndFalse</t>
  </si>
  <si>
    <t>testSkipFieldsWithFalseOnly</t>
  </si>
  <si>
    <t>testDisallowNegativeValuesAndFailFast</t>
  </si>
  <si>
    <t>testAnonymousLocalClassesSerialization</t>
  </si>
  <si>
    <t>testRegisterSubTypeFirstNotAllowed</t>
  </si>
  <si>
    <t>testHasGenericButNotSpecific</t>
  </si>
  <si>
    <t>testHasSpecificType</t>
  </si>
  <si>
    <t>testTypeOverridding</t>
  </si>
  <si>
    <t>testMakeUnmodifiable</t>
  </si>
  <si>
    <t>testTypeHierarchy</t>
  </si>
  <si>
    <t>testTypeHierarchyMultipleHandlers</t>
  </si>
  <si>
    <t>testReplaceExistingTypeHierarchyHandler</t>
  </si>
  <si>
    <t>testHidingExistingTypeHierarchyHandlerIsDisallowed</t>
  </si>
  <si>
    <t>testCacheHitAndMiss</t>
  </si>
  <si>
    <t>testCacheKeyOverwrite</t>
  </si>
  <si>
    <t>testCacheEviction</t>
  </si>
  <si>
    <t>testParameterizedMapSubclassDeserialization</t>
  </si>
  <si>
    <t>testCustomSerializerForbiddenForPrimitives</t>
  </si>
  <si>
    <t>testCustomDeserializerForbiddenForPrimitives</t>
  </si>
  <si>
    <t>testGeneratedJson</t>
  </si>
  <si>
    <t>testPostDeserialize</t>
  </si>
  <si>
    <t>testNullJsonElementDeserialization</t>
  </si>
  <si>
    <t>testPutAndGet</t>
  </si>
  <si>
    <t>testGetAndContainsNullKey</t>
  </si>
  <si>
    <t>testDisallowPutForNullKeys</t>
  </si>
  <si>
    <t>testSingleElement</t>
  </si>
  <si>
    <t>testAddAndRemove</t>
  </si>
  <si>
    <t>testInsertionOrderPreserved</t>
  </si>
  <si>
    <t>testFieldAdapterInvoked</t>
  </si>
  <si>
    <t>testRegisteredAdapterOverridesFieldAdapter</t>
  </si>
  <si>
    <t>testRegisteredSerializerOverridesFieldAdapter</t>
  </si>
  <si>
    <t>testRegisteredDeserializerOverridesFieldAdapter</t>
  </si>
  <si>
    <t>testFieldAdapterNotInvokedIfNull</t>
  </si>
  <si>
    <t>testNonStaticFieldAdapterNotInvoked</t>
  </si>
  <si>
    <t>testIncorrectTypeAdapterNotInvoked</t>
  </si>
  <si>
    <t>testSuperclassTypeAdapterNotInvoked</t>
  </si>
  <si>
    <t>testNoTopLevelObject</t>
  </si>
  <si>
    <t>testStrictTopLevelString</t>
  </si>
  <si>
    <t>testLenientTopLevelString</t>
  </si>
  <si>
    <t>testStrictTopLevelValueType</t>
  </si>
  <si>
    <t>testStrictTopLevelValueTypeWithSkipValue</t>
  </si>
  <si>
    <t>testTypeAdapterFactoryNullSafeBug</t>
  </si>
  <si>
    <t>testSerializationDirectSelfReference</t>
  </si>
  <si>
    <t>testIterationOrder</t>
  </si>
  <si>
    <t>testRemoveRootDoesNotDoubleUnlink</t>
  </si>
  <si>
    <t>testPutNullKeyFails</t>
  </si>
  <si>
    <t>testPutNonComparableKeyFails</t>
  </si>
  <si>
    <t>testContainsNonComparableKeyReturnsFalse</t>
  </si>
  <si>
    <t>testContainsNullKeyIsAlwaysFalse</t>
  </si>
  <si>
    <t>testPutOverrides</t>
  </si>
  <si>
    <t>testEmptyStringValues</t>
  </si>
  <si>
    <t>testForceDoublingAndRehash</t>
  </si>
  <si>
    <t>testEqualsAndHashCode</t>
  </si>
  <si>
    <t>testAvlWalker</t>
  </si>
  <si>
    <t>testAvlBuilder</t>
  </si>
  <si>
    <t>testDoubleCapacity</t>
  </si>
  <si>
    <t>testDoubleCapacityAllNodesOnLeft</t>
  </si>
  <si>
    <t>testJavaSerialization</t>
  </si>
  <si>
    <t>testExceptionWithoutCause</t>
  </si>
  <si>
    <t>testExceptionWithCause</t>
  </si>
  <si>
    <t>testSerializedNameOnExceptionFields</t>
  </si>
  <si>
    <t>testErrorWithoutCause</t>
  </si>
  <si>
    <t>testErrornWithCause</t>
  </si>
  <si>
    <t>testIssue603PrintStream</t>
  </si>
  <si>
    <t>testIssue440WeakReference</t>
  </si>
  <si>
    <t>testMakeAccessibleWithUnsafe</t>
  </si>
  <si>
    <t>testMakeAccessibleWithRestrictiveSecurityManager</t>
  </si>
  <si>
    <t>testIsSynthetic</t>
  </si>
  <si>
    <t>testMultiDimenstionalObjectArraysSerialization</t>
  </si>
  <si>
    <t>testStringsWithRawChineseCharactersDeserialization</t>
  </si>
  <si>
    <t>testPrimitiveNullValues</t>
  </si>
  <si>
    <t>1 test missing in the sheet</t>
  </si>
  <si>
    <t>looks modified but is deleted</t>
  </si>
  <si>
    <t>refactored- and tested feature 
is not available</t>
  </si>
  <si>
    <t>refactored- functionality was changed</t>
  </si>
  <si>
    <t>refactored- previously unavailable functionality is available</t>
  </si>
  <si>
    <t>reader.nextString() does not appear</t>
  </si>
  <si>
    <t>dropped with new one testing higher level functionality</t>
  </si>
  <si>
    <t>05/15/2003 22:55:34</t>
  </si>
  <si>
    <t>05/17/2003 18:24:21</t>
  </si>
  <si>
    <t>05/29/2003 18:25:12</t>
  </si>
  <si>
    <t>06/01/2003 22:44:13</t>
  </si>
  <si>
    <t>06/01/2003 23:58:33</t>
  </si>
  <si>
    <t>06/13/2003 23:24:43</t>
  </si>
  <si>
    <t>06/18/2003 16:25:03</t>
  </si>
  <si>
    <t>06/21/2003 18:02:51</t>
  </si>
  <si>
    <t>06/27/2003 15:58:28</t>
  </si>
  <si>
    <t>11/01/2003 10:09:22</t>
  </si>
  <si>
    <t>01/11/2004 01:26:51</t>
  </si>
  <si>
    <t>01/25/2004 15:30:41</t>
  </si>
  <si>
    <t>02/08/2004 13:51:25</t>
  </si>
  <si>
    <t>02/16/2004 01:04:04</t>
  </si>
  <si>
    <t>04/02/2004 15:43:35</t>
  </si>
  <si>
    <t>05/02/2004 21:57:08</t>
  </si>
  <si>
    <t>05/03/2004 18:16:39</t>
  </si>
  <si>
    <t>05/05/2004 07:32:45</t>
  </si>
  <si>
    <t>05/10/2004 21:12:11</t>
  </si>
  <si>
    <t>05/22/2004 19:56:15</t>
  </si>
  <si>
    <t>05/29/2004 17:52:44</t>
  </si>
  <si>
    <t>05/29/2004 20:39:33</t>
  </si>
  <si>
    <t>05/30/2004 00:54:43</t>
  </si>
  <si>
    <t>05/30/2004 17:13:35</t>
  </si>
  <si>
    <t>06/01/2004 18:45:11</t>
  </si>
  <si>
    <t>06/02/2004 08:08:55</t>
  </si>
  <si>
    <t>06/06/2004 11:39:06</t>
  </si>
  <si>
    <t>06/14/2004 16:41:33</t>
  </si>
  <si>
    <t>07/10/2004 12:13:00</t>
  </si>
  <si>
    <t>07/11/2004 13:42:07</t>
  </si>
  <si>
    <t>09/20/2004 23:51:08</t>
  </si>
  <si>
    <t>10/12/2004 01:19:50</t>
  </si>
  <si>
    <t>10/24/2004 22:13:31</t>
  </si>
  <si>
    <t>12/05/2004 23:49:44</t>
  </si>
  <si>
    <t>11/22/2006 22:17:13</t>
  </si>
  <si>
    <t>12/19/2006 16:11:07</t>
  </si>
  <si>
    <t>02/26/2007 16:22:53</t>
  </si>
  <si>
    <t>02/26/2007 16:44:18</t>
  </si>
  <si>
    <t>02/26/2007 16:59:45</t>
  </si>
  <si>
    <t>02/26/2007 17:12:40</t>
  </si>
  <si>
    <t>06/07/2007 09:35:04</t>
  </si>
  <si>
    <t>09/10/2007 15:43:26</t>
  </si>
  <si>
    <t>10/31/2007 00:38:58</t>
  </si>
  <si>
    <t>02/10/2008 10:28:50</t>
  </si>
  <si>
    <t>04/24/2008 07:04:33</t>
  </si>
  <si>
    <t>04/24/2008 08:06:21</t>
  </si>
  <si>
    <t>07/12/2008 16:41:17</t>
  </si>
  <si>
    <t>09/28/2008 10:55:15</t>
  </si>
  <si>
    <t>11/03/2008 15:32:26</t>
  </si>
  <si>
    <t>12/04/2008 17:48:18</t>
  </si>
  <si>
    <t>12/05/2008 08:05:50</t>
  </si>
  <si>
    <t>12/07/2008 14:24:10</t>
  </si>
  <si>
    <t>02/01/2009 15:13:55</t>
  </si>
  <si>
    <t>03/15/2009 14:11:02</t>
  </si>
  <si>
    <t>04/30/2009 07:05:22</t>
  </si>
  <si>
    <t>05/20/2009 12:48:27</t>
  </si>
  <si>
    <t>05/31/2009 17:01:17</t>
  </si>
  <si>
    <t>05/31/2009 17:07:26</t>
  </si>
  <si>
    <t>05/31/2009 17:11:21</t>
  </si>
  <si>
    <t>06/02/2009 15:45:53</t>
  </si>
  <si>
    <t>06/07/2009 14:13:17</t>
  </si>
  <si>
    <t>06/19/2009 07:36:16</t>
  </si>
  <si>
    <t>06/20/2009 13:15:54</t>
  </si>
  <si>
    <t>06/20/2009 13:53:08</t>
  </si>
  <si>
    <t>06/20/2009 18:37:47</t>
  </si>
  <si>
    <t>07/07/2009 04:19:46</t>
  </si>
  <si>
    <t>09/18/2009 09:39:18</t>
  </si>
  <si>
    <t>10/11/2009 21:04:06</t>
  </si>
  <si>
    <t>12/30/2009 17:17:01</t>
  </si>
  <si>
    <t>01/26/2010 04:28:12</t>
  </si>
  <si>
    <t>01/26/2010 15:53:59</t>
  </si>
  <si>
    <t>02/16/2010 05:20:17</t>
  </si>
  <si>
    <t>03/27/2010 15:00:19</t>
  </si>
  <si>
    <t>07/28/2010 07:03:41</t>
  </si>
  <si>
    <t>08/01/2010 10:16:54</t>
  </si>
  <si>
    <t>08/30/2010 08:06:22</t>
  </si>
  <si>
    <t>09/28/2010 07:38:09</t>
  </si>
  <si>
    <t>09/30/2010 07:55:02</t>
  </si>
  <si>
    <t>10/01/2010 07:46:16</t>
  </si>
  <si>
    <t>10/01/2010 09:54:37</t>
  </si>
  <si>
    <t>10/27/2010 08:16:57</t>
  </si>
  <si>
    <t>11/03/2010 08:46:04</t>
  </si>
  <si>
    <t>11/10/2010 08:23:36</t>
  </si>
  <si>
    <t>11/11/2010 17:13:01</t>
  </si>
  <si>
    <t>11/11/2010 18:13:27</t>
  </si>
  <si>
    <t>11/12/2010 07:23:59</t>
  </si>
  <si>
    <t>11/12/2010 07:57:53</t>
  </si>
  <si>
    <t>11/12/2010 10:31:21</t>
  </si>
  <si>
    <t>11/12/2010 15:03:38</t>
  </si>
  <si>
    <t>11/12/2010 15:22:34</t>
  </si>
  <si>
    <t>11/13/2010 16:27:34</t>
  </si>
  <si>
    <t>11/20/2010 16:02:55</t>
  </si>
  <si>
    <t>11/25/2010 10:22:00</t>
  </si>
  <si>
    <t>11/26/2010 11:02:26</t>
  </si>
  <si>
    <t>12/04/2010 05:31:12</t>
  </si>
  <si>
    <t>01/06/2011 05:32:07</t>
  </si>
  <si>
    <t>01/07/2011 14:33:12</t>
  </si>
  <si>
    <t>01/20/2011 20:45:52</t>
  </si>
  <si>
    <t>01/21/2011 09:38:21</t>
  </si>
  <si>
    <t>01/23/2011 16:22:08</t>
  </si>
  <si>
    <t>01/24/2011 12:07:48</t>
  </si>
  <si>
    <t>02/01/2011 13:45:20</t>
  </si>
  <si>
    <t>02/01/2011 13:52:05</t>
  </si>
  <si>
    <t>02/04/2011 14:43:41</t>
  </si>
  <si>
    <t>02/18/2011 18:03:46</t>
  </si>
  <si>
    <t>03/07/2011 04:37:52</t>
  </si>
  <si>
    <t>03/07/2011 05:29:18</t>
  </si>
  <si>
    <t>06/26/2011 11:26:48</t>
  </si>
  <si>
    <t>07/13/2011 10:28:21</t>
  </si>
  <si>
    <t>08/02/2011 23:16:23</t>
  </si>
  <si>
    <t>08/06/2011 12:06:38</t>
  </si>
  <si>
    <t>08/15/2011 16:21:06</t>
  </si>
  <si>
    <t>08/16/2011 16:15:56</t>
  </si>
  <si>
    <t>08/29/2011 08:49:22</t>
  </si>
  <si>
    <t>09/01/2011 18:37:36</t>
  </si>
  <si>
    <t>09/03/2011 15:06:24</t>
  </si>
  <si>
    <t>10/01/2011 09:16:50</t>
  </si>
  <si>
    <t>10/02/2011 14:41:48</t>
  </si>
  <si>
    <t>10/13/2011 16:45:39</t>
  </si>
  <si>
    <t>10/13/2011 16:58:30</t>
  </si>
  <si>
    <t>11/10/2011 11:05:51</t>
  </si>
  <si>
    <t>12/03/2011 00:17:19</t>
  </si>
  <si>
    <t>12/20/2011 15:07:58</t>
  </si>
  <si>
    <t>01/18/2012 01:17:48</t>
  </si>
  <si>
    <t>02/10/2012 02:46:40</t>
  </si>
  <si>
    <t>02/11/2012 11:38:30</t>
  </si>
  <si>
    <t>02/13/2012 04:35:53</t>
  </si>
  <si>
    <t>02/16/2012 13:41:42</t>
  </si>
  <si>
    <t>03/01/2012 06:19:30</t>
  </si>
  <si>
    <t>06/04/2012 00:40:33</t>
  </si>
  <si>
    <t>06/26/2012 01:09:27</t>
  </si>
  <si>
    <t>06/27/2012 00:53:09</t>
  </si>
  <si>
    <t>06/28/2012 01:09:51</t>
  </si>
  <si>
    <t>07/02/2012 00:46:10</t>
  </si>
  <si>
    <t>07/03/2012 00:51:57</t>
  </si>
  <si>
    <t>07/06/2012 00:26:35</t>
  </si>
  <si>
    <t>07/06/2012 00:47:02</t>
  </si>
  <si>
    <t>07/06/2012 13:55:49</t>
  </si>
  <si>
    <t>07/06/2012 13:59:12</t>
  </si>
  <si>
    <t>07/06/2012 14:02:16</t>
  </si>
  <si>
    <t>07/06/2012 14:31:00</t>
  </si>
  <si>
    <t>08/18/2012 13:10:34</t>
  </si>
  <si>
    <t>09/29/2012 17:18:18</t>
  </si>
  <si>
    <t>11/27/2012 23:24:12</t>
  </si>
  <si>
    <t>11/27/2012 23:27:27</t>
  </si>
  <si>
    <t>12/29/2012 06:10:52</t>
  </si>
  <si>
    <t>03/11/2013 03:37:12</t>
  </si>
  <si>
    <t>05/31/2013 17:16:44</t>
  </si>
  <si>
    <t>07/07/2013 12:14:46</t>
  </si>
  <si>
    <t>09/17/2013 15:32:50</t>
  </si>
  <si>
    <t>10/30/2013 16:59:57</t>
  </si>
  <si>
    <t>01/01/2014 11:30:06</t>
  </si>
  <si>
    <t>01/22/2014 16:00:37</t>
  </si>
  <si>
    <t>01/30/2014 15:28:05</t>
  </si>
  <si>
    <t>02/12/2014 05:12:45</t>
  </si>
  <si>
    <t>02/16/2014 06:19:51</t>
  </si>
  <si>
    <t>02/18/2014 08:31:34</t>
  </si>
  <si>
    <t>02/18/2014 08:33:28</t>
  </si>
  <si>
    <t>02/19/2014 14:31:47</t>
  </si>
  <si>
    <t>02/20/2014 10:16:19</t>
  </si>
  <si>
    <t>07/13/2014 03:52:29</t>
  </si>
  <si>
    <t>07/26/2014 15:51:41</t>
  </si>
  <si>
    <t>10/15/2014 09:15:14</t>
  </si>
  <si>
    <t>02/19/2015 02:25:46</t>
  </si>
  <si>
    <t>02/19/2015 02:52:49</t>
  </si>
  <si>
    <t>02/19/2015 03:01:34</t>
  </si>
  <si>
    <t>02/23/2015 16:03:35</t>
  </si>
  <si>
    <t>02/24/2015 16:07:58</t>
  </si>
  <si>
    <t>02/24/2015 16:08:40</t>
  </si>
  <si>
    <t>02/25/2015 15:34:53</t>
  </si>
  <si>
    <t>02/25/2015 16:02:30</t>
  </si>
  <si>
    <t>03/10/2015 17:16:03</t>
  </si>
  <si>
    <t>04/11/2015 08:47:35</t>
  </si>
  <si>
    <t>04/11/2015 09:05:10</t>
  </si>
  <si>
    <t>04/13/2015 15:11:35</t>
  </si>
  <si>
    <t>05/01/2015 04:57:54</t>
  </si>
  <si>
    <t>07/06/2015 13:33:37</t>
  </si>
  <si>
    <t>08/21/2015 07:42:13</t>
  </si>
  <si>
    <t>08/24/2015 13:59:04</t>
  </si>
  <si>
    <t>11/09/2015 16:11:33</t>
  </si>
  <si>
    <t>12/20/2015 15:42:10</t>
  </si>
  <si>
    <t>12/31/2015 16:56:59</t>
  </si>
  <si>
    <t>01/12/2016 09:57:35</t>
  </si>
  <si>
    <t>01/17/2016 04:40:27</t>
  </si>
  <si>
    <t>03/16/2016 10:46:51</t>
  </si>
  <si>
    <t>03/19/2016 17:47:21</t>
  </si>
  <si>
    <t>05/06/2016 19:18:14</t>
  </si>
  <si>
    <t>05/17/2016 12:26:44</t>
  </si>
  <si>
    <t>05/17/2016 12:28:19</t>
  </si>
  <si>
    <t>05/17/2016 12:36:35</t>
  </si>
  <si>
    <t>05/17/2016 12:36:54</t>
  </si>
  <si>
    <t>05/17/2016 12:37:21</t>
  </si>
  <si>
    <t>05/17/2016 12:37:44</t>
  </si>
  <si>
    <t>05/17/2016 12:38:01</t>
  </si>
  <si>
    <t>05/17/2016 13:20:28</t>
  </si>
  <si>
    <t>05/19/2016 11:32:08</t>
  </si>
  <si>
    <t>05/20/2016 07:07:46</t>
  </si>
  <si>
    <t>08/17/2016 20:15:39</t>
  </si>
  <si>
    <t>12/13/2016 02:02:24</t>
  </si>
  <si>
    <t>12/14/2016 10:38:28</t>
  </si>
  <si>
    <t>12/14/2016 10:38:42</t>
  </si>
  <si>
    <t>04/16/2017 17:34:56</t>
  </si>
  <si>
    <t>05/03/2017 18:19:44</t>
  </si>
  <si>
    <t>05/03/2017 18:55:53</t>
  </si>
  <si>
    <t>05/14/2017 16:31:25</t>
  </si>
  <si>
    <t>05/14/2017 18:15:47</t>
  </si>
  <si>
    <t>05/20/2017 21:53:09</t>
  </si>
  <si>
    <t>05/21/2017 17:56:14</t>
  </si>
  <si>
    <t>05/24/2017 19:02:16</t>
  </si>
  <si>
    <t>06/02/2017 19:31:16</t>
  </si>
  <si>
    <t>08/16/2017 07:42:19</t>
  </si>
  <si>
    <t>09/15/2017 15:58:00</t>
  </si>
  <si>
    <t>09/15/2017 16:02:09</t>
  </si>
  <si>
    <t>09/16/2017 10:36:10</t>
  </si>
  <si>
    <t>09/16/2017 10:39:18</t>
  </si>
  <si>
    <t>09/16/2017 12:17:40</t>
  </si>
  <si>
    <t>01/25/2018 11:36:19</t>
  </si>
  <si>
    <t>01/25/2018 21:41:43</t>
  </si>
  <si>
    <t>02/11/2018 12:26:42</t>
  </si>
  <si>
    <t>02/27/2018 20:32:19</t>
  </si>
  <si>
    <t>02/27/2018 20:37:54</t>
  </si>
  <si>
    <t>12/01/2019 22:25:25</t>
  </si>
  <si>
    <t>12/03/2019 05:53:05</t>
  </si>
  <si>
    <t>12/03/2019 07:51:53</t>
  </si>
  <si>
    <t>12/03/2019 08:12:50</t>
  </si>
  <si>
    <t>12/16/2019 06:50:59</t>
  </si>
  <si>
    <t>12/16/2019 19:18:44</t>
  </si>
  <si>
    <t>12/24/2019 06:04:51</t>
  </si>
  <si>
    <t>03/26/2020 04:04:10</t>
  </si>
  <si>
    <t>06/28/2020 17:22:19</t>
  </si>
  <si>
    <t>07/28/2020 18:08:43</t>
  </si>
  <si>
    <t>05/21/2021 07:52:27</t>
  </si>
  <si>
    <t>05/23/2021 19:31:12</t>
  </si>
  <si>
    <t>05/25/2021 16:17:11</t>
  </si>
  <si>
    <t>05/25/2021 16:44:45</t>
  </si>
  <si>
    <t>05/25/2021 17:17:56</t>
  </si>
  <si>
    <t>05/25/2021 21:22:20</t>
  </si>
  <si>
    <t>05/26/2021 16:33:08</t>
  </si>
  <si>
    <t>05/30/2021 07:58:49</t>
  </si>
  <si>
    <t>05/31/2021 08:02:39</t>
  </si>
  <si>
    <t>05/31/2021 08:02:52</t>
  </si>
  <si>
    <t>06/01/2021 20:26:14</t>
  </si>
  <si>
    <t>06/03/2021 12:29:40</t>
  </si>
  <si>
    <t>06/10/2021 10:41:48</t>
  </si>
  <si>
    <t>06/14/2021 07:49:11</t>
  </si>
  <si>
    <t>06/14/2021 15:26:22</t>
  </si>
  <si>
    <t>06/17/2021 08:22:48</t>
  </si>
  <si>
    <t>07/10/2021 19:10:11</t>
  </si>
  <si>
    <t>07/10/2021 19:44:10</t>
  </si>
  <si>
    <t>07/17/2021 07:19:09</t>
  </si>
  <si>
    <t>07/20/2021 11:07:12</t>
  </si>
  <si>
    <t>08/02/2021 20:22:47</t>
  </si>
  <si>
    <t>08/09/2021 09:10:48</t>
  </si>
  <si>
    <t>08/09/2021 18:07:31</t>
  </si>
  <si>
    <t>08/10/2021 04:06:14</t>
  </si>
  <si>
    <t>08/10/2021 04:47:59</t>
  </si>
  <si>
    <t>08/21/2021 07:33:30</t>
  </si>
  <si>
    <t>08/27/2021 12:16:03</t>
  </si>
  <si>
    <t>10/16/2021 18:46:06</t>
  </si>
  <si>
    <t>11/30/2021 19:06:16</t>
  </si>
  <si>
    <t>12/30/2021 10:27:48</t>
  </si>
  <si>
    <t>12/30/2021 11:11:26</t>
  </si>
  <si>
    <t>12/30/2021 16:29:18</t>
  </si>
  <si>
    <t>12/30/2021 17:31:49</t>
  </si>
  <si>
    <t>12/30/2021 18:44:22</t>
  </si>
  <si>
    <t>01/02/2022 16:59:08</t>
  </si>
  <si>
    <t>11/03/2022 06:36:15</t>
  </si>
  <si>
    <t>11/03/2022 07:05:40</t>
  </si>
  <si>
    <t>tobrien@apache.org</t>
  </si>
  <si>
    <t>mdiggory@apache.org</t>
  </si>
  <si>
    <t>psteitz@apache.org</t>
  </si>
  <si>
    <t>brentworden@apache.org</t>
  </si>
  <si>
    <t>luc@apache.org</t>
  </si>
  <si>
    <t>billbarker@apache.org</t>
  </si>
  <si>
    <t>dimpbx@apache.org</t>
  </si>
  <si>
    <t>erans@apache.org</t>
  </si>
  <si>
    <t>celestin@apache.org</t>
  </si>
  <si>
    <t>tn@apache.org</t>
  </si>
  <si>
    <t>hank@applieddefense.com</t>
  </si>
  <si>
    <t>thomas.neidhart@gmail.com</t>
  </si>
  <si>
    <t>otmar.ertl@gmail.com</t>
  </si>
  <si>
    <t>phil.steitz@gmail.com</t>
  </si>
  <si>
    <t>gilles@harfang.homelinux.org</t>
  </si>
  <si>
    <t>brunodepaulak@yahoo.com.br</t>
  </si>
  <si>
    <t>ray@decampo.org</t>
  </si>
  <si>
    <t>matt.juntunen@hotmail.com</t>
  </si>
  <si>
    <t>chentao@qq.com</t>
  </si>
  <si>
    <t>gilleseran@gmail.com</t>
  </si>
  <si>
    <t>aherbert@apache.org</t>
  </si>
  <si>
    <t>* ContractableDoubleArray extends ExpandableDoubleArray - I sense the
need for a DoubleArray interface.
* ExpandableDoubleArray and the extension ContractableDoubleArray should
aim towards presenting a public interface that does not expose any
details of the internal.  To this end, one is no longer able to get the
internal storage array via public double[] getValues(), and the startIndex
(which was relative to the internal storage array) is no longer available.
* [Expandable|Contractable]DoubleArray now allow one to discard
elements from the front of the array.  Before this commit, one could
accomplish the same goal by changing the starting index of the element
array within the internal storage array.  This solution allowed one to
discard elements from the front of the array (as well as) reclaiming
elements by decreases the startIndex.
There were two problems with this approach (especially in
ContractableDoubleArray).   The ContractableDoubleArray can be
"compacted" at anytime thereby reseting the startIndex to zero and the
size of the internal store array to number of elements plus one.  Second,
"reclaiming" elements from the internal storage array by finagling
internal "pointers" to the start and end index seems to violate the
principles of encapsulation.  If you "discard" an element from the
front of the array, consider it unavailable.
It should be noted that calling setNumElements allows one to move the end
index of the internal element array at will.  Assume one has a 100 element
array, and one calls setNumElements(10), thereby decreasing the ending index
of the element array by 90.  The 90 "dumped" elements are not currently
reinitializied to the default double primitive value.  This is an open
question.
* Tests for ExpandableDoubleArray and ContractableDoubleArray were
refactored.  both test classes now extend a DoubleArrayAbstractTest
JUnit class which contained shared unit tests for both "implementations".
An approach like this should be adopted to test the Univariate implementations.
git-svn-id: https://svn.apache.org/repos/asf/jakarta/commons/proper/math/trunk@140833 13f79535-47bb-0310-9956-ffa450edef68</t>
  </si>
  <si>
    <t>Added a FixedDoubleArray.  FixedDoubleArray supports a rolling mechanism
that reuses an array of fixed length.  This classes was added to an efficient
rolling mechanism.
FixedDoubleArray was influenced by discussions on the commons-dev list and
patches submitted by Mark Diggory.
git-svn-id: https://svn.apache.org/repos/asf/jakarta/commons/proper/math/trunk@140836 13f79535-47bb-0310-9956-ffa450edef68</t>
  </si>
  <si>
    <t>Removed old Univariate tests
git-svn-id: https://svn.apache.org/repos/asf/jakarta/commons/proper/math/trunk@140869 13f79535-47bb-0310-9956-ffa450edef68</t>
  </si>
  <si>
    <t>Licensing issues have prompted the removal of all source reliant on
Gamma.java.  Gamma.java explicitly stated that it was "based on" an
implementation from Numerical Recipes in C.  Please see
http://www.nr.com/infotop.html - these implementations (and derivatives
of these works) are covered under restrictive licensing terms.  This
code will be removed from the repository until these issues can be
addressed.
git-svn-id: https://svn.apache.org/repos/asf/jakarta/commons/proper/math/trunk@140875 13f79535-47bb-0310-9956-ffa450edef68</t>
  </si>
  <si>
    <t>Commenting out testUnivariateImpl unitl I figure out why this fails in UnivariateImpl
git-svn-id: https://svn.apache.org/repos/asf/jakarta/commons/proper/math/trunk@140879 13f79535-47bb-0310-9956-ffa450edef68</t>
  </si>
  <si>
    <t>PR: http://nagoya.apache.org/bugzilla/show_bug.cgi?id=20773
Submitted by:	brent@worden.org
git-svn-id: https://svn.apache.org/repos/asf/jakarta/commons/proper/math/trunk@140906 13f79535-47bb-0310-9956-ffa450edef68</t>
  </si>
  <si>
    <t>Removed the proposed solvers, many compilation problems and a broken unit test.
git-svn-id: https://svn.apache.org/repos/asf/jakarta/commons/proper/math/trunk@140930 13f79535-47bb-0310-9956-ffa450edef68</t>
  </si>
  <si>
    <t>Moving TestStatisticTest to stat package.
git-svn-id: https://svn.apache.org/repos/asf/jakarta/commons/proper/math/trunk@140939 13f79535-47bb-0310-9956-ffa450edef68</t>
  </si>
  <si>
    <t>Removal of statistical (min/max) and deleteFrontElements methods from DoubleArray interface (per our previous discussion)
Adjusted dependent Test and StoreUnivariateImpl classes accordingly to accomidate changes.
Added new constructor to FixedDoubleArray for double[].
git-svn-id: https://svn.apache.org/repos/asf/jakarta/commons/proper/math/trunk@140955 13f79535-47bb-0310-9956-ffa450edef68</t>
  </si>
  <si>
    <t>Committing promotion to commons proper!
git-svn-id: https://svn.apache.org/repos/asf/jakarta/commons/proper/math/trunk@141010 13f79535-47bb-0310-9956-ffa450edef68</t>
  </si>
  <si>
    <t>Modified tests to reflect changes addressing PR #25972.
git-svn-id: https://svn.apache.org/repos/asf/jakarta/commons/proper/math/trunk@141052 13f79535-47bb-0310-9956-ffa450edef68</t>
  </si>
  <si>
    <t>Refactored statistical aggregates to separate stored, storeless implementations. Changed internal sample size counters to longs.
git-svn-id: https://svn.apache.org/repos/asf/jakarta/commons/proper/math/trunk@141064 13f79535-47bb-0310-9956-ffa450edef68</t>
  </si>
  <si>
    <t>Refactored Frequency to support cummulative frequency counts and percentages. Also eliminated the name property.
git-svn-id: https://svn.apache.org/repos/asf/jakarta/commons/proper/math/trunk@141089 13f79535-47bb-0310-9956-ffa450edef68</t>
  </si>
  <si>
    <t>Fixed logic in bean transformer tests to match API.
git-svn-id: https://svn.apache.org/repos/asf/jakarta/commons/proper/math/trunk@141097 13f79535-47bb-0310-9956-ffa450edef68</t>
  </si>
  <si>
    <t>Removed InterpolatorTest, replaced by SplineInterpolatorTest.
git-svn-id: https://svn.apache.org/repos/asf/jakarta/commons/proper/math/trunk@141149 13f79535-47bb-0310-9956-ffa450edef68</t>
  </si>
  <si>
    <t>Removed file to be replaced by TTestTest, ChiSquareTestTest.
git-svn-id: https://svn.apache.org/repos/asf/jakarta/commons/proper/math/trunk@141205 13f79535-47bb-0310-9956-ffa450edef68</t>
  </si>
  <si>
    <t>Removed failing test.  Should never have been committed.
git-svn-id: https://svn.apache.org/repos/asf/jakarta/commons/proper/math/trunk@141211 13f79535-47bb-0310-9956-ffa450edef68</t>
  </si>
  <si>
    <t>Removed pending license investigation.
git-svn-id: https://svn.apache.org/repos/asf/jakarta/commons/proper/math/trunk@141213 13f79535-47bb-0310-9956-ffa450edef68</t>
  </si>
  <si>
    <t>Modified to extend DiscreteDistributionAbstractTest. Added degenerate test cases.
git-svn-id: https://svn.apache.org/repos/asf/jakarta/commons/proper/math/trunk@141222 13f79535-47bb-0310-9956-ffa450edef68</t>
  </si>
  <si>
    <t>Pre Issue 29012, getKurtosisClass() did not have a tolerance; therefore,
any non-zero kurtosis was consistently mesokurtic.  Instead of getting 
into this level of detail, getKurtosisClass() has been removed, it is a
subjective measure not appropriate for DescStat.
git-svn-id: https://svn.apache.org/repos/asf/jakarta/commons/proper/math/trunk@141238 13f79535-47bb-0310-9956-ffa450edef68</t>
  </si>
  <si>
    <t>Modified to extend ContinuousDistributionAbstractTest, improved coverage.
git-svn-id: https://svn.apache.org/repos/asf/jakarta/commons/proper/math/trunk@141247 13f79535-47bb-0310-9956-ffa450edef68</t>
  </si>
  <si>
    <t>Modified to extent ContinuousDistrbutionAbstractTest. Improved coverage.
git-svn-id: https://svn.apache.org/repos/asf/jakarta/commons/proper/math/trunk@141249 13f79535-47bb-0310-9956-ffa450edef68</t>
  </si>
  <si>
    <t>Modified to extend ContinuousDistributionAbstractTest, improved coverage.
git-svn-id: https://svn.apache.org/repos/asf/jakarta/commons/proper/math/trunk@141251 13f79535-47bb-0310-9956-ffa450edef68</t>
  </si>
  <si>
    <t>Modified to extend ContinuousDistributionAbstract test, improved coverage.
git-svn-id: https://svn.apache.org/repos/asf/jakarta/commons/proper/math/trunk@141252 13f79535-47bb-0310-9956-ffa450edef68</t>
  </si>
  <si>
    <t>Now that we have BeanUtils "free" versions of these they do not need to be maintained in experimental.
git-svn-id: https://svn.apache.org/repos/asf/jakarta/commons/proper/math/trunk@141264 13f79535-47bb-0310-9956-ffa450edef68</t>
  </si>
  <si>
    <t>Added support for equal variances tests.
git-svn-id: https://svn.apache.org/repos/asf/jakarta/commons/proper/math/trunk@141271 13f79535-47bb-0310-9956-ffa450edef68</t>
  </si>
  <si>
    <t>Modified to extend ContinuousDistributionAbstractTest.
git-svn-id: https://svn.apache.org/repos/asf/jakarta/commons/proper/math/trunk@141282 13f79535-47bb-0310-9956-ffa450edef68</t>
  </si>
  <si>
    <t>Combined Expandable, ContractableDoubleArrays into ResizableDoubleArray and dropped FixedDoubleArray.
git-svn-id: https://svn.apache.org/repos/asf/jakarta/commons/proper/math/trunk@141291 13f79535-47bb-0310-9956-ffa450edef68</t>
  </si>
  <si>
    <t>Removed tests for factory methods that have been removed.
git-svn-id: https://svn.apache.org/repos/asf/jakarta/commons/proper/math/trunk@141370 13f79535-47bb-0310-9956-ffa450edef68</t>
  </si>
  <si>
    <t>Added tests for methods computing variance from mean, removed obsolete tests.
git-svn-id: https://svn.apache.org/repos/asf/jakarta/commons/proper/math/trunk@141378 13f79535-47bb-0310-9956-ffa450edef68</t>
  </si>
  <si>
    <t>Added locale support to complex format.  Added test cases for specific locales.
PR: 31325
git-svn-id: https://svn.apache.org/repos/asf/jakarta/commons/proper/math/trunk@141452 13f79535-47bb-0310-9956-ffa450edef68</t>
  </si>
  <si>
    <t>Removed data mutators from RealMatrix interface and RealMatrixImpl.
git-svn-id: https://svn.apache.org/repos/asf/jakarta/commons/proper/math/trunk@141471 13f79535-47bb-0310-9956-ffa450edef68</t>
  </si>
  <si>
    <t>Modified tests to work with immutable BigMatrix.
git-svn-id: https://svn.apache.org/repos/asf/jakarta/commons/proper/math/trunk@141484 13f79535-47bb-0310-9956-ffa450edef68</t>
  </si>
  <si>
    <t>Removed JDK 1.4 dependent code.
PR# 32538.
git-svn-id: https://svn.apache.org/repos/asf/jakarta/commons/proper/math/trunk@141513 13f79535-47bb-0310-9956-ffa450edef68</t>
  </si>
  <si>
    <t>Collection of patches to initial Mantissa sources:
- Fixed a problem when switching functions triggered derivatives
  discontinuities
- Removed methods and classes that were deprecated in Mantissa
  and do not need to be preserved in commons-math as backward compatibility
  is not a problem for this newly integrated code
- Changed Vector3D and Rotation to immutable classes for ease of use
- Improved some javadoc in class Rotation
JIRA: MATH-161
Submitted (with patches) by Luc Maisonobe
git-svn-id: https://svn.apache.org/repos/asf/jakarta/commons/proper/math/trunk@478458 13f79535-47bb-0310-9956-ffa450edef68</t>
  </si>
  <si>
    <t>Updated contributed sources - Mantissa 7 upgrade. JIRA: MATH-162
git-svn-id: https://svn.apache.org/repos/asf/jakarta/commons/proper/math/trunk@488828 13f79535-47bb-0310-9956-ffa450edef68</t>
  </si>
  <si>
    <t>added support for generation and analysis of random vectors
git-svn-id: https://svn.apache.org/repos/asf/jakarta/commons/proper/math/trunk@512039 13f79535-47bb-0310-9956-ffa450edef68</t>
  </si>
  <si>
    <t>deprecated the no argument constructor
git-svn-id: https://svn.apache.org/repos/asf/jakarta/commons/proper/math/trunk@512050 13f79535-47bb-0310-9956-ffa450edef68</t>
  </si>
  <si>
    <t>added the estimation package from Mantissa
git-svn-id: https://svn.apache.org/repos/asf/jakarta/commons/proper/math/trunk@512061 13f79535-47bb-0310-9956-ffa450edef68</t>
  </si>
  <si>
    <t>added the ode package from Mantissa
git-svn-id: https://svn.apache.org/repos/asf/jakarta/commons/proper/math/trunk@512066 13f79535-47bb-0310-9956-ffa450edef68</t>
  </si>
  <si>
    <t>Removed dependency on DistributionFactory.
git-svn-id: https://svn.apache.org/repos/asf/jakarta/commons/proper/math/trunk@545192 13f79535-47bb-0310-9956-ffa450edef68</t>
  </si>
  <si>
    <t>improved test coverage
git-svn-id: https://svn.apache.org/repos/asf/commons/proper/math/trunk@574367 13f79535-47bb-0310-9956-ffa450edef68</t>
  </si>
  <si>
    <t>MATH-170.  added SynchronizedDescriptiveStatistics class.
git-svn-id: https://svn.apache.org/repos/asf/commons/proper/math/trunk@590564 13f79535-47bb-0310-9956-ffa450edef68</t>
  </si>
  <si>
    <t>removed references to the StatisticalMultivariateSummaryValues class
git-svn-id: https://svn.apache.org/repos/asf/commons/proper/math/trunk@620290 13f79535-47bb-0310-9956-ffa450edef68</t>
  </si>
  <si>
    <t>removed deprecated factory methods and classes
they were replaced by setter injection as of 1.2
git-svn-id: https://svn.apache.org/repos/asf/commons/proper/math/branches/MATH_2_0@651230 13f79535-47bb-0310-9956-ffa450edef68</t>
  </si>
  <si>
    <t>removed tests on removed deprecated methods
git-svn-id: https://svn.apache.org/repos/asf/commons/proper/math/branches/MATH_2_0@651250 13f79535-47bb-0310-9956-ffa450edef68</t>
  </si>
  <si>
    <t>Refactored data specification in multiple regression api. JIRA: MATH-255.  Patched by Mauro Televi.
git-svn-id: https://svn.apache.org/repos/asf/commons/proper/math/branches/MATH_2_0@676241 13f79535-47bb-0310-9956-ffa450edef68</t>
  </si>
  <si>
    <t>Replaced internal LU-decomposition by the external class.
Deprecated the direct call to these methods as users should
really be able to choose the type of solver they want.
LU-decomposition is only one possibility among others like
QR-decomposition.
git-svn-id: https://svn.apache.org/repos/asf/commons/proper/math/branches/MATH_2_0@699845 13f79535-47bb-0310-9956-ffa450edef68</t>
  </si>
  <si>
    <t>improved error handling in linear package with finer grained exceptions
git-svn-id: https://svn.apache.org/repos/asf/commons/proper/math/branches/MATH_2_0@710168 13f79535-47bb-0310-9956-ffa450edef68</t>
  </si>
  <si>
    <t>moved the various solve function out of decomposition algorithms
and into a dedicated DecompositionSolver class
git-svn-id: https://svn.apache.org/repos/asf/commons/proper/math/trunk@723496 13f79535-47bb-0310-9956-ffa450edef68</t>
  </si>
  <si>
    <t>improved matrix decomposition API.
solving a linear system AX = B is now done by a call like:
  RealVector x = new XyzSolver(new XyzDecomposition(a)).solve(b);
git-svn-id: https://svn.apache.org/repos/asf/commons/proper/math/trunk@723736 13f79535-47bb-0310-9956-ffa450edef68</t>
  </si>
  <si>
    <t>The root solvers now take the function to solve as a parameter to
the solve methods, thus allowing to reuse the same solver for different
functions.
JIRA:MATH-218
git-svn-id: https://svn.apache.org/repos/asf/commons/proper/math/trunk@724191 13f79535-47bb-0310-9956-ffa450edef68</t>
  </si>
  <si>
    <t>added a PolynomialsUtils class providing factory methods for
Chebyshev, Hermite, Laguerre and Legendre polynomials
the code was extracted from mantissa and modified
git-svn-id: https://svn.apache.org/repos/asf/commons/proper/math/trunk@739840 13f79535-47bb-0310-9956-ffa450edef68</t>
  </si>
  <si>
    <t>adapted old Levenberg-Marquardt estimator to new top level optimizers API
git-svn-id: https://svn.apache.org/repos/asf/commons/proper/math/trunk@754727 13f79535-47bb-0310-9956-ffa450edef68</t>
  </si>
  <si>
    <t>simplified Nordsieck transformer
extended its domain to handle several layouts for multistep state
git-svn-id: https://svn.apache.org/repos/asf/commons/proper/math/trunk@770179 13f79535-47bb-0310-9956-ffa450edef68</t>
  </si>
  <si>
    <t>Disabled test that fails under GUMP.
git-svn-id: https://svn.apache.org/repos/asf/commons/proper/math/trunk@776787 13f79535-47bb-0310-9956-ffa450edef68</t>
  </si>
  <si>
    <t>updated tests to take into account serialization changes and the new
derivatives consistency check
these tests have been converted to Junit4
git-svn-id: https://svn.apache.org/repos/asf/commons/proper/math/trunk@780512 13f79535-47bb-0310-9956-ffa450edef68</t>
  </si>
  <si>
    <t>completely redesigned Adams-Bashforth and Adams-Moulton integrators
they are now provided by a single class and use the Nordsieck form
with higher derivatives at current step instead of classical form
with only first derivatives but at several steps.
The implementation is simpler for both the integrators and the step
interpolator and it allows a future enhancement with adaptive stepsize.
git-svn-id: https://svn.apache.org/repos/asf/commons/proper/math/trunk@780514 13f79535-47bb-0310-9956-ffa450edef68</t>
  </si>
  <si>
    <t>removed obsolete NordsieckTransformer
git-svn-id: https://svn.apache.org/repos/asf/commons/proper/math/trunk@780517 13f79535-47bb-0310-9956-ffa450edef68</t>
  </si>
  <si>
    <t>reenabled tests
removed a development test that was committed by error
git-svn-id: https://svn.apache.org/repos/asf/commons/proper/math/trunk@781159 13f79535-47bb-0310-9956-ffa450edef68</t>
  </si>
  <si>
    <t>added serialization test
changed tests to Junit 4
git-svn-id: https://svn.apache.org/repos/asf/commons/proper/math/trunk@782435 13f79535-47bb-0310-9956-ffa450edef68</t>
  </si>
  <si>
    <t>merged curve fitting from mantissa into commons-math
git-svn-id: https://svn.apache.org/repos/asf/commons/proper/math/trunk@786479 13f79535-47bb-0310-9956-ffa450edef68</t>
  </si>
  <si>
    <t>changed the Adams-Bashforth and Adams-Moulton multistep integrators to adaptive stepsize.
this was made possible thanks to the Nordsieck representation of integration state
git-svn-id: https://svn.apache.org/repos/asf/commons/proper/math/trunk@786877 13f79535-47bb-0310-9956-ffa450edef68</t>
  </si>
  <si>
    <t>removed lots of serialization in ODE
the only classes/interfaces for which serialization is really important in this package are the step interpolators. The reason for that is that the ContinuousOutputModel is explicitly serializable and contains step interpolators. This allows users to perform integration of any complex model and to save the result of the integration for all integration range by serializing a ContinuousOutputModel instance. This feature is a major one.
git-svn-id: https://svn.apache.org/repos/asf/commons/proper/math/trunk@786881 13f79535-47bb-0310-9956-ffa450edef68</t>
  </si>
  <si>
    <t>Remove Serializable from some tranient analitics classes.
Let me know if I've nuked ur favorite one, and I can put it back
git-svn-id: https://svn.apache.org/repos/asf/commons/proper/math/trunk@786927 13f79535-47bb-0310-9956-ffa450edef68</t>
  </si>
  <si>
    <t>fixed a bracketing issue due to inconsistent checks
JIRA: MATH-280
git-svn-id: https://svn.apache.org/repos/asf/commons/proper/math/trunk@791766 13f79535-47bb-0310-9956-ffa450edef68</t>
  </si>
  <si>
    <t>cleaned up tests wrt Junit 4
git-svn-id: https://svn.apache.org/repos/asf/commons/proper/math/trunk@816654 13f79535-47bb-0310-9956-ffa450edef68</t>
  </si>
  <si>
    <t>Implemented alternative algorithm for generating poisson deviates when the mean is large. JIRA: MATH-294.
git-svn-id: https://svn.apache.org/repos/asf/commons/proper/math/trunk@824214 13f79535-47bb-0310-9956-ffa450edef68</t>
  </si>
  <si>
    <t>changed SVD to compute either compact SVD (using only positive singular values)
or truncated SVD (using only singular values up to a user-specified max number)
started fix of SVD solver that did not compute a least square solution
the fix is not complete yet as it seems the solution does not really gives the
smallest possible residuals. See for example the commented out parts of
testMath320A in SingularValueSolverTest.
JIRA: MATH-320
git-svn-id: https://svn.apache.org/repos/asf/commons/proper/math/trunk@894735 13f79535-47bb-0310-9956-ffa450edef68</t>
  </si>
  <si>
    <t>Disabled testNextPoissonConsistency pending resolution of MATH-282.
git-svn-id: https://svn.apache.org/repos/asf/commons/proper/math/trunk@903156 13f79535-47bb-0310-9956-ffa450edef68</t>
  </si>
  <si>
    <t>added Eugene Kirpichov's patch to ignore zero weights in Loess interpolation
JIRA: MATH-296
git-svn-id: https://svn.apache.org/repos/asf/commons/proper/math/trunk@903440 13f79535-47bb-0310-9956-ffa450edef68</t>
  </si>
  <si>
    <t>Dummy tests removed after revision 910475
git-svn-id: https://svn.apache.org/repos/asf/commons/proper/math/trunk@910479 13f79535-47bb-0310-9956-ffa450edef68</t>
  </si>
  <si>
    <t>Moved mantissa, experimental sources to branches.
git-svn-id: https://svn.apache.org/repos/asf/commons/proper/math/trunk@928257 13f79535-47bb-0310-9956-ffa450edef68</t>
  </si>
  <si>
    <t>MATH-395: Another bug uncovered; all things being equal, the code now behaves
like the Puthon implementation.
MATH-397: Modified "BrentOptimizer" following the changes in
"AbstractUnivariateRealOptimizer".
git-svn-id: https://svn.apache.org/repos/asf/commons/proper/math/trunk@980032 13f79535-47bb-0310-9956-ffa450edef68</t>
  </si>
  <si>
    <t>deprecated an old style exception that was forgotten
git-svn-id: https://svn.apache.org/repos/asf/commons/proper/math/trunk@981243 13f79535-47bb-0310-9956-ffa450edef68</t>
  </si>
  <si>
    <t>MATH-394, MATH-397, MATH-404
Overhaul of the "optimization" package.
Removed lots of duplicate code.
Removed methods referring to the concept of "iteration".
Removed interface methods to access the number of evaluations of the
gradient and Jacobian.
Removed all references to "OptimizationException" (replaced by
"ConvergenceException").
Javadoc comments updated.
git-svn-id: https://svn.apache.org/repos/asf/commons/proper/math/trunk@990792 13f79535-47bb-0310-9956-ffa450edef68</t>
  </si>
  <si>
    <t>Removed deprecated code.
git-svn-id: https://svn.apache.org/repos/asf/commons/proper/math/trunk@1002145 13f79535-47bb-0310-9956-ffa450edef68</t>
  </si>
  <si>
    <t>ade all distribution classes immutable (as per the conclusion of MATH-349).
Modified two classes in the "stat" package where some code conflicted with
ditribution immutability.
Replaced instances of "IllegalArgumentException" with an appropriate stateful
exception.
Cleaned up Javadoc comments.
git-svn-id: https://svn.apache.org/repos/asf/commons/proper/math/trunk@1003048 13f79535-47bb-0310-9956-ffa450edef68</t>
  </si>
  <si>
    <t>Removed deprecated code in implementations of "IntegerDistribution".
Added "final" keyword.
Added "sample" methods to "IntegerDistribution" and "ContinuousDistribution"
interfaces.
Cleaned up Javadoc.
git-svn-id: https://svn.apache.org/repos/asf/commons/proper/math/trunk@1003512 13f79535-47bb-0310-9956-ffa450edef68</t>
  </si>
  <si>
    <t>Split multiple tests
git-svn-id: https://svn.apache.org/repos/asf/commons/proper/math/trunk@1003549 13f79535-47bb-0310-9956-ffa450edef68</t>
  </si>
  <si>
    <t>MATH-425
Deleted deprecated classes in package "linear".
Removed redundant methods in "Array2DRowRealMatrix".
Removed usage of "MatrixIndexException" (class is now deprecated).
Javadoc clean up.
git-svn-id: https://svn.apache.org/repos/asf/commons/proper/math/trunk@1027952 13f79535-47bb-0310-9956-ffa450edef68</t>
  </si>
  <si>
    <t>MATH-195
Created an unchecked "FunctionEvaluationException" in package "exception".
Removed "throws" clause from interface "UnivariateRealFunction".
"PolynomialFunctionLagrangeForm": Added early check on the interpolating
array having distinct points; removed redundant test in methods "evaluate"
and "computeCoefficients".
"DividedDifferenceInerpolator": Removed redundant check.
"Mathutils": Added method "sortInPlace". Removed (most) references to the
deprecated "MathRuntimeException" class.
"optimization.direct": Removed deprecated classes.
Javadoc clean up.
git-svn-id: https://svn.apache.org/repos/asf/commons/proper/math/trunk@1030464 13f79535-47bb-0310-9956-ffa450edef68</t>
  </si>
  <si>
    <t>MATH-425
Removed usage of exceptions defined in the package "linear". Added
replacements in package "exception". Modified tests to catch the
new exception type. Deleted the deprecated package "estimation" (test
failed because of the changes).
Deprecated "MaxIterationsExceededException".
Changes in package "optimization.general" were necessary to comply with
the new exceptions and to be consistent in reporting the actual cause
of failure.
git-svn-id: https://svn.apache.org/repos/asf/commons/proper/math/trunk@1033486 13f79535-47bb-0310-9956-ffa450edef68</t>
  </si>
  <si>
    <t>MATH-438
Removed deprecated class "MatrixIndexException".
git-svn-id: https://svn.apache.org/repos/asf/commons/proper/math/trunk@1034193 13f79535-47bb-0310-9956-ffa450edef68</t>
  </si>
  <si>
    <t>MATH-438
Removed deprecated class "InvalidMatrixException".
git-svn-id: https://svn.apache.org/repos/asf/commons/proper/math/trunk@1034220 13f79535-47bb-0310-9956-ffa450edef68</t>
  </si>
  <si>
    <t>MATH-438
Removed deprecated class.
git-svn-id: https://svn.apache.org/repos/asf/commons/proper/math/trunk@1034394 13f79535-47bb-0310-9956-ffa450edef68</t>
  </si>
  <si>
    <t>MATH-438
Removed deprecated class.
git-svn-id: https://svn.apache.org/repos/asf/commons/proper/math/trunk@1034401 13f79535-47bb-0310-9956-ffa450edef68</t>
  </si>
  <si>
    <t>MATH-438
Removed deprecated class.
git-svn-id: https://svn.apache.org/repos/asf/commons/proper/math/trunk@1034451 13f79535-47bb-0310-9956-ffa450edef68</t>
  </si>
  <si>
    <t>MATH-438
Removed deprecated class.
git-svn-id: https://svn.apache.org/repos/asf/commons/proper/math/trunk@1034564 13f79535-47bb-0310-9956-ffa450edef68</t>
  </si>
  <si>
    <t>MATH-438
Removed deprecated methods.
git-svn-id: https://svn.apache.org/repos/asf/commons/proper/math/trunk@1034573 13f79535-47bb-0310-9956-ffa450edef68</t>
  </si>
  <si>
    <t>MATH-438
Removed deprecated methods.
git-svn-id: https://svn.apache.org/repos/asf/commons/proper/math/trunk@1034896 13f79535-47bb-0310-9956-ffa450edef68</t>
  </si>
  <si>
    <t>removed the ode.jacobians package
Jira: MATH-380
git-svn-id: https://svn.apache.org/repos/asf/commons/proper/math/trunk@1037343 13f79535-47bb-0310-9956-ffa450edef68</t>
  </si>
  <si>
    <t>MATH-439
Refactored the "solvers" package. Implementations refer to number of
evaluation of the objective function (instead of the number of iterations).
New interfaces and base classes.
"NewtonSolver" fits in the design without resorting to a cast.
Created class "MullerSolver2" to contain the code of the method named "solve2"
in class "MullerSolver".
Removed "UnivariateRealSolverFactory" and "UnivariateRealSolverFactoryImpl".
Default solver in "UnivariateRealSolverUtils" is explicitely instantiated.
"AbstractContinuousDistribution": Type of exception thrown changed in
"UnivariateRealSolverUtils".
Factored out duplicate code (in "GaussNewtonOptimizerTest" and
"LevenbergMarquardtOptimizerTest"): class "Circle" is now called
"CircleVectorial". Also factored out the "Circle" class from
"NonLinearConjugateGradientOptimizerTest": class is named "CircleScalar".
Created "SecantSolverTest", moving there all the tests for the class
"SecantSolver" that were located in class "BrentSolverTest".
Created new interface and base class for polynomial functions solvers
("LaguerreSolver") so that the function type is now checked at compile time.
Removed deprecated exceptions (MATH-441).
Javadoc clean-up.
Lowered tolerance values in some unit tests.
Tests upgraded to Junit 4 (MATH-423).
git-svn-id: https://svn.apache.org/repos/asf/commons/proper/math/trunk@1039083 13f79535-47bb-0310-9956-ffa450edef68</t>
  </si>
  <si>
    <t>MATH-430
Removed deprecated classes "ComposableFunction" and "BinaryFunction".
git-svn-id: https://svn.apache.org/repos/asf/commons/proper/math/trunk@1039465 13f79535-47bb-0310-9956-ffa450edef68</t>
  </si>
  <si>
    <t>MATH-451
In solvers, the maximum number of evaluations is passed as a parameter to the
method "solve". The "setMaxEvaluations" accessor is removed.
git-svn-id: https://svn.apache.org/repos/asf/commons/proper/math/trunk@1042151 13f79535-47bb-0310-9956-ffa450edef68</t>
  </si>
  <si>
    <t>MATH-461
"RealVectorFormat", "ComplexFormat", "Vector3DFormat" do not inherit anymore 
from the Java standard "Format". Removed methods that were mandated by this base
class (because they were not compatible with the new policy that CM should only
throw unchecked exceptions).
"CompositeFormat" now contains only static methods: Made it a utility class       
(i.e. with a "private" constructor).
git-svn-id: https://svn.apache.org/repos/asf/commons/proper/math/trunk@1055835 13f79535-47bb-0310-9956-ffa450edef68</t>
  </si>
  <si>
    <t>MATH-422
Removed setters. Removed coresponding unit tests.
Added a "getInstance" method so that some tests can still work.
Removed a seemingly unnecessary call to the "clone" method.
git-svn-id: https://svn.apache.org/repos/asf/commons/proper/math/trunk@1056493 13f79535-47bb-0310-9956-ffa450edef68</t>
  </si>
  <si>
    <t>Fix up double nextAfter special cases; add float test
git-svn-id: https://svn.apache.org/repos/asf/commons/proper/math/trunk@1061602 13f79535-47bb-0310-9956-ffa450edef68</t>
  </si>
  <si>
    <t>MATH-492
Removed class "MaxIterationsExceededException". Replaced last occurrence by
"MaxCountExceedeException".
git-svn-id: https://svn.apache.org/repos/asf/commons/proper/math/trunk@1061850 13f79535-47bb-0310-9956-ffa450edef68</t>
  </si>
  <si>
    <t>added FastMath.scalb(double, int) and FastMath.scalb(float, int)
deprecated MathUtils.scalb(double, int)
JIRA: MATH-498
git-svn-id: https://svn.apache.org/repos/asf/commons/proper/math/trunk@1062550 13f79535-47bb-0310-9956-ffa450edef68</t>
  </si>
  <si>
    <t>Remove reflection tests as they are in FastMathStrictComparisonTest
Enable fail if not all StrictMath methods have been implemented
git-svn-id: https://svn.apache.org/repos/asf/commons/proper/math/trunk@1062902 13f79535-47bb-0310-9956-ffa450edef68</t>
  </si>
  <si>
    <t>Tidy up test
git-svn-id: https://svn.apache.org/repos/asf/commons/proper/math/trunk@1066173 13f79535-47bb-0310-9956-ffa450edef68</t>
  </si>
  <si>
    <t>Tidy up test
git-svn-id: https://svn.apache.org/repos/asf/commons/proper/math/trunk@1066176 13f79535-47bb-0310-9956-ffa450edef68</t>
  </si>
  <si>
    <t>MATH-442
Waiting for paperwork.
git-svn-id: https://svn.apache.org/repos/asf/commons/proper/math/trunk@1067278 13f79535-47bb-0310-9956-ffa450edef68</t>
  </si>
  <si>
    <t>MATH-514
Removed "ParametricGaussianFunction" (superseded by "Gaussian.Parametric"
in package "analysis.function").
git-svn-id: https://svn.apache.org/repos/asf/commons/proper/math/trunk@1072207 13f79535-47bb-0310-9956-ffa450edef68</t>
  </si>
  <si>
    <t>MATH-542
"MathRuntimeException" provides two ways for enhancing the information content:
one for localized messages and one for storing "context" objects.
The additional methods have been added to "MathThrowable". Consequently, dummy
implementations were needed in the old "MathRuntimeException" and
"MathException".
Some parts of the tests for old exceptions were removed as they used methods
that were deleted. A call to "MathUserException" in "AbstractContinuousDistribution"
was simplified for the same reason.
"MathUtils" still contained "String" (instead of "Localizable") as argument to
the constructor of a "MathArithmeticException".
I don't know why a test in "DummyStepInterpolatorTest" stopped working. It is now
commented out; please have a look.
git-svn-id: https://svn.apache.org/repos/asf/commons/proper/math/trunk@1078734 13f79535-47bb-0310-9956-ffa450edef68</t>
  </si>
  <si>
    <t>MATH-542
Class is not used anymore.
git-svn-id: https://svn.apache.org/repos/asf/commons/proper/math/trunk@1078746 13f79535-47bb-0310-9956-ffa450edef68</t>
  </si>
  <si>
    <t>Removed the requiresDenseOutput method from the StepHandler interface. Now integrators always
consider dense output is required and set up the appropriate state interpolators, so step
handlers can rely on them.
JIRA: MATH-596, MATH-604
git-svn-id: https://svn.apache.org/repos/asf/commons/proper/math/trunk@1139831 13f79535-47bb-0310-9956-ffa450edef68</t>
  </si>
  <si>
    <t>MATH-566
Removed unused "MathRuntimeException".
git-svn-id: https://svn.apache.org/repos/asf/commons/proper/math/trunk@1146099 13f79535-47bb-0310-9956-ffa450edef68</t>
  </si>
  <si>
    <t>Fixed bugs in AbstractRandomGenerator nextInt() and nextLong() default
implementations.  Prior to the fix for this issue, these methods
generated only positive values.
JIRA: MATH-640
git-svn-id: https://svn.apache.org/repos/asf/commons/proper/math/trunk@1153338 13f79535-47bb-0310-9956-ffa450edef68</t>
  </si>
  <si>
    <t>MATH-621
Change history:
 Constants in procedures replaced by static final fields.
 NF eliminated (function evaluation counting is done in base class).
 MAXFUN eliminated (exception is thrown by base class).
 -1e300 replaced by NEGATIVE_INFINITY.
 1e300 replaced by POSITIVE_INFINITY.
 Number of interpolation points set at construction (no automatic default to "2n+1" if set to "-1").
 Replaced "checkParameters()" with "setup()" and moved validity checks from "doOptimize()" to "setup()".
 Replaced "boundaries[][]" with two "double[]" for the constraints.
 Removed unit test "testBoundariesNoData" ("null" is interpreted as "no constraints").
 Replaced "xl" and "xu" with "lowerBound" and "upperBound", respectively (Fortran 1-based indexing still used).
 Replaced "x" with "currentBest".
 Replaced "rhobeg" with "initialTrustRegionRadius". Using instance field directly instead of passing it as function argument.
 Replaced "rhoend" with "stoppingTrustRegionRadius". Using instance field directly instead of passing it as function argument.
 Removed all parameters from "bobyqa" function (using instance fields directly).
 Removed (from "bobyqa" function) a test on the bound difference: It would never fail because of the auto-correction in "setup".
 Replaced "ScopedPtr" by "FortranArray" for all one-dimensional data.
 0-based loop in "bobyqa".
 Replaced "ScopedPtr" by "FortranMatrix" for all matrix data.
 Loop-local counters in all functions.
 Replaced kopt with "trustRegionCenterInterpolationPointIndex" instance variable.
 Removed "ndim", "n" and "npt" from the arguments list of all functions.
 Removed "w" from the arguments list of "update".
 Removed "w" from the arguments list of "altmov" (replaced with local variables "work1" and "work2").
 In "trsbox" arguments list, replaced "ScopedPtr" ("gnew", "xbdi", "s", "hs", "hred") by "FortranArray".
 Removed "ptsaux", "ptsid" from arguments list of "rescue" (replaced with local variables).
 Corrected bug in "rescue" function.
 Removed "w" from arguments list of "rescue".
 Removed "glag" and "hcol" from arguments list of "altmov" (replaced by local variables).
 Removed "w" from arguments list of "bobyqb" (replaced by local variables).
 Removed global work space "w".
 Removed auxiliary class "ScopedPtr".
 Removed "alpha" and "cauchy" ("DoubleRef") in "altmov" arguments list: Values returned in a "double[]" array.
 Removed "dsq" and "crvmin" ("DoubleRef") in "trsbox" arguments list: Values returned in a "double[]" array.
 Removed "DoubleRef" auxiliary class.
 Removed unused local variables; changed some to be "final".
This is still an intermediate version. Please do not commit any changes
without discussing it on JIRA.
git-svn-id: https://svn.apache.org/repos/asf/commons/proper/math/trunk@1154550 13f79535-47bb-0310-9956-ffa450edef68</t>
  </si>
  <si>
    <t>MATH-621
Removed unnecessary test.
git-svn-id: https://svn.apache.org/repos/asf/commons/proper/math/trunk@1158017 13f79535-47bb-0310-9956-ffa450edef68</t>
  </si>
  <si>
    <t>MATH-621
Removed function "rescue" and "case 190" in function "bobyqb".
git-svn-id: https://svn.apache.org/repos/asf/commons/proper/math/trunk@1158448 13f79535-47bb-0310-9956-ffa450edef68</t>
  </si>
  <si>
    <t>MATH-653
Removed methods taking a "double[]" argument.
git-svn-id: https://svn.apache.org/repos/asf/commons/proper/math/trunk@1162800 13f79535-47bb-0310-9956-ffa450edef68</t>
  </si>
  <si>
    <t>MATH-413
Convergence checker passed in the constructor.
git-svn-id: https://svn.apache.org/repos/asf/commons/proper/math/trunk@1164300 13f79535-47bb-0310-9956-ffa450edef68</t>
  </si>
  <si>
    <t>Completed reversion of r1164756 changes (for now).
git-svn-id: https://svn.apache.org/repos/asf/commons/proper/math/trunk@1164923 13f79535-47bb-0310-9956-ffa450edef68</t>
  </si>
  <si>
    <t>Replaced checked ConvergenceException with an unchecked version.
JIRA: MATH-487
git-svn-id: https://svn.apache.org/repos/asf/commons/proper/math/trunk@1177986 13f79535-47bb-0310-9956-ffa450edef68</t>
  </si>
  <si>
    <t>Removed unused exception.
git-svn-id: https://svn.apache.org/repos/asf/commons/proper/math/trunk@1178234 13f79535-47bb-0310-9956-ffa450edef68</t>
  </si>
  <si>
    <t>MATH-675
Improved test implementation and increased coverage for "isMonotonic"
function.
git-svn-id: https://svn.apache.org/repos/asf/commons/proper/math/trunk@1183119 13f79535-47bb-0310-9956-ffa450edef68</t>
  </si>
  <si>
    <t>MATH-690
Removed "sinh" and "cosh" from "MathUtils"; replaced uses with calls to
equivalent in "FastMath".
git-svn-id: https://svn.apache.org/repos/asf/commons/proper/math/trunk@1183128 13f79535-47bb-0310-9956-ffa450edef68</t>
  </si>
  <si>
    <t>Simpify exception checking:
- use expected @Test attribute
- don't catch and rethrow
git-svn-id: https://svn.apache.org/repos/asf/commons/proper/math/trunk@1200430 13f79535-47bb-0310-9956-ffa450edef68</t>
  </si>
  <si>
    <t>Patch contributed by Christian Winter (MATH-703).
git-svn-id: https://svn.apache.org/repos/asf/commons/proper/math/trunk@1209836 13f79535-47bb-0310-9956-ffa450edef68</t>
  </si>
  <si>
    <t>Fixed rounding error in RandomDataImpl nextInt, nextLong methods causing lower
endpoints to be excluded when negative. Also improved robustness of nextUniform
for extreme values and changed its contract to throw IAE when provided bounds
are infinite or NaN.
JIRA: MATH-724
Reported and patched by Dennis Hendriks
git-svn-id: https://svn.apache.org/repos/asf/commons/proper/math/trunk@1221490 13f79535-47bb-0310-9956-ffa450edef68</t>
  </si>
  <si>
    <t>Widened the scope of tests for transform.FastFourierTransformer (MATH-677).
git-svn-id: https://svn.apache.org/repos/asf/commons/proper/math/trunk@1232767 13f79535-47bb-0310-9956-ffa450edef68</t>
  </si>
  <si>
    <t>In o.a.c.m.transform, introduced an enumeration for the type (forward, inverse) of transform asked by the user (MATH-743).
git-svn-id: https://svn.apache.org/repos/asf/commons/proper/math/trunk@1242703 13f79535-47bb-0310-9956-ffa450edef68</t>
  </si>
  <si>
    <t>In package o.a.c.m.transform
  - replaced RealTransformer.transform(double[]) and RealTransformer.inverseTransform(double[]) with RealTransformer.transform(double[], TransformType)
  - replaced RealTransformer.transform(UnivariateFunction, double, double, int) and RealTransformer.inverseTransform(UnivariateFunction, double, double, int) with RealTransformer.transform(UnivariateFunction, double, double, int, TransformType).
See MATH-743
git-svn-id: https://svn.apache.org/repos/asf/commons/proper/math/trunk@1243110 13f79535-47bb-0310-9956-ffa450edef68</t>
  </si>
  <si>
    <t>MATH-488
Removed deprecated "MathException".
git-svn-id: https://svn.apache.org/repos/asf/commons/proper/math/trunk@1243473 13f79535-47bb-0310-9956-ffa450edef68</t>
  </si>
  <si>
    <t>Changed StorelessCovariance according to suggestions from psteitz.
JIRA: MATH-449
git-svn-id: https://svn.apache.org/repos/asf/commons/proper/math/trunk@1245133 13f79535-47bb-0310-9956-ffa450edef68</t>
  </si>
  <si>
    <t>Removed files not to be included in CM 3.0.
git-svn-id: https://svn.apache.org/repos/asf/commons/proper/math/trunk@1295533 13f79535-47bb-0310-9956-ffa450edef68</t>
  </si>
  <si>
    <t>MATH-795: factored out testOuterProduct() and testMisc().
git-svn-id: https://svn.apache.org/repos/asf/commons/proper/math/trunk@1345837 13f79535-47bb-0310-9956-ffa450edef68</t>
  </si>
  <si>
    <t>MATH-795: factored out unit tests for RealVector.map(UnivariateFunction) and RealVector.mapToSelf(UnivariateFunction).
This test fails with OpenMapRealVector. This is a known issue (sign of zero is lost in this class).
git-svn-id: https://svn.apache.org/repos/asf/commons/proper/math/trunk@1353825 13f79535-47bb-0310-9956-ffa450edef68</t>
  </si>
  <si>
    <t>MATH-795: factored out unit test of
RealMatrix RealVector.outerProduct(RealVector)
This test fails with the default implementation provided by the abstract class RealMatrix.
git-svn-id: https://svn.apache.org/repos/asf/commons/proper/math/trunk@1354330 13f79535-47bb-0310-9956-ffa450edef68</t>
  </si>
  <si>
    <t>MATH-795:
In org.apache.commons.math3.linear.RealVectorAbstractTest
  - factored out unit tests of RealVector RealVector.set(double),
  - created unit tests of double[] RealVector.toArray(),
  - factored out unit tests of RealVector RealVector.unitVector(),
  - factored out unit tests of void RealVector.unitize(),
  - created unit tests of Iterator&lt;RealVector.Entry&gt; RealVector.iterator().
In org.apache.commons.math3.linear.ArrayRealVector, removed unnecessary overrides of unitVector() and unitize().
In org.apache.commons.math3.linear.RealVector
  - unitVector() and unitize() now throw an ArithmeticException when the norm is 0 (as specified in the Javadoc),
  - the returned iterator() returns NoSuchElementException as specified in the general contract of iterators.
git-svn-id: https://svn.apache.org/repos/asf/commons/proper/math/trunk@1354822 13f79535-47bb-0310-9956-ffa450edef68</t>
  </si>
  <si>
    <t>MATH-795: in RealVectorAbstractTest, refactored unit tests of
  - RealVector RealVector.combine(double, double, RealVector),
  - RealVector RealVector.combineToSelf(double, double, RealVector).
git-svn-id: https://svn.apache.org/repos/asf/commons/proper/math/trunk@1356070 13f79535-47bb-0310-9956-ffa450edef68</t>
  </si>
  <si>
    <t>MATH-795: in RealVectorAbstractTest, factored out unit tests for
double dotProduct(RealVector)
As first reported by Bill Barker, these tests fail with the current default implementation (in RealVector) as well as the sparse implementation (in OpenMapRealVector).
git-svn-id: https://svn.apache.org/repos/asf/commons/proper/math/trunk@1356576 13f79535-47bb-0310-9956-ffa450edef68</t>
  </si>
  <si>
    <t>MATH-795: removed redundant unit tests.
git-svn-id: https://svn.apache.org/repos/asf/commons/proper/math/trunk@1358046 13f79535-47bb-0310-9956-ffa450edef68</t>
  </si>
  <si>
    <t>MATH-795:
  - Corrected some build failures caused by changes in r1358046.
  - Moved javadoc of boolean ArrayRealVector.equals(Object) to RealVector.
  - In RealVector, default implementations of equals(Object) and hashCode() throw UnsupportedOperationException, in order to force implementation in subclasses.
git-svn-id: https://svn.apache.org/repos/asf/commons/proper/math/trunk@1358048 13f79535-47bb-0310-9956-ffa450edef68</t>
  </si>
  <si>
    <t>In RealVectorTest, removed testClone(), which does not test anything.
git-svn-id: https://svn.apache.org/repos/asf/commons/proper/math/trunk@1358344 13f79535-47bb-0310-9956-ffa450edef68</t>
  </si>
  <si>
    <t>MATH-795: in RealVectorTest, removed
  - testCombineToSelfPrecondition()
  - testCombineToSelf()
which are redundant with other tests already implemented in RealVectorAbstractTest.
git-svn-id: https://svn.apache.org/repos/asf/commons/proper/math/trunk@1358346 13f79535-47bb-0310-9956-ffa450edef68</t>
  </si>
  <si>
    <t>MATH-795: in RealVectorTest, removed unecessary re-implementation of testAddToEntry.
git-svn-id: https://svn.apache.org/repos/asf/commons/proper/math/trunk@1358349 13f79535-47bb-0310-9956-ffa450edef68</t>
  </si>
  <si>
    <t>MATH-795: final clean-up of ArrayRealVectorTest.
git-svn-id: https://svn.apache.org/repos/asf/commons/proper/math/trunk@1358366 13f79535-47bb-0310-9956-ffa450edef68</t>
  </si>
  <si>
    <t>the regular function objects (Acos, Sqrt, ...) now implement the new UnivariateDifferentiable interface.
git-svn-id: https://svn.apache.org/repos/asf/commons/proper/math/trunk@1374631 13f79535-47bb-0310-9956-ffa450edef68</t>
  </si>
  <si>
    <t>MATH-867
Previous commit was missing a crucial modification (in the "repair" method),
an inconsistency which entailed the failing of some tests.
With that modification (thanks to Nikolaus Hansen), it was established that
the "encode" and "decode" steps were indeed useless. This commit thus removes
them, and all the code that was necessary only because of those two methods.
Finite and infinite can now be freely mixed.
Unit tests that depended on those limitations were also removed (thus also
the one that was added following MATH-865).
git-svn-id: https://svn.apache.org/repos/asf/commons/proper/math/trunk@1391908 13f79535-47bb-0310-9956-ffa450edef68</t>
  </si>
  <si>
    <t>In class Beta, removed auxiliary function bcorr, as it is not ready to be
included in version 3.1 of Commons-Math.
git-svn-id: https://svn.apache.org/repos/asf/commons/proper/math/trunk@1414525 13f79535-47bb-0310-9956-ffa450edef68</t>
  </si>
  <si>
    <t>In class Gamma, removed auxiliary functions logGammaSum and
logGammaMinusLogGammaSum, as they are not ready to be included in version 3.1
of Commons-Math.
git-svn-id: https://svn.apache.org/repos/asf/commons/proper/math/trunk@1414527 13f79535-47bb-0310-9956-ffa450edef68</t>
  </si>
  <si>
    <t>reverting commit introduced in r1426616
git-svn-id: https://svn.apache.org/repos/asf/commons/proper/math/trunk@1426751 13f79535-47bb-0310-9956-ffa450edef68</t>
  </si>
  <si>
    <t>Removed the log10 declaration in RealFieldElement interface.
This method introduced a binary incompatibility as one implementing
class (Dfp) did not have the proper return type and had to be changed.
The method will be added back in the interface for 4.0, when it will be
allowed to change the return type for Dfp.
git-svn-id: https://svn.apache.org/repos/asf/commons/proper/math/trunk@1455053 13f79535-47bb-0310-9956-ffa450edef68</t>
  </si>
  <si>
    <t>Replaced unit tests.
git-svn-id: https://svn.apache.org/repos/asf/commons/proper/math/trunk@1488417 13f79535-47bb-0310-9956-ffa450edef68</t>
  </si>
  <si>
    <t>Oops - accidentally committed test for new method that's not yet added
git-svn-id: https://svn.apache.org/repos/asf/commons/proper/math/trunk@1500487 13f79535-47bb-0310-9956-ffa450edef68</t>
  </si>
  <si>
    <t>[MATH-842] revert incomplete change and postpone.
git-svn-id: https://svn.apache.org/repos/asf/commons/proper/math/trunk@1524213 13f79535-47bb-0310-9956-ffa450edef68</t>
  </si>
  <si>
    <t>MATH-1047
Added overflow checking to "ArithmeticUtils.pow(long,int)".
git-svn-id: https://svn.apache.org/repos/asf/commons/proper/math/trunk@1537324 13f79535-47bb-0310-9956-ffa450edef68</t>
  </si>
  <si>
    <t>Simplified 1-sphere case.
git-svn-id: https://svn.apache.org/repos/asf/commons/proper/math/trunk@1554654 13f79535-47bb-0310-9956-ffa450edef68</t>
  </si>
  <si>
    <t>[MATH-1038] Refactor code as agreed on the mailinglist.
git-svn-id: https://svn.apache.org/repos/asf/commons/proper/math/trunk@1560531 13f79535-47bb-0310-9956-ffa450edef68</t>
  </si>
  <si>
    <t>[MATH-749] Fix GrahamScan2D for colinear points, improve tests.
git-svn-id: https://svn.apache.org/repos/asf/commons/proper/math/trunk@1562975 13f79535-47bb-0310-9956-ffa450edef68</t>
  </si>
  <si>
    <t>Rewrote completely the enclosing spherical cap computation on 2-sphere.
The previous version was based on Welzl algorithm, but it appeared this
algorithm really need some properties that hold in Euclidean spaces and
not on the sphere.
The current version is not perfect in the sense that some times the
enclosing spherical cap returned is not the smallest possible. It is
documented in the Javadoc.
git-svn-id: https://svn.apache.org/repos/asf/commons/proper/math/trunk@1567599 13f79535-47bb-0310-9956-ffa450edef68</t>
  </si>
  <si>
    <t>[MATH-749] Remove GrahamScan, GiftWrap, make MonotoneChain more robust wrt collinear points, add ConvergenceException in case the specified tolerance results in a non-convex hull.
git-svn-id: https://svn.apache.org/repos/asf/commons/proper/math/trunk@1568752 13f79535-47bb-0310-9956-ffa450edef68</t>
  </si>
  <si>
    <t>Separate least squares algorithm from problem.
The least squares package now has two main interfaces LeastSquaresOptimizer and
LeastSquaresProblem, where the optimizer can be applied to the problem.
In this commit all of the test cases pass with one change (annotated) to
LevenbergMarquardt.testControlParameters(). The tests for Gauss Newton were
expanded to cover using the QR decomposition, which revealed a QR default
tolerance discrepancy.
A factory and a mutable builder were create for LeastSquaresProblem.
This commit is a backport of Evan Ward github commit
 https://github.com/wardev/commons-math/commit/7e9a15efb535b91afad9d8275eb2864ea2295ab4
into the current development version.
Conflicts:
	src/main/java/org/apache/commons/math3/fitting/leastsquares/AbstractLeastSquaresOptimizer.java
	src/main/java/org/apache/commons/math3/fitting/leastsquares/GaussNewtonOptimizer.java
	src/main/java/org/apache/commons/math3/optim/AbstractOptimizer.java
	src/test/java/org/apache/commons/math3/fitting/leastsquares/AbstractLeastSquaresOptimizerAbstractTest.java
	src/test/java/org/apache/commons/math3/fitting/leastsquares/GaussNewtonOptimizerTest.java
	src/test/java/org/apache/commons/math3/fitting/leastsquares/LevenbergMarquardtOptimizerTest.java
git-svn-id: https://svn.apache.org/repos/asf/commons/proper/math/trunk@1569342 13f79535-47bb-0310-9956-ffa450edef68</t>
  </si>
  <si>
    <t>JUnit directly executes least squares tests
Previously JUnit would make the call to test a specific optimizer, and
then that method would call all of the individual test cases relevant to
that optimizer.,Now JUnit will directly call each individual test case.
The same test coverage is preserved. The GaussNewtonOptimizerTest is
split into two classes, one for each decomposition algorithm it can use.
There is a significant amount of duplicated code between
GaussNewtonOptimizerWithLUTest and GaussNewtonOptimizerWithQRTest.
git-svn-id: https://svn.apache.org/repos/asf/commons/proper/math/trunk@1569359 13f79535-47bb-0310-9956-ffa450edef68</t>
  </si>
  <si>
    <t>Make QR in GaussNewton faster and more accurate
Re-factored the code in GaussNewtonOptimizer so that the decomposition
algorithm sees the Jacobian and residuals instead of the normal
equation. This lets the QR algorithm operate directly on the Jacobian
matrix, which is faster and less sensitive to numerical errors. As a
result, one test case that threw a singular matrix exception now passes
with the QR decomposition.
The refactoring also include a speed improvement when computing the
normal matrix for the LU decomposition. Since the normal matrix is
symmetric only half of is computed, which results in a factor of 2 speed
up in computing the normal matrix for problems with many more
measurements than states.
git-svn-id: https://svn.apache.org/repos/asf/commons/proper/math/trunk@1569905 13f79535-47bb-0310-9956-ffa450edef68</t>
  </si>
  <si>
    <t>Relaxed specification for function mapping on vectors.
JIRA: MATH-821
git-svn-id: https://svn.apache.org/repos/asf/commons/proper/math/trunk@1570254 13f79535-47bb-0310-9956-ffa450edef68</t>
  </si>
  <si>
    <t>Factored Kth selector and pivoting strategy out from Percentile.
Thanks to Venkatesha Murthy for the patch.
JIRA: MATH-1120
git-svn-id: https://svn.apache.org/repos/asf/commons/proper/math/trunk@1610141 13f79535-47bb-0310-9956-ffa450edef68</t>
  </si>
  <si>
    <t>Modified KolmogorovSmirnovTest cdf computation to use the Pelz-Good
approximation (per Simard-L'Ecuyer) for n &gt; 140.  Removed R reference tests, as
our implementation is now different (but should be more accurate)
for the n values covered by the tests.
Also added a PI_SQUARED constant to MathUtils.
JIRA: MATH-1131
git-svn-id: https://svn.apache.org/repos/asf/commons/proper/math/trunk@1613723 13f79535-47bb-0310-9956-ffa450edef68</t>
  </si>
  <si>
    <t>MATH-1138 #comment Implemented new BiCubicSplineInterpolator,  supporting Akima Spline Interpolator and updated tests</t>
  </si>
  <si>
    <t>Remove deprecated stat.clustering package.</t>
  </si>
  <si>
    <t>Remove deprecated method medianOf3 in Percentile.</t>
  </si>
  <si>
    <t>Remove deprecated classes in package geometry.partitioning.utilities.</t>
  </si>
  <si>
    <t>Remove deprecated classes and methods.</t>
  </si>
  <si>
    <t>[MATH-437] Remove deprecated KS distribution.</t>
  </si>
  <si>
    <t>[MATH-859] Remove deprecated isSupportXXXInclusive methods from RealDistribution.</t>
  </si>
  <si>
    <t>Remove deprecated optimization package.</t>
  </si>
  <si>
    <t>Remove deprecated interpolation and fitter classes.</t>
  </si>
  <si>
    <t>[MATH-757] Removed broken and deprecated synchronization support in ResizableDoubleArray.</t>
  </si>
  <si>
    <t>Remove deprecated interfaces/classes/methods in analysis package.</t>
  </si>
  <si>
    <t>Remove deprecated classes in optim package.</t>
  </si>
  <si>
    <t>[MATH-1205] Major refactoring of the descriptive statistics package.</t>
  </si>
  <si>
    <t>[MATH-1153] Improve performance of BetaDistribution#sample. Thanks to Sergei Lebedev.</t>
  </si>
  <si>
    <t>Reverted commit about mapping functions in MathArrays.
As discussed on the mailing list, the same result can be obtained with
existing higher level API, for example:
  new ArrayRealVector(array, false).map(f).toArray();</t>
  </si>
  <si>
    <t>MATH-1243
Removed deprecated code.</t>
  </si>
  <si>
    <t>MATH-1220: random generator based on rejection-inversion sampling for
Zipf distributions</t>
  </si>
  <si>
    <t>Reverted flawed fix for MATH-1246.</t>
  </si>
  <si>
    <t>Redundant unit test removed.
Renamed two methods to be clearer about what is being tested.</t>
  </si>
  <si>
    <t>Allow zero-length fill (i.e. no-op call).</t>
  </si>
  <si>
    <t>Dropped useless tests; added KS test for uniformity of nextDouble.  JIRA: MATH-1317.</t>
  </si>
  <si>
    <t>Reverting commit 4cbb388ba9099be121f81d75000acc3af93bf993 as per Gilles request.
The work on revamping the random packages is perfoemd in the random-ravamp branch.</t>
  </si>
  <si>
    <t>MATH-1158
Using the new sampler API.
Deprecate old API (including the now obsolete constructors).
Apart from the main focus of the issue (distribution classes), this change also had an impact on:
 * some of test classes that use random numbers (where the tolerance may have its value updated when it is highly sensitive on the RNG seed)
 * statistical inference tests that use a distribution but not the RNG (cf. MATH-1124) which now deprecated code passed to its contructor.
 * classes in package "o.a.c.m.random" that depend on some of the distributions</t>
  </si>
  <si>
    <t>MATH-1158
Removed deprecated sampling API (and constructors).
In this pass, the integer distributions have been updated.
Class "RandomDataGenerator" has been reverted to use the old RNG implementation (a wrapper is created whenever it must be passed to a distribution's "createSampler" method).</t>
  </si>
  <si>
    <t>MATH-736
Removed methods deprecated 4 years ago.</t>
  </si>
  <si>
    <t>MATH-1366
Implementation of the RNG was moved to package "o.a.c.m.rng.internal.source32".</t>
  </si>
  <si>
    <t>MATH-1366
Functionality of "RandomAdaptor" replaced by "JDKRandomAdaptor" for the new RNG API.</t>
  </si>
  <si>
    <t>MATH-1346
Class removed: similar functionality is available from "EmpiricalDistribution",
"RandomUtils.DataGenerator" and classes in package "o.a.c.m.distribution".</t>
  </si>
  <si>
    <t>MATH-1366
Deleted a bunch of inter-dependent classes and unit tests.
All RNG algorithms previously implemented in package "o.a.c.m.random" are now in package "o.a.c.m.rng.internal.source32".
Functionalities of "RandomDataGenerator" are provided by "RandomUtils.DataGenerator" and classes in package "o.a.c.m.distribution".
Base classes "BitsStreamGenerator" and "AbstractWell" are obsolete (replaced by classes in package "o.a.c.m.rng.internal" and below).</t>
  </si>
  <si>
    <t>MATH-1383
Commons Math now depends on Commons Rng.</t>
  </si>
  <si>
    <t>Depend on Commons RNG v1.0 official release.</t>
  </si>
  <si>
    <t>MATH-1393: Remove code provided in "Commons RNG".</t>
  </si>
  <si>
    <t>Typos.</t>
  </si>
  <si>
    <t>MATH-1393: Remove functionality available in "Commons RNG".</t>
  </si>
  <si>
    <t>MATH-1393: Remove functionality provided by "Commons RNG".</t>
  </si>
  <si>
    <t>MATH-1413 add generics to the Frequency class</t>
  </si>
  <si>
    <t>MATH-1416: Depend on "Commons Numbers".
Replaced class "Precision" by its equivalent in module "commons-numbers-core".</t>
  </si>
  <si>
    <t>MATH-1416: Depend on "Commons Numbers".
Replaced class "ArithmeticUtils" by its equivalent in module "commons-numbers-core".</t>
  </si>
  <si>
    <t>MATH-1416: Delete functionality now in "Commons Numbers".</t>
  </si>
  <si>
    <t>MATH-1416: Deleted "ContinuedFraction".
Code is now part of "Commons Numbers" (in module "commons-numbers-fraction").</t>
  </si>
  <si>
    <t>MATH-1416: Deleted code ported to "Commons Numbers" (module "commons-numbers-combinatorics").</t>
  </si>
  <si>
    <t>MATH-1416: Delete utilities now in "Commons Numbers".</t>
  </si>
  <si>
    <t>MATH-1416: Delete functionality available in "Commons Numbers".</t>
  </si>
  <si>
    <t>MATH-1429: "UnitSphereRandomVectorGenerator" replaced by "UnitSphereSampler".
Functionality moved to "Commons RNG":
  https://issues.apache.org/jira/browse/RNG-39</t>
  </si>
  <si>
    <t>MATH-1416: Remove FractionFormat and ProperFractionFormat from commons-math as they have been moved to commons-numbers</t>
  </si>
  <si>
    <t>MATH-1416: Remove BigFractionFormat and ProperBigFractionFormat from commons-math as they have been moved to commons-numbers</t>
  </si>
  <si>
    <t>MATH-1416: Remove Quaternion from commons-math as it have been moved to commons-numbers</t>
  </si>
  <si>
    <t>MATH-1416: Remove RootsOfUnity from commons-math as it have been moved to commons-numbers</t>
  </si>
  <si>
    <t>MATH-1416: Remove Primes from commons-math as it have been moved to commons-numbers</t>
  </si>
  <si>
    <t>MATH-1443: Depend on "Commons Statistics".
Deleted all classes that have a counterpart in "Commons Statistics".</t>
  </si>
  <si>
    <t>MATH-1437: adding additional unit tests and test utilities for o.a.c.m.geometry.euclidean.twod and o.a.c.m.geometry.euclidean.threed</t>
  </si>
  <si>
    <t>MATH-1437: adding more tests to PolygonsSetTest; tests rely on the fix for MATH-1450</t>
  </si>
  <si>
    <t>MATH-1416: Depend on "Commons Numbers".</t>
  </si>
  <si>
    <t>Removed unused classes.
Class "Complex" is replaced by its equivalent in "Commons Numbers".
Class "ComplexField" has no replacement: see ongoing discussion on the
"dev" ML (and issue NUMBERS-51 on JIRA).</t>
  </si>
  <si>
    <t>MATH-1469: Removal of codes ported to "Commons Geometry".
Classes "FieldVector3D" and "FieldRotation" were not ported as they depend on "RealFieldElement".</t>
  </si>
  <si>
    <t>MATH-1446: Removed "Fraction" class (ported to "Commons Numbers").
Functionality unused within "Commons Math" was also removed:
 * Utility to build "FieldMatrix&lt;Fraction&gt;" instances.
 * Utility to convert from "FieldMatrix&lt;Fraction&gt;" to "RealMatrix".
Class "Fraction" was used for testing "Field" functionalities.
Corresponding unit tests were refactored to use class "Dfp" instead.
A "dummy" class ("Dfp25") was introduced for that purpose (in "src/test").
Some tests, too tied to the field type being "Fraction", were modified.</t>
  </si>
  <si>
    <t>MATH-1504: Removed "BigFraction" class (ported to "Commons Numbers").
Functionality unused within "Commons Math" was also removed:
 * Utility to build "FieldMatrix&lt;BigFraction&gt;" instances.
 * Utility to convert from "FieldMatrix&lt;BigFraction&gt;" to "RealMatrix".
Class "BigFraction" was used for testing "Field" functionalities.
Corresponding unit tests were refactored to use class "Dfp" instead.</t>
  </si>
  <si>
    <t>Obsolete class.
Functionality was moved to "Commons Numbers".</t>
  </si>
  <si>
    <t>MATH-1506: Removed class ported to "Commons Numbers".
See https://issues.apache.org/jira/projects/NUMBERS/issues/NUMBERS-140</t>
  </si>
  <si>
    <t>Removed obsolete "copyOf" method.</t>
  </si>
  <si>
    <t>MATH-1362: Removed class that is not used anymore within "Commons Math".</t>
  </si>
  <si>
    <t>MATH-1524: Remove package initialization and reuse chooseInitialCenters as package-private</t>
  </si>
  <si>
    <t>MATH-1547: Remove "findBest" and "findBestAndSecondBest" methods from "MapUtils".
Use equivalent functionality from class "MapRanking".</t>
  </si>
  <si>
    <t>MATH-1554: Remove package "o.a.c.math4.geometry".</t>
  </si>
  <si>
    <t>MATH-1578: Modularization.
Code moved from "o.a.c.math4.legacy.ml.neuralnet" into a dedicated module.
Refactored "TSP" example application (formerly provided as a unit test).</t>
  </si>
  <si>
    <t>MATH-1533: Javadoc explaining that the issue is actually not a problem.
Corresponding unit test has been removed.</t>
  </si>
  <si>
    <t>MATH-1581: Removed "hash" methods.</t>
  </si>
  <si>
    <t>MATH-1581: Removed "copySign" methods.</t>
  </si>
  <si>
    <t>MATH-1581: Removed "equals" method.</t>
  </si>
  <si>
    <t>MATH-1584: Move "MathUtils.check..." functions to associated exception class.</t>
  </si>
  <si>
    <t>Remove unused class.</t>
  </si>
  <si>
    <t>MATH-1593: Remove duplicate functionality (provided in "Commons RNG").</t>
  </si>
  <si>
    <t>MATH-1592: Remove "NumberTransformer" (transformations should be done by caller).
Closes #186.</t>
  </si>
  <si>
    <t>Unused classes (in "src/test").</t>
  </si>
  <si>
    <t>MATH-1598: Class is not used anymore within "Commons Math".
Functionality is available from "Commons RNG".</t>
  </si>
  <si>
    <t>MATH-1599: Class removed (out-of-scope).</t>
  </si>
  <si>
    <t>MATH-1594: Remove "Serializable".</t>
  </si>
  <si>
    <t>MATH-1608: Remove random string generator.
Functionality is out-of-scope (cf. "Commons Codec").</t>
  </si>
  <si>
    <t>MATH-1610: Functionality moved to "Commons RNG" (cf. RNG-145).</t>
  </si>
  <si>
    <t>Functionality has been moved to "Commons Numbers" (cf. NUMBERS-164).</t>
  </si>
  <si>
    <t>MATH-1614: Refactoring of "SimplexOptimizer".
Class "Simplex" supersedes "AbstractSimplex" whose subclasses are replaced
by implementations of the "Simplex.TransformFactory" interface.
The new classes are immutable.
Test suite has been updated.
It tries to assess correctness through randomization; however some standard
optimization problems entail systematic failures that were previously hidden
through using fixed seeds.  [The corresponding unit tests are skipped, and
further work is needed in order to find out whether those problems are too
hard for the algorithm or the issue lies elsewhere.]</t>
  </si>
  <si>
    <t>MATH-1615: Functionality is in "Commons RNG" (cf. RNG-137).</t>
  </si>
  <si>
    <t>MATH-1611: Obsolete class.
Functionality moved to "Commons RNG" (cf. RNG-140).</t>
  </si>
  <si>
    <t>MATH-1616: Refactor "EmpiricalDistribution".
* No default bin count (cf. MATH-1462).
* No data loading from external sources (file, URL).
* No data abstraction layer.
* Return defensive copies of the internal state.
* Make class immutable.
* Allow user-defined within-bin kernel.</t>
  </si>
  <si>
    <t>Suppress obsolete unit test.
Class "ConstantContinuousDistribution" has been removed from "Commons Statistics".</t>
  </si>
  <si>
    <t>Remove duplicate function (unit tests).</t>
  </si>
  <si>
    <t>MATH-1623: Remove duplicate unit tests.
Standard test functions are now handled by class "SimplexOptimizerTest".</t>
  </si>
  <si>
    <t>MATH-1623: Add unit tests for "HedarFukushimaTransform".
Adapt input files for the "simulated annealing" option.
Class "SimplexOptimizerHedarFukushimaTest" superseded by input from CSV.</t>
  </si>
  <si>
    <t>Move tests for expected exceptions to "SimplexOptimizerTest" class.</t>
  </si>
  <si>
    <t>Simplify data format for "SimplexOptimizerTest" (randomized) input.
This commit also makes the following changes (unit tests):
 * Add/remove/rename/rewrite test functions.</t>
  </si>
  <si>
    <t>Remove obsolete helper class for unit testing.
Retries are handled by the "surefire" plugin.</t>
  </si>
  <si>
    <t>Class "JdkMath" bridges user code and alternative implementations.
It's a "drop-in" replacement for JDK's "Math" as of Java 8 (cf. MATH-1630).
"AccurateMath" contains pure Java, acccurate, implementations of "Math" functions.
But it is no longer required to implement all of them.</t>
  </si>
  <si>
    <t>MATH-1636: Remove "isSupportedConnected" (as per STATISTICS-48).</t>
  </si>
  <si>
    <t>MATH-1651: Modified unit test.
The old test was flaky because it assumed a fixed iteration order.
[Thanks to Anant Dahiya for pointing it out.]
The new test indirectly checks how neuron's identifiers are assigned.
Closes #213.</t>
  </si>
  <si>
    <t>Remove "CombinatoricsUtils" class
Functionality is in "Commons Numbers" combinatorics package.</t>
  </si>
  <si>
    <t>src/test/org/apache/commons/math/ExpandableDoubleArrayTest.java</t>
  </si>
  <si>
    <t>src/test/org/apache/commons/math/ContractableDoubleArrayTest.java</t>
  </si>
  <si>
    <t>src/test/org/apache/commons/math/BeanListUnivariateImplTest.java</t>
  </si>
  <si>
    <t>src/test/org/apache/commons/math/BivariateRegressionTest.java</t>
  </si>
  <si>
    <t>src/test/org/apache/commons/math/ListUnivariateImplTest.java</t>
  </si>
  <si>
    <t>src/test/org/apache/commons/math/StoreUnivariateImplTest.java</t>
  </si>
  <si>
    <t>src/test/org/apache/commons/math/UnivariateImplTest.java</t>
  </si>
  <si>
    <t>src/test/org/apache/commons/math/distribution/ChiSquareDistributionTest.java</t>
  </si>
  <si>
    <t>src/test/org/apache/commons/math/distribution/DistributionFactoryImplTest.java</t>
  </si>
  <si>
    <t>src/test/org/apache/commons/math/distribution/GammaDistributionTest.java</t>
  </si>
  <si>
    <t>src/test/org/apache/commons/math/stat/CertifiedDataTest.java</t>
  </si>
  <si>
    <t>src/test/org/apache/commons/math/distribution/ExponentialDistributionTest.java</t>
  </si>
  <si>
    <t>src/test/org/apache/commons/math/RealSolverTest.java</t>
  </si>
  <si>
    <t>src/test/org/apache/commons/math/TestStatisticTest.java</t>
  </si>
  <si>
    <t>src/test/org/apache/commons/math/util/FixedDoubleArrayTest.java</t>
  </si>
  <si>
    <t>src/test/org/apache/commons/math/MathConfigurationExceptionTest.java</t>
  </si>
  <si>
    <t>src/test/org/apache/commons/math/MathExceptionTest.java</t>
  </si>
  <si>
    <t>src/test/org/apache/commons/math/analysis/BisectionSolverTest.java</t>
  </si>
  <si>
    <t>src/test/org/apache/commons/math/analysis/ConvergenceExceptionTest.java</t>
  </si>
  <si>
    <t>src/test/org/apache/commons/math/analysis/InterpolatorTest.java</t>
  </si>
  <si>
    <t>src/test/org/apache/commons/math/analysis/RealSolverTest.java</t>
  </si>
  <si>
    <t>src/test/org/apache/commons/math/analysis/UnivariateRealSolverUtilsTest.java</t>
  </si>
  <si>
    <t>src/test/org/apache/commons/math/complex/ComplexTest.java</t>
  </si>
  <si>
    <t>src/test/org/apache/commons/math/distribution/BinomialDistributionTest.java</t>
  </si>
  <si>
    <t>src/test/org/apache/commons/math/distribution/FDistributionTest.java</t>
  </si>
  <si>
    <t>src/test/org/apache/commons/math/distribution/HypergeometricDistributionTest.java</t>
  </si>
  <si>
    <t>src/test/org/apache/commons/math/distribution/TDistributionTest.java</t>
  </si>
  <si>
    <t>src/test/org/apache/commons/math/linear/RealMatrixImplTest.java</t>
  </si>
  <si>
    <t>src/test/org/apache/commons/math/random/EmpiricalDistributionTest.java</t>
  </si>
  <si>
    <t>src/test/org/apache/commons/math/random/RandomDataTest.java</t>
  </si>
  <si>
    <t>src/test/org/apache/commons/math/random/ValueServerTest.java</t>
  </si>
  <si>
    <t>src/test/org/apache/commons/math/special/BetaTest.java</t>
  </si>
  <si>
    <t>src/test/org/apache/commons/math/special/GammaTest.java</t>
  </si>
  <si>
    <t>src/test/org/apache/commons/math/stat/BeanListUnivariateImplTest.java</t>
  </si>
  <si>
    <t>src/test/org/apache/commons/math/stat/BivariateRegressionTest.java</t>
  </si>
  <si>
    <t>src/test/org/apache/commons/math/stat/FrequencyTest.java</t>
  </si>
  <si>
    <t>src/test/org/apache/commons/math/stat/ListUnivariateImplTest.java</t>
  </si>
  <si>
    <t>src/test/org/apache/commons/math/stat/MixedListUnivariateImplTest.java</t>
  </si>
  <si>
    <t>src/test/org/apache/commons/math/stat/StatUtilsTest.java</t>
  </si>
  <si>
    <t>src/test/org/apache/commons/math/stat/StoreUnivariateImplTest.java</t>
  </si>
  <si>
    <t>src/test/org/apache/commons/math/stat/TestStatisticTest.java</t>
  </si>
  <si>
    <t>src/test/org/apache/commons/math/stat/UnivariateImplTest.java</t>
  </si>
  <si>
    <t>src/test/org/apache/commons/math/stat/univariate/InteractionTest.java</t>
  </si>
  <si>
    <t>src/test/org/apache/commons/math/stat/univariate/StorelessUnivariateStatisticAbstractTest.java</t>
  </si>
  <si>
    <t>src/test/org/apache/commons/math/stat/univariate/UnivariateStatisticAbstractTest.java</t>
  </si>
  <si>
    <t>src/test/org/apache/commons/math/stat/univariate/rank/PercentileTest.java</t>
  </si>
  <si>
    <t>src/test/org/apache/commons/math/util/BeanTransformerTest.java</t>
  </si>
  <si>
    <t>src/test/org/apache/commons/math/util/ContinuedFractionTest.java</t>
  </si>
  <si>
    <t>src/test/org/apache/commons/math/util/DefaultTransformerTest.java</t>
  </si>
  <si>
    <t>src/test/org/apache/commons/math/util/DoubleArrayAbstractTest.java</t>
  </si>
  <si>
    <t>src/test/org/apache/commons/math/util/ExpandableDoubleArrayTest.java</t>
  </si>
  <si>
    <t>src/test/org/apache/commons/math/util/MathUtilsTest.java</t>
  </si>
  <si>
    <t>src/test/org/apache/commons/math/util/TransformerMapTest.java</t>
  </si>
  <si>
    <t>src/test/org/apache/commons/math/stat/univariate/UnivariateImplTest.java</t>
  </si>
  <si>
    <t>src/test/org/apache/commons/math/stat/inference/TestStatisticTest.java</t>
  </si>
  <si>
    <t>src/test/org/apache/commons/math/stat/univariate/DescriptiveStatisticsTest.java</t>
  </si>
  <si>
    <t>src/test/org/apache/commons/math/distribution/NormalDistributionTest.java</t>
  </si>
  <si>
    <t>src/experimental/org/apache/commons/math/util/BeanTransformerTest.java</t>
  </si>
  <si>
    <t>src/test/org/apache/commons/math/stat/inference/TTestTest.java</t>
  </si>
  <si>
    <t>src/test/org/apache/commons/math/complex/ComplexFormatTest.java</t>
  </si>
  <si>
    <t>src/test/org/apache/commons/math/linear/BigMatrixImplTest.java</t>
  </si>
  <si>
    <t>src/test/org/apache/commons/math/linear/InvalidMatrixExceptionTest.java</t>
  </si>
  <si>
    <t>src/test/org/apache/commons/math/linear/MatrixIndexExceptionTest.java</t>
  </si>
  <si>
    <t>src/mantissa/tests-src/org/spaceroots/mantissa/geometry/ImmutableVector3DTest.java</t>
  </si>
  <si>
    <t>src/mantissa/tests-src/org/spaceroots/mantissa/estimation/LevenbergMarquardtEstimatorTest.java</t>
  </si>
  <si>
    <t>src/mantissa/tests-src/org/spaceroots/mantissa/utilities/MappableArrayTest.java</t>
  </si>
  <si>
    <t>src/mantissa/tests-src/org/spaceroots/mantissa/random/CorrelatedRandomVectorGeneratorTest.java</t>
  </si>
  <si>
    <t>src/mantissa/tests-src/org/spaceroots/mantissa/random/VectorialSampleStatisticsTest.java</t>
  </si>
  <si>
    <t>src/mantissa/tests-src/org/spaceroots/mantissa/estimation/GaussNewtonEstimatorTest.java</t>
  </si>
  <si>
    <t>src/mantissa/tests-src/org/spaceroots/mantissa/ode/ClassicalRungeKuttaIntegratorTest.java</t>
  </si>
  <si>
    <t>src/mantissa/tests-src/org/spaceroots/mantissa/ode/EulerIntegratorTest.java</t>
  </si>
  <si>
    <t>src/mantissa/tests-src/org/spaceroots/mantissa/ode/GillIntegratorTest.java</t>
  </si>
  <si>
    <t>src/mantissa/tests-src/org/spaceroots/mantissa/ode/MidpointIntegratorTest.java</t>
  </si>
  <si>
    <t>src/mantissa/tests-src/org/spaceroots/mantissa/ode/ThreeEighthesIntegratorTest.java</t>
  </si>
  <si>
    <t>src/test/org/apache/commons/math/ode/ClassicalRungeKuttaIntegratorTest.java</t>
  </si>
  <si>
    <t>src/test/org/apache/commons/math/ode/HighamHall54IntegratorTest.java</t>
  </si>
  <si>
    <t>src/test/org/apache/commons/math/stat/descriptive/DescriptiveStatisticsImplTest.java</t>
  </si>
  <si>
    <t>src/test/org/apache/commons/math/stat/descriptive/MultivariateSummaryStatisticsTest.java</t>
  </si>
  <si>
    <t>src/test/org/apache/commons/math/stat/descriptive/DescriptiveStatisticsAbstractTest.java</t>
  </si>
  <si>
    <t>src/test/org/apache/commons/math/complex/ComplexUtilsTest.java</t>
  </si>
  <si>
    <t>src/test/org/apache/commons/math/stat/regression/AbstractMultipleLinearRegressionTest.java</t>
  </si>
  <si>
    <t>src/test/org/apache/commons/math/linear/EigenDecompositionImplTest.java</t>
  </si>
  <si>
    <t>src/test/org/apache/commons/math/linear/LUDecompositionImplTest.java</t>
  </si>
  <si>
    <t>src/test/org/apache/commons/math/linear/QRDecompositionImplTest.java</t>
  </si>
  <si>
    <t>src/test/org/apache/commons/math/analysis/UnivariateRealSolverFactoryImplTest.java</t>
  </si>
  <si>
    <t>src/mantissa/tests-src/org/spaceroots/mantissa/algebra/ChebyshevTest.java</t>
  </si>
  <si>
    <t>src/mantissa/tests-src/org/spaceroots/mantissa/algebra/HermiteTest.java</t>
  </si>
  <si>
    <t>src/mantissa/tests-src/org/spaceroots/mantissa/algebra/LaguerreTest.java</t>
  </si>
  <si>
    <t>src/mantissa/tests-src/org/spaceroots/mantissa/algebra/LegendreTest.java</t>
  </si>
  <si>
    <t>src/test/org/apache/commons/math/optimization/general/EstimatedParameterTest.java</t>
  </si>
  <si>
    <t>src/test/org/apache/commons/math/optimization/general/WeightedMeasurementTest.java</t>
  </si>
  <si>
    <t>src/test/org/apache/commons/math/ode/NordsieckTransformerTest.java</t>
  </si>
  <si>
    <t>src/test/org/apache/commons/math/stat/ranking/NaturalRankingTest.java</t>
  </si>
  <si>
    <t>src/test/org/apache/commons/math/ode/nonstiff/ClassicalRungeKuttaStepInterpolatorTest.java</t>
  </si>
  <si>
    <t>src/test/org/apache/commons/math/ode/nonstiff/DormandPrince54StepInterpolatorTest.java</t>
  </si>
  <si>
    <t>src/test/org/apache/commons/math/ode/nonstiff/DormandPrince853StepInterpolatorTest.java</t>
  </si>
  <si>
    <t>src/test/org/apache/commons/math/ode/nonstiff/EulerStepInterpolatorTest.java</t>
  </si>
  <si>
    <t>src/test/org/apache/commons/math/ode/nonstiff/GraggBulirschStoerStepInterpolatorTest.java</t>
  </si>
  <si>
    <t>src/test/org/apache/commons/math/ode/nonstiff/HighamHall54StepInterpolatorTest.java</t>
  </si>
  <si>
    <t>src/test/org/apache/commons/math/ode/nonstiff/ThreeEighthesStepInterpolatorTest.java</t>
  </si>
  <si>
    <t>src/test/org/apache/commons/math/ode/nonstiff/AdamsBashforthIntegratorTest.java</t>
  </si>
  <si>
    <t>src/test/org/apache/commons/math/ode/nonstiff/AdamsMoultonIntegratorTest.java</t>
  </si>
  <si>
    <t>src/test/org/apache/commons/math/ode/nonstiff/AdamsIntegratorTest.java</t>
  </si>
  <si>
    <t>src/test/org/apache/commons/math/ode/sampling/DummyStepInterpolatorTest.java</t>
  </si>
  <si>
    <t>src/mantissa/tests-src/org/spaceroots/mantissa/fitting/AbstractCurveFitterTest.java</t>
  </si>
  <si>
    <t>src/test/org/apache/commons/math/analysis/solvers/BisectionSolverTest.java</t>
  </si>
  <si>
    <t>src/test/org/apache/commons/math/analysis/solvers/NewtonSolverTest.java</t>
  </si>
  <si>
    <t>src/test/org/apache/commons/math/analysis/solvers/UnivariateRealSolverUtilsTest.java</t>
  </si>
  <si>
    <t>src/test/java/org/apache/commons/math/analysis/interpolation/LoessInterpolatorTest.java</t>
  </si>
  <si>
    <t>src/test/java/org/apache/commons/math/random/RandomDataTest.java</t>
  </si>
  <si>
    <t>src/test/java/org/apache/commons/math/linear/SingularValueSolverTest.java</t>
  </si>
  <si>
    <t>src/experimental/org/apache/commons/math/analysis/UnivariateRealFunctionUtilsTest.java</t>
  </si>
  <si>
    <t>src/experimental/org/apache/commons/math/linear/CholeskySolverTest.java</t>
  </si>
  <si>
    <t>src/experimental/org/apache/commons/math/linear/RecursiveLayoutRealMatrixTest.java</t>
  </si>
  <si>
    <t>src/experimental/org/apache/commons/math/stat/univariate/BeanListUnivariateImplTest.java</t>
  </si>
  <si>
    <t>src/mantissa/tests-src/org/spaceroots/mantissa/algebra/PolynomialDoubleTest.java</t>
  </si>
  <si>
    <t>src/mantissa/tests-src/org/spaceroots/mantissa/algebra/PolynomialFractionTest.java</t>
  </si>
  <si>
    <t>src/mantissa/tests-src/org/spaceroots/mantissa/algebra/PolynomialRationalTest.java</t>
  </si>
  <si>
    <t>src/mantissa/tests-src/org/spaceroots/mantissa/algebra/RationalNumberTest.java</t>
  </si>
  <si>
    <t>src/mantissa/tests-src/org/spaceroots/mantissa/functions/scalar/BasicSampledFunctionIteratorTest.java</t>
  </si>
  <si>
    <t>src/mantissa/tests-src/org/spaceroots/mantissa/functions/scalar/ComputableFunctionSamplerTest.java</t>
  </si>
  <si>
    <t>src/mantissa/tests-src/org/spaceroots/mantissa/functions/scalar/ScalarValuedPairTest.java</t>
  </si>
  <si>
    <t>src/mantissa/tests-src/org/spaceroots/mantissa/functions/vectorial/BasicSampledFunctionIteratorTest.java</t>
  </si>
  <si>
    <t>src/mantissa/tests-src/org/spaceroots/mantissa/functions/vectorial/ComputableFunctionSamplerTest.java</t>
  </si>
  <si>
    <t>src/mantissa/tests-src/org/spaceroots/mantissa/functions/vectorial/VectorialValuedPairTest.java</t>
  </si>
  <si>
    <t>src/mantissa/tests-src/org/spaceroots/mantissa/linalg/DiagonalMatrixTest.java</t>
  </si>
  <si>
    <t>src/mantissa/tests-src/org/spaceroots/mantissa/linalg/GeneralMatrixTest.java</t>
  </si>
  <si>
    <t>src/mantissa/tests-src/org/spaceroots/mantissa/linalg/GeneralSquareMatrixTest.java</t>
  </si>
  <si>
    <t>src/mantissa/tests-src/org/spaceroots/mantissa/linalg/LowerTriangularMatrixTest.java</t>
  </si>
  <si>
    <t>src/mantissa/tests-src/org/spaceroots/mantissa/linalg/MatrixFactoryTest.java</t>
  </si>
  <si>
    <t>src/mantissa/tests-src/org/spaceroots/mantissa/linalg/NonNullRangeTest.java</t>
  </si>
  <si>
    <t>src/mantissa/tests-src/org/spaceroots/mantissa/linalg/SymetricalMatrixTest.java</t>
  </si>
  <si>
    <t>src/mantissa/tests-src/org/spaceroots/mantissa/linalg/UpperTriangularMatrixTest.java</t>
  </si>
  <si>
    <t>src/mantissa/tests-src/org/spaceroots/mantissa/quadrature/vectorial/GaussLegendreIntegratorTest.java</t>
  </si>
  <si>
    <t>src/mantissa/tests-src/org/spaceroots/mantissa/random/ScalarSampleStatisticsTest.java</t>
  </si>
  <si>
    <t>src/mantissa/tests-src/org/spaceroots/mantissa/roots/BrentSolverTest.java</t>
  </si>
  <si>
    <t>src/mantissa/tests-src/org/spaceroots/mantissa/utilities/ArrayMapperTest.java</t>
  </si>
  <si>
    <t>src/mantissa/tests-src/org/spaceroots/mantissa/utilities/IntervalTest.java</t>
  </si>
  <si>
    <t>src/mantissa/tests-src/org/spaceroots/mantissa/utilities/IntervalsListTest.java</t>
  </si>
  <si>
    <t>src/mantissa/tests-src/org/spaceroots/mantissa/utilities/MappableScalarTest.java</t>
  </si>
  <si>
    <t>src/test/java/org/apache/commons/math/optimization/univariate/BrentOptimizerTest.java</t>
  </si>
  <si>
    <t>src/test/java/org/apache/commons/math/linear/MatrixIndexExceptionTest.java</t>
  </si>
  <si>
    <t>src/test/java/org/apache/commons/math/optimization/direct/NelderMeadTest.java</t>
  </si>
  <si>
    <t>src/test/java/org/apache/commons/math/distribution/NormalDistributionTest.java</t>
  </si>
  <si>
    <t>src/test/java/org/apache/commons/math/distribution/WeibullDistributionTest.java</t>
  </si>
  <si>
    <t>src/test/java/org/apache/commons/math/distribution/HypergeometricDistributionTest.java</t>
  </si>
  <si>
    <t>src/test/java/org/apache/commons/math/analysis/solvers/UnivariateRealSolverUtilsTest.java</t>
  </si>
  <si>
    <t>src/test/java/org/apache/commons/math/linear/BigMatrixImplTest.java</t>
  </si>
  <si>
    <t>src/test/java/org/apache/commons/math/linear/MatrixUtilsTest.java</t>
  </si>
  <si>
    <t>src/test/java/org/apache/commons/math/linear/RealMatrixImplTest.java</t>
  </si>
  <si>
    <t>src/test/java/org/apache/commons/math/optimization/direct/MultiDirectionalTest.java</t>
  </si>
  <si>
    <t>src/test/java/org/apache/commons/math/estimation/EstimatedParameterTest.java</t>
  </si>
  <si>
    <t>src/test/java/org/apache/commons/math/estimation/GaussNewtonEstimatorTest.java</t>
  </si>
  <si>
    <t>src/test/java/org/apache/commons/math/estimation/LevenbergMarquardtEstimatorTest.java</t>
  </si>
  <si>
    <t>src/test/java/org/apache/commons/math/estimation/MinpackTest.java</t>
  </si>
  <si>
    <t>src/test/java/org/apache/commons/math/estimation/WeightedMeasurementTest.java</t>
  </si>
  <si>
    <t>src/test/java/org/apache/commons/math/linear/InvalidMatrixExceptionTest.java</t>
  </si>
  <si>
    <t>src/test/java/org/apache/commons/math/DuplicateSampleAbscissaExceptionTest.java</t>
  </si>
  <si>
    <t>src/test/java/org/apache/commons/math/ArgumentOutsideDomainExceptionTest.java</t>
  </si>
  <si>
    <t>src/test/java/org/apache/commons/math/analysis/interpolation/SmoothingBicubicSplineInterpolatorTest.java</t>
  </si>
  <si>
    <t>src/test/java/org/apache/commons/math/FunctionEvaluationExceptionTest.java</t>
  </si>
  <si>
    <t>src/test/java/org/apache/commons/math/stat/FrequencyTest.java</t>
  </si>
  <si>
    <t>src/test/java/org/apache/commons/math/analysis/solvers/BisectionSolverTest.java</t>
  </si>
  <si>
    <t>src/test/java/org/apache/commons/math/analysis/solvers/BrentSolverTest.java</t>
  </si>
  <si>
    <t>src/test/java/org/apache/commons/math/analysis/solvers/LaguerreSolverTest.java</t>
  </si>
  <si>
    <t>src/test/java/org/apache/commons/math/analysis/solvers/MullerSolverTest.java</t>
  </si>
  <si>
    <t>src/test/java/org/apache/commons/math/analysis/solvers/NewtonSolverTest.java</t>
  </si>
  <si>
    <t>src/test/java/org/apache/commons/math/analysis/solvers/RiddersSolverTest.java</t>
  </si>
  <si>
    <t>src/test/java/org/apache/commons/math/ode/jacobians/FirstOrderIntegratorWithJacobiansTest.java</t>
  </si>
  <si>
    <t>src/test/java/org/apache/commons/math/analysis/solvers/UnivariateRealSolverFactoryImplTest.java</t>
  </si>
  <si>
    <t>src/test/java/org/apache/commons/math/analysis/BinaryFunctionTest.java</t>
  </si>
  <si>
    <t>src/test/java/org/apache/commons/math/analysis/ComposableFunctionTest.java</t>
  </si>
  <si>
    <t>src/test/java/org/apache/commons/math/complex/ComplexFormatAbstractTest.java</t>
  </si>
  <si>
    <t>src/test/java/org/apache/commons/math/geometry/Vector3DFormatAbstractTest.java</t>
  </si>
  <si>
    <t>src/test/java/org/apache/commons/math/linear/RealVectorFormatAbstractTest.java</t>
  </si>
  <si>
    <t>src/test/java/org/apache/commons/math/util/MathUtilsTest.java</t>
  </si>
  <si>
    <t>src/test/java/org/apache/commons/math/MaxIterationsExceededExceptionTest.java</t>
  </si>
  <si>
    <t>src/test/java/org/apache/commons/math/util/FastMathTest.java</t>
  </si>
  <si>
    <t>src/test/java/org/apache/commons/math/analysis/function/LogisticTest.java</t>
  </si>
  <si>
    <t>src/test/java/org/apache/commons/math/analysis/function/StepFunctionTest.java</t>
  </si>
  <si>
    <t>src/test/java/org/apache/commons/math/optimization/direct/CMAESOptimizerTest.java</t>
  </si>
  <si>
    <t>src/test/java/org/apache/commons/math/optimization/fitting/ParametricGaussianFunctionTest.java</t>
  </si>
  <si>
    <t>src/test/java/org/apache/commons/math/ConvergenceExceptionTest.java</t>
  </si>
  <si>
    <t>src/test/java/org/apache/commons/math/MathConfigurationExceptionTest.java</t>
  </si>
  <si>
    <t>src/test/java/org/apache/commons/math/MathExceptionTest.java</t>
  </si>
  <si>
    <t>src/test/java/org/apache/commons/math/exception/util/MessageFactoryTest.java</t>
  </si>
  <si>
    <t>src/test/java/org/apache/commons/math/ode/nonstiff/DormandPrince853IntegratorTest.java</t>
  </si>
  <si>
    <t>src/test/java/org/apache/commons/math/exception/MathRuntimeExceptionTest.java</t>
  </si>
  <si>
    <t>src/test/java/org/apache/commons/math/random/AbstractRandomGeneratorTest.java</t>
  </si>
  <si>
    <t>src/test/java/org/apache/commons/math/optimization/direct/BOBYQAOptimizerTest.java</t>
  </si>
  <si>
    <t>src/test/java/org/apache/commons/math/linear/ArrayRealVectorTest.java</t>
  </si>
  <si>
    <t>src/test/java/org/apache/commons/math/optimization/direct/SimplexOptimizerMultiDirectionalTest.java</t>
  </si>
  <si>
    <t>src/test/java/org/apache/commons/math/optimization/direct/SimplexOptimizerNelderMeadTest.java</t>
  </si>
  <si>
    <t>src/test/java/org/apache/commons/math/complex/ComplexTest.java</t>
  </si>
  <si>
    <t>src/test/java/org/apache/commons/math/util/MathArraysTest.java</t>
  </si>
  <si>
    <t>src/test/java/org/apache/commons/math/distribution/ZipfDistributionTest.java</t>
  </si>
  <si>
    <t>src/test/java/org/apache/commons/math/distribution/AbtractIntegerDistributionTest.java</t>
  </si>
  <si>
    <t>src/test/java/org/apache/commons/math/distribution/IntegerDistributionAbstractTest.java</t>
  </si>
  <si>
    <t>src/test/java/org/apache/commons/math/random/RandomGeneratorAbstractTest.java</t>
  </si>
  <si>
    <t>src/test/java/org/apache/commons/math/transform/FastFourierTransformerTest.java</t>
  </si>
  <si>
    <t>src/test/java/org/apache/commons/math/transform/FastSineTransformerTest.java</t>
  </si>
  <si>
    <t>src/test/java/org/apache/commons/math/transform/RealTransformerAbstractTest.java</t>
  </si>
  <si>
    <t>src/test/java/org/apache/commons/math3/stat/correlation/StorelessCovarianceTest.java</t>
  </si>
  <si>
    <t>src/test/java/org/apache/commons/math3/linear/PivotingQRDecompositionTest.java</t>
  </si>
  <si>
    <t>src/test/java/org/apache/commons/math3/linear/PivotingQRSolverTest.java</t>
  </si>
  <si>
    <t>src/test/java/org/apache/commons/math3/optimization/BatteryNISTTest.java</t>
  </si>
  <si>
    <t>src/test/java/org/apache/commons/math3/linear/ArrayRealVectorTest.java</t>
  </si>
  <si>
    <t>src/test/java/org/apache/commons/math3/linear/SparseRealVectorTest.java</t>
  </si>
  <si>
    <t>src/test/java/org/apache/commons/math3/linear/RealVectorAbstractTest.java</t>
  </si>
  <si>
    <t>src/test/java/org/apache/commons/math3/linear/RealVectorTest.java</t>
  </si>
  <si>
    <t>src/test/java/org/apache/commons/math3/analysis/function/GaussianTest.java</t>
  </si>
  <si>
    <t>src/test/java/org/apache/commons/math3/analysis/function/LogitTest.java</t>
  </si>
  <si>
    <t>src/test/java/org/apache/commons/math3/optimization/direct/CMAESOptimizerTest.java</t>
  </si>
  <si>
    <t>src/test/java/org/apache/commons/math3/special/BetaTest.java</t>
  </si>
  <si>
    <t>src/test/java/org/apache/commons/math3/special/GammaTest.java</t>
  </si>
  <si>
    <t>src/test/java/org/apache/commons/math3/fitting/PolynomialFitterTest.java</t>
  </si>
  <si>
    <t>src/test/java/org/apache/commons/math3/ExtendedFieldElementAbstractTest.java</t>
  </si>
  <si>
    <t>src/test/java/org/apache/commons/math3/analysis/interpolation/BicubicSplineInterpolatorTest.java</t>
  </si>
  <si>
    <t>src/test/java/org/apache/commons/math3/stat/FrequencyTest.java</t>
  </si>
  <si>
    <t>src/test/java/org/apache/commons/math3/optimization/linear/SimplexSolverTest.java</t>
  </si>
  <si>
    <t>src/test/java/org/apache/commons/math3/util/ArithmeticUtilsTest.java</t>
  </si>
  <si>
    <t>src/test/java/org/apache/commons/math3/geometry/spherical/oned/ChordTest.java</t>
  </si>
  <si>
    <t>src/test/java/org/apache/commons/math3/geometry/spherical/oned/SubChordTest.java</t>
  </si>
  <si>
    <t>src/test/java/org/apache/commons/math3/stat/inference/BinomialConfidenceIntervalTest.java</t>
  </si>
  <si>
    <t>src/test/java/org/apache/commons/math3/geometry/euclidean/twod/hull/GrahamScan2DTest.java</t>
  </si>
  <si>
    <t>src/test/java/org/apache/commons/math3/geometry/spherical/twod/SphericalCapGeneratorTest.java</t>
  </si>
  <si>
    <t>src/test/java/org/apache/commons/math3/geometry/euclidean/twod/hull/GrahamScanTest.java</t>
  </si>
  <si>
    <t>src/test/java/org/apache/commons/math3/fitting/leastsquares/AbstractLeastSquaresOptimizerAbstractTest.java</t>
  </si>
  <si>
    <t>src/test/java/org/apache/commons/math3/fitting/leastsquares/GaussNewtonOptimizerTest.java</t>
  </si>
  <si>
    <t>src/test/java/org/apache/commons/math3/fitting/leastsquares/LevenbergMarquardtOptimizerTest.java</t>
  </si>
  <si>
    <t>src/test/java/org/apache/commons/math3/fitting/leastsquares/GaussNewtonOptimizerWithQRTest.java</t>
  </si>
  <si>
    <t>src/test/java/org/apache/commons/math3/stat/descriptive/rank/PercentileTest.java</t>
  </si>
  <si>
    <t>src/test/java/org/apache/commons/math3/stat/inference/KolmogorovSmirnovTestTest.java</t>
  </si>
  <si>
    <t>src/test/java/org/apache/commons/math3/analysis/interpolation/BicubicSplineInterpolatingFunctionTest.java</t>
  </si>
  <si>
    <t>src/test/java/org/apache/commons/math4/stat/clustering/DBSCANClustererTest.java</t>
  </si>
  <si>
    <t>src/test/java/org/apache/commons/math4/stat/clustering/EuclideanDoublePointTest.java</t>
  </si>
  <si>
    <t>src/test/java/org/apache/commons/math4/stat/clustering/EuclideanIntegerPointTest.java</t>
  </si>
  <si>
    <t>src/test/java/org/apache/commons/math4/stat/clustering/KMeansPlusPlusClustererTest.java</t>
  </si>
  <si>
    <t>src/test/java/org/apache/commons/math4/stat/descriptive/rank/PercentileTest.java</t>
  </si>
  <si>
    <t>src/test/java/org/apache/commons/math4/geometry/partitioning/utilities/AVLTreeTest.java</t>
  </si>
  <si>
    <t>src/test/java/org/apache/commons/math4/analysis/integration/LegendreGaussIntegratorTest.java</t>
  </si>
  <si>
    <t>src/test/java/org/apache/commons/math4/distribution/KolmogorovSmirnovDistributionTest.java</t>
  </si>
  <si>
    <t>src/test/java/org/apache/commons/math4/distribution/EnumeratedRealDistributionTest.java</t>
  </si>
  <si>
    <t>src/test/java/org/apache/commons/math4/distribution/RealDistributionAbstractTest.java</t>
  </si>
  <si>
    <t>src/test/java/org/apache/commons/math4/optimization/MultivariateDifferentiableMultiStartOptimizerTest.java</t>
  </si>
  <si>
    <t>src/test/java/org/apache/commons/math4/optimization/MultivariateDifferentiableVectorMultiStartOptimizerTest.java</t>
  </si>
  <si>
    <t>src/test/java/org/apache/commons/math4/optimization/MultivariateMultiStartOptimizerTest.java</t>
  </si>
  <si>
    <t>src/test/java/org/apache/commons/math4/optimization/PointValuePairTest.java</t>
  </si>
  <si>
    <t>src/test/java/org/apache/commons/math4/optimization/PointVectorValuePairTest.java</t>
  </si>
  <si>
    <t>src/test/java/org/apache/commons/math4/optimization/SimplePointCheckerTest.java</t>
  </si>
  <si>
    <t>src/test/java/org/apache/commons/math4/optimization/SimpleValueCheckerTest.java</t>
  </si>
  <si>
    <t>src/test/java/org/apache/commons/math4/optimization/SimpleVectorValueCheckerTest.java</t>
  </si>
  <si>
    <t>src/test/java/org/apache/commons/math4/optimization/direct/BOBYQAOptimizerTest.java</t>
  </si>
  <si>
    <t>src/test/java/org/apache/commons/math4/optimization/direct/CMAESOptimizerTest.java</t>
  </si>
  <si>
    <t>src/test/java/org/apache/commons/math4/optimization/direct/MultivariateFunctionMappingAdapterTest.java</t>
  </si>
  <si>
    <t>src/test/java/org/apache/commons/math4/optimization/direct/MultivariateFunctionPenaltyAdapterTest.java</t>
  </si>
  <si>
    <t>src/test/java/org/apache/commons/math4/optimization/direct/PowellOptimizerTest.java</t>
  </si>
  <si>
    <t>src/test/java/org/apache/commons/math4/optimization/direct/SimplexOptimizerMultiDirectionalTest.java</t>
  </si>
  <si>
    <t>src/test/java/org/apache/commons/math4/optimization/direct/SimplexOptimizerNelderMeadTest.java</t>
  </si>
  <si>
    <t>src/test/java/org/apache/commons/math4/optimization/fitting/CurveFitterTest.java</t>
  </si>
  <si>
    <t>src/test/java/org/apache/commons/math4/optimization/fitting/GaussianFitterTest.java</t>
  </si>
  <si>
    <t>src/test/java/org/apache/commons/math4/optimization/fitting/HarmonicFitterTest.java</t>
  </si>
  <si>
    <t>src/test/java/org/apache/commons/math4/optimization/fitting/PolynomialFitterTest.java</t>
  </si>
  <si>
    <t>src/test/java/org/apache/commons/math4/optimization/general/AbstractLeastSquaresOptimizerAbstractTest.java</t>
  </si>
  <si>
    <t>src/test/java/org/apache/commons/math4/optimization/general/AbstractLeastSquaresOptimizerTest.java</t>
  </si>
  <si>
    <t>src/test/java/org/apache/commons/math4/optimization/general/GaussNewtonOptimizerTest.java</t>
  </si>
  <si>
    <t>src/test/java/org/apache/commons/math4/optimization/general/LevenbergMarquardtOptimizerTest.java</t>
  </si>
  <si>
    <t>src/test/java/org/apache/commons/math4/optimization/general/MinpackTest.java</t>
  </si>
  <si>
    <t>src/test/java/org/apache/commons/math4/optimization/general/NonLinearConjugateGradientOptimizerTest.java</t>
  </si>
  <si>
    <t>src/test/java/org/apache/commons/math4/optimization/linear/SimplexSolverTest.java</t>
  </si>
  <si>
    <t>src/test/java/org/apache/commons/math4/optimization/linear/SimplexTableauTest.java</t>
  </si>
  <si>
    <t>src/test/java/org/apache/commons/math4/optimization/univariate/BracketFinderTest.java</t>
  </si>
  <si>
    <t>src/test/java/org/apache/commons/math4/optimization/univariate/BrentOptimizerTest.java</t>
  </si>
  <si>
    <t>src/test/java/org/apache/commons/math4/optimization/univariate/SimpleUnivariateValueCheckerTest.java</t>
  </si>
  <si>
    <t>src/test/java/org/apache/commons/math4/optimization/univariate/UnivariateMultiStartOptimizerTest.java</t>
  </si>
  <si>
    <t>src/test/java/org/apache/commons/math4/analysis/interpolation/BicubicSplineInterpolatingFunctionTest.java</t>
  </si>
  <si>
    <t>src/test/java/org/apache/commons/math4/analysis/interpolation/BicubicSplineInterpolatorTest.java</t>
  </si>
  <si>
    <t>src/test/java/org/apache/commons/math4/analysis/interpolation/SmoothingPolynomialBicubicSplineInterpolatorTest.java</t>
  </si>
  <si>
    <t>src/test/java/org/apache/commons/math4/analysis/interpolation/TricubicSplineInterpolatingFunctionTest.java</t>
  </si>
  <si>
    <t>src/test/java/org/apache/commons/math4/analysis/interpolation/TricubicSplineInterpolatorTest.java</t>
  </si>
  <si>
    <t>src/test/java/org/apache/commons/math4/analysis/solvers/NewtonSolverTest.java</t>
  </si>
  <si>
    <t>src/test/java/org/apache/commons/math4/fitting/CurveFitterTest.java</t>
  </si>
  <si>
    <t>src/test/java/org/apache/commons/math4/fitting/GaussianFitterTest.java</t>
  </si>
  <si>
    <t>src/test/java/org/apache/commons/math4/fitting/HarmonicFitterTest.java</t>
  </si>
  <si>
    <t>src/test/java/org/apache/commons/math4/fitting/PolynomialFitterTest.java</t>
  </si>
  <si>
    <t>src/test/java/org/apache/commons/math4/util/ResizableDoubleArrayTest.java</t>
  </si>
  <si>
    <t>src/test/java/org/apache/commons/math4/analysis/FunctionUtilsTest.java</t>
  </si>
  <si>
    <t>src/test/java/org/apache/commons/math4/optim/nonlinear/vector/MultiStartMultivariateVectorOptimizerTest.java</t>
  </si>
  <si>
    <t>src/test/java/org/apache/commons/math4/optim/nonlinear/vector/jacobian/AbstractLeastSquaresOptimizerAbstractTest.java</t>
  </si>
  <si>
    <t>src/test/java/org/apache/commons/math4/optim/nonlinear/vector/jacobian/AbstractLeastSquaresOptimizerTest.java</t>
  </si>
  <si>
    <t>src/test/java/org/apache/commons/math4/optim/nonlinear/vector/jacobian/GaussNewtonOptimizerTest.java</t>
  </si>
  <si>
    <t>src/test/java/org/apache/commons/math4/optim/nonlinear/vector/jacobian/LevenbergMarquardtOptimizerTest.java</t>
  </si>
  <si>
    <t>src/test/java/org/apache/commons/math4/optim/nonlinear/vector/jacobian/MinpackTest.java</t>
  </si>
  <si>
    <t>src/test/java/org/apache/commons/math4/stat/descriptive/AbstractUnivariateStatisticTest.java</t>
  </si>
  <si>
    <t>src/test/java/org/apache/commons/math4/random/RandomDataGeneratorTest.java</t>
  </si>
  <si>
    <t>src/test/java/org/apache/commons/math4/util/MathArraysTest.java</t>
  </si>
  <si>
    <t>src/test/java/org/apache/commons/math4/analysis/interpolation/MicrosphereInterpolatorTest.java</t>
  </si>
  <si>
    <t>src/test/java/org/apache/commons/math4/distribution/ZipfDistributionTest.java</t>
  </si>
  <si>
    <t>src/test/java/org/apache/commons/math4/stat/inference/KolmogorovSmirnovTestTest.java</t>
  </si>
  <si>
    <t>src/test/java/org/apache/commons/math4/random/RandomGeneratorAbstractTest.java</t>
  </si>
  <si>
    <t>src/test/java/org/apache/commons/math4/random/BaseRandomGeneratorTest.java</t>
  </si>
  <si>
    <t>src/test/java/org/apache/commons/math4/distribution/ConstantRealDistributionTest.java</t>
  </si>
  <si>
    <t>src/test/java/org/apache/commons/math4/random/EmpiricalDistributionTest.java</t>
  </si>
  <si>
    <t>src/test/java/org/apache/commons/math4/transform/FastFourierTransformerTest.java</t>
  </si>
  <si>
    <t>src/test/java/org/apache/commons/math4/random/MersenneTwisterTest.java</t>
  </si>
  <si>
    <t>src/test/java/org/apache/commons/math4/random/ISAACTest.java</t>
  </si>
  <si>
    <t>src/test/java/org/apache/commons/math4/random/Well512aTest.java</t>
  </si>
  <si>
    <t>src/test/java/org/apache/commons/math4/random/Well1024aTest.java</t>
  </si>
  <si>
    <t>src/test/java/org/apache/commons/math4/random/Well19937aTest.java</t>
  </si>
  <si>
    <t>src/test/java/org/apache/commons/math4/random/Well44497aTest.java</t>
  </si>
  <si>
    <t>src/test/java/org/apache/commons/math4/random/Well44497bTest.java</t>
  </si>
  <si>
    <t>src/test/java/org/apache/commons/math4/random/RandomAdaptorTest.java</t>
  </si>
  <si>
    <t>src/test/java/org/apache/commons/math4/random/ValueServerTest.java</t>
  </si>
  <si>
    <t>src/test/java/org/apache/commons/math4/random/Well19937cTest.java</t>
  </si>
  <si>
    <t>src/test/java/org/apache/commons/math4/rng/Providers32ParametricTest.java</t>
  </si>
  <si>
    <t>src/test/java/org/apache/commons/math4/rng/Providers64ParametricTest.java</t>
  </si>
  <si>
    <t>src/test/java/org/apache/commons/math4/rng/ProvidersCommonParametricTest.java</t>
  </si>
  <si>
    <t>src/test/java/org/apache/commons/math4/rng/internal/source32/ISAACRandomTest.java</t>
  </si>
  <si>
    <t>src/test/java/org/apache/commons/math4/rng/internal/source32/JDKRandomTest.java</t>
  </si>
  <si>
    <t>src/test/java/org/apache/commons/math4/rng/internal/source32/MersenneTwisterTest.java</t>
  </si>
  <si>
    <t>src/test/java/org/apache/commons/math4/rng/internal/source32/Well1024aTest.java</t>
  </si>
  <si>
    <t>src/test/java/org/apache/commons/math4/rng/internal/source32/Well19937aTest.java</t>
  </si>
  <si>
    <t>src/test/java/org/apache/commons/math4/rng/internal/source32/Well19937cTest.java</t>
  </si>
  <si>
    <t>src/test/java/org/apache/commons/math4/rng/internal/source32/Well44497aTest.java</t>
  </si>
  <si>
    <t>src/test/java/org/apache/commons/math4/rng/internal/source32/Well44497bTest.java</t>
  </si>
  <si>
    <t>src/test/java/org/apache/commons/math4/rng/internal/source32/Well512aTest.java</t>
  </si>
  <si>
    <t>src/test/java/org/apache/commons/math4/rng/internal/source64/MersenneTwister64Test.java</t>
  </si>
  <si>
    <t>src/test/java/org/apache/commons/math4/rng/internal/source64/SplitMix64Test.java</t>
  </si>
  <si>
    <t>src/test/java/org/apache/commons/math4/rng/internal/source64/TwoCmresTest.java</t>
  </si>
  <si>
    <t>src/test/java/org/apache/commons/math4/rng/internal/source64/XorShift1024StarTest.java</t>
  </si>
  <si>
    <t>src/test/java/org/apache/commons/math4/rng/internal/util/NumberFactoryTest.java</t>
  </si>
  <si>
    <t>src/test/java/org/apache/commons/math4/rng/internal/util/SeedFactoryTest.java</t>
  </si>
  <si>
    <t>src/test/java/org/apache/commons/math4/random/RandomUtilsDataGeneratorAbstractTest.java</t>
  </si>
  <si>
    <t>src/test/java/org/apache/commons/math4/random/JDKRandomAdaptorTest.java</t>
  </si>
  <si>
    <t>src/test/java/org/apache/commons/math4/stat/FrequencyTest.java</t>
  </si>
  <si>
    <t>src/test/java/org/apache/commons/math4/util/PrecisionTest.java</t>
  </si>
  <si>
    <t>src/test/java/org/apache/commons/math4/util/ArithmeticUtilsTest.java</t>
  </si>
  <si>
    <t>src/test/java/org/apache/commons/math4/special/BetaTest.java</t>
  </si>
  <si>
    <t>src/test/java/org/apache/commons/math4/special/GammaTest.java</t>
  </si>
  <si>
    <t>src/test/java/org/apache/commons/math4/special/ErfTest.java</t>
  </si>
  <si>
    <t>src/test/java/org/apache/commons/math4/util/ContinuedFractionTest.java</t>
  </si>
  <si>
    <t>src/test/java/org/apache/commons/math4/util/CombinationsTest.java</t>
  </si>
  <si>
    <t>src/test/java/org/apache/commons/math4/util/CombinatoricsUtilsTest.java</t>
  </si>
  <si>
    <t>src/test/java/org/apache/commons/math4/util/FactorialLogTest.java</t>
  </si>
  <si>
    <t>src/test/java/org/apache/commons/math4/util/MathUtilsTest.java</t>
  </si>
  <si>
    <t>src/test/java/org/apache/commons/math4/random/UnitSphereRandomVectorGeneratorTest.java</t>
  </si>
  <si>
    <t>src/test/java/org/apache/commons/math4/fraction/FractionFormatTest.java</t>
  </si>
  <si>
    <t>src/test/java/org/apache/commons/math4/fraction/BigFractionFormatTest.java</t>
  </si>
  <si>
    <t>src/test/java/org/apache/commons/math4/complex/QuaternionTest.java</t>
  </si>
  <si>
    <t>src/test/java/org/apache/commons/math4/complex/RootsOfUnityTest.java</t>
  </si>
  <si>
    <t>src/test/java/org/apache/commons/math4/primes/PrimesTest.java</t>
  </si>
  <si>
    <t>src/test/java/org/apache/commons/math4/distribution/BetaDistributionTest.java</t>
  </si>
  <si>
    <t>src/test/java/org/apache/commons/math4/distribution/BinomialDistributionTest.java</t>
  </si>
  <si>
    <t>src/test/java/org/apache/commons/math4/distribution/CauchyDistributionTest.java</t>
  </si>
  <si>
    <t>src/test/java/org/apache/commons/math4/distribution/ChiSquaredDistributionTest.java</t>
  </si>
  <si>
    <t>src/test/java/org/apache/commons/math4/distribution/ExponentialDistributionTest.java</t>
  </si>
  <si>
    <t>src/test/java/org/apache/commons/math4/distribution/FDistributionTest.java</t>
  </si>
  <si>
    <t>src/test/java/org/apache/commons/math4/distribution/GammaDistributionTest.java</t>
  </si>
  <si>
    <t>src/test/java/org/apache/commons/math4/distribution/GeometricDistributionTest.java</t>
  </si>
  <si>
    <t>src/test/java/org/apache/commons/math4/distribution/GumbelDistributionTest.java</t>
  </si>
  <si>
    <t>src/test/java/org/apache/commons/math4/distribution/HypergeometricDistributionTest.java</t>
  </si>
  <si>
    <t>src/test/java/org/apache/commons/math4/distribution/LaplaceDistributionTest.java</t>
  </si>
  <si>
    <t>src/test/java/org/apache/commons/math4/distribution/LevyDistributionTest.java</t>
  </si>
  <si>
    <t>src/test/java/org/apache/commons/math4/distribution/LogNormalDistributionTest.java</t>
  </si>
  <si>
    <t>src/test/java/org/apache/commons/math4/distribution/LogisticsDistributionTest.java</t>
  </si>
  <si>
    <t>src/test/java/org/apache/commons/math4/distribution/NakagamiDistributionTest.java</t>
  </si>
  <si>
    <t>src/test/java/org/apache/commons/math4/distribution/NormalDistributionTest.java</t>
  </si>
  <si>
    <t>src/test/java/org/apache/commons/math4/distribution/ParetoDistributionTest.java</t>
  </si>
  <si>
    <t>src/test/java/org/apache/commons/math4/distribution/PascalDistributionTest.java</t>
  </si>
  <si>
    <t>src/test/java/org/apache/commons/math4/distribution/PoissonDistributionTest.java</t>
  </si>
  <si>
    <t>src/test/java/org/apache/commons/math4/distribution/TDistributionTest.java</t>
  </si>
  <si>
    <t>src/test/java/org/apache/commons/math4/distribution/TriangularDistributionTest.java</t>
  </si>
  <si>
    <t>src/test/java/org/apache/commons/math4/distribution/UniformIntegerDistributionTest.java</t>
  </si>
  <si>
    <t>src/test/java/org/apache/commons/math4/distribution/UniformRealDistributionTest.java</t>
  </si>
  <si>
    <t>src/test/java/org/apache/commons/math4/distribution/WeibullDistributionTest.java</t>
  </si>
  <si>
    <t>src/test/java/org/apache/commons/math4/geometry/euclidean/oned/Cartesian1DTest.java</t>
  </si>
  <si>
    <t>src/test/java/org/apache/commons/math4/geometry/euclidean/twod/PolygonsSetTest.java</t>
  </si>
  <si>
    <t>src/test/java/org/apache/commons/math4/complex/ComplexTest.java</t>
  </si>
  <si>
    <t>src/test/java/org/apache/commons/math4/complex/ComplexFieldTest.java</t>
  </si>
  <si>
    <t>src/test/java/org/apache/commons/math4/geometry/enclosing/WelzlEncloser2DTest.java</t>
  </si>
  <si>
    <t>src/test/java/org/apache/commons/math4/geometry/enclosing/WelzlEncloser3DTest.java</t>
  </si>
  <si>
    <t>src/test/java/org/apache/commons/math4/geometry/euclidean/oned/Euclidean1DTest.java</t>
  </si>
  <si>
    <t>src/test/java/org/apache/commons/math4/geometry/euclidean/oned/IntervalTest.java</t>
  </si>
  <si>
    <t>src/test/java/org/apache/commons/math4/geometry/euclidean/oned/IntervalsSetTest.java</t>
  </si>
  <si>
    <t>src/test/java/org/apache/commons/math4/geometry/euclidean/oned/OrientedPointTest.java</t>
  </si>
  <si>
    <t>src/test/java/org/apache/commons/math4/geometry/euclidean/oned/SubOrientedPointTest.java</t>
  </si>
  <si>
    <t>src/test/java/org/apache/commons/math4/geometry/euclidean/oned/Vector1DFormatAbstractTest.java</t>
  </si>
  <si>
    <t>src/test/java/org/apache/commons/math4/geometry/euclidean/threed/Euclidean3DTest.java</t>
  </si>
  <si>
    <t>src/test/java/org/apache/commons/math4/geometry/euclidean/threed/LineTest.java</t>
  </si>
  <si>
    <t>src/test/java/org/apache/commons/math4/geometry/euclidean/threed/PlaneTest.java</t>
  </si>
  <si>
    <t>src/test/java/org/apache/commons/math4/geometry/euclidean/threed/PolyhedronsSetTest.java</t>
  </si>
  <si>
    <t>src/test/java/org/apache/commons/math4/geometry/euclidean/threed/RotationTest.java</t>
  </si>
  <si>
    <t>src/test/java/org/apache/commons/math4/geometry/euclidean/threed/SphereGeneratorTest.java</t>
  </si>
  <si>
    <t>src/test/java/org/apache/commons/math4/geometry/euclidean/threed/SphericalCoordinatesTest.java</t>
  </si>
  <si>
    <t>src/test/java/org/apache/commons/math4/geometry/euclidean/threed/SubLineTest.java</t>
  </si>
  <si>
    <t>src/test/java/org/apache/commons/math4/geometry/euclidean/threed/Vector3DFormatAbstractTest.java</t>
  </si>
  <si>
    <t>src/test/java/org/apache/commons/math4/geometry/euclidean/threed/Vector3DTest.java</t>
  </si>
  <si>
    <t>src/test/java/org/apache/commons/math4/geometry/euclidean/twod/Cartesian2DTest.java</t>
  </si>
  <si>
    <t>src/test/java/org/apache/commons/math4/geometry/euclidean/twod/DiskGeneratorTest.java</t>
  </si>
  <si>
    <t>src/test/java/org/apache/commons/math4/geometry/euclidean/twod/Euclidean2DTest.java</t>
  </si>
  <si>
    <t>src/test/java/org/apache/commons/math4/geometry/euclidean/twod/LineTest.java</t>
  </si>
  <si>
    <t>src/test/java/org/apache/commons/math4/geometry/euclidean/twod/NestedLoopsTest.java</t>
  </si>
  <si>
    <t>src/test/java/org/apache/commons/math4/geometry/euclidean/twod/SegmentTest.java</t>
  </si>
  <si>
    <t>src/test/java/org/apache/commons/math4/geometry/euclidean/twod/SubLineTest.java</t>
  </si>
  <si>
    <t>src/test/java/org/apache/commons/math4/geometry/euclidean/twod/Vector2DFormatAbstractTest.java</t>
  </si>
  <si>
    <t>src/test/java/org/apache/commons/math4/geometry/euclidean/twod/hull/ConvexHullGenerator2DAbstractTest.java</t>
  </si>
  <si>
    <t>src/test/java/org/apache/commons/math4/geometry/euclidean/twod/hull/MonotoneChainTest.java</t>
  </si>
  <si>
    <t>src/test/java/org/apache/commons/math4/geometry/partitioning/CharacterizationTest.java</t>
  </si>
  <si>
    <t>src/test/java/org/apache/commons/math4/geometry/spherical/oned/ArcTest.java</t>
  </si>
  <si>
    <t>src/test/java/org/apache/commons/math4/geometry/spherical/oned/ArcsSetTest.java</t>
  </si>
  <si>
    <t>src/test/java/org/apache/commons/math4/geometry/spherical/oned/LimitAngleTest.java</t>
  </si>
  <si>
    <t>src/test/java/org/apache/commons/math4/geometry/spherical/oned/S1PointTest.java</t>
  </si>
  <si>
    <t>src/test/java/org/apache/commons/math4/geometry/spherical/oned/Sphere1Test.java</t>
  </si>
  <si>
    <t>src/test/java/org/apache/commons/math4/geometry/spherical/twod/CircleTest.java</t>
  </si>
  <si>
    <t>src/test/java/org/apache/commons/math4/geometry/spherical/twod/S2PointTest.java</t>
  </si>
  <si>
    <t>src/test/java/org/apache/commons/math4/geometry/spherical/twod/SphericalPolygonsSetTest.java</t>
  </si>
  <si>
    <t>src/test/java/org/apache/commons/math4/geometry/spherical/twod/SubCircleTest.java</t>
  </si>
  <si>
    <t>src/test/java/org/apache/commons/math4/fraction/FractionTest.java</t>
  </si>
  <si>
    <t>src/test/java/org/apache/commons/math4/linear/MatrixUtilsTest.java</t>
  </si>
  <si>
    <t>src/test/java/org/apache/commons/math4/fraction/BigFractionFieldTest.java</t>
  </si>
  <si>
    <t>src/test/java/org/apache/commons/math4/fraction/BigFractionTest.java</t>
  </si>
  <si>
    <t>src/test/java/org/apache/commons/math4/complex/ComplexUtilsTest.java</t>
  </si>
  <si>
    <t>src/test/java/org/apache/commons/math4/util/MultidimensionalCounterTest.java</t>
  </si>
  <si>
    <t>src/test/java/org/apache/commons/math4/util/IncrementorTest.java</t>
  </si>
  <si>
    <t>src/test/java/org/apache/commons/math4/ml/clustering/initialization/CentroidInitializerTest.java</t>
  </si>
  <si>
    <t>src/test/java/org/apache/commons/math4/ml/neuralnet/MapUtilsTest.java</t>
  </si>
  <si>
    <t>src/test/java/org/apache/commons/math4/geometry/euclidean/threed/FieldRotationDSTest.java</t>
  </si>
  <si>
    <t>src/test/java/org/apache/commons/math4/geometry/euclidean/threed/FieldRotationDfpTest.java</t>
  </si>
  <si>
    <t>src/test/java/org/apache/commons/math4/geometry/euclidean/threed/FieldVector3DTest.java</t>
  </si>
  <si>
    <t>src/test/java/org/apache/commons/math4/geometry/euclidean/threed/RotationOrderTest.java</t>
  </si>
  <si>
    <t>commons-math-legacy/src/test/java/org/apache/commons/math4/legacy/ml/neuralnet/sofm/KohonenTrainingTaskTest.java</t>
  </si>
  <si>
    <t>commons-math-legacy/src/test/java/org/apache/commons/math4/legacy/distribution/EnumeratedIntegerDistributionTest.java</t>
  </si>
  <si>
    <t>commons-math-legacy/src/test/java/org/apache/commons/math4/legacy/util/MathUtilsTest.java</t>
  </si>
  <si>
    <t>commons-math-legacy/src/test/java/org/apache/commons/math4/legacy/random/GaussianRandomGeneratorTest.java</t>
  </si>
  <si>
    <t>commons-math-legacy/src/test/java/org/apache/commons/math4/legacy/random/UncorrelatedRandomVectorGeneratorTest.java</t>
  </si>
  <si>
    <t>commons-math-legacy/src/test/java/org/apache/commons/math4/legacy/stat/descriptive/DefaultTransformerTest.java</t>
  </si>
  <si>
    <t>commons-math-legacy/src/test/java/org/apache/commons/math4/legacy/stat/descriptive/TransformerMapTest.java</t>
  </si>
  <si>
    <t>commons-math-legacy/src/test/java/org/apache/commons/math4/legacy/stat/descriptive/ListUnivariateImplTest.java</t>
  </si>
  <si>
    <t>commons-math-legacy/src/test/java/org/apache/commons/math4/legacy/stat/descriptive/MixedListUnivariateImplTest.java</t>
  </si>
  <si>
    <t>commons-math-legacy/src/test/java/org/apache/commons/math4/legacy/random/UniformRandomGeneratorTest.java</t>
  </si>
  <si>
    <t>commons-math-legacy/src/test/java/org/apache/commons/math4/legacy/random/SynchronizedRandomGeneratorTest.java</t>
  </si>
  <si>
    <t>commons-math-legacy/src/test/java/org/apache/commons/math4/legacy/distribution/EmpiricalDistributionTest.java</t>
  </si>
  <si>
    <t>commons-math-legacy/src/test/java/org/apache/commons/math4/legacy/distribution/RealDistributionAbstractTest.java</t>
  </si>
  <si>
    <t>commons-math-legacy/src/test/java/org/apache/commons/math4/legacy/random/RandomUtilsDataGeneratorAbstractTest.java</t>
  </si>
  <si>
    <t>commons-math-legacy-core/src/test/java/org/apache/commons/math4/legacy/core/MathArraysTest.java</t>
  </si>
  <si>
    <t>commons-math-legacy/src/test/java/org/apache/commons/math4/legacy/optim/nonlinear/scalar/noderiv/SimplexOptimizerMultiDirectionalTest.java</t>
  </si>
  <si>
    <t>commons-math-legacy/src/test/java/org/apache/commons/math4/legacy/optim/nonlinear/scalar/noderiv/SimplexOptimizerNelderMeadTest.java</t>
  </si>
  <si>
    <t>commons-math-legacy/src/test/java/org/apache/commons/math4/legacy/random/StableRandomGeneratorTest.java</t>
  </si>
  <si>
    <t>commons-math-legacy/src/test/java/org/apache/commons/math4/legacy/optim/nonlinear/scalar/noderiv/SimplexOptimizerHedarFukushimaTest.java</t>
  </si>
  <si>
    <t>commons-math-legacy/src/test/java/org/apache/commons/math4/legacy/optim/nonlinear/scalar/noderiv/BOBYQAOptimizerTest.java</t>
  </si>
  <si>
    <t>commons-math-legacy/src/test/java/org/apache/commons/math4/legacy/optim/nonlinear/scalar/noderiv/CMAESOptimizerTest.java</t>
  </si>
  <si>
    <t>commons-math-legacy/src/test/java/org/apache/commons/math4/legacy/RetryRunnerTest.java</t>
  </si>
  <si>
    <t>commons-math-legacy-core/src/test/java/org/apache/commons/math4/legacy/core/jdkmath/AccurateMathTest.java</t>
  </si>
  <si>
    <t>commons-math-legacy/src/test/java/org/apache/commons/math4/legacy/distribution/AbstractRealDistributionTest.java</t>
  </si>
  <si>
    <t>commons-math-legacy/src/test/java/org/apache/commons/math4/legacy/distribution/EnumeratedRealDistributionTest.java</t>
  </si>
  <si>
    <t>commons-math-legacy/src/test/java/org/apache/commons/math4/legacy/analysis/differentiation/DerivativeStructureTest.java</t>
  </si>
  <si>
    <t>commons-math-legacy/src/test/java/org/apache/commons/math4/legacy/analysis/differentiation/FiniteDifferencesDifferentiatorTest.java</t>
  </si>
  <si>
    <t>commons-math-legacy/src/test/java/org/apache/commons/math4/legacy/analysis/differentiation/SparseGradientTest.java</t>
  </si>
  <si>
    <t>commons-math-legacy/src/test/java/org/apache/commons/math4/legacy/analysis/polynomials/PolynomialFunctionTest.java</t>
  </si>
  <si>
    <t>commons-math-legacy/src/test/java/org/apache/commons/math4/legacy/stat/descriptive/StorelessUnivariateStatisticAbstractTest.java</t>
  </si>
  <si>
    <t>commons-math-legacy/src/test/java/org/apache/commons/math4/legacy/stat/FrequencyTest.java</t>
  </si>
  <si>
    <t>commons-math-legacy/src/test/java/org/apache/commons/math4/legacy/stat/descriptive/MultivariateSummaryStatisticsTest.java</t>
  </si>
  <si>
    <t>commons-math-legacy/src/test/java/org/apache/commons/math4/legacy/stat/descriptive/StatisticalSummaryValuesTest.java</t>
  </si>
  <si>
    <t>commons-math-legacy/src/test/java/org/apache/commons/math4/legacy/stat/descriptive/SummaryStatisticsTest.java</t>
  </si>
  <si>
    <t>commons-math-legacy/src/test/java/org/apache/commons/math4/legacy/stat/descriptive/moment/VectorialCovarianceTest.java</t>
  </si>
  <si>
    <t>commons-math-legacy/src/test/java/org/apache/commons/math4/legacy/stat/descriptive/moment/VectorialMeanTest.java</t>
  </si>
  <si>
    <t>commons-math-legacy/src/test/java/org/apache/commons/math4/legacy/optim/PointValuePairTest.java</t>
  </si>
  <si>
    <t>commons-math-legacy/src/test/java/org/apache/commons/math4/legacy/optim/PointVectorValuePairTest.java</t>
  </si>
  <si>
    <t>commons-math-legacy/src/test/java/org/apache/commons/math4/legacy/optim/linear/SimplexTableauTest.java</t>
  </si>
  <si>
    <t>commons-math-neuralnet/src/test/java/org/apache/commons/math4/neuralnet/NetworkTest.java</t>
  </si>
  <si>
    <t>commons-math-neuralnet/src/test/java/org/apache/commons/math4/neuralnet/NeuronTest.java</t>
  </si>
  <si>
    <t>commons-math-neuralnet/src/test/java/org/apache/commons/math4/neuralnet/oned/NeuronStringTest.java</t>
  </si>
  <si>
    <t>commons-math-neuralnet/src/test/java/org/apache/commons/math4/neuralnet/twod/NeuronSquareMesh2DTest.java</t>
  </si>
  <si>
    <t>commons-math-legacy/src/test/java/org/apache/commons/math4/legacy/util/CombinatoricsUtilsTest.java</t>
  </si>
  <si>
    <t>ExpandableDoubleArrayTest.java</t>
  </si>
  <si>
    <t>ContractableDoubleArrayTest.java</t>
  </si>
  <si>
    <t>BeanListUnivariateImplTest.java</t>
  </si>
  <si>
    <t>BivariateRegressionTest.java</t>
  </si>
  <si>
    <t>ListUnivariateImplTest.java</t>
  </si>
  <si>
    <t>StoreUnivariateImplTest.java</t>
  </si>
  <si>
    <t>UnivariateImplTest.java</t>
  </si>
  <si>
    <t>ChiSquareDistributionTest.java</t>
  </si>
  <si>
    <t>DistributionFactoryImplTest.java</t>
  </si>
  <si>
    <t>GammaDistributionTest.java</t>
  </si>
  <si>
    <t>CertifiedDataTest.java</t>
  </si>
  <si>
    <t>ExponentialDistributionTest.java</t>
  </si>
  <si>
    <t>RealSolverTest.java</t>
  </si>
  <si>
    <t>TestStatisticTest.java</t>
  </si>
  <si>
    <t>FixedDoubleArrayTest.java</t>
  </si>
  <si>
    <t>MathConfigurationExceptionTest.java</t>
  </si>
  <si>
    <t>MathExceptionTest.java</t>
  </si>
  <si>
    <t>BisectionSolverTest.java</t>
  </si>
  <si>
    <t>ConvergenceExceptionTest.java</t>
  </si>
  <si>
    <t>InterpolatorTest.java</t>
  </si>
  <si>
    <t>UnivariateRealSolverUtilsTest.java</t>
  </si>
  <si>
    <t>ComplexTest.java</t>
  </si>
  <si>
    <t>BinomialDistributionTest.java</t>
  </si>
  <si>
    <t>FDistributionTest.java</t>
  </si>
  <si>
    <t>HypergeometricDistributionTest.java</t>
  </si>
  <si>
    <t>TDistributionTest.java</t>
  </si>
  <si>
    <t>RealMatrixImplTest.java</t>
  </si>
  <si>
    <t>EmpiricalDistributionTest.java</t>
  </si>
  <si>
    <t>RandomDataTest.java</t>
  </si>
  <si>
    <t>ValueServerTest.java</t>
  </si>
  <si>
    <t>BetaTest.java</t>
  </si>
  <si>
    <t>GammaTest.java</t>
  </si>
  <si>
    <t>FrequencyTest.java</t>
  </si>
  <si>
    <t>MixedListUnivariateImplTest.java</t>
  </si>
  <si>
    <t>StatUtilsTest.java</t>
  </si>
  <si>
    <t>InteractionTest.java</t>
  </si>
  <si>
    <t>StorelessUnivariateStatisticAbstractTest.java</t>
  </si>
  <si>
    <t>UnivariateStatisticAbstractTest.java</t>
  </si>
  <si>
    <t>PercentileTest.java</t>
  </si>
  <si>
    <t>BeanTransformerTest.java</t>
  </si>
  <si>
    <t>ContinuedFractionTest.java</t>
  </si>
  <si>
    <t>DefaultTransformerTest.java</t>
  </si>
  <si>
    <t>DoubleArrayAbstractTest.java</t>
  </si>
  <si>
    <t>MathUtilsTest.java</t>
  </si>
  <si>
    <t>TransformerMapTest.java</t>
  </si>
  <si>
    <t>DescriptiveStatisticsTest.java</t>
  </si>
  <si>
    <t>NormalDistributionTest.java</t>
  </si>
  <si>
    <t>TTestTest.java</t>
  </si>
  <si>
    <t>ComplexFormatTest.java</t>
  </si>
  <si>
    <t>BigMatrixImplTest.java</t>
  </si>
  <si>
    <t>InvalidMatrixExceptionTest.java</t>
  </si>
  <si>
    <t>MatrixIndexExceptionTest.java</t>
  </si>
  <si>
    <t>ImmutableVector3DTest.java</t>
  </si>
  <si>
    <t>LevenbergMarquardtEstimatorTest.java</t>
  </si>
  <si>
    <t>MappableArrayTest.java</t>
  </si>
  <si>
    <t>CorrelatedRandomVectorGeneratorTest.java</t>
  </si>
  <si>
    <t>VectorialSampleStatisticsTest.java</t>
  </si>
  <si>
    <t>GaussNewtonEstimatorTest.java</t>
  </si>
  <si>
    <t>ClassicalRungeKuttaIntegratorTest.java</t>
  </si>
  <si>
    <t>EulerIntegratorTest.java</t>
  </si>
  <si>
    <t>GillIntegratorTest.java</t>
  </si>
  <si>
    <t>MidpointIntegratorTest.java</t>
  </si>
  <si>
    <t>ThreeEighthesIntegratorTest.java</t>
  </si>
  <si>
    <t>HighamHall54IntegratorTest.java</t>
  </si>
  <si>
    <t>DescriptiveStatisticsImplTest.java</t>
  </si>
  <si>
    <t>MultivariateSummaryStatisticsTest.java</t>
  </si>
  <si>
    <t>DescriptiveStatisticsAbstractTest.java</t>
  </si>
  <si>
    <t>ComplexUtilsTest.java</t>
  </si>
  <si>
    <t>AbstractMultipleLinearRegressionTest.java</t>
  </si>
  <si>
    <t>EigenDecompositionImplTest.java</t>
  </si>
  <si>
    <t>LUDecompositionImplTest.java</t>
  </si>
  <si>
    <t>QRDecompositionImplTest.java</t>
  </si>
  <si>
    <t>UnivariateRealSolverFactoryImplTest.java</t>
  </si>
  <si>
    <t>ChebyshevTest.java</t>
  </si>
  <si>
    <t>HermiteTest.java</t>
  </si>
  <si>
    <t>LaguerreTest.java</t>
  </si>
  <si>
    <t>LegendreTest.java</t>
  </si>
  <si>
    <t>EstimatedParameterTest.java</t>
  </si>
  <si>
    <t>WeightedMeasurementTest.java</t>
  </si>
  <si>
    <t>NordsieckTransformerTest.java</t>
  </si>
  <si>
    <t>NaturalRankingTest.java</t>
  </si>
  <si>
    <t>ClassicalRungeKuttaStepInterpolatorTest.java</t>
  </si>
  <si>
    <t>DormandPrince54StepInterpolatorTest.java</t>
  </si>
  <si>
    <t>DormandPrince853StepInterpolatorTest.java</t>
  </si>
  <si>
    <t>EulerStepInterpolatorTest.java</t>
  </si>
  <si>
    <t>GraggBulirschStoerStepInterpolatorTest.java</t>
  </si>
  <si>
    <t>HighamHall54StepInterpolatorTest.java</t>
  </si>
  <si>
    <t>ThreeEighthesStepInterpolatorTest.java</t>
  </si>
  <si>
    <t>AdamsBashforthIntegratorTest.java</t>
  </si>
  <si>
    <t>AdamsMoultonIntegratorTest.java</t>
  </si>
  <si>
    <t>AdamsIntegratorTest.java</t>
  </si>
  <si>
    <t>DummyStepInterpolatorTest.java</t>
  </si>
  <si>
    <t>AbstractCurveFitterTest.java</t>
  </si>
  <si>
    <t>NewtonSolverTest.java</t>
  </si>
  <si>
    <t>LoessInterpolatorTest.java</t>
  </si>
  <si>
    <t>SingularValueSolverTest.java</t>
  </si>
  <si>
    <t>UnivariateRealFunctionUtilsTest.java</t>
  </si>
  <si>
    <t>CholeskySolverTest.java</t>
  </si>
  <si>
    <t>RecursiveLayoutRealMatrixTest.java</t>
  </si>
  <si>
    <t>PolynomialDoubleTest.java</t>
  </si>
  <si>
    <t>PolynomialFractionTest.java</t>
  </si>
  <si>
    <t>PolynomialRationalTest.java</t>
  </si>
  <si>
    <t>RationalNumberTest.java</t>
  </si>
  <si>
    <t>BasicSampledFunctionIteratorTest.java</t>
  </si>
  <si>
    <t>ComputableFunctionSamplerTest.java</t>
  </si>
  <si>
    <t>ScalarValuedPairTest.java</t>
  </si>
  <si>
    <t>VectorialValuedPairTest.java</t>
  </si>
  <si>
    <t>DiagonalMatrixTest.java</t>
  </si>
  <si>
    <t>GeneralMatrixTest.java</t>
  </si>
  <si>
    <t>GeneralSquareMatrixTest.java</t>
  </si>
  <si>
    <t>LowerTriangularMatrixTest.java</t>
  </si>
  <si>
    <t>MatrixFactoryTest.java</t>
  </si>
  <si>
    <t>NonNullRangeTest.java</t>
  </si>
  <si>
    <t>SymetricalMatrixTest.java</t>
  </si>
  <si>
    <t>UpperTriangularMatrixTest.java</t>
  </si>
  <si>
    <t>GaussLegendreIntegratorTest.java</t>
  </si>
  <si>
    <t>ScalarSampleStatisticsTest.java</t>
  </si>
  <si>
    <t>BrentSolverTest.java</t>
  </si>
  <si>
    <t>ArrayMapperTest.java</t>
  </si>
  <si>
    <t>IntervalTest.java</t>
  </si>
  <si>
    <t>IntervalsListTest.java</t>
  </si>
  <si>
    <t>MappableScalarTest.java</t>
  </si>
  <si>
    <t>BrentOptimizerTest.java</t>
  </si>
  <si>
    <t>NelderMeadTest.java</t>
  </si>
  <si>
    <t>WeibullDistributionTest.java</t>
  </si>
  <si>
    <t>MatrixUtilsTest.java</t>
  </si>
  <si>
    <t>MultiDirectionalTest.java</t>
  </si>
  <si>
    <t>MinpackTest.java</t>
  </si>
  <si>
    <t>DuplicateSampleAbscissaExceptionTest.java</t>
  </si>
  <si>
    <t>ArgumentOutsideDomainExceptionTest.java</t>
  </si>
  <si>
    <t>SmoothingBicubicSplineInterpolatorTest.java</t>
  </si>
  <si>
    <t>FunctionEvaluationExceptionTest.java</t>
  </si>
  <si>
    <t>LaguerreSolverTest.java</t>
  </si>
  <si>
    <t>MullerSolverTest.java</t>
  </si>
  <si>
    <t>RiddersSolverTest.java</t>
  </si>
  <si>
    <t>FirstOrderIntegratorWithJacobiansTest.java</t>
  </si>
  <si>
    <t>BinaryFunctionTest.java</t>
  </si>
  <si>
    <t>ComposableFunctionTest.java</t>
  </si>
  <si>
    <t>ComplexFormatAbstractTest.java</t>
  </si>
  <si>
    <t>Vector3DFormatAbstractTest.java</t>
  </si>
  <si>
    <t>RealVectorFormatAbstractTest.java</t>
  </si>
  <si>
    <t>MaxIterationsExceededExceptionTest.java</t>
  </si>
  <si>
    <t>FastMathTest.java</t>
  </si>
  <si>
    <t>LogisticTest.java</t>
  </si>
  <si>
    <t>StepFunctionTest.java</t>
  </si>
  <si>
    <t>CMAESOptimizerTest.java</t>
  </si>
  <si>
    <t>ParametricGaussianFunctionTest.java</t>
  </si>
  <si>
    <t>MessageFactoryTest.java</t>
  </si>
  <si>
    <t>DormandPrince853IntegratorTest.java</t>
  </si>
  <si>
    <t>MathRuntimeExceptionTest.java</t>
  </si>
  <si>
    <t>AbstractRandomGeneratorTest.java</t>
  </si>
  <si>
    <t>BOBYQAOptimizerTest.java</t>
  </si>
  <si>
    <t>ArrayRealVectorTest.java</t>
  </si>
  <si>
    <t>SimplexOptimizerMultiDirectionalTest.java</t>
  </si>
  <si>
    <t>SimplexOptimizerNelderMeadTest.java</t>
  </si>
  <si>
    <t>MathArraysTest.java</t>
  </si>
  <si>
    <t>ZipfDistributionTest.java</t>
  </si>
  <si>
    <t>AbtractIntegerDistributionTest.java</t>
  </si>
  <si>
    <t>IntegerDistributionAbstractTest.java</t>
  </si>
  <si>
    <t>RandomGeneratorAbstractTest.java</t>
  </si>
  <si>
    <t>FastFourierTransformerTest.java</t>
  </si>
  <si>
    <t>FastSineTransformerTest.java</t>
  </si>
  <si>
    <t>RealTransformerAbstractTest.java</t>
  </si>
  <si>
    <t>StorelessCovarianceTest.java</t>
  </si>
  <si>
    <t>PivotingQRDecompositionTest.java</t>
  </si>
  <si>
    <t>PivotingQRSolverTest.java</t>
  </si>
  <si>
    <t>BatteryNISTTest.java</t>
  </si>
  <si>
    <t>SparseRealVectorTest.java</t>
  </si>
  <si>
    <t>RealVectorAbstractTest.java</t>
  </si>
  <si>
    <t>RealVectorTest.java</t>
  </si>
  <si>
    <t>GaussianTest.java</t>
  </si>
  <si>
    <t>LogitTest.java</t>
  </si>
  <si>
    <t>PolynomialFitterTest.java</t>
  </si>
  <si>
    <t>ExtendedFieldElementAbstractTest.java</t>
  </si>
  <si>
    <t>BicubicSplineInterpolatorTest.java</t>
  </si>
  <si>
    <t>SimplexSolverTest.java</t>
  </si>
  <si>
    <t>ArithmeticUtilsTest.java</t>
  </si>
  <si>
    <t>ChordTest.java</t>
  </si>
  <si>
    <t>SubChordTest.java</t>
  </si>
  <si>
    <t>BinomialConfidenceIntervalTest.java</t>
  </si>
  <si>
    <t>GrahamScan2DTest.java</t>
  </si>
  <si>
    <t>SphericalCapGeneratorTest.java</t>
  </si>
  <si>
    <t>GrahamScanTest.java</t>
  </si>
  <si>
    <t>AbstractLeastSquaresOptimizerAbstractTest.java</t>
  </si>
  <si>
    <t>GaussNewtonOptimizerTest.java</t>
  </si>
  <si>
    <t>LevenbergMarquardtOptimizerTest.java</t>
  </si>
  <si>
    <t>GaussNewtonOptimizerWithLUTest.java</t>
  </si>
  <si>
    <t>GaussNewtonOptimizerWithQRTest.java</t>
  </si>
  <si>
    <t>KolmogorovSmirnovTestTest.java</t>
  </si>
  <si>
    <t>BicubicSplineInterpolatingFunctionTest.java</t>
  </si>
  <si>
    <t>DBSCANClustererTest.java</t>
  </si>
  <si>
    <t>EuclideanDoublePointTest.java</t>
  </si>
  <si>
    <t>EuclideanIntegerPointTest.java</t>
  </si>
  <si>
    <t>KMeansPlusPlusClustererTest.java</t>
  </si>
  <si>
    <t>AVLTreeTest.java</t>
  </si>
  <si>
    <t>LegendreGaussIntegratorTest.java</t>
  </si>
  <si>
    <t>KolmogorovSmirnovDistributionTest.java</t>
  </si>
  <si>
    <t>EnumeratedRealDistributionTest.java</t>
  </si>
  <si>
    <t>RealDistributionAbstractTest.java</t>
  </si>
  <si>
    <t>MultivariateDifferentiableMultiStartOptimizerTest.java</t>
  </si>
  <si>
    <t>MultivariateDifferentiableVectorMultiStartOptimizerTest.java</t>
  </si>
  <si>
    <t>MultivariateMultiStartOptimizerTest.java</t>
  </si>
  <si>
    <t>PointValuePairTest.java</t>
  </si>
  <si>
    <t>PointVectorValuePairTest.java</t>
  </si>
  <si>
    <t>SimplePointCheckerTest.java</t>
  </si>
  <si>
    <t>SimpleValueCheckerTest.java</t>
  </si>
  <si>
    <t>SimpleVectorValueCheckerTest.java</t>
  </si>
  <si>
    <t>MultivariateFunctionMappingAdapterTest.java</t>
  </si>
  <si>
    <t>MultivariateFunctionPenaltyAdapterTest.java</t>
  </si>
  <si>
    <t>PowellOptimizerTest.java</t>
  </si>
  <si>
    <t>CurveFitterTest.java</t>
  </si>
  <si>
    <t>GaussianFitterTest.java</t>
  </si>
  <si>
    <t>HarmonicFitterTest.java</t>
  </si>
  <si>
    <t>AbstractLeastSquaresOptimizerTest.java</t>
  </si>
  <si>
    <t>NonLinearConjugateGradientOptimizerTest.java</t>
  </si>
  <si>
    <t>SimplexTableauTest.java</t>
  </si>
  <si>
    <t>BracketFinderTest.java</t>
  </si>
  <si>
    <t>SimpleUnivariateValueCheckerTest.java</t>
  </si>
  <si>
    <t>UnivariateMultiStartOptimizerTest.java</t>
  </si>
  <si>
    <t>SmoothingPolynomialBicubicSplineInterpolatorTest.java</t>
  </si>
  <si>
    <t>TricubicSplineInterpolatingFunctionTest.java</t>
  </si>
  <si>
    <t>TricubicSplineInterpolatorTest.java</t>
  </si>
  <si>
    <t>ResizableDoubleArrayTest.java</t>
  </si>
  <si>
    <t>FunctionUtilsTest.java</t>
  </si>
  <si>
    <t>MultiStartMultivariateVectorOptimizerTest.java</t>
  </si>
  <si>
    <t>AbstractUnivariateStatisticTest.java</t>
  </si>
  <si>
    <t>RandomDataGeneratorTest.java</t>
  </si>
  <si>
    <t>MicrosphereInterpolatorTest.java</t>
  </si>
  <si>
    <t>BaseRandomGeneratorTest.java</t>
  </si>
  <si>
    <t>ConstantRealDistributionTest.java</t>
  </si>
  <si>
    <t>MersenneTwisterTest.java</t>
  </si>
  <si>
    <t>ISAACTest.java</t>
  </si>
  <si>
    <t>Well512aTest.java</t>
  </si>
  <si>
    <t>Well1024aTest.java</t>
  </si>
  <si>
    <t>Well19937aTest.java</t>
  </si>
  <si>
    <t>Well44497aTest.java</t>
  </si>
  <si>
    <t>Well44497bTest.java</t>
  </si>
  <si>
    <t>RandomAdaptorTest.java</t>
  </si>
  <si>
    <t>Well19937cTest.java</t>
  </si>
  <si>
    <t>Providers32ParametricTest.java</t>
  </si>
  <si>
    <t>Providers64ParametricTest.java</t>
  </si>
  <si>
    <t>ProvidersCommonParametricTest.java</t>
  </si>
  <si>
    <t>ISAACRandomTest.java</t>
  </si>
  <si>
    <t>JDKRandomTest.java</t>
  </si>
  <si>
    <t>MersenneTwister64Test.java</t>
  </si>
  <si>
    <t>SplitMix64Test.java</t>
  </si>
  <si>
    <t>TwoCmresTest.java</t>
  </si>
  <si>
    <t>XorShift1024StarTest.java</t>
  </si>
  <si>
    <t>NumberFactoryTest.java</t>
  </si>
  <si>
    <t>SeedFactoryTest.java</t>
  </si>
  <si>
    <t>RandomUtilsDataGeneratorAbstractTest.java</t>
  </si>
  <si>
    <t>JDKRandomAdaptorTest.java</t>
  </si>
  <si>
    <t>PrecisionTest.java</t>
  </si>
  <si>
    <t>ErfTest.java</t>
  </si>
  <si>
    <t>CombinationsTest.java</t>
  </si>
  <si>
    <t>CombinatoricsUtilsTest.java</t>
  </si>
  <si>
    <t>FactorialLogTest.java</t>
  </si>
  <si>
    <t>UnitSphereRandomVectorGeneratorTest.java</t>
  </si>
  <si>
    <t>FractionFormatTest.java</t>
  </si>
  <si>
    <t>BigFractionFormatTest.java</t>
  </si>
  <si>
    <t>QuaternionTest.java</t>
  </si>
  <si>
    <t>RootsOfUnityTest.java</t>
  </si>
  <si>
    <t>PrimesTest.java</t>
  </si>
  <si>
    <t>BetaDistributionTest.java</t>
  </si>
  <si>
    <t>CauchyDistributionTest.java</t>
  </si>
  <si>
    <t>ChiSquaredDistributionTest.java</t>
  </si>
  <si>
    <t>GeometricDistributionTest.java</t>
  </si>
  <si>
    <t>GumbelDistributionTest.java</t>
  </si>
  <si>
    <t>LaplaceDistributionTest.java</t>
  </si>
  <si>
    <t>LevyDistributionTest.java</t>
  </si>
  <si>
    <t>LogNormalDistributionTest.java</t>
  </si>
  <si>
    <t>LogisticsDistributionTest.java</t>
  </si>
  <si>
    <t>NakagamiDistributionTest.java</t>
  </si>
  <si>
    <t>ParetoDistributionTest.java</t>
  </si>
  <si>
    <t>PascalDistributionTest.java</t>
  </si>
  <si>
    <t>PoissonDistributionTest.java</t>
  </si>
  <si>
    <t>TriangularDistributionTest.java</t>
  </si>
  <si>
    <t>UniformIntegerDistributionTest.java</t>
  </si>
  <si>
    <t>UniformRealDistributionTest.java</t>
  </si>
  <si>
    <t>Cartesian1DTest.java</t>
  </si>
  <si>
    <t>PolygonsSetTest.java</t>
  </si>
  <si>
    <t>ComplexFieldTest.java</t>
  </si>
  <si>
    <t>WelzlEncloser2DTest.java</t>
  </si>
  <si>
    <t>WelzlEncloser3DTest.java</t>
  </si>
  <si>
    <t>Euclidean1DTest.java</t>
  </si>
  <si>
    <t>IntervalsSetTest.java</t>
  </si>
  <si>
    <t>OrientedPointTest.java</t>
  </si>
  <si>
    <t>SubOrientedPointTest.java</t>
  </si>
  <si>
    <t>Vector1DFormatAbstractTest.java</t>
  </si>
  <si>
    <t>Euclidean3DTest.java</t>
  </si>
  <si>
    <t>LineTest.java</t>
  </si>
  <si>
    <t>PlaneTest.java</t>
  </si>
  <si>
    <t>PolyhedronsSetTest.java</t>
  </si>
  <si>
    <t>RotationTest.java</t>
  </si>
  <si>
    <t>SphereGeneratorTest.java</t>
  </si>
  <si>
    <t>SphericalCoordinatesTest.java</t>
  </si>
  <si>
    <t>SubLineTest.java</t>
  </si>
  <si>
    <t>Vector3DTest.java</t>
  </si>
  <si>
    <t>Cartesian2DTest.java</t>
  </si>
  <si>
    <t>DiskGeneratorTest.java</t>
  </si>
  <si>
    <t>Euclidean2DTest.java</t>
  </si>
  <si>
    <t>NestedLoopsTest.java</t>
  </si>
  <si>
    <t>SegmentTest.java</t>
  </si>
  <si>
    <t>Vector2DFormatAbstractTest.java</t>
  </si>
  <si>
    <t>ConvexHullGenerator2DAbstractTest.java</t>
  </si>
  <si>
    <t>MonotoneChainTest.java</t>
  </si>
  <si>
    <t>CharacterizationTest.java</t>
  </si>
  <si>
    <t>ArcTest.java</t>
  </si>
  <si>
    <t>ArcsSetTest.java</t>
  </si>
  <si>
    <t>LimitAngleTest.java</t>
  </si>
  <si>
    <t>S1PointTest.java</t>
  </si>
  <si>
    <t>Sphere1Test.java</t>
  </si>
  <si>
    <t>CircleTest.java</t>
  </si>
  <si>
    <t>S2PointTest.java</t>
  </si>
  <si>
    <t>SphericalPolygonsSetTest.java</t>
  </si>
  <si>
    <t>SubCircleTest.java</t>
  </si>
  <si>
    <t>FractionTest.java</t>
  </si>
  <si>
    <t>BigFractionFieldTest.java</t>
  </si>
  <si>
    <t>BigFractionTest.java</t>
  </si>
  <si>
    <t>MultidimensionalCounterTest.java</t>
  </si>
  <si>
    <t>IncrementorTest.java</t>
  </si>
  <si>
    <t>CentroidInitializerTest.java</t>
  </si>
  <si>
    <t>MapUtilsTest.java</t>
  </si>
  <si>
    <t>FieldRotationDSTest.java</t>
  </si>
  <si>
    <t>FieldRotationDfpTest.java</t>
  </si>
  <si>
    <t>FieldVector3DTest.java</t>
  </si>
  <si>
    <t>RotationOrderTest.java</t>
  </si>
  <si>
    <t>KohonenTrainingTaskTest.java</t>
  </si>
  <si>
    <t>EnumeratedIntegerDistributionTest.java</t>
  </si>
  <si>
    <t>GaussianRandomGeneratorTest.java</t>
  </si>
  <si>
    <t>UncorrelatedRandomVectorGeneratorTest.java</t>
  </si>
  <si>
    <t>UniformRandomGeneratorTest.java</t>
  </si>
  <si>
    <t>SynchronizedRandomGeneratorTest.java</t>
  </si>
  <si>
    <t>StableRandomGeneratorTest.java</t>
  </si>
  <si>
    <t>SimplexOptimizerHedarFukushimaTest.java</t>
  </si>
  <si>
    <t>RetryRunnerTest.java</t>
  </si>
  <si>
    <t>AccurateMathTest.java</t>
  </si>
  <si>
    <t>AbstractRealDistributionTest.java</t>
  </si>
  <si>
    <t>DerivativeStructureTest.java</t>
  </si>
  <si>
    <t>FiniteDifferencesDifferentiatorTest.java</t>
  </si>
  <si>
    <t>SparseGradientTest.java</t>
  </si>
  <si>
    <t>PolynomialFunctionTest.java</t>
  </si>
  <si>
    <t>StatisticalSummaryValuesTest.java</t>
  </si>
  <si>
    <t>SummaryStatisticsTest.java</t>
  </si>
  <si>
    <t>VectorialCovarianceTest.java</t>
  </si>
  <si>
    <t>VectorialMeanTest.java</t>
  </si>
  <si>
    <t>NetworkTest.java</t>
  </si>
  <si>
    <t>NeuronTest.java</t>
  </si>
  <si>
    <t>NeuronStringTest.java</t>
  </si>
  <si>
    <t>NeuronSquareMesh2DTest.java</t>
  </si>
  <si>
    <t>testWithInitialCapacitAndExpansionFactor</t>
  </si>
  <si>
    <t>testGetOutOfBounds</t>
  </si>
  <si>
    <t>testSetOutOfBounds</t>
  </si>
  <si>
    <t>testAdd1000</t>
  </si>
  <si>
    <t>testAddElementRolling</t>
  </si>
  <si>
    <t>testIllegalInitialCapacity</t>
  </si>
  <si>
    <t>testIllegalExpansionFactor</t>
  </si>
  <si>
    <t>testStats</t>
  </si>
  <si>
    <t>testPropStats</t>
  </si>
  <si>
    <t>testNorris</t>
  </si>
  <si>
    <t>testCorr</t>
  </si>
  <si>
    <t>testNaNs</t>
  </si>
  <si>
    <t>testN0andN1Conditions</t>
  </si>
  <si>
    <t>testSkewAndKurtosis</t>
  </si>
  <si>
    <t>testProductAndGeometricMean</t>
  </si>
  <si>
    <t>testRollingMinMax</t>
  </si>
  <si>
    <t>testNaNContracts</t>
  </si>
  <si>
    <t>testLowerTailProbability</t>
  </si>
  <si>
    <t>testUpperTailProbability</t>
  </si>
  <si>
    <t>testLowerTailValues</t>
  </si>
  <si>
    <t>testUpperTailValues</t>
  </si>
  <si>
    <t>testCreateChiSquareDistributionNegative</t>
  </si>
  <si>
    <t>testCreateChiSquareDistributionZero</t>
  </si>
  <si>
    <t>testCreateChiSquareDistributionPositive</t>
  </si>
  <si>
    <t>testCreateGammaDistributionNegativePositive</t>
  </si>
  <si>
    <t>testCreateGammaDistributionZeroPositive</t>
  </si>
  <si>
    <t>testCreateGammaDistributionPositiveNegative</t>
  </si>
  <si>
    <t>testCreateGammaDistributionPositiveZero</t>
  </si>
  <si>
    <t>testCreateGammaDistributionPositivePositive</t>
  </si>
  <si>
    <t>testProbabilities</t>
  </si>
  <si>
    <t>testUnivariateImpl</t>
  </si>
  <si>
    <t>testSinZero</t>
  </si>
  <si>
    <t>testQuinticZero</t>
  </si>
  <si>
    <t>testChiSquare</t>
  </si>
  <si>
    <t>testT</t>
  </si>
  <si>
    <t>testDiscardFront</t>
  </si>
  <si>
    <t>testConstructorMessage</t>
  </si>
  <si>
    <t>testConstructorMessageCause</t>
  </si>
  <si>
    <t>testConstructorCause</t>
  </si>
  <si>
    <t>testSetFunctionValueAccuracy</t>
  </si>
  <si>
    <t>testResetFunctionValueAccuracy</t>
  </si>
  <si>
    <t>testSetAbsoluteAccuracy</t>
  </si>
  <si>
    <t>testResetAbsoluteAccuracy</t>
  </si>
  <si>
    <t>testSetMaximalIterationCount</t>
  </si>
  <si>
    <t>testResetMaximalIterationCount</t>
  </si>
  <si>
    <t>testSetRelativeAccuracy</t>
  </si>
  <si>
    <t>testResetRelativeAccuracy</t>
  </si>
  <si>
    <t>testInterpolateLinearDegenerateTwoSegment</t>
  </si>
  <si>
    <t>testInterpolateLinearDegenerateThreeSegment</t>
  </si>
  <si>
    <t>testInterpolateLinear</t>
  </si>
  <si>
    <t>testInterpolateSin</t>
  </si>
  <si>
    <t>testSolveNull</t>
  </si>
  <si>
    <t>testSolveSin</t>
  </si>
  <si>
    <t>testSolveAccuracyNull</t>
  </si>
  <si>
    <t>testSolveAccuracySin</t>
  </si>
  <si>
    <t>testConstructorNaN</t>
  </si>
  <si>
    <t>testAbs</t>
  </si>
  <si>
    <t>testAdd</t>
  </si>
  <si>
    <t>testAddNaN</t>
  </si>
  <si>
    <t>testConjugate</t>
  </si>
  <si>
    <t>testConjugateNaN</t>
  </si>
  <si>
    <t>testDivide</t>
  </si>
  <si>
    <t>testDivideNaN</t>
  </si>
  <si>
    <t>testMultiply</t>
  </si>
  <si>
    <t>testMultiplyNaN</t>
  </si>
  <si>
    <t>testNegate</t>
  </si>
  <si>
    <t>testNegateNaN</t>
  </si>
  <si>
    <t>testSubtract</t>
  </si>
  <si>
    <t>testSubtractNaN</t>
  </si>
  <si>
    <t>testInverseCummulativeProbability001</t>
  </si>
  <si>
    <t>testInverseCumulativeProbability010</t>
  </si>
  <si>
    <t>testInverseCumulativeProbability025</t>
  </si>
  <si>
    <t>testInverseCumulativeProbability050</t>
  </si>
  <si>
    <t>testInverseCumulativeProbability100</t>
  </si>
  <si>
    <t>testInverseCummulativeProbability999</t>
  </si>
  <si>
    <t>testInverseCumulativeProbability990</t>
  </si>
  <si>
    <t>testInverseCumulativeProbability975</t>
  </si>
  <si>
    <t>testInverseCumulativeProbability950</t>
  </si>
  <si>
    <t>testInverseCumulativeProbability900</t>
  </si>
  <si>
    <t>testCummulativeProbability1</t>
  </si>
  <si>
    <t>testCumulativeProbability2</t>
  </si>
  <si>
    <t>testCumulativeProbability3</t>
  </si>
  <si>
    <t>testCumulativeProbability4</t>
  </si>
  <si>
    <t>testCumulativeProbability9</t>
  </si>
  <si>
    <t>testCummulativeProbability8</t>
  </si>
  <si>
    <t>testCreateFDistributionNegativePositive</t>
  </si>
  <si>
    <t>testCreateFDistributionZeroPositive</t>
  </si>
  <si>
    <t>testCreateFDistributionPositiveNegative</t>
  </si>
  <si>
    <t>testCreateFDistributionPositiveZero</t>
  </si>
  <si>
    <t>testCreateFDistributionPositivePositive</t>
  </si>
  <si>
    <t>testCreateExponentialDistributionNegative</t>
  </si>
  <si>
    <t>testCreateExponentialDistributionZero</t>
  </si>
  <si>
    <t>testCreateExponentialDistributionPositive</t>
  </si>
  <si>
    <t>testCreateTDistributionNegative</t>
  </si>
  <si>
    <t>testCreateTDistributionZero</t>
  </si>
  <si>
    <t>testCreateTDistributionPositive</t>
  </si>
  <si>
    <t>testBinomialDistributionNegativePositive</t>
  </si>
  <si>
    <t>testBinomialDistributionZeroPositive</t>
  </si>
  <si>
    <t>testBinomialDistributionPositivePositive</t>
  </si>
  <si>
    <t>testBinomialDistributionPositiveNegative</t>
  </si>
  <si>
    <t>testBinomialDistributionPositiveZero</t>
  </si>
  <si>
    <t>testBinomialDistributionPositiveOne</t>
  </si>
  <si>
    <t>testBinomialDistributionPositiveTwo</t>
  </si>
  <si>
    <t>testHypergeometricDistributionNegativePositivePositive</t>
  </si>
  <si>
    <t>testHypergeometricDistributionZeroPositivePositive</t>
  </si>
  <si>
    <t>testHypergeometricDistributionPositiveNegativePositive</t>
  </si>
  <si>
    <t>testHypergeometricDistributionPositiveZeroPositive</t>
  </si>
  <si>
    <t>testHypergeometricDistributionPositivePositiveNegative</t>
  </si>
  <si>
    <t>testHypergeometricDistributionPositivePositiveZero</t>
  </si>
  <si>
    <t>testInverseCummulativeProbability010</t>
  </si>
  <si>
    <t>testInverseCummulativeProbability025</t>
  </si>
  <si>
    <t>testInverseCummulativeProbability050</t>
  </si>
  <si>
    <t>testInverseCummulativeProbability100</t>
  </si>
  <si>
    <t>testInverseCummulativeProbability990</t>
  </si>
  <si>
    <t>testInverseCummulativeProbability975</t>
  </si>
  <si>
    <t>testInverseCummulativeProbability950</t>
  </si>
  <si>
    <t>testInverseCummulativeProbability900</t>
  </si>
  <si>
    <t>testCummulativeProbability001</t>
  </si>
  <si>
    <t>testCummulativeProbability010</t>
  </si>
  <si>
    <t>testCummulativeProbability025</t>
  </si>
  <si>
    <t>testCummulativeProbability050</t>
  </si>
  <si>
    <t>testCummulativeProbability100</t>
  </si>
  <si>
    <t>testCummulativeProbability999</t>
  </si>
  <si>
    <t>testCummulativeProbability990</t>
  </si>
  <si>
    <t>testCummulativeProbability975</t>
  </si>
  <si>
    <t>testCummulativeProbability950</t>
  </si>
  <si>
    <t>testCummulativeProbability900</t>
  </si>
  <si>
    <t>testCummulativeProbabilityNegative</t>
  </si>
  <si>
    <t>testCummulativeProbabilityZero</t>
  </si>
  <si>
    <t>testInverseCummulativeProbabilityNegative</t>
  </si>
  <si>
    <t>testInverseCummulativeProbabilityZero</t>
  </si>
  <si>
    <t>testInverseCummulativeProbabilityOne</t>
  </si>
  <si>
    <t>testInverseCummulativeProbabilityPositive</t>
  </si>
  <si>
    <t>testCummulativeProbability2</t>
  </si>
  <si>
    <t>testValues</t>
  </si>
  <si>
    <t>testCummulativeProbability0</t>
  </si>
  <si>
    <t>testCumulativeProbability5</t>
  </si>
  <si>
    <t>testCumulativeProbability010</t>
  </si>
  <si>
    <t>testCumulativeProbability025</t>
  </si>
  <si>
    <t>testCumulativeProbability050</t>
  </si>
  <si>
    <t>testCumulativeProbability100</t>
  </si>
  <si>
    <t>testCumulativeProbability990</t>
  </si>
  <si>
    <t>testCumulativeProbability975</t>
  </si>
  <si>
    <t>testCumulativeProbability950</t>
  </si>
  <si>
    <t>testCumulativeProbability900</t>
  </si>
  <si>
    <t>testDimensions</t>
  </si>
  <si>
    <t>testCopyFunctions</t>
  </si>
  <si>
    <t>testAddFail</t>
  </si>
  <si>
    <t>testNorm</t>
  </si>
  <si>
    <t>testPlusMinus</t>
  </si>
  <si>
    <t>testIsSingular</t>
  </si>
  <si>
    <t>testInverse</t>
  </si>
  <si>
    <t>testSolve</t>
  </si>
  <si>
    <t>testDeterminant</t>
  </si>
  <si>
    <t>testTrace</t>
  </si>
  <si>
    <t>testScalarAdd</t>
  </si>
  <si>
    <t>testOperate</t>
  </si>
  <si>
    <t>testTranspose</t>
  </si>
  <si>
    <t>testPremultiply</t>
  </si>
  <si>
    <t>testGetVectors</t>
  </si>
  <si>
    <t>testEntryMutators</t>
  </si>
  <si>
    <t>testLoad</t>
  </si>
  <si>
    <t>testNext</t>
  </si>
  <si>
    <t>testNexFail</t>
  </si>
  <si>
    <t>testGridTooFine</t>
  </si>
  <si>
    <t>testGridTooFat</t>
  </si>
  <si>
    <t>testNextSecureLong</t>
  </si>
  <si>
    <t>testNextSecureInt</t>
  </si>
  <si>
    <t>testNextPoisson</t>
  </si>
  <si>
    <t>testNextHex</t>
  </si>
  <si>
    <t>testNextSecureHex</t>
  </si>
  <si>
    <t>testNextUniform</t>
  </si>
  <si>
    <t>testNextGaussian</t>
  </si>
  <si>
    <t>testNextExponential</t>
  </si>
  <si>
    <t>testConfig</t>
  </si>
  <si>
    <t>testNextSample</t>
  </si>
  <si>
    <t>testNextPermutation</t>
  </si>
  <si>
    <t>testNextDigest</t>
  </si>
  <si>
    <t>testNextDigestFail</t>
  </si>
  <si>
    <t>testNextReplayFail</t>
  </si>
  <si>
    <t>testReplay</t>
  </si>
  <si>
    <t>testModes</t>
  </si>
  <si>
    <t>testFill</t>
  </si>
  <si>
    <t>testProperties</t>
  </si>
  <si>
    <t>testRegularizedBetaNanPositivePositive</t>
  </si>
  <si>
    <t>testRegularizedBetaPositiveNanPositive</t>
  </si>
  <si>
    <t>testRegularizedBetaPositivePositiveNan</t>
  </si>
  <si>
    <t>testRegularizedBetaNegativePositivePositive</t>
  </si>
  <si>
    <t>testRegularizedBetaPositiveNegativePositive</t>
  </si>
  <si>
    <t>testRegularizedBetaPositivePositiveNegative</t>
  </si>
  <si>
    <t>testRegularizedBetaZeroPositivePositive</t>
  </si>
  <si>
    <t>testRegularizedBetaPositiveZeroPositive</t>
  </si>
  <si>
    <t>testRegularizedBetaPositivePositiveZero</t>
  </si>
  <si>
    <t>testRegularizedBetaPositivePositivePositive</t>
  </si>
  <si>
    <t>testLogBetaNanPositive</t>
  </si>
  <si>
    <t>testLogBetaPositiveNan</t>
  </si>
  <si>
    <t>testLogBetaNegativePositive</t>
  </si>
  <si>
    <t>testLogBetaPositiveNegative</t>
  </si>
  <si>
    <t>testLogBetaZeroPositive</t>
  </si>
  <si>
    <t>testLogBetaPositiveZero</t>
  </si>
  <si>
    <t>testLogBetaPositivePositive</t>
  </si>
  <si>
    <t>testRegularizedGammaNanPositive</t>
  </si>
  <si>
    <t>testRegularizedGammaPositiveNan</t>
  </si>
  <si>
    <t>testRegularizedGammaNegativePositive</t>
  </si>
  <si>
    <t>testRegularizedGammaPositiveNegative</t>
  </si>
  <si>
    <t>testRegularizedGammaZeroPositive</t>
  </si>
  <si>
    <t>testRegularizedGammaPositiveZero</t>
  </si>
  <si>
    <t>testRegularizedGammaPositivePositive</t>
  </si>
  <si>
    <t>testLogGammaNan</t>
  </si>
  <si>
    <t>testLogGammaNegative</t>
  </si>
  <si>
    <t>testLogGammaZero</t>
  </si>
  <si>
    <t>testLogGammaPositive</t>
  </si>
  <si>
    <t>testSetPropertyName</t>
  </si>
  <si>
    <t>testInference</t>
  </si>
  <si>
    <t>testStoredUnivariateImpl</t>
  </si>
  <si>
    <t>testCounts</t>
  </si>
  <si>
    <t>testPcts</t>
  </si>
  <si>
    <t>testSetName</t>
  </si>
  <si>
    <t>testArrayIndexConditions</t>
  </si>
  <si>
    <t>testGetSortedValues</t>
  </si>
  <si>
    <t>testPercentiles</t>
  </si>
  <si>
    <t>testInteraction</t>
  </si>
  <si>
    <t>testIncrementation</t>
  </si>
  <si>
    <t>testEvaluation</t>
  </si>
  <si>
    <t>testHighPercentile</t>
  </si>
  <si>
    <t>testConstructorString</t>
  </si>
  <si>
    <t>testTransformNoSuchMethod</t>
  </si>
  <si>
    <t>testTransform</t>
  </si>
  <si>
    <t>testTransformInvocationError</t>
  </si>
  <si>
    <t>testTransformInvalidType</t>
  </si>
  <si>
    <t>testGoldenRation</t>
  </si>
  <si>
    <t>testTransformDouble</t>
  </si>
  <si>
    <t>testTransformNull</t>
  </si>
  <si>
    <t>testTransformInteger</t>
  </si>
  <si>
    <t>testTransformBigDecimal</t>
  </si>
  <si>
    <t>testTransformString</t>
  </si>
  <si>
    <t>testTransformObject</t>
  </si>
  <si>
    <t>testGetValues</t>
  </si>
  <si>
    <t>testMinMax</t>
  </si>
  <si>
    <t>testSetElementArbitraryExpansion</t>
  </si>
  <si>
    <t>testSetNumberOfElements</t>
  </si>
  <si>
    <t>testWithInitialCapacity</t>
  </si>
  <si>
    <t>testWithInitialCapacityAndExpansionFactor</t>
  </si>
  <si>
    <t>testDiscard</t>
  </si>
  <si>
    <t>testExceedingElements</t>
  </si>
  <si>
    <t>testGetExceeding</t>
  </si>
  <si>
    <t>testSetElement</t>
  </si>
  <si>
    <t>testOnlyRolling</t>
  </si>
  <si>
    <t>testBinomialCoefficient</t>
  </si>
  <si>
    <t>testBinomialCoefficientFail</t>
  </si>
  <si>
    <t>testFactorial</t>
  </si>
  <si>
    <t>testFactorialFail</t>
  </si>
  <si>
    <t>testSignDouble</t>
  </si>
  <si>
    <t>testSignFloat</t>
  </si>
  <si>
    <t>testSignByte</t>
  </si>
  <si>
    <t>testSignShort</t>
  </si>
  <si>
    <t>testSignInt</t>
  </si>
  <si>
    <t>testSignLong</t>
  </si>
  <si>
    <t>testPutTransformer</t>
  </si>
  <si>
    <t>testContainsClass</t>
  </si>
  <si>
    <t>testContainsTransformer</t>
  </si>
  <si>
    <t>testRemoveTransformer</t>
  </si>
  <si>
    <t>testClasses</t>
  </si>
  <si>
    <t>testTransformers</t>
  </si>
  <si>
    <t>testGetKurtosis</t>
  </si>
  <si>
    <t>testCumulativeProbabilitydoubleM_MINUS_2SD</t>
  </si>
  <si>
    <t>testCumulativeProbabilitydoubleM_MINUS_SD</t>
  </si>
  <si>
    <t>testCumulativeProbabilitydoubleM</t>
  </si>
  <si>
    <t>testCumulativeProbabilitydoubleM_PLUS_SD</t>
  </si>
  <si>
    <t>testCumulativeProbabilitydoubleM_PLUS_2SD</t>
  </si>
  <si>
    <t>testCumulativeProbabilitydoubleM_PLUS_3SD</t>
  </si>
  <si>
    <t>testCumulativeProbabilitydoubleM_PLUS_4SD</t>
  </si>
  <si>
    <t>testCumulativeProbabilitydoubleM_PLUS_5SD</t>
  </si>
  <si>
    <t>testInverseCumulativeProbability0</t>
  </si>
  <si>
    <t>testInverseCumulativeProbability001</t>
  </si>
  <si>
    <t>testInverseCumulativeProbability999</t>
  </si>
  <si>
    <t>testInverseCumulativeProbability1</t>
  </si>
  <si>
    <t>testGetMean</t>
  </si>
  <si>
    <t>testSetMean</t>
  </si>
  <si>
    <t>testGetStandardDeviation</t>
  </si>
  <si>
    <t>testSetStandardDeviation</t>
  </si>
  <si>
    <t>testGetCdfAlgorithm</t>
  </si>
  <si>
    <t>testSetCdfAlgorithm</t>
  </si>
  <si>
    <t>testCumulativeProbability1</t>
  </si>
  <si>
    <t>testcumulativeProbability8</t>
  </si>
  <si>
    <t>testCumulativeProbability0</t>
  </si>
  <si>
    <t>testKurtosisClass</t>
  </si>
  <si>
    <t>testCumulativeProbability001</t>
  </si>
  <si>
    <t>testCumulativeProbability999</t>
  </si>
  <si>
    <t>testCumulativeProbabilityNegative</t>
  </si>
  <si>
    <t>testCumulativeProbabilityZero</t>
  </si>
  <si>
    <t>testInverseCumulativeProbabilityNegative</t>
  </si>
  <si>
    <t>testInverseCumulativeProbabilityZero</t>
  </si>
  <si>
    <t>testInverseCumulativeProbabilityOne</t>
  </si>
  <si>
    <t>testInverseCumulativeProbabilityPositive</t>
  </si>
  <si>
    <t>testNewInstanceStringNull</t>
  </si>
  <si>
    <t>testNewInstanceStringValid</t>
  </si>
  <si>
    <t>testSimpleNoDecimals</t>
  </si>
  <si>
    <t>testSimpleWithDecimals</t>
  </si>
  <si>
    <t>testSimpleWithDecimalsTrunc</t>
  </si>
  <si>
    <t>testNegativeReal</t>
  </si>
  <si>
    <t>testNegativeImaginary</t>
  </si>
  <si>
    <t>testNegativeBoth</t>
  </si>
  <si>
    <t>testZeroReal</t>
  </si>
  <si>
    <t>testZeroImaginary</t>
  </si>
  <si>
    <t>testDifferentImaginaryChar</t>
  </si>
  <si>
    <t>testStaticFormatComplex</t>
  </si>
  <si>
    <t>testNan</t>
  </si>
  <si>
    <t>testPositiveInfinity</t>
  </si>
  <si>
    <t>testNegativeInfinity</t>
  </si>
  <si>
    <t>testParseSimpleNoDecimals</t>
  </si>
  <si>
    <t>testParseSimpleWithDecimals</t>
  </si>
  <si>
    <t>testParseSimpleWithDecimalsTrunc</t>
  </si>
  <si>
    <t>testParseNegativeReal</t>
  </si>
  <si>
    <t>testParseNegativeImaginary</t>
  </si>
  <si>
    <t>testParseNegativeBoth</t>
  </si>
  <si>
    <t>testParseZeroReal</t>
  </si>
  <si>
    <t>testParseZeroImaginary</t>
  </si>
  <si>
    <t>testParseDifferentImaginaryChar</t>
  </si>
  <si>
    <t>testParseNan</t>
  </si>
  <si>
    <t>testParsePositiveInfinity</t>
  </si>
  <si>
    <t>testPaseNegativeInfinity</t>
  </si>
  <si>
    <t>testConstructorSingleFormat</t>
  </si>
  <si>
    <t>testGetImaginaryFormat</t>
  </si>
  <si>
    <t>testSetImaginaryFormatNull</t>
  </si>
  <si>
    <t>testSetRealFormatNull</t>
  </si>
  <si>
    <t>testGetRealFormat</t>
  </si>
  <si>
    <t>testSetImaginaryCharacterNull</t>
  </si>
  <si>
    <t>testSetImaginaryCharacterEmpty</t>
  </si>
  <si>
    <t>testCanonical</t>
  </si>
  <si>
    <t>testMinpackLinearFullRank</t>
  </si>
  <si>
    <t>testMinpackLinearRank1</t>
  </si>
  <si>
    <t>testMinpackLinearRank1ZeroColsAndRows</t>
  </si>
  <si>
    <t>testMinpackRosenbrok</t>
  </si>
  <si>
    <t>testMinpackHelicalValley</t>
  </si>
  <si>
    <t>testMinpackPowellSingular</t>
  </si>
  <si>
    <t>testMinpackFreudensteinRoth</t>
  </si>
  <si>
    <t>testMinpackBard</t>
  </si>
  <si>
    <t>testMinpackKowalikOsborne</t>
  </si>
  <si>
    <t>testMinpackMeyer</t>
  </si>
  <si>
    <t>testMinpackWatson</t>
  </si>
  <si>
    <t>testMinpackBox3Dimensional</t>
  </si>
  <si>
    <t>testMinpackJennrichSampson</t>
  </si>
  <si>
    <t>testMinpackBrownDennis</t>
  </si>
  <si>
    <t>testMinpackChebyquad</t>
  </si>
  <si>
    <t>testMinpackBrownAlmostLinear</t>
  </si>
  <si>
    <t>testMinpackOsborne1</t>
  </si>
  <si>
    <t>testMinpackOsborne2</t>
  </si>
  <si>
    <t>testRealloc</t>
  </si>
  <si>
    <t>testUpdateArray</t>
  </si>
  <si>
    <t>testRank</t>
  </si>
  <si>
    <t>testRootMatrix</t>
  </si>
  <si>
    <t>testMeanAndCovariance</t>
  </si>
  <si>
    <t>testAddSample</t>
  </si>
  <si>
    <t>testAddArray</t>
  </si>
  <si>
    <t>testNoMeasurementError</t>
  </si>
  <si>
    <t>testSmallMeasurementError</t>
  </si>
  <si>
    <t>testNoError</t>
  </si>
  <si>
    <t>testUnsolvableProblem</t>
  </si>
  <si>
    <t>testOrder</t>
  </si>
  <si>
    <t>testHypergeometricDistributionSmallPopulationSize</t>
  </si>
  <si>
    <t>testCauchyDistributionNegative</t>
  </si>
  <si>
    <t>testCauchyDistributionZero</t>
  </si>
  <si>
    <t>testWeibullDistributionNegativePositive</t>
  </si>
  <si>
    <t>testWeibullDistributionZeroPositive</t>
  </si>
  <si>
    <t>testWeibullDistributionPositiveNegative</t>
  </si>
  <si>
    <t>testWeibullDistributionPositiveZero</t>
  </si>
  <si>
    <t>testDimensionCheck</t>
  </si>
  <si>
    <t>testNullIntervalCheck</t>
  </si>
  <si>
    <t>testGetSummary</t>
  </si>
  <si>
    <t>testAddValue</t>
  </si>
  <si>
    <t>testNewInstanceClassNull</t>
  </si>
  <si>
    <t>testNewInstanceClassValid</t>
  </si>
  <si>
    <t>testWindowing</t>
  </si>
  <si>
    <t>testWindowSize</t>
  </si>
  <si>
    <t>testAcos</t>
  </si>
  <si>
    <t>testAcosInf</t>
  </si>
  <si>
    <t>testAcosNaN</t>
  </si>
  <si>
    <t>testAcosNull</t>
  </si>
  <si>
    <t>testAsin</t>
  </si>
  <si>
    <t>testAsinNaN</t>
  </si>
  <si>
    <t>testAsinInf</t>
  </si>
  <si>
    <t>testAsinNull</t>
  </si>
  <si>
    <t>testAtan</t>
  </si>
  <si>
    <t>testAtanInf</t>
  </si>
  <si>
    <t>testAtanNaN</t>
  </si>
  <si>
    <t>testAtanNull</t>
  </si>
  <si>
    <t>testCos</t>
  </si>
  <si>
    <t>testCosNaN</t>
  </si>
  <si>
    <t>testCosInf</t>
  </si>
  <si>
    <t>testCosNull</t>
  </si>
  <si>
    <t>testCosh</t>
  </si>
  <si>
    <t>testCoshNaN</t>
  </si>
  <si>
    <t>testCoshInf</t>
  </si>
  <si>
    <t>testCoshNull</t>
  </si>
  <si>
    <t>testExp</t>
  </si>
  <si>
    <t>testExpNaN</t>
  </si>
  <si>
    <t>testExpInf</t>
  </si>
  <si>
    <t>testExpNull</t>
  </si>
  <si>
    <t>testLog</t>
  </si>
  <si>
    <t>testLogNaN</t>
  </si>
  <si>
    <t>testLogInf</t>
  </si>
  <si>
    <t>testLogZero</t>
  </si>
  <si>
    <t>testlogNull</t>
  </si>
  <si>
    <t>testPow</t>
  </si>
  <si>
    <t>testPowNaNBase</t>
  </si>
  <si>
    <t>testPowNaNExponent</t>
  </si>
  <si>
    <t>testPowInf</t>
  </si>
  <si>
    <t>testPowZero</t>
  </si>
  <si>
    <t>testpowNull</t>
  </si>
  <si>
    <t>testSin</t>
  </si>
  <si>
    <t>testSinInf</t>
  </si>
  <si>
    <t>testSinNaN</t>
  </si>
  <si>
    <t>testSinNull</t>
  </si>
  <si>
    <t>testSinh</t>
  </si>
  <si>
    <t>testSinhNaN</t>
  </si>
  <si>
    <t>testSinhInf</t>
  </si>
  <si>
    <t>testsinhNull</t>
  </si>
  <si>
    <t>testSqrtRealPositive</t>
  </si>
  <si>
    <t>testSqrtRealZero</t>
  </si>
  <si>
    <t>testSqrtRealNegative</t>
  </si>
  <si>
    <t>testSqrtImaginaryZero</t>
  </si>
  <si>
    <t>testSqrtImaginaryNegative</t>
  </si>
  <si>
    <t>testSqrtPolar</t>
  </si>
  <si>
    <t>testSqrtNaN</t>
  </si>
  <si>
    <t>testSqrtInf</t>
  </si>
  <si>
    <t>testSqrtNull</t>
  </si>
  <si>
    <t>testSqrt1z</t>
  </si>
  <si>
    <t>testSqrt1zNaN</t>
  </si>
  <si>
    <t>testSqrt1zNull</t>
  </si>
  <si>
    <t>testTan</t>
  </si>
  <si>
    <t>testTanNaN</t>
  </si>
  <si>
    <t>testTanInf</t>
  </si>
  <si>
    <t>testTanCritical</t>
  </si>
  <si>
    <t>testTanNull</t>
  </si>
  <si>
    <t>testTanh</t>
  </si>
  <si>
    <t>testTanhNaN</t>
  </si>
  <si>
    <t>testTanhInf</t>
  </si>
  <si>
    <t>testTanhCritical</t>
  </si>
  <si>
    <t>testTanhNull</t>
  </si>
  <si>
    <t>cannotAddXSampleData</t>
  </si>
  <si>
    <t>cannotAddNullYSampleData</t>
  </si>
  <si>
    <t>testLUDecomposition</t>
  </si>
  <si>
    <t>testAbsoluteSplit</t>
  </si>
  <si>
    <t>testNoDecompose</t>
  </si>
  <si>
    <t>testNewBisectionSolverNull</t>
  </si>
  <si>
    <t>testNewNewtonSolverNull</t>
  </si>
  <si>
    <t>testNewBrentSolverNull</t>
  </si>
  <si>
    <t>testNewSecantSolverNull</t>
  </si>
  <si>
    <t>testOne</t>
  </si>
  <si>
    <t>testFirstPolynomials</t>
  </si>
  <si>
    <t>testBounds</t>
  </si>
  <si>
    <t>testHighDegree</t>
  </si>
  <si>
    <t>testBound</t>
  </si>
  <si>
    <t>testEstimate</t>
  </si>
  <si>
    <t>testIgnored</t>
  </si>
  <si>
    <t>testTheory</t>
  </si>
  <si>
    <t>testInverseWithoutDerivatives</t>
  </si>
  <si>
    <t>testNaNsFixedTiesRandom</t>
  </si>
  <si>
    <t>testDerivativesConsistency</t>
  </si>
  <si>
    <t>testCoefficients</t>
  </si>
  <si>
    <t>testPredictorCoefficients</t>
  </si>
  <si>
    <t>testCorrectorCoefficients</t>
  </si>
  <si>
    <t>nonInvertible</t>
  </si>
  <si>
    <t>dimension2</t>
  </si>
  <si>
    <t>dimension2Der</t>
  </si>
  <si>
    <t>dimension3</t>
  </si>
  <si>
    <t>dimension3Der</t>
  </si>
  <si>
    <t>dimension7</t>
  </si>
  <si>
    <t>dimension7Der</t>
  </si>
  <si>
    <t>matrices1</t>
  </si>
  <si>
    <t>matrices2</t>
  </si>
  <si>
    <t>matrices3</t>
  </si>
  <si>
    <t>matrices4</t>
  </si>
  <si>
    <t>adamsBashforth2</t>
  </si>
  <si>
    <t>adamsBashforth3</t>
  </si>
  <si>
    <t>adamsBashforth4</t>
  </si>
  <si>
    <t>adamsBashforth5</t>
  </si>
  <si>
    <t>polynomial</t>
  </si>
  <si>
    <t>comparison</t>
  </si>
  <si>
    <t>testSerializationError</t>
  </si>
  <si>
    <t>testAlreadySorted</t>
  </si>
  <si>
    <t>testReversed</t>
  </si>
  <si>
    <t>testRandom</t>
  </si>
  <si>
    <t>decreasingSteps</t>
  </si>
  <si>
    <t>smallStep</t>
  </si>
  <si>
    <t>serialization</t>
  </si>
  <si>
    <t>testBracketCornerSolution</t>
  </si>
  <si>
    <t>testNonStrictlyIncreasing</t>
  </si>
  <si>
    <t>testNotAllFiniteReal</t>
  </si>
  <si>
    <t>testCompletelyIncorrectBandwidth</t>
  </si>
  <si>
    <t>testNextPoissonLargeMean</t>
  </si>
  <si>
    <t>testSolveSingularityErrors</t>
  </si>
  <si>
    <t>testNextPoissonConsistency</t>
  </si>
  <si>
    <t>testMath296withWeights</t>
  </si>
  <si>
    <t>testTruncated</t>
  </si>
  <si>
    <t>testMath320A</t>
  </si>
  <si>
    <t>testLocalMaximumCentered</t>
  </si>
  <si>
    <t>testLocalMaximumForward</t>
  </si>
  <si>
    <t>testLocalMaximumBackward</t>
  </si>
  <si>
    <t>testNumericalZero</t>
  </si>
  <si>
    <t>testFrobeniusNorm</t>
  </si>
  <si>
    <t>testSeveralBlocks</t>
  </si>
  <si>
    <t>testMultiply2</t>
  </si>
  <si>
    <t>testMultiplyMedium</t>
  </si>
  <si>
    <t>testOperateLarge</t>
  </si>
  <si>
    <t>testOperatePremultiplyLarge</t>
  </si>
  <si>
    <t>testMath209</t>
  </si>
  <si>
    <t>testPremultiplyVector</t>
  </si>
  <si>
    <t>testGetEntry</t>
  </si>
  <si>
    <t>testExamples</t>
  </si>
  <si>
    <t>testGetSubMatrix</t>
  </si>
  <si>
    <t>testGetSetMatrixLarge</t>
  </si>
  <si>
    <t>testCopySubMatrix</t>
  </si>
  <si>
    <t>testGetRowMatrix</t>
  </si>
  <si>
    <t>testSetRowMatrix</t>
  </si>
  <si>
    <t>testGetSetRowMatrixLarge</t>
  </si>
  <si>
    <t>testGetColumnMatrix</t>
  </si>
  <si>
    <t>testSetColumnMatrix</t>
  </si>
  <si>
    <t>testGetSetColumnMatrixLarge</t>
  </si>
  <si>
    <t>testGetRowVector</t>
  </si>
  <si>
    <t>testSetRowVector</t>
  </si>
  <si>
    <t>testGetSetRowVectorLarge</t>
  </si>
  <si>
    <t>testGetColumnVector</t>
  </si>
  <si>
    <t>testSetColumnVector</t>
  </si>
  <si>
    <t>testGetSetColumnVectorLarge</t>
  </si>
  <si>
    <t>testGetRow</t>
  </si>
  <si>
    <t>testSetRow</t>
  </si>
  <si>
    <t>testGetSetRowLarge</t>
  </si>
  <si>
    <t>testGetColumn</t>
  </si>
  <si>
    <t>testSetColumn</t>
  </si>
  <si>
    <t>testGetSetColumnLarge</t>
  </si>
  <si>
    <t>testSetSubMatrix</t>
  </si>
  <si>
    <t>testWalk</t>
  </si>
  <si>
    <t>testConstructors</t>
  </si>
  <si>
    <t>testConversion</t>
  </si>
  <si>
    <t>testAddition</t>
  </si>
  <si>
    <t>testSubtraction</t>
  </si>
  <si>
    <t>testMultiplication</t>
  </si>
  <si>
    <t>testNullDenominator</t>
  </si>
  <si>
    <t>testSimplification</t>
  </si>
  <si>
    <t>testInvert</t>
  </si>
  <si>
    <t>testDivision</t>
  </si>
  <si>
    <t>testEuclidianDivision</t>
  </si>
  <si>
    <t>testZero</t>
  </si>
  <si>
    <t>testLCM</t>
  </si>
  <si>
    <t>testIteration</t>
  </si>
  <si>
    <t>testExhausted</t>
  </si>
  <si>
    <t>testUnderlyingException</t>
  </si>
  <si>
    <t>testBeginStepNumber</t>
  </si>
  <si>
    <t>testRangeNumber</t>
  </si>
  <si>
    <t>testRangeStepNoAdjust</t>
  </si>
  <si>
    <t>testRangeStepAdjust</t>
  </si>
  <si>
    <t>testCopyConstructor</t>
  </si>
  <si>
    <t>testConstantDiagonal</t>
  </si>
  <si>
    <t>testNoSetOutsideOfDiagonal</t>
  </si>
  <si>
    <t>testCopy</t>
  </si>
  <si>
    <t>testDuplicate</t>
  </si>
  <si>
    <t>testInvalidDimensions</t>
  </si>
  <si>
    <t>testElements</t>
  </si>
  <si>
    <t>testAddKO</t>
  </si>
  <si>
    <t>testAddOK</t>
  </si>
  <si>
    <t>testSelfAdd</t>
  </si>
  <si>
    <t>testSubKO</t>
  </si>
  <si>
    <t>testSubOK</t>
  </si>
  <si>
    <t>testSelfSub</t>
  </si>
  <si>
    <t>testMulMKO</t>
  </si>
  <si>
    <t>testMulMOK</t>
  </si>
  <si>
    <t>testMulD</t>
  </si>
  <si>
    <t>testSelfMul</t>
  </si>
  <si>
    <t>testNoSetOutsideOfLowerTriangle</t>
  </si>
  <si>
    <t>testDiagonal</t>
  </si>
  <si>
    <t>testLowerTriangular</t>
  </si>
  <si>
    <t>testUpperTriangular</t>
  </si>
  <si>
    <t>testSquare</t>
  </si>
  <si>
    <t>testGeneral</t>
  </si>
  <si>
    <t>testPublicAttributes</t>
  </si>
  <si>
    <t>testIntersection</t>
  </si>
  <si>
    <t>testReunion</t>
  </si>
  <si>
    <t>testBuildWAAt</t>
  </si>
  <si>
    <t>testSetElementAndSymetricalElement</t>
  </si>
  <si>
    <t>testSelfAddWAAt</t>
  </si>
  <si>
    <t>testSingular</t>
  </si>
  <si>
    <t>testNoSetOutsideOfUpperTriangle</t>
  </si>
  <si>
    <t>testExactIntegration</t>
  </si>
  <si>
    <t>testBasicStats</t>
  </si>
  <si>
    <t>testAlefeldPotraShi</t>
  </si>
  <si>
    <t>testUpdateObjects</t>
  </si>
  <si>
    <t>test1</t>
  </si>
  <si>
    <t>test2</t>
  </si>
  <si>
    <t>test3</t>
  </si>
  <si>
    <t>test4</t>
  </si>
  <si>
    <t>test5</t>
  </si>
  <si>
    <t>testAddBetween</t>
  </si>
  <si>
    <t>testAddReducingLastHole</t>
  </si>
  <si>
    <t>testQuinticMinPythonComparison</t>
  </si>
  <si>
    <t>testMaxEvaluations</t>
  </si>
  <si>
    <t>testSetAlpha</t>
  </si>
  <si>
    <t>testSetBeta</t>
  </si>
  <si>
    <t>testPopulationSize</t>
  </si>
  <si>
    <t>testSolveBadParameters</t>
  </si>
  <si>
    <t>testBadParameters</t>
  </si>
  <si>
    <t>testSubMatrix</t>
  </si>
  <si>
    <t>testCreateBigMatrix</t>
  </si>
  <si>
    <t>testCreateRowBigMatrix</t>
  </si>
  <si>
    <t>testCreateColumnBigMatrix</t>
  </si>
  <si>
    <t>testCreateBigIdentityMatrix</t>
  </si>
  <si>
    <t>testSerial</t>
  </si>
  <si>
    <t>testFunctionEvaluationExceptions</t>
  </si>
  <si>
    <t>testMinimizeMaximize</t>
  </si>
  <si>
    <t>testRosenbrock</t>
  </si>
  <si>
    <t>testPowell</t>
  </si>
  <si>
    <t>testMath283</t>
  </si>
  <si>
    <t>testLeastSquares1</t>
  </si>
  <si>
    <t>testLeastSquares2</t>
  </si>
  <si>
    <t>testLeastSquares3</t>
  </si>
  <si>
    <t>testMaxIterations</t>
  </si>
  <si>
    <t>testTrivial</t>
  </si>
  <si>
    <t>testQRColumnsPermutation</t>
  </si>
  <si>
    <t>testNoDependency</t>
  </si>
  <si>
    <t>testOneSet</t>
  </si>
  <si>
    <t>testTwoSets</t>
  </si>
  <si>
    <t>testNonInversible</t>
  </si>
  <si>
    <t>testIllConditioned</t>
  </si>
  <si>
    <t>testMoreEstimatedParametersSimple</t>
  </si>
  <si>
    <t>testMoreEstimatedParametersUnsorted</t>
  </si>
  <si>
    <t>testRedundantEquations</t>
  </si>
  <si>
    <t>testInconsistentEquations</t>
  </si>
  <si>
    <t>testBoundParameters</t>
  </si>
  <si>
    <t>testCircleFitting</t>
  </si>
  <si>
    <t>testCircleFittingBadInit</t>
  </si>
  <si>
    <t>testControlParameters</t>
  </si>
  <si>
    <t>testMath199</t>
  </si>
  <si>
    <t>testParameter</t>
  </si>
  <si>
    <t>testPreconditions</t>
  </si>
  <si>
    <t>testPlane</t>
  </si>
  <si>
    <t>testParaboloid</t>
  </si>
  <si>
    <t>testConstructorArray</t>
  </si>
  <si>
    <t>testConstructorPatternArguments</t>
  </si>
  <si>
    <t>testConstructorArrayPatternArguments</t>
  </si>
  <si>
    <t>testConstructorPatternArgumentsCause</t>
  </si>
  <si>
    <t>testConstructorArrayPatternArgumentsCause</t>
  </si>
  <si>
    <t>testConstructorArgumentCause</t>
  </si>
  <si>
    <t>testConstructorArrayArgumentCause</t>
  </si>
  <si>
    <t>testAddNonComparable</t>
  </si>
  <si>
    <t>testDeprecated</t>
  </si>
  <si>
    <t>testDeprecated2</t>
  </si>
  <si>
    <t>testLowAccuracyExternalDifferentiation</t>
  </si>
  <si>
    <t>testHighAccuracyExternalDifferentiation</t>
  </si>
  <si>
    <t>testInternalDifferentiation</t>
  </si>
  <si>
    <t>testAnalyticalDifferentiation</t>
  </si>
  <si>
    <t>testFinalResult</t>
  </si>
  <si>
    <t>testStepHandlerResult</t>
  </si>
  <si>
    <t>testEventHandler</t>
  </si>
  <si>
    <t>testQuinticFunction2</t>
  </si>
  <si>
    <t>testNewBisectionSolverValid</t>
  </si>
  <si>
    <t>testNewNewtonSolverValid</t>
  </si>
  <si>
    <t>testNewBrentSolverValid</t>
  </si>
  <si>
    <t>testNewSecantSolverValid</t>
  </si>
  <si>
    <t>testAtan2</t>
  </si>
  <si>
    <t>testFix1st</t>
  </si>
  <si>
    <t>testFix2nd</t>
  </si>
  <si>
    <t>testIdentity</t>
  </si>
  <si>
    <t>testRint</t>
  </si>
  <si>
    <t>testSignum</t>
  </si>
  <si>
    <t>testComposition</t>
  </si>
  <si>
    <t>testCombine</t>
  </si>
  <si>
    <t>testSimpleCombination</t>
  </si>
  <si>
    <t>testCollector</t>
  </si>
  <si>
    <t>testSetMaximalEvaluationCount</t>
  </si>
  <si>
    <t>testNextAfterSpecialCases</t>
  </si>
  <si>
    <t>testSimpleConstructor</t>
  </si>
  <si>
    <t>testComplexConstructor</t>
  </si>
  <si>
    <t>testScalb</t>
  </si>
  <si>
    <t>testFloatSpecialCases</t>
  </si>
  <si>
    <t>testDoubleSpecialCases</t>
  </si>
  <si>
    <t>testInitOutofbounds</t>
  </si>
  <si>
    <t>testBoundariesDimensionMismatch</t>
  </si>
  <si>
    <t>testBoundariesNoData</t>
  </si>
  <si>
    <t>testInputSigmaNegative</t>
  </si>
  <si>
    <t>testInputSigmaOutOfRange</t>
  </si>
  <si>
    <t>testInputSigmaDimensionMismatch</t>
  </si>
  <si>
    <t>testRosen</t>
  </si>
  <si>
    <t>testMaximize</t>
  </si>
  <si>
    <t>testEllipse</t>
  </si>
  <si>
    <t>testElliRotated</t>
  </si>
  <si>
    <t>testCigar</t>
  </si>
  <si>
    <t>testTwoAxes</t>
  </si>
  <si>
    <t>testCigTab</t>
  </si>
  <si>
    <t>testSphere</t>
  </si>
  <si>
    <t>testTablet</t>
  </si>
  <si>
    <t>testDiffPow</t>
  </si>
  <si>
    <t>testSsDiffPow</t>
  </si>
  <si>
    <t>testAckley</t>
  </si>
  <si>
    <t>testRastrigin</t>
  </si>
  <si>
    <t>testConstrainedRosen</t>
  </si>
  <si>
    <t>testDiagonalRosen</t>
  </si>
  <si>
    <t>testCopyOfInt2</t>
  </si>
  <si>
    <t>testCopyOfInt3</t>
  </si>
  <si>
    <t>testCopyOfDouble2</t>
  </si>
  <si>
    <t>testCopyOfDouble3</t>
  </si>
  <si>
    <t>testFit01</t>
  </si>
  <si>
    <t>testFit02</t>
  </si>
  <si>
    <t>testValue01</t>
  </si>
  <si>
    <t>testValue02</t>
  </si>
  <si>
    <t>testValue03</t>
  </si>
  <si>
    <t>testSpecificGeneral</t>
  </si>
  <si>
    <t>testNullSpecific</t>
  </si>
  <si>
    <t>testNullGeneral</t>
  </si>
  <si>
    <t>testNull</t>
  </si>
  <si>
    <t>testNoDenseOutput</t>
  </si>
  <si>
    <t>testMessageChain</t>
  </si>
  <si>
    <t>testNoArgAddMessage</t>
  </si>
  <si>
    <t>testContext</t>
  </si>
  <si>
    <t>testSerialize</t>
  </si>
  <si>
    <t>testSerializeUnserializable</t>
  </si>
  <si>
    <t>testRescue</t>
  </si>
  <si>
    <t>testCombinePreconditionArray</t>
  </si>
  <si>
    <t>testCombineArray</t>
  </si>
  <si>
    <t>testCombineToSelfPreconditionArray</t>
  </si>
  <si>
    <t>testCombineToSelfArray</t>
  </si>
  <si>
    <t>testDivideZeroZero</t>
  </si>
  <si>
    <t>testAtanI</t>
  </si>
  <si>
    <t>testIsMonotone</t>
  </si>
  <si>
    <t>testIsMonotoneComparable</t>
  </si>
  <si>
    <t>testCumulativeProbabilitiesSingleDoubleArguments</t>
  </si>
  <si>
    <t>testCumulativeProbabilitiesRangeDoubleArguments</t>
  </si>
  <si>
    <t>testFloatingPointArguments</t>
  </si>
  <si>
    <t>testParameters</t>
  </si>
  <si>
    <t>testStandardTransformComplexSizeNotAPowerOfTwo</t>
  </si>
  <si>
    <t>testStandardTransformRealSizeNotAPowerOfTwo</t>
  </si>
  <si>
    <t>testStandardTransformFunctionSizeNotAPowerOfTwo</t>
  </si>
  <si>
    <t>testStandardTransformFunctionNotStrictlyPositiveNumberOfSamples</t>
  </si>
  <si>
    <t>testStandardTransformFunctionInvalidBounds</t>
  </si>
  <si>
    <t>testStandardInverseTransformComplexSizeNotAPowerOfTwo</t>
  </si>
  <si>
    <t>testStandardInverseTransformRealSizeNotAPowerOfTwo</t>
  </si>
  <si>
    <t>testStandardInverseTransformFunctionSizeNotAPowerOfTwo</t>
  </si>
  <si>
    <t>testStandardInverseTransformFunctionNotStrictlyPositiveNumberOfSamples</t>
  </si>
  <si>
    <t>testStandardInverseTransformFunctionInvalidBounds</t>
  </si>
  <si>
    <t>testUnitaryInverseTransformComplexSizeNotAPowerOfTwo</t>
  </si>
  <si>
    <t>testUnitaryInverseTransformRealSizeNotAPowerOfTwo</t>
  </si>
  <si>
    <t>testUnitaryInverseTransformFunctionSizeNotAPowerOfTwo</t>
  </si>
  <si>
    <t>testUnitaryInverseTransformFunctionNotStrictlyPositiveNumberOfSamples</t>
  </si>
  <si>
    <t>testUnitaryInverseTransformFunctionInvalidBounds</t>
  </si>
  <si>
    <t>testStandardTransformComplex</t>
  </si>
  <si>
    <t>testStandardInverseTransformComplex</t>
  </si>
  <si>
    <t>testStandardInverseTransformReal</t>
  </si>
  <si>
    <t>testStandardInverseTransformFunction</t>
  </si>
  <si>
    <t>testUnitaryInverseTransformComplex</t>
  </si>
  <si>
    <t>testUnitaryInverseTransformReal</t>
  </si>
  <si>
    <t>testUnitaryInverseTransformFunction</t>
  </si>
  <si>
    <t>testInverseTransformRealFirstElementNotZero</t>
  </si>
  <si>
    <t>testInverseTransformRealInvalidDataSize</t>
  </si>
  <si>
    <t>testInverseTransformFunctionInvalidDataSize</t>
  </si>
  <si>
    <t>testInverseTransformFunctionNotStrictlyPositiveNumberOfSamples</t>
  </si>
  <si>
    <t>testInverseTransformFunctionInvalidBounds</t>
  </si>
  <si>
    <t>testInverseTransformReal</t>
  </si>
  <si>
    <t>testInverseTransformFunction</t>
  </si>
  <si>
    <t>testLonglyByEntry</t>
  </si>
  <si>
    <t>testSwissFertilityByEntry</t>
  </si>
  <si>
    <t>testAEqualQR</t>
  </si>
  <si>
    <t>testQOrthogonal</t>
  </si>
  <si>
    <t>testRUpperTriangular</t>
  </si>
  <si>
    <t>testHTrapezoidal</t>
  </si>
  <si>
    <t>testMatricesValues</t>
  </si>
  <si>
    <t>testSolveDimensionErrors</t>
  </si>
  <si>
    <t>testSolveRankErrors</t>
  </si>
  <si>
    <t>testOverdetermined</t>
  </si>
  <si>
    <t>testUnderdetermined</t>
  </si>
  <si>
    <t>lanczosTest</t>
  </si>
  <si>
    <t>chwirut1Test</t>
  </si>
  <si>
    <t>chwirut2Test</t>
  </si>
  <si>
    <t>misra1aTest</t>
  </si>
  <si>
    <t>testBasicFunctions</t>
  </si>
  <si>
    <t>testMisc</t>
  </si>
  <si>
    <t>testMapFunctions</t>
  </si>
  <si>
    <t>testOuterProduct</t>
  </si>
  <si>
    <t>testCombinePreconditionSameType</t>
  </si>
  <si>
    <t>testCombinePreconditionMixedType</t>
  </si>
  <si>
    <t>testCombineToSelfPreconditionSameType</t>
  </si>
  <si>
    <t>testCombineToSelfPreconditionMixedType</t>
  </si>
  <si>
    <t>testDataInOut</t>
  </si>
  <si>
    <t>testPredicates</t>
  </si>
  <si>
    <t>testClone</t>
  </si>
  <si>
    <t>testCombineToSelfPrecondition</t>
  </si>
  <si>
    <t>testCombineToSelf</t>
  </si>
  <si>
    <t>testAddToEntry</t>
  </si>
  <si>
    <t>testDerivative</t>
  </si>
  <si>
    <t>testDerivativeNaN</t>
  </si>
  <si>
    <t>testDerivativeWithInverseFunction</t>
  </si>
  <si>
    <t>testUnsupportedBoundaries1</t>
  </si>
  <si>
    <t>testUnsupportedBoundaries2</t>
  </si>
  <si>
    <t>testBoundaryRangeTooLarge</t>
  </si>
  <si>
    <t>testBcorr</t>
  </si>
  <si>
    <t>testBcorrPrecondition1</t>
  </si>
  <si>
    <t>testBcorrPrecondition2</t>
  </si>
  <si>
    <t>testLogGammaSum</t>
  </si>
  <si>
    <t>testLogGammaSumPrecondition1</t>
  </si>
  <si>
    <t>testLogGammaSumPrecondition2</t>
  </si>
  <si>
    <t>testLogGammaSumPrecondition3</t>
  </si>
  <si>
    <t>testLogGammaSumPrecondition4</t>
  </si>
  <si>
    <t>testLogGammaMinusLogGammaSum</t>
  </si>
  <si>
    <t>testLogGammaMinusLogGammaSumPrecondition1</t>
  </si>
  <si>
    <t>testLogGammaMinusLogGammaSumPrecondition2</t>
  </si>
  <si>
    <t>testLargeSample</t>
  </si>
  <si>
    <t>testLog10</t>
  </si>
  <si>
    <t>testMode</t>
  </si>
  <si>
    <t>testMath842Cycle</t>
  </si>
  <si>
    <t>testPowIntIntOverflow</t>
  </si>
  <si>
    <t>testPowIntIntNoOverflow</t>
  </si>
  <si>
    <t>testPowNegativeIntIntOverflow</t>
  </si>
  <si>
    <t>testPowNegativeIntIntNoOverflow</t>
  </si>
  <si>
    <t>testChord</t>
  </si>
  <si>
    <t>testReverse</t>
  </si>
  <si>
    <t>testWholeHyperplane</t>
  </si>
  <si>
    <t>testWholeSpace</t>
  </si>
  <si>
    <t>testSubChord</t>
  </si>
  <si>
    <t>testSideEmbedded</t>
  </si>
  <si>
    <t>testSideOverlapping</t>
  </si>
  <si>
    <t>testSideHyper</t>
  </si>
  <si>
    <t>testSplitEmbedded</t>
  </si>
  <si>
    <t>testSplitOverlapping</t>
  </si>
  <si>
    <t>testReunite</t>
  </si>
  <si>
    <t>testReuniteFullCircle</t>
  </si>
  <si>
    <t>testClopperPearsonInterval</t>
  </si>
  <si>
    <t>testNormalApproximationInterval</t>
  </si>
  <si>
    <t>testAgrestiCoullInterval</t>
  </si>
  <si>
    <t>testWilsonScoreInterval</t>
  </si>
  <si>
    <t>testZeroConfidencelevel</t>
  </si>
  <si>
    <t>testOneConfidencelevel</t>
  </si>
  <si>
    <t>testZeroTrials</t>
  </si>
  <si>
    <t>testNegativeSuccesses</t>
  </si>
  <si>
    <t>testSuccessesExceedingTrials</t>
  </si>
  <si>
    <t>testBug</t>
  </si>
  <si>
    <t>testSupport0Point</t>
  </si>
  <si>
    <t>testSupport1Point</t>
  </si>
  <si>
    <t>testSupport2Points</t>
  </si>
  <si>
    <t>testSupport2PointsReversed</t>
  </si>
  <si>
    <t>testSupport3Points</t>
  </si>
  <si>
    <t>testIdenticalPointsRandom</t>
  </si>
  <si>
    <t>testShallowCopy</t>
  </si>
  <si>
    <t>testGaussNewtonLU</t>
  </si>
  <si>
    <t>testGaussNewtonQR</t>
  </si>
  <si>
    <t>testLevenberMarquardtOptimizer</t>
  </si>
  <si>
    <t>testMapToSelf</t>
  </si>
  <si>
    <t>testSetNullPivotingStrategy</t>
  </si>
  <si>
    <t>testCumulativeDensityFunction</t>
  </si>
  <si>
    <t>testSplinePartialDerivatives</t>
  </si>
  <si>
    <t>testMatchingPartialDerivatives</t>
  </si>
  <si>
    <t>testInterpolation1</t>
  </si>
  <si>
    <t>testInterpolation2</t>
  </si>
  <si>
    <t>testIsValidPoint</t>
  </si>
  <si>
    <t>testCluster</t>
  </si>
  <si>
    <t>testSingleLink</t>
  </si>
  <si>
    <t>testGetEps</t>
  </si>
  <si>
    <t>testGetMinPts</t>
  </si>
  <si>
    <t>testNegativeEps</t>
  </si>
  <si>
    <t>testNegativeMinPts</t>
  </si>
  <si>
    <t>testNullDataset</t>
  </si>
  <si>
    <t>testArrayIsReference</t>
  </si>
  <si>
    <t>testDistance</t>
  </si>
  <si>
    <t>testCentroid</t>
  </si>
  <si>
    <t>testPerformClusterAnalysisDegenerate</t>
  </si>
  <si>
    <t>testCertainSpace</t>
  </si>
  <si>
    <t>testSmallDistances</t>
  </si>
  <si>
    <t>testPerformClusterAnalysisToManyClusters</t>
  </si>
  <si>
    <t>testMedianOf3</t>
  </si>
  <si>
    <t>testInsert</t>
  </si>
  <si>
    <t>testDelete1</t>
  </si>
  <si>
    <t>testNavigation</t>
  </si>
  <si>
    <t>testSearch</t>
  </si>
  <si>
    <t>testRepetition</t>
  </si>
  <si>
    <t>testSinFunction</t>
  </si>
  <si>
    <t>testQuinticFunction</t>
  </si>
  <si>
    <t>testIssue464</t>
  </si>
  <si>
    <t>testIsSupportLowerBoundInclusive</t>
  </si>
  <si>
    <t>testIsSupportUpperBoundInclusive</t>
  </si>
  <si>
    <t>testNoOptimum</t>
  </si>
  <si>
    <t>testIterationCheckPrecondition</t>
  </si>
  <si>
    <t>testIterationCheck</t>
  </si>
  <si>
    <t>testIterationCheckDisabled</t>
  </si>
  <si>
    <t>testInitOutOfBounds</t>
  </si>
  <si>
    <t>testProblemDimensionTooSmall</t>
  </si>
  <si>
    <t>testConstrainedRosenWithMoreInterpolationPoints</t>
  </si>
  <si>
    <t>testInitOutofbounds1</t>
  </si>
  <si>
    <t>testInitOutofbounds2</t>
  </si>
  <si>
    <t>testCigarWithBoundaries</t>
  </si>
  <si>
    <t>testMath864</t>
  </si>
  <si>
    <t>testFitAccuracyDependsOnBoundary</t>
  </si>
  <si>
    <t>testStartSimplexInsideRange</t>
  </si>
  <si>
    <t>testOptimumOutsideRange</t>
  </si>
  <si>
    <t>testUnbounded</t>
  </si>
  <si>
    <t>testHalfBounded</t>
  </si>
  <si>
    <t>testStartSimplexOutsideRange</t>
  </si>
  <si>
    <t>testSumSinc</t>
  </si>
  <si>
    <t>testQuadratic</t>
  </si>
  <si>
    <t>testMaximizeQuadratic</t>
  </si>
  <si>
    <t>testRelativeToleranceOnScaledValues</t>
  </si>
  <si>
    <t>testMinimize1</t>
  </si>
  <si>
    <t>testMinimize2</t>
  </si>
  <si>
    <t>testMaximize1</t>
  </si>
  <si>
    <t>testMaximize2</t>
  </si>
  <si>
    <t>testMath303</t>
  </si>
  <si>
    <t>testMath304</t>
  </si>
  <si>
    <t>testMath372</t>
  </si>
  <si>
    <t>testFit03</t>
  </si>
  <si>
    <t>testFit04</t>
  </si>
  <si>
    <t>testFit05</t>
  </si>
  <si>
    <t>testFit06</t>
  </si>
  <si>
    <t>testFit07</t>
  </si>
  <si>
    <t>testMath519</t>
  </si>
  <si>
    <t>testMath798</t>
  </si>
  <si>
    <t>testPreconditions1</t>
  </si>
  <si>
    <t>test1PercentError</t>
  </si>
  <si>
    <t>testTinyVariationsData</t>
  </si>
  <si>
    <t>testInitialGuess</t>
  </si>
  <si>
    <t>testUnsorted</t>
  </si>
  <si>
    <t>testMath844</t>
  </si>
  <si>
    <t>testFit</t>
  </si>
  <si>
    <t>testSmallError</t>
  </si>
  <si>
    <t>testMath798WithToleranceTooLow</t>
  </si>
  <si>
    <t>testMath798WithToleranceTooLowButNoException</t>
  </si>
  <si>
    <t>testRedundantSolvable</t>
  </si>
  <si>
    <t>testRedundantUnsolvable</t>
  </si>
  <si>
    <t>testNonInvertible</t>
  </si>
  <si>
    <t>testInconsistentSizes1</t>
  </si>
  <si>
    <t>testInconsistentSizes2</t>
  </si>
  <si>
    <t>testCircleFittingGoodInit</t>
  </si>
  <si>
    <t>testKirby2</t>
  </si>
  <si>
    <t>testHahn1</t>
  </si>
  <si>
    <t>testGetChiSquare</t>
  </si>
  <si>
    <t>testGetRMS</t>
  </si>
  <si>
    <t>testComputeSigma</t>
  </si>
  <si>
    <t>testBevington</t>
  </si>
  <si>
    <t>testCircleFitting2</t>
  </si>
  <si>
    <t>testColumnsPermutation</t>
  </si>
  <si>
    <t>testMath828</t>
  </si>
  <si>
    <t>testMath828Cycle</t>
  </si>
  <si>
    <t>testMath781</t>
  </si>
  <si>
    <t>testMath713NegativeVariable</t>
  </si>
  <si>
    <t>testMath434NegativeVariable</t>
  </si>
  <si>
    <t>testMath434UnfeasibleSolution</t>
  </si>
  <si>
    <t>testMath434PivotRowSelection</t>
  </si>
  <si>
    <t>testMath434PivotRowSelection2</t>
  </si>
  <si>
    <t>testMath272</t>
  </si>
  <si>
    <t>testMath286</t>
  </si>
  <si>
    <t>testDegeneracy</t>
  </si>
  <si>
    <t>testMath288</t>
  </si>
  <si>
    <t>testMath290GEQ</t>
  </si>
  <si>
    <t>testMath290LEQ</t>
  </si>
  <si>
    <t>testMath293</t>
  </si>
  <si>
    <t>testSimplexSolver</t>
  </si>
  <si>
    <t>testSingleVariableAndConstraint</t>
  </si>
  <si>
    <t>testModelWithNoArtificialVars</t>
  </si>
  <si>
    <t>testMinimization</t>
  </si>
  <si>
    <t>testSolutionWithNegativeDecisionVariable</t>
  </si>
  <si>
    <t>testInfeasibleSolution</t>
  </si>
  <si>
    <t>testUnboundedSolution</t>
  </si>
  <si>
    <t>testRestrictVariablesToNonNegative</t>
  </si>
  <si>
    <t>testEpsilon</t>
  </si>
  <si>
    <t>testTrivialModel</t>
  </si>
  <si>
    <t>testLargeModel</t>
  </si>
  <si>
    <t>testInitialization</t>
  </si>
  <si>
    <t>testDropPhase1Objective</t>
  </si>
  <si>
    <t>testTableauWithNoArtificialVars</t>
  </si>
  <si>
    <t>testCubicMin</t>
  </si>
  <si>
    <t>testCubicMax</t>
  </si>
  <si>
    <t>testMinimumIsOnIntervalBoundary</t>
  </si>
  <si>
    <t>testIntervalBoundsOrdering</t>
  </si>
  <si>
    <t>testSinMin</t>
  </si>
  <si>
    <t>testSinMinWithValueChecker</t>
  </si>
  <si>
    <t>testBoundaries</t>
  </si>
  <si>
    <t>testQuinticMin</t>
  </si>
  <si>
    <t>testQuinticMinStatistics</t>
  </si>
  <si>
    <t>testQuinticMax</t>
  </si>
  <si>
    <t>testMinEndpoints</t>
  </si>
  <si>
    <t>testMath832</t>
  </si>
  <si>
    <t>testKeepInitIfBest</t>
  </si>
  <si>
    <t>testMath855</t>
  </si>
  <si>
    <t>testBadFunction</t>
  </si>
  <si>
    <t>testWave</t>
  </si>
  <si>
    <t>testMutators</t>
  </si>
  <si>
    <t>testToDifferentiableUnivariateFunction</t>
  </si>
  <si>
    <t>testToUnivariateDifferential</t>
  </si>
  <si>
    <t>testToDifferentiableMultivariateFunction</t>
  </si>
  <si>
    <t>testToMultivariateDifferentiableFunction</t>
  </si>
  <si>
    <t>testGetOptimaBeforeOptimize</t>
  </si>
  <si>
    <t>testIssue914</t>
  </si>
  <si>
    <t>testGetIterations</t>
  </si>
  <si>
    <t>testConstraintsUnsupported</t>
  </si>
  <si>
    <t>testTestPositive</t>
  </si>
  <si>
    <t>testTestNegative</t>
  </si>
  <si>
    <t>testNextInversionDeviate</t>
  </si>
  <si>
    <t>testMapUnivariate</t>
  </si>
  <si>
    <t>testMapBivariateTwoArrays</t>
  </si>
  <si>
    <t>testMapBivariateOneArray</t>
  </si>
  <si>
    <t>testMapBivariatePrecondition</t>
  </si>
  <si>
    <t>testLinearFunction2D</t>
  </si>
  <si>
    <t>testParaboloid2D</t>
  </si>
  <si>
    <t>testSamplerIntegratePowerFunction</t>
  </si>
  <si>
    <t>testSamplerAcceptanceRate</t>
  </si>
  <si>
    <t>testExactPConsistency</t>
  </si>
  <si>
    <t>testExactPNoVariance</t>
  </si>
  <si>
    <t>testExactPSimpleSplit</t>
  </si>
  <si>
    <t>testNextIntNeg</t>
  </si>
  <si>
    <t>testNextBytesPrecondition4</t>
  </si>
  <si>
    <t>testDoubleDirect</t>
  </si>
  <si>
    <t>testFloatDirect</t>
  </si>
  <si>
    <t>testNextBytesPrecondition1</t>
  </si>
  <si>
    <t>testNextBytesPrecondition2</t>
  </si>
  <si>
    <t>testNextBytesPrecondition3</t>
  </si>
  <si>
    <t>testNextBytesSubArray</t>
  </si>
  <si>
    <t>testSampling</t>
  </si>
  <si>
    <t>testGeneratorConfig</t>
  </si>
  <si>
    <t>testReSeed</t>
  </si>
  <si>
    <t>testReseed</t>
  </si>
  <si>
    <t>test2DData</t>
  </si>
  <si>
    <t>test2DDataUnitary</t>
  </si>
  <si>
    <t>testMakotoNishimura</t>
  </si>
  <si>
    <t>testReference</t>
  </si>
  <si>
    <t>testReferenceCode</t>
  </si>
  <si>
    <t>testAdaptor</t>
  </si>
  <si>
    <t>testFixedSeed</t>
  </si>
  <si>
    <t>testEmptyReplayFile</t>
  </si>
  <si>
    <t>testEmptyDigestFile</t>
  </si>
  <si>
    <t>testNextIntExtremeValues</t>
  </si>
  <si>
    <t>testNextLongExtremeValues</t>
  </si>
  <si>
    <t>testNextUniformExtremeValues</t>
  </si>
  <si>
    <t>testNextIntIAE</t>
  </si>
  <si>
    <t>testNextIntNegativeToPositiveRange</t>
  </si>
  <si>
    <t>testNextIntNegativeRange</t>
  </si>
  <si>
    <t>testNextIntPositiveRange</t>
  </si>
  <si>
    <t>testNextIntWideRange</t>
  </si>
  <si>
    <t>testNextLongIAE</t>
  </si>
  <si>
    <t>testNextLongNegativeToPositiveRange</t>
  </si>
  <si>
    <t>testNextLongNegativeRange</t>
  </si>
  <si>
    <t>testNextLongPositiveRange</t>
  </si>
  <si>
    <t>testNextLongWideRange</t>
  </si>
  <si>
    <t>testNextSecureLongIAE</t>
  </si>
  <si>
    <t>testNextSecureLongNegativeToPositiveRange</t>
  </si>
  <si>
    <t>testNextSecureLongNegativeRange</t>
  </si>
  <si>
    <t>testNextSecureLongPositiveRange</t>
  </si>
  <si>
    <t>testNextSecureIntIAE</t>
  </si>
  <si>
    <t>testNextSecureIntNegativeToPositiveRange</t>
  </si>
  <si>
    <t>testNextSecureIntNegativeRange</t>
  </si>
  <si>
    <t>testNextSecureIntPositiveRange</t>
  </si>
  <si>
    <t>testNextUniformIAE</t>
  </si>
  <si>
    <t>testNextUniformUniformPositiveBounds</t>
  </si>
  <si>
    <t>testNextUniformUniformNegativeToPositiveBounds</t>
  </si>
  <si>
    <t>testNextUniformUniformNegaiveBounds</t>
  </si>
  <si>
    <t>testNextUniformUniformMaximalInterval</t>
  </si>
  <si>
    <t>testNextUniformExclusiveEndpoints</t>
  </si>
  <si>
    <t>testNextBeta</t>
  </si>
  <si>
    <t>testNextCauchy</t>
  </si>
  <si>
    <t>testNextChiSquare</t>
  </si>
  <si>
    <t>testNextF</t>
  </si>
  <si>
    <t>testNextGamma</t>
  </si>
  <si>
    <t>testNextT</t>
  </si>
  <si>
    <t>testNextWeibull</t>
  </si>
  <si>
    <t>testNextBinomial</t>
  </si>
  <si>
    <t>testNextHypergeometric</t>
  </si>
  <si>
    <t>testNextPascal</t>
  </si>
  <si>
    <t>testNextZipf</t>
  </si>
  <si>
    <t>testNextIntDirect</t>
  </si>
  <si>
    <t>testNextLongDirect</t>
  </si>
  <si>
    <t>testNextBooleanDirect</t>
  </si>
  <si>
    <t>testNextFloatDirect</t>
  </si>
  <si>
    <t>testNextIntPrecondition1</t>
  </si>
  <si>
    <t>testNextIntPrecondition2</t>
  </si>
  <si>
    <t>testNextBytes</t>
  </si>
  <si>
    <t>testNextBytesChunks</t>
  </si>
  <si>
    <t>testNextBytesChunksFail</t>
  </si>
  <si>
    <t>testSeeding</t>
  </si>
  <si>
    <t>testPreconditionNextInt1</t>
  </si>
  <si>
    <t>testPreconditionNextInt2</t>
  </si>
  <si>
    <t>testPreconditionNextLong1</t>
  </si>
  <si>
    <t>testPreconditionNextLong2</t>
  </si>
  <si>
    <t>testPreconditionNextBytes1</t>
  </si>
  <si>
    <t>testPreconditionNextBytes2</t>
  </si>
  <si>
    <t>testPreconditionNextBytes3</t>
  </si>
  <si>
    <t>testPreconditionNextBytes4</t>
  </si>
  <si>
    <t>testUniformNextBytesFullBuffer</t>
  </si>
  <si>
    <t>testUniformNextBytesPartialBuffer</t>
  </si>
  <si>
    <t>testUniformNextIntegerInRange</t>
  </si>
  <si>
    <t>testUniformNextLongInRange</t>
  </si>
  <si>
    <t>testUniformNextFloat</t>
  </si>
  <si>
    <t>testUniformNextDouble</t>
  </si>
  <si>
    <t>testUniformNextIntRandomWalk</t>
  </si>
  <si>
    <t>testUniformNextLongRandomWalk</t>
  </si>
  <si>
    <t>testUniformNextBooleanRandomWalk</t>
  </si>
  <si>
    <t>testUnsupportedSeedType</t>
  </si>
  <si>
    <t>testAllSeedTypes</t>
  </si>
  <si>
    <t>testStateSettable</t>
  </si>
  <si>
    <t>testSerializedState</t>
  </si>
  <si>
    <t>testStateWrongClass</t>
  </si>
  <si>
    <t>testStateWrongSize</t>
  </si>
  <si>
    <t>testReference1</t>
  </si>
  <si>
    <t>testReference2</t>
  </si>
  <si>
    <t>testAsymmetric</t>
  </si>
  <si>
    <t>testSubcycleGeneratorsMustBeDifferent</t>
  </si>
  <si>
    <t>testMakeIntFromLong</t>
  </si>
  <si>
    <t>testLong2Long</t>
  </si>
  <si>
    <t>testLongFromByteArray2Long</t>
  </si>
  <si>
    <t>testLongArrayFromByteArray2LongArray</t>
  </si>
  <si>
    <t>testIntFromByteArray2Int</t>
  </si>
  <si>
    <t>testIntArrayFromByteArray2IntArray</t>
  </si>
  <si>
    <t>testMakeIntPrecondition1</t>
  </si>
  <si>
    <t>testMakeIntArrayPrecondition1</t>
  </si>
  <si>
    <t>testMakeLongPrecondition1</t>
  </si>
  <si>
    <t>testMakeLongArrayPrecondition1</t>
  </si>
  <si>
    <t>testCreateLongArray</t>
  </si>
  <si>
    <t>testCreateIntArray</t>
  </si>
  <si>
    <t>testSamplerHelper1</t>
  </si>
  <si>
    <t>testSamplerHelper1Minus1</t>
  </si>
  <si>
    <t>testSamplerHelper2</t>
  </si>
  <si>
    <t>testUniform</t>
  </si>
  <si>
    <t>testGaussian</t>
  </si>
  <si>
    <t>testSeedIsIgnored</t>
  </si>
  <si>
    <t>testSerializeIsNotSupported</t>
  </si>
  <si>
    <t>testShuffleNoDuplicates</t>
  </si>
  <si>
    <t>testShuffleTail</t>
  </si>
  <si>
    <t>testShuffleHead</t>
  </si>
  <si>
    <t>testNonComparableCumPct</t>
  </si>
  <si>
    <t>testNonComparablePct</t>
  </si>
  <si>
    <t>testEqualsWithRelativeTolerance</t>
  </si>
  <si>
    <t>testEqualsIncludingNaN</t>
  </si>
  <si>
    <t>testEqualsWithAllowedDelta</t>
  </si>
  <si>
    <t>testMath475</t>
  </si>
  <si>
    <t>testEqualsIncludingNaNWithAllowedDelta</t>
  </si>
  <si>
    <t>testFloatEqualsWithAllowedUlps</t>
  </si>
  <si>
    <t>testEqualsWithAllowedUlps</t>
  </si>
  <si>
    <t>testEqualsIncludingNaNWithAllowedUlps</t>
  </si>
  <si>
    <t>testCompareToEpsilon</t>
  </si>
  <si>
    <t>testCompareToMaxUlps</t>
  </si>
  <si>
    <t>testRoundDouble</t>
  </si>
  <si>
    <t>testRoundFloat</t>
  </si>
  <si>
    <t>testIssue721</t>
  </si>
  <si>
    <t>testRepresentableDelta</t>
  </si>
  <si>
    <t>testMath843</t>
  </si>
  <si>
    <t>testMath1127</t>
  </si>
  <si>
    <t>testAddAndCheck</t>
  </si>
  <si>
    <t>testAddAndCheckLong</t>
  </si>
  <si>
    <t>testGcd</t>
  </si>
  <si>
    <t>testGcdConsistency</t>
  </si>
  <si>
    <t>testGcdLong</t>
  </si>
  <si>
    <t>testLcm</t>
  </si>
  <si>
    <t>testLcmLong</t>
  </si>
  <si>
    <t>testMulAndCheck</t>
  </si>
  <si>
    <t>testMulAndCheckLong</t>
  </si>
  <si>
    <t>testSubAndCheck</t>
  </si>
  <si>
    <t>testSubAndCheckErrorMessage</t>
  </si>
  <si>
    <t>testSubAndCheckLong</t>
  </si>
  <si>
    <t>testPowIntOverflow</t>
  </si>
  <si>
    <t>testPowInt</t>
  </si>
  <si>
    <t>testPowNegativeIntOverflow</t>
  </si>
  <si>
    <t>testPowNegativeInt</t>
  </si>
  <si>
    <t>testPowMinusOneInt</t>
  </si>
  <si>
    <t>testPowOneInt</t>
  </si>
  <si>
    <t>testPowLongOverflow</t>
  </si>
  <si>
    <t>testPowLong</t>
  </si>
  <si>
    <t>testPowNegativeLongOverflow</t>
  </si>
  <si>
    <t>testPowNegativeLong</t>
  </si>
  <si>
    <t>testPowMinusOneLong</t>
  </si>
  <si>
    <t>testPowOneLong</t>
  </si>
  <si>
    <t>testIsPowerOfTwo</t>
  </si>
  <si>
    <t>testRemainderUnsignedInt</t>
  </si>
  <si>
    <t>testRemainderUnsignedIntSpecialCases</t>
  </si>
  <si>
    <t>testRemainderUnsignedLong</t>
  </si>
  <si>
    <t>testRemainderUnsignedLongSpecialCases</t>
  </si>
  <si>
    <t>testDivideUnsignedInt</t>
  </si>
  <si>
    <t>testDivideUnsignedIntSpecialCases</t>
  </si>
  <si>
    <t>testDivideUnsignedLong</t>
  </si>
  <si>
    <t>testDivideUnsignedLongSpecialCases</t>
  </si>
  <si>
    <t>testRegularizedBetaTinyArgument</t>
  </si>
  <si>
    <t>testMath1067</t>
  </si>
  <si>
    <t>testSumDeltaMinusDeltaSum</t>
  </si>
  <si>
    <t>testSumDeltaMinusDeltaSumPrecondition1</t>
  </si>
  <si>
    <t>testSumDeltaMinusDeltaSumPrecondition2</t>
  </si>
  <si>
    <t>testDigammaLargeArgs</t>
  </si>
  <si>
    <t>testDigammaSmallArgs</t>
  </si>
  <si>
    <t>testDigammaNonRealArgs</t>
  </si>
  <si>
    <t>testTrigamma</t>
  </si>
  <si>
    <t>testTrigammaNonRealArgs</t>
  </si>
  <si>
    <t>testLogGammaPrecondition1</t>
  </si>
  <si>
    <t>testLogGammaPrecondition2</t>
  </si>
  <si>
    <t>testInvGamma1pm1</t>
  </si>
  <si>
    <t>testInvGamma1pm1Precondition1</t>
  </si>
  <si>
    <t>testInvGamma1pm1Precondition2</t>
  </si>
  <si>
    <t>testLogGamma1p</t>
  </si>
  <si>
    <t>testLogGamma1pPrecondition1</t>
  </si>
  <si>
    <t>testLogGamma1pPrecondition2</t>
  </si>
  <si>
    <t>testGamma</t>
  </si>
  <si>
    <t>testGammaNegativeInteger</t>
  </si>
  <si>
    <t>testGammaNegativeDouble</t>
  </si>
  <si>
    <t>testErf0</t>
  </si>
  <si>
    <t>testErf1960</t>
  </si>
  <si>
    <t>testErf2576</t>
  </si>
  <si>
    <t>testErf2807</t>
  </si>
  <si>
    <t>testErf3291</t>
  </si>
  <si>
    <t>testLargeValues</t>
  </si>
  <si>
    <t>testErfGnu</t>
  </si>
  <si>
    <t>testErfcGnu</t>
  </si>
  <si>
    <t>testErfcMaple</t>
  </si>
  <si>
    <t>testTwoArgumentErf</t>
  </si>
  <si>
    <t>testErfInvNaN</t>
  </si>
  <si>
    <t>testErfInvInfinite</t>
  </si>
  <si>
    <t>testErfInv</t>
  </si>
  <si>
    <t>testErfcInvNaN</t>
  </si>
  <si>
    <t>testErfcInvInfinite</t>
  </si>
  <si>
    <t>testErfcInv</t>
  </si>
  <si>
    <t>testGoldenRatio</t>
  </si>
  <si>
    <t>testAccessor1</t>
  </si>
  <si>
    <t>testAccessor2</t>
  </si>
  <si>
    <t>testLexicographicIterator</t>
  </si>
  <si>
    <t>testLexicographicComparatorWrongIterate1</t>
  </si>
  <si>
    <t>testLexicographicComparatorWrongIterate2</t>
  </si>
  <si>
    <t>testLexicographicComparatorWrongIterate3</t>
  </si>
  <si>
    <t>testLexicographicComparatorWrongIterate4</t>
  </si>
  <si>
    <t>testLexicographicComparator</t>
  </si>
  <si>
    <t>testLexicographicComparatorUnsorted</t>
  </si>
  <si>
    <t>testEmptyCombination</t>
  </si>
  <si>
    <t>testFullSetCombination</t>
  </si>
  <si>
    <t>testCombinationsIteratorFail</t>
  </si>
  <si>
    <t>test0Choose0</t>
  </si>
  <si>
    <t>testBinomialCoefficientLarge</t>
  </si>
  <si>
    <t>testCheckBinomial1</t>
  </si>
  <si>
    <t>testCheckBinomial2</t>
  </si>
  <si>
    <t>testCheckBinomial3</t>
  </si>
  <si>
    <t>testPrecondition1</t>
  </si>
  <si>
    <t>testNonPositiveArgument</t>
  </si>
  <si>
    <t>testDelegation</t>
  </si>
  <si>
    <t>testCompareDirectWithoutCache</t>
  </si>
  <si>
    <t>testCompareDirectWithCache</t>
  </si>
  <si>
    <t>testCacheIncrease</t>
  </si>
  <si>
    <t>testCacheDecrease</t>
  </si>
  <si>
    <t>testCosAngle2D</t>
  </si>
  <si>
    <t>testCosAngle3D</t>
  </si>
  <si>
    <t>testCosAngleExtreme</t>
  </si>
  <si>
    <t>testLinearCombinationWithSingleElementArray</t>
  </si>
  <si>
    <t>testLinearCombination1</t>
  </si>
  <si>
    <t>testLinearCombination2</t>
  </si>
  <si>
    <t>testLinearCombinationHuge</t>
  </si>
  <si>
    <t>testLinearCombinationInfinite</t>
  </si>
  <si>
    <t>testNormalizeAngle</t>
  </si>
  <si>
    <t>test2DDistribution</t>
  </si>
  <si>
    <t>testFormat</t>
  </si>
  <si>
    <t>testFormatNegative</t>
  </si>
  <si>
    <t>testFormatZero</t>
  </si>
  <si>
    <t>testFormatImproper</t>
  </si>
  <si>
    <t>testFormatImproperNegative</t>
  </si>
  <si>
    <t>testParseInteger</t>
  </si>
  <si>
    <t>testParseOne1</t>
  </si>
  <si>
    <t>testParseOne2</t>
  </si>
  <si>
    <t>testParseZero1</t>
  </si>
  <si>
    <t>testParseZero2</t>
  </si>
  <si>
    <t>testParseInvalid</t>
  </si>
  <si>
    <t>testParseInvalidDenominator</t>
  </si>
  <si>
    <t>testParseNegative</t>
  </si>
  <si>
    <t>testParseProper</t>
  </si>
  <si>
    <t>testParseProperNegative</t>
  </si>
  <si>
    <t>testParseProperInvalidMinus</t>
  </si>
  <si>
    <t>testNumeratorFormat</t>
  </si>
  <si>
    <t>testDenominatorFormat</t>
  </si>
  <si>
    <t>testWholeFormat</t>
  </si>
  <si>
    <t>testLongFormat</t>
  </si>
  <si>
    <t>testDoubleFormat</t>
  </si>
  <si>
    <t>testParseBig</t>
  </si>
  <si>
    <t>testAccessors1</t>
  </si>
  <si>
    <t>testAccessors2</t>
  </si>
  <si>
    <t>testAccessors3</t>
  </si>
  <si>
    <t>testWrongDimension</t>
  </si>
  <si>
    <t>testProductQuaternionQuaternion</t>
  </si>
  <si>
    <t>testProductQuaternionVector</t>
  </si>
  <si>
    <t>testDotProductQuaternionQuaternion</t>
  </si>
  <si>
    <t>testScalarMultiplyDouble</t>
  </si>
  <si>
    <t>testAddQuaternionQuaternion</t>
  </si>
  <si>
    <t>testSubtractQuaternionQuaternion</t>
  </si>
  <si>
    <t>testNormalize</t>
  </si>
  <si>
    <t>testNormalizeFail</t>
  </si>
  <si>
    <t>testObjectEquals</t>
  </si>
  <si>
    <t>testQuaternionEquals</t>
  </si>
  <si>
    <t>testQuaternionEquals2</t>
  </si>
  <si>
    <t>testIsUnitQuaternion</t>
  </si>
  <si>
    <t>testIsPureQuaternion</t>
  </si>
  <si>
    <t>testPolarForm</t>
  </si>
  <si>
    <t>testGetInverse</t>
  </si>
  <si>
    <t>testMathIllegalState1</t>
  </si>
  <si>
    <t>testMathIllegalState2</t>
  </si>
  <si>
    <t>testMathIllegalState3</t>
  </si>
  <si>
    <t>testZeroNumberOfRoots</t>
  </si>
  <si>
    <t>testGetNumberOfRoots</t>
  </si>
  <si>
    <t>testComputeRoots</t>
  </si>
  <si>
    <t>testNextPrime</t>
  </si>
  <si>
    <t>testIsPrime</t>
  </si>
  <si>
    <t>testPrimeFactors</t>
  </si>
  <si>
    <t>testCumulative</t>
  </si>
  <si>
    <t>testDensity</t>
  </si>
  <si>
    <t>testMoments</t>
  </si>
  <si>
    <t>testMomentsSampling</t>
  </si>
  <si>
    <t>testGoodnessOfFit</t>
  </si>
  <si>
    <t>testDegenerate0</t>
  </si>
  <si>
    <t>testDegenerate1</t>
  </si>
  <si>
    <t>testDegenerate2</t>
  </si>
  <si>
    <t>testMath718</t>
  </si>
  <si>
    <t>testInverseCumulativeProbabilityExtremes</t>
  </si>
  <si>
    <t>testMedian</t>
  </si>
  <si>
    <t>testScale</t>
  </si>
  <si>
    <t>testSmallDf</t>
  </si>
  <si>
    <t>testDfAccessors</t>
  </si>
  <si>
    <t>testInverseCumulativeProbabilities</t>
  </si>
  <si>
    <t>testMeanVariance</t>
  </si>
  <si>
    <t>testSampler</t>
  </si>
  <si>
    <t>testCumulativeProbabilityExtremes</t>
  </si>
  <si>
    <t>testMeanAccessors</t>
  </si>
  <si>
    <t>testLargeDegreesOfFreedom</t>
  </si>
  <si>
    <t>testSmallDegreesOfFreedom</t>
  </si>
  <si>
    <t>testMath785</t>
  </si>
  <si>
    <t>testParameterAccessors</t>
  </si>
  <si>
    <t>testMath753Shape1</t>
  </si>
  <si>
    <t>testMath753Shape8</t>
  </si>
  <si>
    <t>testMath753Shape10</t>
  </si>
  <si>
    <t>testMath753Shape100</t>
  </si>
  <si>
    <t>testMath753Shape142</t>
  </si>
  <si>
    <t>testMath753Shape1000</t>
  </si>
  <si>
    <t>testSupport</t>
  </si>
  <si>
    <t>testDegenerateNoFailures</t>
  </si>
  <si>
    <t>testDegenerateNoSuccesses</t>
  </si>
  <si>
    <t>testDegenerateFullSample</t>
  </si>
  <si>
    <t>testAccessors</t>
  </si>
  <si>
    <t>testMoreLargeValues</t>
  </si>
  <si>
    <t>testMath644</t>
  </si>
  <si>
    <t>testZeroTrial</t>
  </si>
  <si>
    <t>testMath1356</t>
  </si>
  <si>
    <t>testMath1021</t>
  </si>
  <si>
    <t>testQuantiles</t>
  </si>
  <si>
    <t>testGetScale</t>
  </si>
  <si>
    <t>testGetShape</t>
  </si>
  <si>
    <t>testExtremeValues</t>
  </si>
  <si>
    <t>testTinyVariance</t>
  </si>
  <si>
    <t>testCumulativeProbability</t>
  </si>
  <si>
    <t>testMath280</t>
  </si>
  <si>
    <t>testNormalApproximateProbability</t>
  </si>
  <si>
    <t>testDegenerateInverseCumulativeProbability</t>
  </si>
  <si>
    <t>testNegativeMean</t>
  </si>
  <si>
    <t>testMean</t>
  </si>
  <si>
    <t>testLargeMeanCumulativeProbability</t>
  </si>
  <si>
    <t>testCumulativeProbabilitySpecial</t>
  </si>
  <si>
    <t>testLargeMeanInverseCumulativeProbability</t>
  </si>
  <si>
    <t>testCumulativeProbabilityAgainstStackOverflow</t>
  </si>
  <si>
    <t>testCumulativeProbablilityExtremes</t>
  </si>
  <si>
    <t>nistData</t>
  </si>
  <si>
    <t>testGetLowerBound</t>
  </si>
  <si>
    <t>testGetUpperBound</t>
  </si>
  <si>
    <t>testPreconditions2</t>
  </si>
  <si>
    <t>testPreconditions3</t>
  </si>
  <si>
    <t>testPreconditions4</t>
  </si>
  <si>
    <t>testPreconditionUpperBoundInclusive</t>
  </si>
  <si>
    <t>testLargeRangeSubtractionOverflow</t>
  </si>
  <si>
    <t>testLargeRangeAdditionOverflow</t>
  </si>
  <si>
    <t>testInverseCumulativeDistribution</t>
  </si>
  <si>
    <t>testInverseCumulativeProbabilitySmallPAccuracy</t>
  </si>
  <si>
    <t>testAlpha</t>
  </si>
  <si>
    <t>testBeta</t>
  </si>
  <si>
    <t>testSamplerPerformance</t>
  </si>
  <si>
    <t>testCoordinates</t>
  </si>
  <si>
    <t>testScalarProduct</t>
  </si>
  <si>
    <t>testSingleInfiniteLine</t>
  </si>
  <si>
    <t>testMixOfFiniteAndInfiniteBoundaries</t>
  </si>
  <si>
    <t>testAbsNaN</t>
  </si>
  <si>
    <t>testAbsInfinite</t>
  </si>
  <si>
    <t>testAddInf</t>
  </si>
  <si>
    <t>testScalarAddNaN</t>
  </si>
  <si>
    <t>testScalarAddInf</t>
  </si>
  <si>
    <t>testConjugateInfiinite</t>
  </si>
  <si>
    <t>testDivideReal</t>
  </si>
  <si>
    <t>testDivideImaginary</t>
  </si>
  <si>
    <t>testDivideInf</t>
  </si>
  <si>
    <t>testDivideZero</t>
  </si>
  <si>
    <t>testDivideNaNInf</t>
  </si>
  <si>
    <t>testScalarDivide</t>
  </si>
  <si>
    <t>testScalarDivideNaN</t>
  </si>
  <si>
    <t>testScalarDivideInf</t>
  </si>
  <si>
    <t>testScalarDivideZero</t>
  </si>
  <si>
    <t>testReciprocal</t>
  </si>
  <si>
    <t>testReciprocalReal</t>
  </si>
  <si>
    <t>testReciprocalImaginary</t>
  </si>
  <si>
    <t>testReciprocalInf</t>
  </si>
  <si>
    <t>testReciprocalZero</t>
  </si>
  <si>
    <t>testReciprocalNaN</t>
  </si>
  <si>
    <t>testMultiplyInfInf</t>
  </si>
  <si>
    <t>testMultiplyNaNInf</t>
  </si>
  <si>
    <t>testScalarMultiply</t>
  </si>
  <si>
    <t>testScalarMultiplyNaN</t>
  </si>
  <si>
    <t>testScalarMultiplyInf</t>
  </si>
  <si>
    <t>testSubtractInf</t>
  </si>
  <si>
    <t>testScalarSubtract</t>
  </si>
  <si>
    <t>testScalarSubtractNaN</t>
  </si>
  <si>
    <t>testScalarSubtractInf</t>
  </si>
  <si>
    <t>testFloatingPointEqualsPrecondition1</t>
  </si>
  <si>
    <t>testFloatingPointEqualsPrecondition2</t>
  </si>
  <si>
    <t>testEqualsClass</t>
  </si>
  <si>
    <t>testEqualsSame</t>
  </si>
  <si>
    <t>testFloatingPointEquals</t>
  </si>
  <si>
    <t>testFloatingPointEqualsNaN</t>
  </si>
  <si>
    <t>testFloatingPointEqualsWithAllowedDelta</t>
  </si>
  <si>
    <t>testFloatingPointEqualsWithAllowedDeltaNaN</t>
  </si>
  <si>
    <t>testFloatingPointEqualsWithRelativeTolerance</t>
  </si>
  <si>
    <t>testFloatingPointEqualsWithRelativeToleranceNaN</t>
  </si>
  <si>
    <t>testEqualsTrue</t>
  </si>
  <si>
    <t>testEqualsRealDifference</t>
  </si>
  <si>
    <t>testEqualsImaginaryDifference</t>
  </si>
  <si>
    <t>testEqualsNaN</t>
  </si>
  <si>
    <t>testExpInf1</t>
  </si>
  <si>
    <t>testExpInf2</t>
  </si>
  <si>
    <t>testExpInf3</t>
  </si>
  <si>
    <t>testJava</t>
  </si>
  <si>
    <t>testExpInf4</t>
  </si>
  <si>
    <t>testExpInf5</t>
  </si>
  <si>
    <t>testExpInf6</t>
  </si>
  <si>
    <t>testExpInf7</t>
  </si>
  <si>
    <t>testExpInf8</t>
  </si>
  <si>
    <t>testScalarPow</t>
  </si>
  <si>
    <t>testScalarPowNaNBase</t>
  </si>
  <si>
    <t>testScalarPowNaNExponent</t>
  </si>
  <si>
    <t>testScalarPowInf</t>
  </si>
  <si>
    <t>testScalarPowZero</t>
  </si>
  <si>
    <t>testMath221</t>
  </si>
  <si>
    <t>testNthRoot_normal_thirdRoot</t>
  </si>
  <si>
    <t>testNthRoot_normal_fourthRoot</t>
  </si>
  <si>
    <t>testNthRoot_cornercase_thirdRoot_imaginaryPartEmpty</t>
  </si>
  <si>
    <t>testNthRoot_cornercase_thirdRoot_realPartZero</t>
  </si>
  <si>
    <t>testNthRoot_cornercase_NAN_Inf</t>
  </si>
  <si>
    <t>testGetArgument</t>
  </si>
  <si>
    <t>testGetArgumentInf</t>
  </si>
  <si>
    <t>testGetArgumentNaN</t>
  </si>
  <si>
    <t>testNullList</t>
  </si>
  <si>
    <t>testNoPoints</t>
  </si>
  <si>
    <t>testRegularPoints</t>
  </si>
  <si>
    <t>testSolutionOnDiameter</t>
  </si>
  <si>
    <t>testReducingBall1</t>
  </si>
  <si>
    <t>testReducingBall2</t>
  </si>
  <si>
    <t>testLargeSamples</t>
  </si>
  <si>
    <t>testReducingBall</t>
  </si>
  <si>
    <t>testInfiniteLoop</t>
  </si>
  <si>
    <t>testConstants</t>
  </si>
  <si>
    <t>testConstructor_simple</t>
  </si>
  <si>
    <t>testConstructor_multiplicative</t>
  </si>
  <si>
    <t>testConstructor_linear2</t>
  </si>
  <si>
    <t>testConstructor_linear3</t>
  </si>
  <si>
    <t>testConstructor_linear4</t>
  </si>
  <si>
    <t>testSpace</t>
  </si>
  <si>
    <t>testNorm1</t>
  </si>
  <si>
    <t>testNormSq</t>
  </si>
  <si>
    <t>testNormInf</t>
  </si>
  <si>
    <t>testNormalize_zeroNorm</t>
  </si>
  <si>
    <t>testNaN</t>
  </si>
  <si>
    <t>testInfinite</t>
  </si>
  <si>
    <t>testDistance1</t>
  </si>
  <si>
    <t>testDistance_static</t>
  </si>
  <si>
    <t>testDistanceInf</t>
  </si>
  <si>
    <t>testDistanceInf_static</t>
  </si>
  <si>
    <t>testDistanceSq</t>
  </si>
  <si>
    <t>testDistanceSq_static</t>
  </si>
  <si>
    <t>testDotProduct</t>
  </si>
  <si>
    <t>testHash</t>
  </si>
  <si>
    <t>testToString_numberFormat</t>
  </si>
  <si>
    <t>testDimension</t>
  </si>
  <si>
    <t>testSubSpace</t>
  </si>
  <si>
    <t>testBasicProperties</t>
  </si>
  <si>
    <t>testBasicProperties_negativeValues</t>
  </si>
  <si>
    <t>testStrictOrdering</t>
  </si>
  <si>
    <t>testCheckPoint</t>
  </si>
  <si>
    <t>testCheckPoint_tolerance</t>
  </si>
  <si>
    <t>testInfinite_inf</t>
  </si>
  <si>
    <t>testInfinite_sup</t>
  </si>
  <si>
    <t>testInfinite_infAndSup</t>
  </si>
  <si>
    <t>testSinglePoint</t>
  </si>
  <si>
    <t>testSingleInfinitePoint_positive</t>
  </si>
  <si>
    <t>testSingleInfinitePoint_negative</t>
  </si>
  <si>
    <t>testInterval_wholeNumberLine</t>
  </si>
  <si>
    <t>testInterval_doubleOpenInterval</t>
  </si>
  <si>
    <t>testInterval_openInterval_positive</t>
  </si>
  <si>
    <t>testInterval_openInterval_negative</t>
  </si>
  <si>
    <t>testInterval_singleClosedInterval</t>
  </si>
  <si>
    <t>testInterval_singlePoint</t>
  </si>
  <si>
    <t>testFromBoundaries_wholeNumberLine</t>
  </si>
  <si>
    <t>testFromBoundaries_openInterval_positive</t>
  </si>
  <si>
    <t>testFromBoundaries_openInterval_negative</t>
  </si>
  <si>
    <t>testFromBoundaries_singleClosedInterval</t>
  </si>
  <si>
    <t>testFromBoundaries_multipleClosedIntervals</t>
  </si>
  <si>
    <t>testFromBoundaries_mixedOpenAndClosedIntervals</t>
  </si>
  <si>
    <t>testFromBoundaries_intervalEqualToTolerance_onlyFirstBoundaryUsed</t>
  </si>
  <si>
    <t>testFromBoundaries_intervalSmallerThanTolerance_onlyFirstBoundaryUsed</t>
  </si>
  <si>
    <t>testProjectToBoundary</t>
  </si>
  <si>
    <t>testInterval</t>
  </si>
  <si>
    <t>testBooleanOperations</t>
  </si>
  <si>
    <t>testCopySelf</t>
  </si>
  <si>
    <t>testGetOffset_direct_point</t>
  </si>
  <si>
    <t>testGetOffset_notDirect_point</t>
  </si>
  <si>
    <t>testGetOffset_direct_vector</t>
  </si>
  <si>
    <t>testGetOffset_notDirect_vector</t>
  </si>
  <si>
    <t>testSameOrientationAs</t>
  </si>
  <si>
    <t>testProject</t>
  </si>
  <si>
    <t>testRevertSelf</t>
  </si>
  <si>
    <t>testGetSize</t>
  </si>
  <si>
    <t>testBuildNew</t>
  </si>
  <si>
    <t>testSplit_resultOnMinusSide</t>
  </si>
  <si>
    <t>testSplit_resultOnPlusSide</t>
  </si>
  <si>
    <t>testSplit_equivalentHyperplanes</t>
  </si>
  <si>
    <t>testSplit_usesToleranceFromParentHyperplane</t>
  </si>
  <si>
    <t>testNegativeX</t>
  </si>
  <si>
    <t>testNonDefaultSetting</t>
  </si>
  <si>
    <t>testDefaultFormatVector1D</t>
  </si>
  <si>
    <t>tesNegativeInfinity</t>
  </si>
  <si>
    <t>testParseIgnoredWhitespace</t>
  </si>
  <si>
    <t>testParseNegativeX</t>
  </si>
  <si>
    <t>testParseNegativeY</t>
  </si>
  <si>
    <t>testParseNegativeZ</t>
  </si>
  <si>
    <t>testParseNegativeAll</t>
  </si>
  <si>
    <t>testParseZeroX</t>
  </si>
  <si>
    <t>testParseNonDefaultSetting</t>
  </si>
  <si>
    <t>testParseNegativeInfinity</t>
  </si>
  <si>
    <t>testForgottenPrefix</t>
  </si>
  <si>
    <t>testForgottenSuffix</t>
  </si>
  <si>
    <t>testOffset</t>
  </si>
  <si>
    <t>testPoint</t>
  </si>
  <si>
    <t>testThreePoints</t>
  </si>
  <si>
    <t>testRotate</t>
  </si>
  <si>
    <t>testIntersection2</t>
  </si>
  <si>
    <t>testIntersection3</t>
  </si>
  <si>
    <t>testSimilar</t>
  </si>
  <si>
    <t>testEmptyRegion</t>
  </si>
  <si>
    <t>testHalfSpace</t>
  </si>
  <si>
    <t>testInvertedRegion</t>
  </si>
  <si>
    <t>testCreateFromBoundaries_noBoundaries_treeRepresentsWholeSpace</t>
  </si>
  <si>
    <t>testCreateFromBoundaries_unitBox</t>
  </si>
  <si>
    <t>testCreateFromBoundaries_twoBoxes_disjoint</t>
  </si>
  <si>
    <t>testCreateFromBoundaries_twoBoxes_sharedSide</t>
  </si>
  <si>
    <t>testCreateFromBoundaries_twoBoxes_separationLessThanTolerance</t>
  </si>
  <si>
    <t>testCreateFromBoundaries_twoBoxes_sharedEdge</t>
  </si>
  <si>
    <t>testCreateFromBoundaries_twoBoxes_sharedPoint</t>
  </si>
  <si>
    <t>testCreateBox</t>
  </si>
  <si>
    <t>testInvertedBox</t>
  </si>
  <si>
    <t>testTetrahedron</t>
  </si>
  <si>
    <t>testIsometry</t>
  </si>
  <si>
    <t>testBuildBox</t>
  </si>
  <si>
    <t>testCross</t>
  </si>
  <si>
    <t>testCreateFromBoundaries_handlesSmallBoundariesCreatedDuringConstruction</t>
  </si>
  <si>
    <t>testTooThinBox</t>
  </si>
  <si>
    <t>testWrongUsage</t>
  </si>
  <si>
    <t>testDumpParse</t>
  </si>
  <si>
    <t>testCreateFromBRep_connectedFacets</t>
  </si>
  <si>
    <t>testCreateFromBRep_verticesTooClose</t>
  </si>
  <si>
    <t>testCreateFromBRep_hole</t>
  </si>
  <si>
    <t>testCreateFromBRep_nonPlanar</t>
  </si>
  <si>
    <t>testCreateFromBRep_badOrientation</t>
  </si>
  <si>
    <t>testCreateFromBRep_wrongNumberOfPoints</t>
  </si>
  <si>
    <t>testFirstIntersection</t>
  </si>
  <si>
    <t>testFirstIntersection_onlyReturnsPointsInDirectionOfRay</t>
  </si>
  <si>
    <t>testBoolean_union</t>
  </si>
  <si>
    <t>testUnion_self</t>
  </si>
  <si>
    <t>testBoolean_intersection</t>
  </si>
  <si>
    <t>testIntersection_self</t>
  </si>
  <si>
    <t>testBoolean_xor_twoCubes</t>
  </si>
  <si>
    <t>testBoolean_xor_cubeAndSphere</t>
  </si>
  <si>
    <t>testXor_self</t>
  </si>
  <si>
    <t>testBoolean_difference</t>
  </si>
  <si>
    <t>testDifference_self</t>
  </si>
  <si>
    <t>testBoolean_multiple</t>
  </si>
  <si>
    <t>testProjectToBoundary_invertedRegion</t>
  </si>
  <si>
    <t>testAxisAngleDeprecated</t>
  </si>
  <si>
    <t>testAxisAngleVectorOperator</t>
  </si>
  <si>
    <t>testAxisAngleFrameTransform</t>
  </si>
  <si>
    <t>testRevertDeprecated</t>
  </si>
  <si>
    <t>testRevertVectorOperator</t>
  </si>
  <si>
    <t>testRevertFrameTransform</t>
  </si>
  <si>
    <t>testVectorOnePair</t>
  </si>
  <si>
    <t>testVectorTwoPairs</t>
  </si>
  <si>
    <t>testMatrix</t>
  </si>
  <si>
    <t>testAnglesDeprecated</t>
  </si>
  <si>
    <t>testAngles</t>
  </si>
  <si>
    <t>testSingularities</t>
  </si>
  <si>
    <t>testQuaternion</t>
  </si>
  <si>
    <t>testApplyTo</t>
  </si>
  <si>
    <t>testComposeVectorOperator</t>
  </si>
  <si>
    <t>testComposeFrameTransform</t>
  </si>
  <si>
    <t>testApplyInverseToRotation</t>
  </si>
  <si>
    <t>testComposeInverseVectorOperator</t>
  </si>
  <si>
    <t>testComposeInverseFrameTransform</t>
  </si>
  <si>
    <t>testApplyInverseTo</t>
  </si>
  <si>
    <t>testIssue639</t>
  </si>
  <si>
    <t>testIssue801</t>
  </si>
  <si>
    <t>testGithubPullRequest22A</t>
  </si>
  <si>
    <t>testGithubPullRequest22B</t>
  </si>
  <si>
    <t>testSupport4Points</t>
  </si>
  <si>
    <t>testDegeneratedCase</t>
  </si>
  <si>
    <t>testCoordinatesStoC</t>
  </si>
  <si>
    <t>testCoordinatesCtoS</t>
  </si>
  <si>
    <t>testGradient</t>
  </si>
  <si>
    <t>testHessian</t>
  </si>
  <si>
    <t>testEndPoints</t>
  </si>
  <si>
    <t>testNoEndPoints</t>
  </si>
  <si>
    <t>testNoSegments</t>
  </si>
  <si>
    <t>testSeveralSegments</t>
  </si>
  <si>
    <t>testHalfInfiniteNeg</t>
  </si>
  <si>
    <t>testHalfInfinitePos</t>
  </si>
  <si>
    <t>testIntersectionInsideInside</t>
  </si>
  <si>
    <t>testIntersectionInsideBoundary</t>
  </si>
  <si>
    <t>testIntersectionInsideOutside</t>
  </si>
  <si>
    <t>testIntersectionBoundaryBoundary</t>
  </si>
  <si>
    <t>testIntersectionBoundaryOutside</t>
  </si>
  <si>
    <t>testIntersectionOutsideOutside</t>
  </si>
  <si>
    <t>testNegativeY</t>
  </si>
  <si>
    <t>testNegativeZ</t>
  </si>
  <si>
    <t>testDefaultFormatVector3D</t>
  </si>
  <si>
    <t>testForgottenSeparator</t>
  </si>
  <si>
    <t>testVectorialProducts</t>
  </si>
  <si>
    <t>testCrossProductCancellation</t>
  </si>
  <si>
    <t>testAngular</t>
  </si>
  <si>
    <t>testAngularSeparation</t>
  </si>
  <si>
    <t>testOrthogonal</t>
  </si>
  <si>
    <t>testAngle</t>
  </si>
  <si>
    <t>testAccurateDotProduct</t>
  </si>
  <si>
    <t>testAccurateCrossProduct</t>
  </si>
  <si>
    <t>testCrossProduct</t>
  </si>
  <si>
    <t>testScaledVectorTripleConstructor</t>
  </si>
  <si>
    <t>testScaledVectorQuadrupleConstructor</t>
  </si>
  <si>
    <t>testConstructorExceptions</t>
  </si>
  <si>
    <t>testGetZero</t>
  </si>
  <si>
    <t>testVectorAddition</t>
  </si>
  <si>
    <t>testScaledVectorAddition</t>
  </si>
  <si>
    <t>testVectorSubtraction</t>
  </si>
  <si>
    <t>testScaledVectorSubtraction</t>
  </si>
  <si>
    <t>testIsInfinite</t>
  </si>
  <si>
    <t>testNestedLoops</t>
  </si>
  <si>
    <t>testFull</t>
  </si>
  <si>
    <t>testEmpty</t>
  </si>
  <si>
    <t>testInfiniteLines_single</t>
  </si>
  <si>
    <t>testInfiniteLines_twoIntersecting</t>
  </si>
  <si>
    <t>testInfiniteLines_twoParallel_facingIn</t>
  </si>
  <si>
    <t>testInfiniteLines_twoParallel_facingOut</t>
  </si>
  <si>
    <t>testMixedFiniteAndInfiniteLines_explicitInfiniteBoundaries</t>
  </si>
  <si>
    <t>testMixedFiniteAndInfiniteLines_impliedInfiniteBoundaries</t>
  </si>
  <si>
    <t>testBox</t>
  </si>
  <si>
    <t>testSimplyConnected</t>
  </si>
  <si>
    <t>testStair</t>
  </si>
  <si>
    <t>testHole</t>
  </si>
  <si>
    <t>testDisjointPolygons</t>
  </si>
  <si>
    <t>testOppositeHyperplanes</t>
  </si>
  <si>
    <t>testSingularPoint</t>
  </si>
  <si>
    <t>testLineIntersection</t>
  </si>
  <si>
    <t>testUnlimitedSubHyperplane</t>
  </si>
  <si>
    <t>testUnion</t>
  </si>
  <si>
    <t>testXor</t>
  </si>
  <si>
    <t>testDifference</t>
  </si>
  <si>
    <t>testEmptyDifference</t>
  </si>
  <si>
    <t>testChoppedHexagon</t>
  </si>
  <si>
    <t>testConcentric</t>
  </si>
  <si>
    <t>testBug20040520</t>
  </si>
  <si>
    <t>testBug20041003</t>
  </si>
  <si>
    <t>testSqueezedHexa</t>
  </si>
  <si>
    <t>testIssue880Simplified</t>
  </si>
  <si>
    <t>testIssue880Complete</t>
  </si>
  <si>
    <t>testIssue1162</t>
  </si>
  <si>
    <t>testThinRectangle_toleranceLessThanWidth_resultIsAccurate</t>
  </si>
  <si>
    <t>testThinRectangle_toleranceGreaterThanWidth_resultIsDegenerate</t>
  </si>
  <si>
    <t>testInconsistentHyperplanes</t>
  </si>
  <si>
    <t>testBoundarySimplification</t>
  </si>
  <si>
    <t>testDefaultFormatVector2D</t>
  </si>
  <si>
    <t>testNullArgument</t>
  </si>
  <si>
    <t>testOnePoint</t>
  </si>
  <si>
    <t>testTwoPoints</t>
  </si>
  <si>
    <t>testAllIdentical</t>
  </si>
  <si>
    <t>testConvexHull</t>
  </si>
  <si>
    <t>testCollinearPoints</t>
  </si>
  <si>
    <t>testCollinearPointsReverse</t>
  </si>
  <si>
    <t>testCollinearPointsIncluded</t>
  </si>
  <si>
    <t>testCollinearPointsIncludedReverse</t>
  </si>
  <si>
    <t>testIdenticalPoints</t>
  </si>
  <si>
    <t>testIdenticalPoints2</t>
  </si>
  <si>
    <t>testClosePoints</t>
  </si>
  <si>
    <t>testCollinearPointOnExistingBoundary</t>
  </si>
  <si>
    <t>testCollinearPointsInAnyOrder</t>
  </si>
  <si>
    <t>testIssue1123</t>
  </si>
  <si>
    <t>testConvergenceException</t>
  </si>
  <si>
    <t>testCharacterize_insideLeaf</t>
  </si>
  <si>
    <t>testCharacterize_outsideLeaf</t>
  </si>
  <si>
    <t>testCharacterize_onPlusSide</t>
  </si>
  <si>
    <t>testCharacterize_onMinusSide</t>
  </si>
  <si>
    <t>testCharacterize_onBothSides</t>
  </si>
  <si>
    <t>testCharacterize_multipleSplits_reunitedOnPlusSide</t>
  </si>
  <si>
    <t>testCharacterize_multipleSplits_reunitedOnMinusSide</t>
  </si>
  <si>
    <t>testCharacterize_onHyperplane_sameOrientation</t>
  </si>
  <si>
    <t>testCharacterize_onHyperplane_oppositeOrientation</t>
  </si>
  <si>
    <t>testCharacterize_onHyperplane_multipleSplits_sameOrientation</t>
  </si>
  <si>
    <t>testCharacterize_onHyperplane_multipleSplits_oppositeOrientation</t>
  </si>
  <si>
    <t>testCharacterize_onHyperplane_box</t>
  </si>
  <si>
    <t>testArc</t>
  </si>
  <si>
    <t>testWrongInterval</t>
  </si>
  <si>
    <t>testTolerance</t>
  </si>
  <si>
    <t>testFullCircle</t>
  </si>
  <si>
    <t>testSmall</t>
  </si>
  <si>
    <t>testWrapAround2PiArc</t>
  </si>
  <si>
    <t>testSplitOver2Pi</t>
  </si>
  <si>
    <t>testSplitAtEnd</t>
  </si>
  <si>
    <t>testFullEqualEndPoints</t>
  </si>
  <si>
    <t>testTiny</t>
  </si>
  <si>
    <t>testSpecialConstruction</t>
  </si>
  <si>
    <t>testMultiple</t>
  </si>
  <si>
    <t>testEmptyTree</t>
  </si>
  <si>
    <t>testShiftedAngles</t>
  </si>
  <si>
    <t>testInconsistentState</t>
  </si>
  <si>
    <t>testSide</t>
  </si>
  <si>
    <t>testFarSplit</t>
  </si>
  <si>
    <t>testSplitWithinEpsilon</t>
  </si>
  <si>
    <t>testSideSplitConsistency</t>
  </si>
  <si>
    <t>testReversedLimit</t>
  </si>
  <si>
    <t>testS1Point</t>
  </si>
  <si>
    <t>testEquator</t>
  </si>
  <si>
    <t>testXY</t>
  </si>
  <si>
    <t>testPhase</t>
  </si>
  <si>
    <t>testInsideArc</t>
  </si>
  <si>
    <t>testS2Point</t>
  </si>
  <si>
    <t>testNegativePolarAngle</t>
  </si>
  <si>
    <t>testTooLargePolarAngle</t>
  </si>
  <si>
    <t>testFullSphere</t>
  </si>
  <si>
    <t>testSouthHemisphere</t>
  </si>
  <si>
    <t>testPositiveOctantByIntersection</t>
  </si>
  <si>
    <t>testPositiveOctantByVertices</t>
  </si>
  <si>
    <t>testNonConvex</t>
  </si>
  <si>
    <t>testModeratlyComplexShape</t>
  </si>
  <si>
    <t>testSeveralParts</t>
  </si>
  <si>
    <t>testPartWithHole</t>
  </si>
  <si>
    <t>testConcentricSubParts</t>
  </si>
  <si>
    <t>testGeographicalMap</t>
  </si>
  <si>
    <t>testSPlit</t>
  </si>
  <si>
    <t>testDoubleConstructor</t>
  </si>
  <si>
    <t>testDigitLimitConstructor</t>
  </si>
  <si>
    <t>testIntegerOverflow</t>
  </si>
  <si>
    <t>testEpsilonLimitConstructor</t>
  </si>
  <si>
    <t>testDoubleValue</t>
  </si>
  <si>
    <t>testFloatValue</t>
  </si>
  <si>
    <t>testIntValue</t>
  </si>
  <si>
    <t>testLongValue</t>
  </si>
  <si>
    <t>testConstructorDouble</t>
  </si>
  <si>
    <t>testPercentage</t>
  </si>
  <si>
    <t>testMath835</t>
  </si>
  <si>
    <t>testMath1261</t>
  </si>
  <si>
    <t>testGetReducedFraction</t>
  </si>
  <si>
    <t>testFractionConverter</t>
  </si>
  <si>
    <t>testPositiveValueOverflow</t>
  </si>
  <si>
    <t>testNegativeValueOverflow</t>
  </si>
  <si>
    <t>testDoubleValueForLargeNumeratorAndDenominator</t>
  </si>
  <si>
    <t>testFloatValueForLargeNumeratorAndDenominator</t>
  </si>
  <si>
    <t>testBigDecimalValue</t>
  </si>
  <si>
    <t>testMath340</t>
  </si>
  <si>
    <t>testBigDfpConverter</t>
  </si>
  <si>
    <t>testPolar2Complex</t>
  </si>
  <si>
    <t>testPolar2ComplexIllegalModulus</t>
  </si>
  <si>
    <t>testPolar2ComplexNaN</t>
  </si>
  <si>
    <t>testPolar2ComplexInf</t>
  </si>
  <si>
    <t>testCExtract</t>
  </si>
  <si>
    <t>testExtractionMethods</t>
  </si>
  <si>
    <t>testRealToComplex</t>
  </si>
  <si>
    <t>testComplexToReal</t>
  </si>
  <si>
    <t>testImaginaryToComplex</t>
  </si>
  <si>
    <t>testComplexToImaginary</t>
  </si>
  <si>
    <t>testInterleavedToComplex</t>
  </si>
  <si>
    <t>testComplexToInterleaved</t>
  </si>
  <si>
    <t>testSplit2Complex</t>
  </si>
  <si>
    <t>testIteratorPreconditions</t>
  </si>
  <si>
    <t>testIteratorNoMoreElements</t>
  </si>
  <si>
    <t>testMulti2UniConversion</t>
  </si>
  <si>
    <t>testIterationConsistency</t>
  </si>
  <si>
    <t>testCopyOfInt</t>
  </si>
  <si>
    <t>testCopyOfDouble</t>
  </si>
  <si>
    <t>testCopyOfRange</t>
  </si>
  <si>
    <t>testCanIncrement1</t>
  </si>
  <si>
    <t>testCanIncrement2</t>
  </si>
  <si>
    <t>testAccessor</t>
  </si>
  <si>
    <t>testBelowMaxCount</t>
  </si>
  <si>
    <t>testAboveMaxCount</t>
  </si>
  <si>
    <t>testAlternateException</t>
  </si>
  <si>
    <t>testReset</t>
  </si>
  <si>
    <t>testBulkIncrement</t>
  </si>
  <si>
    <t>test_RandomCentroidInitializer</t>
  </si>
  <si>
    <t>test_KMeanPlusPlusCentroidInitializer</t>
  </si>
  <si>
    <t>testFindClosestNeuron</t>
  </si>
  <si>
    <t>testRevert</t>
  </si>
  <si>
    <t>testApplyToRotation</t>
  </si>
  <si>
    <t>testComposeInverseframeTransform</t>
  </si>
  <si>
    <t>testDoubleVectors</t>
  </si>
  <si>
    <t>testDoubleRotations</t>
  </si>
  <si>
    <t>testDerivatives</t>
  </si>
  <si>
    <t>testTravellerSalesmanSquareTourSequentialSolver</t>
  </si>
  <si>
    <t>testTravellerSalesmanSquareTourParallelSolver</t>
  </si>
  <si>
    <t>testMath1533</t>
  </si>
  <si>
    <t>testArrayHash</t>
  </si>
  <si>
    <t>testPermutedArrayHash</t>
  </si>
  <si>
    <t>testIndicatorByte</t>
  </si>
  <si>
    <t>testIndicatorInt</t>
  </si>
  <si>
    <t>testIndicatorLong</t>
  </si>
  <si>
    <t>testIndicatorShort</t>
  </si>
  <si>
    <t>testCopySignByte</t>
  </si>
  <si>
    <t>testCopySignByte2</t>
  </si>
  <si>
    <t>testCheckFinite</t>
  </si>
  <si>
    <t>testCheckNotNull1</t>
  </si>
  <si>
    <t>testCheckNotNull2</t>
  </si>
  <si>
    <t>testReduce</t>
  </si>
  <si>
    <t>testReduceComparedWithNormalize</t>
  </si>
  <si>
    <t>testMeanAndStandardDeviation</t>
  </si>
  <si>
    <t>testMeanAndCorrelation</t>
  </si>
  <si>
    <t>testAdapter</t>
  </si>
  <si>
    <t>testMath899Sync</t>
  </si>
  <si>
    <t>testDistributionClone</t>
  </si>
  <si>
    <t>testNextHexWithoutSha1</t>
  </si>
  <si>
    <t>testNextHexWithSha1</t>
  </si>
  <si>
    <t>testNextUniformPositiveBounds</t>
  </si>
  <si>
    <t>testNextUniformNegativeToPositiveBounds</t>
  </si>
  <si>
    <t>testNextUniformNegativeBounds</t>
  </si>
  <si>
    <t>testNextUniformMaximalInterval</t>
  </si>
  <si>
    <t>testSortInPlace</t>
  </si>
  <si>
    <t>testSortInPlaceDecreasingOrder</t>
  </si>
  <si>
    <t>testSortInPlaceExample</t>
  </si>
  <si>
    <t>testSortInPlaceFailures</t>
  </si>
  <si>
    <t>testGaussianCase</t>
  </si>
  <si>
    <t>testCauchyCase</t>
  </si>
  <si>
    <t>testAlphaRangeBelowZero</t>
  </si>
  <si>
    <t>testAlphaRangeAboveTwo</t>
  </si>
  <si>
    <t>testBetaRangeBelowMinusOne</t>
  </si>
  <si>
    <t>testBetaRangeAboveOne</t>
  </si>
  <si>
    <t>testNextFail1</t>
  </si>
  <si>
    <t>testNextFail2</t>
  </si>
  <si>
    <t>testLoadNullURL</t>
  </si>
  <si>
    <t>testLoadNullFile</t>
  </si>
  <si>
    <t>testKernelOverrideConstant</t>
  </si>
  <si>
    <t>testParabola2D</t>
  </si>
  <si>
    <t>testRosenbrock2D</t>
  </si>
  <si>
    <t>testRosenbrock5D</t>
  </si>
  <si>
    <t>testBoundsUnsupported</t>
  </si>
  <si>
    <t>testRetryFailAlways</t>
  </si>
  <si>
    <t>testRetryFailSometimes</t>
  </si>
  <si>
    <t>checkMissingAccurateMathClasses</t>
  </si>
  <si>
    <t>checkExtraAccurateMathClasses</t>
  </si>
  <si>
    <t>testContinuous</t>
  </si>
  <si>
    <t>testDiscontinuous</t>
  </si>
  <si>
    <t>testIsSupportConnected</t>
  </si>
  <si>
    <t>testStirlingS2</t>
  </si>
  <si>
    <t>testStirlingS2NegativeN</t>
  </si>
  <si>
    <t>testStirlingS2LargeK</t>
  </si>
  <si>
    <t>testStirlingS2Overflow</t>
  </si>
  <si>
    <t>we need to discuss this commit</t>
  </si>
  <si>
    <t>missing tests - bigStep</t>
  </si>
  <si>
    <t>missing some tests</t>
  </si>
  <si>
    <t>Issue with the tool?? The same test remains in the modified code.</t>
  </si>
  <si>
    <t>the other test is removed</t>
  </si>
  <si>
    <t>duplicated</t>
  </si>
  <si>
    <t>refactor and split into multiples</t>
  </si>
  <si>
    <t>issue with tool</t>
  </si>
  <si>
    <t>rėfactored; split into six</t>
  </si>
  <si>
    <t>refactored; split into two</t>
  </si>
  <si>
    <t>deprecated</t>
  </si>
  <si>
    <t>refactored; broken into multiple tests</t>
  </si>
  <si>
    <t>refactored;split into two</t>
  </si>
  <si>
    <t>previously ignored</t>
  </si>
  <si>
    <t>deleted with source code</t>
  </si>
  <si>
    <t>not significant; no test clauses</t>
  </si>
  <si>
    <t>issue with tool?</t>
  </si>
  <si>
    <t>interesting case; testNextBytesPrecondition3 is deleted</t>
  </si>
  <si>
    <t>refactored test</t>
  </si>
  <si>
    <t>03/07/2017 11:39:11</t>
  </si>
  <si>
    <t>03/09/2017 03:48:20</t>
  </si>
  <si>
    <t>03/09/2017 10:28:04</t>
  </si>
  <si>
    <t>03/09/2017 10:36:19</t>
  </si>
  <si>
    <t>03/10/2017 09:59:03</t>
  </si>
  <si>
    <t>03/10/2017 12:23:23</t>
  </si>
  <si>
    <t>03/10/2017 12:57:40</t>
  </si>
  <si>
    <t>03/13/2017 15:22:32</t>
  </si>
  <si>
    <t>03/10/2020 16:36:56</t>
  </si>
  <si>
    <t>07/02/2020 22:16:14</t>
  </si>
  <si>
    <t>02/28/2021 10:24:20</t>
  </si>
  <si>
    <t>02/28/2021 10:47:40</t>
  </si>
  <si>
    <t>03/04/2021 12:08:47</t>
  </si>
  <si>
    <t>03/05/2021 22:08:30</t>
  </si>
  <si>
    <t>01/02/2022 11:38:48</t>
  </si>
  <si>
    <t>dave@jfree.org</t>
  </si>
  <si>
    <t>tracy.hiltbrand@gmail.com</t>
  </si>
  <si>
    <t>Incorporate required JCommon classes directly.</t>
  </si>
  <si>
    <t>Remove deprecated code and update tests.</t>
  </si>
  <si>
    <t>Remove deprecated classes.</t>
  </si>
  <si>
    <t>Remove deprecated code</t>
  </si>
  <si>
    <t>Remove 3D effects (use Orson Charts for 3D).</t>
  </si>
  <si>
    <t>Generics / warning fixes.</t>
  </si>
  <si>
    <t>Removed PiePlot3D</t>
  </si>
  <si>
    <t>Replace StrokeMap class with regular Map.</t>
  </si>
  <si>
    <t>Replace PaintMap class with regular Map.</t>
  </si>
  <si>
    <t>Delete PaintList class (replace with Map&lt;Integer, Paint&gt;)</t>
  </si>
  <si>
    <t>Remove unused DatasetGroup</t>
  </si>
  <si>
    <t>Make series key immutable and remove domain and range descriptions from series (simplification).</t>
  </si>
  <si>
    <t>src/test/java/org/jfree/chart/annotations/XYImageAnnotationTest.java</t>
  </si>
  <si>
    <t>src/test/java/org/jfree/chart/title/ImageTitleTest.java</t>
  </si>
  <si>
    <t>src/test/java/org/jfree/data/time/TimeSeriesTest.java</t>
  </si>
  <si>
    <t>src/test/java/org/jfree/chart/axis/ColorBarTest.java</t>
  </si>
  <si>
    <t>src/test/java/org/jfree/chart/plot/ContourPlotTest.java</t>
  </si>
  <si>
    <t>src/test/java/org/jfree/chart/entity/ContourEntityTest.java</t>
  </si>
  <si>
    <t>src/test/java/org/jfree/chart/labels/StandardContourToolTipGeneratorTest.java</t>
  </si>
  <si>
    <t>src/test/java/org/jfree/chart/plot/ColorPaletteTest.java</t>
  </si>
  <si>
    <t>src/test/java/org/jfree/chart/renderer/AbstractRendererTest.java</t>
  </si>
  <si>
    <t>src/test/java/org/jfree/chart/BarChart3DTest.java</t>
  </si>
  <si>
    <t>src/test/java/org/jfree/chart/LineChart3DTest.java</t>
  </si>
  <si>
    <t>src/test/java/org/jfree/chart/StackedBarChart3DTest.java</t>
  </si>
  <si>
    <t>src/test/java/org/jfree/chart/renderer/category/BarRenderer3DTest.java</t>
  </si>
  <si>
    <t>src/test/java/org/jfree/chart/renderer/category/LineRenderer3DTest.java</t>
  </si>
  <si>
    <t>src/test/java/org/jfree/chart/renderer/category/StackedBarRenderer3DTest.java</t>
  </si>
  <si>
    <t>src/test/java/org/jfree/chart/axis/SegmentedTimelineAdditionalTest.java</t>
  </si>
  <si>
    <t>src/test/java/org/jfree/chart/axis/SegmentedTimelineTest.java</t>
  </si>
  <si>
    <t>src/test/java/org/jfree/chart/plot/ThermometerPlotTest.java</t>
  </si>
  <si>
    <t>src/test/java/org/jfree/chart/axis/CategoryAxis3DTest.java</t>
  </si>
  <si>
    <t>src/test/java/org/jfree/chart/axis/NumberAxis3DTest.java</t>
  </si>
  <si>
    <t>src/test/java/org/jfree/chart/renderer/xy/XYLine3DRendererTest.java</t>
  </si>
  <si>
    <t>src/test/java/org/jfree/chart/PaintMapTest.java</t>
  </si>
  <si>
    <t>src/test/java/org/jfree/chart/JFreeChartTest.java</t>
  </si>
  <si>
    <t>src/test/java/org/jfree/chart/PieChart3DTest.java</t>
  </si>
  <si>
    <t>src/test/java/org/jfree/chart/plot/PiePlot3DTest.java</t>
  </si>
  <si>
    <t>src/test/java/org/jfree/chart/internal/StrokeMapTest.java</t>
  </si>
  <si>
    <t>src/test/java/org/jfree/chart/internal/PaintMapTest.java</t>
  </si>
  <si>
    <t>src/test/java/org/jfree/data/general/DatasetGroupTest.java</t>
  </si>
  <si>
    <t>src/test/java/org/jfree/data/xy/XYSeriesCollectionTest.java</t>
  </si>
  <si>
    <t>src/test/java/org/jfree/data/xy/XYSeriesTest.java</t>
  </si>
  <si>
    <t>XYImageAnnotationTest.java</t>
  </si>
  <si>
    <t>ImageTitleTest.java</t>
  </si>
  <si>
    <t>TimeSeriesTest.java</t>
  </si>
  <si>
    <t>ColorBarTest.java</t>
  </si>
  <si>
    <t>ContourPlotTest.java</t>
  </si>
  <si>
    <t>ContourEntityTest.java</t>
  </si>
  <si>
    <t>StandardContourToolTipGeneratorTest.java</t>
  </si>
  <si>
    <t>ColorPaletteTest.java</t>
  </si>
  <si>
    <t>AbstractRendererTest.java</t>
  </si>
  <si>
    <t>BarChart3DTest.java</t>
  </si>
  <si>
    <t>LineChart3DTest.java</t>
  </si>
  <si>
    <t>StackedBarChart3DTest.java</t>
  </si>
  <si>
    <t>BarRenderer3DTest.java</t>
  </si>
  <si>
    <t>LineRenderer3DTest.java</t>
  </si>
  <si>
    <t>StackedBarRenderer3DTest.java</t>
  </si>
  <si>
    <t>SegmentedTimelineAdditionalTest.java</t>
  </si>
  <si>
    <t>SegmentedTimelineTest.java</t>
  </si>
  <si>
    <t>ThermometerPlotTest.java</t>
  </si>
  <si>
    <t>CategoryAxis3DTest.java</t>
  </si>
  <si>
    <t>NumberAxis3DTest.java</t>
  </si>
  <si>
    <t>XYLine3DRendererTest.java</t>
  </si>
  <si>
    <t>PaintMapTest.java</t>
  </si>
  <si>
    <t>JFreeChartTest.java</t>
  </si>
  <si>
    <t>PieChart3DTest.java</t>
  </si>
  <si>
    <t>PiePlot3DTest.java</t>
  </si>
  <si>
    <t>StrokeMapTest.java</t>
  </si>
  <si>
    <t>DatasetGroupTest.java</t>
  </si>
  <si>
    <t>XYSeriesCollectionTest.java</t>
  </si>
  <si>
    <t>XYSeriesTest.java</t>
  </si>
  <si>
    <t>testCloning</t>
  </si>
  <si>
    <t>testPublicCloneable</t>
  </si>
  <si>
    <t>testHashcode</t>
  </si>
  <si>
    <t>testWidthAndHeight</t>
  </si>
  <si>
    <t>testArrangeNN</t>
  </si>
  <si>
    <t>testEquals3</t>
  </si>
  <si>
    <t>testSetSeriesVisible</t>
  </si>
  <si>
    <t>testSetPaint</t>
  </si>
  <si>
    <t>testSetOutlinePaint</t>
  </si>
  <si>
    <t>testSetStroke</t>
  </si>
  <si>
    <t>testSetOutlineStroke</t>
  </si>
  <si>
    <t>testSetShape</t>
  </si>
  <si>
    <t>testSetItemLabelsVisible</t>
  </si>
  <si>
    <t>testSetItemLabelFont</t>
  </si>
  <si>
    <t>testSetItemLabelPaint</t>
  </si>
  <si>
    <t>testSetPositiveItemLabelPosition</t>
  </si>
  <si>
    <t>testSetNegativeItemLabelPosition</t>
  </si>
  <si>
    <t>testDrawWithNullInfo</t>
  </si>
  <si>
    <t>testReplaceDataset</t>
  </si>
  <si>
    <t>testSetSeriesToolTipGenerator</t>
  </si>
  <si>
    <t>testSetSeriesURLGenerator</t>
  </si>
  <si>
    <t>testFindRangeBounds</t>
  </si>
  <si>
    <t>testCreateStackedValueList1</t>
  </si>
  <si>
    <t>testCreateStackedValueList2</t>
  </si>
  <si>
    <t>testCreateStackedValueList3</t>
  </si>
  <si>
    <t>testCreateStackedValueList4</t>
  </si>
  <si>
    <t>testCreateStackedValueList1a</t>
  </si>
  <si>
    <t>testCreateStackedValueList1b</t>
  </si>
  <si>
    <t>testCreateStackedValueList1c</t>
  </si>
  <si>
    <t>testCreateStackedValueList1d</t>
  </si>
  <si>
    <t>testCreateStackedValueList2a</t>
  </si>
  <si>
    <t>testCreateStackedValueList2b</t>
  </si>
  <si>
    <t>testCreateStackedValueList2c</t>
  </si>
  <si>
    <t>testCreateStackedValueList2d</t>
  </si>
  <si>
    <t>testCreateStackedValueList3a</t>
  </si>
  <si>
    <t>testCreateStackedValueList3b</t>
  </si>
  <si>
    <t>testCreateStackedValueList3c</t>
  </si>
  <si>
    <t>testCreateStackedValueList3d</t>
  </si>
  <si>
    <t>testCreateStackedValueList5</t>
  </si>
  <si>
    <t>test6</t>
  </si>
  <si>
    <t>test7</t>
  </si>
  <si>
    <t>test8</t>
  </si>
  <si>
    <t>testMsSegmentedTimeline</t>
  </si>
  <si>
    <t>testMs2SegmentedTimeline</t>
  </si>
  <si>
    <t>testMondayThroughFridaySegmentedTimeline</t>
  </si>
  <si>
    <t>testFifteenMinSegmentedTimeline</t>
  </si>
  <si>
    <t>testMsSegment</t>
  </si>
  <si>
    <t>testMs2Segment</t>
  </si>
  <si>
    <t>testMondayThroughFridaySegment</t>
  </si>
  <si>
    <t>testFifteenMinSegment</t>
  </si>
  <si>
    <t>testMsInc</t>
  </si>
  <si>
    <t>testMs2Inc</t>
  </si>
  <si>
    <t>testMondayThroughFridayInc</t>
  </si>
  <si>
    <t>testFifteenMinInc</t>
  </si>
  <si>
    <t>testMsIncludedAndExcludedSegments</t>
  </si>
  <si>
    <t>testMs2IncludedAndExcludedSegments</t>
  </si>
  <si>
    <t>testMondayThroughFridayIncludedAndExcludedSegments</t>
  </si>
  <si>
    <t>testFifteenMinIncludedAndExcludedSegments</t>
  </si>
  <si>
    <t>testMsExceptionSegments</t>
  </si>
  <si>
    <t>testMs2BaseTimelineExceptionSegments</t>
  </si>
  <si>
    <t>testMondayThoughFridayExceptionSegments</t>
  </si>
  <si>
    <t>testFifteenMinExceptionSegments</t>
  </si>
  <si>
    <t>testMsTranslations</t>
  </si>
  <si>
    <t>testMs2BaseTimelineTranslations</t>
  </si>
  <si>
    <t>testMs2Translations</t>
  </si>
  <si>
    <t>testMondayThroughFridayTranslations</t>
  </si>
  <si>
    <t>testFifteenMinTranslations</t>
  </si>
  <si>
    <t>testSerialization2</t>
  </si>
  <si>
    <t>testBasicSegmentedTimeline</t>
  </si>
  <si>
    <t>testSegmentedTimelineWithException1</t>
  </si>
  <si>
    <t>testSetUnits</t>
  </si>
  <si>
    <t>testKeysOfDifferentClasses</t>
  </si>
  <si>
    <t>testReplaceDatasetOnPieChart</t>
  </si>
  <si>
    <t>testNullValueInDataset</t>
  </si>
  <si>
    <t>testDrawWithNullDataset</t>
  </si>
  <si>
    <t>testGetStroke</t>
  </si>
  <si>
    <t>testSerialization1</t>
  </si>
  <si>
    <t>testGetPaint</t>
  </si>
  <si>
    <t>testSerialization4</t>
  </si>
  <si>
    <t>testEquals2</t>
  </si>
  <si>
    <t>testSetKey</t>
  </si>
  <si>
    <t>testRenameSeries</t>
  </si>
  <si>
    <t>testSeriesRename</t>
  </si>
  <si>
    <t>Our tool misses some
 removed tests in this commit</t>
  </si>
  <si>
    <t>missing other tests? check tool</t>
  </si>
  <si>
    <t>significant lines deleted even though looks like refactor</t>
  </si>
  <si>
    <t>12/18/2003 20:07:36</t>
  </si>
  <si>
    <t>12/20/2003 08:11:23</t>
  </si>
  <si>
    <t>07/27/2004 17:21:14</t>
  </si>
  <si>
    <t>08/01/2004 17:10:36</t>
  </si>
  <si>
    <t>08/03/2004 18:49:32</t>
  </si>
  <si>
    <t>08/07/2004 06:55:14</t>
  </si>
  <si>
    <t>08/07/2004 08:26:53</t>
  </si>
  <si>
    <t>08/14/2004 13:35:42</t>
  </si>
  <si>
    <t>08/16/2004 15:36:07</t>
  </si>
  <si>
    <t>08/20/2004 16:20:42</t>
  </si>
  <si>
    <t>08/21/2004 16:29:39</t>
  </si>
  <si>
    <t>08/21/2004 17:58:21</t>
  </si>
  <si>
    <t>08/21/2004 18:35:35</t>
  </si>
  <si>
    <t>08/22/2004 10:25:24</t>
  </si>
  <si>
    <t>08/22/2004 11:52:19</t>
  </si>
  <si>
    <t>08/28/2004 12:18:44</t>
  </si>
  <si>
    <t>09/04/2004 18:48:26</t>
  </si>
  <si>
    <t>09/05/2004 09:46:52</t>
  </si>
  <si>
    <t>09/05/2004 11:48:29</t>
  </si>
  <si>
    <t>09/05/2004 19:15:10</t>
  </si>
  <si>
    <t>09/09/2004 17:45:56</t>
  </si>
  <si>
    <t>09/11/2004 04:47:35</t>
  </si>
  <si>
    <t>09/12/2004 04:29:24</t>
  </si>
  <si>
    <t>09/12/2004 10:45:16</t>
  </si>
  <si>
    <t>09/14/2004 17:59:21</t>
  </si>
  <si>
    <t>08/03/2005 17:24:28</t>
  </si>
  <si>
    <t>11/02/2005 11:26:37</t>
  </si>
  <si>
    <t>12/04/2005 16:02:08</t>
  </si>
  <si>
    <t>07/29/2006 05:45:16</t>
  </si>
  <si>
    <t>11/07/2009 05:20:45</t>
  </si>
  <si>
    <t>11/12/2009 04:36:23</t>
  </si>
  <si>
    <t>11/19/2009 09:24:27</t>
  </si>
  <si>
    <t>11/13/2010 05:52:12</t>
  </si>
  <si>
    <t>07/31/2011 17:41:30</t>
  </si>
  <si>
    <t>10/14/2015 09:34:26</t>
  </si>
  <si>
    <t>08/01/2017 08:04:22</t>
  </si>
  <si>
    <t>10/05/2022 03:49:41</t>
  </si>
  <si>
    <t>scolebourne@joda.org</t>
  </si>
  <si>
    <t>rintcius@users.sourceforge.net</t>
  </si>
  <si>
    <t>michael.hausegger@tugraz.at</t>
  </si>
  <si>
    <t>Move from Joda CVS
git-svn-id: https://joda-time.svn.sourceforge.net/svnroot/joda-time/trunk@10 1e1cfbb7-5c0e-0410-a2f0-f98d92ec03a1</t>
  </si>
  <si>
    <t>Remove usused tests
git-svn-id: https://joda-time.svn.sourceforge.net/svnroot/joda-time/trunk@31 1e1cfbb7-5c0e-0410-a2f0-f98d92ec03a1</t>
  </si>
  <si>
    <t>Remove old test classes
git-svn-id: https://joda-time.svn.sourceforge.net/svnroot/joda-time/trunk@350 1e1cfbb7-5c0e-0410-a2f0-f98d92ec03a1</t>
  </si>
  <si>
    <t>Add MillisDuration for precise durations
git-svn-id: https://joda-time.svn.sourceforge.net/svnroot/joda-time/trunk@355 1e1cfbb7-5c0e-0410-a2f0-f98d92ec03a1</t>
  </si>
  <si>
    <t>Fix tests after TimePeriod creation
git-svn-id: https://joda-time.svn.sourceforge.net/svnroot/joda-time/trunk@360 1e1cfbb7-5c0e-0410-a2f0-f98d92ec03a1</t>
  </si>
  <si>
    <t>Tests and fixes
git-svn-id: https://joda-time.svn.sourceforge.net/svnroot/joda-time/trunk@366 1e1cfbb7-5c0e-0410-a2f0-f98d92ec03a1</t>
  </si>
  <si>
    <t>Enhance IntervalConverter
git-svn-id: https://joda-time.svn.sourceforge.net/svnroot/joda-time/trunk@368 1e1cfbb7-5c0e-0410-a2f0-f98d92ec03a1</t>
  </si>
  <si>
    <t>Refactor AbstractDuration to remove instance variable
git-svn-id: https://joda-time.svn.sourceforge.net/svnroot/joda-time/trunk@389 1e1cfbb7-5c0e-0410-a2f0-f98d92ec03a1</t>
  </si>
  <si>
    <t>More tests
git-svn-id: https://joda-time.svn.sourceforge.net/svnroot/joda-time/trunk@396 1e1cfbb7-5c0e-0410-a2f0-f98d92ec03a1</t>
  </si>
  <si>
    <t>Create base subpackage
git-svn-id: https://joda-time.svn.sourceforge.net/svnroot/joda-time/trunk@402 1e1cfbb7-5c0e-0410-a2f0-f98d92ec03a1</t>
  </si>
  <si>
    <t>Create BasePeriod
git-svn-id: https://joda-time.svn.sourceforge.net/svnroot/joda-time/trunk@415 1e1cfbb7-5c0e-0410-a2f0-f98d92ec03a1</t>
  </si>
  <si>
    <t>Unify method handling, removing Object parameter methods
git-svn-id: https://joda-time.svn.sourceforge.net/svnroot/joda-time/trunk@420 1e1cfbb7-5c0e-0410-a2f0-f98d92ec03a1</t>
  </si>
  <si>
    <t>Change toTrustedISODateTime() to toDateTimeISO()
git-svn-id: https://joda-time.svn.sourceforge.net/svnroot/joda-time/trunk@422 1e1cfbb7-5c0e-0410-a2f0-f98d92ec03a1</t>
  </si>
  <si>
    <t>Remove old test classes
git-svn-id: https://joda-time.svn.sourceforge.net/svnroot/joda-time/trunk@433 1e1cfbb7-5c0e-0410-a2f0-f98d92ec03a1</t>
  </si>
  <si>
    <t>Remove get chronology methods as they confuse matters when getting instance on subclass
git-svn-id: https://joda-time.svn.sourceforge.net/svnroot/joda-time/trunk@437 1e1cfbb7-5c0e-0410-a2f0-f98d92ec03a1</t>
  </si>
  <si>
    <t>Fix and simplify zero handling in period format
git-svn-id: https://joda-time.svn.sourceforge.net/svnroot/joda-time/trunk@458 1e1cfbb7-5c0e-0410-a2f0-f98d92ec03a1</t>
  </si>
  <si>
    <t>Refactor Periods
- no longer have a chronology
- period type is based around DurationFieldType
- array structure internally
- not convertable to durations
git-svn-id: https://joda-time.svn.sourceforge.net/svnroot/joda-time/trunk@478 1e1cfbb7-5c0e-0410-a2f0-f98d92ec03a1</t>
  </si>
  <si>
    <t>Simplify Period
git-svn-id: https://joda-time.svn.sourceforge.net/svnroot/joda-time/trunk@482 1e1cfbb7-5c0e-0410-a2f0-f98d92ec03a1</t>
  </si>
  <si>
    <t>Update duration following period changes
git-svn-id: https://joda-time.svn.sourceforge.net/svnroot/joda-time/trunk@485 1e1cfbb7-5c0e-0410-a2f0-f98d92ec03a1</t>
  </si>
  <si>
    <t>Add chronology to interval
git-svn-id: https://joda-time.svn.sourceforge.net/svnroot/joda-time/trunk@487 1e1cfbb7-5c0e-0410-a2f0-f98d92ec03a1</t>
  </si>
  <si>
    <t>Update API
- Instant now ISO UTC
- withXxx methods added to lots of classes
- uniform set of methods almost complete
git-svn-id: https://joda-time.svn.sourceforge.net/svnroot/joda-time/trunk@498 1e1cfbb7-5c0e-0410-a2f0-f98d92ec03a1</t>
  </si>
  <si>
    <t>Fix interval to use chronology throughout
git-svn-id: https://joda-time.svn.sourceforge.net/svnroot/joda-time/trunk@499 1e1cfbb7-5c0e-0410-a2f0-f98d92ec03a1</t>
  </si>
  <si>
    <t>Add PartialConverter
git-svn-id: https://joda-time.svn.sourceforge.net/svnroot/joda-time/trunk@505 1e1cfbb7-5c0e-0410-a2f0-f98d92ec03a1</t>
  </si>
  <si>
    <t>Rework InstantConverter to reduce number of methods
git-svn-id: https://joda-time.svn.sourceforge.net/svnroot/joda-time/trunk@507 1e1cfbb7-5c0e-0410-a2f0-f98d92ec03a1</t>
  </si>
  <si>
    <t>Increase test coverage
git-svn-id: https://joda-time.svn.sourceforge.net/svnroot/joda-time/trunk@510 1e1cfbb7-5c0e-0410-a2f0-f98d92ec03a1</t>
  </si>
  <si>
    <t>Add int override to withPivotYear, and tests
git-svn-id: https://joda-time.svn.sourceforge.net/svnroot/joda-time/trunk@848 1e1cfbb7-5c0e-0410-a2f0-f98d92ec03a1</t>
  </si>
  <si>
    <t>Remove ChronologyType - it created more issues than it solved
git-svn-id: https://joda-time.svn.sourceforge.net/svnroot/joda-time/trunk@927 1e1cfbb7-5c0e-0410-a2f0-f98d92ec03a1</t>
  </si>
  <si>
    <t>Remove methods to handle time zone differences
git-svn-id: https://joda-time.svn.sourceforge.net/svnroot/joda-time/trunk@954 1e1cfbb7-5c0e-0410-a2f0-f98d92ec03a1</t>
  </si>
  <si>
    <t>Test and fix local string parsing
git-svn-id: https://joda-time.svn.sourceforge.net/svnroot/joda-time/trunk@1104 1e1cfbb7-5c0e-0410-a2f0-f98d92ec03a1</t>
  </si>
  <si>
    <t>Remove deprecations
git-svn-id: https://joda-time.svn.sourceforge.net/svnroot/joda-time/trunk@1408 1e1cfbb7-5c0e-0410-a2f0-f98d92ec03a1</t>
  </si>
  <si>
    <t>Initial version of the ported testset.
git-svn-id: https://joda-time.svn.sourceforge.net/svnroot/joda-time/trunk@1458 1e1cfbb7-5c0e-0410-a2f0-f98d92ec03a1</t>
  </si>
  <si>
    <t>Add script that generates the gwt tests from the annotated core tests. 
Update gwt tests.
git-svn-id: https://joda-time.svn.sourceforge.net/svnroot/joda-time/trunk@1469 1e1cfbb7-5c0e-0410-a2f0-f98d92ec03a1</t>
  </si>
  <si>
    <t>MonthDay and YearMonth should have stricter default parsing
git-svn-id: https://joda-time.svn.sourceforge.net/svnroot/joda-time/trunk@1588 1e1cfbb7-5c0e-0410-a2f0-f98d92ec03a1</t>
  </si>
  <si>
    <t>Remove broken test class</t>
  </si>
  <si>
    <t>Allow min/max dates
Provide some form of support for date-times up to the min/max of Long
At the margins, calculations will be slightly imperfect
UTC is used for the min/max
Fixes #297
Fixes #190</t>
  </si>
  <si>
    <t>add-tests Incorporated requested PR changes.</t>
  </si>
  <si>
    <t>Updates after localization PRs (#654)</t>
  </si>
  <si>
    <t>JodaTime/src/test/org/joda/test/time/TestDateTimeFormat.java</t>
  </si>
  <si>
    <t>JodaTime/src/test/org/joda/test/time/TestDateTimeFormatterBuilder.java</t>
  </si>
  <si>
    <t>JodaTime/src/test/org/joda/test/time/TestDateTimeParserBucket.java</t>
  </si>
  <si>
    <t>JodaTime/src/test/org/joda/test/time/TestTimePeriod.java</t>
  </si>
  <si>
    <t>JodaTime/src/test/org/joda/test/time/TestTimePeriodFormat.java</t>
  </si>
  <si>
    <t>JodaTime/src/test/org/joda/test/time/TestConstructors.java</t>
  </si>
  <si>
    <t>JodaTime/src/test/org/joda/test/time/TestInstant.java</t>
  </si>
  <si>
    <t>JodaTime/src/test/org/joda/test/time/TestMDTAdd.java</t>
  </si>
  <si>
    <t>JodaTime/src/test/org/joda/test/time/TestMDTAddWrapped.java</t>
  </si>
  <si>
    <t>JodaTime/src/test/org/joda/test/time/TestMDTGet.java</t>
  </si>
  <si>
    <t>JodaTime/src/test/org/joda/test/time/TestMDTSet.java</t>
  </si>
  <si>
    <t>JodaTime/src/test/org/joda/time/TestDurationType.java</t>
  </si>
  <si>
    <t>JodaTime/src/test/org/joda/time/TestDuration_Basics.java</t>
  </si>
  <si>
    <t>JodaTime/src/test/org/joda/time/convert/TestLongConverter.java</t>
  </si>
  <si>
    <t>JodaTime/src/test/org/joda/time/convert/TestNullConverter.java</t>
  </si>
  <si>
    <t>JodaTime/src/test/org/joda/time/convert/TestReadableDurationConverter.java</t>
  </si>
  <si>
    <t>JodaTime/src/test/org/joda/time/convert/TestReadableIntervalConverter.java</t>
  </si>
  <si>
    <t>JodaTime/src/test/org/joda/time/convert/TestStringConverter.java</t>
  </si>
  <si>
    <t>JodaTime/src/test/org/joda/time/TestDuration_Constructors.java</t>
  </si>
  <si>
    <t>JodaTime/src/test/org/joda/time/TestInterval_Basics.java</t>
  </si>
  <si>
    <t>JodaTime/src/test/org/joda/time/TestMutableInterval_Basics.java</t>
  </si>
  <si>
    <t>JodaTime/src/test/org/joda/time/TestDateMidnight_Basics.java</t>
  </si>
  <si>
    <t>JodaTime/src/test/org/joda/time/TestDateTime_Basics.java</t>
  </si>
  <si>
    <t>JodaTime/src/test/org/joda/time/TestPeriod_Basics.java</t>
  </si>
  <si>
    <t>JodaTime/src/test/org/joda/time/TestMutableDateTime_Adds.java</t>
  </si>
  <si>
    <t>JodaTime/src/test/org/joda/time/TestMutableDateTime_Sets.java</t>
  </si>
  <si>
    <t>JodaTime/src/test/org/joda/time/TestMutableDateTime_Basics.java</t>
  </si>
  <si>
    <t>JodaTime/src/test/org/joda/test/time/TestBuddhistChronology.java</t>
  </si>
  <si>
    <t>JodaTime/src/test/org/joda/test/time/buddhist/TestBuddhistEraDateTimeField.java</t>
  </si>
  <si>
    <t>JodaTime/src/test/org/joda/test/time/gj/TestGJYearDateTimeField.java</t>
  </si>
  <si>
    <t>JodaTime/src/test/org/joda/time/TestChronology.java</t>
  </si>
  <si>
    <t>JodaTime/src/test/org/joda/time/format/TestPeriodFormatterBuilder.java</t>
  </si>
  <si>
    <t>JodaTime/src/test/org/joda/time/TestMutablePeriod_Basics.java</t>
  </si>
  <si>
    <t>JodaTime/src/test/org/joda/time/TestMutablePeriod_Updates.java</t>
  </si>
  <si>
    <t>JodaTime/src/test/org/joda/time/TestPeriodType.java</t>
  </si>
  <si>
    <t>JodaTime/src/test/org/joda/time/convert/TestReadablePeriodConverter.java</t>
  </si>
  <si>
    <t>JodaTime/src/test/org/joda/time/TestDateTimeUtils.java</t>
  </si>
  <si>
    <t>JodaTime/src/test/org/joda/time/TestInstant_Basics.java</t>
  </si>
  <si>
    <t>JodaTime/src/test/org/joda/time/TestTimeOfDay.java</t>
  </si>
  <si>
    <t>JodaTime/src/test/org/joda/time/TestYearMonthDay.java</t>
  </si>
  <si>
    <t>JodaTime/src/test/org/joda/time/TestTimeOfDay_Constructors.java</t>
  </si>
  <si>
    <t>JodaTime/src/test/org/joda/time/TestYearMonthDay_Constructors.java</t>
  </si>
  <si>
    <t>JodaTime/src/test/org/joda/time/convert/TestCalendarConverter.java</t>
  </si>
  <si>
    <t>JodaTime/src/test/org/joda/time/convert/TestDateConverter.java</t>
  </si>
  <si>
    <t>JodaTime/src/test/org/joda/time/convert/TestReadableInstantConverter.java</t>
  </si>
  <si>
    <t>JodaTime/src/test/org/joda/time/TestDateTimeFieldType.java</t>
  </si>
  <si>
    <t>JodaTime/src/test/org/joda/time/format/TestDateTimeFormatter.java</t>
  </si>
  <si>
    <t>JodaTime/src/test/org/joda/time/TestChronologyType.java</t>
  </si>
  <si>
    <t>JodaTime/src/test/org/joda/time/TestDateTimeZone.java</t>
  </si>
  <si>
    <t>JodaTime/src/test/org/joda/time/TestLocalTime_Constructors.java</t>
  </si>
  <si>
    <t>JodaTime/src/test/org/joda/time/TestDateTimeZoneCutover.java</t>
  </si>
  <si>
    <t>JodaTime/src/test/org/joda/time/TestLocalDate_Basics.java</t>
  </si>
  <si>
    <t>JodaTimeContrib/gwt/src/test/gwt/org/joda/time/TestDateMidnight_Basics.java</t>
  </si>
  <si>
    <t>JodaTimeContrib/gwt/src/test/gwt/org/joda/time/TestDateTimeComparator.java</t>
  </si>
  <si>
    <t>JodaTimeContrib/gwt/src/test/gwt/org/joda/time/TestDateTimeConstants.java</t>
  </si>
  <si>
    <t>JodaTimeContrib/gwt/src/test/gwt/org/joda/time/TestDateTimeFieldType.java</t>
  </si>
  <si>
    <t>JodaTimeContrib/gwt/src/test/gwt/org/joda/time/TestDateTimeUtils.java</t>
  </si>
  <si>
    <t>JodaTimeContrib/gwt/src/test/gwt/org/joda/time/TestDateTimeZone.java</t>
  </si>
  <si>
    <t>JodaTimeContrib/gwt/src/test/gwt/org/joda/time/TestDateTime_Basics.java</t>
  </si>
  <si>
    <t>JodaTimeContrib/gwt/src/test/gwt/org/joda/time/TestDays.java</t>
  </si>
  <si>
    <t>JodaTimeContrib/gwt/src/test/gwt/org/joda/time/TestDurationFieldType.java</t>
  </si>
  <si>
    <t>JodaTimeContrib/gwt/src/test/gwt/org/joda/time/TestDuration_Basics.java</t>
  </si>
  <si>
    <t>JodaTimeContrib/gwt/src/test/gwt/org/joda/time/TestHours.java</t>
  </si>
  <si>
    <t>JodaTimeContrib/gwt/src/test/gwt/org/joda/time/TestInstant_Basics.java</t>
  </si>
  <si>
    <t>JodaTimeContrib/gwt/src/test/gwt/org/joda/time/TestInterval_Basics.java</t>
  </si>
  <si>
    <t>JodaTimeContrib/gwt/src/test/gwt/org/joda/time/TestLocalDateTime_Basics.java</t>
  </si>
  <si>
    <t>JodaTimeContrib/gwt/src/test/gwt/org/joda/time/TestLocalDate_Basics.java</t>
  </si>
  <si>
    <t>JodaTimeContrib/gwt/src/test/gwt/org/joda/time/TestLocalTime_Basics.java</t>
  </si>
  <si>
    <t>JodaTimeContrib/gwt/src/test/gwt/org/joda/time/TestMinutes.java</t>
  </si>
  <si>
    <t>JodaTimeContrib/gwt/src/test/gwt/org/joda/time/TestMonths.java</t>
  </si>
  <si>
    <t>JodaTimeContrib/gwt/src/test/gwt/org/joda/time/TestMutableDateTime_Basics.java</t>
  </si>
  <si>
    <t>JodaTimeContrib/gwt/src/test/gwt/org/joda/time/TestMutableInterval_Basics.java</t>
  </si>
  <si>
    <t>JodaTimeContrib/gwt/src/test/gwt/org/joda/time/TestMutablePeriod_Basics.java</t>
  </si>
  <si>
    <t>JodaTimeContrib/gwt/src/test/gwt/org/joda/time/TestPartial_Basics.java</t>
  </si>
  <si>
    <t>JodaTimeContrib/gwt/src/test/gwt/org/joda/time/TestPeriod_Basics.java</t>
  </si>
  <si>
    <t>JodaTimeContrib/gwt/src/test/gwt/org/joda/time/TestSeconds.java</t>
  </si>
  <si>
    <t>JodaTimeContrib/gwt/src/test/gwt/org/joda/time/TestSerialization.java</t>
  </si>
  <si>
    <t>JodaTimeContrib/gwt/src/test/gwt/org/joda/time/TestTimeOfDay_Basics.java</t>
  </si>
  <si>
    <t>JodaTimeContrib/gwt/src/test/gwt/org/joda/time/TestWeeks.java</t>
  </si>
  <si>
    <t>JodaTimeContrib/gwt/src/test/gwt/org/joda/time/TestYearMonthDay_Basics.java</t>
  </si>
  <si>
    <t>JodaTimeContrib/gwt/src/test/gwt/org/joda/time/TestYears.java</t>
  </si>
  <si>
    <t>JodaTimeContrib/gwt/src/test/gwt/org/joda/time/convert/TestCalendarConverter.java</t>
  </si>
  <si>
    <t>JodaTimeContrib/gwt/src/test/gwt/org/joda/time/convert/TestConverterManager.java</t>
  </si>
  <si>
    <t>JodaTimeContrib/gwt/src/test/gwt/org/joda/time/convert/TestConverterSet.java</t>
  </si>
  <si>
    <t>JodaTimeContrib/gwt/src/test/gwt/org/joda/time/convert/TestDateConverter.java</t>
  </si>
  <si>
    <t>JodaTimeContrib/gwt/src/test/gwt/org/joda/time/convert/TestLongConverter.java</t>
  </si>
  <si>
    <t>JodaTimeContrib/gwt/src/test/gwt/org/joda/time/convert/TestNullConverter.java</t>
  </si>
  <si>
    <t>JodaTimeContrib/gwt/src/test/gwt/org/joda/time/convert/TestReadableDurationConverter.java</t>
  </si>
  <si>
    <t>JodaTimeContrib/gwt/src/test/gwt/org/joda/time/convert/TestReadableInstantConverter.java</t>
  </si>
  <si>
    <t>JodaTimeContrib/gwt/src/test/gwt/org/joda/time/convert/TestReadableIntervalConverter.java</t>
  </si>
  <si>
    <t>JodaTimeContrib/gwt/src/test/gwt/org/joda/time/convert/TestReadablePartialConverter.java</t>
  </si>
  <si>
    <t>JodaTimeContrib/gwt/src/test/gwt/org/joda/time/convert/TestReadablePeriodConverter.java</t>
  </si>
  <si>
    <t>JodaTimeContrib/gwt/src/test/gwt/org/joda/time/convert/TestStringConverter.java</t>
  </si>
  <si>
    <t>JodaTimeContrib/gwt/src/test/gwt/org/joda/time/field/TestMillisDurationField.java</t>
  </si>
  <si>
    <t>JodaTimeContrib/gwt/src/test/gwt/org/joda/time/field/TestPreciseDurationField.java</t>
  </si>
  <si>
    <t>JodaTimeContrib/gwt/src/test/gwt/org/joda/time/field/TestScaledDurationField.java</t>
  </si>
  <si>
    <t>JodaTimeContrib/gwt/src/test/gwt/org/joda/time/format/TestDateTimeFormatStyle.java</t>
  </si>
  <si>
    <t>JodaTimeContrib/gwt/src/test/gwt/org/joda/time/tz/TestBuilder.java</t>
  </si>
  <si>
    <t>JodaTimeContrib/gwt/src/test/gwt/org/joda/time/tz/TestCompiler.java</t>
  </si>
  <si>
    <t>JodaTimeContrib/gwt/src/test/gwt/org/joda/time/tz/TestUTCProvider.java</t>
  </si>
  <si>
    <t>JodaTimeContrib/gwt/src/test/gwt/org/joda/time/chrono/gj/MainTest.java</t>
  </si>
  <si>
    <t>JodaTime/src/test/java/org/joda/time/TestMonthDay_Constructors.java</t>
  </si>
  <si>
    <t>JodaTime/src/test/java/org/joda/time/TestYearMonth_Constructors.java</t>
  </si>
  <si>
    <t>src/test/java/org/joda/time/TestParseISO.java</t>
  </si>
  <si>
    <t>src/test/java/org/joda/time/TestDateTime_Constructors.java</t>
  </si>
  <si>
    <t>src/test/java/org/joda/time/tz/TestZoneInfoCompiler.java</t>
  </si>
  <si>
    <t>src/test/java/org/joda/time/format/TestPeriodFormat.java</t>
  </si>
  <si>
    <t>TestDateTimeFormat.java</t>
  </si>
  <si>
    <t>TestDateTimeFormatterBuilder.java</t>
  </si>
  <si>
    <t>TestDateTimeParserBucket.java</t>
  </si>
  <si>
    <t>TestTimePeriod.java</t>
  </si>
  <si>
    <t>TestTimePeriodFormat.java</t>
  </si>
  <si>
    <t>TestConstructors.java</t>
  </si>
  <si>
    <t>TestInstant.java</t>
  </si>
  <si>
    <t>TestMDTAdd.java</t>
  </si>
  <si>
    <t>TestMDTAddWrapped.java</t>
  </si>
  <si>
    <t>TestMDTGet.java</t>
  </si>
  <si>
    <t>TestMDTSet.java</t>
  </si>
  <si>
    <t>TestDurationType.java</t>
  </si>
  <si>
    <t>TestDuration_Basics.java</t>
  </si>
  <si>
    <t>TestLongConverter.java</t>
  </si>
  <si>
    <t>TestNullConverter.java</t>
  </si>
  <si>
    <t>TestReadableDurationConverter.java</t>
  </si>
  <si>
    <t>TestReadableIntervalConverter.java</t>
  </si>
  <si>
    <t>TestStringConverter.java</t>
  </si>
  <si>
    <t>TestDuration_Constructors.java</t>
  </si>
  <si>
    <t>TestInterval_Basics.java</t>
  </si>
  <si>
    <t>TestMutableInterval_Basics.java</t>
  </si>
  <si>
    <t>TestDateMidnight_Basics.java</t>
  </si>
  <si>
    <t>TestDateTime_Basics.java</t>
  </si>
  <si>
    <t>TestPeriod_Basics.java</t>
  </si>
  <si>
    <t>TestMutableDateTime_Adds.java</t>
  </si>
  <si>
    <t>TestMutableDateTime_Sets.java</t>
  </si>
  <si>
    <t>TestMutableDateTime_Basics.java</t>
  </si>
  <si>
    <t>TestBuddhistChronology.java</t>
  </si>
  <si>
    <t>TestBuddhistEraDateTimeField.java</t>
  </si>
  <si>
    <t>TestGJYearDateTimeField.java</t>
  </si>
  <si>
    <t>TestChronology.java</t>
  </si>
  <si>
    <t>TestPeriodFormatterBuilder.java</t>
  </si>
  <si>
    <t>TestMutablePeriod_Basics.java</t>
  </si>
  <si>
    <t>TestMutablePeriod_Updates.java</t>
  </si>
  <si>
    <t>TestPeriodType.java</t>
  </si>
  <si>
    <t>TestReadablePeriodConverter.java</t>
  </si>
  <si>
    <t>TestDateTimeUtils.java</t>
  </si>
  <si>
    <t>TestInstant_Basics.java</t>
  </si>
  <si>
    <t>TestTimeOfDay.java</t>
  </si>
  <si>
    <t>TestYearMonthDay.java</t>
  </si>
  <si>
    <t>TestTimeOfDay_Constructors.java</t>
  </si>
  <si>
    <t>TestYearMonthDay_Constructors.java</t>
  </si>
  <si>
    <t>TestCalendarConverter.java</t>
  </si>
  <si>
    <t>TestDateConverter.java</t>
  </si>
  <si>
    <t>TestReadableInstantConverter.java</t>
  </si>
  <si>
    <t>TestDateTimeFieldType.java</t>
  </si>
  <si>
    <t>TestDateTimeFormatter.java</t>
  </si>
  <si>
    <t>TestChronologyType.java</t>
  </si>
  <si>
    <t>TestDateTimeZone.java</t>
  </si>
  <si>
    <t>TestLocalTime_Constructors.java</t>
  </si>
  <si>
    <t>TestDateTimeZoneCutover.java</t>
  </si>
  <si>
    <t>TestLocalDate_Basics.java</t>
  </si>
  <si>
    <t>TestDateTimeComparator.java</t>
  </si>
  <si>
    <t>TestDateTimeConstants.java</t>
  </si>
  <si>
    <t>TestDays.java</t>
  </si>
  <si>
    <t>TestDurationFieldType.java</t>
  </si>
  <si>
    <t>TestHours.java</t>
  </si>
  <si>
    <t>TestLocalDateTime_Basics.java</t>
  </si>
  <si>
    <t>TestLocalTime_Basics.java</t>
  </si>
  <si>
    <t>TestMinutes.java</t>
  </si>
  <si>
    <t>TestMonths.java</t>
  </si>
  <si>
    <t>TestPartial_Basics.java</t>
  </si>
  <si>
    <t>TestSeconds.java</t>
  </si>
  <si>
    <t>TestSerialization.java</t>
  </si>
  <si>
    <t>TestTimeOfDay_Basics.java</t>
  </si>
  <si>
    <t>TestWeeks.java</t>
  </si>
  <si>
    <t>TestYearMonthDay_Basics.java</t>
  </si>
  <si>
    <t>TestYears.java</t>
  </si>
  <si>
    <t>TestConverterManager.java</t>
  </si>
  <si>
    <t>TestConverterSet.java</t>
  </si>
  <si>
    <t>TestReadablePartialConverter.java</t>
  </si>
  <si>
    <t>TestMillisDurationField.java</t>
  </si>
  <si>
    <t>TestPreciseDurationField.java</t>
  </si>
  <si>
    <t>TestScaledDurationField.java</t>
  </si>
  <si>
    <t>TestDateTimeFormatStyle.java</t>
  </si>
  <si>
    <t>TestBuilder.java</t>
  </si>
  <si>
    <t>TestCompiler.java</t>
  </si>
  <si>
    <t>TestUTCProvider.java</t>
  </si>
  <si>
    <t>MainTest.java</t>
  </si>
  <si>
    <t>TestMonthDay_Constructors.java</t>
  </si>
  <si>
    <t>TestYearMonth_Constructors.java</t>
  </si>
  <si>
    <t>TestParseISO.java</t>
  </si>
  <si>
    <t>TestDateTime_Constructors.java</t>
  </si>
  <si>
    <t>TestZoneInfoCompiler.java</t>
  </si>
  <si>
    <t>TestPeriodFormat.java</t>
  </si>
  <si>
    <t>testGetDateTimeInstance</t>
  </si>
  <si>
    <t>testGetPattern</t>
  </si>
  <si>
    <t>testGetChronology</t>
  </si>
  <si>
    <t>testGetTimeZone</t>
  </si>
  <si>
    <t>testGetLocale</t>
  </si>
  <si>
    <t>testGetPrinter</t>
  </si>
  <si>
    <t>testGetParser</t>
  </si>
  <si>
    <t>testEstimatePrintedLength</t>
  </si>
  <si>
    <t>testPrintToSLL</t>
  </si>
  <si>
    <t>testPrintToWLL</t>
  </si>
  <si>
    <t>testPrintToSBRI</t>
  </si>
  <si>
    <t>testPrintToSBL</t>
  </si>
  <si>
    <t>testPrintToWRI</t>
  </si>
  <si>
    <t>testPrintToWL</t>
  </si>
  <si>
    <t>testPrintRI</t>
  </si>
  <si>
    <t>testPrintL</t>
  </si>
  <si>
    <t>testEstimateParsedLength</t>
  </si>
  <si>
    <t>testParseIntoPBSI</t>
  </si>
  <si>
    <t>testParseIntoRWIS</t>
  </si>
  <si>
    <t>testParseIntoRWISI</t>
  </si>
  <si>
    <t>testParseS</t>
  </si>
  <si>
    <t>testParseSL</t>
  </si>
  <si>
    <t>testGetInstanceTZ</t>
  </si>
  <si>
    <t>testGetInstanceTZL</t>
  </si>
  <si>
    <t>testGetInstanceC</t>
  </si>
  <si>
    <t>testGetInstanceCL</t>
  </si>
  <si>
    <t>testForPattern</t>
  </si>
  <si>
    <t>testForStyle</t>
  </si>
  <si>
    <t>testGetPatternForStyle</t>
  </si>
  <si>
    <t>testToPrinter</t>
  </si>
  <si>
    <t>testToParser</t>
  </si>
  <si>
    <t>testToFormatter</t>
  </si>
  <si>
    <t>testCanBuildPrinter</t>
  </si>
  <si>
    <t>testCanBuildParser</t>
  </si>
  <si>
    <t>testCanBuilderFormatter</t>
  </si>
  <si>
    <t>testAppendDTF</t>
  </si>
  <si>
    <t>testAppendDTPE</t>
  </si>
  <si>
    <t>testAppendLiteralC</t>
  </si>
  <si>
    <t>testAppendLiteralS</t>
  </si>
  <si>
    <t>testAppendNumeric</t>
  </si>
  <si>
    <t>testAppendSignedNumeric</t>
  </si>
  <si>
    <t>testAppendFraction</t>
  </si>
  <si>
    <t>testAppendFractionOfSecond</t>
  </si>
  <si>
    <t>testAppendFractionOfMinute</t>
  </si>
  <si>
    <t>testAppendFractionOfHour</t>
  </si>
  <si>
    <t>testAppendFractionOfDay</t>
  </si>
  <si>
    <t>testAppendMillisOfSecond</t>
  </si>
  <si>
    <t>testAppendMillisOfDay</t>
  </si>
  <si>
    <t>testAppendSecondOfMinute</t>
  </si>
  <si>
    <t>testAppendSecondOfDay</t>
  </si>
  <si>
    <t>testAppendMinuteOfHour</t>
  </si>
  <si>
    <t>testAppendMinuteOfDay</t>
  </si>
  <si>
    <t>testAppendHourOfDay</t>
  </si>
  <si>
    <t>testAppendClockhourOfDay</t>
  </si>
  <si>
    <t>testAppendHourOfHalfday</t>
  </si>
  <si>
    <t>testAppendClockhourOfHalfday</t>
  </si>
  <si>
    <t>testAppendDayOfWeek</t>
  </si>
  <si>
    <t>testAppendDayOfMonth</t>
  </si>
  <si>
    <t>testAppendDayOfYear</t>
  </si>
  <si>
    <t>testAppendWeekOfYearWeek</t>
  </si>
  <si>
    <t>testAppendWeekOfYearYear</t>
  </si>
  <si>
    <t>testAppendMonthOfYear</t>
  </si>
  <si>
    <t>testAppendYear</t>
  </si>
  <si>
    <t>testAppendYearOfEra</t>
  </si>
  <si>
    <t>testAppendYearOfCentury</t>
  </si>
  <si>
    <t>testAppendCentury</t>
  </si>
  <si>
    <t>testAppendCenturyOfEra</t>
  </si>
  <si>
    <t>testAppendAmPmSymbol</t>
  </si>
  <si>
    <t>testAppendDayOfWeekSymbol</t>
  </si>
  <si>
    <t>testAppendDayOfWeekShortSymbol</t>
  </si>
  <si>
    <t>testAppendMonthOfYearSymbol</t>
  </si>
  <si>
    <t>testAppendMonthOfYearShortSymbol</t>
  </si>
  <si>
    <t>testAppendEraSymbol</t>
  </si>
  <si>
    <t>testAppendTimeZoneSymbol</t>
  </si>
  <si>
    <t>testAppendTimeZoneShortSymbol</t>
  </si>
  <si>
    <t>testAppendTimeZoneOffset</t>
  </si>
  <si>
    <t>testAppendPattern</t>
  </si>
  <si>
    <t>testSetMillis</t>
  </si>
  <si>
    <t>testSaveField</t>
  </si>
  <si>
    <t>testSetTimeZone</t>
  </si>
  <si>
    <t>testSetTimeZoneOffset</t>
  </si>
  <si>
    <t>testGetTimeZoneOffset</t>
  </si>
  <si>
    <t>testComputeMillis</t>
  </si>
  <si>
    <t>testGetMillis</t>
  </si>
  <si>
    <t>testGetStartInstant</t>
  </si>
  <si>
    <t>testGetEndInstant</t>
  </si>
  <si>
    <t>testToTimePeriod</t>
  </si>
  <si>
    <t>testGetTotalSeconds</t>
  </si>
  <si>
    <t>testGetTotalMinutes</t>
  </si>
  <si>
    <t>testGetTotalHours</t>
  </si>
  <si>
    <t>testGetTotalDays</t>
  </si>
  <si>
    <t>testGetTotalMonths</t>
  </si>
  <si>
    <t>testGetTotalWeeks</t>
  </si>
  <si>
    <t>testGetSeconds</t>
  </si>
  <si>
    <t>testGetMinutes</t>
  </si>
  <si>
    <t>testGetHours</t>
  </si>
  <si>
    <t>testGetDays</t>
  </si>
  <si>
    <t>testGetMonths</t>
  </si>
  <si>
    <t>testGetYears</t>
  </si>
  <si>
    <t>testIsLongerThan</t>
  </si>
  <si>
    <t>testIsShorterThan</t>
  </si>
  <si>
    <t>testParseObject</t>
  </si>
  <si>
    <t>testDateOnlyConstructors</t>
  </si>
  <si>
    <t>testTimeOnlyConstructors</t>
  </si>
  <si>
    <t>testDateTimeConstructors</t>
  </si>
  <si>
    <t>testCurrentTimeConstructor</t>
  </si>
  <si>
    <t>testMillisConstructor</t>
  </si>
  <si>
    <t>testReadableInstantConstructor</t>
  </si>
  <si>
    <t>testReadableInstantConstructorEx</t>
  </si>
  <si>
    <t>testDateConstructor</t>
  </si>
  <si>
    <t>testDateConstructorEx</t>
  </si>
  <si>
    <t>testCalendarConstructor</t>
  </si>
  <si>
    <t>testCalendarConstructorEx</t>
  </si>
  <si>
    <t>testStringConstructor</t>
  </si>
  <si>
    <t>testStringConstructorEx</t>
  </si>
  <si>
    <t>testToInstant</t>
  </si>
  <si>
    <t>testAddMillis</t>
  </si>
  <si>
    <t>testLast</t>
  </si>
  <si>
    <t>testFailure</t>
  </si>
  <si>
    <t>testGetDayOfWeek</t>
  </si>
  <si>
    <t>testGetDayOfMonth</t>
  </si>
  <si>
    <t>testGetDayOfYear</t>
  </si>
  <si>
    <t>testGetWeekOfWeekyear</t>
  </si>
  <si>
    <t>testGetYearOfWeekyear</t>
  </si>
  <si>
    <t>testGetMonthOfYear</t>
  </si>
  <si>
    <t>testGetYear</t>
  </si>
  <si>
    <t>testGetMillisOfSecond</t>
  </si>
  <si>
    <t>testGetMillisOfDay</t>
  </si>
  <si>
    <t>testGetSecondOfMinute</t>
  </si>
  <si>
    <t>testGetSecondOfDay</t>
  </si>
  <si>
    <t>testGetMinuteOfHour</t>
  </si>
  <si>
    <t>testGetMinuteOfDay</t>
  </si>
  <si>
    <t>testGetHourOfDay</t>
  </si>
  <si>
    <t>testDayOfWeek</t>
  </si>
  <si>
    <t>testDayOfMonth</t>
  </si>
  <si>
    <t>testDayOfYear</t>
  </si>
  <si>
    <t>testWeekOfWeekyear</t>
  </si>
  <si>
    <t>testWeekyear</t>
  </si>
  <si>
    <t>testMonthOfYear</t>
  </si>
  <si>
    <t>testYear</t>
  </si>
  <si>
    <t>testMillisOfSecond</t>
  </si>
  <si>
    <t>testMillisOfDay</t>
  </si>
  <si>
    <t>testSecondOfMinute</t>
  </si>
  <si>
    <t>testSecondOfDay</t>
  </si>
  <si>
    <t>testMinuteOfHour</t>
  </si>
  <si>
    <t>testMinuteOfDay</t>
  </si>
  <si>
    <t>testHourOfDay</t>
  </si>
  <si>
    <t>testSetMillisL</t>
  </si>
  <si>
    <t>testSetMillisO</t>
  </si>
  <si>
    <t>testSetDTFI</t>
  </si>
  <si>
    <t>testSetDateL</t>
  </si>
  <si>
    <t>testSetDateO</t>
  </si>
  <si>
    <t>testSetDateIII</t>
  </si>
  <si>
    <t>testSetTimeL</t>
  </si>
  <si>
    <t>testSetTimeO</t>
  </si>
  <si>
    <t>testSetTimeIIII</t>
  </si>
  <si>
    <t>testSetDateTimeL</t>
  </si>
  <si>
    <t>testSetDateTimeO</t>
  </si>
  <si>
    <t>testSetDateTimeIs</t>
  </si>
  <si>
    <t>testSetYear</t>
  </si>
  <si>
    <t>testSetMonthOfYear</t>
  </si>
  <si>
    <t>testSetDayOfMonth</t>
  </si>
  <si>
    <t>testSetHourOfDay</t>
  </si>
  <si>
    <t>testSetMinuteOfHour</t>
  </si>
  <si>
    <t>testSetSecondOfMinute</t>
  </si>
  <si>
    <t>testSetMillisOfSecond</t>
  </si>
  <si>
    <t>testSetDayOfYear</t>
  </si>
  <si>
    <t>testSetDayOfWeek</t>
  </si>
  <si>
    <t>testSetWeekOfYear</t>
  </si>
  <si>
    <t>testAverageYearMonthType</t>
  </si>
  <si>
    <t>testAverageYearMonthType_Chronology</t>
  </si>
  <si>
    <t>testConstant</t>
  </si>
  <si>
    <t>testIsPrecise_Object</t>
  </si>
  <si>
    <t>testGetPeriodType</t>
  </si>
  <si>
    <t>testGetIsPrecise</t>
  </si>
  <si>
    <t>testAddTo1</t>
  </si>
  <si>
    <t>testAddTo2</t>
  </si>
  <si>
    <t>testAddTo3</t>
  </si>
  <si>
    <t>testAddTo4</t>
  </si>
  <si>
    <t>testAddTo5</t>
  </si>
  <si>
    <t>testAddToWithChronology1</t>
  </si>
  <si>
    <t>testAddToWithChronology2</t>
  </si>
  <si>
    <t>testAddToWithChronology3</t>
  </si>
  <si>
    <t>testAddToRI1</t>
  </si>
  <si>
    <t>testAddToRI2</t>
  </si>
  <si>
    <t>testAddToRI3</t>
  </si>
  <si>
    <t>testAddToRI4</t>
  </si>
  <si>
    <t>testAddIntoRWI1</t>
  </si>
  <si>
    <t>testAddIntoRWI2</t>
  </si>
  <si>
    <t>testAddIntoRWI3</t>
  </si>
  <si>
    <t>testToMutableTimePeriod</t>
  </si>
  <si>
    <t>testWithPeriodTypeUsingTotalMillis1</t>
  </si>
  <si>
    <t>testWithPeriodTypeUsingTotalMillis2</t>
  </si>
  <si>
    <t>testWithPeriodTypeUsingTotalMillis3</t>
  </si>
  <si>
    <t>testWithPeriodTypeUsingTotalMillis4</t>
  </si>
  <si>
    <t>testWithPeriodTypeUsingFields2</t>
  </si>
  <si>
    <t>testWithPeriodTypeUsingFields3</t>
  </si>
  <si>
    <t>testWithPeriodTypeUsingFields4</t>
  </si>
  <si>
    <t>testWithFieldsNormalized2</t>
  </si>
  <si>
    <t>testSetDuration_ints</t>
  </si>
  <si>
    <t>testSetTotalMillis_1</t>
  </si>
  <si>
    <t>testSetTotalMillis_2</t>
  </si>
  <si>
    <t>testSetYears</t>
  </si>
  <si>
    <t>testSetMonths</t>
  </si>
  <si>
    <t>testSetWeeks</t>
  </si>
  <si>
    <t>testSetDays</t>
  </si>
  <si>
    <t>testSetHours</t>
  </si>
  <si>
    <t>testSetMinutes</t>
  </si>
  <si>
    <t>testSetSeconds</t>
  </si>
  <si>
    <t>testConstructor_long_PeriodType1</t>
  </si>
  <si>
    <t>testConstructor_long_PeriodType2</t>
  </si>
  <si>
    <t>testConstructor_long_PeriodType3</t>
  </si>
  <si>
    <t>testConstructor_long_PeriodType4</t>
  </si>
  <si>
    <t>testConstructor_4int1</t>
  </si>
  <si>
    <t>testConstructor_8int1</t>
  </si>
  <si>
    <t>testConstructor_8int__PeriodType1</t>
  </si>
  <si>
    <t>testConstructor_8int__PeriodType2</t>
  </si>
  <si>
    <t>testConstructor_8int__PeriodType3</t>
  </si>
  <si>
    <t>testConstructor_long_long2</t>
  </si>
  <si>
    <t>testConstructor_long_long_PeriodType1</t>
  </si>
  <si>
    <t>testConstructor_long_long_PeriodType2</t>
  </si>
  <si>
    <t>testConstructor_long_long_PeriodType3</t>
  </si>
  <si>
    <t>testConstructor_RI_RI5</t>
  </si>
  <si>
    <t>testConstructor_RI_RI_PeriodType1</t>
  </si>
  <si>
    <t>testConstructor_RI_RI_PeriodType2</t>
  </si>
  <si>
    <t>testConstructor_RI_RI_PeriodType3</t>
  </si>
  <si>
    <t>testConstructor_RI_RI_PeriodType4</t>
  </si>
  <si>
    <t>testConstructor_RI_RI_PeriodType5</t>
  </si>
  <si>
    <t>testConstructor_Object_PeriodType1</t>
  </si>
  <si>
    <t>testConstructor_Object_PeriodType2</t>
  </si>
  <si>
    <t>testConstructor_Object_PeriodType3</t>
  </si>
  <si>
    <t>testConstructor_Object_PeriodType4</t>
  </si>
  <si>
    <t>testSetInto_Object</t>
  </si>
  <si>
    <t>testImmutable</t>
  </si>
  <si>
    <t>testSetDuration_RD_1</t>
  </si>
  <si>
    <t>testSetDuration_RD_2</t>
  </si>
  <si>
    <t>testMutable</t>
  </si>
  <si>
    <t>testToInterval2</t>
  </si>
  <si>
    <t>testToMutableInterval2</t>
  </si>
  <si>
    <t>testSetMillisObject</t>
  </si>
  <si>
    <t>testSetChronology</t>
  </si>
  <si>
    <t>testSetZone</t>
  </si>
  <si>
    <t>testSetZoneRetainFields</t>
  </si>
  <si>
    <t>testSetPeriod_RP</t>
  </si>
  <si>
    <t>testSetPeriod_RD</t>
  </si>
  <si>
    <t>testSetPeriod_ints</t>
  </si>
  <si>
    <t>testSetPeriod_1</t>
  </si>
  <si>
    <t>testSetPeriod_2</t>
  </si>
  <si>
    <t>testAdd_Object_int3</t>
  </si>
  <si>
    <t>testAdd_DateTimeField_int1</t>
  </si>
  <si>
    <t>testAddWrapField_DateTimeField_int1</t>
  </si>
  <si>
    <t>testSetDateTime_long1</t>
  </si>
  <si>
    <t>testSetDateTime_Object1</t>
  </si>
  <si>
    <t>testSetDateTime_Object2</t>
  </si>
  <si>
    <t>testToTrustedISOMutableDateTime</t>
  </si>
  <si>
    <t>testEraConstant</t>
  </si>
  <si>
    <t>testGetInstanceUTC</t>
  </si>
  <si>
    <t>testGetInstanceNull</t>
  </si>
  <si>
    <t>testGetInstanceZone</t>
  </si>
  <si>
    <t>testGetInstanceZoneUTC</t>
  </si>
  <si>
    <t>testClockhourOfDay</t>
  </si>
  <si>
    <t>testHourOfHalfday</t>
  </si>
  <si>
    <t>testClockhourOfHalfday</t>
  </si>
  <si>
    <t>testAmPm</t>
  </si>
  <si>
    <t>testWeekOfYearWeek</t>
  </si>
  <si>
    <t>testLeapYear</t>
  </si>
  <si>
    <t>testWeekOfYearYear</t>
  </si>
  <si>
    <t>testYearOfCentury</t>
  </si>
  <si>
    <t>testCenturyOfEra</t>
  </si>
  <si>
    <t>testEra</t>
  </si>
  <si>
    <t>testGetAsTextLocale</t>
  </si>
  <si>
    <t>testGetAsText</t>
  </si>
  <si>
    <t>testGetAsShortTextLocale</t>
  </si>
  <si>
    <t>testGetAsShortText</t>
  </si>
  <si>
    <t>testIsLeapYear</t>
  </si>
  <si>
    <t>testGetLeapAmount</t>
  </si>
  <si>
    <t>testGetISO</t>
  </si>
  <si>
    <t>testGetISOUTC</t>
  </si>
  <si>
    <t>testGetISO_Zone</t>
  </si>
  <si>
    <t>testGetGJ</t>
  </si>
  <si>
    <t>testGetGJUTC</t>
  </si>
  <si>
    <t>testGetGJ_Zone</t>
  </si>
  <si>
    <t>testFormatPrintZeroRarelyFavorLast</t>
  </si>
  <si>
    <t>testToPeriod_PeriodType2</t>
  </si>
  <si>
    <t>testConstructor_Object6</t>
  </si>
  <si>
    <t>testToDurationMillis</t>
  </si>
  <si>
    <t>testToDuration</t>
  </si>
  <si>
    <t>testSetPeriod_long_NoHours</t>
  </si>
  <si>
    <t>testSetPeriod_long_NoMinutes</t>
  </si>
  <si>
    <t>testSetPeriod_long_NoSeconds</t>
  </si>
  <si>
    <t>testAdd_long3</t>
  </si>
  <si>
    <t>testAdd_long4</t>
  </si>
  <si>
    <t>testAdd_RD3</t>
  </si>
  <si>
    <t>testAdd_RD4</t>
  </si>
  <si>
    <t>testNormalize1</t>
  </si>
  <si>
    <t>testNormalize2</t>
  </si>
  <si>
    <t>testMillisType</t>
  </si>
  <si>
    <t>testYearDayType</t>
  </si>
  <si>
    <t>testDayHourTypeUTC</t>
  </si>
  <si>
    <t>testYearDayTypeUTC</t>
  </si>
  <si>
    <t>testYearWeekTypeUTC</t>
  </si>
  <si>
    <t>testYearMonthTypeUTC</t>
  </si>
  <si>
    <t>testAllTypeUTC</t>
  </si>
  <si>
    <t>testPreciseDayHourType</t>
  </si>
  <si>
    <t>testPreciseYearDayType</t>
  </si>
  <si>
    <t>testPreciseYearWeekType</t>
  </si>
  <si>
    <t>testPreciseYearMonthType</t>
  </si>
  <si>
    <t>testPreciseAllType</t>
  </si>
  <si>
    <t>testMaskNullName</t>
  </si>
  <si>
    <t>testAbstract</t>
  </si>
  <si>
    <t>testWithPeriodTypeRetainDuration1</t>
  </si>
  <si>
    <t>testWithPeriodTypeRetainDuration2</t>
  </si>
  <si>
    <t>testWithPeriodTypeRetainDuration3</t>
  </si>
  <si>
    <t>testWithPeriodTypeRetainDuration4</t>
  </si>
  <si>
    <t>testWithFieldsNormalized1</t>
  </si>
  <si>
    <t>testGetPeriodType_Object</t>
  </si>
  <si>
    <t>testGetPeriodMillis_Object</t>
  </si>
  <si>
    <t>testGetInstantChronology_RI_long</t>
  </si>
  <si>
    <t>testAddToRI5</t>
  </si>
  <si>
    <t>testToDurationMillisFrom</t>
  </si>
  <si>
    <t>testToPeriod1</t>
  </si>
  <si>
    <t>testToPeriod_PeriodType1</t>
  </si>
  <si>
    <t>testGetIntervalMillis_Object</t>
  </si>
  <si>
    <t>testToCalendar_Locale</t>
  </si>
  <si>
    <t>testToGregorianCalendar</t>
  </si>
  <si>
    <t>testResolve_long</t>
  </si>
  <si>
    <t>testResolveInto_RWI</t>
  </si>
  <si>
    <t>testResolveInto_nullRWI</t>
  </si>
  <si>
    <t>testToPeriod_PeriodType3</t>
  </si>
  <si>
    <t>testAlways</t>
  </si>
  <si>
    <t>testConstructor_badconverterObject</t>
  </si>
  <si>
    <t>testConstructor_badconverterObject_Chronology</t>
  </si>
  <si>
    <t>testGetInstantMillis_Object</t>
  </si>
  <si>
    <t>testGetInstantMillis_Object_Zone</t>
  </si>
  <si>
    <t>testGetChronology_Object</t>
  </si>
  <si>
    <t>testTest</t>
  </si>
  <si>
    <t>testWithGetMethods</t>
  </si>
  <si>
    <t>test_forName</t>
  </si>
  <si>
    <t>test_getAvailableIDs</t>
  </si>
  <si>
    <t>test_iso</t>
  </si>
  <si>
    <t>test_gj</t>
  </si>
  <si>
    <t>test_gregorian</t>
  </si>
  <si>
    <t>test_julian</t>
  </si>
  <si>
    <t>test_buddhist</t>
  </si>
  <si>
    <t>test_coptic</t>
  </si>
  <si>
    <t>test_ethiopic</t>
  </si>
  <si>
    <t>test_other</t>
  </si>
  <si>
    <t>testWithChronologyType_ChronologyType</t>
  </si>
  <si>
    <t>testGetChronologyType_ChronologyType</t>
  </si>
  <si>
    <t>testSetChronologyType_ChronologyType1</t>
  </si>
  <si>
    <t>testSetChronologyType_ChronologyType2</t>
  </si>
  <si>
    <t>testToDateTime_Calendar</t>
  </si>
  <si>
    <t>testGetMillisJDKKeepLocal</t>
  </si>
  <si>
    <t>testConstructor_Object2_DateTimeZone</t>
  </si>
  <si>
    <t>testGetGregorian</t>
  </si>
  <si>
    <t>testGetGregorianUTC</t>
  </si>
  <si>
    <t>testGetGregorian_Zone</t>
  </si>
  <si>
    <t>testGetJulian</t>
  </si>
  <si>
    <t>testGetJulianUTC</t>
  </si>
  <si>
    <t>testGetJulian_Zone</t>
  </si>
  <si>
    <t>testGetBuddhist</t>
  </si>
  <si>
    <t>testGetBuddhistUTC</t>
  </si>
  <si>
    <t>testGetBuddhist_Zone</t>
  </si>
  <si>
    <t>testGetCoptic</t>
  </si>
  <si>
    <t>testGetCopticUTC</t>
  </si>
  <si>
    <t>testGetCoptic_Zone</t>
  </si>
  <si>
    <t>test_LocalDate_toDateTimeAtMidnight_Gaza</t>
  </si>
  <si>
    <t>test_LocalDate_toDateTimeAtMidnight_Turk</t>
  </si>
  <si>
    <t>testToDateTimeAtMidnight</t>
  </si>
  <si>
    <t>testToDateTimeAtMidnight_Zone</t>
  </si>
  <si>
    <t>testToDateTimeAtMidnight_nullZone</t>
  </si>
  <si>
    <t>testClass</t>
  </si>
  <si>
    <t>testSystemMillisSecurity</t>
  </si>
  <si>
    <t>testFixedMillisSecurity</t>
  </si>
  <si>
    <t>testOffsetMillisSecurity</t>
  </si>
  <si>
    <t>testDefaultSecurity</t>
  </si>
  <si>
    <t>testProvider</t>
  </si>
  <si>
    <t>testProviderSecurity</t>
  </si>
  <si>
    <t>testNameProvider</t>
  </si>
  <si>
    <t>testNameProviderSecurity</t>
  </si>
  <si>
    <t>testToStandardWeeks</t>
  </si>
  <si>
    <t>testToStandardHours</t>
  </si>
  <si>
    <t>testToStandardMinutes</t>
  </si>
  <si>
    <t>testToStandardDuration</t>
  </si>
  <si>
    <t>testToStandardDays</t>
  </si>
  <si>
    <t>testSerializedInstant</t>
  </si>
  <si>
    <t>testSerializedDateTime</t>
  </si>
  <si>
    <t>testSerializedDateTimeProperty</t>
  </si>
  <si>
    <t>testSerializedMutableDateTime</t>
  </si>
  <si>
    <t>testSerializedMutableDateTimeProperty</t>
  </si>
  <si>
    <t>testSerializedDateMidnight</t>
  </si>
  <si>
    <t>testSerializedDateMidnightProperty</t>
  </si>
  <si>
    <t>testSerializedYearMonthDay</t>
  </si>
  <si>
    <t>testSerializedTimeOfDay</t>
  </si>
  <si>
    <t>testSerializedDateTimeZoneUTC</t>
  </si>
  <si>
    <t>testSerializedDateTimeZone</t>
  </si>
  <si>
    <t>testSerializedCopticChronology</t>
  </si>
  <si>
    <t>testSerializedISOChronology</t>
  </si>
  <si>
    <t>testSerializedGJChronology</t>
  </si>
  <si>
    <t>testSerializedGJChronologyChangedInternals</t>
  </si>
  <si>
    <t>testSerializedGregorianChronology</t>
  </si>
  <si>
    <t>testSerializedJulianChronology</t>
  </si>
  <si>
    <t>testSerializedBuddhistChronology</t>
  </si>
  <si>
    <t>testSerializedPeriodType</t>
  </si>
  <si>
    <t>testSerializedDateTimeFieldType</t>
  </si>
  <si>
    <t>testSerializedUnsupportedDateTimeField</t>
  </si>
  <si>
    <t>testSingleton</t>
  </si>
  <si>
    <t>testAddInstantConverterSecurity</t>
  </si>
  <si>
    <t>testRemoveInstantConverterSecurity</t>
  </si>
  <si>
    <t>testAddPartialConverterSecurity</t>
  </si>
  <si>
    <t>testRemovePartialConverterSecurity</t>
  </si>
  <si>
    <t>testAddDurationConverterSecurity</t>
  </si>
  <si>
    <t>testRemoveDurationConverterSecurity</t>
  </si>
  <si>
    <t>testAddPeriodConverterSecurity</t>
  </si>
  <si>
    <t>testRemovePeriodConverterSecurity</t>
  </si>
  <si>
    <t>testAddIntervalConverterSecurity</t>
  </si>
  <si>
    <t>testRemoveIntervalConverterSecurity</t>
  </si>
  <si>
    <t>testForStyle_stringLengths</t>
  </si>
  <si>
    <t>testForStyle_invalidStrings</t>
  </si>
  <si>
    <t>testForStyle_shortDate</t>
  </si>
  <si>
    <t>testForStyle_shortTime</t>
  </si>
  <si>
    <t>testForStyle_shortDateTime</t>
  </si>
  <si>
    <t>testForStyle_mediumDate</t>
  </si>
  <si>
    <t>testForStyle_mediumTime</t>
  </si>
  <si>
    <t>testForStyle_mediumDateTime</t>
  </si>
  <si>
    <t>testForStyle_longDate</t>
  </si>
  <si>
    <t>testForStyle_longTime</t>
  </si>
  <si>
    <t>testForStyle_longDateTime</t>
  </si>
  <si>
    <t>testForStyle_fullDate</t>
  </si>
  <si>
    <t>testForStyle_fullTime</t>
  </si>
  <si>
    <t>testForStyle_fullDateTime</t>
  </si>
  <si>
    <t>testForStyle_shortMediumDateTime</t>
  </si>
  <si>
    <t>testForStyle_shortLongDateTime</t>
  </si>
  <si>
    <t>testForStyle_shortFullDateTime</t>
  </si>
  <si>
    <t>testForStyle_mediumShortDateTime</t>
  </si>
  <si>
    <t>testForStyle_mediumLongDateTime</t>
  </si>
  <si>
    <t>testForStyle_mediumFullDateTime</t>
  </si>
  <si>
    <t>testFixed</t>
  </si>
  <si>
    <t>testCompile</t>
  </si>
  <si>
    <t>testChronology</t>
  </si>
  <si>
    <t>testConstructor_ObjectString2</t>
  </si>
  <si>
    <t>testConstructor_ObjectString3</t>
  </si>
  <si>
    <t>testConstructor_ObjectString4</t>
  </si>
  <si>
    <t>testSpecCompleteDate</t>
  </si>
  <si>
    <t>testSpecReducedPrecisionCYM</t>
  </si>
  <si>
    <t>testSpecReducedPrecisionCY</t>
  </si>
  <si>
    <t>testSpecReducedPrecisionC</t>
  </si>
  <si>
    <t>testSpecTruncatedYMD</t>
  </si>
  <si>
    <t>testSpecTruncatedYM</t>
  </si>
  <si>
    <t>testSpecTruncatedY</t>
  </si>
  <si>
    <t>testSpecTruncatedMD</t>
  </si>
  <si>
    <t>testSpecTruncatedM</t>
  </si>
  <si>
    <t>testSpecTruncatedD</t>
  </si>
  <si>
    <t>testSpecExpandedCYMD</t>
  </si>
  <si>
    <t>testSpecExpandedCYM</t>
  </si>
  <si>
    <t>testSpecExpandedCY</t>
  </si>
  <si>
    <t>testSpecExpandedC</t>
  </si>
  <si>
    <t>testSpecOrdinalComplete</t>
  </si>
  <si>
    <t>testSpecOrdinalTruncatedYD</t>
  </si>
  <si>
    <t>testSpecOrdinalTruncatedD</t>
  </si>
  <si>
    <t>testSpecOrdinalExpandedYD</t>
  </si>
  <si>
    <t>testSpecWeekComplete</t>
  </si>
  <si>
    <t>testSpecWeekReducedPrecision</t>
  </si>
  <si>
    <t>testSpecWeekTruncatedYWD</t>
  </si>
  <si>
    <t>testSpecWeekTruncatedYW</t>
  </si>
  <si>
    <t>testSpecWeekTruncatedDWD</t>
  </si>
  <si>
    <t>testSpecWeekTruncatedDW</t>
  </si>
  <si>
    <t>testSpecWeekTruncatedWD</t>
  </si>
  <si>
    <t>testSpecWeekTruncatedW</t>
  </si>
  <si>
    <t>testSpecWeekTruncatedD</t>
  </si>
  <si>
    <t>testSpecWeekExpandedYWD</t>
  </si>
  <si>
    <t>testSpecTimeComplete</t>
  </si>
  <si>
    <t>testSpecTimeReducedPrecisionHM</t>
  </si>
  <si>
    <t>testSpecTimeReducedPrecisionH</t>
  </si>
  <si>
    <t>testSpecTimeFractionalHMS</t>
  </si>
  <si>
    <t>testSpecTimeFractionalHM</t>
  </si>
  <si>
    <t>testSpecTimeFractionalH</t>
  </si>
  <si>
    <t>testSpecTimeTruncatedMS</t>
  </si>
  <si>
    <t>testSpecTimeTruncatedM</t>
  </si>
  <si>
    <t>testSpecTimeTruncatedS</t>
  </si>
  <si>
    <t>testSpecTimeTruncatedFractionMS</t>
  </si>
  <si>
    <t>testSpecTimeTruncatedFractionM</t>
  </si>
  <si>
    <t>testSpecTimeTruncatedFractionS</t>
  </si>
  <si>
    <t>testConstructor_long_max</t>
  </si>
  <si>
    <t>testConstructor_long_min</t>
  </si>
  <si>
    <t>testWriteZoneInfoMapThrowsNullPointerException</t>
  </si>
  <si>
    <t>test_wordBased_fr_formatStandard</t>
  </si>
  <si>
    <t>test_wordBased_pt_formatStandard</t>
  </si>
  <si>
    <t>test_wordBased_es_formatStandard</t>
  </si>
  <si>
    <t>test_wordBased_de_formatStandard</t>
  </si>
  <si>
    <t>test_wordBased_nl_formatStandard</t>
  </si>
  <si>
    <t>test_wordBased_pl_formatStandard</t>
  </si>
  <si>
    <t>test_wordBased_bg_formatStandard</t>
  </si>
  <si>
    <t>test_wordBased_cs_formatStandard</t>
  </si>
  <si>
    <t>test_wordBased_ru_formatStandard</t>
  </si>
  <si>
    <t>is this test real?</t>
  </si>
  <si>
    <t>Please check this commit. I think there are some additional deleted tests not included in this sheet</t>
  </si>
  <si>
    <t xml:space="preserve">First, I think testToInterval1 is deleted. Then, testToInterval2 is renamed to testToInterval1. </t>
  </si>
  <si>
    <t xml:space="preserve">First, I think testToMutableInterval1 is deleted. Then, testToMutableInterval2 is renamed to testToMutableInterval1. </t>
  </si>
  <si>
    <t>I think several deleted tests in this class are not in this sheet, such as testAdd_RD5</t>
  </si>
  <si>
    <t>renamed and split into other tests</t>
  </si>
  <si>
    <t>renamed and modified</t>
  </si>
  <si>
    <t>06/24/2002 13:03:15</t>
  </si>
  <si>
    <t>06/25/2002 09:32:31</t>
  </si>
  <si>
    <t>06/26/2002 16:05:58</t>
  </si>
  <si>
    <t>06/28/2002 10:13:50</t>
  </si>
  <si>
    <t>06/28/2002 12:58:13</t>
  </si>
  <si>
    <t>06/28/2002 14:01:20</t>
  </si>
  <si>
    <t>07/01/2002 11:18:17</t>
  </si>
  <si>
    <t>07/01/2002 11:31:50</t>
  </si>
  <si>
    <t>07/01/2002 12:44:49</t>
  </si>
  <si>
    <t>07/01/2002 16:29:53</t>
  </si>
  <si>
    <t>07/02/2002 10:11:46</t>
  </si>
  <si>
    <t>07/08/2002 09:46:13</t>
  </si>
  <si>
    <t>07/11/2002 12:46:04</t>
  </si>
  <si>
    <t>07/12/2002 08:28:16</t>
  </si>
  <si>
    <t>07/12/2002 19:43:28</t>
  </si>
  <si>
    <t>07/12/2002 20:00:44</t>
  </si>
  <si>
    <t>07/15/2002 16:31:04</t>
  </si>
  <si>
    <t>07/16/2002 10:59:06</t>
  </si>
  <si>
    <t>07/16/2002 11:25:25</t>
  </si>
  <si>
    <t>07/22/2002 13:27:29</t>
  </si>
  <si>
    <t>08/01/2002 13:52:27</t>
  </si>
  <si>
    <t>08/01/2002 14:14:18</t>
  </si>
  <si>
    <t>08/01/2002 16:22:55</t>
  </si>
  <si>
    <t>08/02/2002 10:09:21</t>
  </si>
  <si>
    <t>08/09/2002 11:29:36</t>
  </si>
  <si>
    <t>08/09/2002 16:06:57</t>
  </si>
  <si>
    <t>08/20/2002 11:37:12</t>
  </si>
  <si>
    <t>08/28/2002 13:27:25</t>
  </si>
  <si>
    <t>09/30/2002 15:00:22</t>
  </si>
  <si>
    <t>10/01/2002 13:37:46</t>
  </si>
  <si>
    <t>10/02/2002 09:59:45</t>
  </si>
  <si>
    <t>10/02/2002 15:16:39</t>
  </si>
  <si>
    <t>10/03/2002 10:00:05</t>
  </si>
  <si>
    <t>10/09/2002 17:34:43</t>
  </si>
  <si>
    <t>10/21/2002 10:20:44</t>
  </si>
  <si>
    <t>10/21/2002 10:37:16</t>
  </si>
  <si>
    <t>10/21/2002 14:47:05</t>
  </si>
  <si>
    <t>10/21/2002 15:35:43</t>
  </si>
  <si>
    <t>10/21/2002 15:43:48</t>
  </si>
  <si>
    <t>10/22/2002 08:32:35</t>
  </si>
  <si>
    <t>10/22/2002 13:04:03</t>
  </si>
  <si>
    <t>10/31/2002 10:48:24</t>
  </si>
  <si>
    <t>11/06/2002 07:29:05</t>
  </si>
  <si>
    <t>11/06/2002 13:13:48</t>
  </si>
  <si>
    <t>11/07/2002 08:08:05</t>
  </si>
  <si>
    <t>12/02/2002 11:00:27</t>
  </si>
  <si>
    <t>12/31/2002 08:29:58</t>
  </si>
  <si>
    <t>01/16/2003 10:38:34</t>
  </si>
  <si>
    <t>01/16/2003 13:16:50</t>
  </si>
  <si>
    <t>01/23/2003 09:46:01</t>
  </si>
  <si>
    <t>02/05/2003 13:58:30</t>
  </si>
  <si>
    <t>02/12/2003 10:53:10</t>
  </si>
  <si>
    <t>03/04/2003 09:20:34</t>
  </si>
  <si>
    <t>03/17/2003 14:32:32</t>
  </si>
  <si>
    <t>03/17/2003 14:47:23</t>
  </si>
  <si>
    <t>03/17/2003 15:07:24</t>
  </si>
  <si>
    <t>03/21/2003 12:40:26</t>
  </si>
  <si>
    <t>03/21/2003 12:53:45</t>
  </si>
  <si>
    <t>03/21/2003 12:53:47</t>
  </si>
  <si>
    <t>03/21/2003 13:08:33</t>
  </si>
  <si>
    <t>03/26/2003 16:28:35</t>
  </si>
  <si>
    <t>03/27/2003 14:11:54</t>
  </si>
  <si>
    <t>03/28/2003 13:39:43</t>
  </si>
  <si>
    <t>04/04/2003 09:30:17</t>
  </si>
  <si>
    <t>04/16/2003 10:19:26</t>
  </si>
  <si>
    <t>04/16/2003 10:51:33</t>
  </si>
  <si>
    <t>04/16/2003 11:36:47</t>
  </si>
  <si>
    <t>04/16/2003 14:48:20</t>
  </si>
  <si>
    <t>04/17/2003 08:40:24</t>
  </si>
  <si>
    <t>04/17/2003 09:19:33</t>
  </si>
  <si>
    <t>04/17/2003 10:25:55</t>
  </si>
  <si>
    <t>04/17/2003 10:31:25</t>
  </si>
  <si>
    <t>04/22/2003 10:27:09</t>
  </si>
  <si>
    <t>04/22/2003 10:42:07</t>
  </si>
  <si>
    <t>04/23/2003 14:45:45</t>
  </si>
  <si>
    <t>04/28/2003 16:16:27</t>
  </si>
  <si>
    <t>04/28/2003 16:24:55</t>
  </si>
  <si>
    <t>04/29/2003 11:10:56</t>
  </si>
  <si>
    <t>04/29/2003 12:11:13</t>
  </si>
  <si>
    <t>05/08/2003 11:04:32</t>
  </si>
  <si>
    <t>05/08/2003 11:28:54</t>
  </si>
  <si>
    <t>05/08/2003 14:43:59</t>
  </si>
  <si>
    <t>05/09/2003 13:27:35</t>
  </si>
  <si>
    <t>05/09/2003 14:04:40</t>
  </si>
  <si>
    <t>05/12/2003 11:09:17</t>
  </si>
  <si>
    <t>05/12/2003 11:57:40</t>
  </si>
  <si>
    <t>06/20/2003 12:17:08</t>
  </si>
  <si>
    <t>06/25/2003 08:06:50</t>
  </si>
  <si>
    <t>06/27/2003 10:27:06</t>
  </si>
  <si>
    <t>07/16/2003 09:59:55</t>
  </si>
  <si>
    <t>07/31/2003 09:29:38</t>
  </si>
  <si>
    <t>08/01/2003 09:58:50</t>
  </si>
  <si>
    <t>09/10/2003 16:09:04</t>
  </si>
  <si>
    <t>09/11/2003 15:09:53</t>
  </si>
  <si>
    <t>09/12/2003 13:18:20</t>
  </si>
  <si>
    <t>11/14/2003 10:07:44</t>
  </si>
  <si>
    <t>11/14/2003 10:48:55</t>
  </si>
  <si>
    <t>11/14/2003 16:12:55</t>
  </si>
  <si>
    <t>11/19/2003 15:27:11</t>
  </si>
  <si>
    <t>12/03/2003 13:52:42</t>
  </si>
  <si>
    <t>01/14/2004 09:47:30</t>
  </si>
  <si>
    <t>01/21/2004 11:03:22</t>
  </si>
  <si>
    <t>03/02/2004 14:26:52</t>
  </si>
  <si>
    <t>03/04/2004 10:36:03</t>
  </si>
  <si>
    <t>03/09/2004 08:46:12</t>
  </si>
  <si>
    <t>04/01/2004 13:35:43</t>
  </si>
  <si>
    <t>04/02/2004 14:57:11</t>
  </si>
  <si>
    <t>05/13/2004 10:13:55</t>
  </si>
  <si>
    <t>05/21/2004 10:37:35</t>
  </si>
  <si>
    <t>05/25/2004 10:15:36</t>
  </si>
  <si>
    <t>06/17/2004 16:17:31</t>
  </si>
  <si>
    <t>06/18/2004 15:23:16</t>
  </si>
  <si>
    <t>06/21/2004 15:42:49</t>
  </si>
  <si>
    <t>07/09/2004 11:18:56</t>
  </si>
  <si>
    <t>07/13/2004 13:02:06</t>
  </si>
  <si>
    <t>07/19/2004 12:33:23</t>
  </si>
  <si>
    <t>09/01/2004 11:37:14</t>
  </si>
  <si>
    <t>09/02/2004 13:34:01</t>
  </si>
  <si>
    <t>09/15/2004 16:08:33</t>
  </si>
  <si>
    <t>09/16/2004 14:32:14</t>
  </si>
  <si>
    <t>09/17/2004 15:05:45</t>
  </si>
  <si>
    <t>09/28/2004 14:44:05</t>
  </si>
  <si>
    <t>09/29/2004 15:02:58</t>
  </si>
  <si>
    <t>09/30/2004 13:21:00</t>
  </si>
  <si>
    <t>10/15/2004 12:10:16</t>
  </si>
  <si>
    <t>10/28/2004 14:31:13</t>
  </si>
  <si>
    <t>10/29/2004 19:37:13</t>
  </si>
  <si>
    <t>10/30/2004 09:41:57</t>
  </si>
  <si>
    <t>11/02/2004 15:02:11</t>
  </si>
  <si>
    <t>11/29/2004 10:27:35</t>
  </si>
  <si>
    <t>12/13/2004 14:50:23</t>
  </si>
  <si>
    <t>12/22/2004 14:13:38</t>
  </si>
  <si>
    <t>12/22/2004 14:30:49</t>
  </si>
  <si>
    <t>01/10/2005 14:33:13</t>
  </si>
  <si>
    <t>01/17/2005 10:01:40</t>
  </si>
  <si>
    <t>02/10/2005 13:02:10</t>
  </si>
  <si>
    <t>02/11/2005 15:22:56</t>
  </si>
  <si>
    <t>02/22/2005 09:04:30</t>
  </si>
  <si>
    <t>03/08/2005 14:23:28</t>
  </si>
  <si>
    <t>03/08/2005 15:12:31</t>
  </si>
  <si>
    <t>03/09/2005 21:52:53</t>
  </si>
  <si>
    <t>03/23/2005 11:16:46</t>
  </si>
  <si>
    <t>03/24/2005 15:28:07</t>
  </si>
  <si>
    <t>03/24/2005 15:53:51</t>
  </si>
  <si>
    <t>03/25/2005 16:54:41</t>
  </si>
  <si>
    <t>04/22/2005 19:53:07</t>
  </si>
  <si>
    <t>05/04/2005 17:04:06</t>
  </si>
  <si>
    <t>05/05/2005 17:03:10</t>
  </si>
  <si>
    <t>05/05/2005 18:45:04</t>
  </si>
  <si>
    <t>05/10/2005 09:30:53</t>
  </si>
  <si>
    <t>05/10/2005 09:53:55</t>
  </si>
  <si>
    <t>05/17/2005 08:40:28</t>
  </si>
  <si>
    <t>05/27/2005 16:40:41</t>
  </si>
  <si>
    <t>05/28/2005 12:17:38</t>
  </si>
  <si>
    <t>06/01/2005 21:21:13</t>
  </si>
  <si>
    <t>06/08/2005 19:26:40</t>
  </si>
  <si>
    <t>06/14/2005 06:52:49</t>
  </si>
  <si>
    <t>06/27/2005 13:26:12</t>
  </si>
  <si>
    <t>07/02/2005 09:32:25</t>
  </si>
  <si>
    <t>07/07/2005 15:57:37</t>
  </si>
  <si>
    <t>07/18/2005 09:53:00</t>
  </si>
  <si>
    <t>08/03/2005 08:28:12</t>
  </si>
  <si>
    <t>08/03/2005 09:14:56</t>
  </si>
  <si>
    <t>08/07/2005 21:15:08</t>
  </si>
  <si>
    <t>08/12/2005 15:36:33</t>
  </si>
  <si>
    <t>09/08/2005 16:51:11</t>
  </si>
  <si>
    <t>09/10/2005 11:41:42</t>
  </si>
  <si>
    <t>09/30/2005 19:47:55</t>
  </si>
  <si>
    <t>10/18/2005 16:43:04</t>
  </si>
  <si>
    <t>11/15/2005 14:46:05</t>
  </si>
  <si>
    <t>11/29/2005 08:50:17</t>
  </si>
  <si>
    <t>12/12/2005 08:31:10</t>
  </si>
  <si>
    <t>12/30/2005 10:29:16</t>
  </si>
  <si>
    <t>12/30/2005 13:59:11</t>
  </si>
  <si>
    <t>03/09/2006 08:56:34</t>
  </si>
  <si>
    <t>04/05/2006 08:25:57</t>
  </si>
  <si>
    <t>04/17/2006 16:09:48</t>
  </si>
  <si>
    <t>05/15/2006 13:58:48</t>
  </si>
  <si>
    <t>06/18/2006 17:30:33</t>
  </si>
  <si>
    <t>06/21/2006 18:06:54</t>
  </si>
  <si>
    <t>07/21/2006 16:49:37</t>
  </si>
  <si>
    <t>09/05/2006 20:08:03</t>
  </si>
  <si>
    <t>09/20/2006 22:17:18</t>
  </si>
  <si>
    <t>10/13/2006 18:49:38</t>
  </si>
  <si>
    <t>11/14/2006 20:14:31</t>
  </si>
  <si>
    <t>11/16/2006 11:14:34</t>
  </si>
  <si>
    <t>11/30/2006 13:26:36</t>
  </si>
  <si>
    <t>11/30/2006 15:27:41</t>
  </si>
  <si>
    <t>11/30/2006 15:32:36</t>
  </si>
  <si>
    <t>02/08/2007 19:38:14</t>
  </si>
  <si>
    <t>06/26/2007 17:55:28</t>
  </si>
  <si>
    <t>06/26/2007 20:40:30</t>
  </si>
  <si>
    <t>06/26/2007 20:54:34</t>
  </si>
  <si>
    <t>06/26/2007 21:01:06</t>
  </si>
  <si>
    <t>06/26/2007 21:10:23</t>
  </si>
  <si>
    <t>06/26/2007 21:29:19</t>
  </si>
  <si>
    <t>06/27/2007 17:07:30</t>
  </si>
  <si>
    <t>06/28/2007 08:15:18</t>
  </si>
  <si>
    <t>06/28/2007 08:22:16</t>
  </si>
  <si>
    <t>06/28/2007 19:48:05</t>
  </si>
  <si>
    <t>10/16/2007 09:10:14</t>
  </si>
  <si>
    <t>10/23/2007 23:42:51</t>
  </si>
  <si>
    <t>10/25/2007 17:53:06</t>
  </si>
  <si>
    <t>02/04/2008 05:23:07</t>
  </si>
  <si>
    <t>03/13/2008 15:09:55</t>
  </si>
  <si>
    <t>03/22/2008 12:26:41</t>
  </si>
  <si>
    <t>03/26/2008 19:56:46</t>
  </si>
  <si>
    <t>04/04/2008 16:38:59</t>
  </si>
  <si>
    <t>06/12/2008 23:57:20</t>
  </si>
  <si>
    <t>06/14/2008 01:13:03</t>
  </si>
  <si>
    <t>06/22/2008 13:07:30</t>
  </si>
  <si>
    <t>08/20/2008 17:44:00</t>
  </si>
  <si>
    <t>08/20/2008 20:58:41</t>
  </si>
  <si>
    <t>08/24/2008 18:05:01</t>
  </si>
  <si>
    <t>09/01/2008 01:14:11</t>
  </si>
  <si>
    <t>09/06/2008 18:56:35</t>
  </si>
  <si>
    <t>09/26/2008 17:12:10</t>
  </si>
  <si>
    <t>10/05/2008 22:06:55</t>
  </si>
  <si>
    <t>10/06/2008 00:20:27</t>
  </si>
  <si>
    <t>10/15/2008 00:10:43</t>
  </si>
  <si>
    <t>10/17/2008 22:27:58</t>
  </si>
  <si>
    <t>12/30/2008 18:18:19</t>
  </si>
  <si>
    <t>04/24/2009 23:56:49</t>
  </si>
  <si>
    <t>12/07/2011 05:50:40</t>
  </si>
  <si>
    <t>12/11/2011 07:41:31</t>
  </si>
  <si>
    <t>02/24/2012 13:05:58</t>
  </si>
  <si>
    <t>08/04/2012 10:41:36</t>
  </si>
  <si>
    <t>01/29/2013 05:22:08</t>
  </si>
  <si>
    <t>03/13/2013 14:31:33</t>
  </si>
  <si>
    <t>11/11/2013 13:08:48</t>
  </si>
  <si>
    <t>01/30/2014 13:44:41</t>
  </si>
  <si>
    <t>04/12/2014 18:50:56</t>
  </si>
  <si>
    <t>08/17/2014 12:10:12</t>
  </si>
  <si>
    <t>09/29/2014 14:28:33</t>
  </si>
  <si>
    <t>10/04/2014 14:16:33</t>
  </si>
  <si>
    <t>10/06/2014 13:00:31</t>
  </si>
  <si>
    <t>01/18/2015 04:00:10</t>
  </si>
  <si>
    <t>03/07/2015 14:12:04</t>
  </si>
  <si>
    <t>05/09/2015 08:08:35</t>
  </si>
  <si>
    <t>10/16/2015 05:18:15</t>
  </si>
  <si>
    <t>01/25/2016 03:29:00</t>
  </si>
  <si>
    <t>03/14/2016 06:49:30</t>
  </si>
  <si>
    <t>03/21/2016 11:18:09</t>
  </si>
  <si>
    <t>11/11/2016 17:39:15</t>
  </si>
  <si>
    <t>11/30/2016 12:25:19</t>
  </si>
  <si>
    <t>12/16/2016 05:32:18</t>
  </si>
  <si>
    <t>12/16/2016 08:48:53</t>
  </si>
  <si>
    <t>12/16/2016 09:10:04</t>
  </si>
  <si>
    <t>01/03/2017 04:22:42</t>
  </si>
  <si>
    <t>02/10/2017 22:04:02</t>
  </si>
  <si>
    <t>02/15/2017 17:36:31</t>
  </si>
  <si>
    <t>02/21/2017 16:45:10</t>
  </si>
  <si>
    <t>02/27/2017 15:33:00</t>
  </si>
  <si>
    <t>02/28/2017 22:12:42</t>
  </si>
  <si>
    <t>02/28/2017 22:13:14</t>
  </si>
  <si>
    <t>03/06/2017 05:40:55</t>
  </si>
  <si>
    <t>03/13/2017 12:29:03</t>
  </si>
  <si>
    <t>04/14/2017 12:39:03</t>
  </si>
  <si>
    <t>04/14/2017 15:41:50</t>
  </si>
  <si>
    <t>04/19/2017 14:45:03</t>
  </si>
  <si>
    <t>05/30/2017 08:15:10</t>
  </si>
  <si>
    <t>06/11/2017 08:51:33</t>
  </si>
  <si>
    <t>06/13/2017 10:15:30</t>
  </si>
  <si>
    <t>06/17/2017 05:42:13</t>
  </si>
  <si>
    <t>06/26/2017 09:03:35</t>
  </si>
  <si>
    <t>06/26/2017 22:55:17</t>
  </si>
  <si>
    <t>07/13/2017 09:53:26</t>
  </si>
  <si>
    <t>07/24/2017 09:37:32</t>
  </si>
  <si>
    <t>07/24/2017 12:36:30</t>
  </si>
  <si>
    <t>08/03/2017 11:42:58</t>
  </si>
  <si>
    <t>08/04/2017 12:19:50</t>
  </si>
  <si>
    <t>08/27/2017 16:32:09</t>
  </si>
  <si>
    <t>09/29/2017 04:20:37</t>
  </si>
  <si>
    <t>10/01/2017 19:24:39</t>
  </si>
  <si>
    <t>10/25/2017 16:03:13</t>
  </si>
  <si>
    <t>11/01/2017 12:54:10</t>
  </si>
  <si>
    <t>12/22/2017 05:03:20</t>
  </si>
  <si>
    <t>03/03/2018 04:53:22</t>
  </si>
  <si>
    <t>03/19/2018 08:25:00</t>
  </si>
  <si>
    <t>08/03/2018 08:48:23</t>
  </si>
  <si>
    <t>09/04/2018 05:30:29</t>
  </si>
  <si>
    <t>09/09/2018 05:58:47</t>
  </si>
  <si>
    <t>11/04/2018 09:11:13</t>
  </si>
  <si>
    <t>11/26/2018 06:55:35</t>
  </si>
  <si>
    <t>11/30/2018 09:10:18</t>
  </si>
  <si>
    <t>12/01/2018 04:18:18</t>
  </si>
  <si>
    <t>01/05/2019 15:57:58</t>
  </si>
  <si>
    <t>01/06/2019 10:25:48</t>
  </si>
  <si>
    <t>01/23/2019 11:35:11</t>
  </si>
  <si>
    <t>01/25/2019 11:08:29</t>
  </si>
  <si>
    <t>01/26/2019 16:59:42</t>
  </si>
  <si>
    <t>02/27/2019 09:20:00</t>
  </si>
  <si>
    <t>05/13/2019 07:31:10</t>
  </si>
  <si>
    <t>05/20/2019 13:13:11</t>
  </si>
  <si>
    <t>05/20/2019 13:13:12</t>
  </si>
  <si>
    <t>05/20/2019 13:27:07</t>
  </si>
  <si>
    <t>06/01/2019 17:05:48</t>
  </si>
  <si>
    <t>08/13/2019 13:48:06</t>
  </si>
  <si>
    <t>09/06/2019 09:46:59</t>
  </si>
  <si>
    <t>09/09/2019 22:21:54</t>
  </si>
  <si>
    <t>09/12/2019 20:23:18</t>
  </si>
  <si>
    <t>09/14/2019 09:25:44</t>
  </si>
  <si>
    <t>09/16/2019 21:33:39</t>
  </si>
  <si>
    <t>09/17/2019 12:30:31</t>
  </si>
  <si>
    <t>09/28/2019 03:37:15</t>
  </si>
  <si>
    <t>10/01/2019 10:42:55</t>
  </si>
  <si>
    <t>11/22/2019 10:59:38</t>
  </si>
  <si>
    <t>12/14/2019 18:21:49</t>
  </si>
  <si>
    <t>12/20/2019 11:30:17</t>
  </si>
  <si>
    <t>01/02/2020 19:09:16</t>
  </si>
  <si>
    <t>01/06/2020 09:40:58</t>
  </si>
  <si>
    <t>01/07/2020 16:12:53</t>
  </si>
  <si>
    <t>01/08/2020 11:34:06</t>
  </si>
  <si>
    <t>01/10/2020 14:15:15</t>
  </si>
  <si>
    <t>01/15/2020 04:28:08</t>
  </si>
  <si>
    <t>01/18/2020 22:54:16</t>
  </si>
  <si>
    <t>01/19/2020 01:36:35</t>
  </si>
  <si>
    <t>01/23/2020 11:27:29</t>
  </si>
  <si>
    <t>01/28/2020 08:28:21</t>
  </si>
  <si>
    <t>02/07/2020 13:05:13</t>
  </si>
  <si>
    <t>02/28/2020 12:37:13</t>
  </si>
  <si>
    <t>03/02/2020 18:01:10</t>
  </si>
  <si>
    <t>03/12/2020 08:57:35</t>
  </si>
  <si>
    <t>03/17/2020 19:13:50</t>
  </si>
  <si>
    <t>04/17/2020 13:04:27</t>
  </si>
  <si>
    <t>04/18/2020 10:42:56</t>
  </si>
  <si>
    <t>04/23/2020 12:59:51</t>
  </si>
  <si>
    <t>04/24/2020 06:59:08</t>
  </si>
  <si>
    <t>04/27/2020 11:36:17</t>
  </si>
  <si>
    <t>05/07/2020 21:15:41</t>
  </si>
  <si>
    <t>05/18/2020 07:56:54</t>
  </si>
  <si>
    <t>05/18/2020 07:57:54</t>
  </si>
  <si>
    <t>05/18/2020 07:57:55</t>
  </si>
  <si>
    <t>06/12/2020 09:56:43</t>
  </si>
  <si>
    <t>06/13/2020 12:16:22</t>
  </si>
  <si>
    <t>06/13/2020 13:14:08</t>
  </si>
  <si>
    <t>06/13/2020 13:34:30</t>
  </si>
  <si>
    <t>06/13/2020 14:09:31</t>
  </si>
  <si>
    <t>06/13/2020 15:00:58</t>
  </si>
  <si>
    <t>06/13/2020 15:04:33</t>
  </si>
  <si>
    <t>06/13/2020 15:08:58</t>
  </si>
  <si>
    <t>06/13/2020 15:57:18</t>
  </si>
  <si>
    <t>06/13/2020 16:01:14</t>
  </si>
  <si>
    <t>06/13/2020 16:25:24</t>
  </si>
  <si>
    <t>06/13/2020 16:34:00</t>
  </si>
  <si>
    <t>06/13/2020 16:39:35</t>
  </si>
  <si>
    <t>06/13/2020 16:44:34</t>
  </si>
  <si>
    <t>06/13/2020 16:48:21</t>
  </si>
  <si>
    <t>06/13/2020 16:56:55</t>
  </si>
  <si>
    <t>06/13/2020 16:58:17</t>
  </si>
  <si>
    <t>06/13/2020 17:20:14</t>
  </si>
  <si>
    <t>06/13/2020 18:09:49</t>
  </si>
  <si>
    <t>06/18/2020 11:08:29</t>
  </si>
  <si>
    <t>06/18/2020 14:32:19</t>
  </si>
  <si>
    <t>06/27/2020 06:22:34</t>
  </si>
  <si>
    <t>07/26/2020 08:10:26</t>
  </si>
  <si>
    <t>07/28/2020 05:31:59</t>
  </si>
  <si>
    <t>07/28/2020 05:51:55</t>
  </si>
  <si>
    <t>07/28/2020 06:08:47</t>
  </si>
  <si>
    <t>07/31/2020 10:07:16</t>
  </si>
  <si>
    <t>08/03/2020 16:16:18</t>
  </si>
  <si>
    <t>08/03/2020 16:17:01</t>
  </si>
  <si>
    <t>08/13/2020 12:15:02</t>
  </si>
  <si>
    <t>08/23/2020 11:33:17</t>
  </si>
  <si>
    <t>08/23/2020 12:17:05</t>
  </si>
  <si>
    <t>08/25/2020 08:18:19</t>
  </si>
  <si>
    <t>08/31/2020 01:34:13</t>
  </si>
  <si>
    <t>08/31/2020 01:34:14</t>
  </si>
  <si>
    <t>08/31/2020 01:34:25</t>
  </si>
  <si>
    <t>09/14/2020 11:13:42</t>
  </si>
  <si>
    <t>09/17/2020 15:28:59</t>
  </si>
  <si>
    <t>09/17/2020 15:29:00</t>
  </si>
  <si>
    <t>09/17/2020 15:29:01</t>
  </si>
  <si>
    <t>09/17/2020 15:29:31</t>
  </si>
  <si>
    <t>09/17/2020 15:30:00</t>
  </si>
  <si>
    <t>09/17/2020 15:56:02</t>
  </si>
  <si>
    <t>09/24/2020 07:18:51</t>
  </si>
  <si>
    <t>09/28/2020 12:32:54</t>
  </si>
  <si>
    <t>09/28/2020 13:20:32</t>
  </si>
  <si>
    <t>09/30/2020 15:48:43</t>
  </si>
  <si>
    <t>10/17/2020 20:16:19</t>
  </si>
  <si>
    <t>10/17/2020 20:19:16</t>
  </si>
  <si>
    <t>10/26/2020 13:17:54</t>
  </si>
  <si>
    <t>10/30/2020 07:55:53</t>
  </si>
  <si>
    <t>11/12/2020 22:13:19</t>
  </si>
  <si>
    <t>11/15/2020 09:42:30</t>
  </si>
  <si>
    <t>11/16/2020 13:29:16</t>
  </si>
  <si>
    <t>11/20/2020 13:59:23</t>
  </si>
  <si>
    <t>12/11/2020 01:37:23</t>
  </si>
  <si>
    <t>12/12/2020 10:31:48</t>
  </si>
  <si>
    <t>12/12/2020 11:38:17</t>
  </si>
  <si>
    <t>12/12/2020 13:31:50</t>
  </si>
  <si>
    <t>12/12/2020 14:19:50</t>
  </si>
  <si>
    <t>12/12/2020 16:01:06</t>
  </si>
  <si>
    <t>12/12/2020 16:26:41</t>
  </si>
  <si>
    <t>12/14/2020 06:18:46</t>
  </si>
  <si>
    <t>02/13/2021 14:14:43</t>
  </si>
  <si>
    <t>02/15/2021 12:58:55</t>
  </si>
  <si>
    <t>03/25/2021 10:14:12</t>
  </si>
  <si>
    <t>05/05/2021 07:10:30</t>
  </si>
  <si>
    <t>07/01/2021 05:11:54</t>
  </si>
  <si>
    <t>08/08/2021 07:40:25</t>
  </si>
  <si>
    <t>12/16/2021 09:49:04</t>
  </si>
  <si>
    <t>02/16/2022 14:13:43</t>
  </si>
  <si>
    <t>02/17/2022 04:17:14</t>
  </si>
  <si>
    <t>02/25/2022 11:52:17</t>
  </si>
  <si>
    <t>02/25/2022 12:50:50</t>
  </si>
  <si>
    <t>03/03/2022 14:04:03</t>
  </si>
  <si>
    <t>03/07/2022 13:17:15</t>
  </si>
  <si>
    <t>03/10/2022 08:11:18</t>
  </si>
  <si>
    <t>03/10/2022 08:41:01</t>
  </si>
  <si>
    <t>04/01/2022 12:06:33</t>
  </si>
  <si>
    <t>04/01/2022 14:15:50</t>
  </si>
  <si>
    <t>04/03/2022 11:07:47</t>
  </si>
  <si>
    <t>04/09/2022 09:16:43</t>
  </si>
  <si>
    <t>04/10/2022 02:10:53</t>
  </si>
  <si>
    <t>04/15/2022 09:24:22</t>
  </si>
  <si>
    <t>04/24/2022 05:07:18</t>
  </si>
  <si>
    <t>04/24/2022 12:45:06</t>
  </si>
  <si>
    <t>04/30/2022 07:11:16</t>
  </si>
  <si>
    <t>05/07/2022 11:59:21</t>
  </si>
  <si>
    <t>07/07/2022 08:24:49</t>
  </si>
  <si>
    <t>07/17/2022 07:49:48</t>
  </si>
  <si>
    <t>07/22/2022 14:06:30</t>
  </si>
  <si>
    <t>09/29/2022 08:04:35</t>
  </si>
  <si>
    <t>11/25/2022 04:28:59</t>
  </si>
  <si>
    <t>11/25/2022 05:19:24</t>
  </si>
  <si>
    <t>11/26/2022 18:09:40</t>
  </si>
  <si>
    <t>11/28/2022 21:25:29</t>
  </si>
  <si>
    <t>11/28/2022 23:17:52</t>
  </si>
  <si>
    <t>12/02/2022 04:56:56</t>
  </si>
  <si>
    <t>tomcopeland@users.sourceforge.net</t>
  </si>
  <si>
    <t>dpeugh@users.sourceforge.net</t>
  </si>
  <si>
    <t>phherlin@users.sourceforge.net</t>
  </si>
  <si>
    <t>allancaplan@users.sourceforge.net</t>
  </si>
  <si>
    <t>holobender@users.sourceforge.net</t>
  </si>
  <si>
    <t>wfzelle@users.sourceforge.net</t>
  </si>
  <si>
    <t>xlv@users.sourceforge.net</t>
  </si>
  <si>
    <t>rgustav@users.sourceforge.net</t>
  </si>
  <si>
    <t>rpelisse@users.sourceforge.net</t>
  </si>
  <si>
    <t>hooperbloob@users.sourceforge.net</t>
  </si>
  <si>
    <t>adangel@users.sourceforge.net</t>
  </si>
  <si>
    <t>belaran@gmail.com</t>
  </si>
  <si>
    <t>christofer.dutz@codecentric.de</t>
  </si>
  <si>
    <t>robert.soesemann@up2go.com</t>
  </si>
  <si>
    <t>jmsotuyo@monits.com</t>
  </si>
  <si>
    <t>sergey.gorbaty@salesforce.com</t>
  </si>
  <si>
    <t>juansotuyo@gmail.com</t>
  </si>
  <si>
    <t>clement.fournier76@gmail.com</t>
  </si>
  <si>
    <t>bendeguz.nagy.rf@gmail.com</t>
  </si>
  <si>
    <t>andreas.dangel@adangel.org</t>
  </si>
  <si>
    <t>andreas.dangel@microdoc.com</t>
  </si>
  <si>
    <t>maikel.steneker@tiobe.com</t>
  </si>
  <si>
    <t>andreas.dangel@pmd-code.org</t>
  </si>
  <si>
    <t>mail@stefan-birkner.de</t>
  </si>
  <si>
    <t>jbartolotta@salesforce.com</t>
  </si>
  <si>
    <t>added xml report format
git-svn-id: https://pmd.svn.sourceforge.net/svnroot/pmd/trunk@23 51baf565-9d33-0410-a72c-fc3788e3496d</t>
  </si>
  <si>
    <t>refactored report generation to consolidate xml vs text rendering
git-svn-id: https://pmd.svn.sourceforge.net/svnroot/pmd/trunk@52 51baf565-9d33-0410-a72c-fc3788e3496d</t>
  </si>
  <si>
    <t>Added RuleContext, modified rules to support passing in multiple ASTCompilationUnits
git-svn-id: https://pmd.svn.sourceforge.net/svnroot/pmd/trunk@75 51baf565-9d33-0410-a72c-fc3788e3496d</t>
  </si>
  <si>
    <t>tests
git-svn-id: https://pmd.svn.sourceforge.net/svnroot/pmd/trunk@108 51baf565-9d33-0410-a72c-fc3788e3496d</t>
  </si>
  <si>
    <t>Began breaking up FunctionalTest
git-svn-id: https://pmd.svn.sourceforge.net/svnroot/pmd/trunk@133 51baf565-9d33-0410-a72c-fc3788e3496d</t>
  </si>
  <si>
    <t>moving tests
git-svn-id: https://pmd.svn.sourceforge.net/svnroot/pmd/trunk@139 51baf565-9d33-0410-a72c-fc3788e3496d</t>
  </si>
  <si>
    <t>Removed text report
git-svn-id: https://pmd.svn.sourceforge.net/svnroot/pmd/trunk@148 51baf565-9d33-0410-a72c-fc3788e3496d</t>
  </si>
  <si>
    <t>moved Report to its own package
git-svn-id: https://pmd.svn.sourceforge.net/svnroot/pmd/trunk@149 51baf565-9d33-0410-a72c-fc3788e3496d</t>
  </si>
  <si>
    <t>refactoring report
git-svn-id: https://pmd.svn.sourceforge.net/svnroot/pmd/trunk@150 51baf565-9d33-0410-a72c-fc3788e3496d</t>
  </si>
  <si>
    <t>RuleFactory has been replaced with RuleSetFactory
git-svn-id: https://pmd.svn.sourceforge.net/svnroot/pmd/trunk@154 51baf565-9d33-0410-a72c-fc3788e3496d</t>
  </si>
  <si>
    <t>updating tests
git-svn-id: https://pmd.svn.sourceforge.net/svnroot/pmd/trunk@164 51baf565-9d33-0410-a72c-fc3788e3496d</t>
  </si>
  <si>
    <t>refactoring reports into renderers
git-svn-id: https://pmd.svn.sourceforge.net/svnroot/pmd/trunk@229 51baf565-9d33-0410-a72c-fc3788e3496d</t>
  </si>
  <si>
    <t>Implementing Feature: 579401
Changed sort order of the RuleViolations to have reports
make more sense as well.
git-svn-id: https://pmd.svn.sourceforge.net/svnroot/pmd/trunk@292 51baf565-9d33-0410-a72c-fc3788e3496d</t>
  </si>
  <si>
    <t>adding the concept of registered rulesets
git-svn-id: https://pmd.svn.sourceforge.net/svnroot/pmd/trunk@316 51baf565-9d33-0410-a72c-fc3788e3496d</t>
  </si>
  <si>
    <t>starting to work on type resolution
git-svn-id: https://pmd.svn.sourceforge.net/svnroot/pmd/trunk@338 51baf565-9d33-0410-a72c-fc3788e3496d</t>
  </si>
  <si>
    <t>starting to work on type resolution
git-svn-id: https://pmd.svn.sourceforge.net/svnroot/pmd/trunk@339 51baf565-9d33-0410-a72c-fc3788e3496d</t>
  </si>
  <si>
    <t>fixing unused local variable bugs
git-svn-id: https://pmd.svn.sourceforge.net/svnroot/pmd/trunk@365 51baf565-9d33-0410-a72c-fc3788e3496d</t>
  </si>
  <si>
    <t>moved cougaar rules to separate project
git-svn-id: https://pmd.svn.sourceforge.net/svnroot/pmd/trunk@379 51baf565-9d33-0410-a72c-fc3788e3496d</t>
  </si>
  <si>
    <t>tweak
git-svn-id: https://pmd.svn.sourceforge.net/svnroot/pmd/trunk@380 51baf565-9d33-0410-a72c-fc3788e3496d</t>
  </si>
  <si>
    <t>added LooseCouplingRule
git-svn-id: https://pmd.svn.sourceforge.net/svnroot/pmd/trunk@461 51baf565-9d33-0410-a72c-fc3788e3496d</t>
  </si>
  <si>
    <t>refactoring
git-svn-id: https://pmd.svn.sourceforge.net/svnroot/pmd/trunk@594 51baf565-9d33-0410-a72c-fc3788e3496d</t>
  </si>
  <si>
    <t>refactoring; removed the Occurrence class - it was essentially just wrapping a Token
git-svn-id: https://pmd.svn.sourceforge.net/svnroot/pmd/trunk@599 51baf565-9d33-0410-a72c-fc3788e3496d</t>
  </si>
  <si>
    <t>tweak
git-svn-id: https://pmd.svn.sourceforge.net/svnroot/pmd/trunk@602 51baf565-9d33-0410-a72c-fc3788e3496d</t>
  </si>
  <si>
    <t>removed these tests since CPD has its own module now
git-svn-id: https://pmd.svn.sourceforge.net/svnroot/pmd/trunk@610 51baf565-9d33-0410-a72c-fc3788e3496d</t>
  </si>
  <si>
    <t>tweak
git-svn-id: https://pmd.svn.sourceforge.net/svnroot/pmd/trunk@671 51baf565-9d33-0410-a72c-fc3788e3496d</t>
  </si>
  <si>
    <t>Turned off one test.  Not sure why its not working, but things are
going better now.
git-svn-id: https://pmd.svn.sourceforge.net/svnroot/pmd/trunk@681 51baf565-9d33-0410-a72c-fc3788e3496d</t>
  </si>
  <si>
    <t>fixed properties bug and updated tests
git-svn-id: https://pmd.svn.sourceforge.net/svnroot/pmd/trunk@727 51baf565-9d33-0410-a72c-fc3788e3496d</t>
  </si>
  <si>
    <t>Multiple parameters work together.
git-svn-id: https://pmd.svn.sourceforge.net/svnroot/pmd/trunk@810 51baf565-9d33-0410-a72c-fc3788e3496d</t>
  </si>
  <si>
    <t>fixed scoping problem with new symbol table code
git-svn-id: https://pmd.svn.sourceforge.net/svnroot/pmd/trunk@1028 51baf565-9d33-0410-a72c-fc3788e3496d</t>
  </si>
  <si>
    <t>slowly refactoring towards a nicer symbol table
git-svn-id: https://pmd.svn.sourceforge.net/svnroot/pmd/trunk@1036 51baf565-9d33-0410-a72c-fc3788e3496d</t>
  </si>
  <si>
    <t>more refactoring of symbol table.  getting nicer all the time... and more tests, too....
git-svn-id: https://pmd.svn.sourceforge.net/svnroot/pmd/trunk@1042 51baf565-9d33-0410-a72c-fc3788e3496d</t>
  </si>
  <si>
    <t>more refactoring.  didn't really get anywhere, but everything still works
git-svn-id: https://pmd.svn.sourceforge.net/svnroot/pmd/trunk@1044 51baf565-9d33-0410-a72c-fc3788e3496d</t>
  </si>
  <si>
    <t>more tests, refactoring
git-svn-id: https://pmd.svn.sourceforge.net/svnroot/pmd/trunk@1053 51baf565-9d33-0410-a72c-fc3788e3496d</t>
  </si>
  <si>
    <t>new symbol table code is working
git-svn-id: https://pmd.svn.sourceforge.net/svnroot/pmd/trunk@1092 51baf565-9d33-0410-a72c-fc3788e3496d</t>
  </si>
  <si>
    <t>added and removed tests
git-svn-id: https://pmd.svn.sourceforge.net/svnroot/pmd/trunk@1134 51baf565-9d33-0410-a72c-fc3788e3496d</t>
  </si>
  <si>
    <t>rewriting tests
git-svn-id: https://pmd.svn.sourceforge.net/svnroot/pmd/trunk@1139 51baf565-9d33-0410-a72c-fc3788e3496d</t>
  </si>
  <si>
    <t>method names are now stored in a separate symbol table
git-svn-id: https://pmd.svn.sourceforge.net/svnroot/pmd/trunk@1141 51baf565-9d33-0410-a72c-fc3788e3496d</t>
  </si>
  <si>
    <t>added tests
git-svn-id: https://pmd.svn.sourceforge.net/svnroot/pmd/trunk@1143 51baf565-9d33-0410-a72c-fc3788e3496d</t>
  </si>
  <si>
    <t>minor refactoring
git-svn-id: https://pmd.svn.sourceforge.net/svnroot/pmd/trunk@1144 51baf565-9d33-0410-a72c-fc3788e3496d</t>
  </si>
  <si>
    <t>moved the symbol table code into ScopeCreator
git-svn-id: https://pmd.svn.sourceforge.net/svnroot/pmd/trunk@1150 51baf565-9d33-0410-a72c-fc3788e3496d</t>
  </si>
  <si>
    <t>renamed UnusedPrivateInstanceVar to UnusedPrivateField
git-svn-id: https://pmd.svn.sourceforge.net/svnroot/pmd/trunk@1153 51baf565-9d33-0410-a72c-fc3788e3496d</t>
  </si>
  <si>
    <t>fixed bug 631605
git-svn-id: https://pmd.svn.sourceforge.net/svnroot/pmd/trunk@1180 51baf565-9d33-0410-a72c-fc3788e3496d</t>
  </si>
  <si>
    <t>added Paul Kendall's enhancements to EmptyCatchBlockRule.  Added new tests. Fixed stuff PMD found
git-svn-id: https://pmd.svn.sourceforge.net/svnroot/pmd/trunk@1207 51baf565-9d33-0410-a72c-fc3788e3496d</t>
  </si>
  <si>
    <t>modified this rule to do what we really want it to - find duplicate literals
git-svn-id: https://pmd.svn.sourceforge.net/svnroot/pmd/trunk@1208 51baf565-9d33-0410-a72c-fc3788e3496d</t>
  </si>
  <si>
    <t>relaxed OnlyOneReturn rule; removed requirement that the return stmt be the last statement in the method
git-svn-id: https://pmd.svn.sourceforge.net/svnroot/pmd/trunk@1218 51baf565-9d33-0410-a72c-fc3788e3496d</t>
  </si>
  <si>
    <t>added checks to setup/teardown name checking
git-svn-id: https://pmd.svn.sourceforge.net/svnroot/pmd/trunk@1269 51baf565-9d33-0410-a72c-fc3788e3496d</t>
  </si>
  <si>
    <t>fixed bug 660069; thx to mcclain looney for the bug report
git-svn-id: https://pmd.svn.sourceforge.net/svnroot/pmd/trunk@1323 51baf565-9d33-0410-a72c-fc3788e3496d</t>
  </si>
  <si>
    <t>Fixed bug 668119
git-svn-id: https://pmd.svn.sourceforge.net/svnroot/pmd/trunk@1339 51baf565-9d33-0410-a72c-fc3788e3496d</t>
  </si>
  <si>
    <t>Removed JDBCReportListenerTest, cleaned up imports
git-svn-id: https://pmd.svn.sourceforge.net/svnroot/pmd/trunk@1344 51baf565-9d33-0410-a72c-fc3788e3496d</t>
  </si>
  <si>
    <t>fixed bug 672742
git-svn-id: https://pmd.svn.sourceforge.net/svnroot/pmd/trunk@1366 51baf565-9d33-0410-a72c-fc3788e3496d</t>
  </si>
  <si>
    <t>Updated UnusedModifierRule to catch 'public', too
git-svn-id: https://pmd.svn.sourceforge.net/svnroot/pmd/trunk@1399 51baf565-9d33-0410-a72c-fc3788e3496d</t>
  </si>
  <si>
    <t>Added new rule written by Carl Gilbert; thx Carl!
git-svn-id: https://pmd.svn.sourceforge.net/svnroot/pmd/trunk@1431 51baf565-9d33-0410-a72c-fc3788e3496d</t>
  </si>
  <si>
    <t>Fixed bug in IfStmtsMustUseBracesRule; thx to Michael Sutherland for the report
git-svn-id: https://pmd.svn.sourceforge.net/svnroot/pmd/trunk@1499 51baf565-9d33-0410-a72c-fc3788e3496d</t>
  </si>
  <si>
    <t>Converted some more rules over to XPath
git-svn-id: https://pmd.svn.sourceforge.net/svnroot/pmd/trunk@1526 51baf565-9d33-0410-a72c-fc3788e3496d</t>
  </si>
  <si>
    <t>Converted some more rules over to XPath
git-svn-id: https://pmd.svn.sourceforge.net/svnroot/pmd/trunk@1527 51baf565-9d33-0410-a72c-fc3788e3496d</t>
  </si>
  <si>
    <t>Converted some more rules over to XPath
git-svn-id: https://pmd.svn.sourceforge.net/svnroot/pmd/trunk@1528 51baf565-9d33-0410-a72c-fc3788e3496d</t>
  </si>
  <si>
    <t>Rolling in more of Dan's rule conversions
git-svn-id: https://pmd.svn.sourceforge.net/svnroot/pmd/trunk@1576 51baf565-9d33-0410-a72c-fc3788e3496d</t>
  </si>
  <si>
    <t>Rolling in more of Dan's rule conversions
git-svn-id: https://pmd.svn.sourceforge.net/svnroot/pmd/trunk@1577 51baf565-9d33-0410-a72c-fc3788e3496d</t>
  </si>
  <si>
    <t>Rolling in more of Dan's rule conversions
git-svn-id: https://pmd.svn.sourceforge.net/svnroot/pmd/trunk@1579 51baf565-9d33-0410-a72c-fc3788e3496d</t>
  </si>
  <si>
    <t>Rolling in more of Dan's rule conversions
git-svn-id: https://pmd.svn.sourceforge.net/svnroot/pmd/trunk@1580 51baf565-9d33-0410-a72c-fc3788e3496d</t>
  </si>
  <si>
    <t>Initial version of Brian Ewin's new CPD - much, much, much faster
git-svn-id: https://pmd.svn.sourceforge.net/svnroot/pmd/trunk@1612 51baf565-9d33-0410-a72c-fc3788e3496d</t>
  </si>
  <si>
    <t>More refactoring; reduced memory usage by about 10%
git-svn-id: https://pmd.svn.sourceforge.net/svnroot/pmd/trunk@1625 51baf565-9d33-0410-a72c-fc3788e3496d</t>
  </si>
  <si>
    <t>More refactoring; Locator is now merged into Mark
git-svn-id: https://pmd.svn.sourceforge.net/svnroot/pmd/trunk@1641 51baf565-9d33-0410-a72c-fc3788e3496d</t>
  </si>
  <si>
    <t>Fixed another bug thx to Adam Nemeth
git-svn-id: https://pmd.svn.sourceforge.net/svnroot/pmd/trunk@1696 51baf565-9d33-0410-a72c-fc3788e3496d</t>
  </si>
  <si>
    <t>Cleaning up some stuff
git-svn-id: https://pmd.svn.sourceforge.net/svnroot/pmd/trunk@1761 51baf565-9d33-0410-a72c-fc3788e3496d</t>
  </si>
  <si>
    <t>Inlined some more tests
git-svn-id: https://pmd.svn.sourceforge.net/svnroot/pmd/trunk@1763 51baf565-9d33-0410-a72c-fc3788e3496d</t>
  </si>
  <si>
    <t>More test inlining
git-svn-id: https://pmd.svn.sourceforge.net/svnroot/pmd/trunk@1768 51baf565-9d33-0410-a72c-fc3788e3496d</t>
  </si>
  <si>
    <t>Removed old test
git-svn-id: https://pmd.svn.sourceforge.net/svnroot/pmd/trunk@1778 51baf565-9d33-0410-a72c-fc3788e3496d</t>
  </si>
  <si>
    <t>More test inlining
git-svn-id: https://pmd.svn.sourceforge.net/svnroot/pmd/trunk@1793 51baf565-9d33-0410-a72c-fc3788e3496d</t>
  </si>
  <si>
    <t>Cleaned up some stuff used various test-data files
git-svn-id: https://pmd.svn.sourceforge.net/svnroot/pmd/trunk@1797 51baf565-9d33-0410-a72c-fc3788e3496d</t>
  </si>
  <si>
    <t>Refactoring away some duplication in the test code
git-svn-id: https://pmd.svn.sourceforge.net/svnroot/pmd/trunk@1803 51baf565-9d33-0410-a72c-fc3788e3496d</t>
  </si>
  <si>
    <t>Refactoring away some duplication in the test code
git-svn-id: https://pmd.svn.sourceforge.net/svnroot/pmd/trunk@1804 51baf565-9d33-0410-a72c-fc3788e3496d</t>
  </si>
  <si>
    <t>Modified PMD Ant task to use built in Ant logging
git-svn-id: https://pmd.svn.sourceforge.net/svnroot/pmd/trunk@1849 51baf565-9d33-0410-a72c-fc3788e3496d</t>
  </si>
  <si>
    <t>Cleaned up the PMD Ant task some more; many thanks to Philippe for his code
git-svn-id: https://pmd.svn.sourceforge.net/svnroot/pmd/trunk@1850 51baf565-9d33-0410-a72c-fc3788e3496d</t>
  </si>
  <si>
    <t>Implemented Gael Marziou's exclude rule feature
git-svn-id: https://pmd.svn.sourceforge.net/svnroot/pmd/trunk@1854 51baf565-9d33-0410-a72c-fc3788e3496d</t>
  </si>
  <si>
    <t>Test cleanup
git-svn-id: https://pmd.svn.sourceforge.net/svnroot/pmd/trunk@1871 51baf565-9d33-0410-a72c-fc3788e3496d</t>
  </si>
  <si>
    <t>test cleanup
git-svn-id: https://pmd.svn.sourceforge.net/svnroot/pmd/trunk@1872 51baf565-9d33-0410-a72c-fc3788e3496d</t>
  </si>
  <si>
    <t>Test code refactorings
git-svn-id: https://pmd.svn.sourceforge.net/svnroot/pmd/trunk@1877 51baf565-9d33-0410-a72c-fc3788e3496d</t>
  </si>
  <si>
    <t>Test code refactorings
git-svn-id: https://pmd.svn.sourceforge.net/svnroot/pmd/trunk@1878 51baf565-9d33-0410-a72c-fc3788e3496d</t>
  </si>
  <si>
    <t>Cleaned up some more tests
git-svn-id: https://pmd.svn.sourceforge.net/svnroot/pmd/trunk@1895 51baf565-9d33-0410-a72c-fc3788e3496d</t>
  </si>
  <si>
    <t>Test cleanup
git-svn-id: https://pmd.svn.sourceforge.net/svnroot/pmd/trunk@1896 51baf565-9d33-0410-a72c-fc3788e3496d</t>
  </si>
  <si>
    <t>More test cleanups
git-svn-id: https://pmd.svn.sourceforge.net/svnroot/pmd/trunk@1897 51baf565-9d33-0410-a72c-fc3788e3496d</t>
  </si>
  <si>
    <t>Removed LinkedList from LooseCoupling classes list
git-svn-id: https://pmd.svn.sourceforge.net/svnroot/pmd/trunk@1902 51baf565-9d33-0410-a72c-fc3788e3496d</t>
  </si>
  <si>
    <t>Added test to expose bug in ConstructorCallsOverridableMethodRule
git-svn-id: https://pmd.svn.sourceforge.net/svnroot/pmd/trunk@1903 51baf565-9d33-0410-a72c-fc3788e3496d</t>
  </si>
  <si>
    <t>Cleaning up tests
git-svn-id: https://pmd.svn.sourceforge.net/svnroot/pmd/trunk@1917 51baf565-9d33-0410-a72c-fc3788e3496d</t>
  </si>
  <si>
    <t>Cleaned up imports; cleaned up more tests
git-svn-id: https://pmd.svn.sourceforge.net/svnroot/pmd/trunk@1918 51baf565-9d33-0410-a72c-fc3788e3496d</t>
  </si>
  <si>
    <t>Minor test refactoring
git-svn-id: https://pmd.svn.sourceforge.net/svnroot/pmd/trunk@2010 51baf565-9d33-0410-a72c-fc3788e3496d</t>
  </si>
  <si>
    <t>Migrating SwingUI into its own module
git-svn-id: https://pmd.svn.sourceforge.net/svnroot/pmd/trunk@2026 51baf565-9d33-0410-a72c-fc3788e3496d</t>
  </si>
  <si>
    <t>Refactoring the symbol table a bit; added some interfaces, moved the ASTClassBodyDeclaration into BasicScopeFactory
git-svn-id: https://pmd.svn.sourceforge.net/svnroot/pmd/trunk@2044 51baf565-9d33-0410-a72c-fc3788e3496d</t>
  </si>
  <si>
    <t>Fixed constructor rule bugs; thx to Colin Simonds for the report
git-svn-id: https://pmd.svn.sourceforge.net/svnroot/pmd/trunk@2089 51baf565-9d33-0410-a72c-fc3788e3496d</t>
  </si>
  <si>
    <t>Updated to pmd-1.2
git-svn-id: https://pmd.svn.sourceforge.net/svnroot/pmd/trunk@2143 51baf565-9d33-0410-a72c-fc3788e3496d</t>
  </si>
  <si>
    <t>Fixed line numbering bug
git-svn-id: https://pmd.svn.sourceforge.net/svnroot/pmd/trunk@2144 51baf565-9d33-0410-a72c-fc3788e3496d</t>
  </si>
  <si>
    <t>Fixed bug [ 690196 ] PMD doesn't work on JDK 1.3 code (assert keyword)
git-svn-id: https://pmd.svn.sourceforge.net/svnroot/pmd/trunk@2248 51baf565-9d33-0410-a72c-fc3788e3496d</t>
  </si>
  <si>
    <t>More assert lookahead stuff
git-svn-id: https://pmd.svn.sourceforge.net/svnroot/pmd/trunk@2252 51baf565-9d33-0410-a72c-fc3788e3496d</t>
  </si>
  <si>
    <t>Modifying grammar to throw exceptions when 'assert' is used as an identifier and JDK 1.4 compatibility is enabled
git-svn-id: https://pmd.svn.sourceforge.net/svnroot/pmd/trunk@2258 51baf565-9d33-0410-a72c-fc3788e3496d</t>
  </si>
  <si>
    <t>Tweaked JUnitStaticSuiteRule
git-svn-id: https://pmd.svn.sourceforge.net/svnroot/pmd/trunk@2382 51baf565-9d33-0410-a72c-fc3788e3496d</t>
  </si>
  <si>
    <t>Modified UseSingletonRule, thanks to Philippe Couton for the suggestions
git-svn-id: https://pmd.svn.sourceforge.net/svnroot/pmd/trunk@2383 51baf565-9d33-0410-a72c-fc3788e3496d</t>
  </si>
  <si>
    <t>Fixed bug [ 840926 ] AvoidReassigningParameters warns about assign to array-index
git-svn-id: https://pmd.svn.sourceforge.net/svnroot/pmd/trunk@2384 51baf565-9d33-0410-a72c-fc3788e3496d</t>
  </si>
  <si>
    <t>Some test refactoring; started changing over all the license headers in the source code
git-svn-id: https://pmd.svn.sourceforge.net/svnroot/pmd/trunk@2400 51baf565-9d33-0410-a72c-fc3788e3496d</t>
  </si>
  <si>
    <t>[ 853409 ] VariableNamingConventionsRule false + on final instance vars
git-svn-id: https://pmd.svn.sourceforge.net/svnroot/pmd/trunk@2451 51baf565-9d33-0410-a72c-fc3788e3496d</t>
  </si>
  <si>
    <t>Added UnaryExpression to the AST
git-svn-id: https://pmd.svn.sourceforge.net/svnroot/pmd/trunk@2512 51baf565-9d33-0410-a72c-fc3788e3496d</t>
  </si>
  <si>
    <t>Checked in Chad Loder's implementation of FinalizeOverloaded
git-svn-id: https://pmd.svn.sourceforge.net/svnroot/pmd/trunk@2520 51baf565-9d33-0410-a72c-fc3788e3496d</t>
  </si>
  <si>
    <t>Checking in Steve Hawkins' patch to improve, debug, and optimize CPD.  Thanks Steve!
git-svn-id: https://pmd.svn.sourceforge.net/svnroot/pmd/trunk@2559 51baf565-9d33-0410-a72c-fc3788e3496d</t>
  </si>
  <si>
    <t>More CPD performance optimizations; thanks again to Steve Hawkins
git-svn-id: https://pmd.svn.sourceforge.net/svnroot/pmd/trunk@2561 51baf565-9d33-0410-a72c-fc3788e3496d</t>
  </si>
  <si>
    <t>More CPD optimization thanks to Steve Hawkins
git-svn-id: https://pmd.svn.sourceforge.net/svnroot/pmd/trunk@2564 51baf565-9d33-0410-a72c-fc3788e3496d</t>
  </si>
  <si>
    <t>Fixed bug in RuleSetFactory; messages were no longer getting the variable names plugged in
git-svn-id: https://pmd.svn.sourceforge.net/svnroot/pmd/trunk@2603 51baf565-9d33-0410-a72c-fc3788e3496d</t>
  </si>
  <si>
    <t>Consolidating some language spec tests
git-svn-id: https://pmd.svn.sourceforge.net/svnroot/pmd/trunk@2605 51baf565-9d33-0410-a72c-fc3788e3496d</t>
  </si>
  <si>
    <t>Added EqualityExpression to the AST
git-svn-id: https://pmd.svn.sourceforge.net/svnroot/pmd/trunk@2677 51baf565-9d33-0410-a72c-fc3788e3496d</t>
  </si>
  <si>
    <t>Fixed some stuff PMD found; moved DocumentNavigator test code in there
git-svn-id: https://pmd.svn.sourceforge.net/svnroot/pmd/trunk@2698 51baf565-9d33-0410-a72c-fc3788e3496d</t>
  </si>
  <si>
    <t>Cleaned up MockRule - removed a lot of unneeded methods and fields.  Made AbstractRule fields protected vs private so that MockRule could use them.
git-svn-id: https://pmd.svn.sourceforge.net/svnroot/pmd/trunk@2711 51baf565-9d33-0410-a72c-fc3788e3496d</t>
  </si>
  <si>
    <t>A bit of work on the symbol table - class names are now recorded in the GlobalScope.  Come to think of it, they should probably be recorded in SourceFileScope or some such interim layer instead to allow for private inner classes.  At any rate, that's where they are for now.  I also pushed some stuff down from AbstractScope into LocalScope where it seemed to fit better.  Removed a useless unit test, added some good ones.  Generally, making progress towards fixing the 'unused private field false positive when inner class private field is referenced from enclosing class'
git-svn-id: https://pmd.svn.sourceforge.net/svnroot/pmd/trunk@2751 51baf565-9d33-0410-a72c-fc3788e3496d</t>
  </si>
  <si>
    <t>A little Friday afternoon test gardening
git-svn-id: https://pmd.svn.sourceforge.net/svnroot/pmd/trunk@2753 51baf565-9d33-0410-a72c-fc3788e3496d</t>
  </si>
  <si>
    <t>Fixed a bug; UnusedLocalVariable now counts an assignment to a local variable's member as a usage
git-svn-id: https://pmd.svn.sourceforge.net/svnroot/pmd/trunk@2757 51baf565-9d33-0410-a72c-fc3788e3496d</t>
  </si>
  <si>
    <t>More gardening
git-svn-id: https://pmd.svn.sourceforge.net/svnroot/pmd/trunk@2791 51baf565-9d33-0410-a72c-fc3788e3496d</t>
  </si>
  <si>
    <t>Test gardening
git-svn-id: https://pmd.svn.sourceforge.net/svnroot/pmd/trunk@2798 51baf565-9d33-0410-a72c-fc3788e3496d</t>
  </si>
  <si>
    <t>Fixed bug in SimplifyBooleanExpressions - now it catches more cases.  Thanks to Paul Rowe for the report.  Also fixed a problem in the RuleViolationComparator; violations on the same line of the same file resulted in one of them getting discarded since I'm using a TreeSet
git-svn-id: https://pmd.svn.sourceforge.net/svnroot/pmd/trunk@2814 51baf565-9d33-0410-a72c-fc3788e3496d</t>
  </si>
  <si>
    <t>Import cleaning
git-svn-id: https://pmd.svn.sourceforge.net/svnroot/pmd/trunk@2893 51baf565-9d33-0410-a72c-fc3788e3496d</t>
  </si>
  <si>
    <t>Fixing arrays - instead of checking the Type and VariableDeclaratorId nodes, we should be checking the LocalVariableDeclaration, FieldDeclaration, and FormalParameter nodes
git-svn-id: https://pmd.svn.sourceforge.net/svnroot/pmd/trunk@2901 51baf565-9d33-0410-a72c-fc3788e3496d</t>
  </si>
  <si>
    <t>Added two new optional attributes to rule definitions - symboltable and dfa.  These allow the symbol table and DFA facades to be configured on a rule-by-rule basis.  Note that if your rule needs the symbol table; you'll need to add symboltable='true' to your rule definition.  FWIW, this also results in about a 5% speedup for rules that don't need either layer.
git-svn-id: https://pmd.svn.sourceforge.net/svnroot/pmd/trunk@2915 51baf565-9d33-0410-a72c-fc3788e3496d</t>
  </si>
  <si>
    <t>Moving test cases over to regress/ directory
git-svn-id: https://pmd.svn.sourceforge.net/svnroot/pmd/trunk@2921 51baf565-9d33-0410-a72c-fc3788e3496d</t>
  </si>
  <si>
    <t>Tidying up some spacing and such
git-svn-id: https://pmd.svn.sourceforge.net/svnroot/pmd/trunk@2925 51baf565-9d33-0410-a72c-fc3788e3496d</t>
  </si>
  <si>
    <t>More work on DFA tests - and mostly just trying to understand how things work
git-svn-id: https://pmd.svn.sourceforge.net/svnroot/pmd/trunk@2962 51baf565-9d33-0410-a72c-fc3788e3496d</t>
  </si>
  <si>
    <t>Adding tests, learning how things work... good times
git-svn-id: https://pmd.svn.sourceforge.net/svnroot/pmd/trunk@2966 51baf565-9d33-0410-a72c-fc3788e3496d</t>
  </si>
  <si>
    <t>Test gardening, minor refactorings
git-svn-id: https://pmd.svn.sourceforge.net/svnroot/pmd/trunk@2969 51baf565-9d33-0410-a72c-fc3788e3496d</t>
  </si>
  <si>
    <t>Test gardening
git-svn-id: https://pmd.svn.sourceforge.net/svnroot/pmd/trunk@2981 51baf565-9d33-0410-a72c-fc3788e3496d</t>
  </si>
  <si>
    <t>Fixed bug 1055930 - CouplingBetweenObjectsRule no longer throws a NPE on interfaces
git-svn-id: https://pmd.svn.sourceforge.net/svnroot/pmd/trunk@3016 51baf565-9d33-0410-a72c-fc3788e3496d</t>
  </si>
  <si>
    <t>Fixed for Win32... should really write more tests for this for other encoding... but how?
git-svn-id: https://pmd.svn.sourceforge.net/svnroot/pmd/trunk@3018 51baf565-9d33-0410-a72c-fc3788e3496d</t>
  </si>
  <si>
    <t>Fixed for Win32... should really write more tests for this for other encoding... but how?
git-svn-id: https://pmd.svn.sourceforge.net/svnroot/pmd/trunk@3019 51baf565-9d33-0410-a72c-fc3788e3496d</t>
  </si>
  <si>
    <t>Continued working on JDK 1.5 compatibility - added support for static import statements.
git-svn-id: https://pmd.svn.sourceforge.net/svnroot/pmd/trunk@3027 51baf565-9d33-0410-a72c-fc3788e3496d</t>
  </si>
  <si>
    <t>Modified grammar to use the Modifiers class from the stock JDK 1.5 grammar; this gets us a bit closer to parsing JDK 1.5 code
git-svn-id: https://pmd.svn.sourceforge.net/svnroot/pmd/trunk@3049 51baf565-9d33-0410-a72c-fc3788e3496d</t>
  </si>
  <si>
    <t>Began implementing fixes for bug [ 1082895 ] Inconsistent rule names
git-svn-id: https://pmd.svn.sourceforge.net/svnroot/pmd/trunk@3072 51baf565-9d33-0410-a72c-fc3788e3496d</t>
  </si>
  <si>
    <t>Working on cleaning up overrides in RuleSetFactory, still a bit more of refactoring to do
git-svn-id: https://pmd.svn.sourceforge.net/svnroot/pmd/trunk@3103 51baf565-9d33-0410-a72c-fc3788e3496d</t>
  </si>
  <si>
    <t>Fixed various bugs in the rule override logic; now it no longer requires the 'class' attribute of a rule be listed in the overrides section.
git-svn-id: https://pmd.svn.sourceforge.net/svnroot/pmd/trunk@3104 51baf565-9d33-0410-a72c-fc3788e3496d</t>
  </si>
  <si>
    <t>Cleaned up a good bit of the symbol table code; thanks much to Harald Gurres for the patch!
git-svn-id: https://pmd.svn.sourceforge.net/svnroot/pmd/trunk@3124 51baf565-9d33-0410-a72c-fc3788e3496d</t>
  </si>
  <si>
    <t>Some minor test gardening
git-svn-id: https://pmd.svn.sourceforge.net/svnroot/pmd/trunk@3147 51baf565-9d33-0410-a72c-fc3788e3496d</t>
  </si>
  <si>
    <t>Fixed bug 1114625 - UnusedPrivateField no longer throws an NPE on standalone postfix expressions which are prefixed with 'this'.
git-svn-id: https://pmd.svn.sourceforge.net/svnroot/pmd/trunk@3233 51baf565-9d33-0410-a72c-fc3788e3496d</t>
  </si>
  <si>
    <t>Fixed a bug - the PMD Ant task's failOnRuleViolation attribute no longer causes a BuildException in the case when no rule violations occur.
git-svn-id: https://pmd.svn.sourceforge.net/svnroot/pmd/trunk@3234 51baf565-9d33-0410-a72c-fc3788e3496d</t>
  </si>
  <si>
    <t>A nice patch to add Ruby support to CPD; thanks to Zev Blut!
git-svn-id: https://pmd.svn.sourceforge.net/svnroot/pmd/trunk@3298 51baf565-9d33-0410-a72c-fc3788e3496d</t>
  </si>
  <si>
    <t>Fixed bug 797742 - PMD now parses JDK 1.5 source code.  Note that it's not perfect yet; it fails on some generics/annotations/enums.  More testing and bug reports are welcome!
git-svn-id: https://pmd.svn.sourceforge.net/svnroot/pmd/trunk@3332 51baf565-9d33-0410-a72c-fc3788e3496d</t>
  </si>
  <si>
    <t>StringToString works with the new grammar now
git-svn-id: https://pmd.svn.sourceforge.net/svnroot/pmd/trunk@3333 51baf565-9d33-0410-a72c-fc3788e3496d</t>
  </si>
  <si>
    <t>Fixed an apparent grammar bug - it wouldn't parse class declarations within methods.  I wonder if I broke anything else, though... also, fixed AccessorClassGeneration
git-svn-id: https://pmd.svn.sourceforge.net/svnroot/pmd/trunk@3374 51baf565-9d33-0410-a72c-fc3788e3496d</t>
  </si>
  <si>
    <t>Removed redundant AbstractClassDoesNotContainAbstractMethod rule
git-svn-id: https://pmd.svn.sourceforge.net/svnroot/pmd/trunk@3395 51baf565-9d33-0410-a72c-fc3788e3496d</t>
  </si>
  <si>
    <t>Fixed bug 1170109 - The Ant task now supports an optional 'targetjdk' attribute that accepts values of '1.3', '1.4', or '1.5'.
git-svn-id: https://pmd.svn.sourceforge.net/svnroot/pmd/trunk@3404 51baf565-9d33-0410-a72c-fc3788e3496d</t>
  </si>
  <si>
    <t>minor cleanups, import cleanup
git-svn-id: https://pmd.svn.sourceforge.net/svnroot/pmd/trunk@3405 51baf565-9d33-0410-a72c-fc3788e3496d</t>
  </si>
  <si>
    <t>Fixed bug 1169731 - UnusedImports no longer reports false positives on types used inside generics.  This bug also resulted in a bug in ForLoopShouldBeWhileLoop being fixed, thanks Wim!
git-svn-id: https://pmd.svn.sourceforge.net/svnroot/pmd/trunk@3408 51baf565-9d33-0410-a72c-fc3788e3496d</t>
  </si>
  <si>
    <t>Fixed bug 1188372 - AtLeastOneConstructor no longer fires on interfaces.  Also, twiddling grammar to try to figure out annotations bug
git-svn-id: https://pmd.svn.sourceforge.net/svnroot/pmd/trunk@3450 51baf565-9d33-0410-a72c-fc3788e3496d</t>
  </si>
  <si>
    <t>Fixed bug 1187325 - UnusedImports no longer reports a false positive on imports which are used inside an Annotation.
git-svn-id: https://pmd.svn.sourceforge.net/svnroot/pmd/trunk@3464 51baf565-9d33-0410-a72c-fc3788e3496d</t>
  </si>
  <si>
    <t>test gardening
git-svn-id: https://pmd.svn.sourceforge.net/svnroot/pmd/trunk@3473 51baf565-9d33-0410-a72c-fc3788e3496d</t>
  </si>
  <si>
    <t>Fixed bug 1196238 - UnusedImports no longer reports false positives for various JDK 1.5 java.lang subpackages.
git-svn-id: https://pmd.svn.sourceforge.net/svnroot/pmd/trunk@3474 51baf565-9d33-0410-a72c-fc3788e3496d</t>
  </si>
  <si>
    <t>Fixed bug 1198832 - AbstractClassWithoutAbstractMethod no longer flags classes which implement interfaces since these can partially implement the interface and thus don't need to explicitly declare abstract methods.
git-svn-id: https://pmd.svn.sourceforge.net/svnroot/pmd/trunk@3487 51baf565-9d33-0410-a72c-fc3788e3496d</t>
  </si>
  <si>
    <t>rls preps
git-svn-id: https://pmd.svn.sourceforge.net/svnroot/pmd/trunk@3488 51baf565-9d33-0410-a72c-fc3788e3496d</t>
  </si>
  <si>
    <t>Fixed bug 1201577 - PMD now correctly parses method declarations that return generic types.
git-svn-id: https://pmd.svn.sourceforge.net/svnroot/pmd/trunk@3497 51baf565-9d33-0410-a72c-fc3788e3496d</t>
  </si>
  <si>
    <t>Added two new node types - ASTCatchStatement and ASTFinallyStatement.
git-svn-id: https://pmd.svn.sourceforge.net/svnroot/pmd/trunk@3509 51baf565-9d33-0410-a72c-fc3788e3496d</t>
  </si>
  <si>
    <t>A bit of symbol table refactoring; modified some of UnusedPrivateMethod to use symbol table.
git-svn-id: https://pmd.svn.sourceforge.net/svnroot/pmd/trunk@3519 51baf565-9d33-0410-a72c-fc3788e3496d</t>
  </si>
  <si>
    <t>A much-improved implementation of asXML(); thx to Wim Deblauwe for coordinating and coding this up!
git-svn-id: https://pmd.svn.sourceforge.net/svnroot/pmd/trunk@3531 51baf565-9d33-0410-a72c-fc3788e3496d</t>
  </si>
  <si>
    <t>Fixed bug 1215854 - Package/class/method name are now filled in whenever possible, and the XML report includes all three.
git-svn-id: https://pmd.svn.sourceforge.net/svnroot/pmd/trunk@3545 51baf565-9d33-0410-a72c-fc3788e3496d</t>
  </si>
  <si>
    <t>Minor refactoring
git-svn-id: https://pmd.svn.sourceforge.net/svnroot/pmd/trunk@3579 51baf565-9d33-0410-a72c-fc3788e3496d</t>
  </si>
  <si>
    <t>Deleted redundant ExplicitCallToFinalize rule.
git-svn-id: https://pmd.svn.sourceforge.net/svnroot/pmd/trunk@3623 51baf565-9d33-0410-a72c-fc3788e3496d</t>
  </si>
  <si>
    <t>Implement the RuleSets extension points new tests
git-svn-id: https://pmd.svn.sourceforge.net/svnroot/pmd/trunk@3646 51baf565-9d33-0410-a72c-fc3788e3496d</t>
  </si>
  <si>
    <t>Implemented new rule PositionLiteralsFirstInComparisons
git-svn-id: https://pmd.svn.sourceforge.net/svnroot/pmd/trunk@3665 51baf565-9d33-0410-a72c-fc3788e3496d</t>
  </si>
  <si>
    <t>Improved warning message from UnusedPrivateMethod.
git-svn-id: https://pmd.svn.sourceforge.net/svnroot/pmd/trunk@3711 51baf565-9d33-0410-a72c-fc3788e3496d</t>
  </si>
  <si>
    <t>Symbol table now picks up class declarations and puts them in the right places - either in SourceFileScope if it's a top level class or ClassScope if it's a nested class.  Prior to this, class declarations were added to SourceFileScope even if they were nested.
git-svn-id: https://pmd.svn.sourceforge.net/svnroot/pmd/trunk@3742 51baf565-9d33-0410-a72c-fc3788e3496d</t>
  </si>
  <si>
    <t>Renamed BasicScopeCreationVisitor to ScopeAndDeclarationFinder, refactored away one of the symbol table passes
git-svn-id: https://pmd.svn.sourceforge.net/svnroot/pmd/trunk@3743 51baf565-9d33-0410-a72c-fc3788e3496d</t>
  </si>
  <si>
    <t>More cleanups as I continue to work through all the rules; deleted a redundant rule in the strictexception ruleset
git-svn-id: https://pmd.svn.sourceforge.net/svnroot/pmd/trunk@3763 51baf565-9d33-0410-a72c-fc3788e3496d</t>
  </si>
  <si>
    <t>Fixed bug to account for Annotations in local variable declarations; renamed NameOccurrences to NameFinder
git-svn-id: https://pmd.svn.sourceforge.net/svnroot/pmd/trunk@3774 51baf565-9d33-0410-a72c-fc3788e3496d</t>
  </si>
  <si>
    <t>Optimizing Jaxen integration; caching the node methods knocks about half a second off a 'basic' ruleset run on the java/lang/ source code
git-svn-id: https://pmd.svn.sourceforge.net/svnroot/pmd/trunk@3831 51baf565-9d33-0410-a72c-fc3788e3496d</t>
  </si>
  <si>
    <t>Fixed unit tests
git-svn-id: https://pmd.svn.sourceforge.net/svnroot/pmd/trunk@3837 51baf565-9d33-0410-a72c-fc3788e3496d</t>
  </si>
  <si>
    <t>A big refactoring so that RuleViolation has a reference to the AST Node object that's responsible for the RuleViolation; this simplifies some of the code and gets us closer to being able to suppress PMD warnings using annotations.  It's possible that this may break some custom rules that are written in Java, but it should be only a small code change to the way the rule add RuleViolations to the Report to fix these breakages.
git-svn-id: https://pmd.svn.sourceforge.net/svnroot/pmd/trunk@3880 51baf565-9d33-0410-a72c-fc3788e3496d</t>
  </si>
  <si>
    <t>Finished implementing suppression by annotations feature
git-svn-id: https://pmd.svn.sourceforge.net/svnroot/pmd/trunk@3914 51baf565-9d33-0410-a72c-fc3788e3496d</t>
  </si>
  <si>
    <t>Rewrote CPD XMLRenderer output to look nicer, rewrote CPD XMLRenderer to actually parse XML.  Actually, the XMLRenderer should use DocumentBuilder.newDocument() and whatnot to create the report.
git-svn-id: https://pmd.svn.sourceforge.net/svnroot/pmd/trunk@3987 51baf565-9d33-0410-a72c-fc3788e3496d</t>
  </si>
  <si>
    <t>Added Fabio Insaccanebbia's two new rules - ClassCastExceptionWithToArray and AvoidDecimalLiteralsInBigDecimalConstructor
git-svn-id: https://pmd.svn.sourceforge.net/svnroot/pmd/trunk@4016 51baf565-9d33-0410-a72c-fc3788e3496d</t>
  </si>
  <si>
    <t>Fixed bug 1371741 - UncommentedEmptyConstructor no longer flags constructors that consist of a this() or a super() invocation.  Thanks to Johan for the patch!
git-svn-id: https://pmd.svn.sourceforge.net/svnroot/pmd/trunk@4055 51baf565-9d33-0410-a72c-fc3788e3496d</t>
  </si>
  <si>
    <t>Implement a new preferences model and review some tests
git-svn-id: https://pmd.svn.sourceforge.net/svnroot/pmd/trunk@4099 51baf565-9d33-0410-a72c-fc3788e3496d</t>
  </si>
  <si>
    <t>Ant task now supports a 'minimumPriority' attribute; only rules with this priority or higher will be run.  Renamed Ant task 'printToConsole' attribute to 'toConsole' and it can only be used inside a formatter element.
git-svn-id: https://pmd.svn.sourceforge.net/svnroot/pmd/trunk@4104 51baf565-9d33-0410-a72c-fc3788e3496d</t>
  </si>
  <si>
    <t>Fixed bug 1445765 - PMD no longer uses huge amounts of memory.  However, you need to use RuleViolation.getBeginLine(); RuleViolation.getNode() is no more.
git-svn-id: https://pmd.svn.sourceforge.net/svnroot/pmd/trunk@4285 51baf565-9d33-0410-a72c-fc3788e3496d</t>
  </si>
  <si>
    <t>Added RuleViolation.getBeginColumn()/getEndColumn()
git-svn-id: https://pmd.svn.sourceforge.net/svnroot/pmd/trunk@4319 51baf565-9d33-0410-a72c-fc3788e3496d</t>
  </si>
  <si>
    <t>Fixed a symbol table bug; PMD no longer crashes on enumeration declarations in the same scope containing the same field name
git-svn-id: https://pmd.svn.sourceforge.net/svnroot/pmd/trunk@4343 51baf565-9d33-0410-a72c-fc3788e3496d</t>
  </si>
  <si>
    <t>Checking in changes made since CVS went down last week
git-svn-id: https://pmd.svn.sourceforge.net/svnroot/pmd/trunk@4380 51baf565-9d33-0410-a72c-fc3788e3496d</t>
  </si>
  <si>
    <t>Begin refactoring the unit tests for the plugin
git-svn-id: https://pmd.svn.sourceforge.net/svnroot/pmd/trunk@4421 51baf565-9d33-0410-a72c-fc3788e3496d</t>
  </si>
  <si>
    <t>Move the new rule sets management to the core plugin instead of the runtime.
Continue the development.
git-svn-id: https://pmd.svn.sourceforge.net/svnroot/pmd/trunk@4432 51baf565-9d33-0410-a72c-fc3788e3496d</t>
  </si>
  <si>
    <t>More cleanup of leftover stuff that was replaced by JJTree's conditional node descriptors
git-svn-id: https://pmd.svn.sourceforge.net/svnroot/pmd/trunk@4470 51baf565-9d33-0410-a72c-fc3788e3496d</t>
  </si>
  <si>
    <t>Added new rule written by Wouter Zelle - BrokenNullCheck.  Thanks Wouter!
git-svn-id: https://pmd.svn.sourceforge.net/svnroot/pmd/trunk@4500 51baf565-9d33-0410-a72c-fc3788e3496d</t>
  </si>
  <si>
    <t>Rewrote the NOPMD mechanism to collect NOPMD markers as the source file is tokenized.  This eliminates an entire scan of each source file.
git-svn-id: https://pmd.svn.sourceforge.net/svnroot/pmd/trunk@4518 51baf565-9d33-0410-a72c-fc3788e3496d</t>
  </si>
  <si>
    <t>Improving JUnit tests
I went over the output, it looks correct. For many, having a test will help down the road to throw a flag if anything changes
git-svn-id: https://pmd.svn.sourceforge.net/svnroot/pmd/trunk@4642 51baf565-9d33-0410-a72c-fc3788e3496d</t>
  </si>
  <si>
    <t>A tremendous patch from Wouter to move lots of things over to the new rule XML test format
git-svn-id: https://pmd.svn.sourceforge.net/svnroot/pmd/trunk@4793 51baf565-9d33-0410-a72c-fc3788e3496d</t>
  </si>
  <si>
    <t>Some major changes:
- new CPD View
- changed and refactored ViolationOverview
- some minor changes to dataflowview to work with PMD
git-svn-id: https://pmd.svn.sourceforge.net/svnroot/pmd/trunk@4800 51baf565-9d33-0410-a72c-fc3788e3496d</t>
  </si>
  <si>
    <t>more XML cleanups
git-svn-id: https://pmd.svn.sourceforge.net/svnroot/pmd/trunk@4844 51baf565-9d33-0410-a72c-fc3788e3496d</t>
  </si>
  <si>
    <t>cleanup of test using reinitialization in XML test-data file
git-svn-id: https://pmd.svn.sourceforge.net/svnroot/pmd/trunk@4850 51baf565-9d33-0410-a72c-fc3788e3496d</t>
  </si>
  <si>
    <t>Cleanup of test using reinitialization in XML test-data file
git-svn-id: https://pmd.svn.sourceforge.net/svnroot/pmd/trunk@4851 51baf565-9d33-0410-a72c-fc3788e3496d</t>
  </si>
  <si>
    <t>Moving to JUnit 4
git-svn-id: https://pmd.svn.sourceforge.net/svnroot/pmd/trunk@5043 51baf565-9d33-0410-a72c-fc3788e3496d</t>
  </si>
  <si>
    <t>Consolidating test code
git-svn-id: https://pmd.svn.sourceforge.net/svnroot/pmd/trunk@5372 51baf565-9d33-0410-a72c-fc3788e3496d</t>
  </si>
  <si>
    <t>Rest of basic ruleset tests merged
git-svn-id: https://pmd.svn.sourceforge.net/svnroot/pmd/trunk@5373 51baf565-9d33-0410-a72c-fc3788e3496d</t>
  </si>
  <si>
    <t>Goodbye duplicated code
git-svn-id: https://pmd.svn.sourceforge.net/svnroot/pmd/trunk@5374 51baf565-9d33-0410-a72c-fc3788e3496d</t>
  </si>
  <si>
    <t>More test cleanup.  Thank goodness for find, xargs, grep, and cut.
git-svn-id: https://pmd.svn.sourceforge.net/svnroot/pmd/trunk@5375 51baf565-9d33-0410-a72c-fc3788e3496d</t>
  </si>
  <si>
    <t>More test cleanups
git-svn-id: https://pmd.svn.sourceforge.net/svnroot/pmd/trunk@5376 51baf565-9d33-0410-a72c-fc3788e3496d</t>
  </si>
  <si>
    <t>More test class cleanups
git-svn-id: https://pmd.svn.sourceforge.net/svnroot/pmd/trunk@5377 51baf565-9d33-0410-a72c-fc3788e3496d</t>
  </si>
  <si>
    <t>More test case consolidation
git-svn-id: https://pmd.svn.sourceforge.net/svnroot/pmd/trunk@5378 51baf565-9d33-0410-a72c-fc3788e3496d</t>
  </si>
  <si>
    <t>More test case consolidation
git-svn-id: https://pmd.svn.sourceforge.net/svnroot/pmd/trunk@5381 51baf565-9d33-0410-a72c-fc3788e3496d</t>
  </si>
  <si>
    <t>More test case consolidation
git-svn-id: https://pmd.svn.sourceforge.net/svnroot/pmd/trunk@5382 51baf565-9d33-0410-a72c-fc3788e3496d</t>
  </si>
  <si>
    <t>That should do it
git-svn-id: https://pmd.svn.sourceforge.net/svnroot/pmd/trunk@5383 51baf565-9d33-0410-a72c-fc3788e3496d</t>
  </si>
  <si>
    <t>985989, ConstructorCallsOverridableMethodRule now also checks (inner) static classes
git-svn-id: https://pmd.svn.sourceforge.net/svnroot/pmd/trunk@5544 51baf565-9d33-0410-a72c-fc3788e3496d</t>
  </si>
  <si>
    <t>code refactoring: testAll() moved to parent, rules are now added in setUp() using addRule().
git-svn-id: https://pmd.svn.sourceforge.net/svnroot/pmd/trunk@5568 51baf565-9d33-0410-a72c-fc3788e3496d</t>
  </si>
  <si>
    <t>no need to redefine testAll() and ignore it if no rule is inserted in setup
git-svn-id: https://pmd.svn.sourceforge.net/svnroot/pmd/trunk@5586 51baf565-9d33-0410-a72c-fc3788e3496d</t>
  </si>
  <si>
    <t>New elements under &lt;ruleset&gt;: &lt;exclude-pattern&gt; to match files exclude from processing, with &lt;include-pattern&gt; to override.
git-svn-id: https://pmd.svn.sourceforge.net/svnroot/pmd/trunk@5731 51baf565-9d33-0410-a72c-fc3788e3496d</t>
  </si>
  <si>
    <t>Fixed bug 1912831 - False + UnusedPrivateMethod with varargs
git-svn-id: https://pmd.svn.sourceforge.net/svnroot/pmd/trunk@5897 51baf565-9d33-0410-a72c-fc3788e3496d</t>
  </si>
  <si>
    <t>As suggested by Ryan, i added a control on the externalURLInfo. Now if there are some invalid ExternalInfoURL.
git-svn-id: https://pmd.svn.sourceforge.net/svnroot/pmd/trunk@5915 51baf565-9d33-0410-a72c-fc3788e3496d</t>
  </si>
  <si>
    <t>Addition of Language and LanguageVersion enums.  Replaces old SourceType approach.
git-svn-id: https://pmd.svn.sourceforge.net/svnroot/pmd/trunk@5940 51baf565-9d33-0410-a72c-fc3788e3496d</t>
  </si>
  <si>
    <t>Rule refactoring into proper Language packages.
Also renamed Rules to following standard convention and organization, and enhanced the RuleSetFactoryTest case to assert this convention.  For example, if the non-XPath Rule is XxxYyy/zzz.xml, then the rule class should be:
   lang.${lang}.rule.${zzz}.${XxxYyy}Rule
Ahh... wonderous consistency. :)
We're getting closer, much of the big stuff is now done, but still a fair bit to do, see changelog for details.
git-svn-id: https://pmd.svn.sourceforge.net/svnroot/pmd/trunk@5958 51baf565-9d33-0410-a72c-fc3788e3496d</t>
  </si>
  <si>
    <t>Changes to Rule interface to support a Language value.  Every Rule must have a Language.  All the Java AST Rule base classes will default the Language, and enforce that it cannot be changed to something else (e.g. ImmutableLanguage interface).  XPath Rules must specify a Language in the RuleSet XML.  All existing Rules have had their languages set appropriately.
Also added a minimum and maximum Language Version to Rules.  By default these are null, indicating a Rule applies to all versions of a Language.  Some Rules can be defined to work only on certain Language Version ranges.  It is envisioned this will be used for Java migration related rules, and for future Rules concerning newer Java language feature usage (e.g. Annotations, etc).
Next step is to rework RuleSet to no longer use Language directly, but to defer to it's Rules.
git-svn-id: https://pmd.svn.sourceforge.net/svnroot/pmd/trunk@6195 51baf565-9d33-0410-a72c-fc3788e3496d</t>
  </si>
  <si>
    <t>Change the "excludeMarker" to "suppressMarker" to make this consistent with the use of "suppress" elsewhere in PMD, and with the standard Java @SuppressWarnings() annotation.
Remove some of the processFiles() APIs on the PMD class, we really don't need that many of them.  In this regard, the one API that allowed a LanguageVersion to be passed explicitly has been removed, and the RuleContext class update to indicate this is the preferred method of indicating the LanguageVersion to use when processing a source file.
Initial cut at adding a Configuration class, for storing all PMD configuration related items.  So far, I've just moved the stuff that was stored on the PMD class itself to the Configuration class.  Additional work will be done to move the stuff currently in CommandLineOptions and in the Ant task onto the Configuration class.  Then the processFiles methods will be modified to take a Configuration option.  This should prevent the proliferation of processFile() methods in the future, and make it possible to unify some common aspects of the command line/Ant usages.
git-svn-id: https://pmd.svn.sourceforge.net/svnroot/pmd/trunk@6208 51baf565-9d33-0410-a72c-fc3788e3496d</t>
  </si>
  <si>
    <t>API Change - Changes to Node interface
      Renamed - findChildrenOfType() as findDescendantsOfType()
      Renamed - getFirstChildOfType() as getFirstDescendantOfType()
      Renamed - containsChildOfType() as hasDescendantOfType()
      Added - findChildrenOfType(), non recursive version
      Added - getFirstChildOfType(), non recursive version
Some of the recursion has been removed. Profiling shows that the old
findChildrenOfType was using 4.7% of the time, the new version,
findDescendantsOfType, is now using 3.3%.
git-svn-id: https://pmd.svn.sourceforge.net/svnroot/pmd/trunk@6245 51baf565-9d33-0410-a72c-fc3788e3496d</t>
  </si>
  <si>
    <t>Minor revision to PropertyDescriptor interface  (maxValueCount -&gt; isMultiValue)
Reworked all property descriptors, augmented JUnit tests
Added the core get/set methods to the Rule interface, remaining Type &amp; Method property descriptors need further refinement
Added pass-through methods on RuleDelegate per changes in Rule interface
Added new AbstractNumericProperty that captures boundary limits for external editors. DoubleProperty is subclass of it, others to follow once all is ok after this check-in
Deprecated all remaining string-based property accessors, need to figure out how to accommodate XPATH parms and the like. All rules with properties need descriptors to access them, may use alternate approach for external XPATH ones?
Minor optimization in RuleSetFactory
git-svn-id: https://pmd.svn.sourceforge.net/svnroot/pmd/trunk@6373 51baf565-9d33-0410-a72c-fc3788e3496d</t>
  </si>
  <si>
    <t>Refactored FloatProperty under Abst.Numeric to gain bounding limits. Adjusted test cases to match. Some JavaDoc tweaks as well.
git-svn-id: https://pmd.svn.sourceforge.net/svnroot/pmd/trunk@6374 51baf565-9d33-0410-a72c-fc3788e3496d</t>
  </si>
  <si>
    <t>Completed Method &amp; Type property descriptors and refactored them under a common class that can filter by optional package prefixes. Matching test cases for same.
Updated TypeMap to catch errors, new test cases.
Updated ClassUtil with new functionality for the new descriptors and restored lost indentation formatting.
git-svn-id: https://pmd.svn.sourceforge.net/svnroot/pmd/trunk@6388 51baf565-9d33-0410-a72c-fc3788e3496d</t>
  </si>
  <si>
    <t>Major refactoring for PropertyDescriptors.  Changes include:
1) Genericization of PropertyDesciptors, which facilitates the DRY principle
2) Split multi-valued PropertyDesciptors into separate classes, to take full advantage of Generics
3) Remove simple String property accessors from the Rule interface, only PropertyDescriptor are supported now
4) Properties are defined via Rule.definePropertyDescriptor(PropertyDescriptor) interface, normally called in a Constructors
5) RuleSet XML enhanced to support PropertyDescriptor defining
6) RuleSetFactory and RuleSetWriter account for the more robust property definitions
7) All RuleSet XMLs corrected to move definitions to Java classes where needed, and to including necessary Type information where missing
git-svn-id: https://pmd.svn.sourceforge.net/svnroot/pmd/trunk@6431 51baf565-9d33-0410-a72c-fc3788e3496d</t>
  </si>
  <si>
    <t>Refactoring command line tool to remove '-nojsp, -nojava,-targetjdk' options.
Implemented a new option "-lang" which must be followed by two arguments (ex: "-lang java 1.4").
Added "get default" for both Language and LanguageVersion, in order to centralize all of this, a lit bit more.
Change behavior of 'findByerseName(String terseName)' , to ignore case differences, kept old method
with the name 'findByExactTerseName(String terseName)'
git-svn-id: https://pmd.svn.sourceforge.net/svnroot/pmd/trunk@6454 51baf565-9d33-0410-a72c-fc3788e3496d</t>
  </si>
  <si>
    <t>plugin reorganization: test projects updated to reflect changes in plugin architecture
git-svn-id: https://pmd.svn.sourceforge.net/svnroot/pmd/trunk@6522 51baf565-9d33-0410-a72c-fc3788e3496d</t>
  </si>
  <si>
    <t>Rework Renderer to support standardized option passing, as well as a more rigorous definition of those options.  This approach allows for a RendererFactory to create Renderer instances, as well as a means to programmatically output details on all available Renderers.  Both the PMD command line and Ant tasks now take advantage of the RendererFactory, and have been enhanced to support generic report option passing (ie. -parameter and &lt;param&gt; respectively).  Removed obsoleted Renderer specific options from command line and Ant task (e.g. linkPrefix, etc).  Finally, some Renderers were given more appropriate names.  We should consider dropping some of these goofy Renderers out of the tree (there's about 4-5 Renderers for HTML!).
Added missing -showsuppresse option for PMD command line.  The default is the same as the Ant task (false), which is a change from prior PMD behavior, but I think this is justified for consistency's sake and the fact that most people likely use the Ant task anyway.
While working on CommandLineOptions, the argument processed code was cleaned up a bit so that missing parameters for options will now give better error messages.  This isn't to say there's not work that could still be done in this area, as the code is still rather too loosey-goosey for my tastes.
git-svn-id: https://pmd.svn.sourceforge.net/svnroot/pmd/trunk@6561 51baf565-9d33-0410-a72c-fc3788e3496d</t>
  </si>
  <si>
    <t>Remove support for Java 1.4 runtime.  Primarily this entails removal of the build processes and scripts used to support running with retroweaver.  Additional changes are made to code which made checks for running on a 1.4 JVM (found via searches).
git-svn-id: https://pmd.svn.sourceforge.net/svnroot/pmd/trunk@6565 51baf565-9d33-0410-a72c-fc3788e3496d</t>
  </si>
  <si>
    <t>Completed refactoring of PMD configuration state into the Configuration class.  Both CommandLineOptions and the AntTask refactored to initialize a Configuration instance as needed.  This results in much improved defaulting of common settings and behavior between the command line and Ant task.
Remove many redundant "process" methods from the PMD class.  Use of a Configuration object removes the need for so any variants.
Renamed the 'cpus' option to 'threads', for both command line and Ant.
Changed the 'lang' option to 'version', for both command line and Ant.  The option can be specified repeated to change what LanguageVersion to use for any given Language.  For Ant, use &lt;version&gt; child element.  Reworked the way PMD processes to let the Languages of the Rules in the RuleSets drive the processing, instead of the previous single language.
It should now be technically possible to process multiple Languages in the same RuleSet on a list of mixed Language files.  However, I still need to create tests for this scenario to verify it is working as expected.
git-svn-id: https://pmd.svn.sourceforge.net/svnroot/pmd/trunk@6615 51baf565-9d33-0410-a72c-fc3788e3496d</t>
  </si>
  <si>
    <t>Refactor SimpleRuleSetNameMapper to understand the Language prefix.  For example 'basic' is now 'java-basic'.
Refactor all RuleSet XMLs into a Language subdirectory.  The 'rulesets.properties' file can be found in each directory.  The RuleSetFactory when asking for all registered RuleSets will use the 'rulesets.properties' file for each Language with Rule support.
All regression tests updated to use Language scoped short names, instead of old style.
Renamed the new 'useless' ruleset to 'unnecessary', as it is a more mild term.
Various parts of the documentation and the release scripts will need updating to account for the new treatment of 'rulesets.properties', and ruleset naming.  This can be done later, when all documentation is given a thorough thrashing. ;)
git-svn-id: https://pmd.svn.sourceforge.net/svnroot/pmd/trunk@6630 51baf565-9d33-0410-a72c-fc3788e3496d</t>
  </si>
  <si>
    <t>Remove ExternalRuleID and SimpleRuleSetNameMapper, and replace with RuleSetReferenceId.  RuleSetFactory APIs updated to use RuleSetReferenceId, including support for RuleSet internal references.
This completes the standardization of RuleSet reference use throughout PMD.  See RuleSetReferenceId for the specifics of the standard scheme.
git-svn-id: https://pmd.svn.sourceforge.net/svnroot/pmd/trunk@6763 51baf565-9d33-0410-a72c-fc3788e3496d</t>
  </si>
  <si>
    <t>Remove unnecessary stand-alone test case, as the XML version works just fine, just needed to be marked as regressionTest="false".
git-svn-id: https://pmd.svn.sourceforge.net/svnroot/pmd/trunk@6923 51baf565-9d33-0410-a72c-fc3788e3496d</t>
  </si>
  <si>
    <t>cpd: Rework XML renderer (fix: bug 1435751)
CPD XMLRenderer was still manipulating strings and strings buffer
which lead to countless issues with proper encoding. It now uses
the appropriate XML API and relies ONLY on the defined system
variable file.encoding to set the encoding.
If one uses Ant or CLI option to change the encoding, the value of
file.encoding will then adapt. It may sounds a little bit extreme
but it should ensure consistency of all the files...
git-svn-id: https://pmd.svn.sourceforge.net/svnroot/pmd/trunk@7547 51baf565-9d33-0410-a72c-fc3788e3496d</t>
  </si>
  <si>
    <t>pmd (build): moved the files to the standard directories
* src/main/java | resources
* enabled tests
* removed lib/pmd-build-0.4.jar - the plan is to have this dependency in maven central
git-svn-id: https://pmd.svn.sourceforge.net/svnroot/pmd/trunk@7557 51baf565-9d33-0410-a72c-fc3788e3496d</t>
  </si>
  <si>
    <t>rm deprecated command line hander &amp; related test, updates to the new one
git-svn-id: https://pmd.svn.sourceforge.net/svnroot/pmd/trunk@7630 51baf565-9d33-0410-a72c-fc3788e3496d</t>
  </si>
  <si>
    <t>Remove now useless classes</t>
  </si>
  <si>
    <t>pmd: AntTask support for language
- fix  #1004 targetjdk isn't attribute of PMD task
- introduce a new element, called &lt;language&gt;, that replaces the already existing &lt;version/&gt; element</t>
  </si>
  <si>
    <t>pmd: cleanup design test cases</t>
  </si>
  <si>
    <t>pmd: Verify UncommentedEmptyConstructor and move the tests to use the common test infrastructure.</t>
  </si>
  <si>
    <t>pmd: fix unit tests after changing default java version to 1.8.</t>
  </si>
  <si>
    <t>Deleted all the folders that have been moved out into own repositories.
pmd-eclipse-plugin -&gt; https://github.com/pmd/pmd-eclipse-plugin
pmd-jdeveloper* -&gt; https://github.com/pmd/pmd-jdeveloper
website -&gt; https://github.com/pmd/pmd.sourceforge.net
pmd-emacs -&gt; https://github.com/pmd/pmd-emacs
everything else -&gt; https://github.com/pmd/pmd-misc</t>
  </si>
  <si>
    <t>Refactor cyclomatic complexity tests to be standard rule tests</t>
  </si>
  <si>
    <t>Renamed LanguageVersionModule back to LanguageVersion and LanguageModule back to Language.</t>
  </si>
  <si>
    <t>Introduce two dummy languages for testing, fix more compile errors in tests</t>
  </si>
  <si>
    <t>Fix RendererTests - XMLRendererTest same as all others now.</t>
  </si>
  <si>
    <t>Update changelog for python pull request</t>
  </si>
  <si>
    <t>#1317 RuntimeException when parsing class with multiple lambdas
Removing Java8MultipleLambdasTest from java8 integration, as it can
be tested with java &lt; 8 in pmd-java</t>
  </si>
  <si>
    <t>Removing maven-plugin-pmd-build. This has been moved to https://github.com/pmd/build-tools</t>
  </si>
  <si>
    <t>#1425 Invalid XML Characters in Output
XMLRenderer correctly escapes the surrogate characters
AvoidDuplicateLiterals tries to reconstruct original string literal</t>
  </si>
  <si>
    <t>fixes #1455 PMD doesn't handle Java 8 explicit receiver parameters
Those parameters are correctly parsed now and can be found
with "//FormalParameter[@ExplicitReceiverParameter='true']"</t>
  </si>
  <si>
    <t>Next step towards compile ;-)</t>
  </si>
  <si>
    <t>I guess we need more AST nodes to make parsing of real world classes
work ;-)</t>
  </si>
  <si>
    <t>Consider classpath and ruleset for cache invalidation
 - Not completely convinced by this implementation, but is simple enough
    and it's working.</t>
  </si>
  <si>
    <t>Tidy up final test cases</t>
  </si>
  <si>
    <t>Refactor RuleSet creation
 - RuleSet is now immutable
 - RuleSets are created through a RuleSetBuilder
 - RuleSetBuilder is accessed solely from RuleSetFactory
 - RuleSetFactory can now either parse XMLs for rule set creation,
    or create single rule rulesets</t>
  </si>
  <si>
    <t>pmd-core: checkstyle fixes</t>
  </si>
  <si>
    <t>pmd-cpp/pmd-java: checkstyle fixes</t>
  </si>
  <si>
    <t>pmd-apex, pmd-javascript, pmd-plsql, pmd-vm: Checkstyle fixes</t>
  </si>
  <si>
    <t>Improve symboltable codebase
 - Move shared code to pmd-core
 - Allow search methods to stop searching when they want to
 - If we are looking for a variable declaration, just search among those and not all name declarations
 - This is roughtly another 10% improvement on symbol table performance</t>
  </si>
  <si>
    <t>[core] Cache rule violations
 - This allows to completely ignore unmodified files, even if they had violations</t>
  </si>
  <si>
    <t>Fixed up parser unit tests</t>
  </si>
  <si>
    <t>Added support for DotExpression and Arguments list</t>
  </si>
  <si>
    <t>Parser fix for EL in no quote context</t>
  </si>
  <si>
    <t>All tests run</t>
  </si>
  <si>
    <t>Removing comment AST nodes for cleaner tree</t>
  </si>
  <si>
    <t>Revert "Merge branch 'pr-287'"
This reverts commit 2d322882d3baf52fcb46d1af32b922182120cd1b, reversing
changes made to e58422bf7ef3c3a1da303010c12e138fcf520cf5.</t>
  </si>
  <si>
    <t>Fix additional potential resource leaks
refs #337 refs #349
(cherry picked from commit 23ed8139546a74562c9da03c2028a856ed39dfce)</t>
  </si>
  <si>
    <t>Big refactor of qname
The creation methods now mostly take the node to describe as parameter. That way, the implementation of the class is less exposed, the creation methods can be overloaded and simplified in the AST nodes' classes.
Only nested class do not do that. That is to keep the recursive call to getQualifiedName which would be much more complicated if it was called from QualifiedName rather than the AST node.</t>
  </si>
  <si>
    <t>Completed tests for signatures</t>
  </si>
  <si>
    <t>Java, typeres: clean up generic field tests</t>
  </si>
  <si>
    <t>cpp: skip line continuation character in grammar
Fixes #431
Note: the tokens separate by such continuation characters are not
merged and appear as two separate tokens, which could lead to false
negatives in duplication detection.
ContinuationReader is deleted, since skipping characters in the stream
makes it difficult to provide accurate line numbers/positions.</t>
  </si>
  <si>
    <t>Refactored AbstractPropertyTester and subclasses
Still fails test though</t>
  </si>
  <si>
    <t>Finally the enum transformation is complete</t>
  </si>
  <si>
    <t>Removed wrappers altogether</t>
  </si>
  <si>
    <t>Java, typeres: fix for PR</t>
  </si>
  <si>
    <t>Java, typeres: split incorporation tests</t>
  </si>
  <si>
    <t>Resolve conflicts</t>
  </si>
  <si>
    <t>Separated memoization from signature matching</t>
  </si>
  <si>
    <t>Separated multifile analysis from metrics</t>
  </si>
  <si>
    <t>Remove ruleset schema 3.0.0</t>
  </si>
  <si>
    <t>Split fxml and controllers</t>
  </si>
  <si>
    <t>[core] Changes to execution classpath invalidate cache
 - Resolves #603</t>
  </si>
  <si>
    <t>Revert "Temporarily disable the unit tests until the rules are moved into the"
This reverts commit ded09b649895436c183eb7ffe93d5119a4d2a126.</t>
  </si>
  <si>
    <t>Fixes #793 [java] Parser error with private method in nested classes in interfaces
*   Remember old state to allow nesting
*   Fix ASTMethodDeclaration.isInterfaceMember
*   Extended tests</t>
  </si>
  <si>
    <t>[java] Migrate internal rulesets used in unit tests
Avoiding deprecation warnings
References #946</t>
  </si>
  <si>
    <t>Use JavaQualifiedName to resolve anonymous classes types in ClassTypeResolver
    Success! We still need to figure out a straightforward bridge between JavaTypeDefinition and qualified names</t>
  </si>
  <si>
    <t>[plsql] Add support for OrderBy and RowLimiting clauses for SELECT</t>
  </si>
  <si>
    <t>Allow to write tests in Kotlin</t>
  </si>
  <si>
    <t>[java] Simplify rule tests, directly inherit from SimpleAggregatorTst</t>
  </si>
  <si>
    <t>Remove old GUI applications</t>
  </si>
  <si>
    <t>Deprecate PMD LanguageModule for languages, that only support CPD</t>
  </si>
  <si>
    <t>Delete old NonRuleWithAllPropertyTypes and PropertyAccessorTest</t>
  </si>
  <si>
    <t>Remove module java8 and merge tests into java
Since we switched now to java8 in general, we can remove the extra module.</t>
  </si>
  <si>
    <t>Default methods are not abstract</t>
  </si>
  <si>
    <t>Handle null provider</t>
  </si>
  <si>
    <t>Expose jorje attributes manually</t>
  </si>
  <si>
    <t>[core] Undo changes to AttributeAxisIterator / Attribute, so that
we only can iterate on the node's attribute</t>
  </si>
  <si>
    <t>Avoid caching by default, provide a cached() method instead</t>
  </si>
  <si>
    <t>Remove pmd-ui module</t>
  </si>
  <si>
    <t>Rewrote unit tests for C++ raw string literals.</t>
  </si>
  <si>
    <t>Fix compilation
Left many bugs here and there</t>
  </si>
  <si>
    <t>Test literals</t>
  </si>
  <si>
    <t>Fix constructor invocation ambiguity</t>
  </si>
  <si>
    <t>Flesh out explicit constructor invoc API</t>
  </si>
  <si>
    <t>Fix other annotations</t>
  </si>
  <si>
    <t>[java] Remove java12 break-with-expression support
This preview language feature has been replaced with
the yield statement in java 13.</t>
  </si>
  <si>
    <t>Remove pmd core stuff</t>
  </si>
  <si>
    <t>Opt sibling methods</t>
  </si>
  <si>
    <t>Remove old cyclo rules</t>
  </si>
  <si>
    <t>Use kotlin tests for text blocks</t>
  </si>
  <si>
    <t>Remove old test</t>
  </si>
  <si>
    <t>Remove useless test</t>
  </si>
  <si>
    <t>Remove findLanguageVersionByTerseName
This method was stupid, most usages actually concatenate two strings
to pass as an argument. The only place this is used appropriately is
when parsing the sourceType of rule tests, with the caveat that the
source may be a different language than the rule, which makes no sense
at all.</t>
  </si>
  <si>
    <t>Use Pattern everywhere instead of String</t>
  </si>
  <si>
    <t>Fix tests</t>
  </si>
  <si>
    <t>Turn Statement into an interface
Remove BlockStatement
Introduce LocalClassDeclStatement
Introduce EmptyDeclaration (in preparation for PR about declarations)
Replace StatementExpression with ExpressionStatement
Make YieldStatement, ExplicitConstructorInvocation implement ASTStatement
Extract ForeachStatement from ForStatement
Rename
(ASTWhileStmt,
 ASTDoStmt,
 ASTForStmt,
 ASTIfStmt,
 ASTAssertStmt)#getGuardExpressionNode() -&gt; getCondition()
Rename ASTCatchStatement -&gt; ASTCatchClause
Rename ASTFinallyStatement -&gt; ASTFinallyClause
Rename ASTTryStatement#getCatchStatements() -&gt; getCatchClauses()
Make ASTYieldStatement not a TypeNode
Remove ASTTryStatement#hasFinally()
Add (ASTThrowStatement,  ASTYieldStatement, ASTReturnStatement)#getExpression()
Add ASTTryStatement#getBody()</t>
  </si>
  <si>
    <t>Abstract away parser utils
Convert a few pieces of code
Share with modelica
Remove yet another dup
Fix tests
Doc
Share with plsql
Fix tests
Fix build
Cleanup
Minimize diff
Share with JSP module
Share with JS module
Share with XML module
Share with VisualForce module
Share with Scala module
Fix last tests</t>
  </si>
  <si>
    <t>Replace Filter with predicate</t>
  </si>
  <si>
    <t>Remove StringUtil#lineNumberAt(offset)</t>
  </si>
  <si>
    <t>Use ArrayDimensions for VariableDeclaratorId
* Remove `Dimensionable`, remove its methods from the former implementations (except from ASTArrayDimsAndInits, which is itself deprecated)
* The varargs ellipsis is now represented as an ArrayTypeDim.
  * This affects FormalParameter and LambdaParameter
Closes #997. All forms of type annotations are now supported.</t>
  </si>
  <si>
    <t>Improve switch grammar</t>
  </si>
  <si>
    <t>Extract changes from #2166 to 7.0.x
* Make Java nodes text-available
* Introduce shared JavaccToken in pmd-core
* Use factory to produce char streams
Tests are still on java-grammar,
since they use the DSL &amp; newer
AST structure.
This is to prepare for other changes
that concern all javacc languages and
should not be done on java-grammar</t>
  </si>
  <si>
    <t>Convert some jdk tests to kotlin</t>
  </si>
  <si>
    <t>Fix PLSQL</t>
  </si>
  <si>
    <t>Replace more direct usages of parser</t>
  </si>
  <si>
    <t>Cleanup language version handlers</t>
  </si>
  <si>
    <t>Remove typeres/dfa/multifile stuff</t>
  </si>
  <si>
    <t>Rework AccessNode
Introduce a ModifierList node, that ranges
 over the modifiers of a declaration (including
annotations).
This is a combination of a few old commits:
Figure out modifiers
Fix tests
Remove AccessTypeNode
Document
Remove specific methods
Fix symboltable test
Fix tests
Rename to JModifier
Fix copypaste default/abstract
Improve doc
Test anon classes
Remove useless impl
Static modifier should not be present on toplevel classes
Simplify impl
Add visibility enum
Port some tests
Fix test ranges
Fix modifier ordering
Cleanup
Fix unnecessary modifier rule
Rename to use plural
Improve visibility doc
Simplify some things
Checkstyle
Remove some usages of typekind
Fix missing import
Remove irrelevant method
REmove some duplication
Replace AccessNode with ModifierOwner
Rename to AccessNode to reduce diff
Remove changes to rules
Add convenience methods
Make VariableDeclaratorId a ModifierOwner
Fix variable name decl
Make enum constant an implicit AccessNode
Fix compil
Checkstyle
Cleanup
Deprecate TypeKind
Cleanup
Remove TypeKind
Revert "Remove TypeKind"
This reverts commit 222c169c3401a01507726f339ae9f9b2b20dc69a.
Fix doc
Fix UnnecessaryModifierRule
Use special node instead of ModifierSet
Remove useless tests
Fix tests WIP
Work should be resumed when #2211 is merged into java-grammar
Fix some tests
Doc</t>
  </si>
  <si>
    <t>Make LambdaExpression not a MethodLikeNode</t>
  </si>
  <si>
    <t>[java] Remove version java 12 preview
Keep the tests and move them to java 14
except for the break expression</t>
  </si>
  <si>
    <t>Remove multifile stuff
This is the last component that depends
on JavaQualifiedName on the java-grammar
branch.</t>
  </si>
  <si>
    <t>[java] Fix tests
* pattern matching tests are in ASTPatternTest.kt
* type resolution for record components is TODO</t>
  </si>
  <si>
    <t>Remove qualified names</t>
  </si>
  <si>
    <t>Make deprecation warnings for xpath rules mention the name of the rule
Fix #2019</t>
  </si>
  <si>
    <t>Delete test for findChildNodesWithXPath</t>
  </si>
  <si>
    <t>Cleanup AbstractNode</t>
  </si>
  <si>
    <t>Update saxon version
Remove Jaxen, port function defs
Use enum to represent XPath version
Move to internal package
Fix style
Refactor functions</t>
  </si>
  <si>
    <t>Checkout updated rules</t>
  </si>
  <si>
    <t>Extract escaping function</t>
  </si>
  <si>
    <t>Remove test about list attributes</t>
  </si>
  <si>
    <t>Use persistent collections</t>
  </si>
  <si>
    <t>Cleanup</t>
  </si>
  <si>
    <t>Remove diamond detection
If we just mandate that the monoid
be idempotent, which is the case for
set monoids, then we can just avoid
this and reduce complexity of the
implementation.</t>
  </si>
  <si>
    <t>Remove monoid abstraction
Unlikely to change because of tight contract, reduces complexity</t>
  </si>
  <si>
    <t>Port remaining dart tests</t>
  </si>
  <si>
    <t>Convert JS tests</t>
  </si>
  <si>
    <t>Convert CPP tests</t>
  </si>
  <si>
    <t>Finish cpp module</t>
  </si>
  <si>
    <t>Convert java tests</t>
  </si>
  <si>
    <t>Convert Go tests</t>
  </si>
  <si>
    <t>Convert kotlin tests</t>
  </si>
  <si>
    <t>Port ruby tests
TODO there's a bug</t>
  </si>
  <si>
    <t>Convert fortran tests</t>
  </si>
  <si>
    <t>Convert lua tests</t>
  </si>
  <si>
    <t>Convert scala tests</t>
  </si>
  <si>
    <t>Remove test
This is already tested in SourceCodeTest in pmd-core</t>
  </si>
  <si>
    <t>Convert matlab tests</t>
  </si>
  <si>
    <t>Convert ObjC tests</t>
  </si>
  <si>
    <t>Convert plsql tests</t>
  </si>
  <si>
    <t>Convert python tests</t>
  </si>
  <si>
    <t>Convert swift tests</t>
  </si>
  <si>
    <t>Convert C# module</t>
  </si>
  <si>
    <t>Convert groovy tests</t>
  </si>
  <si>
    <t>Remove Jaxen</t>
  </si>
  <si>
    <t>Add tests</t>
  </si>
  <si>
    <t>Remove support for list attrs</t>
  </si>
  <si>
    <t>Remove some methods that depend on type image</t>
  </si>
  <si>
    <t>Remove some utils</t>
  </si>
  <si>
    <t>Remove more utils</t>
  </si>
  <si>
    <t>Remove old typeres
Reactivate some tests</t>
  </si>
  <si>
    <t>Remove java DFA</t>
  </si>
  <si>
    <t>Remove PLSQL DFA</t>
  </si>
  <si>
    <t>[java] Add versions 15 (new default) and 15-preview, remove 13-preview</t>
  </si>
  <si>
    <t>Turn ParserCornerTest into a tree dump test</t>
  </si>
  <si>
    <t>Update TypeTestUtil WIP</t>
  </si>
  <si>
    <t>Remove ruleContext attributes
Refs #2676
Was forgotten in #2672</t>
  </si>
  <si>
    <t>Analysis listener
Big cleanup of RuleContext, RuleViolationFactory API
Somewhat depends on text documents (FileLocation actually)</t>
  </si>
  <si>
    <t>Wrap renderer inside listener
Fix tests</t>
  </si>
  <si>
    <t>Remove report listeners</t>
  </si>
  <si>
    <t>Make nodes have access to file name</t>
  </si>
  <si>
    <t>Remove isThrowingExceptions from RuleContext
Not useful outside of unit tests</t>
  </si>
  <si>
    <t>Remove apex multifile things</t>
  </si>
  <si>
    <t>Cleanup tests</t>
  </si>
  <si>
    <t>Remove text operations</t>
  </si>
  <si>
    <t>Remove insert from line+col</t>
  </si>
  <si>
    <t>Remove create region by line+col</t>
  </si>
  <si>
    <t>Add close semantics
Remove data source adapter</t>
  </si>
  <si>
    <t>REVERT ME: remove edition logic</t>
  </si>
  <si>
    <t>Fix tests of SCPositioner</t>
  </si>
  <si>
    <t>Aha! fix tests of c++</t>
  </si>
  <si>
    <t>Update CommentRequiredRule</t>
  </si>
  <si>
    <t>Remove CommentUtil and unused things</t>
  </si>
  <si>
    <t>Refactor DefaultRVFactory</t>
  </si>
  <si>
    <t>Fix java tests</t>
  </si>
  <si>
    <t>Move test config from file to test class
Keep it simple. The config file stored only a single line for years.</t>
  </si>
  <si>
    <t>Remove JS parser options</t>
  </si>
  <si>
    <t>Remove tests</t>
  </si>
  <si>
    <t>[core,xml] Remove CompoundIterator</t>
  </si>
  <si>
    <t>Update UnusedPrivateField</t>
  </si>
  <si>
    <t>Move visitor to VfParser#parse
LanguageVersionHandler#getTypeResolutionFacade is deprecated. Moved the VfExpressionTypeVisitor creation and execution to VfParser#parse instead.
ParsingOptionsTest located in pmd-test wasn't running previously because it was in the src/main hierarchy. Moved this test into the src/test hierarchy and consolidated the methods from the
similarly named class from pmd-core.</t>
  </si>
  <si>
    <t>Changes to DataSource and test modules</t>
  </si>
  <si>
    <t>Test splits</t>
  </si>
  <si>
    <t>Update the way nodes with data are identified
Changed method for how the Visualforce strings are reconstructed from the AST. The previous implementation had incorrect assumptions about the structure of the AST. Added tests to more thoroughly test these situations.
Changed name of IdentifierType to DataType. This information can be stored on either ASTIdentifier or ASTLiteral nodes.
Changes based on PR feedgack:
- Restored ParserOptionsTest in order to avoid binary compatibilty issues.
- Changed ParserOptions to contain a PropertySource instead of extending AbtractPropertySource.</t>
  </si>
  <si>
    <t>Make NPath return BigInteger</t>
  </si>
  <si>
    <t>Remove signatures</t>
  </si>
  <si>
    <t>Simplify compat filter</t>
  </si>
  <si>
    <t>Update tests</t>
  </si>
  <si>
    <t>Use list of ruleset in configuration</t>
  </si>
  <si>
    <t>Reduce importance of parser options</t>
  </si>
  <si>
    <t>Remove XML dom rule</t>
  </si>
  <si>
    <t>Remove xml parser options</t>
  </si>
  <si>
    <t>Remove some things from pmd core</t>
  </si>
  <si>
    <t>[java] Remove support for Java 14 preview</t>
  </si>
  <si>
    <t>[plsql] Move ParsingExclusion test to PlsqlTreeDumpTest</t>
  </si>
  <si>
    <t>Add unit test for TypeSystem</t>
  </si>
  <si>
    <t>[java] Remove support for Java 15 preview language features</t>
  </si>
  <si>
    <t>Add xpath function for file name</t>
  </si>
  <si>
    <t>Delete EcmasccriptLanguageModuleTest
This should already be tested in pmd core as there
are no custom violation factories anymore</t>
  </si>
  <si>
    <t>Revert "Add commonPrefix and commonSuffix to StringUtils"
This reverts commit f7e4d624156197803cc09c3011a1422253b99095.</t>
  </si>
  <si>
    <t>[core] Refactoring renderer tests</t>
  </si>
  <si>
    <t>Remove core api</t>
  </si>
  <si>
    <t>Remove some deprecated things</t>
  </si>
  <si>
    <t>Cleanups</t>
  </si>
  <si>
    <t>Remove old symbol table</t>
  </si>
  <si>
    <t>[java] Remove support for Java 16 Preview</t>
  </si>
  <si>
    <t>[java] Improve module grammar
Type names in "provides" directives are disambiguated
like any other type name.
ASTName is made redundant and removed for good.</t>
  </si>
  <si>
    <t>Add tests for module directives</t>
  </si>
  <si>
    <t>Cleanup some tests</t>
  </si>
  <si>
    <t>Remove deprecated nodes</t>
  </si>
  <si>
    <t>WIP needs xml messages PR</t>
  </si>
  <si>
    <t>Adapt code to work without changes to properties</t>
  </si>
  <si>
    <t>Sync with designer, remove range2d</t>
  </si>
  <si>
    <t>Finish cleaning up trimming logic</t>
  </si>
  <si>
    <t>Stop using long to mask line/col</t>
  </si>
  <si>
    <t>More tests, release notes</t>
  </si>
  <si>
    <t>[java] Remove language version 17-preview</t>
  </si>
  <si>
    <t>progress, remove ContextualizedTest</t>
  </si>
  <si>
    <t>[java] Refactor RegexpAcceptanceTest</t>
  </si>
  <si>
    <t>[java] CommentDefaultAccessModifier - configure JUnit5 annotations to be ignored</t>
  </si>
  <si>
    <t>Cleanup Cli tests
Remove some deprecated things left over by #4059</t>
  </si>
  <si>
    <t>Move cli tests from lang modules to cli</t>
  </si>
  <si>
    <t>Fix merge</t>
  </si>
  <si>
    <t>Revamp symbol testing</t>
  </si>
  <si>
    <t>Finalize tests</t>
  </si>
  <si>
    <t>Simplify tests</t>
  </si>
  <si>
    <t>pmd/regress/test/net/sourceforge/pmd/RuleViolationTest.java</t>
  </si>
  <si>
    <t>pmd/regress/test/net/sourceforge/pmd/ReportTest.java</t>
  </si>
  <si>
    <t>pmd/regress/test/net/sourceforge/pmd/FunctionalTest.java</t>
  </si>
  <si>
    <t>pmd/regress/test/net/sourceforge/pmd/RuleSetTest.java</t>
  </si>
  <si>
    <t>pmd/regress/test/net/sourceforge/pmd/RuleFactoryTest.java</t>
  </si>
  <si>
    <t>pmd/regress/test/net/sourceforge/pmd/ReportFactoryTest.java</t>
  </si>
  <si>
    <t>pmd/regress/test/net/sourceforge/pmd/rules/UnusedLocalVariableTest.java</t>
  </si>
  <si>
    <t>pmd/regress/test/net/sourceforge/pmd/TypeSetTest.java</t>
  </si>
  <si>
    <t>pmd/regress/test/net/sourceforge/pmd/SymbolTableTest.java</t>
  </si>
  <si>
    <t>pmd/regress/test/net/sourceforge/pmd/rules/CreateAThreadRuleTest.java</t>
  </si>
  <si>
    <t>pmd/regress/test/net/sourceforge/pmd/rules/CreatesATimerTest.java</t>
  </si>
  <si>
    <t>pmd/regress/test/net/sourceforge/pmd/rules/SystemInRuleTest.java</t>
  </si>
  <si>
    <t>pmd/regress/test/net/sourceforge/pmd/rules/SystemOutRuleTest.java</t>
  </si>
  <si>
    <t>pmd/regress/test/net/sourceforge/pmd/rules/SystemPropsRuleTest.java</t>
  </si>
  <si>
    <t>pmd/regress/test/net/sourceforge/pmd/rules/UnusedPrivateInstanceVariableRuleTest.java</t>
  </si>
  <si>
    <t>pmd/regress/test/net/sourceforge/pmd/cpd/OccurrencesTest.java</t>
  </si>
  <si>
    <t>pmd/regress/test/net/sourceforge/pmd/cpd/OccurrenceTest.java</t>
  </si>
  <si>
    <t>pmd/regress/test/net/sourceforge/pmd/cpd/CPDTest.java</t>
  </si>
  <si>
    <t>pmd/regress/test/net/sourceforge/pmd/cpd/GSTTest.java</t>
  </si>
  <si>
    <t>pmd/regress/test/net/sourceforge/pmd/cpd/TileTest.java</t>
  </si>
  <si>
    <t>pmd/regress/test/net/sourceforge/pmd/cpd/TokenListTest.java</t>
  </si>
  <si>
    <t>pmd/regress/test/net/sourceforge/pmd/cpd/TokenSetsTest.java</t>
  </si>
  <si>
    <t>pmd/regress/test/net/sourceforge/pmd/cpd/TokenTest.java</t>
  </si>
  <si>
    <t>pmd/regress/test/net/sourceforge/pmd/rules/design/LongParameterListRuleTest.java</t>
  </si>
  <si>
    <t>pmd/regress/test/net/sourceforge/pmd/RuleSetFactoryTest.java</t>
  </si>
  <si>
    <t>pmd/regress/test/net/sourceforge/pmd/stat/StatisticalRuleTest.java</t>
  </si>
  <si>
    <t>pmd/regress/test/net/sourceforge/pmd/symboltable/SymbolTableTest.java</t>
  </si>
  <si>
    <t>pmd/regress/test/net/sourceforge/pmd/symboltable/SymbolTest.java</t>
  </si>
  <si>
    <t>pmd/regress/test/net/sourceforge/pmd/symboltable/ScopeTest.java</t>
  </si>
  <si>
    <t>pmd/regress/test/net/sourceforge/pmd/symboltable/SymbolTableBuilderTest.java</t>
  </si>
  <si>
    <t>pmd/regress/test/net/sourceforge/pmd/symboltable/NamespaceTest.java</t>
  </si>
  <si>
    <t>pmd/regress/test/net/sourceforge/pmd/rules/EmptyIfStmtRuleTest.java</t>
  </si>
  <si>
    <t>pmd/regress/test/net/sourceforge/pmd/rules/StringToStringRuleTest.java</t>
  </si>
  <si>
    <t>pmd/regress/test/net/sourceforge/pmd/symboltable/ClassScopeTest.java</t>
  </si>
  <si>
    <t>pmd/regress/test/net/sourceforge/pmd/symboltable/DeclarationFinderTest.java</t>
  </si>
  <si>
    <t>pmd/regress/test/net/sourceforge/pmd/symboltable/LocalScopeTest.java</t>
  </si>
  <si>
    <t>pmd/regress/test/net/sourceforge/pmd/symboltable/LookupControllerTest.java</t>
  </si>
  <si>
    <t>pmd/regress/test/net/sourceforge/pmd/symboltable/NameDeclarationTest.java</t>
  </si>
  <si>
    <t>pmd/regress/test/net/sourceforge/pmd/symboltable/NameOccurrenceTest.java</t>
  </si>
  <si>
    <t>pmd/regress/test/net/sourceforge/pmd/rules/JUnitStaticSuiteRuleTest.java</t>
  </si>
  <si>
    <t>pmd/regress/test/net/sourceforge/pmd/rules/design/OnlyOneReturnRuleTest.java</t>
  </si>
  <si>
    <t>pmd/regress/test/net/sourceforge/pmd/rules/EmptyCatchBlockRuleTest.java</t>
  </si>
  <si>
    <t>pmd/regress/test/net/sourceforge/pmd/rules/AvoidStringLiteralsRuleTest.java</t>
  </si>
  <si>
    <t>pmd/regress/test/net/sourceforge/pmd/rules/JUnitSpellingRuleTest.java</t>
  </si>
  <si>
    <t>pmd/regress/test/net/sourceforge/pmd/rules/AvoidReassigningParametersRuleTest.java</t>
  </si>
  <si>
    <t>pmd/regress/test/net/sourceforge/pmd/rules/OverrideBothEqualsAndHashcodeRuleTest.java</t>
  </si>
  <si>
    <t>pmd/regress/test/net/sourceforge/pmd/jdbc/JDBCReportListenerTest.java</t>
  </si>
  <si>
    <t>pmd/regress/test/net/sourceforge/pmd/rules/design/UseSingletonRuleTest.java</t>
  </si>
  <si>
    <t>pmd/regress/test/net/sourceforge/pmd/rules/UnusedModifierRuleTest.java</t>
  </si>
  <si>
    <t>pmd/regress/test/net/sourceforge/pmd/rules/ConstructorCallsOverridableMethodRuleTest.java</t>
  </si>
  <si>
    <t>pmd/regress/test/net/sourceforge/pmd/rules/IfStmtsMustUseBracesRuleTest.java</t>
  </si>
  <si>
    <t>pmd/regress/test/net/sourceforge/pmd/rules/XPathRuleTest.java</t>
  </si>
  <si>
    <t>pmd/regress/test/net/sourceforge/pmd/cpd/ResultsTest.java</t>
  </si>
  <si>
    <t>pmd/regress/test/net/sourceforge/pmd/cpd/TokenEntryTest.java</t>
  </si>
  <si>
    <t>pmd/regress/test/net/sourceforge/pmd/cpd/LocatorTest.java</t>
  </si>
  <si>
    <t>pmd/regress/test/net/sourceforge/pmd/rules/UnnecessaryConstructorRuleTest.java</t>
  </si>
  <si>
    <t>pmd/regress/test/net/sourceforge/pmd/symboltable/SymbolFacadeTest.java</t>
  </si>
  <si>
    <t>pmd/regress/test/net/sourceforge/pmd/rules/UnusedPrivateFieldRuleTest.java</t>
  </si>
  <si>
    <t>pmd/regress/test/net/sourceforge/pmd/rules/UnnecessaryTemporariesRuleTest.java</t>
  </si>
  <si>
    <t>pmd/regress/test/net/sourceforge/pmd/rules/design/LongClassRuleTest.java</t>
  </si>
  <si>
    <t>pmd/regress/test/net/sourceforge/pmd/rules/ShortVariableRuleTest.java</t>
  </si>
  <si>
    <t>pmd/regress/test/net/sourceforge/pmd/rules/WhileLoopsMustUseBracesRuleTest.java</t>
  </si>
  <si>
    <t>pmd/regress/test/net/sourceforge/pmd/rules/UnusedPrivateMethodRuleTest.java</t>
  </si>
  <si>
    <t>pmd/regress/test/net/sourceforge/pmd/ant/PMDTaskTest.java</t>
  </si>
  <si>
    <t>pmd/regress/test/net/sourceforge/pmd/ant/PathCheckerTest.java</t>
  </si>
  <si>
    <t>pmd/regress/test/net/sourceforge/pmd/ExternalRuleIDTest.java</t>
  </si>
  <si>
    <t>pmd/regress/test/net/sourceforge/pmd/rules/UnusedFormalParameterRuleTest.java</t>
  </si>
  <si>
    <t>pmd/regress/test/net/sourceforge/pmd/rules/UnusedImportsRuleTest.java</t>
  </si>
  <si>
    <t>pmd/regress/test/net/sourceforge/pmd/rules/StringInstantiationRuleTest.java</t>
  </si>
  <si>
    <t>pmd/regress/test/net/sourceforge/pmd/rules/SwitchStmtsShouldHaveDefaultRuleTest.java</t>
  </si>
  <si>
    <t>pmd/regress/test/net/sourceforge/pmd/rules/LongVariableRuleTest.java</t>
  </si>
  <si>
    <t>pmd/regress/test/net/sourceforge/pmd/rules/ReturnFromFinallyBlockTest.java</t>
  </si>
  <si>
    <t>pmd/regress/test/net/sourceforge/pmd/rules/ShortMethodNameRuleTest.java</t>
  </si>
  <si>
    <t>pmd/regress/test/net/sourceforge/pmd/rules/ImportFromSamePackageRuleTest.java</t>
  </si>
  <si>
    <t>pmd/regress/test/net/sourceforge/pmd/rules/JumbledIncrementerRuleTest.java</t>
  </si>
  <si>
    <t>pmd/regress/test/net/sourceforge/pmd/rules/ForLoopShouldBeWhileLoopRuleTest.java</t>
  </si>
  <si>
    <t>pmd/regress/test/net/sourceforge/pmd/rules/ForLoopsMustUseBracesRuleTest.java</t>
  </si>
  <si>
    <t>pmd/regress/test/net/sourceforge/pmd/rules/IfElseStmtsMustUseBracesRuleTest.java</t>
  </si>
  <si>
    <t>pmd/regress/test/net/sourceforge/pmd/rules/design/LooseCouplingRuleTest.java</t>
  </si>
  <si>
    <t>pmd/regress/test/net/sourceforge/pmd/rules/EmptyFinallyBlockRuleTest.java</t>
  </si>
  <si>
    <t>pmd/regress/test/net/sourceforge/pmd/rules/EmptySwitchStmtRuleTest.java</t>
  </si>
  <si>
    <t>pmd/regress/test/net/sourceforge/pmd/rules/EmptyTryBlockRuleTest.java</t>
  </si>
  <si>
    <t>pmd/regress/test/net/sourceforge/pmd/rules/EmptyWhileStmtRuleTest.java</t>
  </si>
  <si>
    <t>pmd/regress/test/net/sourceforge/pmd/rules/ExcessiveImportsRuleTest.java</t>
  </si>
  <si>
    <t>pmd/regress/test/net/sourceforge/pmd/rules/DontImportJavaLangRuleTest.java</t>
  </si>
  <si>
    <t>pmd/regress/test/net/sourceforge/pmd/rules/DoubleCheckedLockingRuleTest.java</t>
  </si>
  <si>
    <t>pmd/regress/test/net/sourceforge/pmd/rules/DuplicateImportsRuleTest.java</t>
  </si>
  <si>
    <t>pmd/regress/test/net/sourceforge/pmd/ast/SimpleNodeTest.java</t>
  </si>
  <si>
    <t>pmd/regress/test/net/sourceforge/pmd/RuleSetReadWriteTest.java</t>
  </si>
  <si>
    <t>pmd/regress/test/net/sourceforge/pmd/symboltable/ScopeFactoryTest.java</t>
  </si>
  <si>
    <t>pmd/regress/test/net/sourceforge/pmd/symboltable/ScopeCreatorTest.java</t>
  </si>
  <si>
    <t>pmd/regress/test/net/sourceforge/pmd/rules/AtLeastOneConstructorRuleTest.java</t>
  </si>
  <si>
    <t>pmd-swingui/regress/test/net/sourceforge/pmd/RuleSetReadWriteTest.java</t>
  </si>
  <si>
    <t>pmd/regress/test/net/sourceforge/pmd/jaxen/AttributeAxisIteratorTest.java</t>
  </si>
  <si>
    <t>pmd/regress/test/net/sourceforge/pmd/ast/AssertTest.java</t>
  </si>
  <si>
    <t>pmd/regress/test/net/sourceforge/pmd/rules/junit/JUnitStaticSuiteRuleTest.java</t>
  </si>
  <si>
    <t>pmd/regress/test/net/sourceforge/pmd/rules/AvoidDuplicateLiteralsRuleTest.java</t>
  </si>
  <si>
    <t>pmd/regress/test/net/sourceforge/pmd/rules/SimplifyBooleanReturnsRuleTest.java</t>
  </si>
  <si>
    <t>pmd/regress/test/net/sourceforge/pmd/rules/design/NullAssignmentRuleTest.java</t>
  </si>
  <si>
    <t>pmd/regress/test/net/sourceforge/pmd/rules/AssignmentInOperandRuleTest.java</t>
  </si>
  <si>
    <t>pmd/regress/test/net/sourceforge/pmd/cpd/MarkComparatorTest.java</t>
  </si>
  <si>
    <t>pmd/regress/test/net/sourceforge/pmd/cpd/MatchTest.java</t>
  </si>
  <si>
    <t>pmd/regress/test/net/sourceforge/pmd/cpd/MarkTest.java</t>
  </si>
  <si>
    <t>pmd/regress/test/net/sourceforge/pmd/jaxen/DocumentNavigatorTest.java</t>
  </si>
  <si>
    <t>pmd/regress/test/net/sourceforge/pmd/symboltable/AcceptanceTest.java</t>
  </si>
  <si>
    <t>pmd/regress/test/net/sourceforge/pmd/symboltable/AbstractScopeTest.java</t>
  </si>
  <si>
    <t>pmd/regress/test/net/sourceforge/pmd/rules/junit/JUnitAssertionsShouldIncludeMessageRuleTest.java</t>
  </si>
  <si>
    <t>pmd/regress/test/net/sourceforge/pmd/rules/junit/JUnitSpellingRuleTest.java</t>
  </si>
  <si>
    <t>pmd/regress/test/net/sourceforge/pmd/symboltable/NameOccurrencesTest.java</t>
  </si>
  <si>
    <t>pmd/regress/test/net/sourceforge/pmd/rules/design/SwitchDensityTest.java</t>
  </si>
  <si>
    <t>pmd/regress/test/net/sourceforge/pmd/rules/SimplifyBooleanExpressionsRuleTest.java</t>
  </si>
  <si>
    <t>pmd/regress/test/net/sourceforge/pmd/ant/FormatterTest.java</t>
  </si>
  <si>
    <t>pmd/regress/test/net/sourceforge/pmd/ast/ASTTypeTest.java</t>
  </si>
  <si>
    <t>pmd/src/net/sourceforge/pmd/dfa/test/TestClass.java</t>
  </si>
  <si>
    <t>pmd/regress/test/net/sourceforge/pmd/dfa/AcceptanceTest.java</t>
  </si>
  <si>
    <t>pmd/regress/test/net/sourceforge/pmd/dfa/StatementAndBraceFinderTest.java</t>
  </si>
  <si>
    <t>pmd/regress/test/net/sourceforge/pmd/dfa/StructureTest.java</t>
  </si>
  <si>
    <t>pmd/regress/test/net/sourceforge/pmd/dfa/LinkerTest.java</t>
  </si>
  <si>
    <t>pmd/regress/test/net/sourceforge/pmd/rules/design/LongMethodRuleTest.java</t>
  </si>
  <si>
    <t>pmd/regress/test/net/sourceforge/pmd/rules/CouplingBetweenObjectsRuleTest.java</t>
  </si>
  <si>
    <t>pmd/regress/test/net/sourceforge/pmd/ast/EncodingTest.java</t>
  </si>
  <si>
    <t>pmd/regress/test/net/sourceforge/pmd/ast/ASTImportDeclarationTest.java</t>
  </si>
  <si>
    <t>pmd/regress/test/net/sourceforge/pmd/ast/AccessNodeTest.java</t>
  </si>
  <si>
    <t>pmd/regress/test/net/sourceforge/pmd/symboltable/BasicScopeFactoryTest.java</t>
  </si>
  <si>
    <t>pmd/regress/test/net/sourceforge/pmd/rules/AccessorClassGenerationTest.java</t>
  </si>
  <si>
    <t>pmd/regress/test/net/sourceforge/pmd/rules/design/ExcessiveMethodLengthTest.java</t>
  </si>
  <si>
    <t>pmd/regress/test/net/sourceforge/pmd/ast/JDKVersionTest.java</t>
  </si>
  <si>
    <t>pmd/regress/test/net/sourceforge/pmd/symboltable/ScopeCreationVisitorTest.java</t>
  </si>
  <si>
    <t>pmd/regress/test/net/sourceforge/pmd/symboltable/VariableNameDeclarationTest.java</t>
  </si>
  <si>
    <t>pmd/regress/test/net/sourceforge/pmd/rules/AbstractClassDoesNotContainAbstractMethodTest.java</t>
  </si>
  <si>
    <t>pmd/regress/test/net/sourceforge/pmd/ast/DiscardableNodeCleanerTest.java</t>
  </si>
  <si>
    <t>pmd/regress/test/net/sourceforge/pmd/util/StringUtilTest.java</t>
  </si>
  <si>
    <t>pmd/regress/test/net/sourceforge/pmd/rules/finalize/ExplicitCallToFinalizeRuleTest.java</t>
  </si>
  <si>
    <t>pmd-eclipse-test/test/test/net/sourceforge/pmd/core/PMDCorePluginTest.java</t>
  </si>
  <si>
    <t>pmd/regress/test/net/sourceforge/pmd/rules/strictexception/ExceptionTypeCheckingRuleTest.java</t>
  </si>
  <si>
    <t>pmd/regress/test/net/sourceforge/pmd/jaxen/AttributeTest.java</t>
  </si>
  <si>
    <t>pmd/regress/test/net/sourceforge/pmd/renderers/XMLRendererTest.java</t>
  </si>
  <si>
    <t>pmd/regress/test/net/sourceforge/pmd/SuppressWarningsTest.java</t>
  </si>
  <si>
    <t>pmd/regress/test/net/sourceforge/pmd/cpd/XMLRendererTest.java</t>
  </si>
  <si>
    <t>pmd/regress/test/net/sourceforge/pmd/rules/AvoidDeeplyNestedIfStmtsRuleTest.java</t>
  </si>
  <si>
    <t>pmd/regress/test/net/sourceforge/pmd/rules/UncommentedEmptyConstructorRuleTest.java</t>
  </si>
  <si>
    <t>pmd-eclipse-test/test/test/net/sourceforge/pmd/eclipse/model/PreferencesModelTest.java</t>
  </si>
  <si>
    <t>pmd-eclipse-test/test/test/net/sourceforge/pmd/eclipse/dao/PreferencesDAOTest.java</t>
  </si>
  <si>
    <t>pmd-eclipse-test/test/net/sourceforge/pmd/runtime/preferences/vo/RuleSetTest.java</t>
  </si>
  <si>
    <t>pmd/regress/test/net/sourceforge/pmd/ExcludeLinesTest.java</t>
  </si>
  <si>
    <t>pmd/regress/test/net/sourceforge/pmd/renderers/TextPadRendererTest.java</t>
  </si>
  <si>
    <t>pmd/regress/test/net/sourceforge/pmd/rules/CallSuperInConstructorTest.java</t>
  </si>
  <si>
    <t>pmd/regress/test/net/sourceforge/pmd/rules/ConstructorCallsOverridableMethodTest.java</t>
  </si>
  <si>
    <t>pmd/regress/test/net/sourceforge/pmd/rules/DoubleCheckedLockingTest.java</t>
  </si>
  <si>
    <t>pmd/regress/test/net/sourceforge/pmd/rules/ExcessivePublicCountTest.java</t>
  </si>
  <si>
    <t>pmd/regress/test/net/sourceforge/pmd/rules/VariableNamingConventionsTest.java</t>
  </si>
  <si>
    <t>pmd/regress/test/net/sourceforge/pmd/rules/codesize/NcssConstructorCountTest.java</t>
  </si>
  <si>
    <t>pmd/regress/test/net/sourceforge/pmd/rules/codesize/NcssMethodCountTest.java</t>
  </si>
  <si>
    <t>pmd/regress/test/net/sourceforge/pmd/rules/codesize/NcssTypeCountTest.java</t>
  </si>
  <si>
    <t>pmd/regress/test/net/sourceforge/pmd/rules/design/PositionalIteratorRuleTest.java</t>
  </si>
  <si>
    <t>pmd/regress/test/net/sourceforge/pmd/rules/design/TooManyFieldsTest.java</t>
  </si>
  <si>
    <t>pmd/regress/test/net/sourceforge/pmd/rules/imports/DontImportJavaLangRuleTest.java</t>
  </si>
  <si>
    <t>pmd/regress/test/net/sourceforge/pmd/rules/imports/UnusedImportsRuleTest.java</t>
  </si>
  <si>
    <t>pmd/regress/test/net/sourceforge/pmd/rules/javabeans/BeanMembersShouldSerializeRuleTest.java</t>
  </si>
  <si>
    <t>pmd/regress/test/net/sourceforge/pmd/rules/strictexception/ExceptionSignatureDeclarationRuleTest.java</t>
  </si>
  <si>
    <t>pmd-eclipse-test/test/net/sourceforge/pmd/runtime/cmd/DetectCutAndPasteCmdTest.java</t>
  </si>
  <si>
    <t>pmd/regress/test/net/sourceforge/pmd/rules/CloseResourceTest.java</t>
  </si>
  <si>
    <t>pmd/regress/test/net/sourceforge/pmd/ReadableDurationTest.java</t>
  </si>
  <si>
    <t>pmd/regress/test/net/sourceforge/pmd/symboltable/TypeSetTest.java</t>
  </si>
  <si>
    <t>pmd/regress/test/net/sourceforge/pmd/rules/basic/AvoidDecimalLiteralsInBigDecimalConstructorTest.java</t>
  </si>
  <si>
    <t>pmd/regress/test/net/sourceforge/pmd/rules/basic/AvoidThreadGroupTest.java</t>
  </si>
  <si>
    <t>pmd/regress/test/net/sourceforge/pmd/rules/basic/AvoidUsingOctalValuesTest.java</t>
  </si>
  <si>
    <t>pmd/regress/test/net/sourceforge/pmd/rules/basic/BigIntegerInstantiationTest.java</t>
  </si>
  <si>
    <t>pmd/regress/test/net/sourceforge/pmd/rules/basic/BooleanInstantiationRuleTest.java</t>
  </si>
  <si>
    <t>pmd/regress/test/net/sourceforge/pmd/rules/basic/BrokenNullCheckTest.java</t>
  </si>
  <si>
    <t>pmd/regress/test/net/sourceforge/pmd/rules/basic/ClassCastExceptionWithToArrayTest.java</t>
  </si>
  <si>
    <t>pmd/regress/test/net/sourceforge/pmd/rules/basic/CollapsibleIfStatementsTest.java</t>
  </si>
  <si>
    <t>pmd/regress/test/net/sourceforge/pmd/rules/basic/DoubleCheckedLockingTest.java</t>
  </si>
  <si>
    <t>pmd/regress/test/net/sourceforge/pmd/rules/basic/EmptyCatchBlockRuleTest.java</t>
  </si>
  <si>
    <t>pmd/regress/test/net/sourceforge/pmd/rules/basic/EmptyFinallyBlockRuleTest.java</t>
  </si>
  <si>
    <t>pmd/regress/test/net/sourceforge/pmd/rules/basic/EmptyIfStmtRuleTest.java</t>
  </si>
  <si>
    <t>pmd/regress/test/net/sourceforge/pmd/rules/basic/EmptyStatementNotInLoopRuleTest.java</t>
  </si>
  <si>
    <t>pmd/regress/test/net/sourceforge/pmd/rules/basic/EmptyStaticInitializerRuleTest.java</t>
  </si>
  <si>
    <t>pmd/regress/test/net/sourceforge/pmd/rules/basic/EmptySwitchStmtRuleTest.java</t>
  </si>
  <si>
    <t>pmd/regress/test/net/sourceforge/pmd/rules/basic/EmptySynchronizedBlockRuleTest.java</t>
  </si>
  <si>
    <t>pmd/regress/test/net/sourceforge/pmd/rules/basic/EmptyTryBlockRuleTest.java</t>
  </si>
  <si>
    <t>pmd/regress/test/net/sourceforge/pmd/rules/basic/EmptyWhileStmtRuleTest.java</t>
  </si>
  <si>
    <t>pmd/regress/test/net/sourceforge/pmd/rules/basic/ForLoopShouldBeWhileLoopRuleTest.java</t>
  </si>
  <si>
    <t>pmd/regress/test/net/sourceforge/pmd/rules/basic/JumbledIncrementerRuleTest.java</t>
  </si>
  <si>
    <t>pmd/regress/test/net/sourceforge/pmd/rules/basic/MisplacedNullCheckTest.java</t>
  </si>
  <si>
    <t>pmd/regress/test/net/sourceforge/pmd/rules/basic/OverrideBothEqualsAndHashcodeTest.java</t>
  </si>
  <si>
    <t>pmd/regress/test/net/sourceforge/pmd/rules/basic/ReturnFromFinallyBlockTest.java</t>
  </si>
  <si>
    <t>pmd/regress/test/net/sourceforge/pmd/rules/basic/UnconditionalIfStatementRuleTest.java</t>
  </si>
  <si>
    <t>pmd/regress/test/net/sourceforge/pmd/rules/basic/UnnecessaryFinalModifierTest.java</t>
  </si>
  <si>
    <t>pmd/regress/test/net/sourceforge/pmd/rules/basic/UnnecessaryReturnTest.java</t>
  </si>
  <si>
    <t>pmd/regress/test/net/sourceforge/pmd/rules/basic/UnnecessaryTemporariesTest.java</t>
  </si>
  <si>
    <t>pmd/regress/test/net/sourceforge/pmd/rules/basic/UselessOperationOnImmutableTest.java</t>
  </si>
  <si>
    <t>pmd/regress/test/net/sourceforge/pmd/rules/basic/UselessOverridingMethodTest.java</t>
  </si>
  <si>
    <t>pmd/regress/test/net/sourceforge/pmd/rules/braces/ForLoopsMustUseBracesTest.java</t>
  </si>
  <si>
    <t>pmd/regress/test/net/sourceforge/pmd/rules/braces/IfElseStmtsMustUseBracesTest.java</t>
  </si>
  <si>
    <t>pmd/regress/test/net/sourceforge/pmd/rules/braces/IfStmtsMustUseBracesRuleTest.java</t>
  </si>
  <si>
    <t>pmd/regress/test/net/sourceforge/pmd/rules/braces/WhileLoopsMustUseBracesTest.java</t>
  </si>
  <si>
    <t>pmd/regress/test/net/sourceforge/pmd/rules/clone/CloneMethodMustImplementCloneableTest.java</t>
  </si>
  <si>
    <t>pmd/regress/test/net/sourceforge/pmd/rules/clone/CloneThrowsCloneNotSupportedExceptionTest.java</t>
  </si>
  <si>
    <t>pmd/regress/test/net/sourceforge/pmd/rules/clone/ProperCloneImplementationTest.java</t>
  </si>
  <si>
    <t>pmd/regress/test/net/sourceforge/pmd/rules/codesize/ExcessiveMethodLengthTest.java</t>
  </si>
  <si>
    <t>pmd/regress/test/net/sourceforge/pmd/rules/codesize/ExcessivePublicCountTest.java</t>
  </si>
  <si>
    <t>pmd/regress/test/net/sourceforge/pmd/rules/codesize/LongClassRuleTest.java</t>
  </si>
  <si>
    <t>pmd/regress/test/net/sourceforge/pmd/rules/codesize/LongParameterListRuleTest.java</t>
  </si>
  <si>
    <t>pmd/regress/test/net/sourceforge/pmd/rules/codesize/NpathComplexityTest.java</t>
  </si>
  <si>
    <t>pmd/regress/test/net/sourceforge/pmd/rules/codesize/TooManyFieldsTest.java</t>
  </si>
  <si>
    <t>pmd/regress/test/net/sourceforge/pmd/rules/controversial/AssignmentInOperandTest.java</t>
  </si>
  <si>
    <t>pmd/regress/test/net/sourceforge/pmd/rules/controversial/AtLeastOneConstructorRuleTest.java</t>
  </si>
  <si>
    <t>pmd/regress/test/net/sourceforge/pmd/rules/controversial/BooleanInversionTest.java</t>
  </si>
  <si>
    <t>pmd/regress/test/net/sourceforge/pmd/rules/controversial/CallSuperInConstructorTest.java</t>
  </si>
  <si>
    <t>pmd/regress/test/net/sourceforge/pmd/rules/controversial/DataflowAnomalyAnalysisTest.java</t>
  </si>
  <si>
    <t>pmd/regress/test/net/sourceforge/pmd/rules/controversial/DefaultPackageTest.java</t>
  </si>
  <si>
    <t>pmd/regress/test/net/sourceforge/pmd/rules/controversial/DontImportSunTest.java</t>
  </si>
  <si>
    <t>pmd/regress/test/net/sourceforge/pmd/rules/controversial/NullAssignmentRuleTest.java</t>
  </si>
  <si>
    <t>pmd/regress/test/net/sourceforge/pmd/rules/controversial/OnlyOneReturnRuleTest.java</t>
  </si>
  <si>
    <t>pmd/regress/test/net/sourceforge/pmd/rules/controversial/SingularFieldRuleTest.java</t>
  </si>
  <si>
    <t>pmd/regress/test/net/sourceforge/pmd/rules/controversial/SuspiciousOctalEscapeTest.java</t>
  </si>
  <si>
    <t>pmd/regress/test/net/sourceforge/pmd/rules/controversial/UnnecessaryConstructorTest.java</t>
  </si>
  <si>
    <t>pmd/regress/test/net/sourceforge/pmd/rules/controversial/UnnecessaryParenthesesTest.java</t>
  </si>
  <si>
    <t>pmd/regress/test/net/sourceforge/pmd/rules/controversial/UnusedModifierRuleTest.java</t>
  </si>
  <si>
    <t>pmd/regress/test/net/sourceforge/pmd/rules/coupling/CouplingBetweenObjectsTest.java</t>
  </si>
  <si>
    <t>pmd/regress/test/net/sourceforge/pmd/rules/coupling/ExcessiveImportsTest.java</t>
  </si>
  <si>
    <t>pmd/regress/test/net/sourceforge/pmd/rules/coupling/LooseCouplingTest.java</t>
  </si>
  <si>
    <t>pmd/regress/test/net/sourceforge/pmd/rules/design/AbstractClassWithoutAbstractMethodTest.java</t>
  </si>
  <si>
    <t>pmd/regress/test/net/sourceforge/pmd/rules/design/AccessorClassGenerationTest.java</t>
  </si>
  <si>
    <t>pmd/regress/test/net/sourceforge/pmd/rules/design/AssignmentToNonFinalStaticTest.java</t>
  </si>
  <si>
    <t>pmd/regress/test/net/sourceforge/pmd/rules/design/AvoidConstantsInterfaceTest.java</t>
  </si>
  <si>
    <t>pmd/regress/test/net/sourceforge/pmd/rules/design/AvoidDeeplyNestedIfStmtsRuleTest.java</t>
  </si>
  <si>
    <t>pmd/regress/test/net/sourceforge/pmd/rules/design/AvoidInstanceofChecksInCatchClauseTest.java</t>
  </si>
  <si>
    <t>pmd/regress/test/net/sourceforge/pmd/rules/design/AvoidProtectedFieldInFinalClassRuleTest.java</t>
  </si>
  <si>
    <t>pmd/regress/test/net/sourceforge/pmd/rules/design/AvoidReassigningParametersTest.java</t>
  </si>
  <si>
    <t>pmd/regress/test/net/sourceforge/pmd/rules/design/AvoidSynchronizedAtMethodLevelTest.java</t>
  </si>
  <si>
    <t>pmd/regress/test/net/sourceforge/pmd/rules/design/BadComparisonTest.java</t>
  </si>
  <si>
    <t>pmd/regress/test/net/sourceforge/pmd/rules/design/CloseResourceTest.java</t>
  </si>
  <si>
    <t>pmd/regress/test/net/sourceforge/pmd/rules/design/CompareObjectsWithEqualsTest.java</t>
  </si>
  <si>
    <t>pmd/regress/test/net/sourceforge/pmd/rules/design/DefaultLabelNotLastInSwitchStmtRuleTest.java</t>
  </si>
  <si>
    <t>pmd/regress/test/net/sourceforge/pmd/rules/design/EqualsNullRuleTest.java</t>
  </si>
  <si>
    <t>pmd/regress/test/net/sourceforge/pmd/rules/design/FinalFieldCouldBeStaticRuleTest.java</t>
  </si>
  <si>
    <t>pmd/regress/test/net/sourceforge/pmd/rules/design/IdempotentOperationsTest.java</t>
  </si>
  <si>
    <t>pmd/regress/test/net/sourceforge/pmd/rules/design/ImmutableFieldTest.java</t>
  </si>
  <si>
    <t>pmd/regress/test/net/sourceforge/pmd/rules/design/InstantiationToGetClassRuleTest.java</t>
  </si>
  <si>
    <t>pmd/regress/test/net/sourceforge/pmd/rules/design/MissingBreakInSwitchTest.java</t>
  </si>
  <si>
    <t>pmd/regress/test/net/sourceforge/pmd/rules/design/MissingStaticMethodInNonInstantiatableClassTest.java</t>
  </si>
  <si>
    <t>pmd/regress/test/net/sourceforge/pmd/rules/design/NonCaseLabelInSwitchStatementRuleTest.java</t>
  </si>
  <si>
    <t>pmd/regress/test/net/sourceforge/pmd/rules/design/NonStaticInitializerRuleTest.java</t>
  </si>
  <si>
    <t>pmd/regress/test/net/sourceforge/pmd/rules/design/NonThreadSafeSingletonTest.java</t>
  </si>
  <si>
    <t>pmd/regress/test/net/sourceforge/pmd/rules/design/OptimizableToArrayCallTest.java</t>
  </si>
  <si>
    <t>pmd/regress/test/net/sourceforge/pmd/rules/design/PositionLiteralsFirstInComparisonsTest.java</t>
  </si>
  <si>
    <t>pmd/regress/test/net/sourceforge/pmd/rules/design/PreserveStackTraceTest.java</t>
  </si>
  <si>
    <t>pmd/regress/test/net/sourceforge/pmd/rules/design/SimpleDateFormatNeedsLocaleRuleTest.java</t>
  </si>
  <si>
    <t>pmd/regress/test/net/sourceforge/pmd/rules/design/SimplifyBooleanExpressionsRuleTest.java</t>
  </si>
  <si>
    <t>pmd/regress/test/net/sourceforge/pmd/rules/design/SimplifyBooleanReturnsTest.java</t>
  </si>
  <si>
    <t>pmd/regress/test/net/sourceforge/pmd/rules/design/SimplifyConditionalTest.java</t>
  </si>
  <si>
    <t>pmd/regress/test/net/sourceforge/pmd/rules/design/SwitchStmtsShouldHaveDefaultRuleTest.java</t>
  </si>
  <si>
    <t>pmd/regress/test/net/sourceforge/pmd/rules/design/UnnecessaryLocalBeforeReturnRuleTest.java</t>
  </si>
  <si>
    <t>pmd/regress/test/net/sourceforge/pmd/rules/design/UnsynchronizedStaticDateFormatterTest.java</t>
  </si>
  <si>
    <t>pmd/regress/test/net/sourceforge/pmd/rules/design/UseCollectionIsEmptyTest.java</t>
  </si>
  <si>
    <t>pmd/regress/test/net/sourceforge/pmd/rules/design/UseLocaleWithCaseConversionsRuleTest.java</t>
  </si>
  <si>
    <t>pmd/regress/test/net/sourceforge/pmd/rules/design/UseNotifyAllInsteadOfNotifyTest.java</t>
  </si>
  <si>
    <t>pmd/regress/test/net/sourceforge/pmd/rules/design/UseSingletonTest.java</t>
  </si>
  <si>
    <t>pmd/regress/test/net/sourceforge/pmd/rules/finalizers/AvoidCallingFinalizeTest.java</t>
  </si>
  <si>
    <t>pmd/regress/test/net/sourceforge/pmd/rules/finalizers/EmptyFinalizerRuleTest.java</t>
  </si>
  <si>
    <t>pmd/regress/test/net/sourceforge/pmd/rules/finalizers/FinalizeDoesNotCallSuperFinalizeRuleTest.java</t>
  </si>
  <si>
    <t>pmd/regress/test/net/sourceforge/pmd/rules/finalizers/FinalizeOnlyCallsSuperFinalizeRuleTest.java</t>
  </si>
  <si>
    <t>pmd/regress/test/net/sourceforge/pmd/rules/finalizers/FinalizeOverloadedRuleTest.java</t>
  </si>
  <si>
    <t>pmd/regress/test/net/sourceforge/pmd/rules/finalizers/FinalizeShouldBeProtectedRuleTest.java</t>
  </si>
  <si>
    <t>pmd/regress/test/net/sourceforge/pmd/rules/imports/DuplicateImportsRuleTest.java</t>
  </si>
  <si>
    <t>pmd/regress/test/net/sourceforge/pmd/rules/j2ee/LocalHomeNamingConventionTest.java</t>
  </si>
  <si>
    <t>pmd/regress/test/net/sourceforge/pmd/rules/j2ee/LocalInterfaceSessionNamingConventionTest.java</t>
  </si>
  <si>
    <t>pmd/regress/test/net/sourceforge/pmd/rules/j2ee/MDBAndSessionBeanNamingConventionTest.java</t>
  </si>
  <si>
    <t>pmd/regress/test/net/sourceforge/pmd/rules/j2ee/RemoteInterfaceNamingConventionTest.java</t>
  </si>
  <si>
    <t>pmd/regress/test/net/sourceforge/pmd/rules/j2ee/RemoteSessionInterfaceNamingConventionTest.java</t>
  </si>
  <si>
    <t>pmd/regress/test/net/sourceforge/pmd/rules/j2ee/UseProperClassLoaderTest.java</t>
  </si>
  <si>
    <t>pmd/regress/test/net/sourceforge/pmd/rules/javabeans/MissingSerialVersionUIDTest.java</t>
  </si>
  <si>
    <t>pmd/regress/test/net/sourceforge/pmd/rules/junit/JUnitAssertionsShouldIncludeMessageTest.java</t>
  </si>
  <si>
    <t>pmd/regress/test/net/sourceforge/pmd/rules/junit/JUnitTestsShouldContainAssertsTest.java</t>
  </si>
  <si>
    <t>pmd/regress/test/net/sourceforge/pmd/rules/junit/SimplifyBooleanAssertionTest.java</t>
  </si>
  <si>
    <t>pmd/regress/test/net/sourceforge/pmd/rules/junit/TestClassWithoutTestCasesTest.java</t>
  </si>
  <si>
    <t>pmd/regress/test/net/sourceforge/pmd/rules/junit/UnnecessaryBooleanAssertionTest.java</t>
  </si>
  <si>
    <t>pmd/regress/test/net/sourceforge/pmd/rules/junit/UseAssertEqualsInsteadOfAssertTrueTest.java</t>
  </si>
  <si>
    <t>pmd/regress/test/net/sourceforge/pmd/rules/junit/UseAssertNullInsteadOfAssertTrueTest.java</t>
  </si>
  <si>
    <t>pmd/regress/test/net/sourceforge/pmd/rules/junit/UseAssertSameInsteadOfAssertTrueTest.java</t>
  </si>
  <si>
    <t>pmd/regress/test/net/sourceforge/pmd/rules/loggingjava/AvoidPrintStackTraceTest.java</t>
  </si>
  <si>
    <t>pmd/regress/test/net/sourceforge/pmd/rules/loggingjava/LoggerIsNotStaticFinalTest.java</t>
  </si>
  <si>
    <t>pmd/regress/test/net/sourceforge/pmd/rules/loggingjava/MoreThanOneLoggerTest.java</t>
  </si>
  <si>
    <t>pmd/regress/test/net/sourceforge/pmd/rules/loggingjava/SystemPrintlnTest.java</t>
  </si>
  <si>
    <t>pmd/regress/test/net/sourceforge/pmd/rules/naming/AbstractNamingTest.java</t>
  </si>
  <si>
    <t>pmd/regress/test/net/sourceforge/pmd/rules/naming/AvoidDollarSignsRuleTest.java</t>
  </si>
  <si>
    <t>pmd/regress/test/net/sourceforge/pmd/rules/naming/AvoidFieldNameMatchingMethodNameTest.java</t>
  </si>
  <si>
    <t>pmd/regress/test/net/sourceforge/pmd/rules/naming/AvoidFieldNameMatchingTypeNameTest.java</t>
  </si>
  <si>
    <t>pmd/regress/test/net/sourceforge/pmd/rules/naming/AvoidNonConstructorMethodsWithClassNameTest.java</t>
  </si>
  <si>
    <t>pmd/regress/test/net/sourceforge/pmd/rules/naming/BooleanGetMethodNameTest.java</t>
  </si>
  <si>
    <t>pmd/regress/test/net/sourceforge/pmd/rules/naming/ClassNamingConventionsTest.java</t>
  </si>
  <si>
    <t>pmd/regress/test/net/sourceforge/pmd/rules/naming/LongVariableRuleTest.java</t>
  </si>
  <si>
    <t>pmd/regress/test/net/sourceforge/pmd/rules/naming/MethodNamingConventionsTest.java</t>
  </si>
  <si>
    <t>pmd/regress/test/net/sourceforge/pmd/rules/naming/MethodWithSameNameAsEnclosingClassRuleTest.java</t>
  </si>
  <si>
    <t>pmd/regress/test/net/sourceforge/pmd/rules/naming/MisleadingVariableNameTest.java</t>
  </si>
  <si>
    <t>pmd/regress/test/net/sourceforge/pmd/rules/naming/NoPackageTest.java</t>
  </si>
  <si>
    <t>pmd/regress/test/net/sourceforge/pmd/rules/naming/PackageCaseTest.java</t>
  </si>
  <si>
    <t>pmd/regress/test/net/sourceforge/pmd/rules/naming/ShortMethodNameTest.java</t>
  </si>
  <si>
    <t>pmd/regress/test/net/sourceforge/pmd/rules/naming/ShortVariableRuleTest.java</t>
  </si>
  <si>
    <t>pmd/regress/test/net/sourceforge/pmd/rules/naming/SuspiciousConstantFieldNameTest.java</t>
  </si>
  <si>
    <t>pmd/regress/test/net/sourceforge/pmd/rules/naming/SuspiciousEqualsMethodNameRuleTest.java</t>
  </si>
  <si>
    <t>pmd/regress/test/net/sourceforge/pmd/rules/naming/SuspiciousHashcodeMethodNameRuleTest.java</t>
  </si>
  <si>
    <t>pmd/regress/test/net/sourceforge/pmd/rules/naming/VariableNamingConventionsTest.java</t>
  </si>
  <si>
    <t>pmd/regress/test/net/sourceforge/pmd/rules/optimizations/AddEmptyStringTest.java</t>
  </si>
  <si>
    <t>pmd/regress/test/net/sourceforge/pmd/rules/optimizations/AvoidArrayLoopsTest.java</t>
  </si>
  <si>
    <t>pmd/regress/test/net/sourceforge/pmd/rules/optimizations/AvoidInstantiatingObjectsInLoopsTest.java</t>
  </si>
  <si>
    <t>pmd/regress/test/net/sourceforge/pmd/rules/optimizations/LocalVariableCouldBeFinalTest.java</t>
  </si>
  <si>
    <t>pmd/regress/test/net/sourceforge/pmd/rules/optimizations/MethodArgumentCouldBeFinalTest.java</t>
  </si>
  <si>
    <t>pmd/regress/test/net/sourceforge/pmd/rules/optimizations/SimplifyStartsWithTest.java</t>
  </si>
  <si>
    <t>pmd/regress/test/net/sourceforge/pmd/rules/optimizations/UnnecessaryWrapperObjectCreationTest.java</t>
  </si>
  <si>
    <t>pmd/regress/test/net/sourceforge/pmd/rules/optimizations/UseArrayListInsteadOfVectorTest.java</t>
  </si>
  <si>
    <t>pmd/regress/test/net/sourceforge/pmd/rules/optimizations/UseArraysAsListTest.java</t>
  </si>
  <si>
    <t>pmd/regress/test/net/sourceforge/pmd/rules/optimizations/UseStringBufferForStringAppendsTest.java</t>
  </si>
  <si>
    <t>pmd/regress/test/net/sourceforge/pmd/rules/strictexception/AvoidCatchingNPETest.java</t>
  </si>
  <si>
    <t>pmd/regress/test/net/sourceforge/pmd/rules/strictexception/AvoidCatchingThrowableRuleTest.java</t>
  </si>
  <si>
    <t>pmd/regress/test/net/sourceforge/pmd/rules/strictexception/AvoidRethrowingExceptionTest.java</t>
  </si>
  <si>
    <t>pmd/regress/test/net/sourceforge/pmd/rules/strictexception/AvoidThrowingNullPointerExceptionTest.java</t>
  </si>
  <si>
    <t>pmd/regress/test/net/sourceforge/pmd/rules/strictexception/AvoidThrowingRawExceptionTypesTest.java</t>
  </si>
  <si>
    <t>pmd/regress/test/net/sourceforge/pmd/rules/strictexception/DoNotExtendJavaLangErrorTest.java</t>
  </si>
  <si>
    <t>pmd/regress/test/net/sourceforge/pmd/rules/strictexception/ExceptionAsFlowControlTest.java</t>
  </si>
  <si>
    <t>pmd/regress/test/net/sourceforge/pmd/rules/strings/AppendCharacterWithCharTest.java</t>
  </si>
  <si>
    <t>pmd/regress/test/net/sourceforge/pmd/rules/strings/ConsecutiveLiteralAppendsTest.java</t>
  </si>
  <si>
    <t>pmd/regress/test/net/sourceforge/pmd/rules/strings/InefficientEmptyStringCheckTest.java</t>
  </si>
  <si>
    <t>pmd/regress/test/net/sourceforge/pmd/rules/strings/InefficientStringBufferingTest.java</t>
  </si>
  <si>
    <t>pmd/regress/test/net/sourceforge/pmd/rules/strings/InsufficientStringBufferDeclarationTest.java</t>
  </si>
  <si>
    <t>pmd/regress/test/net/sourceforge/pmd/rules/strings/StringBufferInstantiationWithCharTest.java</t>
  </si>
  <si>
    <t>pmd/regress/test/net/sourceforge/pmd/rules/strings/StringInstantiationRuleTest.java</t>
  </si>
  <si>
    <t>pmd/regress/test/net/sourceforge/pmd/rules/strings/StringToStringRuleTest.java</t>
  </si>
  <si>
    <t>pmd/regress/test/net/sourceforge/pmd/rules/strings/UnnecessaryCaseChangeRuleTest.java</t>
  </si>
  <si>
    <t>pmd/regress/test/net/sourceforge/pmd/rules/strings/UseIndexOfCharTest.java</t>
  </si>
  <si>
    <t>pmd/regress/test/net/sourceforge/pmd/rules/strings/UseStringBufferLengthTest.java</t>
  </si>
  <si>
    <t>pmd/regress/test/net/sourceforge/pmd/rules/strings/UselessStringValueOfTest.java</t>
  </si>
  <si>
    <t>pmd/regress/test/net/sourceforge/pmd/rules/loggingjakartacommons/ProperLoggerTest.java</t>
  </si>
  <si>
    <t>pmd/regress/test/net/sourceforge/pmd/rules/loggingjakartacommons/UseCorrectExceptionLoggingTest.java</t>
  </si>
  <si>
    <t>pmd/regress/test/net/sourceforge/pmd/rules/unusedcode/UnusedFormalParameterRuleTest.java</t>
  </si>
  <si>
    <t>pmd/regress/test/net/sourceforge/pmd/rules/unusedcode/UnusedLocalVariableTest.java</t>
  </si>
  <si>
    <t>pmd/regress/test/net/sourceforge/pmd/rules/unusedcode/UnusedPrivateFieldRuleTest.java</t>
  </si>
  <si>
    <t>pmd/regress/test/net/sourceforge/pmd/rules/unusedcode/UnusedPrivateMethodRuleTest.java</t>
  </si>
  <si>
    <t>pmd/regress/test/net/sourceforge/pmd/rules/imports/ImportFromSamePackageRuleTest.java</t>
  </si>
  <si>
    <t>pmd/regress/test/net/sourceforge/pmd/rules/migrating/AvoidAssertAsIdentifierTest.java</t>
  </si>
  <si>
    <t>pmd/regress/test/net/sourceforge/pmd/rules/migrating/AvoidEnumAsIdentifierTest.java</t>
  </si>
  <si>
    <t>pmd/regress/test/net/sourceforge/pmd/rules/migrating/ByteInstantiationTest.java</t>
  </si>
  <si>
    <t>pmd/regress/test/net/sourceforge/pmd/rules/migrating/IntegerInstantiationTest.java</t>
  </si>
  <si>
    <t>pmd/regress/test/net/sourceforge/pmd/rules/migrating/JUnit4SuitesShouldUseSuiteAnnotationTest.java</t>
  </si>
  <si>
    <t>pmd/regress/test/net/sourceforge/pmd/rules/migrating/JUnit4TestShouldUseAfterAnnotationTest.java</t>
  </si>
  <si>
    <t>pmd/regress/test/net/sourceforge/pmd/rules/migrating/JUnit4TestShouldUseBeforeAnnotationTest.java</t>
  </si>
  <si>
    <t>pmd/regress/test/net/sourceforge/pmd/rules/migrating/JUnit4TestShouldUseTestAnnotationTest.java</t>
  </si>
  <si>
    <t>pmd/regress/test/net/sourceforge/pmd/rules/migrating/JUnitUseExpectedTest.java</t>
  </si>
  <si>
    <t>pmd/regress/test/net/sourceforge/pmd/rules/migrating/LongInstantiationTest.java</t>
  </si>
  <si>
    <t>pmd/regress/test/net/sourceforge/pmd/rules/migrating/ReplaceEnumerationWithIteratorTest.java</t>
  </si>
  <si>
    <t>pmd/regress/test/net/sourceforge/pmd/rules/migrating/ReplaceHashtableWithMapTest.java</t>
  </si>
  <si>
    <t>pmd/regress/test/net/sourceforge/pmd/rules/migrating/ReplaceVectorWithListTest.java</t>
  </si>
  <si>
    <t>pmd/regress/test/net/sourceforge/pmd/rules/migrating/ShortInstantiationTest.java</t>
  </si>
  <si>
    <t>pmd/regress/test/net/sourceforge/pmd/rules/sunsecure/ArrayIsStoredDirectlyTest.java</t>
  </si>
  <si>
    <t>pmd/regress/test/net/sourceforge/pmd/rules/sunsecure/MethodReturnsInternalArrayTest.java</t>
  </si>
  <si>
    <t>pmd/regress/test/net/sourceforge/pmd/rules/design/ConstructorCallsOverridableMethodTest.java</t>
  </si>
  <si>
    <t>pmd/regress/test/net/sourceforge/pmd/jsp/rules/DontNestJsfInJstlIterationTest.java</t>
  </si>
  <si>
    <t>pmd/regress/test/net/sourceforge/pmd/jsp/rules/DuplicateJspImportTest.java</t>
  </si>
  <si>
    <t>pmd/regress/test/net/sourceforge/pmd/jsp/rules/IframeMissingSrcAttributeTest.java</t>
  </si>
  <si>
    <t>pmd/regress/test/net/sourceforge/pmd/jsp/rules/JspEncodingTest.java</t>
  </si>
  <si>
    <t>pmd/regress/test/net/sourceforge/pmd/jsp/rules/NoClassAttributeTest.java</t>
  </si>
  <si>
    <t>pmd/regress/test/net/sourceforge/pmd/jsp/rules/NoHtmlCommentsTest.java</t>
  </si>
  <si>
    <t>pmd/regress/test/net/sourceforge/pmd/jsp/rules/NoInlineStyleInformationTest.java</t>
  </si>
  <si>
    <t>pmd/regress/test/net/sourceforge/pmd/jsp/rules/NoJspForwardTest.java</t>
  </si>
  <si>
    <t>pmd/regress/test/net/sourceforge/pmd/jsp/rules/NoLongScriptsTest.java</t>
  </si>
  <si>
    <t>pmd/regress/test/net/sourceforge/pmd/jsp/rules/NoScriptletsTest.java</t>
  </si>
  <si>
    <t>pmd/regress/test/net/sourceforge/pmd/rules/ScratchpadRulesTest.java</t>
  </si>
  <si>
    <t>pmd/regress/test/net/sourceforge/pmd/rules/basic/BasicRulesTest.java</t>
  </si>
  <si>
    <t>pmd/regress/test/net/sourceforge/pmd/rules/braces/BracesRulesTest.java</t>
  </si>
  <si>
    <t>pmd/regress/test/net/sourceforge/pmd/rules/clone/CloneRulesTest.java</t>
  </si>
  <si>
    <t>pmd/regress/test/net/sourceforge/pmd/rules/codesize/CodesizeRulesTest.java</t>
  </si>
  <si>
    <t>pmd/regress/test/net/sourceforge/pmd/rules/controversial/ControversialRulesTest.java</t>
  </si>
  <si>
    <t>pmd/regress/test/net/sourceforge/pmd/rules/coupling/CouplingRulesTest.java</t>
  </si>
  <si>
    <t>pmd/regress/test/net/sourceforge/pmd/rules/design/ConfusingTernaryRuleTest.java</t>
  </si>
  <si>
    <t>pmd/regress/test/net/sourceforge/pmd/rules/design/DesignRulesTest.java</t>
  </si>
  <si>
    <t>pmd/regress/test/net/sourceforge/pmd/rules/design/UncommentedEmptyMethodRuleTest.java</t>
  </si>
  <si>
    <t>pmd/regress/test/net/sourceforge/pmd/rules/finalizers/FinalizersRulesTest.java</t>
  </si>
  <si>
    <t>pmd/regress/test/net/sourceforge/pmd/rules/imports/ImportsRulesTest.java</t>
  </si>
  <si>
    <t>pmd/regress/test/net/sourceforge/pmd/rules/j2ee/J2EERulesTest.java</t>
  </si>
  <si>
    <t>pmd/regress/test/net/sourceforge/pmd/rules/javabeans/JavabeansRulesTest.java</t>
  </si>
  <si>
    <t>pmd/regress/test/net/sourceforge/pmd/rules/junit/JunitRulesTest.java</t>
  </si>
  <si>
    <t>pmd/regress/test/net/sourceforge/pmd/rules/loggingjakartacommons/LoggingJakartaCommonsRulesTest.java</t>
  </si>
  <si>
    <t>pmd/regress/test/net/sourceforge/pmd/rules/loggingjava/LoggingJavaRulesTest.java</t>
  </si>
  <si>
    <t>pmd/regress/test/net/sourceforge/pmd/rules/migrating/MigratingRulesTest.java</t>
  </si>
  <si>
    <t>pmd/regress/test/net/sourceforge/pmd/rules/naming/NamingRulesTest.java</t>
  </si>
  <si>
    <t>pmd/regress/test/net/sourceforge/pmd/rules/optimizations/OptimizationsRulesTest.java</t>
  </si>
  <si>
    <t>pmd/regress/test/net/sourceforge/pmd/rules/strictexception/StrictExceptionRulesTest.java</t>
  </si>
  <si>
    <t>pmd/regress/test/net/sourceforge/pmd/rules/strings/StringsRulesTest.java</t>
  </si>
  <si>
    <t>pmd/regress/test/net/sourceforge/pmd/rules/sunsecure/SunSecureRulesTest.java</t>
  </si>
  <si>
    <t>pmd/regress/test/net/sourceforge/pmd/rules/typeresolution/CloneMethodMustImplementCloneableTest.java</t>
  </si>
  <si>
    <t>pmd/regress/test/net/sourceforge/pmd/rules/typeresolution/LooseCouplingTest.java</t>
  </si>
  <si>
    <t>pmd/regress/test/net/sourceforge/pmd/rules/typeresolution/SignatureDeclareThrowsExceptionTest.java</t>
  </si>
  <si>
    <t>pmd/regress/test/net/sourceforge/pmd/rules/typeresolution/UnusedImportsTest.java</t>
  </si>
  <si>
    <t>pmd/regress/test/net/sourceforge/pmd/rules/unusedcode/UnusedCodeRulesTest.java</t>
  </si>
  <si>
    <t>pmd/regress/test/net/sourceforge/pmd/rules/UselessAssignmentRuleTest.java</t>
  </si>
  <si>
    <t>pmd/regress/test/net/sourceforge/pmd/RuleContextTest.java</t>
  </si>
  <si>
    <t>pmd/regress/test/net/sourceforge/pmd/SourceTypeDiscovererTest.java</t>
  </si>
  <si>
    <t>pmd/regress/test/net/sourceforge/pmd/SourceTypeTest.java</t>
  </si>
  <si>
    <t>pmd/regress/test/net/sourceforge/pmd/AbstractRuleTest.java</t>
  </si>
  <si>
    <t>pmd/regress/test/net/sourceforge/pmd/CommandLineOptionsTest.java</t>
  </si>
  <si>
    <t>pmd/regress/test/net/sourceforge/pmd/properties/FloatPropertyTest.java</t>
  </si>
  <si>
    <t>pmd/regress/test/net/sourceforge/pmd/properties/TypePropertyTest.java</t>
  </si>
  <si>
    <t>pmd/regress/test/net/sourceforge/pmd/properties/PropertyAccessorTest.java</t>
  </si>
  <si>
    <t>pmd/regress/test/net/sourceforge/pmd/FileSelectorTest.java</t>
  </si>
  <si>
    <t>pmd-eclipse-plugin/pmd-eclipse-test/test/net/sourceforge/pmd/core/PMDCorePluginTest.java</t>
  </si>
  <si>
    <t>pmd/regress/test/net/sourceforge/pmd/lang/java/rule/DynamicRuleTest.java</t>
  </si>
  <si>
    <t>pmd/regress/test/net/sourceforge/pmd/SimpleRuleSetNameMapperTest.java</t>
  </si>
  <si>
    <t>pmd/regress/test/net/sourceforge/pmd/lang/java/rule/unnecessary/UnusedNullCheckInEqualsTest.java</t>
  </si>
  <si>
    <t>pmd/src/test/java/net/sourceforge/pmd/cpd/XMLRendererTest.java</t>
  </si>
  <si>
    <t>maven-plugin-pmd-build/regress/AntTaskTest.java</t>
  </si>
  <si>
    <t>maven-plugin-pmd-build/regress/PmdBuildTest.java</t>
  </si>
  <si>
    <t>pmd/src/test/java/net/sourceforge/pmd/CommandLineOptionsTest.java</t>
  </si>
  <si>
    <t>pmd/src/test/java/net/sourceforge/pmd/CommandLineParserTest.java</t>
  </si>
  <si>
    <t>pmd/src/test/java/net/sourceforge/pmd/ant/VersionTest.java</t>
  </si>
  <si>
    <t>pmd/src/test/java/net/sourceforge/pmd/lang/java/rule/design/TooManyHttpFilterTest.java</t>
  </si>
  <si>
    <t>pmd/src/test/java/net/sourceforge/pmd/lang/java/rule/design/UncommentedEmptyConstructorRuleTest.java</t>
  </si>
  <si>
    <t>pmd/src/test/java/net/sourceforge/pmd/LanguageVersionDiscovererTest.java</t>
  </si>
  <si>
    <t>pmd-dcpd/regress/test/net/sourceforge/pmd/dcpd/TileExpanderTest.java</t>
  </si>
  <si>
    <t>pmd-dcpd/regress/test/net/sourceforge/pmd/dcpd/TileHarvesterTest.java</t>
  </si>
  <si>
    <t>pmd-dcpd/regress/test/net/sourceforge/pmd/dcpd/TilePlanterTest.java</t>
  </si>
  <si>
    <t>pmd-eclipse-plugin/net.sourceforge.pmd.eclipse.plugin.test/src/main/java/net/sourceforge/pmd/eclipse/BasicPMDTest.java</t>
  </si>
  <si>
    <t>pmd-eclipse-plugin/net.sourceforge.pmd.eclipse.plugin.test/src/main/java/net/sourceforge/pmd/eclipse/core/PMDCorePluginTest.java</t>
  </si>
  <si>
    <t>pmd-eclipse-plugin/net.sourceforge.pmd.eclipse.plugin.test/src/main/java/net/sourceforge/pmd/eclipse/core/RuleSetManagerTest.java</t>
  </si>
  <si>
    <t>pmd-eclipse-plugin/net.sourceforge.pmd.eclipse.plugin.test/src/main/java/net/sourceforge/pmd/eclipse/core/ext/RuleSetsExtensionProcessorTest.java</t>
  </si>
  <si>
    <t>pmd-eclipse-plugin/net.sourceforge.pmd.eclipse.plugin.test/src/main/java/net/sourceforge/pmd/eclipse/core/rulesets/impl/RuleSetsManagerImplTest.java</t>
  </si>
  <si>
    <t>pmd-eclipse-plugin/net.sourceforge.pmd.eclipse.plugin.test/src/main/java/net/sourceforge/pmd/eclipse/core/rulesets/vo/PriorityTest.java</t>
  </si>
  <si>
    <t>pmd-eclipse-plugin/net.sourceforge.pmd.eclipse.plugin.test/src/main/java/net/sourceforge/pmd/eclipse/core/rulesets/vo/PropertiesTest.java</t>
  </si>
  <si>
    <t>pmd-eclipse-plugin/net.sourceforge.pmd.eclipse.plugin.test/src/main/java/net/sourceforge/pmd/eclipse/core/rulesets/vo/PropertyTest.java</t>
  </si>
  <si>
    <t>pmd-eclipse-plugin/net.sourceforge.pmd.eclipse.plugin.test/src/main/java/net/sourceforge/pmd/eclipse/core/rulesets/vo/RuleSetTest.java</t>
  </si>
  <si>
    <t>pmd-eclipse-plugin/net.sourceforge.pmd.eclipse.plugin.test/src/main/java/net/sourceforge/pmd/eclipse/core/rulesets/vo/RuleSetsTest.java</t>
  </si>
  <si>
    <t>pmd-eclipse-plugin/net.sourceforge.pmd.eclipse.plugin.test/src/main/java/net/sourceforge/pmd/eclipse/core/rulesets/vo/RuleTest.java</t>
  </si>
  <si>
    <t>pmd-eclipse-plugin/net.sourceforge.pmd.eclipse.plugin.test/src/main/java/net/sourceforge/pmd/eclipse/runtime/cmd/DetectCutAndPasteCmdTest.java</t>
  </si>
  <si>
    <t>pmd-eclipse-plugin/net.sourceforge.pmd.eclipse.plugin.test/src/main/java/net/sourceforge/pmd/eclipse/runtime/cmd/RenderReportCmdTest.java</t>
  </si>
  <si>
    <t>pmd-eclipse-plugin/net.sourceforge.pmd.eclipse.plugin.test/src/main/java/net/sourceforge/pmd/eclipse/runtime/cmd/ReviewCmdTest.java</t>
  </si>
  <si>
    <t>pmd-eclipse-plugin/net.sourceforge.pmd.eclipse.plugin.test/src/main/java/net/sourceforge/pmd/eclipse/runtime/properties/ProjectPropertiesModelTest.java</t>
  </si>
  <si>
    <t>pmd-eclipse-plugin/net.sourceforge.pmd.eclipse.plugin.test/src/main/java/net/sourceforge/pmd/eclipse/ui/properties/UpdateProjectPropertiesCmdTest.java</t>
  </si>
  <si>
    <t>pmd-jerry/test/test/net/sourceforge/pmd/jerry/NodeAccessorAxisNavigatorTest.java</t>
  </si>
  <si>
    <t>pmd-jerry/test/test/net/sourceforge/pmd/jerry/ast/xpath/ASTAbbrevForwardStepTest.java</t>
  </si>
  <si>
    <t>pmd-jerry/test/test/net/sourceforge/pmd/jerry/ast/xpath/ASTAbbrevReverseStepTest.java</t>
  </si>
  <si>
    <t>pmd-jerry/test/test/net/sourceforge/pmd/jerry/ast/xpath/ASTAdditiveExprTest.java</t>
  </si>
  <si>
    <t>pmd-jerry/test/test/net/sourceforge/pmd/jerry/ast/xpath/ASTAndExprTest.java</t>
  </si>
  <si>
    <t>pmd-jerry/test/test/net/sourceforge/pmd/jerry/ast/xpath/ASTAnyKindTestTest.java</t>
  </si>
  <si>
    <t>pmd-jerry/test/test/net/sourceforge/pmd/jerry/ast/xpath/ASTAtomicTypeTest.java</t>
  </si>
  <si>
    <t>pmd-jerry/test/test/net/sourceforge/pmd/jerry/ast/xpath/ASTAttribNameOrWildcardTest.java</t>
  </si>
  <si>
    <t>pmd-jerry/test/test/net/sourceforge/pmd/jerry/ast/xpath/ASTAttributeDeclarationTest.java</t>
  </si>
  <si>
    <t>pmd-jerry/test/test/net/sourceforge/pmd/jerry/ast/xpath/ASTAttributeNameTest.java</t>
  </si>
  <si>
    <t>pmd-jerry/test/test/net/sourceforge/pmd/jerry/ast/xpath/ASTAttributeTestTest.java</t>
  </si>
  <si>
    <t>pmd-jerry/test/test/net/sourceforge/pmd/jerry/ast/xpath/ASTCastExprTest.java</t>
  </si>
  <si>
    <t>pmd-jerry/test/test/net/sourceforge/pmd/jerry/ast/xpath/ASTCastableExprTest.java</t>
  </si>
  <si>
    <t>pmd-jerry/test/test/net/sourceforge/pmd/jerry/ast/xpath/ASTCommentTestTest.java</t>
  </si>
  <si>
    <t>pmd-jerry/test/test/net/sourceforge/pmd/jerry/ast/xpath/ASTComparisonExprTest.java</t>
  </si>
  <si>
    <t>pmd-jerry/test/test/net/sourceforge/pmd/jerry/ast/xpath/ASTContextItemExprTest.java</t>
  </si>
  <si>
    <t>pmd-jerry/test/test/net/sourceforge/pmd/jerry/ast/xpath/ASTDecimalLiteralTest.java</t>
  </si>
  <si>
    <t>pmd-jerry/test/test/net/sourceforge/pmd/jerry/ast/xpath/ASTDocumentTestTest.java</t>
  </si>
  <si>
    <t>pmd-jerry/test/test/net/sourceforge/pmd/jerry/ast/xpath/ASTDoubleLiteralTest.java</t>
  </si>
  <si>
    <t>pmd-jerry/test/test/net/sourceforge/pmd/jerry/ast/xpath/ASTElementDeclarationTest.java</t>
  </si>
  <si>
    <t>pmd-jerry/test/test/net/sourceforge/pmd/jerry/ast/xpath/ASTElementNameOrWildcardTest.java</t>
  </si>
  <si>
    <t>pmd-jerry/test/test/net/sourceforge/pmd/jerry/ast/xpath/ASTElementNameTest.java</t>
  </si>
  <si>
    <t>pmd-jerry/test/test/net/sourceforge/pmd/jerry/ast/xpath/ASTElementTestTest.java</t>
  </si>
  <si>
    <t>pmd-jerry/test/test/net/sourceforge/pmd/jerry/ast/xpath/ASTExprTest.java</t>
  </si>
  <si>
    <t>pmd-jerry/test/test/net/sourceforge/pmd/jerry/ast/xpath/ASTForExprTest.java</t>
  </si>
  <si>
    <t>pmd-jerry/test/test/net/sourceforge/pmd/jerry/ast/xpath/ASTForwardAxisTest.java</t>
  </si>
  <si>
    <t>pmd-jerry/test/test/net/sourceforge/pmd/jerry/ast/xpath/ASTFunctionCallTest.java</t>
  </si>
  <si>
    <t>pmd-jerry/test/test/net/sourceforge/pmd/jerry/ast/xpath/ASTIfExprTest.java</t>
  </si>
  <si>
    <t>pmd-jerry/test/test/net/sourceforge/pmd/jerry/ast/xpath/ASTInstanceofExprTest.java</t>
  </si>
  <si>
    <t>pmd-jerry/test/test/net/sourceforge/pmd/jerry/ast/xpath/ASTIntegerLiteralTest.java</t>
  </si>
  <si>
    <t>pmd-jerry/test/test/net/sourceforge/pmd/jerry/ast/xpath/ASTIntersectExceptExprTest.java</t>
  </si>
  <si>
    <t>pmd-jerry/test/test/net/sourceforge/pmd/jerry/ast/xpath/ASTItemTypeTest.java</t>
  </si>
  <si>
    <t>pmd-jerry/test/test/net/sourceforge/pmd/jerry/ast/xpath/ASTMultiplicativeExprTest.java</t>
  </si>
  <si>
    <t>pmd-jerry/test/test/net/sourceforge/pmd/jerry/ast/xpath/ASTNameTestTest.java</t>
  </si>
  <si>
    <t>pmd-jerry/test/test/net/sourceforge/pmd/jerry/ast/xpath/ASTNodeTestTest.java</t>
  </si>
  <si>
    <t>pmd-jerry/test/test/net/sourceforge/pmd/jerry/ast/xpath/ASTOccurrenceIndicatorTest.java</t>
  </si>
  <si>
    <t>pmd-jerry/test/test/net/sourceforge/pmd/jerry/ast/xpath/ASTOrExprTest.java</t>
  </si>
  <si>
    <t>pmd-jerry/test/test/net/sourceforge/pmd/jerry/ast/xpath/ASTPITestTest.java</t>
  </si>
  <si>
    <t>pmd-jerry/test/test/net/sourceforge/pmd/jerry/ast/xpath/ASTParenthesizedExprTest.java</t>
  </si>
  <si>
    <t>pmd-jerry/test/test/net/sourceforge/pmd/jerry/ast/xpath/ASTPathExprTest.java</t>
  </si>
  <si>
    <t>pmd-jerry/test/test/net/sourceforge/pmd/jerry/ast/xpath/ASTPredicateListTest.java</t>
  </si>
  <si>
    <t>pmd-jerry/test/test/net/sourceforge/pmd/jerry/ast/xpath/ASTPredicateTest.java</t>
  </si>
  <si>
    <t>pmd-jerry/test/test/net/sourceforge/pmd/jerry/ast/xpath/ASTQuantifiedExprTest.java</t>
  </si>
  <si>
    <t>pmd-jerry/test/test/net/sourceforge/pmd/jerry/ast/xpath/ASTRangeExprTest.java</t>
  </si>
  <si>
    <t>pmd-jerry/test/test/net/sourceforge/pmd/jerry/ast/xpath/ASTReverseAxisTest.java</t>
  </si>
  <si>
    <t>pmd-jerry/test/test/net/sourceforge/pmd/jerry/ast/xpath/ASTSchemaAttributeTestTest.java</t>
  </si>
  <si>
    <t>pmd-jerry/test/test/net/sourceforge/pmd/jerry/ast/xpath/ASTSchemaElementTestTest.java</t>
  </si>
  <si>
    <t>pmd-jerry/test/test/net/sourceforge/pmd/jerry/ast/xpath/ASTSequenceTypeTest.java</t>
  </si>
  <si>
    <t>pmd-jerry/test/test/net/sourceforge/pmd/jerry/ast/xpath/ASTSingleTypeTest.java</t>
  </si>
  <si>
    <t>pmd-jerry/test/test/net/sourceforge/pmd/jerry/ast/xpath/ASTSlashSlashTest.java</t>
  </si>
  <si>
    <t>pmd-jerry/test/test/net/sourceforge/pmd/jerry/ast/xpath/ASTSlashTest.java</t>
  </si>
  <si>
    <t>pmd-jerry/test/test/net/sourceforge/pmd/jerry/ast/xpath/ASTStepExprTest.java</t>
  </si>
  <si>
    <t>pmd-jerry/test/test/net/sourceforge/pmd/jerry/ast/xpath/ASTStringLiteralTest.java</t>
  </si>
  <si>
    <t>pmd-jerry/test/test/net/sourceforge/pmd/jerry/ast/xpath/ASTTextTestTest.java</t>
  </si>
  <si>
    <t>pmd-jerry/test/test/net/sourceforge/pmd/jerry/ast/xpath/ASTTreatExprTest.java</t>
  </si>
  <si>
    <t>pmd-jerry/test/test/net/sourceforge/pmd/jerry/ast/xpath/ASTTypeNameTest.java</t>
  </si>
  <si>
    <t>pmd-jerry/test/test/net/sourceforge/pmd/jerry/ast/xpath/ASTUnaryExprTest.java</t>
  </si>
  <si>
    <t>pmd-jerry/test/test/net/sourceforge/pmd/jerry/ast/xpath/ASTUnionExprTest.java</t>
  </si>
  <si>
    <t>pmd-jerry/test/test/net/sourceforge/pmd/jerry/ast/xpath/ASTVarNameTest.java</t>
  </si>
  <si>
    <t>pmd-jerry/test/test/net/sourceforge/pmd/jerry/ast/xpath/ASTVarRefTest.java</t>
  </si>
  <si>
    <t>pmd-jerry/test/test/net/sourceforge/pmd/jerry/ast/xpath/ASTWildcardTest.java</t>
  </si>
  <si>
    <t>pmd-jerry/test/test/net/sourceforge/pmd/jerry/ast/xpath/ASTXPathTest.java</t>
  </si>
  <si>
    <t>pmd-jerry/test/test/net/sourceforge/pmd/jerry/ast/xpath/ParseExceptionTest.java</t>
  </si>
  <si>
    <t>pmd-jerry/test/test/net/sourceforge/pmd/jerry/ast/xpath/SimpleNodeTest.java</t>
  </si>
  <si>
    <t>pmd-jerry/test/test/net/sourceforge/pmd/jerry/ast/xpath/TokenMgrErrorTest.java</t>
  </si>
  <si>
    <t>pmd-jerry/test/test/net/sourceforge/pmd/jerry/ast/xpath/TokenTest.java</t>
  </si>
  <si>
    <t>pmd-jerry/test/test/net/sourceforge/pmd/jerry/ast/xpath/XPath2ParserTest.java</t>
  </si>
  <si>
    <t>pmd-jerry/test/test/net/sourceforge/pmd/jerry/ast/xpath/visitor/AbstractPrintVisitorTest.java</t>
  </si>
  <si>
    <t>pmd-mysql/regress/test/net/sourceforge/pmd/jdbc/JDBCReportListenerTest.java</t>
  </si>
  <si>
    <t>pmd-netbeans/test/unit/src/pmd/RunPMDActionTest.java</t>
  </si>
  <si>
    <t>pmd-netbeans/test/unit/src/pmd/SourceLevelTest.java</t>
  </si>
  <si>
    <t>pmd-netbeans/test/unit/src/pmd/config/PMDOptionsSettingsTest.java</t>
  </si>
  <si>
    <t>pmd-rx/regress/test/net/sourceforge/pmd/rx/DroolsVisitorTest.java</t>
  </si>
  <si>
    <t>pmd-rx/regress/test/net/sourceforge/pmd/rx/rules/DuplicateImportTest.java</t>
  </si>
  <si>
    <t>pmd/src/test/java/net/sourceforge/pmd/lang/java/rule/codesize/CyclomaticComplexityTest.java</t>
  </si>
  <si>
    <t>pmd/src/test/java/net/sourceforge/pmd/lang/java/rule/codesize/ModifiedCyclomaticComplexityTest.java</t>
  </si>
  <si>
    <t>pmd/src/test/java/net/sourceforge/pmd/lang/java/rule/codesize/NPathComplexityTest.java</t>
  </si>
  <si>
    <t>pmd/src/test/java/net/sourceforge/pmd/lang/java/rule/codesize/StdCyclomaticComplexityTest.java</t>
  </si>
  <si>
    <t>pmd/src/test/java/net/sourceforge/pmd/LanguageVersionTest.java</t>
  </si>
  <si>
    <t>pmd/src/test/java/net/sourceforge/pmd/ConfigurationTest.java</t>
  </si>
  <si>
    <t>pmd/src/test/java/net/sourceforge/pmd/renderers/XMLRendererTest.java</t>
  </si>
  <si>
    <t>pmd-python/src/test/java/net/sourceforge/pmd/LanguageVersionDiscovererTest.java</t>
  </si>
  <si>
    <t>pmd-java8/src/test/java/net/sourceforge/pmd/lang/java/bugs/Java8MultipleLambdasTest.java</t>
  </si>
  <si>
    <t>maven-plugin-pmd-build/src/test/java/net/sourceforge/pmd/ant/PmdBuildTaskTest.java</t>
  </si>
  <si>
    <t>maven-plugin-pmd-build/src/test/java/net/sourceforge/pmd/build/RuleSetToDocsTest.java</t>
  </si>
  <si>
    <t>maven-plugin-pmd-build/src/test/java/net/sourceforge/pmd/build/RulesetFilenameFilterTest.java</t>
  </si>
  <si>
    <t>maven-plugin-pmd-build/src/test/java/net/sourceforge/pmd/maven/PmdPreSiteTest.java</t>
  </si>
  <si>
    <t>pmd-java/src/test/java/net/sourceforge/pmd/lang/java/rule/strings/AvoidDuplicateLiteralsRuleTest.java</t>
  </si>
  <si>
    <t>pmd-java/src/test/java/net/sourceforge/pmd/lang/java/ast/ParserCornersTest.java</t>
  </si>
  <si>
    <t>pmd-cs/src/test/java/net/sourceforge/pmd/cpd/CsTokenizerTest.java</t>
  </si>
  <si>
    <t>pmd-fortran/src/test/java/net/sourceforge/pmd/cpd/FortranTokenizerTest.java</t>
  </si>
  <si>
    <t>pmd-jsp/src/test/java/net/sourceforge/pmd/lang/jsp/JspParserTest.java</t>
  </si>
  <si>
    <t>pmd-jsp/src/test/java/net/sourceforge/pmd/lang/jsp/ast/JspDocStyleTest.java</t>
  </si>
  <si>
    <t>pmd-jsp/src/test/java/net/sourceforge/pmd/lang/jsp/ast/JspPageStyleTest.java</t>
  </si>
  <si>
    <t>pmd-jsp/src/test/java/net/sourceforge/pmd/lang/jsp/ast/OpenTagRegisterTest.java</t>
  </si>
  <si>
    <t>pmd-jsp/src/test/java/net/sourceforge/pmd/lang/jsp/ast/XPathJspRuleTest.java</t>
  </si>
  <si>
    <t>pmd-matlab/src/test/java/net/sourceforge/pmd/cpd/MatlabTokenizerTest.java</t>
  </si>
  <si>
    <t>pmd-plsql/src/test/java/net/sourceforge/pmd/cpd/PLSQLTokenizerTest.java</t>
  </si>
  <si>
    <t>pmd-plsql/src/test/java/net/sourceforge/pmd/lang/plsql/PLSQLParserTest.java</t>
  </si>
  <si>
    <t>pmd-plsql/src/test/java/net/sourceforge/pmd/lang/plsql/PLSQLXPathRuleTest.java</t>
  </si>
  <si>
    <t>pmd-plsql/src/test/java/net/sourceforge/pmd/lang/plsql/dfa/StatementAndBraceFinderTest.java</t>
  </si>
  <si>
    <t>pmd-python/src/test/java/net/sourceforge/pmd/cpd/PythonTokenizerTest.java</t>
  </si>
  <si>
    <t>pmd-scala/src/test/java/net/sourceforge/pmd/cpd/ScalaTokenizerTest.java</t>
  </si>
  <si>
    <t>pmd-vm/src/test/java/net/sourceforge/pmd/lang/vm/VmParserTest.java</t>
  </si>
  <si>
    <t>pmd-xml/src/test/java/net/sourceforge/pmd/ant/PMDTaskTest.java</t>
  </si>
  <si>
    <t>pmd-xml/src/test/java/net/sourceforge/pmd/lang/wsdl/rule/AbstractWsdlRuleTest.java</t>
  </si>
  <si>
    <t>pmd-xml/src/test/java/net/sourceforge/pmd/lang/xml/XmlParserOptionsTest.java</t>
  </si>
  <si>
    <t>pmd-xml/src/test/java/net/sourceforge/pmd/lang/xml/XmlParserTest.java</t>
  </si>
  <si>
    <t>pmd-xml/src/test/java/net/sourceforge/pmd/lang/xml/rule/AbstractDomXmlRuleTest.java</t>
  </si>
  <si>
    <t>pmd-xml/src/test/java/net/sourceforge/pmd/lang/xml/rule/AbstractXmlRuleTest.java</t>
  </si>
  <si>
    <t>pmd-apex/src/test/java/net/sourceforge/pmd/lang/apex/ast/ApexParserTest.java</t>
  </si>
  <si>
    <t>pmd-core/src/test/java/net/sourceforge/pmd/cache/FileAnalysisCacheTest.java</t>
  </si>
  <si>
    <t>pmd-java/src/test/java/net/sourceforge/pmd/cli/XPathCLITest.java</t>
  </si>
  <si>
    <t>pmd-core/src/test/java/net/sourceforge/pmd/ReportTest.java</t>
  </si>
  <si>
    <t>pmd-core/src/test/java/net/sourceforge/pmd/RuleSetReferenceIdTest.java</t>
  </si>
  <si>
    <t>pmd-core/src/test/java/net/sourceforge/pmd/cli/PMDCommandLineInterfaceTest.java</t>
  </si>
  <si>
    <t>pmd-cpp/src/test/java/net/sourceforge/pmd/cpd/CPPTokenizerTest.java</t>
  </si>
  <si>
    <t>pmd-java/src/test/java/net/sourceforge/pmd/lang/java/ast/JDKVersionTest.java</t>
  </si>
  <si>
    <t>pmd-java/src/test/java/net/sourceforge/pmd/lang/java/dfa/AcceptanceTest.java</t>
  </si>
  <si>
    <t>pmd-java8/src/test/java/net/sourceforge/pmd/lang/java/bugs/InterfaceMethodTest.java</t>
  </si>
  <si>
    <t>pmd-java8/src/test/java/net/sourceforge/pmd/typeresolution/ClassTypeResolverJava8Test.java</t>
  </si>
  <si>
    <t>pmd-java/src/test/java/net/sourceforge/pmd/lang/java/symboltable/VariableUsageFinderFunctionTest.java</t>
  </si>
  <si>
    <t>pmd-visualforce/src/test/java/net/sourceforge/pmd/LanguageVersionDiscovererTest.java</t>
  </si>
  <si>
    <t>pmd-visualforce/src/test/java/net/sourceforge/pmd/lang/vf/VfParserTest.java</t>
  </si>
  <si>
    <t>pmd-visualforce/src/test/java/net/sourceforge/pmd/lang/vf/ast/JspPageStyleTest.java</t>
  </si>
  <si>
    <t>pmd-visualforce/src/test/java/net/sourceforge/pmd/lang/vf/ast/JspDocStyleTest.java</t>
  </si>
  <si>
    <t>pmd-visualforce/src/test/java/net/sourceforge/pmd/lang/vf/ast/XPathJspRuleTest.java</t>
  </si>
  <si>
    <t>pmd-visualforce/src/test/java/net/sourceforge/pmd/lang/vf/ast/VfDocStyleTest.java</t>
  </si>
  <si>
    <t>pmd-apex/src/test/java/net/sourceforge/pmd/lang/apex/SuppressWarningsTest.java</t>
  </si>
  <si>
    <t>pmd-java/src/test/java/net/sourceforge/pmd/lang/java/ast/QualifiedNameTest.java</t>
  </si>
  <si>
    <t>pmd-java/src/test/java/net/sourceforge/pmd/lang/java/oom/MetricsVisitorTest.java</t>
  </si>
  <si>
    <t>pmd-java/src/test/java/net/sourceforge/pmd/lang/java/oom/SignatureTest.java</t>
  </si>
  <si>
    <t>pmd-java/src/test/java/net/sourceforge/pmd/typeresolution/ClassTypeResolverTest.java</t>
  </si>
  <si>
    <t>pmd-cpp/src/test/java/net/sourceforge/pmd/lang/cpp/ContinuationReaderTest.java</t>
  </si>
  <si>
    <t>pmd-core/src/test/java/net/sourceforge/pmd/properties/BooleanPropertyTest.java</t>
  </si>
  <si>
    <t>pmd-core/src/test/java/net/sourceforge/pmd/properties/CharacterPropertyTest.java</t>
  </si>
  <si>
    <t>pmd-core/src/test/java/net/sourceforge/pmd/properties/IntegerPropertyTest.java</t>
  </si>
  <si>
    <t>pmd-core/src/test/java/net/sourceforge/pmd/properties/EnumeratedPropertyTest.java</t>
  </si>
  <si>
    <t>pmd-core/src/test/java/net/sourceforge/pmd/properties/SimpleEnumeratedPropertyTest.java</t>
  </si>
  <si>
    <t>pmd-java/src/test/java/net/sourceforge/pmd/typeresolution/TypeInferenceTest.java</t>
  </si>
  <si>
    <t>pmd-java/src/test/java/net/sourceforge/pmd/lang/java/metrics/DataStructureTest.java</t>
  </si>
  <si>
    <t>pmd-java/src/test/java/net/sourceforge/pmd/lang/java/metrics/JavaSigMaskTest.java</t>
  </si>
  <si>
    <t>pmd-java/src/test/java/net/sourceforge/pmd/lang/java/metrics/PackageStatsTest.java</t>
  </si>
  <si>
    <t>pmd-java/src/test/java/net/sourceforge/pmd/lang/java/metrics/JavaMetricsVisitorTest.java</t>
  </si>
  <si>
    <t>pmd-core/src/test/java/net/sourceforge/pmd/RuleSetSchemaTest.java</t>
  </si>
  <si>
    <t>pmd-ui/src/test/java/net/sourceforge/pmd/util/fxdesigner/DesignerWindowSettingsTest.java</t>
  </si>
  <si>
    <t>pmd-java/src/test/java/net/sourceforge/pmd/RuleSetFactoryTest.java</t>
  </si>
  <si>
    <t>pmd-plsql/src/test/java/net/sourceforge/pmd/lang/plsql/ast/SelectIntoStatementTest.java</t>
  </si>
  <si>
    <t>pmd-java/src/test/java/net/sourceforge/pmd/lang/java/ast/Java11Test.java</t>
  </si>
  <si>
    <t>pmd-java/src/test/java/net/sourceforge/pmd/lang/java/rule/design/StdCyclomaticComplexityRuleTest.java</t>
  </si>
  <si>
    <t>pmd-java/src/test/java/net/sourceforge/pmd/lang/java/rule/errorprone/AvoidDuplicateLiteralsRuleTest.java</t>
  </si>
  <si>
    <t>pmd-core/src/test/java/net/sourceforge/pmd/util/designer/DesignerTest.java</t>
  </si>
  <si>
    <t>pmd-core/src/test/java/net/sourceforge/pmd/properties/PropertyAccessorTest.java</t>
  </si>
  <si>
    <t>pmd-java/src/test/java/net/sourceforge/pmd/lang/java/ast/ASTMethodDeclarationTest.java</t>
  </si>
  <si>
    <t>pmd-java/src/test/java/net/sourceforge/pmd/lang/java/metrics/JavaMetricsProviderTest.java</t>
  </si>
  <si>
    <t>pmd-apex/src/test/java/net/sourceforge/pmd/lang/apex/rule/ApexXpathRuleTest.java</t>
  </si>
  <si>
    <t>pmd-core/src/test/java/net/sourceforge/pmd/lang/ast/xpath/AttributeAxisIteratorTest.java</t>
  </si>
  <si>
    <t>pmd-core/src/test/java/net/sourceforge/pmd/lang/ast/internal/NodeStreamTest.java</t>
  </si>
  <si>
    <t>pmd-ui/src/test/java/net/sourceforge/pmd/util/fxdesigner/util/DesignerUtilTest.java</t>
  </si>
  <si>
    <t>pmd-java/src/test/java/net/sourceforge/pmd/lang/java/ast/ASTFieldDeclarationTest.java</t>
  </si>
  <si>
    <t>pmd-java/src/test/java/net/sourceforge/pmd/lang/java/ast/ASTLiteralTest.java</t>
  </si>
  <si>
    <t>pmd-java/src/test/java/net/sourceforge/pmd/lang/java/ast/ASTAssignmentOperatorTest.java</t>
  </si>
  <si>
    <t>pmd-java/src/test/java/net/sourceforge/pmd/lang/java/ast/ASTPrimarySuffixTest.java</t>
  </si>
  <si>
    <t>pmd-java/src/test/java/net/sourceforge/pmd/lang/java/ast/ASTBlockStatementTest.java</t>
  </si>
  <si>
    <t>pmd-java/src/test/java/net/sourceforge/pmd/lang/java/symboltable/LocalScopeTest.java</t>
  </si>
  <si>
    <t>pmd-java/src/test/java/net/sourceforge/pmd/lang/java/ast/Java12Test.java</t>
  </si>
  <si>
    <t>pmd-core/src/test/java/net/sourceforge/pmd/stat/MetricTest.java</t>
  </si>
  <si>
    <t>pmd-core/src/test/java/net/sourceforge/pmd/stat/StatisticalRuleTest.java</t>
  </si>
  <si>
    <t>pmd-core/src/test/java/net/sourceforge/pmd/lang/ast/NodeStreamTest.java</t>
  </si>
  <si>
    <t>pmd-java/src/test/java/net/sourceforge/pmd/lang/java/rule/design/StdCyclomaticComplexityTest.java</t>
  </si>
  <si>
    <t>pmd-java/src/test/java/net/sourceforge/pmd/lang/java/ast/Java13Test.java</t>
  </si>
  <si>
    <t>pmd-scala/src/test/java/net/sourceforge/pmd/lang/scala/ast/ScalaParserTest.java</t>
  </si>
  <si>
    <t>pmd-core/src/test/java/net/sourceforge/pmd/lang/LanguageRegistryTest.java</t>
  </si>
  <si>
    <t>pmd-test/src/main/java/net/sourceforge/pmd/AbstractLanguageVersionTest.java</t>
  </si>
  <si>
    <t>pmd-core/src/test/java/net/sourceforge/pmd/RuleSetTest.java</t>
  </si>
  <si>
    <t>pmd-java/src/test/java/net/sourceforge/pmd/lang/java/ast/ASTAnnotationTest.java</t>
  </si>
  <si>
    <t>pmd-java/src/test/java/net/sourceforge/pmd/lang/java/ast/SimpleNodeTest.java</t>
  </si>
  <si>
    <t>pmd-core/src/test/java/net/sourceforge/pmd/util/filter/RegexStringFilterTest.java</t>
  </si>
  <si>
    <t>pmd-core/src/test/java/net/sourceforge/pmd/util/StringUtilTest.java</t>
  </si>
  <si>
    <t>pmd-java/src/test/java/net/sourceforge/pmd/lang/java/ast/ASTLocalVariableDeclarationTest.java</t>
  </si>
  <si>
    <t>pmd-java/src/test/java/net/sourceforge/pmd/lang/java/ast/Java10Test.java</t>
  </si>
  <si>
    <t>pmd-apex/src/test/java/net/sourceforge/pmd/lang/apex/rule/design/StdCyclomaticComplexityTest.java</t>
  </si>
  <si>
    <t>pmd-java/src/test/java/net/sourceforge/pmd/lang/java/dfa/StatementAndBraceFinderTest.java</t>
  </si>
  <si>
    <t>pmd-java/src/test/java/net/sourceforge/pmd/lang/java/dfa/StructureTest.java</t>
  </si>
  <si>
    <t>pmd-core/src/test/java/net/sourceforge/pmd/RuleSetFactoryTest.java</t>
  </si>
  <si>
    <t>pmd-core/src/test/java/net/sourceforge/pmd/lang/rule/XPathRuleTest.java</t>
  </si>
  <si>
    <t>pmd-java/src/test/java/net/sourceforge/pmd/lang/java/ast/ASTClassOrInterfaceDeclarationTest.java</t>
  </si>
  <si>
    <t>pmd-java/src/test/java/net/sourceforge/pmd/lang/java/ast/AccessNodeTest.java</t>
  </si>
  <si>
    <t>pmd-java/src/test/java/net/sourceforge/pmd/lang/java/ast/ClassDeclTest.java</t>
  </si>
  <si>
    <t>pmd-java/src/test/java/net/sourceforge/pmd/lang/java/ast/FieldDeclTest.java</t>
  </si>
  <si>
    <t>pmd-java/src/test/java/net/sourceforge/pmd/lang/java/ast/MethodDeclTest.java</t>
  </si>
  <si>
    <t>pmd-java/src/test/java/net/sourceforge/pmd/lang/java/ast/JavaQualifiedNameTest.java</t>
  </si>
  <si>
    <t>pmd-java/src/test/java/net/sourceforge/pmd/lang/java/multifile/ClassStatsTest.java</t>
  </si>
  <si>
    <t>pmd-java/src/test/java/net/sourceforge/pmd/lang/java/multifile/JavaMultifileVisitorTest.java</t>
  </si>
  <si>
    <t>pmd-java/src/test/java/net/sourceforge/pmd/lang/java/multifile/PackageStatsTest.java</t>
  </si>
  <si>
    <t>pmd-java/src/test/java/net/sourceforge/pmd/lang/java/ast/Java14PreviewTest.java</t>
  </si>
  <si>
    <t>pmd-core/src/test/java/net/sourceforge/pmd/lang/ast/AbstractNodeTest.java</t>
  </si>
  <si>
    <t>pmd-core/src/test/java/net/sourceforge/pmd/lang/rule/xpath/JaxenXPathRuleQueryTest.java</t>
  </si>
  <si>
    <t>pmd-core/src/test/java/net/sourceforge/pmd/lang/rule/xpath/SaxonXPathRuleQueryTest.java</t>
  </si>
  <si>
    <t>pmd-java/src/test/java/net/sourceforge/pmd/lang/java/rule/errorprone/AvoidDuplicateLiteralsTest.java</t>
  </si>
  <si>
    <t>pmd-core/src/test/java/net/sourceforge/pmd/lang/rule/xpath/internal/SaxonXPathRuleQueryTest.java</t>
  </si>
  <si>
    <t>pmd-core/src/test/java/net/sourceforge/pmd/lang/rule/internal/MonoidTest.java</t>
  </si>
  <si>
    <t>pmd-core/src/test/java/net/sourceforge/pmd/lang/rule/internal/ComparatorTest.java</t>
  </si>
  <si>
    <t>pmd-core/src/test/java/net/sourceforge/pmd/lang/rule/internal/LatticeRelationTest.java</t>
  </si>
  <si>
    <t>pmd-core/src/test/java/net/sourceforge/pmd/lang/rule/internal/IdMonoidTest.java</t>
  </si>
  <si>
    <t>pmd-dart/src/test/java/net/sourceforge/pmd/cpd/DartTokenizerTest.java</t>
  </si>
  <si>
    <t>pmd-javascript/src/test/java/net/sourceforge/pmd/cpd/EcmascriptTokenizerTest.java</t>
  </si>
  <si>
    <t>pmd-cpp/src/test/java/net/sourceforge/pmd/cpd/CPPTokenizerContinuationTest.java</t>
  </si>
  <si>
    <t>pmd-java/src/test/java/net/sourceforge/pmd/cpd/JavaTokensTokenizerTest.java</t>
  </si>
  <si>
    <t>pmd-go/src/test/java/net/sourceforge/pmd/cpd/EdgeCasesTokenizerTest.java</t>
  </si>
  <si>
    <t>pmd-go/src/test/java/net/sourceforge/pmd/cpd/GoCPDTokenizerTest.java</t>
  </si>
  <si>
    <t>pmd-go/src/test/java/net/sourceforge/pmd/cpd/GoTokenizerTest.java</t>
  </si>
  <si>
    <t>pmd-kotlin/src/test/java/net/sourceforge/pmd/cpd/KotlinTokenizerTest.java</t>
  </si>
  <si>
    <t>pmd-ruby/src/test/java/net/sourceforge/pmd/cpd/RubyTokenizerTest.java</t>
  </si>
  <si>
    <t>pmd-lua/src/test/java/net/sourceforge/pmd/cpd/LuaTokenizerTest.java</t>
  </si>
  <si>
    <t>pmd-scala-modules/pmd-scala-common/src/test/java/net/sourceforge/pmd/cpd/ScalaTokenizerTest.java</t>
  </si>
  <si>
    <t>pmd-java/src/test/java/net/sourceforge/pmd/cpd/JavaTokenizerTest.java</t>
  </si>
  <si>
    <t>pmd-objectivec/src/test/java/net/sourceforge/pmd/cpd/ObjectiveCTokenizerTest.java</t>
  </si>
  <si>
    <t>pmd-objectivec/src/test/java/net/sourceforge/pmd/cpd/UTF8EscapesInStringLiteralObjCTokenizerTest.java</t>
  </si>
  <si>
    <t>pmd-objectivec/src/test/java/net/sourceforge/pmd/cpd/UnicodeObjectiveCTokenizerTest.java</t>
  </si>
  <si>
    <t>pmd-swift/src/test/java/net/sourceforge/pmd/cpd/Issue628Test.java</t>
  </si>
  <si>
    <t>pmd-swift/src/test/java/net/sourceforge/pmd/cpd/SwiftTokenizerTest.java</t>
  </si>
  <si>
    <t>pmd-groovy/src/test/java/net/sourceforge/pmd/cpd/GroovyTokenizerTest.java</t>
  </si>
  <si>
    <t>pmd-core/src/test/java/net/sourceforge/pmd/jaxen/AttributeAxisIteratorTest.java</t>
  </si>
  <si>
    <t>pmd-core/src/test/java/net/sourceforge/pmd/jaxen/AttributeTest.java</t>
  </si>
  <si>
    <t>pmd-core/src/test/java/net/sourceforge/pmd/jaxen/MatchesFunctionTest.java</t>
  </si>
  <si>
    <t>pmd-core/src/test/java/net/sourceforge/pmd/lang/ast/impl/AbstractNodeTest.java</t>
  </si>
  <si>
    <t>pmd-java/src/test/java/net/sourceforge/pmd/jaxen/RegexpAcceptanceTest.java</t>
  </si>
  <si>
    <t>pmd-java/src/test/java/net/sourceforge/pmd/lang/java/ast/ASTThrowStatementTest.java</t>
  </si>
  <si>
    <t>pmd-core/src/test/java/net/sourceforge/pmd/properties/MethodPropertyTest.java</t>
  </si>
  <si>
    <t>pmd-core/src/test/java/net/sourceforge/pmd/util/TypeMapTest.java</t>
  </si>
  <si>
    <t>pmd-core/src/test/java/net/sourceforge/pmd/util/DateTimeUtilTest.java</t>
  </si>
  <si>
    <t>pmd-core/src/test/java/net/sourceforge/pmd/lang/dfa/report/ViolationNodeTest.java</t>
  </si>
  <si>
    <t>pmd-java/src/test/java/net/sourceforge/pmd/typeresolution/ClassTypeResolverJava8Test.java</t>
  </si>
  <si>
    <t>pmd-java/src/test/java/net/sourceforge/pmd/typeresolution/MethodTypeResolutionTest.java</t>
  </si>
  <si>
    <t>pmd-java/src/test/java/net/sourceforge/pmd/typeresolution/PMDASMClassLoaderTest.java</t>
  </si>
  <si>
    <t>pmd-java/src/test/java/net/sourceforge/pmd/typeresolution/typedefinition/JavaTypeDefinitionSimpleTest.java</t>
  </si>
  <si>
    <t>pmd-java/src/test/java/net/sourceforge/pmd/lang/java/dfa/DAAPathFinderTest.java</t>
  </si>
  <si>
    <t>pmd-java/src/test/java/net/sourceforge/pmd/lang/java/dfa/DataFlowNodeTest.java</t>
  </si>
  <si>
    <t>pmd-java/src/test/java/net/sourceforge/pmd/lang/java/dfa/GeneralFiddlingTest.java</t>
  </si>
  <si>
    <t>pmd-java/src/test/java/net/sourceforge/pmd/lang/java/dfa/VariableAccessTest.java</t>
  </si>
  <si>
    <t>pmd-java/src/test/java/net/sourceforge/pmd/lang/java/ast/Java14Test.java</t>
  </si>
  <si>
    <t>pmd-java/src/test/java/net/sourceforge/pmd/lang/java/typeresolution/TypeHelperTest.java</t>
  </si>
  <si>
    <t>pmd-core/src/test/java/net/sourceforge/pmd/RuleContextTest.java</t>
  </si>
  <si>
    <t>pmd-core/src/test/java/net/sourceforge/pmd/lang/rule/DefaultRuleViolationFactoryTest.java</t>
  </si>
  <si>
    <t>pmd-java/src/test/java/net/sourceforge/pmd/lang/java/rule/JavaRuleViolationFactoryTest.java</t>
  </si>
  <si>
    <t>pmd-core/src/test/java/net/sourceforge/pmd/processor/MultiThreadProcessorTest.java</t>
  </si>
  <si>
    <t>pmd-apex/src/test/java/net/sourceforge/pmd/lang/apex/metrics/ApexProjectMirrorTest.java</t>
  </si>
  <si>
    <t>pmd-core/src/test/java/net/sourceforge/pmd/document/DocumentFileTest.java</t>
  </si>
  <si>
    <t>pmd-core/src/test/java/net/sourceforge/pmd/document/DocumentOperationsApplierForNonOverlappingRegionsWithDocumentFileTest.java</t>
  </si>
  <si>
    <t>pmd-core/src/test/java/net/sourceforge/pmd/util/document/MutableTextDocumentTest.java</t>
  </si>
  <si>
    <t>pmd-core/src/test/java/net/sourceforge/pmd/util/document/TextDocumentTest.java</t>
  </si>
  <si>
    <t>pmd-core/src/test/java/net/sourceforge/pmd/util/document/TextEditorTest.java</t>
  </si>
  <si>
    <t>pmd-core/src/test/java/net/sourceforge/pmd/util/document/TextRegionTest.java</t>
  </si>
  <si>
    <t>pmd-core/src/test/java/net/sourceforge/pmd/lang/ast/impl/javacc/io/JavaEscapeReaderTest.java</t>
  </si>
  <si>
    <t>pmd-java/src/test/java/net/sourceforge/pmd/lang/java/rule/documentation/AbstractCommentRuleTest.java</t>
  </si>
  <si>
    <t>pmd-java/src/test/java/net/sourceforge/pmd/lang/java/ast/CommentUtilTest.java</t>
  </si>
  <si>
    <t>pmd-java/src/test/java/net/sourceforge/pmd/coverage/PMDCoverageTest.java</t>
  </si>
  <si>
    <t>pmd-javascript/src/test/java/net/sourceforge/pmd/lang/ecmascript/EcmascriptParserOptionsTest.java</t>
  </si>
  <si>
    <t>pmd-apex/src/test/java/net/sourceforge/pmd/lang/apex/multifile/ApexMultifileVisitorTest.java</t>
  </si>
  <si>
    <t>pmd-core/src/test/java/net/sourceforge/pmd/util/CompoundListTest.java</t>
  </si>
  <si>
    <t>pmd-java/src/test/java/net/sourceforge/pmd/lang/java/rule/bestpractices/UnusedPrivateFieldTest.java</t>
  </si>
  <si>
    <t>pmd-core/src/test/java/net/sourceforge/pmd/lang/ParserOptionsTest.java</t>
  </si>
  <si>
    <t>pmd-test/src/main/java/net/sourceforge/pmd/lang/ParserOptionsTest.java</t>
  </si>
  <si>
    <t>pmd-java/src/test/java/net/sourceforge/pmd/lang/java/ast/FormalCommentTest.java</t>
  </si>
  <si>
    <t>pmd-visualforce/src/test/java/net/sourceforge/pmd/lang/vf/ApexClassPropertyTypesTest.java</t>
  </si>
  <si>
    <t>pmd-java/src/test/java/net/sourceforge/pmd/lang/java/rule/xpath/internal/XPathMetricFunctionTest.java</t>
  </si>
  <si>
    <t>pmd-java/src/test/java/net/sourceforge/pmd/lang/java/metrics/SigMaskTest.java</t>
  </si>
  <si>
    <t>pmd-java/src/test/java/net/sourceforge/pmd/lang/java/metrics/SignatureTest.java</t>
  </si>
  <si>
    <t>pmd-core/src/test/java/net/sourceforge/pmd/RuleSetFactoryCompatibilityTest.java</t>
  </si>
  <si>
    <t>pmd-core/src/test/java/net/sourceforge/pmd/ConfigurationTest.java</t>
  </si>
  <si>
    <t>pmd-test/src/test/java/net/sourceforge/pmd/lang/ParserOptionsUnitTest.java</t>
  </si>
  <si>
    <t>pmd-visualforce/src/test/java/net/sourceforge/pmd/lang/vf/VfParserOptionsTest.java</t>
  </si>
  <si>
    <t>pmd-plsql/src/test/java/net/sourceforge/pmd/lang/plsql/ast/ParsingExclusionTest.java</t>
  </si>
  <si>
    <t>pmd-java/src/test/java/net/sourceforge/pmd/lang/java/types/TypesFromReflectionTest.java</t>
  </si>
  <si>
    <t>pmd-java/src/test/java/net/sourceforge/pmd/lang/java/ast/Java15PreviewTreeDumpTest.java</t>
  </si>
  <si>
    <t>pmd-javascript/src/test/java/net/sourceforge/pmd/lang/ecmascript/EcmasccriptLanguageModuleTest.java</t>
  </si>
  <si>
    <t>pmd-core/src/test/java/net/sourceforge/pmd/renderers/SarifRendererTest.java</t>
  </si>
  <si>
    <t>pmd-core/src/test/java/net/sourceforge/pmd/internal/StageDependencyTest.java</t>
  </si>
  <si>
    <t>pmd-java/src/test/java/net/sourceforge/pmd/lang/java/ast/ASTFormalParameterTest.java</t>
  </si>
  <si>
    <t>pmd-core/src/test/java/net/sourceforge/pmd/cli/PMDFilelistTest.java</t>
  </si>
  <si>
    <t>pmd-core/src/test/java/net/sourceforge/pmd/lang/ast/impl/javacc/io/CharStreamImplTest.java</t>
  </si>
  <si>
    <t>pmd-java/src/test/java/net/sourceforge/pmd/lang/java/symboltable/AcceptanceTest.java</t>
  </si>
  <si>
    <t>pmd-java/src/test/java/net/sourceforge/pmd/lang/java/symboltable/ClassScopeTest.java</t>
  </si>
  <si>
    <t>pmd-java/src/test/java/net/sourceforge/pmd/lang/java/symboltable/GlobalScopeTest.java</t>
  </si>
  <si>
    <t>pmd-java/src/test/java/net/sourceforge/pmd/lang/java/symboltable/ImageFinderFunctionTest.java</t>
  </si>
  <si>
    <t>pmd-java/src/test/java/net/sourceforge/pmd/lang/java/symboltable/MethodNameDeclarationTest.java</t>
  </si>
  <si>
    <t>pmd-java/src/test/java/net/sourceforge/pmd/lang/java/symboltable/MethodScopeTest.java</t>
  </si>
  <si>
    <t>pmd-java/src/test/java/net/sourceforge/pmd/lang/java/symboltable/NameOccurrencesTest.java</t>
  </si>
  <si>
    <t>pmd-java/src/test/java/net/sourceforge/pmd/lang/java/symboltable/ScopeAndDeclarationFinderTest.java</t>
  </si>
  <si>
    <t>pmd-java/src/test/java/net/sourceforge/pmd/lang/java/symboltable/ScopeCreationVisitorTest.java</t>
  </si>
  <si>
    <t>pmd-java/src/test/java/net/sourceforge/pmd/lang/java/symboltable/SimpleTypedNameDeclarationTest.java</t>
  </si>
  <si>
    <t>pmd-java/src/test/java/net/sourceforge/pmd/lang/java/symboltable/SourceFileScopeTest.java</t>
  </si>
  <si>
    <t>pmd-java/src/test/java/net/sourceforge/pmd/lang/java/symboltable/TypeSetTest.java</t>
  </si>
  <si>
    <t>pmd-java/src/test/java/net/sourceforge/pmd/lang/java/symboltable/VariableNameDeclarationTest.java</t>
  </si>
  <si>
    <t>pmd-java/src/test/java/net/sourceforge/pmd/lang/java/ast/Java16PreviewTreeDumpTest.java</t>
  </si>
  <si>
    <t>pmd-java/src/test/java/net/sourceforge/pmd/lang/java/ast/ASTModuleDeclarationTest.java</t>
  </si>
  <si>
    <t>pmd-core/src/test/java/net/sourceforge/pmd/util/treeexport/TreeExportCliTest.java</t>
  </si>
  <si>
    <t>pmd-core/src/test/java/net/sourceforge/pmd/lang/document/TextDocumentTest.java</t>
  </si>
  <si>
    <t>pmd-core/src/test/java/net/sourceforge/pmd/lang/document/SourceCodePositionerTest.java</t>
  </si>
  <si>
    <t>pmd-core/src/test/java/net/sourceforge/pmd/cli/CoreCliTest.java</t>
  </si>
  <si>
    <t>pmd-java/src/test/java/net/sourceforge/pmd/lang/java/ast/Java17PreviewTreeDumpTest.java</t>
  </si>
  <si>
    <t>pmd-jsp/src/test/java/net/sourceforge/pmd/LanguageVersionDiscovererTest.java</t>
  </si>
  <si>
    <t>pmd-java/src/test/java/net/sourceforge/pmd/lang/java/types/TestingFrameworkTypeUtilTest.java</t>
  </si>
  <si>
    <t>pmd-javascript/src/test/java/net/sourceforge/pmd/cli/CLITest.java</t>
  </si>
  <si>
    <t>pmd-java/src/test/java/net/sourceforge/pmd/cli/CLITest.java</t>
  </si>
  <si>
    <t>pmd-java/src/test/java/net/sourceforge/pmd/lang/java/symbols/SymbolReflectionTest.java</t>
  </si>
  <si>
    <t>pmd-java/src/test/java/net/sourceforge/pmd/lang/java/symbols/AbstractSymbolTest.java</t>
  </si>
  <si>
    <t>pmd-java/src/test/java/net/sourceforge/pmd/lang/java/symbols/AnnotationReflectionTest.java</t>
  </si>
  <si>
    <t>RuleViolationTest.java</t>
  </si>
  <si>
    <t>ReportTest.java</t>
  </si>
  <si>
    <t>FunctionalTest.java</t>
  </si>
  <si>
    <t>RuleSetTest.java</t>
  </si>
  <si>
    <t>RuleFactoryTest.java</t>
  </si>
  <si>
    <t>ReportFactoryTest.java</t>
  </si>
  <si>
    <t>UnusedLocalVariableTest.java</t>
  </si>
  <si>
    <t>TypeSetTest.java</t>
  </si>
  <si>
    <t>SymbolTableTest.java</t>
  </si>
  <si>
    <t>CreateAThreadRuleTest.java</t>
  </si>
  <si>
    <t>CreatesATimerTest.java</t>
  </si>
  <si>
    <t>SystemInRuleTest.java</t>
  </si>
  <si>
    <t>SystemOutRuleTest.java</t>
  </si>
  <si>
    <t>SystemPropsRuleTest.java</t>
  </si>
  <si>
    <t>UnusedPrivateInstanceVariableRuleTest.java</t>
  </si>
  <si>
    <t>OccurrencesTest.java</t>
  </si>
  <si>
    <t>OccurrenceTest.java</t>
  </si>
  <si>
    <t>CPDTest.java</t>
  </si>
  <si>
    <t>GSTTest.java</t>
  </si>
  <si>
    <t>TileTest.java</t>
  </si>
  <si>
    <t>TokenListTest.java</t>
  </si>
  <si>
    <t>TokenSetsTest.java</t>
  </si>
  <si>
    <t>TokenTest.java</t>
  </si>
  <si>
    <t>LongParameterListRuleTest.java</t>
  </si>
  <si>
    <t>RuleSetFactoryTest.java</t>
  </si>
  <si>
    <t>StatisticalRuleTest.java</t>
  </si>
  <si>
    <t>SymbolTest.java</t>
  </si>
  <si>
    <t>ScopeTest.java</t>
  </si>
  <si>
    <t>SymbolTableBuilderTest.java</t>
  </si>
  <si>
    <t>NamespaceTest.java</t>
  </si>
  <si>
    <t>EmptyIfStmtRuleTest.java</t>
  </si>
  <si>
    <t>StringToStringRuleTest.java</t>
  </si>
  <si>
    <t>ClassScopeTest.java</t>
  </si>
  <si>
    <t>DeclarationFinderTest.java</t>
  </si>
  <si>
    <t>LocalScopeTest.java</t>
  </si>
  <si>
    <t>LookupControllerTest.java</t>
  </si>
  <si>
    <t>NameDeclarationTest.java</t>
  </si>
  <si>
    <t>NameOccurrenceTest.java</t>
  </si>
  <si>
    <t>JUnitStaticSuiteRuleTest.java</t>
  </si>
  <si>
    <t>OnlyOneReturnRuleTest.java</t>
  </si>
  <si>
    <t>EmptyCatchBlockRuleTest.java</t>
  </si>
  <si>
    <t>AvoidStringLiteralsRuleTest.java</t>
  </si>
  <si>
    <t>JUnitSpellingRuleTest.java</t>
  </si>
  <si>
    <t>AvoidReassigningParametersRuleTest.java</t>
  </si>
  <si>
    <t>OverrideBothEqualsAndHashcodeRuleTest.java</t>
  </si>
  <si>
    <t>JDBCReportListenerTest.java</t>
  </si>
  <si>
    <t>UseSingletonRuleTest.java</t>
  </si>
  <si>
    <t>UnusedModifierRuleTest.java</t>
  </si>
  <si>
    <t>ConstructorCallsOverridableMethodRuleTest.java</t>
  </si>
  <si>
    <t>IfStmtsMustUseBracesRuleTest.java</t>
  </si>
  <si>
    <t>XPathRuleTest.java</t>
  </si>
  <si>
    <t>ResultsTest.java</t>
  </si>
  <si>
    <t>TokenEntryTest.java</t>
  </si>
  <si>
    <t>LocatorTest.java</t>
  </si>
  <si>
    <t>UnnecessaryConstructorRuleTest.java</t>
  </si>
  <si>
    <t>SymbolFacadeTest.java</t>
  </si>
  <si>
    <t>UnusedPrivateFieldRuleTest.java</t>
  </si>
  <si>
    <t>UnnecessaryTemporariesRuleTest.java</t>
  </si>
  <si>
    <t>LongClassRuleTest.java</t>
  </si>
  <si>
    <t>ShortVariableRuleTest.java</t>
  </si>
  <si>
    <t>WhileLoopsMustUseBracesRuleTest.java</t>
  </si>
  <si>
    <t>UnusedPrivateMethodRuleTest.java</t>
  </si>
  <si>
    <t>PMDTaskTest.java</t>
  </si>
  <si>
    <t>PathCheckerTest.java</t>
  </si>
  <si>
    <t>ExternalRuleIDTest.java</t>
  </si>
  <si>
    <t>UnusedFormalParameterRuleTest.java</t>
  </si>
  <si>
    <t>UnusedImportsRuleTest.java</t>
  </si>
  <si>
    <t>StringInstantiationRuleTest.java</t>
  </si>
  <si>
    <t>SwitchStmtsShouldHaveDefaultRuleTest.java</t>
  </si>
  <si>
    <t>LongVariableRuleTest.java</t>
  </si>
  <si>
    <t>ReturnFromFinallyBlockTest.java</t>
  </si>
  <si>
    <t>ShortMethodNameRuleTest.java</t>
  </si>
  <si>
    <t>ImportFromSamePackageRuleTest.java</t>
  </si>
  <si>
    <t>JumbledIncrementerRuleTest.java</t>
  </si>
  <si>
    <t>ForLoopShouldBeWhileLoopRuleTest.java</t>
  </si>
  <si>
    <t>ForLoopsMustUseBracesRuleTest.java</t>
  </si>
  <si>
    <t>IfElseStmtsMustUseBracesRuleTest.java</t>
  </si>
  <si>
    <t>LooseCouplingRuleTest.java</t>
  </si>
  <si>
    <t>EmptyFinallyBlockRuleTest.java</t>
  </si>
  <si>
    <t>EmptySwitchStmtRuleTest.java</t>
  </si>
  <si>
    <t>EmptyTryBlockRuleTest.java</t>
  </si>
  <si>
    <t>EmptyWhileStmtRuleTest.java</t>
  </si>
  <si>
    <t>ExcessiveImportsRuleTest.java</t>
  </si>
  <si>
    <t>DontImportJavaLangRuleTest.java</t>
  </si>
  <si>
    <t>DoubleCheckedLockingRuleTest.java</t>
  </si>
  <si>
    <t>DuplicateImportsRuleTest.java</t>
  </si>
  <si>
    <t>SimpleNodeTest.java</t>
  </si>
  <si>
    <t>RuleSetReadWriteTest.java</t>
  </si>
  <si>
    <t>BasicScopeFactoryTest.java</t>
  </si>
  <si>
    <t>ScopeCreatorTest.java</t>
  </si>
  <si>
    <t>AtLeastOneConstructorRuleTest.java</t>
  </si>
  <si>
    <t>AttributeAxisIteratorTest.java</t>
  </si>
  <si>
    <t>AssertTest.java</t>
  </si>
  <si>
    <t>AvoidDuplicateLiteralsRuleTest.java</t>
  </si>
  <si>
    <t>SimplifyBooleanReturnsRuleTest.java</t>
  </si>
  <si>
    <t>NullAssignmentRuleTest.java</t>
  </si>
  <si>
    <t>AssignmentInOperandRuleTest.java</t>
  </si>
  <si>
    <t>MarkComparatorTest.java</t>
  </si>
  <si>
    <t>MatchTest.java</t>
  </si>
  <si>
    <t>MarkTest.java</t>
  </si>
  <si>
    <t>DocumentNavigatorTest.java</t>
  </si>
  <si>
    <t>AcceptanceTest.java</t>
  </si>
  <si>
    <t>AbstractScopeTest.java</t>
  </si>
  <si>
    <t>JUnitAssertionsShouldIncludeMessageRuleTest.java</t>
  </si>
  <si>
    <t>NameOccurrencesTest.java</t>
  </si>
  <si>
    <t>SwitchDensityTest.java</t>
  </si>
  <si>
    <t>SimplifyBooleanExpressionsRuleTest.java</t>
  </si>
  <si>
    <t>FormatterTest.java</t>
  </si>
  <si>
    <t>ASTTypeTest.java</t>
  </si>
  <si>
    <t>TestClass.java</t>
  </si>
  <si>
    <t>StatementAndBraceFinderTest.java</t>
  </si>
  <si>
    <t>StructureTest.java</t>
  </si>
  <si>
    <t>LinkerTest.java</t>
  </si>
  <si>
    <t>LongMethodRuleTest.java</t>
  </si>
  <si>
    <t>CouplingBetweenObjectsRuleTest.java</t>
  </si>
  <si>
    <t>EncodingTest.java</t>
  </si>
  <si>
    <t>ASTImportDeclarationTest.java</t>
  </si>
  <si>
    <t>AccessNodeTest.java</t>
  </si>
  <si>
    <t>AccessorClassGenerationTest.java</t>
  </si>
  <si>
    <t>ExcessiveMethodLengthTest.java</t>
  </si>
  <si>
    <t>JDKVersionTest.java</t>
  </si>
  <si>
    <t>ScopeCreationVisitorTest.java</t>
  </si>
  <si>
    <t>VariableNameDeclarationTest.java</t>
  </si>
  <si>
    <t>AbstractClassDoesNotContainAbstractMethodTest.java</t>
  </si>
  <si>
    <t>DiscardableNodeCleanerTest.java</t>
  </si>
  <si>
    <t>StringUtilTest.java</t>
  </si>
  <si>
    <t>ExplicitCallToFinalizeRuleTest.java</t>
  </si>
  <si>
    <t>PMDCorePluginTest.java</t>
  </si>
  <si>
    <t>ExceptionTypeCheckingRuleTest.java</t>
  </si>
  <si>
    <t>AttributeTest.java</t>
  </si>
  <si>
    <t>XMLRendererTest.java</t>
  </si>
  <si>
    <t>SuppressWarningsTest.java</t>
  </si>
  <si>
    <t>AvoidDeeplyNestedIfStmtsRuleTest.java</t>
  </si>
  <si>
    <t>UncommentedEmptyConstructorRuleTest.java</t>
  </si>
  <si>
    <t>PreferencesModelTest.java</t>
  </si>
  <si>
    <t>PreferencesDAOTest.java</t>
  </si>
  <si>
    <t>ExcludeLinesTest.java</t>
  </si>
  <si>
    <t>TextPadRendererTest.java</t>
  </si>
  <si>
    <t>CallSuperInConstructorTest.java</t>
  </si>
  <si>
    <t>ConstructorCallsOverridableMethodTest.java</t>
  </si>
  <si>
    <t>DoubleCheckedLockingTest.java</t>
  </si>
  <si>
    <t>ExcessivePublicCountTest.java</t>
  </si>
  <si>
    <t>VariableNamingConventionsTest.java</t>
  </si>
  <si>
    <t>NcssConstructorCountTest.java</t>
  </si>
  <si>
    <t>NcssMethodCountTest.java</t>
  </si>
  <si>
    <t>NcssTypeCountTest.java</t>
  </si>
  <si>
    <t>PositionalIteratorRuleTest.java</t>
  </si>
  <si>
    <t>TooManyFieldsTest.java</t>
  </si>
  <si>
    <t>BeanMembersShouldSerializeRuleTest.java</t>
  </si>
  <si>
    <t>ExceptionSignatureDeclarationRuleTest.java</t>
  </si>
  <si>
    <t>DetectCutAndPasteCmdTest.java</t>
  </si>
  <si>
    <t>CloseResourceTest.java</t>
  </si>
  <si>
    <t>ReadableDurationTest.java</t>
  </si>
  <si>
    <t>AvoidDecimalLiteralsInBigDecimalConstructorTest.java</t>
  </si>
  <si>
    <t>AvoidThreadGroupTest.java</t>
  </si>
  <si>
    <t>AvoidUsingOctalValuesTest.java</t>
  </si>
  <si>
    <t>BigIntegerInstantiationTest.java</t>
  </si>
  <si>
    <t>BooleanInstantiationRuleTest.java</t>
  </si>
  <si>
    <t>BrokenNullCheckTest.java</t>
  </si>
  <si>
    <t>ClassCastExceptionWithToArrayTest.java</t>
  </si>
  <si>
    <t>CollapsibleIfStatementsTest.java</t>
  </si>
  <si>
    <t>EmptyStatementNotInLoopRuleTest.java</t>
  </si>
  <si>
    <t>EmptyStaticInitializerRuleTest.java</t>
  </si>
  <si>
    <t>EmptySynchronizedBlockRuleTest.java</t>
  </si>
  <si>
    <t>MisplacedNullCheckTest.java</t>
  </si>
  <si>
    <t>OverrideBothEqualsAndHashcodeTest.java</t>
  </si>
  <si>
    <t>UnconditionalIfStatementRuleTest.java</t>
  </si>
  <si>
    <t>UnnecessaryFinalModifierTest.java</t>
  </si>
  <si>
    <t>UnnecessaryReturnTest.java</t>
  </si>
  <si>
    <t>UnnecessaryTemporariesTest.java</t>
  </si>
  <si>
    <t>UselessOperationOnImmutableTest.java</t>
  </si>
  <si>
    <t>UselessOverridingMethodTest.java</t>
  </si>
  <si>
    <t>ForLoopsMustUseBracesTest.java</t>
  </si>
  <si>
    <t>IfElseStmtsMustUseBracesTest.java</t>
  </si>
  <si>
    <t>WhileLoopsMustUseBracesTest.java</t>
  </si>
  <si>
    <t>CloneMethodMustImplementCloneableTest.java</t>
  </si>
  <si>
    <t>CloneThrowsCloneNotSupportedExceptionTest.java</t>
  </si>
  <si>
    <t>ProperCloneImplementationTest.java</t>
  </si>
  <si>
    <t>NpathComplexityTest.java</t>
  </si>
  <si>
    <t>AssignmentInOperandTest.java</t>
  </si>
  <si>
    <t>BooleanInversionTest.java</t>
  </si>
  <si>
    <t>DataflowAnomalyAnalysisTest.java</t>
  </si>
  <si>
    <t>DefaultPackageTest.java</t>
  </si>
  <si>
    <t>DontImportSunTest.java</t>
  </si>
  <si>
    <t>SingularFieldRuleTest.java</t>
  </si>
  <si>
    <t>SuspiciousOctalEscapeTest.java</t>
  </si>
  <si>
    <t>UnnecessaryConstructorTest.java</t>
  </si>
  <si>
    <t>UnnecessaryParenthesesTest.java</t>
  </si>
  <si>
    <t>CouplingBetweenObjectsTest.java</t>
  </si>
  <si>
    <t>ExcessiveImportsTest.java</t>
  </si>
  <si>
    <t>LooseCouplingTest.java</t>
  </si>
  <si>
    <t>AbstractClassWithoutAbstractMethodTest.java</t>
  </si>
  <si>
    <t>AssignmentToNonFinalStaticTest.java</t>
  </si>
  <si>
    <t>AvoidConstantsInterfaceTest.java</t>
  </si>
  <si>
    <t>AvoidInstanceofChecksInCatchClauseTest.java</t>
  </si>
  <si>
    <t>AvoidProtectedFieldInFinalClassRuleTest.java</t>
  </si>
  <si>
    <t>AvoidReassigningParametersTest.java</t>
  </si>
  <si>
    <t>AvoidSynchronizedAtMethodLevelTest.java</t>
  </si>
  <si>
    <t>BadComparisonTest.java</t>
  </si>
  <si>
    <t>CompareObjectsWithEqualsTest.java</t>
  </si>
  <si>
    <t>DefaultLabelNotLastInSwitchStmtRuleTest.java</t>
  </si>
  <si>
    <t>EqualsNullRuleTest.java</t>
  </si>
  <si>
    <t>FinalFieldCouldBeStaticRuleTest.java</t>
  </si>
  <si>
    <t>IdempotentOperationsTest.java</t>
  </si>
  <si>
    <t>ImmutableFieldTest.java</t>
  </si>
  <si>
    <t>InstantiationToGetClassRuleTest.java</t>
  </si>
  <si>
    <t>MissingBreakInSwitchTest.java</t>
  </si>
  <si>
    <t>MissingStaticMethodInNonInstantiatableClassTest.java</t>
  </si>
  <si>
    <t>NonCaseLabelInSwitchStatementRuleTest.java</t>
  </si>
  <si>
    <t>NonStaticInitializerRuleTest.java</t>
  </si>
  <si>
    <t>NonThreadSafeSingletonTest.java</t>
  </si>
  <si>
    <t>OptimizableToArrayCallTest.java</t>
  </si>
  <si>
    <t>PositionLiteralsFirstInComparisonsTest.java</t>
  </si>
  <si>
    <t>PreserveStackTraceTest.java</t>
  </si>
  <si>
    <t>SimpleDateFormatNeedsLocaleRuleTest.java</t>
  </si>
  <si>
    <t>SimplifyBooleanReturnsTest.java</t>
  </si>
  <si>
    <t>SimplifyConditionalTest.java</t>
  </si>
  <si>
    <t>UnnecessaryLocalBeforeReturnRuleTest.java</t>
  </si>
  <si>
    <t>UnsynchronizedStaticDateFormatterTest.java</t>
  </si>
  <si>
    <t>UseCollectionIsEmptyTest.java</t>
  </si>
  <si>
    <t>UseLocaleWithCaseConversionsRuleTest.java</t>
  </si>
  <si>
    <t>UseNotifyAllInsteadOfNotifyTest.java</t>
  </si>
  <si>
    <t>UseSingletonTest.java</t>
  </si>
  <si>
    <t>AvoidCallingFinalizeTest.java</t>
  </si>
  <si>
    <t>EmptyFinalizerRuleTest.java</t>
  </si>
  <si>
    <t>FinalizeDoesNotCallSuperFinalizeRuleTest.java</t>
  </si>
  <si>
    <t>FinalizeOnlyCallsSuperFinalizeRuleTest.java</t>
  </si>
  <si>
    <t>FinalizeOverloadedRuleTest.java</t>
  </si>
  <si>
    <t>FinalizeShouldBeProtectedRuleTest.java</t>
  </si>
  <si>
    <t>LocalHomeNamingConventionTest.java</t>
  </si>
  <si>
    <t>LocalInterfaceSessionNamingConventionTest.java</t>
  </si>
  <si>
    <t>MDBAndSessionBeanNamingConventionTest.java</t>
  </si>
  <si>
    <t>RemoteInterfaceNamingConventionTest.java</t>
  </si>
  <si>
    <t>RemoteSessionInterfaceNamingConventionTest.java</t>
  </si>
  <si>
    <t>UseProperClassLoaderTest.java</t>
  </si>
  <si>
    <t>MissingSerialVersionUIDTest.java</t>
  </si>
  <si>
    <t>JUnitAssertionsShouldIncludeMessageTest.java</t>
  </si>
  <si>
    <t>JUnitTestsShouldContainAssertsTest.java</t>
  </si>
  <si>
    <t>SimplifyBooleanAssertionTest.java</t>
  </si>
  <si>
    <t>TestClassWithoutTestCasesTest.java</t>
  </si>
  <si>
    <t>UnnecessaryBooleanAssertionTest.java</t>
  </si>
  <si>
    <t>UseAssertEqualsInsteadOfAssertTrueTest.java</t>
  </si>
  <si>
    <t>UseAssertNullInsteadOfAssertTrueTest.java</t>
  </si>
  <si>
    <t>UseAssertSameInsteadOfAssertTrueTest.java</t>
  </si>
  <si>
    <t>AvoidPrintStackTraceTest.java</t>
  </si>
  <si>
    <t>LoggerIsNotStaticFinalTest.java</t>
  </si>
  <si>
    <t>MoreThanOneLoggerTest.java</t>
  </si>
  <si>
    <t>SystemPrintlnTest.java</t>
  </si>
  <si>
    <t>AbstractNamingTest.java</t>
  </si>
  <si>
    <t>AvoidDollarSignsRuleTest.java</t>
  </si>
  <si>
    <t>AvoidFieldNameMatchingMethodNameTest.java</t>
  </si>
  <si>
    <t>AvoidFieldNameMatchingTypeNameTest.java</t>
  </si>
  <si>
    <t>AvoidNonConstructorMethodsWithClassNameTest.java</t>
  </si>
  <si>
    <t>BooleanGetMethodNameTest.java</t>
  </si>
  <si>
    <t>ClassNamingConventionsTest.java</t>
  </si>
  <si>
    <t>MethodNamingConventionsTest.java</t>
  </si>
  <si>
    <t>MethodWithSameNameAsEnclosingClassRuleTest.java</t>
  </si>
  <si>
    <t>MisleadingVariableNameTest.java</t>
  </si>
  <si>
    <t>NoPackageTest.java</t>
  </si>
  <si>
    <t>PackageCaseTest.java</t>
  </si>
  <si>
    <t>ShortMethodNameTest.java</t>
  </si>
  <si>
    <t>SuspiciousConstantFieldNameTest.java</t>
  </si>
  <si>
    <t>SuspiciousEqualsMethodNameRuleTest.java</t>
  </si>
  <si>
    <t>SuspiciousHashcodeMethodNameRuleTest.java</t>
  </si>
  <si>
    <t>AddEmptyStringTest.java</t>
  </si>
  <si>
    <t>AvoidArrayLoopsTest.java</t>
  </si>
  <si>
    <t>AvoidInstantiatingObjectsInLoopsTest.java</t>
  </si>
  <si>
    <t>LocalVariableCouldBeFinalTest.java</t>
  </si>
  <si>
    <t>MethodArgumentCouldBeFinalTest.java</t>
  </si>
  <si>
    <t>SimplifyStartsWithTest.java</t>
  </si>
  <si>
    <t>UnnecessaryWrapperObjectCreationTest.java</t>
  </si>
  <si>
    <t>UseArrayListInsteadOfVectorTest.java</t>
  </si>
  <si>
    <t>UseArraysAsListTest.java</t>
  </si>
  <si>
    <t>UseStringBufferForStringAppendsTest.java</t>
  </si>
  <si>
    <t>AvoidCatchingNPETest.java</t>
  </si>
  <si>
    <t>AvoidCatchingThrowableRuleTest.java</t>
  </si>
  <si>
    <t>AvoidRethrowingExceptionTest.java</t>
  </si>
  <si>
    <t>AvoidThrowingNullPointerExceptionTest.java</t>
  </si>
  <si>
    <t>AvoidThrowingRawExceptionTypesTest.java</t>
  </si>
  <si>
    <t>DoNotExtendJavaLangErrorTest.java</t>
  </si>
  <si>
    <t>ExceptionAsFlowControlTest.java</t>
  </si>
  <si>
    <t>AppendCharacterWithCharTest.java</t>
  </si>
  <si>
    <t>ConsecutiveLiteralAppendsTest.java</t>
  </si>
  <si>
    <t>InefficientEmptyStringCheckTest.java</t>
  </si>
  <si>
    <t>InefficientStringBufferingTest.java</t>
  </si>
  <si>
    <t>InsufficientStringBufferDeclarationTest.java</t>
  </si>
  <si>
    <t>StringBufferInstantiationWithCharTest.java</t>
  </si>
  <si>
    <t>UnnecessaryCaseChangeRuleTest.java</t>
  </si>
  <si>
    <t>UseIndexOfCharTest.java</t>
  </si>
  <si>
    <t>UseStringBufferLengthTest.java</t>
  </si>
  <si>
    <t>UselessStringValueOfTest.java</t>
  </si>
  <si>
    <t>ProperLoggerTest.java</t>
  </si>
  <si>
    <t>UseCorrectExceptionLoggingTest.java</t>
  </si>
  <si>
    <t>AvoidAssertAsIdentifierTest.java</t>
  </si>
  <si>
    <t>AvoidEnumAsIdentifierTest.java</t>
  </si>
  <si>
    <t>ByteInstantiationTest.java</t>
  </si>
  <si>
    <t>IntegerInstantiationTest.java</t>
  </si>
  <si>
    <t>JUnit4SuitesShouldUseSuiteAnnotationTest.java</t>
  </si>
  <si>
    <t>JUnit4TestShouldUseAfterAnnotationTest.java</t>
  </si>
  <si>
    <t>JUnit4TestShouldUseBeforeAnnotationTest.java</t>
  </si>
  <si>
    <t>JUnit4TestShouldUseTestAnnotationTest.java</t>
  </si>
  <si>
    <t>JUnitUseExpectedTest.java</t>
  </si>
  <si>
    <t>LongInstantiationTest.java</t>
  </si>
  <si>
    <t>ReplaceEnumerationWithIteratorTest.java</t>
  </si>
  <si>
    <t>ReplaceHashtableWithMapTest.java</t>
  </si>
  <si>
    <t>ReplaceVectorWithListTest.java</t>
  </si>
  <si>
    <t>ShortInstantiationTest.java</t>
  </si>
  <si>
    <t>ArrayIsStoredDirectlyTest.java</t>
  </si>
  <si>
    <t>MethodReturnsInternalArrayTest.java</t>
  </si>
  <si>
    <t>DontNestJsfInJstlIterationTest.java</t>
  </si>
  <si>
    <t>DuplicateJspImportTest.java</t>
  </si>
  <si>
    <t>IframeMissingSrcAttributeTest.java</t>
  </si>
  <si>
    <t>JspEncodingTest.java</t>
  </si>
  <si>
    <t>NoClassAttributeTest.java</t>
  </si>
  <si>
    <t>NoHtmlCommentsTest.java</t>
  </si>
  <si>
    <t>NoInlineStyleInformationTest.java</t>
  </si>
  <si>
    <t>NoJspForwardTest.java</t>
  </si>
  <si>
    <t>NoLongScriptsTest.java</t>
  </si>
  <si>
    <t>NoScriptletsTest.java</t>
  </si>
  <si>
    <t>ScratchpadRulesTest.java</t>
  </si>
  <si>
    <t>BasicRulesTest.java</t>
  </si>
  <si>
    <t>BracesRulesTest.java</t>
  </si>
  <si>
    <t>CloneRulesTest.java</t>
  </si>
  <si>
    <t>CodesizeRulesTest.java</t>
  </si>
  <si>
    <t>ControversialRulesTest.java</t>
  </si>
  <si>
    <t>CouplingRulesTest.java</t>
  </si>
  <si>
    <t>ConfusingTernaryRuleTest.java</t>
  </si>
  <si>
    <t>DesignRulesTest.java</t>
  </si>
  <si>
    <t>UncommentedEmptyMethodRuleTest.java</t>
  </si>
  <si>
    <t>FinalizersRulesTest.java</t>
  </si>
  <si>
    <t>ImportsRulesTest.java</t>
  </si>
  <si>
    <t>J2EERulesTest.java</t>
  </si>
  <si>
    <t>JavabeansRulesTest.java</t>
  </si>
  <si>
    <t>JunitRulesTest.java</t>
  </si>
  <si>
    <t>LoggingJakartaCommonsRulesTest.java</t>
  </si>
  <si>
    <t>LoggingJavaRulesTest.java</t>
  </si>
  <si>
    <t>MigratingRulesTest.java</t>
  </si>
  <si>
    <t>NamingRulesTest.java</t>
  </si>
  <si>
    <t>OptimizationsRulesTest.java</t>
  </si>
  <si>
    <t>StrictExceptionRulesTest.java</t>
  </si>
  <si>
    <t>StringsRulesTest.java</t>
  </si>
  <si>
    <t>SunSecureRulesTest.java</t>
  </si>
  <si>
    <t>SignatureDeclareThrowsExceptionTest.java</t>
  </si>
  <si>
    <t>UnusedImportsTest.java</t>
  </si>
  <si>
    <t>UnusedCodeRulesTest.java</t>
  </si>
  <si>
    <t>UselessAssignmentRuleTest.java</t>
  </si>
  <si>
    <t>RuleContextTest.java</t>
  </si>
  <si>
    <t>SourceTypeDiscovererTest.java</t>
  </si>
  <si>
    <t>SourceTypeTest.java</t>
  </si>
  <si>
    <t>AbstractRuleTest.java</t>
  </si>
  <si>
    <t>CommandLineOptionsTest.java</t>
  </si>
  <si>
    <t>FloatPropertyTest.java</t>
  </si>
  <si>
    <t>TypePropertyTest.java</t>
  </si>
  <si>
    <t>PropertyAccessorTest.java</t>
  </si>
  <si>
    <t>FileSelectorTest.java</t>
  </si>
  <si>
    <t>DynamicRuleTest.java</t>
  </si>
  <si>
    <t>SimpleRuleSetNameMapperTest.java</t>
  </si>
  <si>
    <t>UnusedNullCheckInEqualsTest.java</t>
  </si>
  <si>
    <t>AntTaskTest.java</t>
  </si>
  <si>
    <t>PmdBuildTest.java</t>
  </si>
  <si>
    <t>CommandLineParserTest.java</t>
  </si>
  <si>
    <t>VersionTest.java</t>
  </si>
  <si>
    <t>TooManyHttpFilterTest.java</t>
  </si>
  <si>
    <t>LanguageVersionDiscovererTest.java</t>
  </si>
  <si>
    <t>TileExpanderTest.java</t>
  </si>
  <si>
    <t>TileHarvesterTest.java</t>
  </si>
  <si>
    <t>TilePlanterTest.java</t>
  </si>
  <si>
    <t>BasicPMDTest.java</t>
  </si>
  <si>
    <t>RuleSetManagerTest.java</t>
  </si>
  <si>
    <t>RuleSetsExtensionProcessorTest.java</t>
  </si>
  <si>
    <t>RuleSetsManagerImplTest.java</t>
  </si>
  <si>
    <t>PriorityTest.java</t>
  </si>
  <si>
    <t>PropertiesTest.java</t>
  </si>
  <si>
    <t>PropertyTest.java</t>
  </si>
  <si>
    <t>RuleSetsTest.java</t>
  </si>
  <si>
    <t>RuleTest.java</t>
  </si>
  <si>
    <t>RenderReportCmdTest.java</t>
  </si>
  <si>
    <t>ReviewCmdTest.java</t>
  </si>
  <si>
    <t>ProjectPropertiesModelTest.java</t>
  </si>
  <si>
    <t>UpdateProjectPropertiesCmdTest.java</t>
  </si>
  <si>
    <t>NodeAccessorAxisNavigatorTest.java</t>
  </si>
  <si>
    <t>ASTAbbrevForwardStepTest.java</t>
  </si>
  <si>
    <t>ASTAbbrevReverseStepTest.java</t>
  </si>
  <si>
    <t>ASTAdditiveExprTest.java</t>
  </si>
  <si>
    <t>ASTAndExprTest.java</t>
  </si>
  <si>
    <t>ASTAnyKindTestTest.java</t>
  </si>
  <si>
    <t>ASTAtomicTypeTest.java</t>
  </si>
  <si>
    <t>ASTAttribNameOrWildcardTest.java</t>
  </si>
  <si>
    <t>ASTAttributeDeclarationTest.java</t>
  </si>
  <si>
    <t>ASTAttributeNameTest.java</t>
  </si>
  <si>
    <t>ASTAttributeTestTest.java</t>
  </si>
  <si>
    <t>ASTCastExprTest.java</t>
  </si>
  <si>
    <t>ASTCastableExprTest.java</t>
  </si>
  <si>
    <t>ASTCommentTestTest.java</t>
  </si>
  <si>
    <t>ASTComparisonExprTest.java</t>
  </si>
  <si>
    <t>ASTContextItemExprTest.java</t>
  </si>
  <si>
    <t>ASTDecimalLiteralTest.java</t>
  </si>
  <si>
    <t>ASTDocumentTestTest.java</t>
  </si>
  <si>
    <t>ASTDoubleLiteralTest.java</t>
  </si>
  <si>
    <t>ASTElementDeclarationTest.java</t>
  </si>
  <si>
    <t>ASTElementNameOrWildcardTest.java</t>
  </si>
  <si>
    <t>ASTElementNameTest.java</t>
  </si>
  <si>
    <t>ASTElementTestTest.java</t>
  </si>
  <si>
    <t>ASTExprTest.java</t>
  </si>
  <si>
    <t>ASTForExprTest.java</t>
  </si>
  <si>
    <t>ASTForwardAxisTest.java</t>
  </si>
  <si>
    <t>ASTFunctionCallTest.java</t>
  </si>
  <si>
    <t>ASTIfExprTest.java</t>
  </si>
  <si>
    <t>ASTInstanceofExprTest.java</t>
  </si>
  <si>
    <t>ASTIntegerLiteralTest.java</t>
  </si>
  <si>
    <t>ASTIntersectExceptExprTest.java</t>
  </si>
  <si>
    <t>ASTItemTypeTest.java</t>
  </si>
  <si>
    <t>ASTMultiplicativeExprTest.java</t>
  </si>
  <si>
    <t>ASTNameTestTest.java</t>
  </si>
  <si>
    <t>ASTNodeTestTest.java</t>
  </si>
  <si>
    <t>ASTOccurrenceIndicatorTest.java</t>
  </si>
  <si>
    <t>ASTOrExprTest.java</t>
  </si>
  <si>
    <t>ASTPITestTest.java</t>
  </si>
  <si>
    <t>ASTParenthesizedExprTest.java</t>
  </si>
  <si>
    <t>ASTPathExprTest.java</t>
  </si>
  <si>
    <t>ASTPredicateListTest.java</t>
  </si>
  <si>
    <t>ASTPredicateTest.java</t>
  </si>
  <si>
    <t>ASTQuantifiedExprTest.java</t>
  </si>
  <si>
    <t>ASTRangeExprTest.java</t>
  </si>
  <si>
    <t>ASTReverseAxisTest.java</t>
  </si>
  <si>
    <t>ASTSchemaAttributeTestTest.java</t>
  </si>
  <si>
    <t>ASTSchemaElementTestTest.java</t>
  </si>
  <si>
    <t>ASTSequenceTypeTest.java</t>
  </si>
  <si>
    <t>ASTSingleTypeTest.java</t>
  </si>
  <si>
    <t>ASTSlashSlashTest.java</t>
  </si>
  <si>
    <t>ASTSlashTest.java</t>
  </si>
  <si>
    <t>ASTStepExprTest.java</t>
  </si>
  <si>
    <t>ASTStringLiteralTest.java</t>
  </si>
  <si>
    <t>ASTTextTestTest.java</t>
  </si>
  <si>
    <t>ASTTreatExprTest.java</t>
  </si>
  <si>
    <t>ASTTypeNameTest.java</t>
  </si>
  <si>
    <t>ASTUnaryExprTest.java</t>
  </si>
  <si>
    <t>ASTUnionExprTest.java</t>
  </si>
  <si>
    <t>ASTVarNameTest.java</t>
  </si>
  <si>
    <t>ASTVarRefTest.java</t>
  </si>
  <si>
    <t>ASTWildcardTest.java</t>
  </si>
  <si>
    <t>ASTXPathTest.java</t>
  </si>
  <si>
    <t>ParseExceptionTest.java</t>
  </si>
  <si>
    <t>TokenMgrErrorTest.java</t>
  </si>
  <si>
    <t>XPath2ParserTest.java</t>
  </si>
  <si>
    <t>AbstractPrintVisitorTest.java</t>
  </si>
  <si>
    <t>RunPMDActionTest.java</t>
  </si>
  <si>
    <t>SourceLevelTest.java</t>
  </si>
  <si>
    <t>PMDOptionsSettingsTest.java</t>
  </si>
  <si>
    <t>DroolsVisitorTest.java</t>
  </si>
  <si>
    <t>DuplicateImportTest.java</t>
  </si>
  <si>
    <t>CyclomaticComplexityTest.java</t>
  </si>
  <si>
    <t>ModifiedCyclomaticComplexityTest.java</t>
  </si>
  <si>
    <t>NPathComplexityTest.java</t>
  </si>
  <si>
    <t>StdCyclomaticComplexityTest.java</t>
  </si>
  <si>
    <t>LanguageVersionTest.java</t>
  </si>
  <si>
    <t>ConfigurationTest.java</t>
  </si>
  <si>
    <t>Java8MultipleLambdasTest.java</t>
  </si>
  <si>
    <t>PmdBuildTaskTest.java</t>
  </si>
  <si>
    <t>RuleSetToDocsTest.java</t>
  </si>
  <si>
    <t>RulesetFilenameFilterTest.java</t>
  </si>
  <si>
    <t>PmdPreSiteTest.java</t>
  </si>
  <si>
    <t>ParserCornersTest.java</t>
  </si>
  <si>
    <t>CsTokenizerTest.java</t>
  </si>
  <si>
    <t>FortranTokenizerTest.java</t>
  </si>
  <si>
    <t>JspParserTest.java</t>
  </si>
  <si>
    <t>JspDocStyleTest.java</t>
  </si>
  <si>
    <t>JspPageStyleTest.java</t>
  </si>
  <si>
    <t>OpenTagRegisterTest.java</t>
  </si>
  <si>
    <t>XPathJspRuleTest.java</t>
  </si>
  <si>
    <t>MatlabTokenizerTest.java</t>
  </si>
  <si>
    <t>PLSQLTokenizerTest.java</t>
  </si>
  <si>
    <t>PLSQLParserTest.java</t>
  </si>
  <si>
    <t>PLSQLXPathRuleTest.java</t>
  </si>
  <si>
    <t>PythonTokenizerTest.java</t>
  </si>
  <si>
    <t>ScalaTokenizerTest.java</t>
  </si>
  <si>
    <t>VmParserTest.java</t>
  </si>
  <si>
    <t>AbstractWsdlRuleTest.java</t>
  </si>
  <si>
    <t>XmlParserOptionsTest.java</t>
  </si>
  <si>
    <t>XmlParserTest.java</t>
  </si>
  <si>
    <t>AbstractDomXmlRuleTest.java</t>
  </si>
  <si>
    <t>AbstractXmlRuleTest.java</t>
  </si>
  <si>
    <t>ApexParserTest.java</t>
  </si>
  <si>
    <t>FileAnalysisCacheTest.java</t>
  </si>
  <si>
    <t>XPathCLITest.java</t>
  </si>
  <si>
    <t>RuleSetReferenceIdTest.java</t>
  </si>
  <si>
    <t>PMDCommandLineInterfaceTest.java</t>
  </si>
  <si>
    <t>CPPTokenizerTest.java</t>
  </si>
  <si>
    <t>InterfaceMethodTest.java</t>
  </si>
  <si>
    <t>ClassTypeResolverJava8Test.java</t>
  </si>
  <si>
    <t>VariableUsageFinderFunctionTest.java</t>
  </si>
  <si>
    <t>VfParserTest.java</t>
  </si>
  <si>
    <t>VfDocStyleTest.java</t>
  </si>
  <si>
    <t>QualifiedNameTest.java</t>
  </si>
  <si>
    <t>MetricsVisitorTest.java</t>
  </si>
  <si>
    <t>SignatureTest.java</t>
  </si>
  <si>
    <t>ClassTypeResolverTest.java</t>
  </si>
  <si>
    <t>ContinuationReaderTest.java</t>
  </si>
  <si>
    <t>BooleanPropertyTest.java</t>
  </si>
  <si>
    <t>CharacterPropertyTest.java</t>
  </si>
  <si>
    <t>IntegerPropertyTest.java</t>
  </si>
  <si>
    <t>EnumeratedPropertyTest.java</t>
  </si>
  <si>
    <t>SimpleEnumeratedPropertyTest.java</t>
  </si>
  <si>
    <t>TypeInferenceTest.java</t>
  </si>
  <si>
    <t>DataStructureTest.java</t>
  </si>
  <si>
    <t>JavaSigMaskTest.java</t>
  </si>
  <si>
    <t>PackageStatsTest.java</t>
  </si>
  <si>
    <t>JavaMetricsVisitorTest.java</t>
  </si>
  <si>
    <t>RuleSetSchemaTest.java</t>
  </si>
  <si>
    <t>DesignerWindowSettingsTest.java</t>
  </si>
  <si>
    <t>SelectIntoStatementTest.java</t>
  </si>
  <si>
    <t>Java11Test.java</t>
  </si>
  <si>
    <t>StdCyclomaticComplexityRuleTest.java</t>
  </si>
  <si>
    <t>DesignerTest.java</t>
  </si>
  <si>
    <t>ASTMethodDeclarationTest.java</t>
  </si>
  <si>
    <t>JavaMetricsProviderTest.java</t>
  </si>
  <si>
    <t>ApexXpathRuleTest.java</t>
  </si>
  <si>
    <t>NodeStreamTest.java</t>
  </si>
  <si>
    <t>DesignerUtilTest.java</t>
  </si>
  <si>
    <t>ASTFieldDeclarationTest.java</t>
  </si>
  <si>
    <t>ASTLiteralTest.java</t>
  </si>
  <si>
    <t>ASTAssignmentOperatorTest.java</t>
  </si>
  <si>
    <t>ASTPrimarySuffixTest.java</t>
  </si>
  <si>
    <t>ASTBlockStatementTest.java</t>
  </si>
  <si>
    <t>Java12Test.java</t>
  </si>
  <si>
    <t>MetricTest.java</t>
  </si>
  <si>
    <t>Java13Test.java</t>
  </si>
  <si>
    <t>ScalaParserTest.java</t>
  </si>
  <si>
    <t>LanguageRegistryTest.java</t>
  </si>
  <si>
    <t>AbstractLanguageVersionTest.java</t>
  </si>
  <si>
    <t>ASTAnnotationTest.java</t>
  </si>
  <si>
    <t>RegexStringFilterTest.java</t>
  </si>
  <si>
    <t>ASTLocalVariableDeclarationTest.java</t>
  </si>
  <si>
    <t>Java10Test.java</t>
  </si>
  <si>
    <t>ASTClassOrInterfaceDeclarationTest.java</t>
  </si>
  <si>
    <t>ClassDeclTest.java</t>
  </si>
  <si>
    <t>FieldDeclTest.java</t>
  </si>
  <si>
    <t>MethodDeclTest.java</t>
  </si>
  <si>
    <t>JavaQualifiedNameTest.java</t>
  </si>
  <si>
    <t>ClassStatsTest.java</t>
  </si>
  <si>
    <t>JavaMultifileVisitorTest.java</t>
  </si>
  <si>
    <t>Java14PreviewTest.java</t>
  </si>
  <si>
    <t>AbstractNodeTest.java</t>
  </si>
  <si>
    <t>JaxenXPathRuleQueryTest.java</t>
  </si>
  <si>
    <t>SaxonXPathRuleQueryTest.java</t>
  </si>
  <si>
    <t>AvoidDuplicateLiteralsTest.java</t>
  </si>
  <si>
    <t>MonoidTest.java</t>
  </si>
  <si>
    <t>ComparatorTest.java</t>
  </si>
  <si>
    <t>LatticeRelationTest.java</t>
  </si>
  <si>
    <t>IdMonoidTest.java</t>
  </si>
  <si>
    <t>DartTokenizerTest.java</t>
  </si>
  <si>
    <t>EcmascriptTokenizerTest.java</t>
  </si>
  <si>
    <t>CPPTokenizerContinuationTest.java</t>
  </si>
  <si>
    <t>JavaTokensTokenizerTest.java</t>
  </si>
  <si>
    <t>EdgeCasesTokenizerTest.java</t>
  </si>
  <si>
    <t>GoCPDTokenizerTest.java</t>
  </si>
  <si>
    <t>GoTokenizerTest.java</t>
  </si>
  <si>
    <t>KotlinTokenizerTest.java</t>
  </si>
  <si>
    <t>RubyTokenizerTest.java</t>
  </si>
  <si>
    <t>LuaTokenizerTest.java</t>
  </si>
  <si>
    <t>JavaTokenizerTest.java</t>
  </si>
  <si>
    <t>ObjectiveCTokenizerTest.java</t>
  </si>
  <si>
    <t>UTF8EscapesInStringLiteralObjCTokenizerTest.java</t>
  </si>
  <si>
    <t>UnicodeObjectiveCTokenizerTest.java</t>
  </si>
  <si>
    <t>Issue628Test.java</t>
  </si>
  <si>
    <t>SwiftTokenizerTest.java</t>
  </si>
  <si>
    <t>GroovyTokenizerTest.java</t>
  </si>
  <si>
    <t>MatchesFunctionTest.java</t>
  </si>
  <si>
    <t>RegexpAcceptanceTest.java</t>
  </si>
  <si>
    <t>ASTThrowStatementTest.java</t>
  </si>
  <si>
    <t>MethodPropertyTest.java</t>
  </si>
  <si>
    <t>DateTimeUtilTest.java</t>
  </si>
  <si>
    <t>ViolationNodeTest.java</t>
  </si>
  <si>
    <t>MethodTypeResolutionTest.java</t>
  </si>
  <si>
    <t>PMDASMClassLoaderTest.java</t>
  </si>
  <si>
    <t>JavaTypeDefinitionSimpleTest.java</t>
  </si>
  <si>
    <t>DAAPathFinderTest.java</t>
  </si>
  <si>
    <t>DataFlowNodeTest.java</t>
  </si>
  <si>
    <t>GeneralFiddlingTest.java</t>
  </si>
  <si>
    <t>VariableAccessTest.java</t>
  </si>
  <si>
    <t>Java14Test.java</t>
  </si>
  <si>
    <t>TypeHelperTest.java</t>
  </si>
  <si>
    <t>DefaultRuleViolationFactoryTest.java</t>
  </si>
  <si>
    <t>JavaRuleViolationFactoryTest.java</t>
  </si>
  <si>
    <t>MultiThreadProcessorTest.java</t>
  </si>
  <si>
    <t>ApexProjectMirrorTest.java</t>
  </si>
  <si>
    <t>DocumentFileTest.java</t>
  </si>
  <si>
    <t>DocumentOperationsApplierForNonOverlappingRegionsWithDocumentFileTest.java</t>
  </si>
  <si>
    <t>MutableTextDocumentTest.java</t>
  </si>
  <si>
    <t>TextDocumentTest.java</t>
  </si>
  <si>
    <t>TextEditorTest.java</t>
  </si>
  <si>
    <t>TextRegionTest.java</t>
  </si>
  <si>
    <t>JavaEscapeReaderTest.java</t>
  </si>
  <si>
    <t>AbstractCommentRuleTest.java</t>
  </si>
  <si>
    <t>CommentUtilTest.java</t>
  </si>
  <si>
    <t>PMDCoverageTest.java</t>
  </si>
  <si>
    <t>EcmascriptParserOptionsTest.java</t>
  </si>
  <si>
    <t>ApexMultifileVisitorTest.java</t>
  </si>
  <si>
    <t>CompoundListTest.java</t>
  </si>
  <si>
    <t>UnusedPrivateFieldTest.java</t>
  </si>
  <si>
    <t>ParserOptionsTest.java</t>
  </si>
  <si>
    <t>FormalCommentTest.java</t>
  </si>
  <si>
    <t>ApexClassPropertyTypesTest.java</t>
  </si>
  <si>
    <t>XPathMetricFunctionTest.java</t>
  </si>
  <si>
    <t>SigMaskTest.java</t>
  </si>
  <si>
    <t>RuleSetFactoryCompatibilityTest.java</t>
  </si>
  <si>
    <t>ParserOptionsUnitTest.java</t>
  </si>
  <si>
    <t>VfParserOptionsTest.java</t>
  </si>
  <si>
    <t>ParsingExclusionTest.java</t>
  </si>
  <si>
    <t>TypesFromReflectionTest.java</t>
  </si>
  <si>
    <t>Java15PreviewTreeDumpTest.java</t>
  </si>
  <si>
    <t>EcmasccriptLanguageModuleTest.java</t>
  </si>
  <si>
    <t>SarifRendererTest.java</t>
  </si>
  <si>
    <t>StageDependencyTest.java</t>
  </si>
  <si>
    <t>ASTFormalParameterTest.java</t>
  </si>
  <si>
    <t>PMDFilelistTest.java</t>
  </si>
  <si>
    <t>CharStreamTest.java</t>
  </si>
  <si>
    <t>GlobalScopeTest.java</t>
  </si>
  <si>
    <t>ImageFinderFunctionTest.java</t>
  </si>
  <si>
    <t>MethodNameDeclarationTest.java</t>
  </si>
  <si>
    <t>MethodScopeTest.java</t>
  </si>
  <si>
    <t>ScopeAndDeclarationFinderTest.java</t>
  </si>
  <si>
    <t>SimpleTypedNameDeclarationTest.java</t>
  </si>
  <si>
    <t>SourceFileScopeTest.java</t>
  </si>
  <si>
    <t>Java16PreviewTreeDumpTest.java</t>
  </si>
  <si>
    <t>ASTModuleDeclarationTest.java</t>
  </si>
  <si>
    <t>TreeExportCliTest.java</t>
  </si>
  <si>
    <t>SourceCodePositionerTest.java</t>
  </si>
  <si>
    <t>CoreCliTest.java</t>
  </si>
  <si>
    <t>Java17PreviewTreeDumpTest.java</t>
  </si>
  <si>
    <t>TestingFrameworkTypeUtilTest.java</t>
  </si>
  <si>
    <t>CLITest.java</t>
  </si>
  <si>
    <t>SymbolReflectionTest.java</t>
  </si>
  <si>
    <t>AbstractSymbolTest.java</t>
  </si>
  <si>
    <t>AnnotationReflectionTest.java</t>
  </si>
  <si>
    <t>testBasic2</t>
  </si>
  <si>
    <t>testRender</t>
  </si>
  <si>
    <t>testBasic</t>
  </si>
  <si>
    <t>testGetText</t>
  </si>
  <si>
    <t>testXML</t>
  </si>
  <si>
    <t>testStub</t>
  </si>
  <si>
    <t>testUnusedLocal1</t>
  </si>
  <si>
    <t>testUnusedLocal2</t>
  </si>
  <si>
    <t>testUnusedLocal3</t>
  </si>
  <si>
    <t>testUnusedLocal4</t>
  </si>
  <si>
    <t>testUnusedLocal5</t>
  </si>
  <si>
    <t>testUnusedLocal6</t>
  </si>
  <si>
    <t>testUnusedLocal7</t>
  </si>
  <si>
    <t>testUnusedLocal8</t>
  </si>
  <si>
    <t>testUnusedLocal9</t>
  </si>
  <si>
    <t>testUnusedLocal10</t>
  </si>
  <si>
    <t>testEmptyCatchBlock</t>
  </si>
  <si>
    <t>testEmptyCatchBlock2</t>
  </si>
  <si>
    <t>testEmptyCatchBlock3</t>
  </si>
  <si>
    <t>testUnnecessaryTemporaries</t>
  </si>
  <si>
    <t>testProps</t>
  </si>
  <si>
    <t>testSystemIn</t>
  </si>
  <si>
    <t>testSystemOut</t>
  </si>
  <si>
    <t>testCreateAThread</t>
  </si>
  <si>
    <t>testCreateATimer</t>
  </si>
  <si>
    <t>testEmptyIf</t>
  </si>
  <si>
    <t>testEmptyWhileStmtRule</t>
  </si>
  <si>
    <t>testUnusedPrivateInstanceVar1</t>
  </si>
  <si>
    <t>testUnusedPrivateInstanceVar2</t>
  </si>
  <si>
    <t>testUnusedPrivateInstanceVar3</t>
  </si>
  <si>
    <t>testUnusedPrivateInstanceVar4</t>
  </si>
  <si>
    <t>testUnusedPrivateInstanceVar6</t>
  </si>
  <si>
    <t>testUnusedPrivateInstanceVar7</t>
  </si>
  <si>
    <t>testUnusedPrivateInstanceVar8</t>
  </si>
  <si>
    <t>testIfElseStmtsMustUseBraces1</t>
  </si>
  <si>
    <t>testIfElseStmtsMustUseBraces2</t>
  </si>
  <si>
    <t>testRenderText</t>
  </si>
  <si>
    <t>testApply0Rules</t>
  </si>
  <si>
    <t>testApply1Rule</t>
  </si>
  <si>
    <t>testApplyNRule</t>
  </si>
  <si>
    <t>testRenderXML</t>
  </si>
  <si>
    <t>testRenderHTML</t>
  </si>
  <si>
    <t>testCougaar</t>
  </si>
  <si>
    <t>testAll</t>
  </si>
  <si>
    <t>testException</t>
  </si>
  <si>
    <t>testConcatenatedList</t>
  </si>
  <si>
    <t>testRemoveMe</t>
  </si>
  <si>
    <t>testHTML</t>
  </si>
  <si>
    <t>testUnknownType</t>
  </si>
  <si>
    <t>testSortedReport</t>
  </si>
  <si>
    <t>testFindClass</t>
  </si>
  <si>
    <t>testImplicitImportResolver</t>
  </si>
  <si>
    <t>testCurrentPackageResolver</t>
  </si>
  <si>
    <t>testAddSameSymbol</t>
  </si>
  <si>
    <t>testProps2</t>
  </si>
  <si>
    <t>testUnusedPrivateInstanceVar9</t>
  </si>
  <si>
    <t>testUnusedLocal11</t>
  </si>
  <si>
    <t>testUnusedLocal12</t>
  </si>
  <si>
    <t>testUnusedLocal13</t>
  </si>
  <si>
    <t>testConsolidate</t>
  </si>
  <si>
    <t>testBasic3</t>
  </si>
  <si>
    <t>testInitialFrequencyCount</t>
  </si>
  <si>
    <t>testDeleteSolo</t>
  </si>
  <si>
    <t>testHasTokenAfter</t>
  </si>
  <si>
    <t>testTwoLongMethods</t>
  </si>
  <si>
    <t>testCreateSingleRuleWithPropsSet</t>
  </si>
  <si>
    <t>testCreateSingleRuleNoPropsSet</t>
  </si>
  <si>
    <t>testCreateSingleRuleSet</t>
  </si>
  <si>
    <t>testCreateMultipleRuleSet</t>
  </si>
  <si>
    <t>testMinimumValue</t>
  </si>
  <si>
    <t>testSigma</t>
  </si>
  <si>
    <t>testTopScore</t>
  </si>
  <si>
    <t>testParentContains2</t>
  </si>
  <si>
    <t>testParent</t>
  </si>
  <si>
    <t>testRecordPossibleUsage</t>
  </si>
  <si>
    <t>testRecordPossibleUsage2</t>
  </si>
  <si>
    <t>testUnused</t>
  </si>
  <si>
    <t>testUnused2</t>
  </si>
  <si>
    <t>testUnused3</t>
  </si>
  <si>
    <t>testParentContains</t>
  </si>
  <si>
    <t>testRecordUsage</t>
  </si>
  <si>
    <t>testRecordOccurrence</t>
  </si>
  <si>
    <t>testRecordOccurrence2</t>
  </si>
  <si>
    <t>testRecordUsageParent</t>
  </si>
  <si>
    <t>testRecordUsageParent2</t>
  </si>
  <si>
    <t>testParam</t>
  </si>
  <si>
    <t>testInstanceVar</t>
  </si>
  <si>
    <t>testMultipleSimilarParams</t>
  </si>
  <si>
    <t>testContainsQualified</t>
  </si>
  <si>
    <t>testDeclarationsAreFound</t>
  </si>
  <si>
    <t>testNameWithThisOrSuperIsNotFlaggedAsUnused</t>
  </si>
  <si>
    <t>testLookupFound</t>
  </si>
  <si>
    <t>testLookupNotFound</t>
  </si>
  <si>
    <t>testQualifiedWithDot</t>
  </si>
  <si>
    <t>testQualifiedWithThisOrSuper</t>
  </si>
  <si>
    <t>testObjectName</t>
  </si>
  <si>
    <t>testQualifiersBrokenDown</t>
  </si>
  <si>
    <t>testScope</t>
  </si>
  <si>
    <t>testPush</t>
  </si>
  <si>
    <t>testPop</t>
  </si>
  <si>
    <t>testPeek</t>
  </si>
  <si>
    <t>testParentLinkage</t>
  </si>
  <si>
    <t>test9</t>
  </si>
  <si>
    <t>test10</t>
  </si>
  <si>
    <t>test11</t>
  </si>
  <si>
    <t>test12</t>
  </si>
  <si>
    <t>test13</t>
  </si>
  <si>
    <t>test14</t>
  </si>
  <si>
    <t>test15</t>
  </si>
  <si>
    <t>test16</t>
  </si>
  <si>
    <t>test17</t>
  </si>
  <si>
    <t>test18</t>
  </si>
  <si>
    <t>test19</t>
  </si>
  <si>
    <t>test20</t>
  </si>
  <si>
    <t>testLiteralStringArg</t>
  </si>
  <si>
    <t>testLiteralIntArg</t>
  </si>
  <si>
    <t>testLiteralFieldDecl</t>
  </si>
  <si>
    <t>testRtnStmtSpillsOverToNextLine</t>
  </si>
  <si>
    <t>testInstanceVarSameNameAsParamButQualifiedWithThis</t>
  </si>
  <si>
    <t>testLongConstructor</t>
  </si>
  <si>
    <t>testPropConstructor</t>
  </si>
  <si>
    <t>testSingleViolation</t>
  </si>
  <si>
    <t>testMultiViolation</t>
  </si>
  <si>
    <t>testSingleMetric</t>
  </si>
  <si>
    <t>testMultiMetric</t>
  </si>
  <si>
    <t>testUseSingleton1</t>
  </si>
  <si>
    <t>testUseSingleton2</t>
  </si>
  <si>
    <t>testUseSingleton3</t>
  </si>
  <si>
    <t>testUseSingleton4</t>
  </si>
  <si>
    <t>testCallsPrivateConstructor</t>
  </si>
  <si>
    <t>testStringInstantiationRule</t>
  </si>
  <si>
    <t>testShortMethodName</t>
  </si>
  <si>
    <t>testShortVariable</t>
  </si>
  <si>
    <t>testLongVariableRule</t>
  </si>
  <si>
    <t>testIfStmtsMustUseBraces</t>
  </si>
  <si>
    <t>testIfElseStmtsMustUseBraces</t>
  </si>
  <si>
    <t>testForLoopsMustUseBracesRule</t>
  </si>
  <si>
    <t>testWhileLoopsMustUseBraces</t>
  </si>
  <si>
    <t>testJUnitStaticSuiteRule</t>
  </si>
  <si>
    <t>testJUnitSpellingRule</t>
  </si>
  <si>
    <t>testAssignmentInOperand</t>
  </si>
  <si>
    <t>testDontImportJavaLang</t>
  </si>
  <si>
    <t>testBasic1</t>
  </si>
  <si>
    <t>testCode</t>
  </si>
  <si>
    <t>testSimple</t>
  </si>
  <si>
    <t>testSimplifyBooleanReturns</t>
  </si>
  <si>
    <t>testNotQuiteLongClass</t>
  </si>
  <si>
    <t>testDuplicateImportsRule</t>
  </si>
  <si>
    <t>testShortVariableParam</t>
  </si>
  <si>
    <t>testShortVariableNone</t>
  </si>
  <si>
    <t>testShortVariableLocal</t>
  </si>
  <si>
    <t>testShortVariableFor</t>
  </si>
  <si>
    <t>testShortVariableField</t>
  </si>
  <si>
    <t>testBogusRuleSet</t>
  </si>
  <si>
    <t>testPathCheckerRelativeWin</t>
  </si>
  <si>
    <t>testPathCheckerAbsoluteWin</t>
  </si>
  <si>
    <t>testPathCheckerRelativeNix</t>
  </si>
  <si>
    <t>testPathCheckerAbsoluteNix</t>
  </si>
  <si>
    <t>testAbstractClass</t>
  </si>
  <si>
    <t>testPublicAndAbstract</t>
  </si>
  <si>
    <t>testOneParam</t>
  </si>
  <si>
    <t>testFullyQualified</t>
  </si>
  <si>
    <t>testOneParamWithMethodCall</t>
  </si>
  <si>
    <t>testInterface</t>
  </si>
  <si>
    <t>testLocalVar</t>
  </si>
  <si>
    <t>testSimpleFailureCase</t>
  </si>
  <si>
    <t>testPrivate</t>
  </si>
  <si>
    <t>testHasArgs</t>
  </si>
  <si>
    <t>testHasBody</t>
  </si>
  <si>
    <t>testHasExceptions</t>
  </si>
  <si>
    <t>testMultipleConstructors</t>
  </si>
  <si>
    <t>testLongVariableParam</t>
  </si>
  <si>
    <t>testLongVariableNone</t>
  </si>
  <si>
    <t>testLongVariableLocal</t>
  </si>
  <si>
    <t>testLongVariableField</t>
  </si>
  <si>
    <t>testLongVariableFor</t>
  </si>
  <si>
    <t>testHashCodeOnly</t>
  </si>
  <si>
    <t>testEqualsOnly</t>
  </si>
  <si>
    <t>testCorrectImpl</t>
  </si>
  <si>
    <t>testNeither</t>
  </si>
  <si>
    <t>testEqualsSignatureUsesStringNotObject</t>
  </si>
  <si>
    <t>testThrowExceptionButReturnFromFinally</t>
  </si>
  <si>
    <t>testLotsOfReturns</t>
  </si>
  <si>
    <t>testOK</t>
  </si>
  <si>
    <t>testShortMethodName0</t>
  </si>
  <si>
    <t>testShortMethodName1</t>
  </si>
  <si>
    <t>testShortMethodName2</t>
  </si>
  <si>
    <t>testShortMethodName3</t>
  </si>
  <si>
    <t>testSimpleBad</t>
  </si>
  <si>
    <t>testSimpleOK</t>
  </si>
  <si>
    <t>testNexted</t>
  </si>
  <si>
    <t>testDefaultPackageImportingFromSubPackage</t>
  </si>
  <si>
    <t>testClassInDefaultPackageImportingFromOtherPackage</t>
  </si>
  <si>
    <t>testClassNotInDefaultPackageImportingFromDefaultPackage</t>
  </si>
  <si>
    <t>testClassInDefaultPackageImportingFromDefaultPackage</t>
  </si>
  <si>
    <t>testImportingFromSubPackage</t>
  </si>
  <si>
    <t>testForSemicolonSemicolon</t>
  </si>
  <si>
    <t>testVector</t>
  </si>
  <si>
    <t>testCallsPublic</t>
  </si>
  <si>
    <t>testCallsProtected</t>
  </si>
  <si>
    <t>testCallsPackage</t>
  </si>
  <si>
    <t>testCallsPrivateMethodOK</t>
  </si>
  <si>
    <t>testEmptyFinallyBlock1</t>
  </si>
  <si>
    <t>testEmptyFinallyBlock2</t>
  </si>
  <si>
    <t>testEmptyFinallyBlock3</t>
  </si>
  <si>
    <t>testMultipleCatchBlocksWithFinally</t>
  </si>
  <si>
    <t>testOneEmptyOneNotEmpty</t>
  </si>
  <si>
    <t>testEmptyTryBlock1</t>
  </si>
  <si>
    <t>testEmptyTryBlock2</t>
  </si>
  <si>
    <t>testEmptyTryBlock3</t>
  </si>
  <si>
    <t>testSkipInterfaces</t>
  </si>
  <si>
    <t>testNotEmpty</t>
  </si>
  <si>
    <t>testNoCatchWithNestedCatchInFinally</t>
  </si>
  <si>
    <t>testMultipleCatchBlocks</t>
  </si>
  <si>
    <t>testEmptyTryAndFinally</t>
  </si>
  <si>
    <t>testMethodSameColumn</t>
  </si>
  <si>
    <t>testReadWrite</t>
  </si>
  <si>
    <t>testClassScope</t>
  </si>
  <si>
    <t>testfunctionScope</t>
  </si>
  <si>
    <t>testLocalScope</t>
  </si>
  <si>
    <t>testUnknownScope_ThisShouldNeverHappen</t>
  </si>
  <si>
    <t>testScopesAreCreated</t>
  </si>
  <si>
    <t>testNestedClassWithout</t>
  </si>
  <si>
    <t>testNestedClassWithOuterWithout</t>
  </si>
  <si>
    <t>testNames</t>
  </si>
  <si>
    <t>testNames2</t>
  </si>
  <si>
    <t>testAssertAsKeyword</t>
  </si>
  <si>
    <t>testAssertAsName</t>
  </si>
  <si>
    <t>testAssertAsIdentifierFailsWith1_4</t>
  </si>
  <si>
    <t>testNonstatic</t>
  </si>
  <si>
    <t>testGoodOK</t>
  </si>
  <si>
    <t>testPrivateSuite</t>
  </si>
  <si>
    <t>testAllStaticsPublicConstructor</t>
  </si>
  <si>
    <t>testOKDueToNonStaticMethod</t>
  </si>
  <si>
    <t>testNoConstructorCoupleOfStatics</t>
  </si>
  <si>
    <t>testNoConstructorOneStatic</t>
  </si>
  <si>
    <t>testClassicSingleton</t>
  </si>
  <si>
    <t>testAbstractSingleton</t>
  </si>
  <si>
    <t>testNoUsage</t>
  </si>
  <si>
    <t>testInstanceVarSameNameAsParam</t>
  </si>
  <si>
    <t>testQualifiedNameInstanceVarSameAsParam</t>
  </si>
  <si>
    <t>testQualifiedNameSameAsParam</t>
  </si>
  <si>
    <t>testAssignmentToParametersField</t>
  </si>
  <si>
    <t>testTwoLiteralStringArgs</t>
  </si>
  <si>
    <t>testLiteralFieldDecl2</t>
  </si>
  <si>
    <t>testAvoidDuplicateLiteralsRule</t>
  </si>
  <si>
    <t>testInitAssignment</t>
  </si>
  <si>
    <t>testBadAssignment</t>
  </si>
  <si>
    <t>testCheckTest</t>
  </si>
  <si>
    <t>testNullParamOnRHS</t>
  </si>
  <si>
    <t>testAssignmentInIfBody</t>
  </si>
  <si>
    <t>testAssignmentInWhileLoop</t>
  </si>
  <si>
    <t>testcomparisonCountCallback</t>
  </si>
  <si>
    <t>testAddMark</t>
  </si>
  <si>
    <t>testEqualMarksAreEqual</t>
  </si>
  <si>
    <t>testSameMarkIsEqual</t>
  </si>
  <si>
    <t>testUnuequalMarksAreUnequal</t>
  </si>
  <si>
    <t>testDeeplyNestedIfStmtsRule</t>
  </si>
  <si>
    <t>testAvoidReassigningParameters</t>
  </si>
  <si>
    <t>testAssertAsKeywordVariantsSucceedWith1_4</t>
  </si>
  <si>
    <t>testAssertAsVariableDeclIdentifierFailsWith1_4</t>
  </si>
  <si>
    <t>testAssertAsMethodNameIdentifierFailsWith1_4</t>
  </si>
  <si>
    <t>testAssertAsIdentifierSucceedsWith1_3</t>
  </si>
  <si>
    <t>testAssertAsKeywordFailsWith1_3</t>
  </si>
  <si>
    <t>testXPath3</t>
  </si>
  <si>
    <t>testXPath4</t>
  </si>
  <si>
    <t>testFindFieldDecl</t>
  </si>
  <si>
    <t>testEnclClassScopeGetsDelegatedRight</t>
  </si>
  <si>
    <t>testAssertEqualsOK</t>
  </si>
  <si>
    <t>testAssertEqualsBad</t>
  </si>
  <si>
    <t>testAssertTrueOK</t>
  </si>
  <si>
    <t>testAssertTrueBad</t>
  </si>
  <si>
    <t>testAssertNullOK</t>
  </si>
  <si>
    <t>testAssertNullBad</t>
  </si>
  <si>
    <t>testAssertSameOK</t>
  </si>
  <si>
    <t>testAssertSameBad</t>
  </si>
  <si>
    <t>testAssertNotNullOK</t>
  </si>
  <si>
    <t>testAssertNotNullBad</t>
  </si>
  <si>
    <t>testFindBug</t>
  </si>
  <si>
    <t>testSetupMisspellings1</t>
  </si>
  <si>
    <t>testTeardownMisspellings</t>
  </si>
  <si>
    <t>testMethodsSpelledOK</t>
  </si>
  <si>
    <t>testUnrelatedMethods</t>
  </si>
  <si>
    <t>testMethodWithParams</t>
  </si>
  <si>
    <t>testFieldWithThis</t>
  </si>
  <si>
    <t>testField</t>
  </si>
  <si>
    <t>testSD1</t>
  </si>
  <si>
    <t>testSD2</t>
  </si>
  <si>
    <t>testSD3</t>
  </si>
  <si>
    <t>testInFieldAssignment</t>
  </si>
  <si>
    <t>testInMethodBody</t>
  </si>
  <si>
    <t>testIsArray</t>
  </si>
  <si>
    <t>testOneDimensionArray</t>
  </si>
  <si>
    <t>testMultiDimensionalArray</t>
  </si>
  <si>
    <t>test_1</t>
  </si>
  <si>
    <t>test_2</t>
  </si>
  <si>
    <t>test_3</t>
  </si>
  <si>
    <t>test_4</t>
  </si>
  <si>
    <t>test_6</t>
  </si>
  <si>
    <t>test_7</t>
  </si>
  <si>
    <t>test_8</t>
  </si>
  <si>
    <t>test_9</t>
  </si>
  <si>
    <t>test_10</t>
  </si>
  <si>
    <t>test_11</t>
  </si>
  <si>
    <t>test_12</t>
  </si>
  <si>
    <t>test_13</t>
  </si>
  <si>
    <t>test_14</t>
  </si>
  <si>
    <t>test_15</t>
  </si>
  <si>
    <t>test_16</t>
  </si>
  <si>
    <t>test_17</t>
  </si>
  <si>
    <t>test_18</t>
  </si>
  <si>
    <t>test_19</t>
  </si>
  <si>
    <t>test_20</t>
  </si>
  <si>
    <t>test_21</t>
  </si>
  <si>
    <t>test_22</t>
  </si>
  <si>
    <t>test_23</t>
  </si>
  <si>
    <t>test_24</t>
  </si>
  <si>
    <t>test_25</t>
  </si>
  <si>
    <t>test_26</t>
  </si>
  <si>
    <t>test_27</t>
  </si>
  <si>
    <t>test_28</t>
  </si>
  <si>
    <t>test_29</t>
  </si>
  <si>
    <t>test_30</t>
  </si>
  <si>
    <t>testNodesAreAdded</t>
  </si>
  <si>
    <t>testAddNewNode</t>
  </si>
  <si>
    <t>testIfStmtGoesOnStack</t>
  </si>
  <si>
    <t>testComputePaths</t>
  </si>
  <si>
    <t>testShortClass</t>
  </si>
  <si>
    <t>testLongClass</t>
  </si>
  <si>
    <t>testShortMethod</t>
  </si>
  <si>
    <t>testReallyLongMethod</t>
  </si>
  <si>
    <t>testNotQuiteLongMethod</t>
  </si>
  <si>
    <t>testLongMethod</t>
  </si>
  <si>
    <t>testOneLongMethod</t>
  </si>
  <si>
    <t>testTwoReturns</t>
  </si>
  <si>
    <t>testOneReturn</t>
  </si>
  <si>
    <t>testNoReturns</t>
  </si>
  <si>
    <t>testVoidRtn</t>
  </si>
  <si>
    <t>testFinally</t>
  </si>
  <si>
    <t>testReturnInsideAnonymousInnerClass</t>
  </si>
  <si>
    <t>testDecodingOfUTF8</t>
  </si>
  <si>
    <t>testDecodingOfPlatformEncoding</t>
  </si>
  <si>
    <t>testSuper</t>
  </si>
  <si>
    <t>testExternalReferenceOverrideOriginalName</t>
  </si>
  <si>
    <t>testExternalReferenceOverrideXPath</t>
  </si>
  <si>
    <t>testGlobalScope</t>
  </si>
  <si>
    <t>testMethodScope</t>
  </si>
  <si>
    <t>testInnerClassHasPrivateConstructor</t>
  </si>
  <si>
    <t>testInnerClassHasPublicConstructor</t>
  </si>
  <si>
    <t>testOuterClassHasPrivateConstructor</t>
  </si>
  <si>
    <t>testFinalInnerClass</t>
  </si>
  <si>
    <t>testPostfix</t>
  </si>
  <si>
    <t>testOverrideMinimumWithTopScore</t>
  </si>
  <si>
    <t>testEnumAsKeywordShouldFailWith14</t>
  </si>
  <si>
    <t>testEnumAsIdentifierShouldPassWith14</t>
  </si>
  <si>
    <t>testEnumAsKeywordShouldPassWith15</t>
  </si>
  <si>
    <t>testEnumAsIdentifierShouldFailWith15</t>
  </si>
  <si>
    <t>testVarargsShouldPassWith15</t>
  </si>
  <si>
    <t>testVarargsShouldFailWith14</t>
  </si>
  <si>
    <t>testJDK15ForLoopSyntaxShouldPassWith15</t>
  </si>
  <si>
    <t>testJDK15ForLoopSyntaxWithModifiers</t>
  </si>
  <si>
    <t>testJDK15ForLoopShouldFailWith14</t>
  </si>
  <si>
    <t>testAnonymousInnerClassIsCreated</t>
  </si>
  <si>
    <t>testAnonymousInnerClassIsNotCreated</t>
  </si>
  <si>
    <t>testMethodParam</t>
  </si>
  <si>
    <t>testGenericsAnnotationBug</t>
  </si>
  <si>
    <t>testFieldsBug</t>
  </si>
  <si>
    <t>testGTBug</t>
  </si>
  <si>
    <t>testAnnotationsBug</t>
  </si>
  <si>
    <t>testGenericsBug</t>
  </si>
  <si>
    <t>testOnlyOneJDK</t>
  </si>
  <si>
    <t>testOnlyValidJDK</t>
  </si>
  <si>
    <t>testPossibleForLoopBug</t>
  </si>
  <si>
    <t>testRemoveModifierNodes</t>
  </si>
  <si>
    <t>testStaticInitializer</t>
  </si>
  <si>
    <t>testClashingSymbols</t>
  </si>
  <si>
    <t>testInitializer</t>
  </si>
  <si>
    <t>testUTF8</t>
  </si>
  <si>
    <t>testUTF8NotSupported</t>
  </si>
  <si>
    <t>testUTF8Supported</t>
  </si>
  <si>
    <t>testExceptionParamNameIsDiscarded</t>
  </si>
  <si>
    <t>testCantContainsSuperToString</t>
  </si>
  <si>
    <t>testContainsStaticVariablePrefixedWithClassName</t>
  </si>
  <si>
    <t>testClassName</t>
  </si>
  <si>
    <t>testMethodDeclarationRecorded</t>
  </si>
  <si>
    <t>testTwoMethodsSameNameDiffArgs</t>
  </si>
  <si>
    <t>testEnumsClassScope</t>
  </si>
  <si>
    <t>testAnonymousInnerClassName</t>
  </si>
  <si>
    <t>testAsXml</t>
  </si>
  <si>
    <t>testSymbolTableFacadeFlag</t>
  </si>
  <si>
    <t>testNeitherSymbolTableNorDFA</t>
  </si>
  <si>
    <t>testIncludesRuleWithSymbolTable</t>
  </si>
  <si>
    <t>testSingleDatapoint</t>
  </si>
  <si>
    <t>testCatchBlocks</t>
  </si>
  <si>
    <t>testAdditionalRuleSetsRegistered</t>
  </si>
  <si>
    <t>testTypesAreRecorded</t>
  </si>
  <si>
    <t>testContainsNoInner</t>
  </si>
  <si>
    <t>testBook</t>
  </si>
  <si>
    <t>testEq</t>
  </si>
  <si>
    <t>testBasicAttributes</t>
  </si>
  <si>
    <t>testSortedReport_File</t>
  </si>
  <si>
    <t>testSortedReport_Line</t>
  </si>
  <si>
    <t>testListener</t>
  </si>
  <si>
    <t>testSummary</t>
  </si>
  <si>
    <t>testUnorderedFiles</t>
  </si>
  <si>
    <t>testEscaping</t>
  </si>
  <si>
    <t>testClassLevelSuppressWarningsAnnotation</t>
  </si>
  <si>
    <t>testRender_NoMatches</t>
  </si>
  <si>
    <t>testRender_Match</t>
  </si>
  <si>
    <t>testReviewAdditionalComment</t>
  </si>
  <si>
    <t>testInValidJDK</t>
  </si>
  <si>
    <t>testComparatorWithDifferentFilenames</t>
  </si>
  <si>
    <t>testComparatorWithSameFileDifferentLines</t>
  </si>
  <si>
    <t>testComparatorWithSameFileSameLines</t>
  </si>
  <si>
    <t>testRemoveDiscardNodes</t>
  </si>
  <si>
    <t>testRemoveModifierNodesWithClass</t>
  </si>
  <si>
    <t>testRemoveModifierNodesWithAnnotation</t>
  </si>
  <si>
    <t>testDemo</t>
  </si>
  <si>
    <t>testFoo</t>
  </si>
  <si>
    <t>testReadPreferences</t>
  </si>
  <si>
    <t>testWritePreferences</t>
  </si>
  <si>
    <t>testSetRules1</t>
  </si>
  <si>
    <t>testSetRules2</t>
  </si>
  <si>
    <t>testReplaceChild</t>
  </si>
  <si>
    <t>testExcludeOne</t>
  </si>
  <si>
    <t>testExcludeMultiple</t>
  </si>
  <si>
    <t>testCopyMatches</t>
  </si>
  <si>
    <t>testNullPassedIn</t>
  </si>
  <si>
    <t>testRenderer</t>
  </si>
  <si>
    <t>testEnum</t>
  </si>
  <si>
    <t>testGenerics</t>
  </si>
  <si>
    <t>testCommentedBlocksDisallowed</t>
  </si>
  <si>
    <t>testStaticFinal</t>
  </si>
  <si>
    <t>testJDK15ForLoop</t>
  </si>
  <si>
    <t>testCheckPublicFlag</t>
  </si>
  <si>
    <t>testPrefixStripping</t>
  </si>
  <si>
    <t>testSuffixStripping</t>
  </si>
  <si>
    <t>testChangeMinimum</t>
  </si>
  <si>
    <t>testLongClassWithLongerTest</t>
  </si>
  <si>
    <t>testPropertySetting</t>
  </si>
  <si>
    <t>testStaticImportsAreOK</t>
  </si>
  <si>
    <t>testForLoop</t>
  </si>
  <si>
    <t>testAnnotations</t>
  </si>
  <si>
    <t>testAnnotations2</t>
  </si>
  <si>
    <t>testPrefixProperty</t>
  </si>
  <si>
    <t>testDetectCutAndPasteCmdBasic</t>
  </si>
  <si>
    <t>testReallyLongMethodWithLongerRange</t>
  </si>
  <si>
    <t>testMultipleProperties</t>
  </si>
  <si>
    <t>testTypes</t>
  </si>
  <si>
    <t>testPropertySetter</t>
  </si>
  <si>
    <t>testCommentedBlocksAllowed</t>
  </si>
  <si>
    <t>testThreshold</t>
  </si>
  <si>
    <t>testMillisSeconds</t>
  </si>
  <si>
    <t>testSeconds</t>
  </si>
  <si>
    <t>testWholeMinutes</t>
  </si>
  <si>
    <t>testMinutesAndSeconds</t>
  </si>
  <si>
    <t>testHours</t>
  </si>
  <si>
    <t>testImportOnDemandResolverFail</t>
  </si>
  <si>
    <t>test</t>
  </si>
  <si>
    <t>testResetState</t>
  </si>
  <si>
    <t>test985989</t>
  </si>
  <si>
    <t>testViolation</t>
  </si>
  <si>
    <t>testFilename</t>
  </si>
  <si>
    <t>testOneParams</t>
  </si>
  <si>
    <t>testAllPMDBuiltInRulesNeedSince</t>
  </si>
  <si>
    <t>testJspFile</t>
  </si>
  <si>
    <t>testJavaFileUsingDefaults</t>
  </si>
  <si>
    <t>testJavaFileUsing15</t>
  </si>
  <si>
    <t>testGetSourceTypeForId</t>
  </si>
  <si>
    <t>testAllPMDBuiltInRulesNeedSinceAndCheckURL</t>
  </si>
  <si>
    <t>testExternalRef</t>
  </si>
  <si>
    <t>testRuleExclusion</t>
  </si>
  <si>
    <t>testExcludeMarker</t>
  </si>
  <si>
    <t>testFindChildrenOfType</t>
  </si>
  <si>
    <t>testFindChildrenOfTypeMultiple</t>
  </si>
  <si>
    <t>testFindChildrenOfTypeRecurse</t>
  </si>
  <si>
    <t>testErrorForBad</t>
  </si>
  <si>
    <t>testXPathPluginnameProperty</t>
  </si>
  <si>
    <t>testIntegersSingle</t>
  </si>
  <si>
    <t>testIntegersMultiple</t>
  </si>
  <si>
    <t>testBooleansSingle</t>
  </si>
  <si>
    <t>testBooleansMultiple</t>
  </si>
  <si>
    <t>testStringsSingle</t>
  </si>
  <si>
    <t>testStringsMultiple</t>
  </si>
  <si>
    <t>testSelectJavaFile</t>
  </si>
  <si>
    <t>testSelectJspFile</t>
  </si>
  <si>
    <t>testPMDCorePluginNotNull</t>
  </si>
  <si>
    <t>testTargetJDKVersion</t>
  </si>
  <si>
    <t>testWindowsJdk14Bug</t>
  </si>
  <si>
    <t>testCpus</t>
  </si>
  <si>
    <t>testInvalidJDK</t>
  </si>
  <si>
    <t>testSimpleRef</t>
  </si>
  <si>
    <t>testOneSimple</t>
  </si>
  <si>
    <t>testMultipleSimple</t>
  </si>
  <si>
    <t>testOneRelease</t>
  </si>
  <si>
    <t>testOneRegular</t>
  </si>
  <si>
    <t>testMultipleRegular</t>
  </si>
  <si>
    <t>testMix</t>
  </si>
  <si>
    <t>testUnknown</t>
  </si>
  <si>
    <t>testUnknownAndSimple</t>
  </si>
  <si>
    <t>testN</t>
  </si>
  <si>
    <t>test_no_dupes</t>
  </si>
  <si>
    <t>test_one_dupe</t>
  </si>
  <si>
    <t>testRender_MultipleMatch</t>
  </si>
  <si>
    <t>antTask</t>
  </si>
  <si>
    <t>convertRulesetsTest</t>
  </si>
  <si>
    <t>generateIndexRules</t>
  </si>
  <si>
    <t>testLang</t>
  </si>
  <si>
    <t>testDebug</t>
  </si>
  <si>
    <t>testSuppressMarker</t>
  </si>
  <si>
    <t>testShortNames</t>
  </si>
  <si>
    <t>testEncoding</t>
  </si>
  <si>
    <t>testInputFileName</t>
  </si>
  <si>
    <t>testReportFormat</t>
  </si>
  <si>
    <t>testRulesets</t>
  </si>
  <si>
    <t>testCommaSeparatedFiles</t>
  </si>
  <si>
    <t>testNotEnoughArgs</t>
  </si>
  <si>
    <t>testNullArgs</t>
  </si>
  <si>
    <t>testReportFile</t>
  </si>
  <si>
    <t>testThreads</t>
  </si>
  <si>
    <t>illegalArgument1</t>
  </si>
  <si>
    <t>illegalArgument2</t>
  </si>
  <si>
    <t>testOptionsFirst</t>
  </si>
  <si>
    <t>testAuxilaryClasspath</t>
  </si>
  <si>
    <t>testAuxilaryClasspathIllegal</t>
  </si>
  <si>
    <t>testShowSuppressed</t>
  </si>
  <si>
    <t>testHappyPath</t>
  </si>
  <si>
    <t>testDefault</t>
  </si>
  <si>
    <t>testIgnoredConstructorInvocation</t>
  </si>
  <si>
    <t>testDefaulltRuleSets</t>
  </si>
  <si>
    <t>testRunPmdJdk13</t>
  </si>
  <si>
    <t>testRunPmdJdk14</t>
  </si>
  <si>
    <t>testRunPmdJdk15</t>
  </si>
  <si>
    <t>testDefaultPMDRuleSetsRegistered</t>
  </si>
  <si>
    <t>testPMDPluginNotNull</t>
  </si>
  <si>
    <t>testRuleSetManagerNotNull</t>
  </si>
  <si>
    <t>testStandardPMDRuleSetsRegistered</t>
  </si>
  <si>
    <t>testDuplicateRegister</t>
  </si>
  <si>
    <t>testDuplicateRegisterDefault</t>
  </si>
  <si>
    <t>testDuplicateUnregister</t>
  </si>
  <si>
    <t>testDuplicateUnregisterDefault</t>
  </si>
  <si>
    <t>testRegisterDefaultRuleSet</t>
  </si>
  <si>
    <t>testRegisterNullDefaultRuleSet</t>
  </si>
  <si>
    <t>testRegisterNullRuleSet</t>
  </si>
  <si>
    <t>testRegisterRuleSet</t>
  </si>
  <si>
    <t>testUnregisterDefaultRuleSet</t>
  </si>
  <si>
    <t>testUnregisterNullDefaultRuleSet</t>
  </si>
  <si>
    <t>testUnregisterNullRuleSet</t>
  </si>
  <si>
    <t>testUnregisterRuleSet</t>
  </si>
  <si>
    <t>testAdditionalDefaultRuleSetsRegistered</t>
  </si>
  <si>
    <t>testValueOf1</t>
  </si>
  <si>
    <t>testValueOf2</t>
  </si>
  <si>
    <t>testValueOf3</t>
  </si>
  <si>
    <t>testWriteToXml</t>
  </si>
  <si>
    <t>testDefaultPriority</t>
  </si>
  <si>
    <t>testEquals1</t>
  </si>
  <si>
    <t>testEquals4</t>
  </si>
  <si>
    <t>testHashCode1</t>
  </si>
  <si>
    <t>testHashCode2</t>
  </si>
  <si>
    <t>testSetPriority</t>
  </si>
  <si>
    <t>testSetPriorityIllegal1</t>
  </si>
  <si>
    <t>testSetPriorityIllegal2</t>
  </si>
  <si>
    <t>testSetPriorityIllegal3</t>
  </si>
  <si>
    <t>testDefaults</t>
  </si>
  <si>
    <t>testEquals5</t>
  </si>
  <si>
    <t>testEquals6</t>
  </si>
  <si>
    <t>testEquals7</t>
  </si>
  <si>
    <t>testEquals8</t>
  </si>
  <si>
    <t>testSetProperties1</t>
  </si>
  <si>
    <t>testSetProperties2</t>
  </si>
  <si>
    <t>testHashCode3</t>
  </si>
  <si>
    <t>testHashCode4</t>
  </si>
  <si>
    <t>testSetName1</t>
  </si>
  <si>
    <t>testSetName2</t>
  </si>
  <si>
    <t>testSetValue1</t>
  </si>
  <si>
    <t>testSetValue2</t>
  </si>
  <si>
    <t>testAddRule1</t>
  </si>
  <si>
    <t>testAddRule2</t>
  </si>
  <si>
    <t>testGetPmdRuleSet</t>
  </si>
  <si>
    <t>testSetDescription1</t>
  </si>
  <si>
    <t>testSetDescription2</t>
  </si>
  <si>
    <t>testSetDescription3</t>
  </si>
  <si>
    <t>testSetDescription4</t>
  </si>
  <si>
    <t>testSetLanguage1</t>
  </si>
  <si>
    <t>testSetLanguage2</t>
  </si>
  <si>
    <t>testSetLanguage3</t>
  </si>
  <si>
    <t>testSetLanguage4</t>
  </si>
  <si>
    <t>testSetLanguage5</t>
  </si>
  <si>
    <t>testSetLanguage6</t>
  </si>
  <si>
    <t>testSetName3</t>
  </si>
  <si>
    <t>testSetName4</t>
  </si>
  <si>
    <t>testSetDefaultRuleSet1</t>
  </si>
  <si>
    <t>testSetDefaultRuleSet2</t>
  </si>
  <si>
    <t>testSetDefaultRuleSet3</t>
  </si>
  <si>
    <t>testSetDefaultRuleSetName</t>
  </si>
  <si>
    <t>testSetDefaultRuleSetNameNull</t>
  </si>
  <si>
    <t>testSetRuleSets1</t>
  </si>
  <si>
    <t>testSetRuleSets2</t>
  </si>
  <si>
    <t>testSetRuleSets3</t>
  </si>
  <si>
    <t>testSetPmdRule1</t>
  </si>
  <si>
    <t>testSetPmdRule2</t>
  </si>
  <si>
    <t>testSetRef1</t>
  </si>
  <si>
    <t>testSetRef2</t>
  </si>
  <si>
    <t>testSetRef3</t>
  </si>
  <si>
    <t>testSetRef4</t>
  </si>
  <si>
    <t>testDetectCutAndPasteCmdBasic1</t>
  </si>
  <si>
    <t>testDetectCutAndPasteCmdBasic2</t>
  </si>
  <si>
    <t>testDetectCutAndPasteCmdNullArg1</t>
  </si>
  <si>
    <t>testDetectCutAndPasteCmdNullArg2</t>
  </si>
  <si>
    <t>testDetectCutAndPasteCmdNullArg3</t>
  </si>
  <si>
    <t>testDetectCutAndPasteCmdNullArg4</t>
  </si>
  <si>
    <t>testDetectCutAndPasteCmdNullArg5</t>
  </si>
  <si>
    <t>testDetectCutAndPasteCmdNullArg6</t>
  </si>
  <si>
    <t>testDetectCutAndPasteCmdNullArg7</t>
  </si>
  <si>
    <t>testRenderReportCmdBasic</t>
  </si>
  <si>
    <t>testRenderReportCmdNullArg1</t>
  </si>
  <si>
    <t>testRenderReportCmdNullArg2</t>
  </si>
  <si>
    <t>testRenderReportCmdNullArg3</t>
  </si>
  <si>
    <t>testRenderReportCmdNullArg4</t>
  </si>
  <si>
    <t>testRenderReportCmdNullArg5</t>
  </si>
  <si>
    <t>testRenderReportCmdNullArg6</t>
  </si>
  <si>
    <t>testRenderReportCmdNullArg7</t>
  </si>
  <si>
    <t>testReviewCmdBasic</t>
  </si>
  <si>
    <t>testReviewCmdDelta</t>
  </si>
  <si>
    <t>testReviewCmdNullResource</t>
  </si>
  <si>
    <t>testPmdEnabledFALSE</t>
  </si>
  <si>
    <t>testPmdEnabledTRUE</t>
  </si>
  <si>
    <t>testProjectRuleSet</t>
  </si>
  <si>
    <t>testProjectRuleSet1</t>
  </si>
  <si>
    <t>testProjectRuleSet2</t>
  </si>
  <si>
    <t>testProjectRuleSet3</t>
  </si>
  <si>
    <t>testProjectRuleSetNull</t>
  </si>
  <si>
    <t>testProjectWorkingSetNull</t>
  </si>
  <si>
    <t>testRebuild1</t>
  </si>
  <si>
    <t>testRebuild2</t>
  </si>
  <si>
    <t>testRebuild3</t>
  </si>
  <si>
    <t>testRuleSetStoredInProjectFALSE</t>
  </si>
  <si>
    <t>testRuleSetStoredInProjectTRUE</t>
  </si>
  <si>
    <t>constructorAndSetters</t>
  </si>
  <si>
    <t>getAxisIterator</t>
  </si>
  <si>
    <t>getAxisIteratorNotSupported</t>
  </si>
  <si>
    <t>testAddingChildrenBeyondActualLimits</t>
  </si>
  <si>
    <t>getMessage</t>
  </si>
  <si>
    <t>addEscapes</t>
  </si>
  <si>
    <t>testValidQueries</t>
  </si>
  <si>
    <t>testInvalidQueries</t>
  </si>
  <si>
    <t>incrementOperations</t>
  </si>
  <si>
    <t>testGetHelpCtx</t>
  </si>
  <si>
    <t>testCheckCookies</t>
  </si>
  <si>
    <t>testShouldCheck</t>
  </si>
  <si>
    <t>testAsynchronous</t>
  </si>
  <si>
    <t>testSourceLevels</t>
  </si>
  <si>
    <t>testRuleProperties</t>
  </si>
  <si>
    <t>testPackage</t>
  </si>
  <si>
    <t>testImport1</t>
  </si>
  <si>
    <t>testImport2</t>
  </si>
  <si>
    <t>testImportDup</t>
  </si>
  <si>
    <t>testImportSingle</t>
  </si>
  <si>
    <t>testClassPublic</t>
  </si>
  <si>
    <t>testClassAbstract</t>
  </si>
  <si>
    <t>testClassInner</t>
  </si>
  <si>
    <t>testClassAnon</t>
  </si>
  <si>
    <t>testNoDupes</t>
  </si>
  <si>
    <t>testDupeOnDemand</t>
  </si>
  <si>
    <t>testDupeNoDemand</t>
  </si>
  <si>
    <t>testDupeOnNoDemand</t>
  </si>
  <si>
    <t>testOneMethod</t>
  </si>
  <si>
    <t>testNastyComplicatedMethod</t>
  </si>
  <si>
    <t>testLessComplicatedThanReportLevel</t>
  </si>
  <si>
    <t>testRemainingTestCases</t>
  </si>
  <si>
    <t>testViolationMessage</t>
  </si>
  <si>
    <t>testReturnValueComplexity</t>
  </si>
  <si>
    <t>testFindVersionsForLanguageTerseName</t>
  </si>
  <si>
    <t>testLanguageVersionDiscoverer</t>
  </si>
  <si>
    <t>testEmptyReport</t>
  </si>
  <si>
    <t>testErrorReport</t>
  </si>
  <si>
    <t>testSingleReport</t>
  </si>
  <si>
    <t>testDoubleReport</t>
  </si>
  <si>
    <t>testTwoFiles</t>
  </si>
  <si>
    <t>testPlsql</t>
  </si>
  <si>
    <t>should_not_fail</t>
  </si>
  <si>
    <t>readPropertyDescriptors</t>
  </si>
  <si>
    <t>testAccept</t>
  </si>
  <si>
    <t>testMojo</t>
  </si>
  <si>
    <t>testParsersCases</t>
  </si>
  <si>
    <t>testSimpleClass</t>
  </si>
  <si>
    <t>testSimpleClassDuplicatedTokens</t>
  </si>
  <si>
    <t>testSimpleClassMethodMultipleLines</t>
  </si>
  <si>
    <t>testStrings</t>
  </si>
  <si>
    <t>testOpenString</t>
  </si>
  <si>
    <t>testCommentsIgnored1</t>
  </si>
  <si>
    <t>testCommentsIgnored2</t>
  </si>
  <si>
    <t>testCommentsIgnored3</t>
  </si>
  <si>
    <t>testMoreTokens</t>
  </si>
  <si>
    <t>testLineNumberAfterMultilineComment</t>
  </si>
  <si>
    <t>testLineNumberAfterMultilineString</t>
  </si>
  <si>
    <t>testIgnoreUsingDirectives</t>
  </si>
  <si>
    <t>testUsingStatementsAreNotIgnored</t>
  </si>
  <si>
    <t>tokenizeTest</t>
  </si>
  <si>
    <t>testParseDollar</t>
  </si>
  <si>
    <t>testSimplestJsp</t>
  </si>
  <si>
    <t>testElementAttributeAndNamespace</t>
  </si>
  <si>
    <t>testAttributeValueContainingHash</t>
  </si>
  <si>
    <t>testCData</t>
  </si>
  <si>
    <t>testDoctype</t>
  </si>
  <si>
    <t>testComment</t>
  </si>
  <si>
    <t>testHtmlScript</t>
  </si>
  <si>
    <t>testImportHtmlScript</t>
  </si>
  <si>
    <t>testHtmlScriptWithAttribute</t>
  </si>
  <si>
    <t>testComplexHtmlScript</t>
  </si>
  <si>
    <t>testInlineCss</t>
  </si>
  <si>
    <t>testTextInTag</t>
  </si>
  <si>
    <t>noSpacesBetweenTags</t>
  </si>
  <si>
    <t>unclosedTagsWithDollar</t>
  </si>
  <si>
    <t>unclosedTagsWithELWithin</t>
  </si>
  <si>
    <t>mixedExpressions</t>
  </si>
  <si>
    <t>unclosedTagsWithJspExpressionWithin</t>
  </si>
  <si>
    <t>textBetweenUnopenedTag</t>
  </si>
  <si>
    <t>textMultipleClosingTags</t>
  </si>
  <si>
    <t>textAfterOpenAndClosedTag</t>
  </si>
  <si>
    <t>quoteEL</t>
  </si>
  <si>
    <t>quoteExpression</t>
  </si>
  <si>
    <t>quoteTagInAttribute</t>
  </si>
  <si>
    <t>noQuoteAttrValue</t>
  </si>
  <si>
    <t>noQuoteAttrWithJspEL</t>
  </si>
  <si>
    <t>noQuoteAttrWithJspExpression</t>
  </si>
  <si>
    <t>noQuoteAttrEmpty</t>
  </si>
  <si>
    <t>noQuoteAttrCrLf</t>
  </si>
  <si>
    <t>noQuoteAttrTab</t>
  </si>
  <si>
    <t>noQuoteAttrWithMalformedJspExpression</t>
  </si>
  <si>
    <t>noQuoteAttrWithScriptletInValue</t>
  </si>
  <si>
    <t>noQuoteAttrWithBeanWriteTagAsValue</t>
  </si>
  <si>
    <t>quoteAttrWithBeanWriteTagAsValue</t>
  </si>
  <si>
    <t>noQuoteAttrWithDollarSignInValue</t>
  </si>
  <si>
    <t>noQuoteAttrWithSharpSymbolInValue</t>
  </si>
  <si>
    <t>unclosedTag</t>
  </si>
  <si>
    <t>unclosedTagAndNoQuotesForAttribute</t>
  </si>
  <si>
    <t>unclosedTagMultipleLevels</t>
  </si>
  <si>
    <t>nestedEmptyTags</t>
  </si>
  <si>
    <t>nestedMultipleTags</t>
  </si>
  <si>
    <t>unclosedParentTagClosedBeforeChild</t>
  </si>
  <si>
    <t>unmatchedTagDoesNotInfluenceStructure</t>
  </si>
  <si>
    <t>unclosedStartTagWithUnmatchedCloseOfDifferentTag</t>
  </si>
  <si>
    <t>unclosedEndOfDoc</t>
  </si>
  <si>
    <t>testDirective</t>
  </si>
  <si>
    <t>testDeclaration</t>
  </si>
  <si>
    <t>testScriptlet</t>
  </si>
  <si>
    <t>testExpression</t>
  </si>
  <si>
    <t>testExpressionInAttribute</t>
  </si>
  <si>
    <t>testElExpression</t>
  </si>
  <si>
    <t>testElExpressionInAttribute</t>
  </si>
  <si>
    <t>testJsfValueBinding</t>
  </si>
  <si>
    <t>testSimpleNesting</t>
  </si>
  <si>
    <t>doubleNesting</t>
  </si>
  <si>
    <t>unopenedTags</t>
  </si>
  <si>
    <t>interleavedTags</t>
  </si>
  <si>
    <t>openedIsolatedTag</t>
  </si>
  <si>
    <t>testExpressionMatching</t>
  </si>
  <si>
    <t>testBOM</t>
  </si>
  <si>
    <t>testXPathRule1</t>
  </si>
  <si>
    <t>testXPathRule1Compatibility</t>
  </si>
  <si>
    <t>testXPathRule2</t>
  </si>
  <si>
    <t>testExpressionParentChildLinks</t>
  </si>
  <si>
    <t>testVariableOrConstantDeclaratorParentChildLinks</t>
  </si>
  <si>
    <t>testIfStmtHasCorrectTypes</t>
  </si>
  <si>
    <t>testWhileStmtHasCorrectTypes</t>
  </si>
  <si>
    <t>testForStmtHasCorrectTypes</t>
  </si>
  <si>
    <t>testSimpleCaseStmtHasCorrectTypes</t>
  </si>
  <si>
    <t>testLabelledStmtHasCorrectTypes</t>
  </si>
  <si>
    <t>testOnlyWorksForMethodsAndConstructors</t>
  </si>
  <si>
    <t>testParser2</t>
  </si>
  <si>
    <t>testParser3</t>
  </si>
  <si>
    <t>testVisit</t>
  </si>
  <si>
    <t>testSetters</t>
  </si>
  <si>
    <t>testEqualsHashcode</t>
  </si>
  <si>
    <t>testLineNumbers</t>
  </si>
  <si>
    <t>testDefaultParsing</t>
  </si>
  <si>
    <t>testParsingCoalescingEnabled</t>
  </si>
  <si>
    <t>testParsingDoNotExpandEntities</t>
  </si>
  <si>
    <t>testParsingIgnoreComments</t>
  </si>
  <si>
    <t>testParsingIgnoreElementContentWhitespace</t>
  </si>
  <si>
    <t>testDefaultParsingNamespaces</t>
  </si>
  <si>
    <t>testParsingNotNamespaceAware</t>
  </si>
  <si>
    <t>testParsingWithValidation</t>
  </si>
  <si>
    <t>testWithProcessingInstructions</t>
  </si>
  <si>
    <t>dtdIsNotLookedUp</t>
  </si>
  <si>
    <t>xsdIsNotLookedUp</t>
  </si>
  <si>
    <t>testStoreSkipsFilesThatFailedProcessing</t>
  </si>
  <si>
    <t>testLoadFromDirectory</t>
  </si>
  <si>
    <t>testLoadFromUnreadableFile</t>
  </si>
  <si>
    <t>testStoreOnUnwritableFile</t>
  </si>
  <si>
    <t>runXPath</t>
  </si>
  <si>
    <t>constructor_GivenHttpUrlId_SucceedsAndProcessesIdCorrectly</t>
  </si>
  <si>
    <t>constructor_GivenHttpUrl_InputStream</t>
  </si>
  <si>
    <t>constructor_GivenHttpUrl_SingleRule_InputStream</t>
  </si>
  <si>
    <t>testSetStatusCodeOrExit_DoExit</t>
  </si>
  <si>
    <t>testSetStatusCodeOrExit_SetStatus</t>
  </si>
  <si>
    <t>testContinuation_IntraToken</t>
  </si>
  <si>
    <t>testContinuation_InterToken</t>
  </si>
  <si>
    <t>testAssertAsIdentifierSucceedsWith1_3_test2</t>
  </si>
  <si>
    <t>interface_method_should_be_parseable</t>
  </si>
  <si>
    <t>repeatable_annotations_method_should_be_parseable</t>
  </si>
  <si>
    <t>testLookingForUsed</t>
  </si>
  <si>
    <t>testStoreSkipsFilesWithViolations</t>
  </si>
  <si>
    <t>testSpecificSuppressionValue1</t>
  </si>
  <si>
    <t>testSpecificSuppressionValue2</t>
  </si>
  <si>
    <t>testSpecificSuppressionValue3</t>
  </si>
  <si>
    <t>testSpecificSuppressionMulitpleValues1</t>
  </si>
  <si>
    <t>testSpecificSuppressionMulitpleValues2</t>
  </si>
  <si>
    <t>testClassLevelSuppression</t>
  </si>
  <si>
    <t>testInheritedSuppression</t>
  </si>
  <si>
    <t>testMethodLevelSuppression</t>
  </si>
  <si>
    <t>testConstructorLevelSuppression</t>
  </si>
  <si>
    <t>testFieldLevelSuppression</t>
  </si>
  <si>
    <t>testParameterLevelSuppression</t>
  </si>
  <si>
    <t>testLocalVariableLevelSuppression</t>
  </si>
  <si>
    <t>testSpecificSuppression</t>
  </si>
  <si>
    <t>testSpecificSuppressionMulitpleValues</t>
  </si>
  <si>
    <t>testNoSuppressionBlank</t>
  </si>
  <si>
    <t>testNoSuppressionSomethingElseS</t>
  </si>
  <si>
    <t>testSuppressAll</t>
  </si>
  <si>
    <t>testSpecificSuppressionAtTopLevel</t>
  </si>
  <si>
    <t>testAllOperations</t>
  </si>
  <si>
    <t>roleTest</t>
  </si>
  <si>
    <t>isAbstractTest</t>
  </si>
  <si>
    <t>testGenericFieldAccess</t>
  </si>
  <si>
    <t>testContinuationIntraToken</t>
  </si>
  <si>
    <t>testContinuationInterToken</t>
  </si>
  <si>
    <t>testFactorySingleValue</t>
  </si>
  <si>
    <t>testFactoryMultiValueCustomDelimiter</t>
  </si>
  <si>
    <t>testFactoryMultiValueDefaultDelimiter</t>
  </si>
  <si>
    <t>testWrapper</t>
  </si>
  <si>
    <t>testEqualityReduce</t>
  </si>
  <si>
    <t>testSubtypeReduce</t>
  </si>
  <si>
    <t>testLooseInvocation</t>
  </si>
  <si>
    <t>testContainmentReduce</t>
  </si>
  <si>
    <t>testIncorporation</t>
  </si>
  <si>
    <t>testAddClass</t>
  </si>
  <si>
    <t>testAddOperation</t>
  </si>
  <si>
    <t>testAddField</t>
  </si>
  <si>
    <t>memoizationTest</t>
  </si>
  <si>
    <t>forceMemoizationTest</t>
  </si>
  <si>
    <t>testEmptyOperationMask</t>
  </si>
  <si>
    <t>testEmptyFieldMask</t>
  </si>
  <si>
    <t>testFinalFields</t>
  </si>
  <si>
    <t>testStaticFields</t>
  </si>
  <si>
    <t>testFieldvisibility</t>
  </si>
  <si>
    <t>testOperationVisibility</t>
  </si>
  <si>
    <t>testOperationRoles</t>
  </si>
  <si>
    <t>testPackageStatsNotNull</t>
  </si>
  <si>
    <t>testOperationsAreThere</t>
  </si>
  <si>
    <t>testFieldsAreThere</t>
  </si>
  <si>
    <t>testStaticOperationsSig</t>
  </si>
  <si>
    <t>verifyVersion3</t>
  </si>
  <si>
    <t>testKeysNamesAreUnique</t>
  </si>
  <si>
    <t>testClasspathChangeWithoutDFAorTypeResolutionDoesNotInvalidatesCache</t>
  </si>
  <si>
    <t>testClasspathJarContentsChangeInvalidatesCache</t>
  </si>
  <si>
    <t>testAllPMDBuiltInRulesMeetConventions</t>
  </si>
  <si>
    <t>jdk7PrivateMethodInnerClassInterface</t>
  </si>
  <si>
    <t>testDogfoodRuleset</t>
  </si>
  <si>
    <t>testAnoymousExtendingObject</t>
  </si>
  <si>
    <t>testParsing</t>
  </si>
  <si>
    <t>testLocalVariableSyntaxForLambdaParametersWithJava10</t>
  </si>
  <si>
    <t>testLocalVariableSyntaxForLambdaParametersWithJava11</t>
  </si>
  <si>
    <t>entryStackMustBeEmpty</t>
  </si>
  <si>
    <t>testStringParserEmptyString</t>
  </si>
  <si>
    <t>testStringParserSimple</t>
  </si>
  <si>
    <t>testStringParserEscapedChar</t>
  </si>
  <si>
    <t>testStringParserEscapedEscapedChar</t>
  </si>
  <si>
    <t>testCopyXmlToClipboard</t>
  </si>
  <si>
    <t>testPython</t>
  </si>
  <si>
    <t>testIntegers</t>
  </si>
  <si>
    <t>testBooleans</t>
  </si>
  <si>
    <t>testFloats</t>
  </si>
  <si>
    <t>interfaceMethodShouldBeParseable</t>
  </si>
  <si>
    <t>repeatableAnnotationsMethodShouldBeParseable</t>
  </si>
  <si>
    <t>shouldNotFail</t>
  </si>
  <si>
    <t>testGetVariableName</t>
  </si>
  <si>
    <t>testPrivateInterfaceMethods</t>
  </si>
  <si>
    <t>testPublicInterfaceMethods</t>
  </si>
  <si>
    <t>testTheresNoMemoisation</t>
  </si>
  <si>
    <t>testXPathAttributesOfUnderlyingNode</t>
  </si>
  <si>
    <t>testAttributeAxisIteratorOnBean</t>
  </si>
  <si>
    <t>testNodeStreamPipelineIsExecutedAtMostOnce</t>
  </si>
  <si>
    <t>testOnlyStreamHeadIsCached</t>
  </si>
  <si>
    <t>testUnionIsLazy</t>
  </si>
  <si>
    <t>testGetFxml</t>
  </si>
  <si>
    <t>testStringPrefixes</t>
  </si>
  <si>
    <t>testIsStringLiteral</t>
  </si>
  <si>
    <t>testIsNotStringLiteral</t>
  </si>
  <si>
    <t>testIsIntIntLiteral</t>
  </si>
  <si>
    <t>testIsIntLongLiteral</t>
  </si>
  <si>
    <t>testIsFloatFloatLiteral</t>
  </si>
  <si>
    <t>testIsFloatDoubleLiteral</t>
  </si>
  <si>
    <t>testIsCharLiteral</t>
  </si>
  <si>
    <t>testIntValueParsing</t>
  </si>
  <si>
    <t>testIntValueParsingBinary</t>
  </si>
  <si>
    <t>testIntValueParsingNegativeHexa</t>
  </si>
  <si>
    <t>testFloatValueParsingNegative</t>
  </si>
  <si>
    <t>testStringUnicodeEscapesNotEscaped</t>
  </si>
  <si>
    <t>testStringUnicodeEscapesInvalid</t>
  </si>
  <si>
    <t>testStringUnicodeEscapesValid</t>
  </si>
  <si>
    <t>testCharacterUnicodeEscapesValid</t>
  </si>
  <si>
    <t>testSimpleAssignmentRecognized</t>
  </si>
  <si>
    <t>testCompoundAssignmentPlusRecognized</t>
  </si>
  <si>
    <t>testCompoundAssignmentMultRecognized</t>
  </si>
  <si>
    <t>testArrayDereference</t>
  </si>
  <si>
    <t>testArguments</t>
  </si>
  <si>
    <t>testIsAllocation</t>
  </si>
  <si>
    <t>testIsAllocation2</t>
  </si>
  <si>
    <t>testNameWithSuperIsNotFlaggedAsUnused</t>
  </si>
  <si>
    <t>testSwitchExpressionsBreak</t>
  </si>
  <si>
    <t>testMetric0</t>
  </si>
  <si>
    <t>testMetric1</t>
  </si>
  <si>
    <t>testGetMetricName</t>
  </si>
  <si>
    <t>testGetCount</t>
  </si>
  <si>
    <t>testGetTotal</t>
  </si>
  <si>
    <t>testGetLowValue</t>
  </si>
  <si>
    <t>testGetHighValue</t>
  </si>
  <si>
    <t>testGetAverage</t>
  </si>
  <si>
    <t>testMetrics</t>
  </si>
  <si>
    <t>testExpectedMinimum</t>
  </si>
  <si>
    <t>testS</t>
  </si>
  <si>
    <t>testS1</t>
  </si>
  <si>
    <t>testS2</t>
  </si>
  <si>
    <t>testS3</t>
  </si>
  <si>
    <t>testS4</t>
  </si>
  <si>
    <t>testS5</t>
  </si>
  <si>
    <t>testT1</t>
  </si>
  <si>
    <t>testT2</t>
  </si>
  <si>
    <t>testT3</t>
  </si>
  <si>
    <t>testT4</t>
  </si>
  <si>
    <t>testT5</t>
  </si>
  <si>
    <t>testM</t>
  </si>
  <si>
    <t>testM1</t>
  </si>
  <si>
    <t>testM2</t>
  </si>
  <si>
    <t>testM3</t>
  </si>
  <si>
    <t>testM4</t>
  </si>
  <si>
    <t>testM5</t>
  </si>
  <si>
    <t>testST</t>
  </si>
  <si>
    <t>testST1</t>
  </si>
  <si>
    <t>testST2</t>
  </si>
  <si>
    <t>testST3</t>
  </si>
  <si>
    <t>testST4</t>
  </si>
  <si>
    <t>testST5</t>
  </si>
  <si>
    <t>testTS</t>
  </si>
  <si>
    <t>testTS1</t>
  </si>
  <si>
    <t>testTS2</t>
  </si>
  <si>
    <t>testTS3</t>
  </si>
  <si>
    <t>testTS4</t>
  </si>
  <si>
    <t>testTS5</t>
  </si>
  <si>
    <t>testSM</t>
  </si>
  <si>
    <t>testSM1</t>
  </si>
  <si>
    <t>testSM2</t>
  </si>
  <si>
    <t>testSM3</t>
  </si>
  <si>
    <t>testSM4</t>
  </si>
  <si>
    <t>testSM5</t>
  </si>
  <si>
    <t>testMS</t>
  </si>
  <si>
    <t>testMS1</t>
  </si>
  <si>
    <t>testMS2</t>
  </si>
  <si>
    <t>testMS3</t>
  </si>
  <si>
    <t>testMS4</t>
  </si>
  <si>
    <t>testMS5</t>
  </si>
  <si>
    <t>testTM</t>
  </si>
  <si>
    <t>testTM1</t>
  </si>
  <si>
    <t>testTM2</t>
  </si>
  <si>
    <t>testTM3</t>
  </si>
  <si>
    <t>testTM4</t>
  </si>
  <si>
    <t>testTM5</t>
  </si>
  <si>
    <t>testMT</t>
  </si>
  <si>
    <t>testMT1</t>
  </si>
  <si>
    <t>testMT2</t>
  </si>
  <si>
    <t>testMT3</t>
  </si>
  <si>
    <t>testMT4</t>
  </si>
  <si>
    <t>testMT5</t>
  </si>
  <si>
    <t>testSTM</t>
  </si>
  <si>
    <t>testSTM1</t>
  </si>
  <si>
    <t>testSTM2</t>
  </si>
  <si>
    <t>testSTM3</t>
  </si>
  <si>
    <t>testSTM4</t>
  </si>
  <si>
    <t>testSTM5</t>
  </si>
  <si>
    <t>testSMT</t>
  </si>
  <si>
    <t>testSMT1</t>
  </si>
  <si>
    <t>testSMT2</t>
  </si>
  <si>
    <t>testSMT3</t>
  </si>
  <si>
    <t>testSMT4</t>
  </si>
  <si>
    <t>testSMT5</t>
  </si>
  <si>
    <t>testTSM</t>
  </si>
  <si>
    <t>testTSM1</t>
  </si>
  <si>
    <t>testTSM2</t>
  </si>
  <si>
    <t>testTSM3</t>
  </si>
  <si>
    <t>testTSM4</t>
  </si>
  <si>
    <t>testTSM5</t>
  </si>
  <si>
    <t>testTMS</t>
  </si>
  <si>
    <t>testTMS1</t>
  </si>
  <si>
    <t>testTMS2</t>
  </si>
  <si>
    <t>testTMS3</t>
  </si>
  <si>
    <t>testTMS4</t>
  </si>
  <si>
    <t>testTMS5</t>
  </si>
  <si>
    <t>testSiblings</t>
  </si>
  <si>
    <t>testTextBlocks</t>
  </si>
  <si>
    <t>testTextBlocksBeforeJava13</t>
  </si>
  <si>
    <t>testLineNumbersAccuracy</t>
  </si>
  <si>
    <t>testCountNodes</t>
  </si>
  <si>
    <t>getDefaultVersionLanguageTest</t>
  </si>
  <si>
    <t>testGetLanguageVersionForTerseName</t>
  </si>
  <si>
    <t>testAddInvalidExcludePattern</t>
  </si>
  <si>
    <t>testAddInvalidIncludePattern</t>
  </si>
  <si>
    <t>testAnnotationSucceedsWithDefaultMode</t>
  </si>
  <si>
    <t>testAnnotationFailsWithJDK14</t>
  </si>
  <si>
    <t>testAnnotationSucceedsWithJDK15</t>
  </si>
  <si>
    <t>testLineNumbersAreSetOnAllSiblings</t>
  </si>
  <si>
    <t>testFindDescendantsOfType</t>
  </si>
  <si>
    <t>testFindDescendantsOfTypeMultiple</t>
  </si>
  <si>
    <t>testFindDescendantsOfTypeRecurse</t>
  </si>
  <si>
    <t>testGetFirstChild</t>
  </si>
  <si>
    <t>testGetFirstChildNested</t>
  </si>
  <si>
    <t>testGetFirstChildNestedDeeper</t>
  </si>
  <si>
    <t>testMultipleExceptionCatching</t>
  </si>
  <si>
    <t>testFilterAbsoluteWithExtension</t>
  </si>
  <si>
    <t>testFilterAbsoluteWithoutExtension</t>
  </si>
  <si>
    <t>testFilterRelativeWithExtension</t>
  </si>
  <si>
    <t>testFilterRelativeWithoutExtension</t>
  </si>
  <si>
    <t>testEndsWith</t>
  </si>
  <si>
    <t>testLineNumberSingleLine</t>
  </si>
  <si>
    <t>testLineNumberLf</t>
  </si>
  <si>
    <t>testLineNumberCrLf</t>
  </si>
  <si>
    <t>testLineNumberCr</t>
  </si>
  <si>
    <t>testLineNumberTrailing</t>
  </si>
  <si>
    <t>testLineNumberEmpty</t>
  </si>
  <si>
    <t>testIsSyntacticallyPublic</t>
  </si>
  <si>
    <t>testWithEnum</t>
  </si>
  <si>
    <t>testWithAnnotation</t>
  </si>
  <si>
    <t>testPrivateFieldInNestedClassInsideInterface</t>
  </si>
  <si>
    <t>testSingleDimArray</t>
  </si>
  <si>
    <t>testMultDimArray</t>
  </si>
  <si>
    <t>testMultDimArraySplitBraces</t>
  </si>
  <si>
    <t>testMultipleCaseLabels</t>
  </si>
  <si>
    <t>testSwitchRules</t>
  </si>
  <si>
    <t>testSwitchExpressions</t>
  </si>
  <si>
    <t>testSwitchExpressionsYield</t>
  </si>
  <si>
    <t>testVarAsIdentifier</t>
  </si>
  <si>
    <t>testVarAsTypeIdentifier</t>
  </si>
  <si>
    <t>testVarAsAnnotationName</t>
  </si>
  <si>
    <t>testVarAsEnumName</t>
  </si>
  <si>
    <t>testMultipleExceptionCatchingJava5</t>
  </si>
  <si>
    <t>testNoDFA</t>
  </si>
  <si>
    <t>testIncludesRuleWithDFA</t>
  </si>
  <si>
    <t>testAddResultsinDFANodeContainingAddedNode</t>
  </si>
  <si>
    <t>testFacadesOffByDefault</t>
  </si>
  <si>
    <t>testDFAFlag</t>
  </si>
  <si>
    <t>typeResolutionShouldBeEnabledByDefault</t>
  </si>
  <si>
    <t>testLocalInMethod</t>
  </si>
  <si>
    <t>testLocalInInitializer</t>
  </si>
  <si>
    <t>testLocalAbstractClass</t>
  </si>
  <si>
    <t>testLocalClassWithMixedModifiers</t>
  </si>
  <si>
    <t>testLocalClassVisibility</t>
  </si>
  <si>
    <t>testNestedClassIsNotLocal</t>
  </si>
  <si>
    <t>testLocalChildrenAreNotAlwaysLocal</t>
  </si>
  <si>
    <t>testModifiersOnClassDecl</t>
  </si>
  <si>
    <t>testStatic</t>
  </si>
  <si>
    <t>testPublic</t>
  </si>
  <si>
    <t>testProtected</t>
  </si>
  <si>
    <t>testFinal</t>
  </si>
  <si>
    <t>testSynchronized</t>
  </si>
  <si>
    <t>testVolatile</t>
  </si>
  <si>
    <t>testTransient</t>
  </si>
  <si>
    <t>testNative</t>
  </si>
  <si>
    <t>testStrict</t>
  </si>
  <si>
    <t>testPackagePrivate</t>
  </si>
  <si>
    <t>testPublicFinal</t>
  </si>
  <si>
    <t>testParseLambdaInEnumConstant</t>
  </si>
  <si>
    <t>testLambdaInStaticInitializer</t>
  </si>
  <si>
    <t>testLambdaInInitializerAndConstructor</t>
  </si>
  <si>
    <t>testLambdaField</t>
  </si>
  <si>
    <t>testLambdaInterfaceField</t>
  </si>
  <si>
    <t>testLambdaLocalClassField</t>
  </si>
  <si>
    <t>testLambdaAnonymousClassField</t>
  </si>
  <si>
    <t>testLambdasInMethod</t>
  </si>
  <si>
    <t>testLambdaCounterBelongsToClass</t>
  </si>
  <si>
    <t>testMultipleCaseLabelsJava11</t>
  </si>
  <si>
    <t>testSwitchRulesJava11</t>
  </si>
  <si>
    <t>testSwitchExpressionsJava11</t>
  </si>
  <si>
    <t>testCountOpSigs</t>
  </si>
  <si>
    <t>testBothClassesOperationsAreThere</t>
  </si>
  <si>
    <t>testBothClassesFieldsAreThere</t>
  </si>
  <si>
    <t>patternMatchingInstanceof</t>
  </si>
  <si>
    <t>patternMatchingInstanceofBeforeJava14PreviewShouldFail</t>
  </si>
  <si>
    <t>testEnumMethodMember</t>
  </si>
  <si>
    <t>testMethod</t>
  </si>
  <si>
    <t>testConstructorWithParams</t>
  </si>
  <si>
    <t>testConstructorOverload</t>
  </si>
  <si>
    <t>testMethodOverload</t>
  </si>
  <si>
    <t>testParseClass</t>
  </si>
  <si>
    <t>testParsePackages</t>
  </si>
  <si>
    <t>testParseOperation</t>
  </si>
  <si>
    <t>testParseLocalClasses</t>
  </si>
  <si>
    <t>testParseAnonymousClass</t>
  </si>
  <si>
    <t>testParseLambdaName</t>
  </si>
  <si>
    <t>testParseMalformed</t>
  </si>
  <si>
    <t>testGetType</t>
  </si>
  <si>
    <t>testAttributeDeprecation</t>
  </si>
  <si>
    <t>testDeprecatedAttributeXPathQuery</t>
  </si>
  <si>
    <t>testRemoveChildOfRootNode</t>
  </si>
  <si>
    <t>testRemoveRootNode</t>
  </si>
  <si>
    <t>testRemoveGrandChildNode</t>
  </si>
  <si>
    <t>testRemoveRootNodeChildAtIndex</t>
  </si>
  <si>
    <t>testRemoveChildAtIndexWithInvalidIndex</t>
  </si>
  <si>
    <t>testRemoveChildAtIndexOnNodeWithNoChildren</t>
  </si>
  <si>
    <t>testMethodDiffLines</t>
  </si>
  <si>
    <t>testMethodSameLine</t>
  </si>
  <si>
    <t>testNoLookahead</t>
  </si>
  <si>
    <t>testHasExplicitExtends</t>
  </si>
  <si>
    <t>testNoExplicitExtends</t>
  </si>
  <si>
    <t>testHasExplicitImplements</t>
  </si>
  <si>
    <t>testNoExplicitImplements</t>
  </si>
  <si>
    <t>testColumnsOnQualifiedName</t>
  </si>
  <si>
    <t>testLineNumbersForNameSplitOverTwoLines</t>
  </si>
  <si>
    <t>testParentMethods</t>
  </si>
  <si>
    <t>testContainsNoInnerWithAnonInner</t>
  </si>
  <si>
    <t>testContainsChildOfType</t>
  </si>
  <si>
    <t>testXPathNodeSelect</t>
  </si>
  <si>
    <t>testUserData</t>
  </si>
  <si>
    <t>testListAttribute</t>
  </si>
  <si>
    <t>ruleChainVisits</t>
  </si>
  <si>
    <t>ruleChainVisitsMultipleFilters</t>
  </si>
  <si>
    <t>ruleChainVisitsNested</t>
  </si>
  <si>
    <t>ruleChainVisitsNested2</t>
  </si>
  <si>
    <t>ruleChainVisitsCompatibilityMode</t>
  </si>
  <si>
    <t>testSeparatorPropertyWarning</t>
  </si>
  <si>
    <t>testListMonoid</t>
  </si>
  <si>
    <t>transitivityTest</t>
  </si>
  <si>
    <t>assymetryTest</t>
  </si>
  <si>
    <t>substitutabilityTest</t>
  </si>
  <si>
    <t>testLattice</t>
  </si>
  <si>
    <t>testSetMonoid</t>
  </si>
  <si>
    <t>parseWithContinuation</t>
  </si>
  <si>
    <t>parseWithContinuationCppTokenManager</t>
  </si>
  <si>
    <t>testDollarSignStartingIdentifier</t>
  </si>
  <si>
    <t>testWideCharacters</t>
  </si>
  <si>
    <t>testAsmWithAtSign</t>
  </si>
  <si>
    <t>testEmptyCharacter</t>
  </si>
  <si>
    <t>testHexCharacter</t>
  </si>
  <si>
    <t>testWhiteSpaceEscape</t>
  </si>
  <si>
    <t>testCharacterPrefix</t>
  </si>
  <si>
    <t>testCharacterPrefixNoPrefix</t>
  </si>
  <si>
    <t>testCharacterPrefixWideCharacter</t>
  </si>
  <si>
    <t>testCharacterPrefixChar16</t>
  </si>
  <si>
    <t>testCharacterPrefixChar32</t>
  </si>
  <si>
    <t>testStringPrefixNoPrefix</t>
  </si>
  <si>
    <t>testStringPrefixWideString</t>
  </si>
  <si>
    <t>testStringPrefixChar16</t>
  </si>
  <si>
    <t>testStringPrefixChar32</t>
  </si>
  <si>
    <t>testStringPrefixUtf8</t>
  </si>
  <si>
    <t>testDigitSeparators</t>
  </si>
  <si>
    <t>testEOLCommentInPreprocessingDirective</t>
  </si>
  <si>
    <t>testDiscardSemicolons</t>
  </si>
  <si>
    <t>testDiscardImports</t>
  </si>
  <si>
    <t>testDiscardPkgStmts</t>
  </si>
  <si>
    <t>testDiscardSimpleOneLineAnnotation</t>
  </si>
  <si>
    <t>testIgnoreComments</t>
  </si>
  <si>
    <t>testDiscardOneLineAnnotationWithParams</t>
  </si>
  <si>
    <t>testIgnoreBetweenSpecialCommentsMultiple</t>
  </si>
  <si>
    <t>testIgnoreBetweenSpecialCommentsMultiline</t>
  </si>
  <si>
    <t>testEscapedBackSlash</t>
  </si>
  <si>
    <t>testSlice</t>
  </si>
  <si>
    <t>testIgnoreBetweenSpecialComments</t>
  </si>
  <si>
    <t>tokenize</t>
  </si>
  <si>
    <t>testStatementsAfterUsingDirectivesAreNotIgnored</t>
  </si>
  <si>
    <t>testUsingVarStatementsAreNotIgnored</t>
  </si>
  <si>
    <t>testInterpolatedVerbatimStrings</t>
  </si>
  <si>
    <t>testMatch</t>
  </si>
  <si>
    <t>testNoMatch</t>
  </si>
  <si>
    <t>testUnicodeEscapeInIdentifier</t>
  </si>
  <si>
    <t>testListAttributeDeprecation20</t>
  </si>
  <si>
    <t>testGetFirstASTNameImageNull</t>
  </si>
  <si>
    <t>testGetFirstASTNameImageNew</t>
  </si>
  <si>
    <t>testMissingPackageNames</t>
  </si>
  <si>
    <t>testAsStringOn</t>
  </si>
  <si>
    <t>testAsMethodOn</t>
  </si>
  <si>
    <t>testAddClassOfQ</t>
  </si>
  <si>
    <t>testContainsClassOfQ</t>
  </si>
  <si>
    <t>testTypeFor</t>
  </si>
  <si>
    <t>testSize</t>
  </si>
  <si>
    <t>testConversions</t>
  </si>
  <si>
    <t>testReplaceWithOneChar</t>
  </si>
  <si>
    <t>testReplaceWithMultipleChars</t>
  </si>
  <si>
    <t>testReplaceStringWithString</t>
  </si>
  <si>
    <t>testReplaceStringWithString2</t>
  </si>
  <si>
    <t>testReplaceWithNull</t>
  </si>
  <si>
    <t>testEqualsNodeWithTwoEqualViolations</t>
  </si>
  <si>
    <t>testEqualsNodeWithTwoDifferentViolationsDifferentFilename</t>
  </si>
  <si>
    <t>testEqualsNodeWithTwoDifferentViolationsDifferentBeginLine</t>
  </si>
  <si>
    <t>testEqualsNodeWithTwoDifferentViolationsDifferentEndLine</t>
  </si>
  <si>
    <t>testEqualsNodeWithTwoDifferentViolationsDifferentBeginColumn</t>
  </si>
  <si>
    <t>testEqualsNodeWithTwoDifferentViolationsDifferentEndColumn</t>
  </si>
  <si>
    <t>testEqualsNodeWithTwoDifferentViolationsDifferentVariableName</t>
  </si>
  <si>
    <t>testThisExpression</t>
  </si>
  <si>
    <t>testSuperExpression</t>
  </si>
  <si>
    <t>stackOverflowTest</t>
  </si>
  <si>
    <t>testClassNameExists</t>
  </si>
  <si>
    <t>acceptanceTest</t>
  </si>
  <si>
    <t>testEnumAnonymousInnerClass</t>
  </si>
  <si>
    <t>testNPEInJavaTypeDefinitionToString</t>
  </si>
  <si>
    <t>testExtraTopLevelClass</t>
  </si>
  <si>
    <t>testInnerClass</t>
  </si>
  <si>
    <t>testInnerClassNotCompiled</t>
  </si>
  <si>
    <t>testAnonymousClassFromInterface</t>
  </si>
  <si>
    <t>testNestedAnonymousClass</t>
  </si>
  <si>
    <t>testAnonymousExtendingObject</t>
  </si>
  <si>
    <t>testAnonymousInnerClass</t>
  </si>
  <si>
    <t>testLiterals</t>
  </si>
  <si>
    <t>testUnaryNumericPromotion</t>
  </si>
  <si>
    <t>testBinaryNumericPromotion</t>
  </si>
  <si>
    <t>testBinaryStringPromotion</t>
  </si>
  <si>
    <t>testUnaryLogicalOperators</t>
  </si>
  <si>
    <t>testBinaryLogicalOperators</t>
  </si>
  <si>
    <t>testUnaryNumericOperators</t>
  </si>
  <si>
    <t>testBinaryNumericOperators</t>
  </si>
  <si>
    <t>testAssignmentOperators</t>
  </si>
  <si>
    <t>testFullyQualifiedType</t>
  </si>
  <si>
    <t>testArrayTypes</t>
  </si>
  <si>
    <t>testArrayAccess</t>
  </si>
  <si>
    <t>testReferenceType</t>
  </si>
  <si>
    <t>testHeterogeneousArrayFieldDeclaration</t>
  </si>
  <si>
    <t>testFieldAccess</t>
  </si>
  <si>
    <t>testFieldAccessNested</t>
  </si>
  <si>
    <t>testFieldAccessShadow</t>
  </si>
  <si>
    <t>testFieldAccessSuper</t>
  </si>
  <si>
    <t>testBoundsGenericFieldAccess</t>
  </si>
  <si>
    <t>testParameterGenericFieldAccess</t>
  </si>
  <si>
    <t>testSimpleGenericFieldAccess</t>
  </si>
  <si>
    <t>testRawGenericFieldAccess</t>
  </si>
  <si>
    <t>testPrimarySimpleGenericFieldAccess</t>
  </si>
  <si>
    <t>testFieldAccessGenericNested</t>
  </si>
  <si>
    <t>testFieldAccessStatic</t>
  </si>
  <si>
    <t>testMethodPotentialApplicability</t>
  </si>
  <si>
    <t>testMethodAccessibility</t>
  </si>
  <si>
    <t>testMethodFirstPhase</t>
  </si>
  <si>
    <t>testMethodMostSpecific</t>
  </si>
  <si>
    <t>testMethodSecondPhase</t>
  </si>
  <si>
    <t>testMethodThirdPhase</t>
  </si>
  <si>
    <t>testMethodStaticAccess</t>
  </si>
  <si>
    <t>testMethodGenericExplicit</t>
  </si>
  <si>
    <t>testGenericArrays</t>
  </si>
  <si>
    <t>testMethodTypeInference</t>
  </si>
  <si>
    <t>testMethodTypeInferenceVarargsZeroArity</t>
  </si>
  <si>
    <t>testMethodTypeInferenceVarargsAsFixedArity</t>
  </si>
  <si>
    <t>testJavaTypeDefinitionEquals</t>
  </si>
  <si>
    <t>testJavaTypeDefinitionGetSuperTypeSet</t>
  </si>
  <si>
    <t>testJavaTypeDefinitionGetErasedSuperTypeSet</t>
  </si>
  <si>
    <t>testMethodInitialBounds</t>
  </si>
  <si>
    <t>testMethodInitialConstraints</t>
  </si>
  <si>
    <t>testMethodParameterization</t>
  </si>
  <si>
    <t>testNestedAllocationExpressions</t>
  </si>
  <si>
    <t>testAnnotatedTypeParams</t>
  </si>
  <si>
    <t>testMethodOverrides</t>
  </si>
  <si>
    <t>testMethodWildcardParam</t>
  </si>
  <si>
    <t>testAbstractMethodReturnType</t>
  </si>
  <si>
    <t>testMethodOverloaded</t>
  </si>
  <si>
    <t>testVarArgsMethodUseCase</t>
  </si>
  <si>
    <t>testLocalGenericClass</t>
  </si>
  <si>
    <t>testMethodCallExpressionTypes</t>
  </si>
  <si>
    <t>testBoxingRules</t>
  </si>
  <si>
    <t>testLoadClassWithImportOnDemand</t>
  </si>
  <si>
    <t>testClassWithImportInnerOnDemand</t>
  </si>
  <si>
    <t>testCachingOfNotFoundClasses</t>
  </si>
  <si>
    <t>testCachingMemoryConsumption</t>
  </si>
  <si>
    <t>testEqualityReduceProperVsProper</t>
  </si>
  <si>
    <t>testEqualityReduceVariableVsNotPrimitive</t>
  </si>
  <si>
    <t>testEqualityReduceNotPrimitiveVsVariable</t>
  </si>
  <si>
    <t>testEqualityReduceSameErasure</t>
  </si>
  <si>
    <t>testEqualityReduceArrayTypes</t>
  </si>
  <si>
    <t>testSubtypeReduceProperVsProper</t>
  </si>
  <si>
    <t>testSubtypeReduceVariableVsAny</t>
  </si>
  <si>
    <t>testSubtypeReduceAnyVsVariable</t>
  </si>
  <si>
    <t>testLooseInvocationProperVsProper</t>
  </si>
  <si>
    <t>testLooseInvocationLeftBoxing</t>
  </si>
  <si>
    <t>testLooseInvocationRightBoxing</t>
  </si>
  <si>
    <t>testLooseInvocationAnythingElse</t>
  </si>
  <si>
    <t>testContainmentReduceTypeVsType</t>
  </si>
  <si>
    <t>testIncorporationEqualityAndEquality</t>
  </si>
  <si>
    <t>testIncorporationEqualityAndSubtypeLeftVariable</t>
  </si>
  <si>
    <t>testIncorporationEqualityAndSubtypeRightVariable</t>
  </si>
  <si>
    <t>testIncorporationSubtypeAndSubtype</t>
  </si>
  <si>
    <t>testErasedCandidateSet</t>
  </si>
  <si>
    <t>testMinimalErasedCandidateSet</t>
  </si>
  <si>
    <t>testLeastUpperBound</t>
  </si>
  <si>
    <t>testResolution</t>
  </si>
  <si>
    <t>arrayListWithoutBoundGenerics</t>
  </si>
  <si>
    <t>arrayListOfString</t>
  </si>
  <si>
    <t>array</t>
  </si>
  <si>
    <t>primitive</t>
  </si>
  <si>
    <t>testbook</t>
  </si>
  <si>
    <t>testLabelledBreakLockup</t>
  </si>
  <si>
    <t>test21</t>
  </si>
  <si>
    <t>test22</t>
  </si>
  <si>
    <t>test23</t>
  </si>
  <si>
    <t>test24</t>
  </si>
  <si>
    <t>test25</t>
  </si>
  <si>
    <t>test26</t>
  </si>
  <si>
    <t>test27</t>
  </si>
  <si>
    <t>test28</t>
  </si>
  <si>
    <t>test29</t>
  </si>
  <si>
    <t>test30</t>
  </si>
  <si>
    <t>testTwoUpdateDefs</t>
  </si>
  <si>
    <t>testAddPathToChild</t>
  </si>
  <si>
    <t>testRemovePathToChild</t>
  </si>
  <si>
    <t>testRemovePathWithNonChild</t>
  </si>
  <si>
    <t>testReverseParentPathsTo</t>
  </si>
  <si>
    <t>testSetType</t>
  </si>
  <si>
    <t>innerClassShouldWork</t>
  </si>
  <si>
    <t>testStatementExpressionParentChildLinks</t>
  </si>
  <si>
    <t>testVariableDeclaratorParentChildLinks</t>
  </si>
  <si>
    <t>testSwitchExpressionsBeforeJava13</t>
  </si>
  <si>
    <t>checkYieldConditionalBehaviourJ14</t>
  </si>
  <si>
    <t>testMultipleExceptionCatchingJava7</t>
  </si>
  <si>
    <t>testGitHubBug257NonExistingCast</t>
  </si>
  <si>
    <t>stringConcatentationShouldNotBeCast</t>
  </si>
  <si>
    <t>testParseEmptyStatements</t>
  </si>
  <si>
    <t>testIsAFallback</t>
  </si>
  <si>
    <t>testIsAFallbackEnum</t>
  </si>
  <si>
    <t>testIsAFallbackAnnotation</t>
  </si>
  <si>
    <t>testIsAFallbackAnnotationSimpleNameImport</t>
  </si>
  <si>
    <t>testAttributes</t>
  </si>
  <si>
    <t>testSharedAttributes</t>
  </si>
  <si>
    <t>testMessageArgs</t>
  </si>
  <si>
    <t>messageWithSingleBrace</t>
  </si>
  <si>
    <t>testRulesDysnfunctionalLog</t>
  </si>
  <si>
    <t>testReport</t>
  </si>
  <si>
    <t>testSourceCodeFilename</t>
  </si>
  <si>
    <t>testSourceCodeFile</t>
  </si>
  <si>
    <t>ruleExceptionShouldBeThrownIfNotIgnored</t>
  </si>
  <si>
    <t>shouldPreserveNewlines</t>
  </si>
  <si>
    <t>insertAtStartOfTheDocumentShouldSucceed</t>
  </si>
  <si>
    <t>removeTokenShouldSucceed</t>
  </si>
  <si>
    <t>insertAndRemoveTokensShouldSucceed</t>
  </si>
  <si>
    <t>insertAndDeleteVariousTokensShouldSucceed</t>
  </si>
  <si>
    <t>replaceATokenShouldSucceed</t>
  </si>
  <si>
    <t>replaceVariousTokensShouldSucceed</t>
  </si>
  <si>
    <t>insertDeleteAndReplaceVariousTokensShouldSucceed</t>
  </si>
  <si>
    <t>insertAtStartOfTheFileShouldSucceed</t>
  </si>
  <si>
    <t>testRegionsRoundTrip</t>
  </si>
  <si>
    <t>insertAtStartOfTheFileWithOffsetShouldSucceed</t>
  </si>
  <si>
    <t>shouldPreserveNewlinesLf</t>
  </si>
  <si>
    <t>shouldPreserveNewlinesCrLf</t>
  </si>
  <si>
    <t>testEditTwice</t>
  </si>
  <si>
    <t>testExternalModification</t>
  </si>
  <si>
    <t>testLineNumbersAfterEdition</t>
  </si>
  <si>
    <t>insertAtTheEndOfTheFileShouldSucceed</t>
  </si>
  <si>
    <t>testInsertTwiceInSamePlace</t>
  </si>
  <si>
    <t>testDrop</t>
  </si>
  <si>
    <t>testOverlapOnDeletedRegion</t>
  </si>
  <si>
    <t>testOverlapOnReplacedRegion</t>
  </si>
  <si>
    <t>textDocumentsShouldOnlyAllowASingleOpenEditor</t>
  </si>
  <si>
    <t>closedTextDocumentShouldntProduceNewEditors</t>
  </si>
  <si>
    <t>closedEditorShouldFail</t>
  </si>
  <si>
    <t>closedTextDocumentWithOpenEditorShouldThrow</t>
  </si>
  <si>
    <t>closedTextDocumentShouldntNeutralizeExistingEditor</t>
  </si>
  <si>
    <t>textReadOnlyDocumentCannotBeEdited</t>
  </si>
  <si>
    <t>testNegativeOffset</t>
  </si>
  <si>
    <t>testNegativeLength</t>
  </si>
  <si>
    <t>testNotAnEscape1Read3SplitInTheMiddleOfBackslashes</t>
  </si>
  <si>
    <t>testTagsIndicesIn</t>
  </si>
  <si>
    <t>testFindJavaDocTags</t>
  </si>
  <si>
    <t>testFindJavaDocTagsEmpty</t>
  </si>
  <si>
    <t>testFindJavaDocTagsNull</t>
  </si>
  <si>
    <t>testMultiLinesInSingleLine</t>
  </si>
  <si>
    <t>testMultiLinesInSingleLineSimple</t>
  </si>
  <si>
    <t>testMultiLinesInSingleLineFormal</t>
  </si>
  <si>
    <t>testMultiLinesInMultiLine</t>
  </si>
  <si>
    <t>testMultiLinesInMultiLineCrLf</t>
  </si>
  <si>
    <t>testMultiLinesInMultiLineFormal</t>
  </si>
  <si>
    <t>testMultiLinesInMultiLineFormalCrLf</t>
  </si>
  <si>
    <t>testMultiLinesInMultiLineNoAsteriskEmpty</t>
  </si>
  <si>
    <t>testTrim</t>
  </si>
  <si>
    <t>testTrimNotMiddle</t>
  </si>
  <si>
    <t>testTrimEmpty</t>
  </si>
  <si>
    <t>testTrimNull</t>
  </si>
  <si>
    <t>testWordAfter</t>
  </si>
  <si>
    <t>testWordAfterPositionOutOfBounds</t>
  </si>
  <si>
    <t>testWordAfterNull</t>
  </si>
  <si>
    <t>testJavadocAfter</t>
  </si>
  <si>
    <t>testJavadocAfterOutOfBounds</t>
  </si>
  <si>
    <t>testJavadocAfterNull</t>
  </si>
  <si>
    <t>testJavadoc</t>
  </si>
  <si>
    <t>testFilteredCommentIn</t>
  </si>
  <si>
    <t>testResourceFileCommands</t>
  </si>
  <si>
    <t>testProjectMirrorNotNull</t>
  </si>
  <si>
    <t>testHappyPathRemove</t>
  </si>
  <si>
    <t>testEmptyBadNext</t>
  </si>
  <si>
    <t>testEmptyBadRemove</t>
  </si>
  <si>
    <t>makeSureLombokIsNotOnClasspath</t>
  </si>
  <si>
    <t>testJavadocTagsAsChildren</t>
  </si>
  <si>
    <t>testConflictingPropertyTypesMapsToUnknown</t>
  </si>
  <si>
    <t>testWrongNodeTypeGeneric</t>
  </si>
  <si>
    <t>testWrongMetricKeyForTypeDeclaration</t>
  </si>
  <si>
    <t>testWrongMetricKeyForOperationDeclaration</t>
  </si>
  <si>
    <t>visibilityTest</t>
  </si>
  <si>
    <t>operationRoleTest</t>
  </si>
  <si>
    <t>testGetterDetection</t>
  </si>
  <si>
    <t>testSetterDetection</t>
  </si>
  <si>
    <t>isAbstractOperationTest</t>
  </si>
  <si>
    <t>isFinalFieldTest</t>
  </si>
  <si>
    <t>isStaticFieldTest</t>
  </si>
  <si>
    <t>operationPoolTest</t>
  </si>
  <si>
    <t>fieldPoolTest</t>
  </si>
  <si>
    <t>testNoRuleSetFileName</t>
  </si>
  <si>
    <t>testRuleSets</t>
  </si>
  <si>
    <t>testDefaultPropertyDescriptors</t>
  </si>
  <si>
    <t>testOverriddenPropertyDescriptors</t>
  </si>
  <si>
    <t>testEnvOverriddenPropertyDescriptors</t>
  </si>
  <si>
    <t>testEmptyPropertyDescriptors</t>
  </si>
  <si>
    <t>testSuppressMarkerEqualsHashCode</t>
  </si>
  <si>
    <t>testGetEnvironmentVariableName</t>
  </si>
  <si>
    <t>testGetEnvironmentVariableNameThrowsExceptionIfLanguageIsNull</t>
  </si>
  <si>
    <t>testMultiFileAnalysisDirectory</t>
  </si>
  <si>
    <t>textBlocks</t>
  </si>
  <si>
    <t>textBlocksBeforeJava14PreviewShouldFail</t>
  </si>
  <si>
    <t>stringEscapeSequenceShouldFail</t>
  </si>
  <si>
    <t>recordPoint</t>
  </si>
  <si>
    <t>recordPointBeforeJava14PreviewShouldFail</t>
  </si>
  <si>
    <t>recordCtorWithThrowsShouldFail</t>
  </si>
  <si>
    <t>innerRecords</t>
  </si>
  <si>
    <t>recordIsARestrictedIdentifier</t>
  </si>
  <si>
    <t>parseParsingExclusion</t>
  </si>
  <si>
    <t>testNestedClass</t>
  </si>
  <si>
    <t>testNestedClassArray</t>
  </si>
  <si>
    <t>testInvalidName</t>
  </si>
  <si>
    <t>testInvalidName2</t>
  </si>
  <si>
    <t>testNullName</t>
  </si>
  <si>
    <t>patternMatchingInstanceofBeforeJava15PreviewShouldFail</t>
  </si>
  <si>
    <t>recordPointBeforeJava15PreviewShouldFail</t>
  </si>
  <si>
    <t>recordMustNotExtend</t>
  </si>
  <si>
    <t>localRecords</t>
  </si>
  <si>
    <t>sealedClassBeforeJava15Preview</t>
  </si>
  <si>
    <t>sealedClass</t>
  </si>
  <si>
    <t>nonSealedClass</t>
  </si>
  <si>
    <t>sealedInterfaceBeforeJava15Preview</t>
  </si>
  <si>
    <t>sealedInterface</t>
  </si>
  <si>
    <t>localInterfaceAndEnums</t>
  </si>
  <si>
    <t>localInterfacesAndEnumsBeforeJava15PreviewShouldFail</t>
  </si>
  <si>
    <t>fileNameInNestedClass</t>
  </si>
  <si>
    <t>canCreateRuleViolation</t>
  </si>
  <si>
    <t>canCreateRuleViolationWithLineNumbers</t>
  </si>
  <si>
    <t>testCommonSuffix</t>
  </si>
  <si>
    <t>testCommonPrefix</t>
  </si>
  <si>
    <t>testRendererMultiple</t>
  </si>
  <si>
    <t>testSimpleDependency</t>
  </si>
  <si>
    <t>testDependencyUnion</t>
  </si>
  <si>
    <t>testTransitiveDependency</t>
  </si>
  <si>
    <t>testNoRecomputation</t>
  </si>
  <si>
    <t>testDependencyOrdering</t>
  </si>
  <si>
    <t>testVarargs</t>
  </si>
  <si>
    <t>testGetApplicatbleFilesWithIgnores</t>
  </si>
  <si>
    <t>testGetApplicatbleFilesWithDirAndIgnores</t>
  </si>
  <si>
    <t>testReadEofChars</t>
  </si>
  <si>
    <t>testFieldFinder</t>
  </si>
  <si>
    <t>testInnerOuterClass</t>
  </si>
  <si>
    <t>testNullPointerEnumValueOfOverloaded</t>
  </si>
  <si>
    <t>testEnumTypeParameter</t>
  </si>
  <si>
    <t>testVarArgsEmpty</t>
  </si>
  <si>
    <t>testTwoParams</t>
  </si>
  <si>
    <t>testNoParams</t>
  </si>
  <si>
    <t>testOneParamVararg</t>
  </si>
  <si>
    <t>testTwoParamsVararg</t>
  </si>
  <si>
    <t>testNestedClassesOfImportResolution</t>
  </si>
  <si>
    <t>testNestedClassesResolution</t>
  </si>
  <si>
    <t>testImportNestedClassesResolution</t>
  </si>
  <si>
    <t>testNestedClassDeclFound</t>
  </si>
  <si>
    <t>testbuz</t>
  </si>
  <si>
    <t>testMethodUsageSeen</t>
  </si>
  <si>
    <t>testMethodUsageSeenWithThis</t>
  </si>
  <si>
    <t>testMethodUsageSeen2</t>
  </si>
  <si>
    <t>testNestedClassFieldAndParameter</t>
  </si>
  <si>
    <t>testNullType</t>
  </si>
  <si>
    <t>testClassDeclAppears</t>
  </si>
  <si>
    <t>testEnums</t>
  </si>
  <si>
    <t>testSingleImage</t>
  </si>
  <si>
    <t>testSeveralImages</t>
  </si>
  <si>
    <t>testLocalVariableDeclarationFound</t>
  </si>
  <si>
    <t>testQualifiedNameOccurrence</t>
  </si>
  <si>
    <t>testPostfixUsageIsRecorded</t>
  </si>
  <si>
    <t>testLocalVariableTypesAreRecorded</t>
  </si>
  <si>
    <t>testMethodArgumentTypesAreRecorded</t>
  </si>
  <si>
    <t>testgetEnclosingMethodScope</t>
  </si>
  <si>
    <t>testMethodParameterOccurrenceRecorded</t>
  </si>
  <si>
    <t>testMethodName</t>
  </si>
  <si>
    <t>testThis</t>
  </si>
  <si>
    <t>testNameLinkage</t>
  </si>
  <si>
    <t>testSimpleVariableOccurrence</t>
  </si>
  <si>
    <t>testQualifiedOccurrence</t>
  </si>
  <si>
    <t>testIsSelfAssignment</t>
  </si>
  <si>
    <t>testEnumStaticUsage</t>
  </si>
  <si>
    <t>testJava8LambdaScoping</t>
  </si>
  <si>
    <t>testAnnonInnerClassScoping</t>
  </si>
  <si>
    <t>testSuperCtor</t>
  </si>
  <si>
    <t>testPackageIsEmptyString</t>
  </si>
  <si>
    <t>testPackageNameFound</t>
  </si>
  <si>
    <t>testNestedClasses</t>
  </si>
  <si>
    <t>testASTCompilationUnitPackage</t>
  </si>
  <si>
    <t>testAddImport</t>
  </si>
  <si>
    <t>testFindClassImplicitImport</t>
  </si>
  <si>
    <t>testFindClassSamePackage</t>
  </si>
  <si>
    <t>testFindClassExplicitImport</t>
  </si>
  <si>
    <t>testFindClassImportOnDemand</t>
  </si>
  <si>
    <t>testFindClassPrimitive</t>
  </si>
  <si>
    <t>testFindClassVoid</t>
  </si>
  <si>
    <t>testFindFullyQualified</t>
  </si>
  <si>
    <t>testPrimitiveTypeResolver</t>
  </si>
  <si>
    <t>testPrimitiveTypeResolverWithNull</t>
  </si>
  <si>
    <t>testVoidTypeResolver</t>
  </si>
  <si>
    <t>testVoidTypeResolverWithNull</t>
  </si>
  <si>
    <t>testExplicitImportResolver</t>
  </si>
  <si>
    <t>testExplicitImportResolverWithNull</t>
  </si>
  <si>
    <t>testExplicitImportResolverWithNullAndEmptyImports</t>
  </si>
  <si>
    <t>testImplicitImportResolverPass</t>
  </si>
  <si>
    <t>testImplicitImportResolverPassFail</t>
  </si>
  <si>
    <t>testImplicitImportResolverWithNull</t>
  </si>
  <si>
    <t>testCurrentPackageResolverPass</t>
  </si>
  <si>
    <t>testCurrentPackageResolverWithNull</t>
  </si>
  <si>
    <t>testImportOnDemandResolverPass</t>
  </si>
  <si>
    <t>testImportOnDemandResolverWithNull</t>
  </si>
  <si>
    <t>importOnDemandResolverFail1</t>
  </si>
  <si>
    <t>importOnDemandResolverFail2</t>
  </si>
  <si>
    <t>testFullyQualifiedNameResolverWithNull</t>
  </si>
  <si>
    <t>testExceptionBlkParam</t>
  </si>
  <si>
    <t>testArrayIsReferenceType</t>
  </si>
  <si>
    <t>testPrimitiveTypeImage</t>
  </si>
  <si>
    <t>testRefTypeImage</t>
  </si>
  <si>
    <t>testParamTypeImage</t>
  </si>
  <si>
    <t>testVarKeywordTypeImage</t>
  </si>
  <si>
    <t>testVarKeywordWithPrimitiveTypeImage</t>
  </si>
  <si>
    <t>testVarKeywordWithIndirectReference</t>
  </si>
  <si>
    <t>testLamdaParameterTypeImage</t>
  </si>
  <si>
    <t>sealedClassBeforeJava16Preview</t>
  </si>
  <si>
    <t>jdk9ModuleInfo</t>
  </si>
  <si>
    <t>testAnnotatable</t>
  </si>
  <si>
    <t>testXmlPropertiesAvailable</t>
  </si>
  <si>
    <t>testXmlDescriptorDump</t>
  </si>
  <si>
    <t>getDefaultLanguageTest</t>
  </si>
  <si>
    <t>testStringMultiPropertyDelimiter</t>
  </si>
  <si>
    <t>testOffsetFromLineColumn</t>
  </si>
  <si>
    <t>testCoordinateRoundTripWithEndOfLine</t>
  </si>
  <si>
    <t>testCoordinateRoundTripSimple</t>
  </si>
  <si>
    <t>linesWithTrimIndent</t>
  </si>
  <si>
    <t>longOffsetMasking</t>
  </si>
  <si>
    <t>testMultipleRulesets</t>
  </si>
  <si>
    <t>testMultipleDirectories</t>
  </si>
  <si>
    <t>patternMatchingForSwitchBeforeJava17Preview</t>
  </si>
  <si>
    <t>patternMatchingForSwitch</t>
  </si>
  <si>
    <t>enhancedTypeCheckingSwitch</t>
  </si>
  <si>
    <t>scopeOfPatternVariableDeclarations</t>
  </si>
  <si>
    <t>dealingWithNullBeforeJava17Preview</t>
  </si>
  <si>
    <t>dealingWithNull</t>
  </si>
  <si>
    <t>guardedAndParenthesizedPatternsBeforeJava17Preview</t>
  </si>
  <si>
    <t>guardedAndParenthesizedPatterns</t>
  </si>
  <si>
    <t>testParseJsp</t>
  </si>
  <si>
    <t>testParseTag</t>
  </si>
  <si>
    <t>testParseWrong</t>
  </si>
  <si>
    <t>methodAnnotatedWithJunit5TestAnnotationTest</t>
  </si>
  <si>
    <t>methodAnnotatedWithJunit5ParameterizedTestAnnotationTest</t>
  </si>
  <si>
    <t>methodNotAnnotatedWithJunit5Annotation</t>
  </si>
  <si>
    <t>useEcmaScript</t>
  </si>
  <si>
    <t>minimalArgs</t>
  </si>
  <si>
    <t>minimumPriority</t>
  </si>
  <si>
    <t>usingDebug</t>
  </si>
  <si>
    <t>usingDebugLongOption</t>
  </si>
  <si>
    <t>changeJavaVersion</t>
  </si>
  <si>
    <t>exitStatusNoViolations</t>
  </si>
  <si>
    <t>exitStatusWithViolations</t>
  </si>
  <si>
    <t>exitStatusWithViolationsAndWithoutFailOnViolations</t>
  </si>
  <si>
    <t>exitStatusWithViolationsAndWithoutFailOnViolationsLongOption</t>
  </si>
  <si>
    <t>testWrongRuleset</t>
  </si>
  <si>
    <t>testWrongRulesetWithRulename</t>
  </si>
  <si>
    <t>testWrongRulename</t>
  </si>
  <si>
    <t>testAnnotOnMethod</t>
  </si>
  <si>
    <t>testReflectionOfAnnotDefault</t>
  </si>
  <si>
    <t>testReflectionOfEnumDefault</t>
  </si>
  <si>
    <t>testAnnotOnClass</t>
  </si>
  <si>
    <t>testAnnotOnType</t>
  </si>
  <si>
    <t>commented out tests</t>
  </si>
  <si>
    <t>Missing other removed tests</t>
  </si>
  <si>
    <t>Missing a removed test</t>
  </si>
  <si>
    <t>Missing some deleted tests</t>
  </si>
  <si>
    <t>not a test??</t>
  </si>
  <si>
    <t>Missing some tests</t>
  </si>
  <si>
    <t>missing deleted tests</t>
  </si>
  <si>
    <t>present in the validated sheet</t>
  </si>
  <si>
    <t>Missing tests. Although tests with the same name have been added in a different file, they are not the same tests</t>
  </si>
  <si>
    <t>Difficult to determine in this class</t>
  </si>
  <si>
    <t>already existed functionality in another class</t>
  </si>
  <si>
    <t>commented</t>
  </si>
  <si>
    <t>empty test( commented body)</t>
  </si>
  <si>
    <t>refactored ; grouped in test suite</t>
  </si>
  <si>
    <t>removed with source code</t>
  </si>
  <si>
    <t>refactored and grouped in test suite</t>
  </si>
  <si>
    <t xml:space="preserve">moved in same file
</t>
  </si>
  <si>
    <t>modified and grouped in same test suite</t>
  </si>
  <si>
    <t>redundant??</t>
  </si>
  <si>
    <t>refactored along with class tested</t>
  </si>
  <si>
    <t>refactored and combined in one test</t>
  </si>
  <si>
    <t>refactored; fixes a bug</t>
  </si>
  <si>
    <t>refactored along with source code</t>
  </si>
  <si>
    <t>renamed and modified( body contains
previously commented code)</t>
  </si>
  <si>
    <t>renamed and modified to do testing in
a better way</t>
  </si>
  <si>
    <t>no longer exists tested functionality</t>
  </si>
  <si>
    <t>was commented out</t>
  </si>
  <si>
    <t>redundant ?- functionality is tested</t>
  </si>
  <si>
    <t>not significant- body was commented</t>
  </si>
  <si>
    <t>redundant ?- functionality is tested
; check tool more missing tests</t>
  </si>
  <si>
    <t>ignored test?</t>
  </si>
  <si>
    <t>refactoring</t>
  </si>
  <si>
    <t>not significant; empty body</t>
  </si>
  <si>
    <t>refactor; modified and merged into one</t>
  </si>
  <si>
    <t>refactor; tests new functionality</t>
  </si>
  <si>
    <t>functionality still tested</t>
  </si>
  <si>
    <t>renamed and refactor</t>
  </si>
  <si>
    <t>not signigicant; method body is commented</t>
  </si>
  <si>
    <t>functionality tested?</t>
  </si>
  <si>
    <t>new test added to test functionality</t>
  </si>
  <si>
    <t>was ignored test</t>
  </si>
  <si>
    <t>duplicate commit??</t>
  </si>
  <si>
    <t>was previously ignored</t>
  </si>
  <si>
    <t>renamed; empty test</t>
  </si>
  <si>
    <t>check tool for missing tests
hint: filename "*tester.java"</t>
  </si>
  <si>
    <t>ignored test</t>
  </si>
  <si>
    <t>replaced with tests in kotlin;
START OF KOTLIN</t>
  </si>
  <si>
    <t>replaced with tests in kotlin</t>
  </si>
  <si>
    <t>refactored; back to previous code</t>
  </si>
  <si>
    <t>replaced with kotlin?</t>
  </si>
  <si>
    <t>redundant; replaced in kotlin</t>
  </si>
  <si>
    <t>refactored in new file</t>
  </si>
  <si>
    <t>looks like a refactor</t>
  </si>
  <si>
    <t>refactored and merged</t>
  </si>
  <si>
    <t>refactored;</t>
  </si>
  <si>
    <t>most of lines are removed and not in 
merged test</t>
  </si>
  <si>
    <t>most lines are deleted</t>
  </si>
  <si>
    <t>replaced with kotlin</t>
  </si>
  <si>
    <t>redundant; kotlin</t>
  </si>
  <si>
    <t>refactor; fixes merge conflict</t>
  </si>
  <si>
    <t>03/18/2009 19:39:42</t>
  </si>
  <si>
    <t>04/08/2009 22:27:35</t>
  </si>
  <si>
    <t>04/09/2009 20:43:54</t>
  </si>
  <si>
    <t>04/09/2009 21:50:46</t>
  </si>
  <si>
    <t>04/10/2009 00:36:44</t>
  </si>
  <si>
    <t>04/13/2009 12:41:53</t>
  </si>
  <si>
    <t>04/13/2009 17:47:21</t>
  </si>
  <si>
    <t>04/13/2009 20:12:46</t>
  </si>
  <si>
    <t>04/14/2009 14:23:31</t>
  </si>
  <si>
    <t>04/14/2009 17:40:19</t>
  </si>
  <si>
    <t>04/20/2009 03:14:51</t>
  </si>
  <si>
    <t>04/20/2009 10:11:34</t>
  </si>
  <si>
    <t>04/20/2009 10:13:48</t>
  </si>
  <si>
    <t>04/24/2009 00:43:24</t>
  </si>
  <si>
    <t>04/24/2009 03:24:58</t>
  </si>
  <si>
    <t>04/30/2009 13:18:19</t>
  </si>
  <si>
    <t>05/11/2009 15:30:54</t>
  </si>
  <si>
    <t>05/12/2009 18:10:30</t>
  </si>
  <si>
    <t>06/08/2009 13:03:20</t>
  </si>
  <si>
    <t>06/18/2009 16:58:23</t>
  </si>
  <si>
    <t>06/19/2009 19:04:58</t>
  </si>
  <si>
    <t>06/23/2009 12:26:37</t>
  </si>
  <si>
    <t>07/08/2009 12:57:40</t>
  </si>
  <si>
    <t>07/17/2009 13:24:12</t>
  </si>
  <si>
    <t>07/21/2009 18:03:18</t>
  </si>
  <si>
    <t>09/16/2009 18:07:27</t>
  </si>
  <si>
    <t>12/17/2009 14:32:31</t>
  </si>
  <si>
    <t>01/06/2010 14:32:15</t>
  </si>
  <si>
    <t>01/08/2010 09:07:17</t>
  </si>
  <si>
    <t>01/08/2010 18:24:13</t>
  </si>
  <si>
    <t>01/14/2010 16:23:49</t>
  </si>
  <si>
    <t>03/11/2010 04:38:19</t>
  </si>
  <si>
    <t>03/29/2010 13:22:06</t>
  </si>
  <si>
    <t>03/30/2010 18:42:13</t>
  </si>
  <si>
    <t>03/30/2010 18:59:37</t>
  </si>
  <si>
    <t>03/31/2010 18:18:43</t>
  </si>
  <si>
    <t>04/06/2010 13:32:35</t>
  </si>
  <si>
    <t>04/09/2010 19:52:01</t>
  </si>
  <si>
    <t>04/10/2010 14:56:32</t>
  </si>
  <si>
    <t>04/15/2010 04:56:00</t>
  </si>
  <si>
    <t>05/13/2010 23:42:54</t>
  </si>
  <si>
    <t>05/14/2010 16:01:41</t>
  </si>
  <si>
    <t>06/15/2010 11:25:01</t>
  </si>
  <si>
    <t>06/29/2010 12:28:08</t>
  </si>
  <si>
    <t>07/08/2010 18:23:23</t>
  </si>
  <si>
    <t>07/09/2010 14:37:45</t>
  </si>
  <si>
    <t>07/21/2010 18:32:42</t>
  </si>
  <si>
    <t>07/27/2010 16:59:23</t>
  </si>
  <si>
    <t>08/08/2010 19:42:48</t>
  </si>
  <si>
    <t>08/10/2010 16:40:46</t>
  </si>
  <si>
    <t>08/19/2010 14:49:16</t>
  </si>
  <si>
    <t>08/20/2010 13:50:06</t>
  </si>
  <si>
    <t>09/27/2010 14:31:11</t>
  </si>
  <si>
    <t>10/06/2010 11:47:51</t>
  </si>
  <si>
    <t>10/12/2010 14:14:44</t>
  </si>
  <si>
    <t>10/15/2010 17:54:52</t>
  </si>
  <si>
    <t>10/18/2010 20:25:47</t>
  </si>
  <si>
    <t>10/19/2010 15:32:02</t>
  </si>
  <si>
    <t>10/20/2010 17:04:28</t>
  </si>
  <si>
    <t>11/03/2010 20:21:34</t>
  </si>
  <si>
    <t>11/04/2010 17:04:41</t>
  </si>
  <si>
    <t>11/05/2010 13:06:06</t>
  </si>
  <si>
    <t>11/11/2010 17:34:27</t>
  </si>
  <si>
    <t>11/12/2010 16:15:27</t>
  </si>
  <si>
    <t>11/15/2010 13:39:38</t>
  </si>
  <si>
    <t>11/24/2010 19:47:25</t>
  </si>
  <si>
    <t>12/02/2010 05:37:20</t>
  </si>
  <si>
    <t>12/06/2010 19:07:47</t>
  </si>
  <si>
    <t>12/06/2010 19:54:15</t>
  </si>
  <si>
    <t>12/06/2010 20:07:41</t>
  </si>
  <si>
    <t>12/06/2010 20:11:37</t>
  </si>
  <si>
    <t>12/07/2010 20:32:02</t>
  </si>
  <si>
    <t>12/10/2010 10:59:35</t>
  </si>
  <si>
    <t>12/13/2010 14:03:35</t>
  </si>
  <si>
    <t>12/13/2010 14:16:25</t>
  </si>
  <si>
    <t>12/13/2010 14:52:34</t>
  </si>
  <si>
    <t>12/14/2010 16:28:07</t>
  </si>
  <si>
    <t>12/20/2010 14:13:03</t>
  </si>
  <si>
    <t>12/28/2010 15:47:28</t>
  </si>
  <si>
    <t>01/07/2011 17:01:10</t>
  </si>
  <si>
    <t>01/07/2011 17:07:37</t>
  </si>
  <si>
    <t>01/07/2011 17:19:18</t>
  </si>
  <si>
    <t>01/10/2011 18:40:53</t>
  </si>
  <si>
    <t>01/11/2011 13:26:39</t>
  </si>
  <si>
    <t>01/18/2011 20:25:01</t>
  </si>
  <si>
    <t>01/21/2011 13:09:15</t>
  </si>
  <si>
    <t>01/25/2011 17:59:18</t>
  </si>
  <si>
    <t>01/31/2011 14:29:01</t>
  </si>
  <si>
    <t>01/31/2011 18:20:50</t>
  </si>
  <si>
    <t>01/31/2011 19:59:16</t>
  </si>
  <si>
    <t>02/01/2011 17:42:45</t>
  </si>
  <si>
    <t>02/01/2011 18:43:55</t>
  </si>
  <si>
    <t>02/02/2011 17:54:01</t>
  </si>
  <si>
    <t>02/02/2011 20:25:00</t>
  </si>
  <si>
    <t>02/03/2011 18:57:20</t>
  </si>
  <si>
    <t>02/04/2011 15:42:09</t>
  </si>
  <si>
    <t>02/07/2011 14:04:03</t>
  </si>
  <si>
    <t>02/08/2011 18:53:33</t>
  </si>
  <si>
    <t>02/15/2011 21:31:15</t>
  </si>
  <si>
    <t>02/16/2011 15:12:48</t>
  </si>
  <si>
    <t>02/16/2011 18:05:11</t>
  </si>
  <si>
    <t>02/28/2011 18:12:46</t>
  </si>
  <si>
    <t>03/08/2011 18:43:55</t>
  </si>
  <si>
    <t>03/14/2011 17:13:28</t>
  </si>
  <si>
    <t>03/17/2011 18:23:30</t>
  </si>
  <si>
    <t>03/17/2011 18:54:17</t>
  </si>
  <si>
    <t>03/17/2011 19:12:07</t>
  </si>
  <si>
    <t>03/28/2011 15:49:21</t>
  </si>
  <si>
    <t>03/28/2011 15:56:07</t>
  </si>
  <si>
    <t>03/28/2011 17:40:46</t>
  </si>
  <si>
    <t>03/28/2011 18:49:26</t>
  </si>
  <si>
    <t>04/04/2011 16:20:24</t>
  </si>
  <si>
    <t>04/04/2011 16:41:49</t>
  </si>
  <si>
    <t>04/04/2011 18:20:06</t>
  </si>
  <si>
    <t>04/28/2011 14:15:07</t>
  </si>
  <si>
    <t>05/04/2011 10:16:03</t>
  </si>
  <si>
    <t>05/09/2011 19:08:52</t>
  </si>
  <si>
    <t>06/02/2011 13:27:36</t>
  </si>
  <si>
    <t>06/06/2011 14:20:20</t>
  </si>
  <si>
    <t>06/10/2011 13:53:49</t>
  </si>
  <si>
    <t>06/20/2011 02:37:53</t>
  </si>
  <si>
    <t>06/29/2011 09:50:28</t>
  </si>
  <si>
    <t>07/01/2011 04:29:13</t>
  </si>
  <si>
    <t>07/15/2011 12:55:49</t>
  </si>
  <si>
    <t>07/19/2011 03:52:16</t>
  </si>
  <si>
    <t>07/20/2011 20:25:38</t>
  </si>
  <si>
    <t>08/12/2011 15:50:18</t>
  </si>
  <si>
    <t>08/15/2011 12:09:29</t>
  </si>
  <si>
    <t>09/27/2011 16:53:14</t>
  </si>
  <si>
    <t>10/05/2011 13:18:27</t>
  </si>
  <si>
    <t>10/06/2011 15:16:13</t>
  </si>
  <si>
    <t>10/06/2011 17:31:48</t>
  </si>
  <si>
    <t>10/07/2011 15:33:32</t>
  </si>
  <si>
    <t>10/09/2011 22:53:59</t>
  </si>
  <si>
    <t>10/10/2011 17:29:47</t>
  </si>
  <si>
    <t>10/25/2011 17:46:48</t>
  </si>
  <si>
    <t>10/26/2011 12:46:39</t>
  </si>
  <si>
    <t>11/07/2011 13:52:01</t>
  </si>
  <si>
    <t>11/15/2011 20:03:26</t>
  </si>
  <si>
    <t>11/15/2011 20:34:53</t>
  </si>
  <si>
    <t>12/08/2011 23:23:30</t>
  </si>
  <si>
    <t>12/15/2011 18:21:25</t>
  </si>
  <si>
    <t>12/16/2011 15:46:24</t>
  </si>
  <si>
    <t>12/16/2011 18:00:39</t>
  </si>
  <si>
    <t>01/03/2012 16:41:42</t>
  </si>
  <si>
    <t>01/06/2012 20:02:29</t>
  </si>
  <si>
    <t>01/13/2012 10:38:03</t>
  </si>
  <si>
    <t>01/18/2012 19:05:41</t>
  </si>
  <si>
    <t>01/19/2012 18:09:14</t>
  </si>
  <si>
    <t>01/31/2012 15:01:31</t>
  </si>
  <si>
    <t>02/03/2012 17:50:17</t>
  </si>
  <si>
    <t>02/13/2012 13:55:59</t>
  </si>
  <si>
    <t>02/15/2012 17:04:34</t>
  </si>
  <si>
    <t>02/16/2012 17:00:37</t>
  </si>
  <si>
    <t>02/21/2012 06:26:22</t>
  </si>
  <si>
    <t>03/06/2012 16:21:31</t>
  </si>
  <si>
    <t>03/12/2012 19:36:49</t>
  </si>
  <si>
    <t>03/28/2012 20:41:03</t>
  </si>
  <si>
    <t>04/04/2012 18:43:59</t>
  </si>
  <si>
    <t>04/19/2012 21:02:41</t>
  </si>
  <si>
    <t>04/20/2012 14:44:09</t>
  </si>
  <si>
    <t>04/23/2012 22:42:11</t>
  </si>
  <si>
    <t>04/26/2012 17:22:24</t>
  </si>
  <si>
    <t>04/27/2012 11:01:05</t>
  </si>
  <si>
    <t>05/03/2012 21:17:53</t>
  </si>
  <si>
    <t>05/04/2012 16:28:58</t>
  </si>
  <si>
    <t>05/07/2012 13:04:42</t>
  </si>
  <si>
    <t>05/08/2012 16:11:27</t>
  </si>
  <si>
    <t>05/21/2012 19:48:01</t>
  </si>
  <si>
    <t>06/01/2012 18:16:11</t>
  </si>
  <si>
    <t>06/04/2012 15:08:27</t>
  </si>
  <si>
    <t>06/05/2012 13:54:28</t>
  </si>
  <si>
    <t>06/06/2012 17:54:37</t>
  </si>
  <si>
    <t>06/20/2012 16:14:06</t>
  </si>
  <si>
    <t>06/20/2012 17:55:30</t>
  </si>
  <si>
    <t>06/29/2012 16:07:57</t>
  </si>
  <si>
    <t>07/02/2012 20:25:05</t>
  </si>
  <si>
    <t>07/03/2012 19:17:11</t>
  </si>
  <si>
    <t>08/14/2012 14:24:25</t>
  </si>
  <si>
    <t>08/14/2012 18:52:32</t>
  </si>
  <si>
    <t>08/17/2012 10:11:07</t>
  </si>
  <si>
    <t>09/13/2012 15:45:39</t>
  </si>
  <si>
    <t>09/23/2012 17:10:30</t>
  </si>
  <si>
    <t>10/01/2012 20:07:39</t>
  </si>
  <si>
    <t>10/02/2012 21:38:36</t>
  </si>
  <si>
    <t>10/03/2012 13:39:54</t>
  </si>
  <si>
    <t>10/03/2012 15:14:25</t>
  </si>
  <si>
    <t>10/04/2012 15:28:45</t>
  </si>
  <si>
    <t>10/05/2012 13:07:07</t>
  </si>
  <si>
    <t>10/10/2012 12:57:56</t>
  </si>
  <si>
    <t>10/10/2012 13:09:34</t>
  </si>
  <si>
    <t>10/10/2012 16:22:38</t>
  </si>
  <si>
    <t>10/10/2012 18:52:21</t>
  </si>
  <si>
    <t>10/17/2012 13:38:13</t>
  </si>
  <si>
    <t>10/18/2012 16:21:15</t>
  </si>
  <si>
    <t>10/23/2012 19:51:58</t>
  </si>
  <si>
    <t>11/01/2012 16:55:06</t>
  </si>
  <si>
    <t>11/01/2012 18:25:44</t>
  </si>
  <si>
    <t>11/26/2012 16:52:01</t>
  </si>
  <si>
    <t>12/03/2012 13:55:21</t>
  </si>
  <si>
    <t>12/10/2012 13:44:40</t>
  </si>
  <si>
    <t>12/12/2012 13:08:55</t>
  </si>
  <si>
    <t>01/03/2013 05:19:53</t>
  </si>
  <si>
    <t>01/03/2013 05:36:37</t>
  </si>
  <si>
    <t>01/09/2013 20:39:53</t>
  </si>
  <si>
    <t>01/11/2013 15:01:04</t>
  </si>
  <si>
    <t>01/24/2013 16:33:05</t>
  </si>
  <si>
    <t>02/13/2013 13:02:37</t>
  </si>
  <si>
    <t>02/13/2013 18:34:51</t>
  </si>
  <si>
    <t>02/14/2013 20:08:26</t>
  </si>
  <si>
    <t>02/28/2013 19:04:10</t>
  </si>
  <si>
    <t>03/13/2013 16:57:40</t>
  </si>
  <si>
    <t>03/20/2013 12:59:25</t>
  </si>
  <si>
    <t>05/20/2013 20:04:52</t>
  </si>
  <si>
    <t>05/21/2013 11:37:17</t>
  </si>
  <si>
    <t>05/29/2013 17:43:06</t>
  </si>
  <si>
    <t>06/25/2013 17:24:32</t>
  </si>
  <si>
    <t>07/24/2013 17:58:40</t>
  </si>
  <si>
    <t>08/06/2013 17:29:31</t>
  </si>
  <si>
    <t>08/19/2013 20:11:52</t>
  </si>
  <si>
    <t>08/21/2013 00:29:22</t>
  </si>
  <si>
    <t>08/27/2013 15:26:27</t>
  </si>
  <si>
    <t>09/06/2013 20:44:27</t>
  </si>
  <si>
    <t>09/16/2013 14:00:48</t>
  </si>
  <si>
    <t>09/17/2013 16:14:41</t>
  </si>
  <si>
    <t>09/17/2013 17:17:34</t>
  </si>
  <si>
    <t>09/17/2013 17:53:19</t>
  </si>
  <si>
    <t>09/17/2013 23:27:30</t>
  </si>
  <si>
    <t>09/17/2013 23:27:45</t>
  </si>
  <si>
    <t>09/27/2013 15:51:19</t>
  </si>
  <si>
    <t>09/30/2013 11:36:48</t>
  </si>
  <si>
    <t>10/02/2013 19:49:00</t>
  </si>
  <si>
    <t>10/03/2013 14:58:16</t>
  </si>
  <si>
    <t>10/11/2013 13:29:33</t>
  </si>
  <si>
    <t>10/14/2013 11:25:32</t>
  </si>
  <si>
    <t>10/22/2013 15:23:52</t>
  </si>
  <si>
    <t>10/25/2013 20:05:57</t>
  </si>
  <si>
    <t>10/31/2013 18:06:54</t>
  </si>
  <si>
    <t>11/06/2013 12:00:47</t>
  </si>
  <si>
    <t>11/08/2013 13:06:47</t>
  </si>
  <si>
    <t>11/08/2013 17:57:27</t>
  </si>
  <si>
    <t>11/20/2013 19:20:48</t>
  </si>
  <si>
    <t>01/06/2014 17:44:24</t>
  </si>
  <si>
    <t>01/16/2014 18:26:48</t>
  </si>
  <si>
    <t>01/24/2014 15:11:15</t>
  </si>
  <si>
    <t>02/06/2014 20:49:40</t>
  </si>
  <si>
    <t>02/12/2014 17:12:15</t>
  </si>
  <si>
    <t>02/14/2014 14:45:05</t>
  </si>
  <si>
    <t>02/21/2014 14:52:19</t>
  </si>
  <si>
    <t>03/07/2014 17:02:53</t>
  </si>
  <si>
    <t>03/21/2014 19:27:08</t>
  </si>
  <si>
    <t>03/25/2014 17:51:15</t>
  </si>
  <si>
    <t>04/23/2014 17:33:00</t>
  </si>
  <si>
    <t>04/30/2014 17:10:51</t>
  </si>
  <si>
    <t>05/05/2014 19:24:00</t>
  </si>
  <si>
    <t>05/07/2014 12:08:41</t>
  </si>
  <si>
    <t>05/07/2014 17:38:16</t>
  </si>
  <si>
    <t>05/13/2014 18:52:12</t>
  </si>
  <si>
    <t>05/13/2014 19:31:33</t>
  </si>
  <si>
    <t>05/17/2014 13:34:49</t>
  </si>
  <si>
    <t>05/23/2014 15:54:36</t>
  </si>
  <si>
    <t>05/23/2014 17:25:48</t>
  </si>
  <si>
    <t>05/28/2014 03:36:51</t>
  </si>
  <si>
    <t>06/03/2014 15:25:04</t>
  </si>
  <si>
    <t>06/05/2014 14:56:55</t>
  </si>
  <si>
    <t>06/13/2014 21:18:53</t>
  </si>
  <si>
    <t>06/12/2014 18:42:41</t>
  </si>
  <si>
    <t>06/18/2014 11:41:32</t>
  </si>
  <si>
    <t>06/19/2014 17:13:08</t>
  </si>
  <si>
    <t>06/27/2014 18:05:53</t>
  </si>
  <si>
    <t>07/01/2014 08:09:15</t>
  </si>
  <si>
    <t>07/03/2014 01:33:22</t>
  </si>
  <si>
    <t>07/22/2014 07:47:16</t>
  </si>
  <si>
    <t>07/24/2014 04:59:23</t>
  </si>
  <si>
    <t>07/24/2014 11:19:47</t>
  </si>
  <si>
    <t>07/24/2014 12:43:45</t>
  </si>
  <si>
    <t>08/07/2014 03:58:54</t>
  </si>
  <si>
    <t>08/07/2014 19:01:02</t>
  </si>
  <si>
    <t>08/21/2014 04:29:36</t>
  </si>
  <si>
    <t>08/21/2014 18:09:08</t>
  </si>
  <si>
    <t>08/21/2014 18:19:34</t>
  </si>
  <si>
    <t>08/21/2014 18:52:38</t>
  </si>
  <si>
    <t>08/25/2014 19:39:54</t>
  </si>
  <si>
    <t>08/28/2014 13:24:45</t>
  </si>
  <si>
    <t>08/28/2014 15:47:13</t>
  </si>
  <si>
    <t>09/03/2014 18:00:06</t>
  </si>
  <si>
    <t>09/05/2014 16:41:24</t>
  </si>
  <si>
    <t>09/17/2014 13:21:57</t>
  </si>
  <si>
    <t>09/22/2014 21:12:46</t>
  </si>
  <si>
    <t>09/23/2014 16:05:28</t>
  </si>
  <si>
    <t>09/23/2014 18:18:23</t>
  </si>
  <si>
    <t>09/24/2014 11:15:20</t>
  </si>
  <si>
    <t>09/25/2014 14:10:02</t>
  </si>
  <si>
    <t>09/25/2014 14:24:16</t>
  </si>
  <si>
    <t>09/29/2014 14:52:32</t>
  </si>
  <si>
    <t>09/30/2014 13:29:14</t>
  </si>
  <si>
    <t>10/02/2014 05:43:05</t>
  </si>
  <si>
    <t>10/08/2014 18:28:44</t>
  </si>
  <si>
    <t>10/22/2014 20:09:22</t>
  </si>
  <si>
    <t>10/23/2014 19:04:21</t>
  </si>
  <si>
    <t>10/27/2014 12:22:25</t>
  </si>
  <si>
    <t>10/28/2014 14:22:47</t>
  </si>
  <si>
    <t>10/30/2014 07:00:37</t>
  </si>
  <si>
    <t>11/04/2014 19:04:33</t>
  </si>
  <si>
    <t>11/05/2014 12:25:31</t>
  </si>
  <si>
    <t>11/20/2014 12:32:51</t>
  </si>
  <si>
    <t>11/20/2014 14:09:14</t>
  </si>
  <si>
    <t>11/24/2014 18:23:54</t>
  </si>
  <si>
    <t>11/25/2014 11:40:41</t>
  </si>
  <si>
    <t>12/08/2014 17:48:58</t>
  </si>
  <si>
    <t>12/11/2014 12:23:45</t>
  </si>
  <si>
    <t>12/15/2014 12:50:01</t>
  </si>
  <si>
    <t>12/16/2014 17:35:13</t>
  </si>
  <si>
    <t>12/17/2014 14:46:03</t>
  </si>
  <si>
    <t>01/09/2015 05:07:45</t>
  </si>
  <si>
    <t>02/05/2015 16:46:39</t>
  </si>
  <si>
    <t>02/06/2015 11:36:38</t>
  </si>
  <si>
    <t>02/11/2015 21:41:55</t>
  </si>
  <si>
    <t>02/25/2015 19:10:29</t>
  </si>
  <si>
    <t>02/26/2015 13:48:31</t>
  </si>
  <si>
    <t>02/26/2015 14:40:34</t>
  </si>
  <si>
    <t>03/03/2015 13:20:06</t>
  </si>
  <si>
    <t>03/09/2015 14:33:24</t>
  </si>
  <si>
    <t>03/19/2015 17:31:56</t>
  </si>
  <si>
    <t>03/26/2015 20:04:16</t>
  </si>
  <si>
    <t>03/30/2015 12:51:01</t>
  </si>
  <si>
    <t>04/09/2015 09:07:22</t>
  </si>
  <si>
    <t>04/20/2015 09:47:55</t>
  </si>
  <si>
    <t>04/23/2015 15:25:42</t>
  </si>
  <si>
    <t>04/28/2015 17:44:30</t>
  </si>
  <si>
    <t>04/30/2015 17:53:21</t>
  </si>
  <si>
    <t>05/01/2015 13:07:48</t>
  </si>
  <si>
    <t>05/04/2015 18:18:31</t>
  </si>
  <si>
    <t>05/06/2015 04:54:30</t>
  </si>
  <si>
    <t>05/07/2015 17:48:24</t>
  </si>
  <si>
    <t>05/08/2015 15:42:57</t>
  </si>
  <si>
    <t>05/13/2015 17:40:44</t>
  </si>
  <si>
    <t>05/14/2015 17:39:59</t>
  </si>
  <si>
    <t>05/18/2015 16:23:21</t>
  </si>
  <si>
    <t>05/19/2015 12:06:48</t>
  </si>
  <si>
    <t>06/03/2015 20:12:09</t>
  </si>
  <si>
    <t>06/04/2015 14:55:13</t>
  </si>
  <si>
    <t>06/08/2015 17:36:30</t>
  </si>
  <si>
    <t>06/09/2015 14:46:40</t>
  </si>
  <si>
    <t>06/14/2015 17:03:43</t>
  </si>
  <si>
    <t>06/15/2015 13:42:33</t>
  </si>
  <si>
    <t>06/17/2015 04:56:34</t>
  </si>
  <si>
    <t>06/17/2015 15:08:54</t>
  </si>
  <si>
    <t>06/17/2015 16:08:40</t>
  </si>
  <si>
    <t>06/17/2015 18:38:56</t>
  </si>
  <si>
    <t>06/19/2015 08:25:39</t>
  </si>
  <si>
    <t>06/19/2015 12:44:28</t>
  </si>
  <si>
    <t>06/19/2015 19:40:59</t>
  </si>
  <si>
    <t>06/22/2015 16:47:48</t>
  </si>
  <si>
    <t>06/23/2015 15:46:49</t>
  </si>
  <si>
    <t>06/24/2015 18:30:05</t>
  </si>
  <si>
    <t>06/24/2015 22:18:06</t>
  </si>
  <si>
    <t>06/25/2015 17:38:49</t>
  </si>
  <si>
    <t>06/26/2015 12:18:23</t>
  </si>
  <si>
    <t>06/29/2015 18:24:47</t>
  </si>
  <si>
    <t>07/01/2015 18:53:41</t>
  </si>
  <si>
    <t>07/06/2015 15:42:25</t>
  </si>
  <si>
    <t>07/07/2015 11:43:29</t>
  </si>
  <si>
    <t>07/07/2015 16:22:06</t>
  </si>
  <si>
    <t>07/08/2015 01:24:02</t>
  </si>
  <si>
    <t>07/08/2015 16:18:19</t>
  </si>
  <si>
    <t>07/09/2015 11:13:09</t>
  </si>
  <si>
    <t>07/09/2015 13:21:50</t>
  </si>
  <si>
    <t>07/10/2015 14:02:50</t>
  </si>
  <si>
    <t>07/13/2015 20:01:41</t>
  </si>
  <si>
    <t>07/20/2015 16:42:25</t>
  </si>
  <si>
    <t>07/21/2015 18:55:05</t>
  </si>
  <si>
    <t>07/22/2015 07:45:18</t>
  </si>
  <si>
    <t>07/27/2015 07:45:19</t>
  </si>
  <si>
    <t>07/27/2015 12:05:59</t>
  </si>
  <si>
    <t>07/27/2015 12:06:13</t>
  </si>
  <si>
    <t>07/27/2015 13:15:16</t>
  </si>
  <si>
    <t>07/29/2015 15:33:30</t>
  </si>
  <si>
    <t>08/05/2015 13:39:09</t>
  </si>
  <si>
    <t>08/06/2015 14:58:38</t>
  </si>
  <si>
    <t>08/11/2015 11:29:40</t>
  </si>
  <si>
    <t>08/11/2015 11:54:48</t>
  </si>
  <si>
    <t>08/13/2015 15:27:29</t>
  </si>
  <si>
    <t>09/08/2015 15:19:08</t>
  </si>
  <si>
    <t>09/08/2015 20:11:23</t>
  </si>
  <si>
    <t>09/16/2015 16:27:10</t>
  </si>
  <si>
    <t>09/16/2015 16:28:37</t>
  </si>
  <si>
    <t>09/25/2015 13:22:17</t>
  </si>
  <si>
    <t>09/28/2015 13:08:41</t>
  </si>
  <si>
    <t>10/01/2015 13:33:52</t>
  </si>
  <si>
    <t>10/09/2015 14:33:25</t>
  </si>
  <si>
    <t>10/16/2015 17:34:21</t>
  </si>
  <si>
    <t>10/19/2015 18:01:03</t>
  </si>
  <si>
    <t>10/30/2015 18:38:16</t>
  </si>
  <si>
    <t>11/10/2015 16:47:47</t>
  </si>
  <si>
    <t>11/11/2015 15:32:51</t>
  </si>
  <si>
    <t>11/11/2015 18:24:45</t>
  </si>
  <si>
    <t>11/16/2015 21:00:49</t>
  </si>
  <si>
    <t>12/02/2015 20:33:42</t>
  </si>
  <si>
    <t>12/03/2015 12:55:57</t>
  </si>
  <si>
    <t>12/14/2015 17:03:03</t>
  </si>
  <si>
    <t>12/14/2015 23:31:24</t>
  </si>
  <si>
    <t>01/11/2016 10:29:13</t>
  </si>
  <si>
    <t>01/11/2016 14:51:26</t>
  </si>
  <si>
    <t>01/13/2016 08:27:01</t>
  </si>
  <si>
    <t>01/13/2016 09:11:26</t>
  </si>
  <si>
    <t>01/13/2016 18:00:34</t>
  </si>
  <si>
    <t>01/13/2016 18:02:22</t>
  </si>
  <si>
    <t>01/13/2016 20:19:45</t>
  </si>
  <si>
    <t>01/14/2016 20:38:28</t>
  </si>
  <si>
    <t>01/23/2016 23:27:08</t>
  </si>
  <si>
    <t>01/29/2016 16:37:48</t>
  </si>
  <si>
    <t>02/01/2016 14:23:35</t>
  </si>
  <si>
    <t>02/02/2016 17:07:29</t>
  </si>
  <si>
    <t>02/02/2016 17:25:14</t>
  </si>
  <si>
    <t>02/05/2016 18:55:34</t>
  </si>
  <si>
    <t>02/10/2016 16:32:53</t>
  </si>
  <si>
    <t>02/11/2016 13:40:26</t>
  </si>
  <si>
    <t>02/17/2016 19:42:31</t>
  </si>
  <si>
    <t>02/18/2016 07:54:29</t>
  </si>
  <si>
    <t>02/18/2016 13:36:43</t>
  </si>
  <si>
    <t>02/18/2016 14:36:02</t>
  </si>
  <si>
    <t>02/19/2016 17:20:17</t>
  </si>
  <si>
    <t>02/22/2016 07:04:05</t>
  </si>
  <si>
    <t>02/22/2016 16:54:41</t>
  </si>
  <si>
    <t>02/25/2016 17:42:53</t>
  </si>
  <si>
    <t>02/25/2016 18:50:33</t>
  </si>
  <si>
    <t>02/26/2016 02:56:21</t>
  </si>
  <si>
    <t>03/01/2016 15:16:45</t>
  </si>
  <si>
    <t>03/04/2016 19:04:18</t>
  </si>
  <si>
    <t>03/08/2016 11:54:20</t>
  </si>
  <si>
    <t>03/09/2016 10:22:46</t>
  </si>
  <si>
    <t>03/09/2016 12:38:08</t>
  </si>
  <si>
    <t>03/11/2016 07:14:38</t>
  </si>
  <si>
    <t>03/11/2016 13:54:40</t>
  </si>
  <si>
    <t>03/14/2016 00:32:35</t>
  </si>
  <si>
    <t>03/14/2016 01:16:18</t>
  </si>
  <si>
    <t>03/14/2016 11:46:59</t>
  </si>
  <si>
    <t>03/15/2016 08:31:17</t>
  </si>
  <si>
    <t>03/15/2016 13:26:33</t>
  </si>
  <si>
    <t>03/15/2016 15:48:13</t>
  </si>
  <si>
    <t>03/16/2016 20:26:41</t>
  </si>
  <si>
    <t>03/17/2016 12:29:22</t>
  </si>
  <si>
    <t>03/18/2016 16:24:16</t>
  </si>
  <si>
    <t>03/22/2016 09:06:32</t>
  </si>
  <si>
    <t>03/22/2016 14:58:42</t>
  </si>
  <si>
    <t>03/22/2016 17:00:32</t>
  </si>
  <si>
    <t>03/23/2016 12:54:01</t>
  </si>
  <si>
    <t>03/24/2016 08:22:41</t>
  </si>
  <si>
    <t>03/29/2016 16:40:47</t>
  </si>
  <si>
    <t>03/29/2016 21:55:46</t>
  </si>
  <si>
    <t>04/04/2016 19:15:43</t>
  </si>
  <si>
    <t>04/05/2016 13:34:54</t>
  </si>
  <si>
    <t>04/06/2016 13:48:30</t>
  </si>
  <si>
    <t>04/06/2016 15:22:39</t>
  </si>
  <si>
    <t>04/06/2016 20:16:55</t>
  </si>
  <si>
    <t>04/08/2016 15:11:37</t>
  </si>
  <si>
    <t>04/10/2016 22:23:58</t>
  </si>
  <si>
    <t>04/13/2016 15:10:40</t>
  </si>
  <si>
    <t>04/14/2016 17:38:14</t>
  </si>
  <si>
    <t>04/15/2016 12:30:22</t>
  </si>
  <si>
    <t>04/20/2016 17:12:38</t>
  </si>
  <si>
    <t>04/21/2016 14:07:37</t>
  </si>
  <si>
    <t>04/21/2016 14:22:43</t>
  </si>
  <si>
    <t>04/22/2016 08:09:48</t>
  </si>
  <si>
    <t>04/22/2016 17:07:46</t>
  </si>
  <si>
    <t>04/28/2016 11:46:27</t>
  </si>
  <si>
    <t>04/28/2016 20:21:13</t>
  </si>
  <si>
    <t>05/02/2016 19:49:40</t>
  </si>
  <si>
    <t>05/03/2016 19:31:59</t>
  </si>
  <si>
    <t>05/03/2016 19:34:49</t>
  </si>
  <si>
    <t>05/03/2016 20:08:36</t>
  </si>
  <si>
    <t>05/03/2016 20:11:23</t>
  </si>
  <si>
    <t>05/04/2016 11:04:14</t>
  </si>
  <si>
    <t>05/04/2016 17:55:52</t>
  </si>
  <si>
    <t>05/09/2016 19:16:50</t>
  </si>
  <si>
    <t>05/10/2016 19:09:38</t>
  </si>
  <si>
    <t>05/12/2016 11:12:01</t>
  </si>
  <si>
    <t>05/12/2016 11:50:46</t>
  </si>
  <si>
    <t>05/12/2016 12:02:44</t>
  </si>
  <si>
    <t>05/13/2016 03:45:23</t>
  </si>
  <si>
    <t>05/16/2016 16:48:04</t>
  </si>
  <si>
    <t>05/17/2016 14:04:40</t>
  </si>
  <si>
    <t>05/19/2016 14:34:08</t>
  </si>
  <si>
    <t>05/20/2016 10:16:44</t>
  </si>
  <si>
    <t>05/25/2016 11:55:04</t>
  </si>
  <si>
    <t>05/25/2016 12:11:38</t>
  </si>
  <si>
    <t>05/25/2016 20:31:15</t>
  </si>
  <si>
    <t>05/27/2016 11:53:51</t>
  </si>
  <si>
    <t>05/27/2016 15:09:13</t>
  </si>
  <si>
    <t>05/28/2016 13:39:05</t>
  </si>
  <si>
    <t>06/01/2016 17:58:10</t>
  </si>
  <si>
    <t>06/01/2016 20:15:35</t>
  </si>
  <si>
    <t>06/02/2016 13:48:52</t>
  </si>
  <si>
    <t>06/03/2016 13:30:00</t>
  </si>
  <si>
    <t>06/03/2016 15:19:36</t>
  </si>
  <si>
    <t>06/06/2016 18:35:37</t>
  </si>
  <si>
    <t>06/08/2016 15:13:25</t>
  </si>
  <si>
    <t>06/10/2016 20:09:54</t>
  </si>
  <si>
    <t>06/13/2016 17:45:28</t>
  </si>
  <si>
    <t>06/14/2016 18:52:01</t>
  </si>
  <si>
    <t>06/17/2016 21:12:22</t>
  </si>
  <si>
    <t>06/20/2016 07:22:01</t>
  </si>
  <si>
    <t>06/20/2016 13:06:29</t>
  </si>
  <si>
    <t>06/20/2016 20:00:08</t>
  </si>
  <si>
    <t>06/20/2016 20:01:18</t>
  </si>
  <si>
    <t>06/20/2016 20:10:37</t>
  </si>
  <si>
    <t>06/22/2016 12:20:07</t>
  </si>
  <si>
    <t>06/22/2016 18:40:21</t>
  </si>
  <si>
    <t>06/23/2016 17:05:45</t>
  </si>
  <si>
    <t>06/24/2016 12:39:30</t>
  </si>
  <si>
    <t>06/24/2016 16:20:41</t>
  </si>
  <si>
    <t>06/27/2016 16:56:04</t>
  </si>
  <si>
    <t>06/27/2016 18:12:09</t>
  </si>
  <si>
    <t>06/28/2016 11:58:32</t>
  </si>
  <si>
    <t>07/08/2016 16:36:55</t>
  </si>
  <si>
    <t>07/18/2016 18:26:09</t>
  </si>
  <si>
    <t>07/27/2016 16:13:11</t>
  </si>
  <si>
    <t>07/28/2016 16:38:12</t>
  </si>
  <si>
    <t>07/29/2016 08:43:47</t>
  </si>
  <si>
    <t>08/01/2016 13:03:07</t>
  </si>
  <si>
    <t>08/01/2016 13:12:17</t>
  </si>
  <si>
    <t>08/01/2016 14:51:16</t>
  </si>
  <si>
    <t>08/02/2016 03:34:29</t>
  </si>
  <si>
    <t>08/02/2016 10:48:36</t>
  </si>
  <si>
    <t>08/03/2016 12:22:30</t>
  </si>
  <si>
    <t>08/03/2016 13:39:08</t>
  </si>
  <si>
    <t>08/03/2016 15:40:30</t>
  </si>
  <si>
    <t>08/03/2016 16:32:11</t>
  </si>
  <si>
    <t>08/05/2016 15:21:25</t>
  </si>
  <si>
    <t>08/09/2016 12:58:04</t>
  </si>
  <si>
    <t>08/10/2016 10:30:46</t>
  </si>
  <si>
    <t>08/10/2016 11:48:56</t>
  </si>
  <si>
    <t>08/10/2016 19:55:45</t>
  </si>
  <si>
    <t>08/11/2016 08:25:19</t>
  </si>
  <si>
    <t>08/11/2016 08:29:35</t>
  </si>
  <si>
    <t>08/12/2016 11:17:40</t>
  </si>
  <si>
    <t>08/12/2016 15:59:04</t>
  </si>
  <si>
    <t>08/15/2016 15:04:01</t>
  </si>
  <si>
    <t>08/17/2016 17:55:03</t>
  </si>
  <si>
    <t>08/19/2016 11:55:26</t>
  </si>
  <si>
    <t>08/19/2016 12:29:48</t>
  </si>
  <si>
    <t>08/19/2016 14:59:36</t>
  </si>
  <si>
    <t>08/19/2016 16:57:30</t>
  </si>
  <si>
    <t>08/22/2016 08:57:55</t>
  </si>
  <si>
    <t>08/22/2016 10:55:13</t>
  </si>
  <si>
    <t>08/22/2016 13:59:37</t>
  </si>
  <si>
    <t>08/23/2016 16:51:14</t>
  </si>
  <si>
    <t>08/23/2016 16:54:40</t>
  </si>
  <si>
    <t>08/24/2016 15:37:13</t>
  </si>
  <si>
    <t>08/24/2016 17:51:49</t>
  </si>
  <si>
    <t>08/25/2016 17:40:18</t>
  </si>
  <si>
    <t>08/25/2016 18:27:39</t>
  </si>
  <si>
    <t>08/26/2016 12:12:42</t>
  </si>
  <si>
    <t>08/26/2016 14:28:33</t>
  </si>
  <si>
    <t>08/26/2016 15:42:31</t>
  </si>
  <si>
    <t>08/29/2016 13:49:31</t>
  </si>
  <si>
    <t>08/29/2016 15:34:22</t>
  </si>
  <si>
    <t>09/07/2016 17:58:11</t>
  </si>
  <si>
    <t>09/12/2016 21:34:28</t>
  </si>
  <si>
    <t>09/14/2016 16:29:57</t>
  </si>
  <si>
    <t>09/14/2016 17:25:06</t>
  </si>
  <si>
    <t>09/19/2016 02:57:28</t>
  </si>
  <si>
    <t>09/26/2016 08:22:52</t>
  </si>
  <si>
    <t>09/27/2016 12:54:07</t>
  </si>
  <si>
    <t>09/28/2016 14:02:16</t>
  </si>
  <si>
    <t>10/04/2016 01:47:05</t>
  </si>
  <si>
    <t>10/04/2016 13:17:02</t>
  </si>
  <si>
    <t>10/06/2016 17:44:55</t>
  </si>
  <si>
    <t>10/06/2016 17:51:59</t>
  </si>
  <si>
    <t>10/20/2016 16:56:43</t>
  </si>
  <si>
    <t>10/21/2016 17:15:12</t>
  </si>
  <si>
    <t>10/24/2016 08:36:25</t>
  </si>
  <si>
    <t>10/25/2016 19:26:00</t>
  </si>
  <si>
    <t>10/28/2016 13:48:50</t>
  </si>
  <si>
    <t>10/28/2016 13:58:34</t>
  </si>
  <si>
    <t>10/28/2016 18:52:08</t>
  </si>
  <si>
    <t>11/08/2016 18:56:45</t>
  </si>
  <si>
    <t>11/16/2016 08:16:37</t>
  </si>
  <si>
    <t>11/16/2016 18:39:23</t>
  </si>
  <si>
    <t>11/20/2016 20:03:16</t>
  </si>
  <si>
    <t>11/30/2016 04:10:36</t>
  </si>
  <si>
    <t>12/01/2016 14:49:44</t>
  </si>
  <si>
    <t>12/02/2016 18:09:19</t>
  </si>
  <si>
    <t>12/05/2016 12:42:24</t>
  </si>
  <si>
    <t>12/06/2016 08:42:04</t>
  </si>
  <si>
    <t>12/06/2016 18:14:26</t>
  </si>
  <si>
    <t>12/08/2016 06:08:10</t>
  </si>
  <si>
    <t>12/12/2016 09:53:55</t>
  </si>
  <si>
    <t>12/15/2016 15:22:51</t>
  </si>
  <si>
    <t>12/19/2016 13:39:04</t>
  </si>
  <si>
    <t>12/29/2016 12:26:32</t>
  </si>
  <si>
    <t>01/04/2017 14:01:25</t>
  </si>
  <si>
    <t>01/05/2017 08:30:34</t>
  </si>
  <si>
    <t>01/05/2017 20:18:26</t>
  </si>
  <si>
    <t>01/06/2017 10:43:12</t>
  </si>
  <si>
    <t>01/06/2017 15:21:46</t>
  </si>
  <si>
    <t>01/09/2017 10:03:42</t>
  </si>
  <si>
    <t>01/09/2017 10:18:27</t>
  </si>
  <si>
    <t>01/10/2017 08:00:10</t>
  </si>
  <si>
    <t>01/11/2017 10:05:45</t>
  </si>
  <si>
    <t>01/12/2017 17:21:48</t>
  </si>
  <si>
    <t>01/16/2017 11:03:36</t>
  </si>
  <si>
    <t>01/18/2017 17:06:58</t>
  </si>
  <si>
    <t>01/19/2017 15:37:35</t>
  </si>
  <si>
    <t>01/19/2017 19:13:13</t>
  </si>
  <si>
    <t>01/23/2017 07:25:08</t>
  </si>
  <si>
    <t>01/23/2017 18:09:19</t>
  </si>
  <si>
    <t>01/23/2017 21:05:43</t>
  </si>
  <si>
    <t>01/24/2017 10:50:08</t>
  </si>
  <si>
    <t>01/26/2017 21:37:53</t>
  </si>
  <si>
    <t>02/02/2017 08:03:25</t>
  </si>
  <si>
    <t>02/06/2017 05:49:44</t>
  </si>
  <si>
    <t>02/06/2017 16:37:42</t>
  </si>
  <si>
    <t>02/08/2017 16:08:41</t>
  </si>
  <si>
    <t>02/10/2017 11:53:02</t>
  </si>
  <si>
    <t>02/10/2017 14:57:02</t>
  </si>
  <si>
    <t>02/13/2017 18:53:14</t>
  </si>
  <si>
    <t>02/13/2017 23:35:06</t>
  </si>
  <si>
    <t>02/14/2017 16:16:19</t>
  </si>
  <si>
    <t>02/15/2017 05:28:18</t>
  </si>
  <si>
    <t>02/15/2017 17:16:22</t>
  </si>
  <si>
    <t>02/15/2017 18:44:48</t>
  </si>
  <si>
    <t>02/15/2017 19:41:37</t>
  </si>
  <si>
    <t>02/16/2017 22:34:34</t>
  </si>
  <si>
    <t>02/17/2017 17:32:30</t>
  </si>
  <si>
    <t>02/18/2017 17:06:34</t>
  </si>
  <si>
    <t>02/21/2017 07:36:57</t>
  </si>
  <si>
    <t>02/21/2017 21:52:24</t>
  </si>
  <si>
    <t>02/23/2017 22:19:44</t>
  </si>
  <si>
    <t>02/24/2017 15:11:53</t>
  </si>
  <si>
    <t>03/07/2017 09:31:37</t>
  </si>
  <si>
    <t>03/07/2017 20:21:25</t>
  </si>
  <si>
    <t>03/08/2017 10:58:08</t>
  </si>
  <si>
    <t>03/08/2017 20:05:40</t>
  </si>
  <si>
    <t>03/10/2017 15:13:52</t>
  </si>
  <si>
    <t>03/13/2017 14:24:52</t>
  </si>
  <si>
    <t>03/14/2017 17:41:04</t>
  </si>
  <si>
    <t>03/16/2017 09:22:15</t>
  </si>
  <si>
    <t>03/20/2017 17:47:19</t>
  </si>
  <si>
    <t>03/20/2017 17:51:34</t>
  </si>
  <si>
    <t>03/21/2017 14:29:01</t>
  </si>
  <si>
    <t>03/22/2017 19:02:32</t>
  </si>
  <si>
    <t>03/23/2017 16:34:11</t>
  </si>
  <si>
    <t>03/23/2017 18:17:13</t>
  </si>
  <si>
    <t>03/23/2017 21:43:06</t>
  </si>
  <si>
    <t>03/24/2017 09:16:20</t>
  </si>
  <si>
    <t>03/24/2017 15:44:10</t>
  </si>
  <si>
    <t>03/27/2017 21:53:34</t>
  </si>
  <si>
    <t>03/28/2017 11:37:22</t>
  </si>
  <si>
    <t>03/28/2017 16:38:32</t>
  </si>
  <si>
    <t>03/28/2017 20:20:56</t>
  </si>
  <si>
    <t>03/29/2017 09:09:08</t>
  </si>
  <si>
    <t>03/29/2017 12:02:27</t>
  </si>
  <si>
    <t>03/29/2017 15:32:04</t>
  </si>
  <si>
    <t>03/30/2017 11:52:53</t>
  </si>
  <si>
    <t>03/30/2017 17:41:27</t>
  </si>
  <si>
    <t>03/31/2017 14:59:44</t>
  </si>
  <si>
    <t>03/31/2017 15:38:07</t>
  </si>
  <si>
    <t>03/31/2017 15:38:17</t>
  </si>
  <si>
    <t>03/31/2017 15:38:26</t>
  </si>
  <si>
    <t>03/31/2017 15:38:36</t>
  </si>
  <si>
    <t>04/01/2017 15:14:15</t>
  </si>
  <si>
    <t>04/03/2017 15:39:27</t>
  </si>
  <si>
    <t>04/03/2017 18:12:44</t>
  </si>
  <si>
    <t>04/03/2017 18:59:52</t>
  </si>
  <si>
    <t>04/03/2017 20:46:45</t>
  </si>
  <si>
    <t>04/03/2017 22:29:41</t>
  </si>
  <si>
    <t>04/04/2017 16:36:17</t>
  </si>
  <si>
    <t>04/04/2017 17:44:41</t>
  </si>
  <si>
    <t>04/04/2017 17:53:50</t>
  </si>
  <si>
    <t>04/06/2017 20:01:30</t>
  </si>
  <si>
    <t>04/07/2017 22:37:52</t>
  </si>
  <si>
    <t>04/10/2017 16:17:34</t>
  </si>
  <si>
    <t>04/10/2017 17:40:36</t>
  </si>
  <si>
    <t>04/10/2017 23:14:54</t>
  </si>
  <si>
    <t>04/11/2017 14:19:36</t>
  </si>
  <si>
    <t>04/12/2017 13:10:49</t>
  </si>
  <si>
    <t>04/12/2017 16:33:05</t>
  </si>
  <si>
    <t>04/12/2017 19:35:50</t>
  </si>
  <si>
    <t>04/12/2017 19:44:55</t>
  </si>
  <si>
    <t>04/12/2017 19:44:56</t>
  </si>
  <si>
    <t>04/12/2017 20:56:49</t>
  </si>
  <si>
    <t>04/14/2017 11:39:07</t>
  </si>
  <si>
    <t>04/14/2017 16:46:31</t>
  </si>
  <si>
    <t>04/16/2017 17:06:27</t>
  </si>
  <si>
    <t>04/18/2017 13:15:43</t>
  </si>
  <si>
    <t>04/19/2017 17:39:10</t>
  </si>
  <si>
    <t>04/19/2017 19:26:01</t>
  </si>
  <si>
    <t>04/20/2017 01:07:54</t>
  </si>
  <si>
    <t>04/21/2017 07:53:35</t>
  </si>
  <si>
    <t>04/21/2017 08:43:42</t>
  </si>
  <si>
    <t>04/24/2017 09:24:09</t>
  </si>
  <si>
    <t>04/24/2017 16:40:29</t>
  </si>
  <si>
    <t>04/24/2017 17:56:31</t>
  </si>
  <si>
    <t>04/24/2017 18:07:33</t>
  </si>
  <si>
    <t>04/24/2017 19:20:58</t>
  </si>
  <si>
    <t>04/24/2017 19:22:11</t>
  </si>
  <si>
    <t>04/25/2017 07:48:39</t>
  </si>
  <si>
    <t>04/25/2017 18:33:29</t>
  </si>
  <si>
    <t>04/25/2017 18:53:33</t>
  </si>
  <si>
    <t>04/26/2017 11:57:45</t>
  </si>
  <si>
    <t>04/26/2017 17:09:11</t>
  </si>
  <si>
    <t>04/26/2017 19:11:18</t>
  </si>
  <si>
    <t>04/28/2017 16:02:35</t>
  </si>
  <si>
    <t>04/28/2017 16:53:24</t>
  </si>
  <si>
    <t>05/02/2017 20:05:46</t>
  </si>
  <si>
    <t>05/05/2017 11:04:44</t>
  </si>
  <si>
    <t>05/08/2017 16:19:19</t>
  </si>
  <si>
    <t>05/08/2017 18:50:41</t>
  </si>
  <si>
    <t>05/11/2017 16:08:56</t>
  </si>
  <si>
    <t>05/11/2017 20:47:29</t>
  </si>
  <si>
    <t>05/15/2017 06:30:05</t>
  </si>
  <si>
    <t>05/15/2017 15:44:30</t>
  </si>
  <si>
    <t>05/24/2017 13:42:05</t>
  </si>
  <si>
    <t>05/25/2017 15:55:50</t>
  </si>
  <si>
    <t>06/01/2017 10:39:09</t>
  </si>
  <si>
    <t>06/01/2017 10:50:32</t>
  </si>
  <si>
    <t>06/01/2017 13:28:23</t>
  </si>
  <si>
    <t>06/01/2017 19:41:00</t>
  </si>
  <si>
    <t>06/02/2017 13:06:13</t>
  </si>
  <si>
    <t>06/06/2017 16:08:29</t>
  </si>
  <si>
    <t>06/06/2017 17:45:31</t>
  </si>
  <si>
    <t>06/12/2017 09:08:02</t>
  </si>
  <si>
    <t>06/12/2017 14:02:18</t>
  </si>
  <si>
    <t>06/16/2017 15:32:08</t>
  </si>
  <si>
    <t>06/19/2017 14:44:46</t>
  </si>
  <si>
    <t>06/19/2017 18:18:15</t>
  </si>
  <si>
    <t>06/23/2017 14:54:05</t>
  </si>
  <si>
    <t>06/26/2017 11:14:49</t>
  </si>
  <si>
    <t>06/27/2017 08:57:11</t>
  </si>
  <si>
    <t>06/27/2017 13:18:27</t>
  </si>
  <si>
    <t>06/29/2017 13:32:25</t>
  </si>
  <si>
    <t>06/29/2017 19:10:08</t>
  </si>
  <si>
    <t>07/10/2017 13:09:17</t>
  </si>
  <si>
    <t>07/13/2017 18:19:44</t>
  </si>
  <si>
    <t>07/13/2017 20:31:22</t>
  </si>
  <si>
    <t>07/17/2017 18:49:53</t>
  </si>
  <si>
    <t>07/20/2017 01:38:05</t>
  </si>
  <si>
    <t>07/21/2017 13:11:38</t>
  </si>
  <si>
    <t>07/24/2017 12:21:32</t>
  </si>
  <si>
    <t>07/24/2017 12:21:45</t>
  </si>
  <si>
    <t>07/24/2017 12:21:59</t>
  </si>
  <si>
    <t>07/28/2017 16:58:28</t>
  </si>
  <si>
    <t>08/02/2017 17:46:59</t>
  </si>
  <si>
    <t>08/03/2017 15:46:39</t>
  </si>
  <si>
    <t>08/08/2017 13:04:13</t>
  </si>
  <si>
    <t>08/09/2017 14:50:25</t>
  </si>
  <si>
    <t>08/11/2017 12:35:38</t>
  </si>
  <si>
    <t>08/16/2017 18:35:02</t>
  </si>
  <si>
    <t>08/21/2017 18:55:22</t>
  </si>
  <si>
    <t>08/21/2017 20:00:44</t>
  </si>
  <si>
    <t>08/23/2017 15:45:43</t>
  </si>
  <si>
    <t>08/30/2017 09:05:11</t>
  </si>
  <si>
    <t>09/11/2017 18:49:45</t>
  </si>
  <si>
    <t>09/14/2017 13:59:23</t>
  </si>
  <si>
    <t>09/14/2017 14:01:45</t>
  </si>
  <si>
    <t>09/15/2017 09:51:24</t>
  </si>
  <si>
    <t>09/15/2017 12:46:38</t>
  </si>
  <si>
    <t>09/22/2017 10:24:37</t>
  </si>
  <si>
    <t>10/03/2017 05:01:21</t>
  </si>
  <si>
    <t>10/04/2017 14:37:59</t>
  </si>
  <si>
    <t>10/07/2017 13:31:37</t>
  </si>
  <si>
    <t>10/16/2017 18:19:37</t>
  </si>
  <si>
    <t>10/23/2017 16:36:26</t>
  </si>
  <si>
    <t>10/26/2017 17:49:19</t>
  </si>
  <si>
    <t>10/30/2017 16:06:33</t>
  </si>
  <si>
    <t>10/31/2017 12:07:04</t>
  </si>
  <si>
    <t>11/08/2017 13:18:18</t>
  </si>
  <si>
    <t>11/09/2017 23:50:58</t>
  </si>
  <si>
    <t>11/10/2017 12:14:06</t>
  </si>
  <si>
    <t>11/10/2017 13:45:14</t>
  </si>
  <si>
    <t>11/13/2017 14:09:35</t>
  </si>
  <si>
    <t>11/20/2017 17:04:57</t>
  </si>
  <si>
    <t>11/22/2017 18:50:30</t>
  </si>
  <si>
    <t>11/29/2017 12:53:22</t>
  </si>
  <si>
    <t>11/29/2017 16:58:21</t>
  </si>
  <si>
    <t>12/01/2017 19:51:30</t>
  </si>
  <si>
    <t>12/04/2017 13:48:48</t>
  </si>
  <si>
    <t>12/04/2017 17:42:49</t>
  </si>
  <si>
    <t>12/04/2017 17:49:26</t>
  </si>
  <si>
    <t>12/04/2017 17:54:14</t>
  </si>
  <si>
    <t>12/05/2017 13:11:56</t>
  </si>
  <si>
    <t>12/06/2017 00:57:07</t>
  </si>
  <si>
    <t>12/07/2017 09:40:59</t>
  </si>
  <si>
    <t>12/08/2017 15:34:25</t>
  </si>
  <si>
    <t>12/11/2017 18:50:31</t>
  </si>
  <si>
    <t>12/11/2017 18:51:25</t>
  </si>
  <si>
    <t>12/11/2017 19:30:03</t>
  </si>
  <si>
    <t>12/11/2017 19:31:58</t>
  </si>
  <si>
    <t>12/12/2017 09:28:47</t>
  </si>
  <si>
    <t>12/12/2017 13:31:03</t>
  </si>
  <si>
    <t>12/13/2017 15:03:04</t>
  </si>
  <si>
    <t>12/16/2017 20:10:04</t>
  </si>
  <si>
    <t>12/18/2017 13:31:30</t>
  </si>
  <si>
    <t>12/18/2017 14:55:17</t>
  </si>
  <si>
    <t>12/18/2017 18:09:31</t>
  </si>
  <si>
    <t>12/19/2017 20:47:32</t>
  </si>
  <si>
    <t>12/20/2017 17:02:58</t>
  </si>
  <si>
    <t>12/20/2017 23:48:37</t>
  </si>
  <si>
    <t>12/22/2017 16:26:50</t>
  </si>
  <si>
    <t>01/02/2018 17:01:43</t>
  </si>
  <si>
    <t>01/03/2018 13:22:26</t>
  </si>
  <si>
    <t>01/05/2018 18:58:42</t>
  </si>
  <si>
    <t>01/08/2018 11:06:27</t>
  </si>
  <si>
    <t>01/08/2018 13:03:02</t>
  </si>
  <si>
    <t>01/11/2018 02:52:59</t>
  </si>
  <si>
    <t>01/17/2018 12:54:09</t>
  </si>
  <si>
    <t>01/17/2018 13:17:00</t>
  </si>
  <si>
    <t>01/17/2018 16:47:49</t>
  </si>
  <si>
    <t>01/17/2018 18:29:50</t>
  </si>
  <si>
    <t>01/22/2018 03:53:52</t>
  </si>
  <si>
    <t>01/23/2018 05:01:01</t>
  </si>
  <si>
    <t>01/23/2018 10:51:33</t>
  </si>
  <si>
    <t>01/23/2018 13:24:47</t>
  </si>
  <si>
    <t>01/23/2018 16:08:25</t>
  </si>
  <si>
    <t>01/23/2018 20:26:47</t>
  </si>
  <si>
    <t>01/23/2018 23:10:47</t>
  </si>
  <si>
    <t>01/24/2018 01:43:18</t>
  </si>
  <si>
    <t>01/24/2018 07:15:12</t>
  </si>
  <si>
    <t>01/24/2018 12:04:27</t>
  </si>
  <si>
    <t>01/24/2018 18:51:28</t>
  </si>
  <si>
    <t>01/24/2018 19:00:44</t>
  </si>
  <si>
    <t>01/29/2018 19:35:14</t>
  </si>
  <si>
    <t>01/30/2018 15:41:51</t>
  </si>
  <si>
    <t>02/05/2018 14:40:43</t>
  </si>
  <si>
    <t>02/08/2018 12:25:43</t>
  </si>
  <si>
    <t>02/09/2018 11:00:53</t>
  </si>
  <si>
    <t>02/12/2018 09:26:20</t>
  </si>
  <si>
    <t>02/12/2018 12:11:53</t>
  </si>
  <si>
    <t>02/12/2018 19:24:57</t>
  </si>
  <si>
    <t>02/13/2018 10:24:45</t>
  </si>
  <si>
    <t>02/13/2018 15:47:37</t>
  </si>
  <si>
    <t>02/14/2018 10:09:24</t>
  </si>
  <si>
    <t>02/14/2018 13:30:28</t>
  </si>
  <si>
    <t>02/15/2018 15:43:59</t>
  </si>
  <si>
    <t>02/15/2018 16:08:27</t>
  </si>
  <si>
    <t>02/16/2018 12:29:07</t>
  </si>
  <si>
    <t>02/19/2018 23:45:15</t>
  </si>
  <si>
    <t>02/20/2018 11:17:42</t>
  </si>
  <si>
    <t>02/21/2018 11:57:34</t>
  </si>
  <si>
    <t>02/21/2018 13:42:00</t>
  </si>
  <si>
    <t>02/21/2018 13:47:00</t>
  </si>
  <si>
    <t>02/21/2018 14:37:45</t>
  </si>
  <si>
    <t>02/23/2018 09:49:27</t>
  </si>
  <si>
    <t>02/27/2018 15:21:49</t>
  </si>
  <si>
    <t>02/28/2018 05:29:43</t>
  </si>
  <si>
    <t>03/02/2018 12:55:35</t>
  </si>
  <si>
    <t>03/02/2018 20:46:18</t>
  </si>
  <si>
    <t>03/06/2018 19:01:43</t>
  </si>
  <si>
    <t>03/07/2018 20:39:11</t>
  </si>
  <si>
    <t>03/09/2018 14:06:44</t>
  </si>
  <si>
    <t>03/13/2018 03:45:38</t>
  </si>
  <si>
    <t>03/13/2018 12:57:30</t>
  </si>
  <si>
    <t>03/13/2018 19:25:55</t>
  </si>
  <si>
    <t>03/14/2018 15:49:51</t>
  </si>
  <si>
    <t>03/14/2018 16:06:01</t>
  </si>
  <si>
    <t>03/15/2018 13:41:20</t>
  </si>
  <si>
    <t>03/15/2018 22:22:34</t>
  </si>
  <si>
    <t>03/19/2018 12:05:43</t>
  </si>
  <si>
    <t>03/19/2018 14:58:03</t>
  </si>
  <si>
    <t>03/21/2018 10:06:19</t>
  </si>
  <si>
    <t>03/21/2018 13:30:58</t>
  </si>
  <si>
    <t>03/21/2018 17:23:10</t>
  </si>
  <si>
    <t>03/21/2018 17:23:50</t>
  </si>
  <si>
    <t>03/21/2018 19:14:38</t>
  </si>
  <si>
    <t>03/21/2018 20:28:19</t>
  </si>
  <si>
    <t>03/21/2018 21:09:31</t>
  </si>
  <si>
    <t>03/23/2018 10:45:58</t>
  </si>
  <si>
    <t>03/27/2018 01:36:25</t>
  </si>
  <si>
    <t>03/27/2018 02:48:24</t>
  </si>
  <si>
    <t>03/27/2018 09:37:28</t>
  </si>
  <si>
    <t>03/27/2018 16:01:25</t>
  </si>
  <si>
    <t>03/27/2018 19:02:24</t>
  </si>
  <si>
    <t>03/28/2018 10:14:33</t>
  </si>
  <si>
    <t>03/28/2018 11:05:14</t>
  </si>
  <si>
    <t>03/28/2018 18:17:00</t>
  </si>
  <si>
    <t>03/29/2018 08:20:33</t>
  </si>
  <si>
    <t>03/29/2018 15:24:24</t>
  </si>
  <si>
    <t>03/29/2018 20:06:06</t>
  </si>
  <si>
    <t>03/30/2018 11:10:52</t>
  </si>
  <si>
    <t>03/30/2018 13:17:21</t>
  </si>
  <si>
    <t>03/30/2018 13:25:50</t>
  </si>
  <si>
    <t>03/30/2018 14:24:13</t>
  </si>
  <si>
    <t>03/30/2018 18:43:13</t>
  </si>
  <si>
    <t>04/03/2018 13:09:28</t>
  </si>
  <si>
    <t>04/05/2018 11:40:25</t>
  </si>
  <si>
    <t>04/06/2018 08:44:19</t>
  </si>
  <si>
    <t>04/09/2018 13:24:39</t>
  </si>
  <si>
    <t>04/11/2018 05:33:26</t>
  </si>
  <si>
    <t>04/12/2018 18:58:42</t>
  </si>
  <si>
    <t>04/16/2018 07:59:15</t>
  </si>
  <si>
    <t>04/16/2018 07:59:36</t>
  </si>
  <si>
    <t>04/16/2018 07:59:51</t>
  </si>
  <si>
    <t>04/16/2018 08:00:00</t>
  </si>
  <si>
    <t>04/16/2018 08:00:10</t>
  </si>
  <si>
    <t>04/18/2018 14:51:24</t>
  </si>
  <si>
    <t>04/18/2018 16:40:55</t>
  </si>
  <si>
    <t>04/19/2018 14:30:39</t>
  </si>
  <si>
    <t>04/20/2018 14:45:27</t>
  </si>
  <si>
    <t>04/25/2018 06:29:07</t>
  </si>
  <si>
    <t>04/26/2018 12:05:05</t>
  </si>
  <si>
    <t>04/30/2018 18:38:12</t>
  </si>
  <si>
    <t>05/02/2018 17:21:05</t>
  </si>
  <si>
    <t>05/03/2018 10:10:45</t>
  </si>
  <si>
    <t>05/10/2018 14:05:42</t>
  </si>
  <si>
    <t>05/10/2018 19:51:12</t>
  </si>
  <si>
    <t>05/11/2018 10:59:00</t>
  </si>
  <si>
    <t>05/15/2018 04:18:22</t>
  </si>
  <si>
    <t>05/15/2018 20:25:38</t>
  </si>
  <si>
    <t>05/15/2018 21:10:53</t>
  </si>
  <si>
    <t>05/18/2018 16:55:53</t>
  </si>
  <si>
    <t>05/18/2018 18:10:17</t>
  </si>
  <si>
    <t>05/18/2018 18:10:36</t>
  </si>
  <si>
    <t>05/22/2018 03:50:07</t>
  </si>
  <si>
    <t>05/22/2018 09:12:02</t>
  </si>
  <si>
    <t>05/27/2018 03:26:03</t>
  </si>
  <si>
    <t>05/27/2018 03:28:49</t>
  </si>
  <si>
    <t>05/31/2018 13:27:11</t>
  </si>
  <si>
    <t>06/01/2018 10:53:11</t>
  </si>
  <si>
    <t>06/06/2018 10:10:58</t>
  </si>
  <si>
    <t>06/06/2018 18:54:38</t>
  </si>
  <si>
    <t>06/07/2018 15:04:53</t>
  </si>
  <si>
    <t>06/15/2018 19:42:55</t>
  </si>
  <si>
    <t>06/19/2018 10:08:33</t>
  </si>
  <si>
    <t>06/19/2018 14:35:11</t>
  </si>
  <si>
    <t>06/21/2018 16:31:51</t>
  </si>
  <si>
    <t>06/21/2018 17:30:24</t>
  </si>
  <si>
    <t>06/21/2018 17:46:24</t>
  </si>
  <si>
    <t>06/26/2018 13:04:26</t>
  </si>
  <si>
    <t>06/26/2018 18:44:17</t>
  </si>
  <si>
    <t>06/28/2018 05:59:35</t>
  </si>
  <si>
    <t>06/29/2018 18:15:38</t>
  </si>
  <si>
    <t>07/07/2018 17:02:20</t>
  </si>
  <si>
    <t>07/11/2018 15:27:50</t>
  </si>
  <si>
    <t>07/11/2018 16:21:50</t>
  </si>
  <si>
    <t>07/11/2018 16:22:05</t>
  </si>
  <si>
    <t>07/11/2018 18:42:02</t>
  </si>
  <si>
    <t>07/11/2018 18:44:05</t>
  </si>
  <si>
    <t>07/13/2018 13:57:52</t>
  </si>
  <si>
    <t>07/16/2018 08:01:07</t>
  </si>
  <si>
    <t>07/18/2018 18:21:43</t>
  </si>
  <si>
    <t>07/19/2018 10:55:34</t>
  </si>
  <si>
    <t>07/20/2018 17:34:55</t>
  </si>
  <si>
    <t>07/25/2018 02:35:01</t>
  </si>
  <si>
    <t>08/03/2018 15:02:50</t>
  </si>
  <si>
    <t>08/16/2018 18:15:51</t>
  </si>
  <si>
    <t>08/17/2018 08:17:23</t>
  </si>
  <si>
    <t>08/24/2018 19:15:25</t>
  </si>
  <si>
    <t>08/28/2018 06:23:39</t>
  </si>
  <si>
    <t>08/30/2018 10:21:54</t>
  </si>
  <si>
    <t>09/06/2018 12:54:17</t>
  </si>
  <si>
    <t>09/11/2018 13:23:39</t>
  </si>
  <si>
    <t>09/12/2018 12:48:37</t>
  </si>
  <si>
    <t>09/14/2018 18:41:59</t>
  </si>
  <si>
    <t>09/21/2018 14:13:22</t>
  </si>
  <si>
    <t>09/25/2018 00:49:41</t>
  </si>
  <si>
    <t>09/28/2018 12:29:01</t>
  </si>
  <si>
    <t>09/28/2018 15:34:01</t>
  </si>
  <si>
    <t>09/28/2018 15:34:06</t>
  </si>
  <si>
    <t>09/28/2018 15:34:11</t>
  </si>
  <si>
    <t>09/28/2018 17:36:58</t>
  </si>
  <si>
    <t>10/01/2018 13:51:35</t>
  </si>
  <si>
    <t>10/02/2018 19:04:58</t>
  </si>
  <si>
    <t>10/08/2018 13:16:56</t>
  </si>
  <si>
    <t>10/12/2018 13:01:09</t>
  </si>
  <si>
    <t>10/12/2018 16:32:50</t>
  </si>
  <si>
    <t>10/12/2018 16:33:55</t>
  </si>
  <si>
    <t>10/13/2018 01:20:23</t>
  </si>
  <si>
    <t>10/18/2018 18:26:47</t>
  </si>
  <si>
    <t>10/19/2018 12:35:49</t>
  </si>
  <si>
    <t>10/19/2018 16:07:38</t>
  </si>
  <si>
    <t>10/19/2018 16:19:04</t>
  </si>
  <si>
    <t>10/22/2018 14:50:33</t>
  </si>
  <si>
    <t>10/23/2018 19:46:48</t>
  </si>
  <si>
    <t>11/01/2018 09:32:47</t>
  </si>
  <si>
    <t>11/02/2018 14:54:56</t>
  </si>
  <si>
    <t>11/02/2018 15:31:44</t>
  </si>
  <si>
    <t>11/02/2018 15:34:35</t>
  </si>
  <si>
    <t>11/02/2018 17:44:06</t>
  </si>
  <si>
    <t>11/07/2018 13:00:05</t>
  </si>
  <si>
    <t>11/07/2018 14:34:57</t>
  </si>
  <si>
    <t>11/11/2018 16:48:30</t>
  </si>
  <si>
    <t>11/12/2018 01:49:51</t>
  </si>
  <si>
    <t>11/12/2018 13:30:39</t>
  </si>
  <si>
    <t>11/12/2018 15:42:39</t>
  </si>
  <si>
    <t>11/13/2018 15:28:38</t>
  </si>
  <si>
    <t>11/15/2018 01:27:35</t>
  </si>
  <si>
    <t>11/19/2018 08:16:28</t>
  </si>
  <si>
    <t>11/20/2018 06:05:30</t>
  </si>
  <si>
    <t>11/20/2018 13:03:31</t>
  </si>
  <si>
    <t>11/20/2018 18:30:29</t>
  </si>
  <si>
    <t>11/29/2018 16:32:48</t>
  </si>
  <si>
    <t>11/29/2018 16:52:46</t>
  </si>
  <si>
    <t>12/05/2018 13:17:57</t>
  </si>
  <si>
    <t>12/05/2018 13:38:29</t>
  </si>
  <si>
    <t>12/05/2018 17:12:31</t>
  </si>
  <si>
    <t>12/07/2018 15:07:19</t>
  </si>
  <si>
    <t>12/07/2018 17:10:09</t>
  </si>
  <si>
    <t>12/07/2018 17:37:12</t>
  </si>
  <si>
    <t>12/07/2018 17:43:42</t>
  </si>
  <si>
    <t>12/12/2018 16:29:13</t>
  </si>
  <si>
    <t>12/12/2018 17:34:18</t>
  </si>
  <si>
    <t>12/12/2018 17:59:47</t>
  </si>
  <si>
    <t>12/13/2018 12:42:27</t>
  </si>
  <si>
    <t>12/19/2018 10:41:37</t>
  </si>
  <si>
    <t>12/20/2018 23:39:31</t>
  </si>
  <si>
    <t>12/21/2018 12:57:00</t>
  </si>
  <si>
    <t>12/26/2018 18:36:59</t>
  </si>
  <si>
    <t>01/02/2019 02:25:50</t>
  </si>
  <si>
    <t>01/02/2019 13:18:31</t>
  </si>
  <si>
    <t>01/07/2019 21:48:30</t>
  </si>
  <si>
    <t>01/08/2019 04:00:03</t>
  </si>
  <si>
    <t>01/10/2019 05:35:52</t>
  </si>
  <si>
    <t>01/10/2019 16:03:25</t>
  </si>
  <si>
    <t>01/14/2019 13:35:35</t>
  </si>
  <si>
    <t>01/15/2019 15:56:42</t>
  </si>
  <si>
    <t>01/15/2019 18:59:53</t>
  </si>
  <si>
    <t>01/16/2019 17:43:16</t>
  </si>
  <si>
    <t>01/16/2019 17:47:21</t>
  </si>
  <si>
    <t>01/18/2019 18:47:08</t>
  </si>
  <si>
    <t>01/21/2019 16:30:28</t>
  </si>
  <si>
    <t>01/22/2019 12:40:04</t>
  </si>
  <si>
    <t>01/22/2019 14:20:02</t>
  </si>
  <si>
    <t>01/23/2019 07:15:51</t>
  </si>
  <si>
    <t>01/23/2019 14:48:08</t>
  </si>
  <si>
    <t>01/25/2019 17:44:44</t>
  </si>
  <si>
    <t>01/26/2019 12:04:55</t>
  </si>
  <si>
    <t>01/28/2019 22:34:42</t>
  </si>
  <si>
    <t>01/29/2019 15:39:51</t>
  </si>
  <si>
    <t>01/30/2019 10:17:38</t>
  </si>
  <si>
    <t>01/30/2019 18:18:29</t>
  </si>
  <si>
    <t>02/01/2019 00:02:15</t>
  </si>
  <si>
    <t>02/01/2019 11:06:28</t>
  </si>
  <si>
    <t>02/01/2019 13:14:10</t>
  </si>
  <si>
    <t>02/01/2019 13:14:25</t>
  </si>
  <si>
    <t>02/01/2019 16:56:50</t>
  </si>
  <si>
    <t>02/02/2019 01:58:29</t>
  </si>
  <si>
    <t>02/04/2019 11:29:39</t>
  </si>
  <si>
    <t>02/05/2019 14:51:45</t>
  </si>
  <si>
    <t>02/06/2019 18:34:40</t>
  </si>
  <si>
    <t>02/06/2019 18:48:58</t>
  </si>
  <si>
    <t>02/07/2019 17:29:55</t>
  </si>
  <si>
    <t>02/08/2019 09:11:52</t>
  </si>
  <si>
    <t>02/08/2019 15:55:09</t>
  </si>
  <si>
    <t>02/08/2019 16:22:37</t>
  </si>
  <si>
    <t>02/08/2019 16:47:08</t>
  </si>
  <si>
    <t>02/11/2019 16:02:10</t>
  </si>
  <si>
    <t>02/15/2019 06:15:31</t>
  </si>
  <si>
    <t>02/15/2019 19:55:08</t>
  </si>
  <si>
    <t>02/19/2019 11:25:11</t>
  </si>
  <si>
    <t>02/21/2019 10:44:05</t>
  </si>
  <si>
    <t>02/25/2019 16:18:51</t>
  </si>
  <si>
    <t>02/27/2019 18:39:53</t>
  </si>
  <si>
    <t>02/28/2019 11:36:26</t>
  </si>
  <si>
    <t>02/28/2019 11:36:34</t>
  </si>
  <si>
    <t>02/28/2019 16:32:13</t>
  </si>
  <si>
    <t>03/01/2019 09:46:19</t>
  </si>
  <si>
    <t>03/01/2019 12:22:42</t>
  </si>
  <si>
    <t>03/04/2019 15:25:23</t>
  </si>
  <si>
    <t>03/04/2019 17:18:06</t>
  </si>
  <si>
    <t>03/05/2019 15:03:42</t>
  </si>
  <si>
    <t>03/07/2019 04:46:45</t>
  </si>
  <si>
    <t>03/12/2019 19:59:12</t>
  </si>
  <si>
    <t>03/13/2019 17:24:00</t>
  </si>
  <si>
    <t>03/14/2019 01:42:10</t>
  </si>
  <si>
    <t>03/15/2019 14:28:52</t>
  </si>
  <si>
    <t>03/15/2019 16:08:06</t>
  </si>
  <si>
    <t>03/17/2019 09:19:32</t>
  </si>
  <si>
    <t>03/18/2019 18:22:11</t>
  </si>
  <si>
    <t>03/19/2019 18:38:03</t>
  </si>
  <si>
    <t>03/20/2019 13:42:20</t>
  </si>
  <si>
    <t>03/20/2019 21:20:19</t>
  </si>
  <si>
    <t>03/22/2019 00:09:53</t>
  </si>
  <si>
    <t>03/22/2019 10:27:55</t>
  </si>
  <si>
    <t>03/22/2019 10:52:11</t>
  </si>
  <si>
    <t>03/24/2019 23:46:55</t>
  </si>
  <si>
    <t>03/26/2019 00:36:41</t>
  </si>
  <si>
    <t>03/28/2019 15:15:09</t>
  </si>
  <si>
    <t>03/28/2019 19:59:50</t>
  </si>
  <si>
    <t>03/29/2019 18:54:45</t>
  </si>
  <si>
    <t>03/31/2019 11:35:48</t>
  </si>
  <si>
    <t>03/31/2019 21:09:49</t>
  </si>
  <si>
    <t>04/01/2019 13:34:56</t>
  </si>
  <si>
    <t>04/01/2019 22:29:13</t>
  </si>
  <si>
    <t>04/02/2019 00:54:05</t>
  </si>
  <si>
    <t>04/02/2019 13:06:53</t>
  </si>
  <si>
    <t>04/03/2019 15:14:42</t>
  </si>
  <si>
    <t>04/04/2019 05:44:53</t>
  </si>
  <si>
    <t>04/04/2019 15:23:35</t>
  </si>
  <si>
    <t>04/04/2019 17:18:29</t>
  </si>
  <si>
    <t>04/08/2019 09:45:02</t>
  </si>
  <si>
    <t>04/09/2019 08:27:52</t>
  </si>
  <si>
    <t>04/09/2019 14:11:24</t>
  </si>
  <si>
    <t>04/10/2019 02:39:21</t>
  </si>
  <si>
    <t>04/10/2019 04:56:20</t>
  </si>
  <si>
    <t>04/10/2019 10:35:36</t>
  </si>
  <si>
    <t>04/12/2019 01:21:07</t>
  </si>
  <si>
    <t>04/12/2019 10:05:11</t>
  </si>
  <si>
    <t>04/12/2019 13:14:16</t>
  </si>
  <si>
    <t>04/12/2019 18:05:03</t>
  </si>
  <si>
    <t>04/15/2019 04:27:34</t>
  </si>
  <si>
    <t>04/15/2019 15:31:43</t>
  </si>
  <si>
    <t>04/15/2019 19:21:28</t>
  </si>
  <si>
    <t>04/16/2019 13:18:35</t>
  </si>
  <si>
    <t>04/18/2019 10:30:17</t>
  </si>
  <si>
    <t>04/18/2019 16:56:01</t>
  </si>
  <si>
    <t>04/19/2019 13:16:14</t>
  </si>
  <si>
    <t>04/19/2019 22:13:59</t>
  </si>
  <si>
    <t>04/22/2019 16:27:25</t>
  </si>
  <si>
    <t>04/22/2019 21:47:18</t>
  </si>
  <si>
    <t>04/23/2019 10:28:49</t>
  </si>
  <si>
    <t>04/23/2019 20:51:36</t>
  </si>
  <si>
    <t>04/24/2019 11:24:33</t>
  </si>
  <si>
    <t>04/24/2019 22:19:24</t>
  </si>
  <si>
    <t>04/26/2019 13:40:12</t>
  </si>
  <si>
    <t>04/30/2019 16:52:57</t>
  </si>
  <si>
    <t>05/01/2019 12:21:18</t>
  </si>
  <si>
    <t>05/02/2019 19:58:37</t>
  </si>
  <si>
    <t>05/06/2019 12:07:42</t>
  </si>
  <si>
    <t>05/06/2019 12:08:16</t>
  </si>
  <si>
    <t>05/06/2019 12:09:22</t>
  </si>
  <si>
    <t>05/06/2019 12:09:53</t>
  </si>
  <si>
    <t>05/06/2019 12:11:53</t>
  </si>
  <si>
    <t>05/07/2019 10:20:48</t>
  </si>
  <si>
    <t>05/07/2019 11:00:07</t>
  </si>
  <si>
    <t>05/08/2019 17:30:51</t>
  </si>
  <si>
    <t>05/08/2019 22:11:26</t>
  </si>
  <si>
    <t>05/09/2019 13:25:15</t>
  </si>
  <si>
    <t>05/09/2019 19:30:32</t>
  </si>
  <si>
    <t>05/20/2019 16:38:53</t>
  </si>
  <si>
    <t>05/21/2019 14:39:22</t>
  </si>
  <si>
    <t>05/21/2019 18:04:54</t>
  </si>
  <si>
    <t>05/22/2019 07:13:35</t>
  </si>
  <si>
    <t>05/30/2019 05:14:06</t>
  </si>
  <si>
    <t>05/30/2019 15:19:33</t>
  </si>
  <si>
    <t>05/31/2019 18:26:42</t>
  </si>
  <si>
    <t>06/06/2019 13:16:11</t>
  </si>
  <si>
    <t>06/21/2019 01:21:16</t>
  </si>
  <si>
    <t>06/24/2019 09:27:42</t>
  </si>
  <si>
    <t>07/17/2019 12:28:36</t>
  </si>
  <si>
    <t>07/22/2019 14:37:39</t>
  </si>
  <si>
    <t>07/22/2019 16:39:54</t>
  </si>
  <si>
    <t>07/31/2019 20:02:30</t>
  </si>
  <si>
    <t>08/06/2019 06:27:00</t>
  </si>
  <si>
    <t>08/14/2019 16:16:32</t>
  </si>
  <si>
    <t>08/28/2019 14:38:08</t>
  </si>
  <si>
    <t>08/28/2019 14:46:00</t>
  </si>
  <si>
    <t>08/28/2019 17:44:03</t>
  </si>
  <si>
    <t>09/06/2019 08:32:12</t>
  </si>
  <si>
    <t>09/06/2019 12:33:42</t>
  </si>
  <si>
    <t>09/26/2019 18:53:59</t>
  </si>
  <si>
    <t>09/28/2019 00:11:31</t>
  </si>
  <si>
    <t>10/03/2019 19:57:43</t>
  </si>
  <si>
    <t>10/07/2019 11:47:55</t>
  </si>
  <si>
    <t>10/09/2019 14:40:59</t>
  </si>
  <si>
    <t>10/11/2019 11:19:10</t>
  </si>
  <si>
    <t>10/15/2019 11:23:37</t>
  </si>
  <si>
    <t>10/16/2019 02:52:14</t>
  </si>
  <si>
    <t>10/16/2019 12:11:25</t>
  </si>
  <si>
    <t>10/16/2019 14:51:02</t>
  </si>
  <si>
    <t>10/31/2019 12:34:13</t>
  </si>
  <si>
    <t>10/31/2019 16:40:32</t>
  </si>
  <si>
    <t>11/04/2019 03:25:08</t>
  </si>
  <si>
    <t>11/04/2019 09:19:50</t>
  </si>
  <si>
    <t>11/04/2019 11:31:44</t>
  </si>
  <si>
    <t>11/05/2019 09:44:23</t>
  </si>
  <si>
    <t>11/06/2019 14:10:50</t>
  </si>
  <si>
    <t>11/06/2019 21:45:32</t>
  </si>
  <si>
    <t>11/07/2019 21:31:33</t>
  </si>
  <si>
    <t>11/08/2019 14:31:13</t>
  </si>
  <si>
    <t>11/08/2019 16:51:59</t>
  </si>
  <si>
    <t>11/08/2019 16:52:19</t>
  </si>
  <si>
    <t>11/11/2019 14:43:20</t>
  </si>
  <si>
    <t>11/14/2019 16:03:11</t>
  </si>
  <si>
    <t>11/14/2019 20:33:18</t>
  </si>
  <si>
    <t>11/15/2019 09:43:21</t>
  </si>
  <si>
    <t>11/15/2019 14:26:21</t>
  </si>
  <si>
    <t>11/19/2019 14:12:10</t>
  </si>
  <si>
    <t>11/20/2019 03:55:45</t>
  </si>
  <si>
    <t>11/20/2019 18:38:47</t>
  </si>
  <si>
    <t>11/26/2019 11:36:34</t>
  </si>
  <si>
    <t>12/02/2019 02:45:18</t>
  </si>
  <si>
    <t>12/09/2019 05:14:29</t>
  </si>
  <si>
    <t>12/09/2019 08:02:05</t>
  </si>
  <si>
    <t>12/09/2019 14:25:05</t>
  </si>
  <si>
    <t>12/10/2019 14:05:50</t>
  </si>
  <si>
    <t>12/11/2019 06:47:45</t>
  </si>
  <si>
    <t>12/12/2019 06:37:22</t>
  </si>
  <si>
    <t>12/13/2019 20:45:51</t>
  </si>
  <si>
    <t>12/16/2019 17:32:22</t>
  </si>
  <si>
    <t>12/17/2019 12:45:46</t>
  </si>
  <si>
    <t>12/17/2019 13:16:20</t>
  </si>
  <si>
    <t>12/17/2019 18:24:07</t>
  </si>
  <si>
    <t>12/18/2019 10:18:16</t>
  </si>
  <si>
    <t>12/18/2019 10:36:50</t>
  </si>
  <si>
    <t>12/19/2019 16:16:02</t>
  </si>
  <si>
    <t>12/24/2019 05:39:49</t>
  </si>
  <si>
    <t>01/02/2020 15:41:48</t>
  </si>
  <si>
    <t>01/03/2020 08:23:55</t>
  </si>
  <si>
    <t>01/05/2020 21:04:33</t>
  </si>
  <si>
    <t>01/07/2020 15:22:17</t>
  </si>
  <si>
    <t>01/10/2020 11:25:20</t>
  </si>
  <si>
    <t>01/10/2020 12:28:15</t>
  </si>
  <si>
    <t>01/10/2020 19:13:22</t>
  </si>
  <si>
    <t>01/13/2020 12:27:55</t>
  </si>
  <si>
    <t>01/13/2020 20:58:36</t>
  </si>
  <si>
    <t>01/14/2020 17:06:15</t>
  </si>
  <si>
    <t>01/16/2020 08:04:27</t>
  </si>
  <si>
    <t>01/17/2020 19:52:25</t>
  </si>
  <si>
    <t>01/20/2020 21:15:15</t>
  </si>
  <si>
    <t>01/21/2020 10:04:50</t>
  </si>
  <si>
    <t>01/21/2020 10:50:26</t>
  </si>
  <si>
    <t>01/21/2020 20:20:24</t>
  </si>
  <si>
    <t>01/23/2020 14:21:11</t>
  </si>
  <si>
    <t>01/23/2020 15:29:17</t>
  </si>
  <si>
    <t>01/23/2020 19:52:23</t>
  </si>
  <si>
    <t>01/24/2020 13:42:28</t>
  </si>
  <si>
    <t>01/24/2020 16:11:25</t>
  </si>
  <si>
    <t>01/27/2020 01:52:54</t>
  </si>
  <si>
    <t>01/28/2020 15:56:07</t>
  </si>
  <si>
    <t>01/29/2020 11:47:08</t>
  </si>
  <si>
    <t>01/30/2020 03:22:18</t>
  </si>
  <si>
    <t>01/30/2020 11:31:21</t>
  </si>
  <si>
    <t>01/30/2020 16:32:00</t>
  </si>
  <si>
    <t>01/31/2020 04:40:24</t>
  </si>
  <si>
    <t>02/03/2020 01:11:58</t>
  </si>
  <si>
    <t>02/05/2020 00:45:37</t>
  </si>
  <si>
    <t>02/05/2020 14:35:26</t>
  </si>
  <si>
    <t>02/05/2020 14:35:48</t>
  </si>
  <si>
    <t>02/05/2020 14:41:44</t>
  </si>
  <si>
    <t>02/05/2020 14:43:24</t>
  </si>
  <si>
    <t>02/06/2020 02:54:19</t>
  </si>
  <si>
    <t>02/06/2020 05:00:49</t>
  </si>
  <si>
    <t>02/06/2020 05:05:19</t>
  </si>
  <si>
    <t>02/06/2020 13:15:57</t>
  </si>
  <si>
    <t>02/06/2020 21:58:25</t>
  </si>
  <si>
    <t>02/07/2020 07:14:37</t>
  </si>
  <si>
    <t>02/07/2020 11:38:30</t>
  </si>
  <si>
    <t>02/07/2020 15:00:47</t>
  </si>
  <si>
    <t>02/07/2020 15:01:05</t>
  </si>
  <si>
    <t>02/07/2020 17:35:07</t>
  </si>
  <si>
    <t>02/10/2020 14:18:33</t>
  </si>
  <si>
    <t>02/10/2020 22:02:18</t>
  </si>
  <si>
    <t>02/11/2020 18:11:15</t>
  </si>
  <si>
    <t>02/12/2020 10:02:55</t>
  </si>
  <si>
    <t>02/12/2020 12:30:05</t>
  </si>
  <si>
    <t>02/14/2020 08:54:00</t>
  </si>
  <si>
    <t>02/14/2020 18:14:15</t>
  </si>
  <si>
    <t>02/14/2020 23:02:04</t>
  </si>
  <si>
    <t>02/17/2020 03:22:35</t>
  </si>
  <si>
    <t>02/18/2020 08:53:53</t>
  </si>
  <si>
    <t>02/18/2020 18:54:23</t>
  </si>
  <si>
    <t>02/19/2020 14:30:42</t>
  </si>
  <si>
    <t>02/21/2020 13:30:45</t>
  </si>
  <si>
    <t>02/24/2020 08:34:17</t>
  </si>
  <si>
    <t>02/25/2020 12:45:27</t>
  </si>
  <si>
    <t>02/25/2020 14:28:27</t>
  </si>
  <si>
    <t>02/25/2020 19:23:01</t>
  </si>
  <si>
    <t>02/25/2020 22:53:37</t>
  </si>
  <si>
    <t>02/26/2020 00:15:27</t>
  </si>
  <si>
    <t>02/26/2020 04:15:17</t>
  </si>
  <si>
    <t>02/26/2020 12:22:58</t>
  </si>
  <si>
    <t>02/26/2020 21:11:49</t>
  </si>
  <si>
    <t>02/28/2020 15:00:09</t>
  </si>
  <si>
    <t>03/02/2020 14:14:23</t>
  </si>
  <si>
    <t>03/06/2020 05:56:00</t>
  </si>
  <si>
    <t>03/06/2020 06:37:49</t>
  </si>
  <si>
    <t>03/10/2020 05:29:45</t>
  </si>
  <si>
    <t>03/11/2020 17:05:08</t>
  </si>
  <si>
    <t>03/13/2020 09:43:04</t>
  </si>
  <si>
    <t>03/13/2020 17:16:59</t>
  </si>
  <si>
    <t>03/16/2020 16:08:37</t>
  </si>
  <si>
    <t>03/16/2020 23:41:37</t>
  </si>
  <si>
    <t>03/17/2020 02:30:35</t>
  </si>
  <si>
    <t>03/17/2020 15:40:13</t>
  </si>
  <si>
    <t>03/17/2020 16:59:45</t>
  </si>
  <si>
    <t>03/18/2020 14:31:08</t>
  </si>
  <si>
    <t>03/19/2020 10:41:45</t>
  </si>
  <si>
    <t>03/19/2020 13:05:22</t>
  </si>
  <si>
    <t>03/19/2020 15:43:43</t>
  </si>
  <si>
    <t>03/20/2020 11:05:40</t>
  </si>
  <si>
    <t>03/20/2020 16:54:14</t>
  </si>
  <si>
    <t>03/20/2020 17:39:04</t>
  </si>
  <si>
    <t>03/23/2020 10:52:38</t>
  </si>
  <si>
    <t>03/23/2020 19:47:01</t>
  </si>
  <si>
    <t>03/24/2020 04:11:39</t>
  </si>
  <si>
    <t>03/24/2020 11:39:19</t>
  </si>
  <si>
    <t>03/25/2020 00:43:52</t>
  </si>
  <si>
    <t>03/25/2020 09:24:24</t>
  </si>
  <si>
    <t>03/25/2020 11:45:52</t>
  </si>
  <si>
    <t>03/25/2020 11:55:12</t>
  </si>
  <si>
    <t>03/25/2020 16:09:14</t>
  </si>
  <si>
    <t>03/26/2020 18:19:27</t>
  </si>
  <si>
    <t>03/26/2020 20:22:46</t>
  </si>
  <si>
    <t>03/30/2020 01:34:28</t>
  </si>
  <si>
    <t>03/30/2020 14:36:36</t>
  </si>
  <si>
    <t>03/30/2020 16:58:36</t>
  </si>
  <si>
    <t>03/31/2020 12:38:37</t>
  </si>
  <si>
    <t>03/31/2020 12:40:10</t>
  </si>
  <si>
    <t>03/31/2020 15:55:15</t>
  </si>
  <si>
    <t>03/31/2020 16:48:21</t>
  </si>
  <si>
    <t>04/01/2020 01:13:14</t>
  </si>
  <si>
    <t>04/01/2020 18:15:42</t>
  </si>
  <si>
    <t>04/01/2020 19:35:24</t>
  </si>
  <si>
    <t>04/02/2020 09:32:05</t>
  </si>
  <si>
    <t>04/02/2020 21:07:29</t>
  </si>
  <si>
    <t>04/02/2020 21:11:19</t>
  </si>
  <si>
    <t>04/02/2020 22:38:21</t>
  </si>
  <si>
    <t>04/02/2020 22:38:40</t>
  </si>
  <si>
    <t>04/02/2020 22:56:35</t>
  </si>
  <si>
    <t>04/02/2020 22:56:50</t>
  </si>
  <si>
    <t>04/02/2020 22:56:51</t>
  </si>
  <si>
    <t>04/03/2020 04:22:29</t>
  </si>
  <si>
    <t>04/03/2020 12:36:28</t>
  </si>
  <si>
    <t>04/06/2020 09:45:49</t>
  </si>
  <si>
    <t>04/07/2020 08:15:54</t>
  </si>
  <si>
    <t>04/10/2020 16:50:17</t>
  </si>
  <si>
    <t>04/10/2020 20:37:02</t>
  </si>
  <si>
    <t>04/14/2020 04:34:14</t>
  </si>
  <si>
    <t>04/14/2020 13:20:37</t>
  </si>
  <si>
    <t>04/15/2020 12:03:39</t>
  </si>
  <si>
    <t>04/17/2020 04:48:53</t>
  </si>
  <si>
    <t>04/17/2020 05:07:28</t>
  </si>
  <si>
    <t>04/17/2020 12:39:18</t>
  </si>
  <si>
    <t>04/20/2020 22:36:18</t>
  </si>
  <si>
    <t>04/21/2020 19:34:09</t>
  </si>
  <si>
    <t>04/22/2020 12:06:58</t>
  </si>
  <si>
    <t>04/22/2020 12:48:14</t>
  </si>
  <si>
    <t>04/28/2020 12:56:40</t>
  </si>
  <si>
    <t>04/29/2020 14:23:12</t>
  </si>
  <si>
    <t>04/29/2020 14:36:01</t>
  </si>
  <si>
    <t>04/30/2020 12:33:20</t>
  </si>
  <si>
    <t>04/30/2020 13:59:38</t>
  </si>
  <si>
    <t>05/01/2020 20:09:07</t>
  </si>
  <si>
    <t>05/05/2020 11:47:47</t>
  </si>
  <si>
    <t>05/06/2020 06:32:02</t>
  </si>
  <si>
    <t>05/06/2020 17:12:07</t>
  </si>
  <si>
    <t>05/06/2020 17:41:44</t>
  </si>
  <si>
    <t>05/07/2020 18:25:54</t>
  </si>
  <si>
    <t>05/07/2020 20:14:34</t>
  </si>
  <si>
    <t>05/11/2020 07:38:24</t>
  </si>
  <si>
    <t>05/12/2020 06:52:39</t>
  </si>
  <si>
    <t>05/12/2020 23:51:21</t>
  </si>
  <si>
    <t>05/20/2020 22:40:36</t>
  </si>
  <si>
    <t>05/21/2020 16:55:48</t>
  </si>
  <si>
    <t>05/21/2020 21:09:27</t>
  </si>
  <si>
    <t>05/25/2020 18:07:39</t>
  </si>
  <si>
    <t>05/25/2020 20:41:33</t>
  </si>
  <si>
    <t>05/26/2020 18:20:38</t>
  </si>
  <si>
    <t>05/26/2020 18:37:20</t>
  </si>
  <si>
    <t>05/27/2020 05:46:19</t>
  </si>
  <si>
    <t>05/28/2020 01:11:00</t>
  </si>
  <si>
    <t>05/28/2020 01:11:05</t>
  </si>
  <si>
    <t>05/28/2020 01:11:07</t>
  </si>
  <si>
    <t>05/28/2020 01:11:08</t>
  </si>
  <si>
    <t>05/28/2020 01:11:10</t>
  </si>
  <si>
    <t>05/28/2020 02:09:13</t>
  </si>
  <si>
    <t>05/28/2020 15:58:04</t>
  </si>
  <si>
    <t>05/28/2020 17:42:48</t>
  </si>
  <si>
    <t>05/29/2020 16:32:28</t>
  </si>
  <si>
    <t>06/02/2020 17:24:44</t>
  </si>
  <si>
    <t>06/03/2020 04:18:32</t>
  </si>
  <si>
    <t>06/15/2020 15:35:39</t>
  </si>
  <si>
    <t>06/16/2020 12:54:00</t>
  </si>
  <si>
    <t>06/18/2020 10:32:20</t>
  </si>
  <si>
    <t>06/18/2020 12:25:57</t>
  </si>
  <si>
    <t>06/19/2020 12:56:56</t>
  </si>
  <si>
    <t>06/22/2020 14:17:03</t>
  </si>
  <si>
    <t>06/23/2020 15:15:07</t>
  </si>
  <si>
    <t>06/23/2020 15:37:09</t>
  </si>
  <si>
    <t>06/24/2020 08:04:22</t>
  </si>
  <si>
    <t>06/26/2020 04:18:59</t>
  </si>
  <si>
    <t>06/26/2020 13:59:05</t>
  </si>
  <si>
    <t>06/26/2020 14:12:33</t>
  </si>
  <si>
    <t>06/26/2020 16:02:32</t>
  </si>
  <si>
    <t>06/30/2020 04:24:08</t>
  </si>
  <si>
    <t>07/10/2020 12:02:23</t>
  </si>
  <si>
    <t>07/14/2020 15:55:57</t>
  </si>
  <si>
    <t>07/14/2020 18:40:51</t>
  </si>
  <si>
    <t>07/14/2020 18:41:30</t>
  </si>
  <si>
    <t>07/14/2020 18:41:40</t>
  </si>
  <si>
    <t>07/14/2020 18:41:48</t>
  </si>
  <si>
    <t>07/14/2020 18:42:02</t>
  </si>
  <si>
    <t>07/14/2020 18:42:13</t>
  </si>
  <si>
    <t>07/15/2020 11:18:51</t>
  </si>
  <si>
    <t>07/17/2020 15:37:33</t>
  </si>
  <si>
    <t>07/23/2020 06:17:35</t>
  </si>
  <si>
    <t>07/24/2020 11:39:32</t>
  </si>
  <si>
    <t>07/24/2020 23:49:25</t>
  </si>
  <si>
    <t>07/26/2020 09:08:07</t>
  </si>
  <si>
    <t>07/30/2020 13:31:27</t>
  </si>
  <si>
    <t>07/30/2020 13:31:35</t>
  </si>
  <si>
    <t>07/30/2020 13:31:40</t>
  </si>
  <si>
    <t>07/31/2020 18:53:26</t>
  </si>
  <si>
    <t>08/05/2020 13:10:39</t>
  </si>
  <si>
    <t>08/10/2020 10:33:07</t>
  </si>
  <si>
    <t>08/12/2020 19:08:47</t>
  </si>
  <si>
    <t>08/26/2020 02:39:23</t>
  </si>
  <si>
    <t>08/26/2020 18:57:04</t>
  </si>
  <si>
    <t>08/27/2020 14:47:59</t>
  </si>
  <si>
    <t>09/11/2020 05:56:18</t>
  </si>
  <si>
    <t>09/14/2020 10:26:31</t>
  </si>
  <si>
    <t>09/14/2020 14:02:51</t>
  </si>
  <si>
    <t>09/16/2020 01:24:54</t>
  </si>
  <si>
    <t>09/16/2020 19:23:06</t>
  </si>
  <si>
    <t>09/23/2020 13:42:06</t>
  </si>
  <si>
    <t>09/24/2020 02:43:19</t>
  </si>
  <si>
    <t>09/24/2020 04:24:12</t>
  </si>
  <si>
    <t>09/24/2020 06:11:58</t>
  </si>
  <si>
    <t>09/24/2020 06:42:56</t>
  </si>
  <si>
    <t>09/24/2020 17:12:43</t>
  </si>
  <si>
    <t>09/24/2020 17:12:48</t>
  </si>
  <si>
    <t>09/24/2020 17:12:57</t>
  </si>
  <si>
    <t>09/28/2020 15:22:41</t>
  </si>
  <si>
    <t>09/28/2020 15:23:50</t>
  </si>
  <si>
    <t>10/01/2020 06:37:29</t>
  </si>
  <si>
    <t>10/06/2020 09:36:01</t>
  </si>
  <si>
    <t>10/06/2020 09:36:08</t>
  </si>
  <si>
    <t>10/06/2020 14:36:45</t>
  </si>
  <si>
    <t>10/07/2020 15:14:06</t>
  </si>
  <si>
    <t>10/12/2020 05:10:52</t>
  </si>
  <si>
    <t>10/12/2020 17:59:05</t>
  </si>
  <si>
    <t>10/12/2020 17:59:57</t>
  </si>
  <si>
    <t>10/12/2020 18:00:27</t>
  </si>
  <si>
    <t>10/12/2020 21:28:45</t>
  </si>
  <si>
    <t>10/12/2020 21:30:32</t>
  </si>
  <si>
    <t>10/13/2020 08:13:41</t>
  </si>
  <si>
    <t>10/13/2020 18:32:18</t>
  </si>
  <si>
    <t>10/14/2020 23:14:15</t>
  </si>
  <si>
    <t>10/15/2020 15:52:45</t>
  </si>
  <si>
    <t>10/23/2020 00:13:45</t>
  </si>
  <si>
    <t>10/26/2020 14:08:34</t>
  </si>
  <si>
    <t>10/27/2020 12:24:01</t>
  </si>
  <si>
    <t>10/29/2020 12:13:29</t>
  </si>
  <si>
    <t>10/29/2020 14:22:32</t>
  </si>
  <si>
    <t>10/31/2020 11:22:01</t>
  </si>
  <si>
    <t>11/02/2020 15:05:00</t>
  </si>
  <si>
    <t>11/03/2020 22:26:19</t>
  </si>
  <si>
    <t>11/04/2020 00:42:45</t>
  </si>
  <si>
    <t>11/04/2020 18:28:44</t>
  </si>
  <si>
    <t>11/04/2020 20:21:47</t>
  </si>
  <si>
    <t>11/04/2020 20:28:49</t>
  </si>
  <si>
    <t>11/04/2020 20:43:06</t>
  </si>
  <si>
    <t>11/05/2020 02:43:37</t>
  </si>
  <si>
    <t>11/05/2020 05:25:24</t>
  </si>
  <si>
    <t>11/05/2020 06:01:29</t>
  </si>
  <si>
    <t>11/06/2020 03:34:57</t>
  </si>
  <si>
    <t>11/06/2020 15:28:45</t>
  </si>
  <si>
    <t>11/11/2020 02:22:56</t>
  </si>
  <si>
    <t>11/11/2020 02:23:45</t>
  </si>
  <si>
    <t>11/11/2020 18:52:05</t>
  </si>
  <si>
    <t>11/11/2020 19:50:54</t>
  </si>
  <si>
    <t>11/12/2020 18:02:13</t>
  </si>
  <si>
    <t>11/13/2020 09:03:22</t>
  </si>
  <si>
    <t>11/16/2020 12:53:42</t>
  </si>
  <si>
    <t>11/19/2020 15:42:24</t>
  </si>
  <si>
    <t>11/23/2020 06:58:34</t>
  </si>
  <si>
    <t>11/24/2020 03:33:37</t>
  </si>
  <si>
    <t>11/24/2020 09:26:05</t>
  </si>
  <si>
    <t>11/26/2020 16:00:58</t>
  </si>
  <si>
    <t>11/27/2020 03:56:12</t>
  </si>
  <si>
    <t>11/30/2020 05:04:34</t>
  </si>
  <si>
    <t>11/30/2020 15:10:56</t>
  </si>
  <si>
    <t>12/01/2020 15:33:58</t>
  </si>
  <si>
    <t>12/02/2020 06:49:25</t>
  </si>
  <si>
    <t>12/02/2020 23:31:07</t>
  </si>
  <si>
    <t>12/04/2020 11:53:19</t>
  </si>
  <si>
    <t>12/10/2020 10:03:39</t>
  </si>
  <si>
    <t>12/10/2020 10:09:22</t>
  </si>
  <si>
    <t>12/10/2020 19:54:16</t>
  </si>
  <si>
    <t>12/10/2020 20:46:21</t>
  </si>
  <si>
    <t>12/10/2020 20:47:14</t>
  </si>
  <si>
    <t>12/11/2020 10:45:53</t>
  </si>
  <si>
    <t>12/11/2020 11:26:07</t>
  </si>
  <si>
    <t>12/11/2020 11:26:33</t>
  </si>
  <si>
    <t>12/11/2020 15:57:35</t>
  </si>
  <si>
    <t>12/14/2020 18:33:08</t>
  </si>
  <si>
    <t>12/14/2020 21:51:58</t>
  </si>
  <si>
    <t>12/14/2020 22:17:20</t>
  </si>
  <si>
    <t>12/15/2020 02:08:17</t>
  </si>
  <si>
    <t>12/15/2020 23:59:20</t>
  </si>
  <si>
    <t>12/16/2020 06:26:13</t>
  </si>
  <si>
    <t>12/17/2020 01:07:50</t>
  </si>
  <si>
    <t>12/17/2020 10:09:01</t>
  </si>
  <si>
    <t>12/17/2020 11:15:35</t>
  </si>
  <si>
    <t>12/17/2020 12:40:32</t>
  </si>
  <si>
    <t>12/17/2020 12:45:13</t>
  </si>
  <si>
    <t>12/21/2020 18:51:59</t>
  </si>
  <si>
    <t>12/23/2020 12:50:12</t>
  </si>
  <si>
    <t>01/06/2021 13:09:03</t>
  </si>
  <si>
    <t>01/06/2021 18:57:34</t>
  </si>
  <si>
    <t>01/11/2021 11:05:04</t>
  </si>
  <si>
    <t>01/11/2021 11:51:19</t>
  </si>
  <si>
    <t>01/12/2021 10:55:31</t>
  </si>
  <si>
    <t>01/12/2021 13:51:58</t>
  </si>
  <si>
    <t>01/13/2021 02:04:27</t>
  </si>
  <si>
    <t>01/13/2021 02:36:22</t>
  </si>
  <si>
    <t>01/13/2021 10:10:37</t>
  </si>
  <si>
    <t>01/14/2021 18:05:06</t>
  </si>
  <si>
    <t>01/19/2021 11:45:43</t>
  </si>
  <si>
    <t>01/21/2021 12:27:18</t>
  </si>
  <si>
    <t>01/22/2021 12:07:55</t>
  </si>
  <si>
    <t>01/25/2021 10:06:54</t>
  </si>
  <si>
    <t>01/25/2021 17:57:18</t>
  </si>
  <si>
    <t>01/27/2021 16:14:57</t>
  </si>
  <si>
    <t>01/27/2021 19:06:12</t>
  </si>
  <si>
    <t>01/28/2021 07:41:10</t>
  </si>
  <si>
    <t>02/01/2021 12:31:16</t>
  </si>
  <si>
    <t>02/03/2021 04:19:16</t>
  </si>
  <si>
    <t>02/03/2021 12:20:32</t>
  </si>
  <si>
    <t>02/03/2021 13:29:26</t>
  </si>
  <si>
    <t>02/04/2021 05:12:42</t>
  </si>
  <si>
    <t>02/04/2021 11:01:06</t>
  </si>
  <si>
    <t>02/04/2021 20:04:29</t>
  </si>
  <si>
    <t>02/08/2021 16:18:46</t>
  </si>
  <si>
    <t>02/08/2021 16:24:28</t>
  </si>
  <si>
    <t>02/09/2021 13:02:34</t>
  </si>
  <si>
    <t>02/10/2021 12:08:33</t>
  </si>
  <si>
    <t>02/11/2021 13:28:47</t>
  </si>
  <si>
    <t>02/12/2021 11:54:10</t>
  </si>
  <si>
    <t>02/12/2021 19:05:21</t>
  </si>
  <si>
    <t>02/16/2021 08:47:13</t>
  </si>
  <si>
    <t>02/16/2021 13:18:39</t>
  </si>
  <si>
    <t>02/17/2021 07:39:35</t>
  </si>
  <si>
    <t>02/17/2021 18:00:10</t>
  </si>
  <si>
    <t>02/17/2021 18:29:01</t>
  </si>
  <si>
    <t>02/18/2021 11:37:26</t>
  </si>
  <si>
    <t>02/18/2021 12:56:02</t>
  </si>
  <si>
    <t>02/18/2021 15:16:39</t>
  </si>
  <si>
    <t>02/18/2021 17:33:03</t>
  </si>
  <si>
    <t>02/18/2021 21:20:42</t>
  </si>
  <si>
    <t>02/19/2021 14:10:35</t>
  </si>
  <si>
    <t>02/19/2021 14:37:48</t>
  </si>
  <si>
    <t>02/22/2021 15:30:56</t>
  </si>
  <si>
    <t>02/23/2021 11:14:58</t>
  </si>
  <si>
    <t>02/23/2021 11:53:33</t>
  </si>
  <si>
    <t>02/24/2021 05:08:27</t>
  </si>
  <si>
    <t>02/24/2021 08:43:17</t>
  </si>
  <si>
    <t>02/24/2021 17:37:23</t>
  </si>
  <si>
    <t>02/24/2021 18:05:29</t>
  </si>
  <si>
    <t>02/24/2021 19:44:14</t>
  </si>
  <si>
    <t>02/25/2021 01:58:52</t>
  </si>
  <si>
    <t>02/25/2021 12:26:24</t>
  </si>
  <si>
    <t>02/26/2021 08:16:50</t>
  </si>
  <si>
    <t>02/26/2021 12:53:43</t>
  </si>
  <si>
    <t>03/01/2021 10:58:58</t>
  </si>
  <si>
    <t>03/01/2021 12:28:28</t>
  </si>
  <si>
    <t>03/01/2021 17:00:06</t>
  </si>
  <si>
    <t>03/02/2021 15:26:08</t>
  </si>
  <si>
    <t>03/03/2021 00:08:56</t>
  </si>
  <si>
    <t>03/03/2021 10:14:48</t>
  </si>
  <si>
    <t>03/03/2021 10:41:32</t>
  </si>
  <si>
    <t>03/04/2021 11:45:11</t>
  </si>
  <si>
    <t>03/04/2021 11:56:42</t>
  </si>
  <si>
    <t>03/05/2021 15:03:06</t>
  </si>
  <si>
    <t>03/08/2021 01:40:14</t>
  </si>
  <si>
    <t>03/08/2021 11:55:25</t>
  </si>
  <si>
    <t>03/08/2021 12:51:57</t>
  </si>
  <si>
    <t>03/08/2021 17:01:18</t>
  </si>
  <si>
    <t>03/09/2021 16:54:55</t>
  </si>
  <si>
    <t>03/10/2021 12:22:38</t>
  </si>
  <si>
    <t>03/11/2021 06:32:44</t>
  </si>
  <si>
    <t>03/12/2021 19:08:58</t>
  </si>
  <si>
    <t>03/15/2021 16:04:39</t>
  </si>
  <si>
    <t>03/16/2021 04:45:23</t>
  </si>
  <si>
    <t>03/16/2021 11:56:48</t>
  </si>
  <si>
    <t>03/18/2021 10:04:37</t>
  </si>
  <si>
    <t>03/18/2021 13:50:14</t>
  </si>
  <si>
    <t>03/18/2021 13:56:50</t>
  </si>
  <si>
    <t>03/18/2021 13:59:20</t>
  </si>
  <si>
    <t>03/18/2021 14:25:54</t>
  </si>
  <si>
    <t>03/18/2021 17:27:20</t>
  </si>
  <si>
    <t>03/21/2021 17:24:53</t>
  </si>
  <si>
    <t>03/22/2021 11:18:02</t>
  </si>
  <si>
    <t>03/22/2021 13:06:43</t>
  </si>
  <si>
    <t>03/22/2021 14:09:01</t>
  </si>
  <si>
    <t>03/22/2021 14:29:29</t>
  </si>
  <si>
    <t>03/22/2021 14:44:19</t>
  </si>
  <si>
    <t>03/24/2021 00:12:25</t>
  </si>
  <si>
    <t>03/24/2021 08:37:50</t>
  </si>
  <si>
    <t>03/25/2021 16:33:29</t>
  </si>
  <si>
    <t>03/25/2021 17:57:05</t>
  </si>
  <si>
    <t>03/29/2021 10:28:50</t>
  </si>
  <si>
    <t>03/29/2021 23:26:48</t>
  </si>
  <si>
    <t>03/31/2021 14:54:51</t>
  </si>
  <si>
    <t>03/31/2021 18:20:30</t>
  </si>
  <si>
    <t>04/01/2021 19:40:23</t>
  </si>
  <si>
    <t>04/02/2021 18:07:39</t>
  </si>
  <si>
    <t>04/05/2021 14:04:42</t>
  </si>
  <si>
    <t>04/07/2021 10:39:19</t>
  </si>
  <si>
    <t>04/09/2021 11:24:03</t>
  </si>
  <si>
    <t>04/09/2021 15:12:56</t>
  </si>
  <si>
    <t>04/13/2021 05:47:02</t>
  </si>
  <si>
    <t>04/14/2021 07:14:49</t>
  </si>
  <si>
    <t>04/15/2021 02:18:26</t>
  </si>
  <si>
    <t>04/16/2021 14:36:53</t>
  </si>
  <si>
    <t>04/20/2021 03:30:20</t>
  </si>
  <si>
    <t>04/21/2021 11:30:27</t>
  </si>
  <si>
    <t>04/21/2021 20:17:38</t>
  </si>
  <si>
    <t>04/22/2021 15:15:49</t>
  </si>
  <si>
    <t>04/22/2021 16:38:36</t>
  </si>
  <si>
    <t>04/28/2021 22:26:30</t>
  </si>
  <si>
    <t>04/29/2021 14:35:08</t>
  </si>
  <si>
    <t>04/30/2021 12:41:49</t>
  </si>
  <si>
    <t>05/03/2021 15:55:34</t>
  </si>
  <si>
    <t>05/04/2021 10:25:38</t>
  </si>
  <si>
    <t>05/04/2021 10:38:34</t>
  </si>
  <si>
    <t>05/04/2021 16:26:13</t>
  </si>
  <si>
    <t>05/06/2021 08:12:29</t>
  </si>
  <si>
    <t>05/06/2021 12:50:10</t>
  </si>
  <si>
    <t>05/06/2021 13:19:24</t>
  </si>
  <si>
    <t>05/06/2021 13:19:49</t>
  </si>
  <si>
    <t>05/06/2021 14:14:56</t>
  </si>
  <si>
    <t>05/06/2021 19:25:07</t>
  </si>
  <si>
    <t>05/07/2021 16:45:31</t>
  </si>
  <si>
    <t>05/10/2021 10:09:22</t>
  </si>
  <si>
    <t>05/10/2021 18:28:17</t>
  </si>
  <si>
    <t>05/10/2021 19:42:29</t>
  </si>
  <si>
    <t>05/12/2021 01:02:11</t>
  </si>
  <si>
    <t>05/12/2021 15:23:43</t>
  </si>
  <si>
    <t>05/12/2021 17:45:12</t>
  </si>
  <si>
    <t>05/13/2021 14:33:11</t>
  </si>
  <si>
    <t>05/17/2021 05:51:10</t>
  </si>
  <si>
    <t>05/18/2021 11:26:31</t>
  </si>
  <si>
    <t>05/18/2021 14:20:15</t>
  </si>
  <si>
    <t>05/19/2021 10:26:24</t>
  </si>
  <si>
    <t>05/20/2021 08:48:00</t>
  </si>
  <si>
    <t>05/20/2021 09:23:08</t>
  </si>
  <si>
    <t>05/24/2021 05:59:37</t>
  </si>
  <si>
    <t>05/25/2021 04:59:03</t>
  </si>
  <si>
    <t>05/25/2021 12:31:39</t>
  </si>
  <si>
    <t>05/25/2021 16:48:02</t>
  </si>
  <si>
    <t>05/26/2021 13:55:48</t>
  </si>
  <si>
    <t>05/27/2021 04:02:46</t>
  </si>
  <si>
    <t>05/31/2021 03:01:32</t>
  </si>
  <si>
    <t>06/01/2021 16:55:08</t>
  </si>
  <si>
    <t>06/01/2021 21:34:56</t>
  </si>
  <si>
    <t>06/02/2021 00:23:08</t>
  </si>
  <si>
    <t>06/09/2021 12:51:06</t>
  </si>
  <si>
    <t>06/10/2021 11:48:46</t>
  </si>
  <si>
    <t>06/15/2021 10:04:18</t>
  </si>
  <si>
    <t>06/16/2021 06:42:57</t>
  </si>
  <si>
    <t>06/16/2021 12:20:27</t>
  </si>
  <si>
    <t>06/16/2021 18:19:21</t>
  </si>
  <si>
    <t>06/22/2021 16:08:56</t>
  </si>
  <si>
    <t>06/23/2021 05:36:07</t>
  </si>
  <si>
    <t>06/23/2021 05:36:39</t>
  </si>
  <si>
    <t>06/23/2021 05:37:54</t>
  </si>
  <si>
    <t>06/23/2021 05:49:13</t>
  </si>
  <si>
    <t>06/23/2021 08:48:46</t>
  </si>
  <si>
    <t>06/23/2021 12:04:16</t>
  </si>
  <si>
    <t>06/23/2021 12:25:24</t>
  </si>
  <si>
    <t>06/23/2021 19:01:33</t>
  </si>
  <si>
    <t>06/25/2021 16:08:32</t>
  </si>
  <si>
    <t>06/28/2021 08:32:39</t>
  </si>
  <si>
    <t>06/28/2021 09:25:52</t>
  </si>
  <si>
    <t>06/28/2021 22:49:16</t>
  </si>
  <si>
    <t>06/29/2021 09:05:52</t>
  </si>
  <si>
    <t>06/29/2021 11:28:20</t>
  </si>
  <si>
    <t>06/30/2021 05:27:20</t>
  </si>
  <si>
    <t>06/30/2021 05:34:06</t>
  </si>
  <si>
    <t>06/30/2021 05:34:17</t>
  </si>
  <si>
    <t>07/01/2021 11:03:30</t>
  </si>
  <si>
    <t>07/01/2021 16:40:48</t>
  </si>
  <si>
    <t>07/15/2021 13:45:26</t>
  </si>
  <si>
    <t>07/15/2021 15:02:02</t>
  </si>
  <si>
    <t>07/16/2021 20:17:23</t>
  </si>
  <si>
    <t>07/20/2021 12:33:41</t>
  </si>
  <si>
    <t>07/21/2021 15:33:21</t>
  </si>
  <si>
    <t>07/26/2021 16:57:02</t>
  </si>
  <si>
    <t>07/27/2021 15:14:20</t>
  </si>
  <si>
    <t>07/29/2021 11:03:57</t>
  </si>
  <si>
    <t>07/30/2021 06:08:59</t>
  </si>
  <si>
    <t>08/04/2021 03:21:40</t>
  </si>
  <si>
    <t>08/06/2021 10:28:56</t>
  </si>
  <si>
    <t>08/06/2021 13:39:31</t>
  </si>
  <si>
    <t>08/09/2021 12:49:05</t>
  </si>
  <si>
    <t>08/12/2021 13:45:00</t>
  </si>
  <si>
    <t>08/13/2021 04:53:46</t>
  </si>
  <si>
    <t>08/16/2021 08:59:51</t>
  </si>
  <si>
    <t>08/18/2021 08:18:47</t>
  </si>
  <si>
    <t>08/23/2021 13:32:47</t>
  </si>
  <si>
    <t>08/24/2021 07:19:23</t>
  </si>
  <si>
    <t>08/24/2021 22:01:38</t>
  </si>
  <si>
    <t>08/25/2021 18:30:44</t>
  </si>
  <si>
    <t>08/26/2021 13:22:10</t>
  </si>
  <si>
    <t>08/27/2021 11:55:19</t>
  </si>
  <si>
    <t>08/27/2021 16:20:51</t>
  </si>
  <si>
    <t>08/30/2021 00:10:04</t>
  </si>
  <si>
    <t>09/02/2021 06:30:52</t>
  </si>
  <si>
    <t>09/02/2021 13:09:46</t>
  </si>
  <si>
    <t>09/02/2021 20:09:08</t>
  </si>
  <si>
    <t>09/03/2021 08:15:57</t>
  </si>
  <si>
    <t>09/03/2021 11:09:32</t>
  </si>
  <si>
    <t>09/03/2021 11:54:04</t>
  </si>
  <si>
    <t>09/03/2021 12:55:25</t>
  </si>
  <si>
    <t>09/03/2021 15:28:14</t>
  </si>
  <si>
    <t>09/06/2021 11:37:27</t>
  </si>
  <si>
    <t>09/07/2021 08:01:33</t>
  </si>
  <si>
    <t>09/07/2021 12:14:15</t>
  </si>
  <si>
    <t>09/08/2021 13:06:49</t>
  </si>
  <si>
    <t>09/09/2021 12:49:31</t>
  </si>
  <si>
    <t>09/10/2021 03:46:11</t>
  </si>
  <si>
    <t>09/10/2021 03:47:48</t>
  </si>
  <si>
    <t>09/10/2021 04:56:05</t>
  </si>
  <si>
    <t>09/10/2021 04:59:26</t>
  </si>
  <si>
    <t>09/10/2021 05:00:23</t>
  </si>
  <si>
    <t>09/10/2021 05:03:13</t>
  </si>
  <si>
    <t>09/10/2021 07:29:12</t>
  </si>
  <si>
    <t>09/10/2021 08:57:11</t>
  </si>
  <si>
    <t>09/10/2021 08:57:50</t>
  </si>
  <si>
    <t>09/10/2021 09:00:19</t>
  </si>
  <si>
    <t>09/10/2021 09:01:23</t>
  </si>
  <si>
    <t>09/14/2021 09:47:31</t>
  </si>
  <si>
    <t>09/14/2021 18:41:38</t>
  </si>
  <si>
    <t>09/14/2021 19:08:04</t>
  </si>
  <si>
    <t>09/14/2021 21:01:39</t>
  </si>
  <si>
    <t>09/15/2021 17:50:17</t>
  </si>
  <si>
    <t>09/15/2021 17:50:18</t>
  </si>
  <si>
    <t>09/16/2021 11:58:21</t>
  </si>
  <si>
    <t>09/16/2021 13:23:29</t>
  </si>
  <si>
    <t>09/16/2021 13:25:12</t>
  </si>
  <si>
    <t>09/16/2021 19:51:57</t>
  </si>
  <si>
    <t>09/17/2021 08:49:09</t>
  </si>
  <si>
    <t>09/17/2021 11:25:01</t>
  </si>
  <si>
    <t>09/20/2021 15:44:30</t>
  </si>
  <si>
    <t>09/21/2021 06:36:05</t>
  </si>
  <si>
    <t>09/21/2021 07:32:15</t>
  </si>
  <si>
    <t>09/22/2021 09:59:04</t>
  </si>
  <si>
    <t>09/23/2021 13:07:37</t>
  </si>
  <si>
    <t>09/28/2021 07:37:04</t>
  </si>
  <si>
    <t>09/29/2021 06:20:12</t>
  </si>
  <si>
    <t>09/29/2021 09:45:11</t>
  </si>
  <si>
    <t>10/01/2021 06:26:32</t>
  </si>
  <si>
    <t>10/01/2021 12:12:28</t>
  </si>
  <si>
    <t>10/01/2021 18:03:46</t>
  </si>
  <si>
    <t>10/04/2021 11:21:59</t>
  </si>
  <si>
    <t>10/05/2021 07:59:15</t>
  </si>
  <si>
    <t>10/06/2021 08:20:32</t>
  </si>
  <si>
    <t>10/09/2021 14:56:16</t>
  </si>
  <si>
    <t>10/11/2021 13:02:17</t>
  </si>
  <si>
    <t>10/11/2021 19:47:13</t>
  </si>
  <si>
    <t>10/12/2021 18:25:04</t>
  </si>
  <si>
    <t>10/13/2021 10:04:37</t>
  </si>
  <si>
    <t>10/13/2021 13:01:26</t>
  </si>
  <si>
    <t>10/13/2021 17:06:18</t>
  </si>
  <si>
    <t>10/15/2021 14:11:20</t>
  </si>
  <si>
    <t>10/15/2021 16:56:42</t>
  </si>
  <si>
    <t>10/17/2021 23:28:59</t>
  </si>
  <si>
    <t>10/18/2021 09:27:07</t>
  </si>
  <si>
    <t>10/20/2021 13:25:20</t>
  </si>
  <si>
    <t>10/25/2021 11:34:59</t>
  </si>
  <si>
    <t>10/29/2021 15:44:51</t>
  </si>
  <si>
    <t>11/02/2021 05:25:41</t>
  </si>
  <si>
    <t>11/05/2021 05:19:09</t>
  </si>
  <si>
    <t>11/08/2021 11:20:04</t>
  </si>
  <si>
    <t>11/08/2021 15:50:57</t>
  </si>
  <si>
    <t>11/08/2021 20:59:16</t>
  </si>
  <si>
    <t>11/09/2021 09:51:56</t>
  </si>
  <si>
    <t>11/10/2021 08:28:08</t>
  </si>
  <si>
    <t>11/10/2021 15:25:44</t>
  </si>
  <si>
    <t>11/11/2021 14:46:42</t>
  </si>
  <si>
    <t>11/15/2021 05:11:59</t>
  </si>
  <si>
    <t>11/15/2021 06:19:50</t>
  </si>
  <si>
    <t>11/18/2021 10:35:05</t>
  </si>
  <si>
    <t>11/19/2021 16:00:46</t>
  </si>
  <si>
    <t>11/19/2021 17:50:45</t>
  </si>
  <si>
    <t>11/24/2021 16:34:12</t>
  </si>
  <si>
    <t>11/29/2021 09:15:04</t>
  </si>
  <si>
    <t>11/29/2021 09:16:03</t>
  </si>
  <si>
    <t>11/30/2021 04:35:41</t>
  </si>
  <si>
    <t>11/30/2021 04:45:16</t>
  </si>
  <si>
    <t>11/30/2021 07:04:00</t>
  </si>
  <si>
    <t>12/01/2021 00:08:00</t>
  </si>
  <si>
    <t>12/01/2021 11:53:23</t>
  </si>
  <si>
    <t>12/01/2021 23:55:22</t>
  </si>
  <si>
    <t>12/02/2021 18:36:41</t>
  </si>
  <si>
    <t>12/08/2021 03:39:44</t>
  </si>
  <si>
    <t>12/13/2021 07:49:08</t>
  </si>
  <si>
    <t>12/14/2021 16:51:08</t>
  </si>
  <si>
    <t>12/15/2021 06:53:30</t>
  </si>
  <si>
    <t>12/16/2021 14:44:01</t>
  </si>
  <si>
    <t>12/16/2021 18:31:31</t>
  </si>
  <si>
    <t>12/23/2021 03:29:56</t>
  </si>
  <si>
    <t>12/24/2021 07:52:11</t>
  </si>
  <si>
    <t>12/28/2021 14:59:37</t>
  </si>
  <si>
    <t>12/29/2021 12:16:57</t>
  </si>
  <si>
    <t>01/04/2022 10:52:31</t>
  </si>
  <si>
    <t>01/04/2022 12:34:56</t>
  </si>
  <si>
    <t>01/04/2022 12:38:24</t>
  </si>
  <si>
    <t>01/06/2022 15:43:56</t>
  </si>
  <si>
    <t>01/08/2022 14:58:06</t>
  </si>
  <si>
    <t>01/10/2022 02:57:40</t>
  </si>
  <si>
    <t>01/10/2022 09:01:02</t>
  </si>
  <si>
    <t>01/10/2022 17:56:17</t>
  </si>
  <si>
    <t>01/11/2022 07:31:58</t>
  </si>
  <si>
    <t>01/13/2022 06:28:01</t>
  </si>
  <si>
    <t>01/13/2022 07:16:57</t>
  </si>
  <si>
    <t>01/13/2022 07:27:03</t>
  </si>
  <si>
    <t>01/13/2022 07:27:41</t>
  </si>
  <si>
    <t>01/13/2022 14:27:20</t>
  </si>
  <si>
    <t>01/14/2022 16:18:53</t>
  </si>
  <si>
    <t>01/17/2022 04:34:18</t>
  </si>
  <si>
    <t>01/18/2022 13:16:59</t>
  </si>
  <si>
    <t>01/19/2022 13:18:55</t>
  </si>
  <si>
    <t>01/19/2022 20:48:54</t>
  </si>
  <si>
    <t>01/20/2022 02:33:36</t>
  </si>
  <si>
    <t>01/20/2022 03:47:18</t>
  </si>
  <si>
    <t>01/20/2022 07:33:57</t>
  </si>
  <si>
    <t>01/20/2022 11:16:25</t>
  </si>
  <si>
    <t>01/20/2022 11:16:44</t>
  </si>
  <si>
    <t>01/20/2022 11:17:01</t>
  </si>
  <si>
    <t>01/20/2022 11:19:02</t>
  </si>
  <si>
    <t>01/20/2022 21:42:56</t>
  </si>
  <si>
    <t>01/21/2022 21:54:58</t>
  </si>
  <si>
    <t>01/24/2022 17:35:57</t>
  </si>
  <si>
    <t>01/25/2022 10:27:11</t>
  </si>
  <si>
    <t>01/25/2022 16:36:15</t>
  </si>
  <si>
    <t>01/26/2022 06:50:01</t>
  </si>
  <si>
    <t>01/27/2022 08:16:56</t>
  </si>
  <si>
    <t>01/27/2022 17:04:20</t>
  </si>
  <si>
    <t>01/31/2022 12:59:19</t>
  </si>
  <si>
    <t>01/31/2022 23:02:14</t>
  </si>
  <si>
    <t>02/01/2022 10:11:38</t>
  </si>
  <si>
    <t>02/01/2022 16:27:11</t>
  </si>
  <si>
    <t>02/01/2022 16:44:43</t>
  </si>
  <si>
    <t>02/01/2022 17:17:59</t>
  </si>
  <si>
    <t>02/02/2022 12:58:08</t>
  </si>
  <si>
    <t>02/02/2022 22:03:04</t>
  </si>
  <si>
    <t>02/03/2022 11:57:02</t>
  </si>
  <si>
    <t>02/04/2022 07:33:07</t>
  </si>
  <si>
    <t>02/07/2022 12:31:42</t>
  </si>
  <si>
    <t>02/07/2022 13:42:33</t>
  </si>
  <si>
    <t>02/08/2022 13:23:44</t>
  </si>
  <si>
    <t>02/08/2022 19:49:23</t>
  </si>
  <si>
    <t>02/09/2022 00:36:51</t>
  </si>
  <si>
    <t>02/09/2022 05:32:30</t>
  </si>
  <si>
    <t>02/09/2022 12:14:14</t>
  </si>
  <si>
    <t>02/09/2022 17:31:35</t>
  </si>
  <si>
    <t>02/10/2022 00:18:36</t>
  </si>
  <si>
    <t>02/10/2022 02:31:45</t>
  </si>
  <si>
    <t>02/10/2022 08:08:29</t>
  </si>
  <si>
    <t>02/10/2022 13:32:06</t>
  </si>
  <si>
    <t>02/10/2022 13:44:09</t>
  </si>
  <si>
    <t>02/10/2022 14:47:49</t>
  </si>
  <si>
    <t>02/10/2022 15:23:48</t>
  </si>
  <si>
    <t>02/11/2022 01:55:40</t>
  </si>
  <si>
    <t>02/14/2022 10:14:56</t>
  </si>
  <si>
    <t>02/14/2022 10:20:13</t>
  </si>
  <si>
    <t>02/14/2022 10:20:20</t>
  </si>
  <si>
    <t>02/14/2022 18:19:06</t>
  </si>
  <si>
    <t>02/15/2022 12:07:29</t>
  </si>
  <si>
    <t>02/15/2022 13:42:48</t>
  </si>
  <si>
    <t>02/15/2022 14:44:35</t>
  </si>
  <si>
    <t>02/16/2022 17:05:10</t>
  </si>
  <si>
    <t>02/16/2022 22:06:12</t>
  </si>
  <si>
    <t>02/17/2022 15:21:00</t>
  </si>
  <si>
    <t>02/17/2022 15:22:43</t>
  </si>
  <si>
    <t>02/17/2022 15:23:14</t>
  </si>
  <si>
    <t>02/18/2022 11:03:42</t>
  </si>
  <si>
    <t>02/18/2022 18:32:05</t>
  </si>
  <si>
    <t>02/22/2022 07:21:16</t>
  </si>
  <si>
    <t>02/24/2022 18:54:29</t>
  </si>
  <si>
    <t>02/24/2022 20:31:23</t>
  </si>
  <si>
    <t>02/24/2022 22:27:26</t>
  </si>
  <si>
    <t>02/28/2022 13:33:00</t>
  </si>
  <si>
    <t>03/02/2022 00:23:57</t>
  </si>
  <si>
    <t>03/02/2022 18:34:33</t>
  </si>
  <si>
    <t>03/02/2022 19:01:05</t>
  </si>
  <si>
    <t>03/02/2022 21:16:53</t>
  </si>
  <si>
    <t>03/03/2022 22:49:02</t>
  </si>
  <si>
    <t>03/04/2022 11:58:40</t>
  </si>
  <si>
    <t>03/05/2022 14:52:02</t>
  </si>
  <si>
    <t>03/07/2022 08:38:32</t>
  </si>
  <si>
    <t>03/07/2022 19:25:44</t>
  </si>
  <si>
    <t>03/08/2022 04:43:02</t>
  </si>
  <si>
    <t>03/08/2022 08:24:35</t>
  </si>
  <si>
    <t>03/09/2022 08:09:35</t>
  </si>
  <si>
    <t>03/09/2022 14:03:58</t>
  </si>
  <si>
    <t>03/09/2022 14:17:10</t>
  </si>
  <si>
    <t>03/09/2022 16:36:57</t>
  </si>
  <si>
    <t>03/09/2022 19:08:13</t>
  </si>
  <si>
    <t>03/10/2022 01:45:14</t>
  </si>
  <si>
    <t>03/10/2022 12:03:22</t>
  </si>
  <si>
    <t>03/14/2022 08:49:05</t>
  </si>
  <si>
    <t>03/14/2022 08:49:14</t>
  </si>
  <si>
    <t>03/14/2022 08:49:19</t>
  </si>
  <si>
    <t>03/14/2022 08:49:26</t>
  </si>
  <si>
    <t>03/14/2022 08:52:13</t>
  </si>
  <si>
    <t>03/14/2022 12:40:08</t>
  </si>
  <si>
    <t>03/14/2022 13:03:46</t>
  </si>
  <si>
    <t>03/15/2022 14:51:46</t>
  </si>
  <si>
    <t>03/15/2022 14:55:08</t>
  </si>
  <si>
    <t>03/15/2022 16:46:23</t>
  </si>
  <si>
    <t>03/16/2022 07:20:18</t>
  </si>
  <si>
    <t>03/17/2022 00:13:18</t>
  </si>
  <si>
    <t>03/17/2022 02:04:39</t>
  </si>
  <si>
    <t>03/17/2022 02:21:56</t>
  </si>
  <si>
    <t>03/17/2022 02:23:17</t>
  </si>
  <si>
    <t>03/17/2022 16:29:30</t>
  </si>
  <si>
    <t>03/18/2022 07:45:12</t>
  </si>
  <si>
    <t>03/18/2022 08:27:17</t>
  </si>
  <si>
    <t>03/18/2022 10:41:20</t>
  </si>
  <si>
    <t>03/18/2022 21:23:17</t>
  </si>
  <si>
    <t>03/21/2022 19:22:45</t>
  </si>
  <si>
    <t>03/21/2022 22:13:59</t>
  </si>
  <si>
    <t>03/22/2022 22:08:59</t>
  </si>
  <si>
    <t>03/23/2022 00:40:21</t>
  </si>
  <si>
    <t>03/24/2022 11:05:50</t>
  </si>
  <si>
    <t>03/29/2022 23:10:29</t>
  </si>
  <si>
    <t>03/30/2022 12:50:14</t>
  </si>
  <si>
    <t>03/30/2022 18:27:42</t>
  </si>
  <si>
    <t>04/04/2022 10:29:24</t>
  </si>
  <si>
    <t>04/04/2022 16:38:48</t>
  </si>
  <si>
    <t>04/05/2022 21:23:23</t>
  </si>
  <si>
    <t>04/06/2022 02:53:41</t>
  </si>
  <si>
    <t>04/06/2022 05:26:10</t>
  </si>
  <si>
    <t>04/06/2022 13:00:41</t>
  </si>
  <si>
    <t>04/06/2022 16:22:07</t>
  </si>
  <si>
    <t>04/07/2022 21:26:09</t>
  </si>
  <si>
    <t>04/08/2022 08:09:15</t>
  </si>
  <si>
    <t>04/08/2022 17:51:38</t>
  </si>
  <si>
    <t>04/11/2022 20:55:06</t>
  </si>
  <si>
    <t>04/14/2022 01:31:19</t>
  </si>
  <si>
    <t>04/19/2022 11:04:56</t>
  </si>
  <si>
    <t>04/21/2022 06:22:13</t>
  </si>
  <si>
    <t>04/22/2022 13:33:26</t>
  </si>
  <si>
    <t>04/25/2022 03:42:10</t>
  </si>
  <si>
    <t>04/25/2022 06:06:38</t>
  </si>
  <si>
    <t>04/26/2022 18:24:34</t>
  </si>
  <si>
    <t>04/27/2022 20:28:33</t>
  </si>
  <si>
    <t>05/04/2022 12:15:28</t>
  </si>
  <si>
    <t>05/04/2022 15:23:24</t>
  </si>
  <si>
    <t>05/06/2022 08:37:15</t>
  </si>
  <si>
    <t>05/06/2022 12:39:25</t>
  </si>
  <si>
    <t>05/13/2022 17:52:36</t>
  </si>
  <si>
    <t>05/16/2022 05:15:34</t>
  </si>
  <si>
    <t>05/18/2022 01:42:40</t>
  </si>
  <si>
    <t>05/27/2022 10:23:41</t>
  </si>
  <si>
    <t>05/30/2022 18:48:13</t>
  </si>
  <si>
    <t>05/31/2022 16:52:00</t>
  </si>
  <si>
    <t>06/02/2022 16:26:47</t>
  </si>
  <si>
    <t>06/03/2022 11:06:38</t>
  </si>
  <si>
    <t>06/03/2022 12:59:41</t>
  </si>
  <si>
    <t>06/03/2022 19:12:34</t>
  </si>
  <si>
    <t>06/08/2022 08:19:16</t>
  </si>
  <si>
    <t>06/08/2022 13:18:12</t>
  </si>
  <si>
    <t>06/10/2022 05:35:31</t>
  </si>
  <si>
    <t>06/10/2022 13:04:49</t>
  </si>
  <si>
    <t>06/13/2022 06:44:09</t>
  </si>
  <si>
    <t>07/05/2022 23:12:06</t>
  </si>
  <si>
    <t>07/11/2022 11:25:24</t>
  </si>
  <si>
    <t>07/11/2022 16:20:51</t>
  </si>
  <si>
    <t>07/13/2022 23:57:50</t>
  </si>
  <si>
    <t>07/20/2022 16:43:28</t>
  </si>
  <si>
    <t>07/21/2022 03:41:34</t>
  </si>
  <si>
    <t>08/02/2022 12:45:28</t>
  </si>
  <si>
    <t>08/02/2022 14:41:27</t>
  </si>
  <si>
    <t>08/03/2022 12:48:24</t>
  </si>
  <si>
    <t>08/18/2022 05:44:46</t>
  </si>
  <si>
    <t>08/23/2022 07:02:18</t>
  </si>
  <si>
    <t>08/23/2022 16:04:42</t>
  </si>
  <si>
    <t>08/25/2022 04:26:24</t>
  </si>
  <si>
    <t>08/25/2022 21:55:33</t>
  </si>
  <si>
    <t>08/25/2022 21:57:24</t>
  </si>
  <si>
    <t>08/26/2022 00:00:06</t>
  </si>
  <si>
    <t>08/29/2022 06:28:38</t>
  </si>
  <si>
    <t>08/29/2022 11:37:09</t>
  </si>
  <si>
    <t>08/29/2022 13:59:05</t>
  </si>
  <si>
    <t>08/31/2022 10:30:34</t>
  </si>
  <si>
    <t>09/07/2022 12:40:08</t>
  </si>
  <si>
    <t>09/08/2022 15:40:58</t>
  </si>
  <si>
    <t>09/12/2022 11:13:16</t>
  </si>
  <si>
    <t>09/15/2022 10:36:08</t>
  </si>
  <si>
    <t>09/22/2022 17:09:49</t>
  </si>
  <si>
    <t>09/28/2022 12:46:13</t>
  </si>
  <si>
    <t>10/04/2022 15:44:15</t>
  </si>
  <si>
    <t>10/17/2022 23:12:49</t>
  </si>
  <si>
    <t>10/17/2022 23:47:00</t>
  </si>
  <si>
    <t>10/26/2022 21:13:57</t>
  </si>
  <si>
    <t>10/28/2022 16:33:40</t>
  </si>
  <si>
    <t>10/31/2022 11:33:40</t>
  </si>
  <si>
    <t>10/31/2022 11:36:01</t>
  </si>
  <si>
    <t>10/31/2022 17:24:14</t>
  </si>
  <si>
    <t>11/02/2022 12:20:40</t>
  </si>
  <si>
    <t>11/03/2022 06:03:18</t>
  </si>
  <si>
    <t>11/07/2022 23:54:44</t>
  </si>
  <si>
    <t>11/09/2022 11:29:30</t>
  </si>
  <si>
    <t>11/25/2022 04:05:29</t>
  </si>
  <si>
    <t>11/30/2022 14:26:46</t>
  </si>
  <si>
    <t>12/05/2022 11:25:56</t>
  </si>
  <si>
    <t>12/19/2022 09:49:38</t>
  </si>
  <si>
    <t>12/27/2022 18:22:47</t>
  </si>
  <si>
    <t>12/28/2022 00:20:24</t>
  </si>
  <si>
    <t>initial-contribution@android.com</t>
  </si>
  <si>
    <t>fredq@google.com</t>
  </si>
  <si>
    <t>hackbod@google.com</t>
  </si>
  <si>
    <t>phillipd@google.com</t>
  </si>
  <si>
    <t>brettchabot@google.com</t>
  </si>
  <si>
    <t>elaurent@google.com</t>
  </si>
  <si>
    <t>brettchabot@android.com</t>
  </si>
  <si>
    <t>egnor@google.com</t>
  </si>
  <si>
    <t>phanna@android.com</t>
  </si>
  <si>
    <t>vnori@google.com</t>
  </si>
  <si>
    <t>bringert@android.com</t>
  </si>
  <si>
    <t>btmura@google.com</t>
  </si>
  <si>
    <t>btmura@android.com</t>
  </si>
  <si>
    <t>wink@google.com</t>
  </si>
  <si>
    <t>chihchung@google.com</t>
  </si>
  <si>
    <t>jham@android.com</t>
  </si>
  <si>
    <t>jbq@google.com</t>
  </si>
  <si>
    <t>romainguy@android.com</t>
  </si>
  <si>
    <t>enh@google.com</t>
  </si>
  <si>
    <t>husky@google.com</t>
  </si>
  <si>
    <t>nnk@google.com</t>
  </si>
  <si>
    <t>alexst@google.com</t>
  </si>
  <si>
    <t>steveblock@google.com</t>
  </si>
  <si>
    <t>srhines@google.com</t>
  </si>
  <si>
    <t>wuchengli@google.com</t>
  </si>
  <si>
    <t>narayan@google.com</t>
  </si>
  <si>
    <t>kenneth.andersson@sonyericsson.com</t>
  </si>
  <si>
    <t>asapperstein@google.com</t>
  </si>
  <si>
    <t>jreck@google.com</t>
  </si>
  <si>
    <t>jpd@google.com</t>
  </si>
  <si>
    <t>jeffhao@google.com</t>
  </si>
  <si>
    <t>jeffbrown@google.com</t>
  </si>
  <si>
    <t>npelly@google.com</t>
  </si>
  <si>
    <t>mnaganov@google.com</t>
  </si>
  <si>
    <t>svetoslavganov@google.com</t>
  </si>
  <si>
    <t>android-gerrit@google.com</t>
  </si>
  <si>
    <t>fdimeglio@google.com</t>
  </si>
  <si>
    <t>keunyoung@google.com</t>
  </si>
  <si>
    <t>debunne@google.com</t>
  </si>
  <si>
    <t>android-build@android.com</t>
  </si>
  <si>
    <t>benm@google.com</t>
  </si>
  <si>
    <t>romainguy@google.com</t>
  </si>
  <si>
    <t>boliu@google.com</t>
  </si>
  <si>
    <t>laurentt@google.com</t>
  </si>
  <si>
    <t>amomtaz@google.com</t>
  </si>
  <si>
    <t>sgurun@google.com</t>
  </si>
  <si>
    <t>joth@google.com</t>
  </si>
  <si>
    <t>ccraik@google.com</t>
  </si>
  <si>
    <t>jaikumar@google.com</t>
  </si>
  <si>
    <t>rgreenwalt@google.com</t>
  </si>
  <si>
    <t>stuartscott@google.com</t>
  </si>
  <si>
    <t>jsharkey@android.com</t>
  </si>
  <si>
    <t>jsams@google.com</t>
  </si>
  <si>
    <t>android-build@google.com</t>
  </si>
  <si>
    <t>zhijunhe@google.com</t>
  </si>
  <si>
    <t>mathewi@google.com</t>
  </si>
  <si>
    <t>destradaa@google.com</t>
  </si>
  <si>
    <t>torne@google.com</t>
  </si>
  <si>
    <t>tomo@google.com</t>
  </si>
  <si>
    <t>gcondra@google.com</t>
  </si>
  <si>
    <t>nicksauer@google.com</t>
  </si>
  <si>
    <t>cferris@google.com</t>
  </si>
  <si>
    <t>jeanluc@google.com</t>
  </si>
  <si>
    <t>glaznev@google.com</t>
  </si>
  <si>
    <t>erowe@google.com</t>
  </si>
  <si>
    <t>unsuk@google.com</t>
  </si>
  <si>
    <t>ztenghui@google.com</t>
  </si>
  <si>
    <t>yinchiayeh@google.com</t>
  </si>
  <si>
    <t>iam@google.com</t>
  </si>
  <si>
    <t>etalvala@google.com</t>
  </si>
  <si>
    <t>chriselliott@google.com</t>
  </si>
  <si>
    <t>hjd@google.com</t>
  </si>
  <si>
    <t>yorkelee@google.com</t>
  </si>
  <si>
    <t>alanv@google.com</t>
  </si>
  <si>
    <t>nfuller@google.com</t>
  </si>
  <si>
    <t>rubenbrunk@google.com</t>
  </si>
  <si>
    <t>wonsik@google.com</t>
  </si>
  <si>
    <t>aathalye@google.com</t>
  </si>
  <si>
    <t>etalavera@google.com</t>
  </si>
  <si>
    <t>timmurray@google.com</t>
  </si>
  <si>
    <t>cjluo@google.com</t>
  </si>
  <si>
    <t>derektan@google.com</t>
  </si>
  <si>
    <t>evanc@google.com</t>
  </si>
  <si>
    <t>pauljensen@google.com</t>
  </si>
  <si>
    <t>anilmuthineni@google.com</t>
  </si>
  <si>
    <t>rago@google.com</t>
  </si>
  <si>
    <t>jmtrivi@google.com</t>
  </si>
  <si>
    <t>dcashman@google.com</t>
  </si>
  <si>
    <t>szatmz@google.com</t>
  </si>
  <si>
    <t>edwang@google.com</t>
  </si>
  <si>
    <t>lajos@google.com</t>
  </si>
  <si>
    <t>alexgherghina@google.com</t>
  </si>
  <si>
    <t>raph@google.com</t>
  </si>
  <si>
    <t>jamescook@google.com</t>
  </si>
  <si>
    <t>edheyl@google.com</t>
  </si>
  <si>
    <t>miaowang@google.com</t>
  </si>
  <si>
    <t>zhao@google.com</t>
  </si>
  <si>
    <t>salewijnse@google.com</t>
  </si>
  <si>
    <t>klyubin@google.com</t>
  </si>
  <si>
    <t>dxie@google.com</t>
  </si>
  <si>
    <t>ronghuawu@google.com</t>
  </si>
  <si>
    <t>sanketpadawe@google.com</t>
  </si>
  <si>
    <t>brianattwell@google.com</t>
  </si>
  <si>
    <t>fkupolov@google.com</t>
  </si>
  <si>
    <t>flynn@google.com</t>
  </si>
  <si>
    <t>paulmiller@google.com</t>
  </si>
  <si>
    <t>rsesek@google.com</t>
  </si>
  <si>
    <t>simranjit@google.com</t>
  </si>
  <si>
    <t>bsears@google.com</t>
  </si>
  <si>
    <t>dwkang@google.com</t>
  </si>
  <si>
    <t>rgl@google.com</t>
  </si>
  <si>
    <t>ijpedowitz@google.com</t>
  </si>
  <si>
    <t>aakella@google.com</t>
  </si>
  <si>
    <t>bfranz@google.com</t>
  </si>
  <si>
    <t>phaulos@google.com</t>
  </si>
  <si>
    <t>tomtaylor@google.com</t>
  </si>
  <si>
    <t>awlee@google.com</t>
  </si>
  <si>
    <t>rpius@google.com</t>
  </si>
  <si>
    <t>lorenzo@google.com</t>
  </si>
  <si>
    <t>robertshih@google.com</t>
  </si>
  <si>
    <t>jtinker@google.com</t>
  </si>
  <si>
    <t>hocutt@google.com</t>
  </si>
  <si>
    <t>aaronholden@google.com</t>
  </si>
  <si>
    <t>wjia@google.com</t>
  </si>
  <si>
    <t>mount@google.com</t>
  </si>
  <si>
    <t>sandrakwan@google.com</t>
  </si>
  <si>
    <t>roozbeh@google.com</t>
  </si>
  <si>
    <t>jessehall@google.com</t>
  </si>
  <si>
    <t>jmonk@google.com</t>
  </si>
  <si>
    <t>omakoto@google.com</t>
  </si>
  <si>
    <t>chulwoo@google.com</t>
  </si>
  <si>
    <t>felipeal@google.com</t>
  </si>
  <si>
    <t>juliacr@google.com</t>
  </si>
  <si>
    <t>phweiss@google.com</t>
  </si>
  <si>
    <t>siyamed@google.com</t>
  </si>
  <si>
    <t>chet@google.com</t>
  </si>
  <si>
    <t>djsollen@google.com</t>
  </si>
  <si>
    <t>nona@google.com</t>
  </si>
  <si>
    <t>lifu@google.com</t>
  </si>
  <si>
    <t>kirillg@google.com</t>
  </si>
  <si>
    <t>pweaver@google.com</t>
  </si>
  <si>
    <t>jeffv@google.com</t>
  </si>
  <si>
    <t>snb@google.com</t>
  </si>
  <si>
    <t>billylau@google.com</t>
  </si>
  <si>
    <t>guangzhu@google.com</t>
  </si>
  <si>
    <t>olorin@google.com</t>
  </si>
  <si>
    <t>moltmann@google.com</t>
  </si>
  <si>
    <t>tgunn@google.com</t>
  </si>
  <si>
    <t>cbrubaker@google.com</t>
  </si>
  <si>
    <t>mkarpinski@google.com</t>
  </si>
  <si>
    <t>mishragaurav@google.com</t>
  </si>
  <si>
    <t>yukawa@google.com</t>
  </si>
  <si>
    <t>kennyguy@google.com</t>
  </si>
  <si>
    <t>tobiast@google.com</t>
  </si>
  <si>
    <t>shubhamajmera@google.com</t>
  </si>
  <si>
    <t>jiaqzhao@google.com</t>
  </si>
  <si>
    <t>michaelwr@google.com</t>
  </si>
  <si>
    <t>kandoiruchi@google.com</t>
  </si>
  <si>
    <t>utsavs@google.com</t>
  </si>
  <si>
    <t>feny@google.com</t>
  </si>
  <si>
    <t>kaznacheev@google.com</t>
  </si>
  <si>
    <t>hkuang@google.com</t>
  </si>
  <si>
    <t>tianliu@google.com</t>
  </si>
  <si>
    <t>cdonner@google.com</t>
  </si>
  <si>
    <t>stg@google.com</t>
  </si>
  <si>
    <t>gsennton@google.com</t>
  </si>
  <si>
    <t>hdmoon@google.com</t>
  </si>
  <si>
    <t>jdsouza@google.com</t>
  </si>
  <si>
    <t>stephenli@google.com</t>
  </si>
  <si>
    <t>qiurui@google.com</t>
  </si>
  <si>
    <t>swillden@google.com</t>
  </si>
  <si>
    <t>bohu@google.com</t>
  </si>
  <si>
    <t>akulian@google.com</t>
  </si>
  <si>
    <t>jdesprez@google.com</t>
  </si>
  <si>
    <t>ltrochtova@google.com</t>
  </si>
  <si>
    <t>dementyev@google.com</t>
  </si>
  <si>
    <t>paulduffin@google.com</t>
  </si>
  <si>
    <t>anwenxu@google.com</t>
  </si>
  <si>
    <t>nprevot@google.com</t>
  </si>
  <si>
    <t>samitolvanen@google.com</t>
  </si>
  <si>
    <t>mrathjen@google.com</t>
  </si>
  <si>
    <t>bartfab@google.com</t>
  </si>
  <si>
    <t>vadimt@google.com</t>
  </si>
  <si>
    <t>takaoka@google.com</t>
  </si>
  <si>
    <t>sunnygoyal@google.com</t>
  </si>
  <si>
    <t>kroot@google.com</t>
  </si>
  <si>
    <t>paullawrence@google.com</t>
  </si>
  <si>
    <t>twyen@google.com</t>
  </si>
  <si>
    <t>jmgao@google.com</t>
  </si>
  <si>
    <t>christyfranks@google.com</t>
  </si>
  <si>
    <t>suprabh@google.com</t>
  </si>
  <si>
    <t>smuckle@google.com</t>
  </si>
  <si>
    <t>rubinxu@google.com</t>
  </si>
  <si>
    <t>toki@google.com</t>
  </si>
  <si>
    <t>clarabayarri@google.com</t>
  </si>
  <si>
    <t>conradchen@google.com</t>
  </si>
  <si>
    <t>winsonc@google.com</t>
  </si>
  <si>
    <t>justinklaassen@google.com</t>
  </si>
  <si>
    <t>jungshik@google.com</t>
  </si>
  <si>
    <t>nicoya@google.com</t>
  </si>
  <si>
    <t>jackyu@google.com</t>
  </si>
  <si>
    <t>drosen@google.com</t>
  </si>
  <si>
    <t>ogunwale@google.com</t>
  </si>
  <si>
    <t>pmclean@google.com</t>
  </si>
  <si>
    <t>agampe@google.com</t>
  </si>
  <si>
    <t>badash@google.com</t>
  </si>
  <si>
    <t>smckay@google.com</t>
  </si>
  <si>
    <t>sungsoo@google.com</t>
  </si>
  <si>
    <t>ctzsm@google.com</t>
  </si>
  <si>
    <t>kinaba@google.com</t>
  </si>
  <si>
    <t>jpsugar@google.com</t>
  </si>
  <si>
    <t>nharold@google.com</t>
  </si>
  <si>
    <t>fionaxu@google.com</t>
  </si>
  <si>
    <t>danielcar@google.com</t>
  </si>
  <si>
    <t>sergeyv@google.com</t>
  </si>
  <si>
    <t>rni@google.com</t>
  </si>
  <si>
    <t>marcone@google.com</t>
  </si>
  <si>
    <t>sudheersai@google.com</t>
  </si>
  <si>
    <t>toddke@google.com</t>
  </si>
  <si>
    <t>philippov@google.com</t>
  </si>
  <si>
    <t>dupin@google.com</t>
  </si>
  <si>
    <t>ghackmann@google.com</t>
  </si>
  <si>
    <t>pyung.lee@lge.com</t>
  </si>
  <si>
    <t>erosky@google.com</t>
  </si>
  <si>
    <t>tstrudel@google.com</t>
  </si>
  <si>
    <t>ntfschr@google.com</t>
  </si>
  <si>
    <t>flooey@google.com</t>
  </si>
  <si>
    <t>essick@google.com</t>
  </si>
  <si>
    <t>kwekua@google.com</t>
  </si>
  <si>
    <t>svv@google.com</t>
  </si>
  <si>
    <t>darryljohnson@google.com</t>
  </si>
  <si>
    <t>alexchau@google.com</t>
  </si>
  <si>
    <t>android-build-team-robot@google.com</t>
  </si>
  <si>
    <t>cjyu@google.com</t>
  </si>
  <si>
    <t>edwinwong@google.com</t>
  </si>
  <si>
    <t>eugenesusla@google.com</t>
  </si>
  <si>
    <t>ewol@google.com</t>
  </si>
  <si>
    <t>celisa@google.com</t>
  </si>
  <si>
    <t>mtobin@google.com</t>
  </si>
  <si>
    <t>hsz@google.com</t>
  </si>
  <si>
    <t>nmusgrave@google.com</t>
  </si>
  <si>
    <t>arangelov@google.com</t>
  </si>
  <si>
    <t>artikz@google.com</t>
  </si>
  <si>
    <t>florinam@google.com</t>
  </si>
  <si>
    <t>jjaggi@google.com</t>
  </si>
  <si>
    <t>adamlesinski@google.com</t>
  </si>
  <si>
    <t>hwwang@google.com</t>
  </si>
  <si>
    <t>etancohen@google.com</t>
  </si>
  <si>
    <t>pvisontay@google.com</t>
  </si>
  <si>
    <t>mpq@google.com</t>
  </si>
  <si>
    <t>pgrafov@google.com</t>
  </si>
  <si>
    <t>eranm@google.com</t>
  </si>
  <si>
    <t>timvolodine@google.com</t>
  </si>
  <si>
    <t>beverlyt@google.com</t>
  </si>
  <si>
    <t>avakulenko@google.com</t>
  </si>
  <si>
    <t>breadley@google.com</t>
  </si>
  <si>
    <t>erfanian@google.com</t>
  </si>
  <si>
    <t>rlongair@google.com</t>
  </si>
  <si>
    <t>alexeykuzmin@google.com</t>
  </si>
  <si>
    <t>xshu@google.com</t>
  </si>
  <si>
    <t>jaewan@google.com</t>
  </si>
  <si>
    <t>bookatz@google.com</t>
  </si>
  <si>
    <t>krzysio@google.com</t>
  </si>
  <si>
    <t>patb@google.com</t>
  </si>
  <si>
    <t>tarandeep@google.com</t>
  </si>
  <si>
    <t>scroggo@google.com</t>
  </si>
  <si>
    <t>trong@google.com</t>
  </si>
  <si>
    <t>yuemingw@google.com</t>
  </si>
  <si>
    <t>benedictwong@google.com</t>
  </si>
  <si>
    <t>jinyithu@google.com</t>
  </si>
  <si>
    <t>lpf@google.com</t>
  </si>
  <si>
    <t>ctate@google.com</t>
  </si>
  <si>
    <t>dimitry@google.com</t>
  </si>
  <si>
    <t>fdeng@google.com</t>
  </si>
  <si>
    <t>rossyeh@google.com</t>
  </si>
  <si>
    <t>r.mamadgi@samsung.com</t>
  </si>
  <si>
    <t>anniemeng@google.com</t>
  </si>
  <si>
    <t>mpgroover@google.com</t>
  </si>
  <si>
    <t>qasid@google.com</t>
  </si>
  <si>
    <t>sgaurav@google.com</t>
  </si>
  <si>
    <t>jbires@google.com</t>
  </si>
  <si>
    <t>yvanhsueh@google.com</t>
  </si>
  <si>
    <t>nandana@google.com</t>
  </si>
  <si>
    <t>joshuaschwarz@google.com</t>
  </si>
  <si>
    <t>tccyp@google.com</t>
  </si>
  <si>
    <t>fengc@google.com</t>
  </si>
  <si>
    <t>weijuncheng@xiaomi.com</t>
  </si>
  <si>
    <t>akirilov@google.com</t>
  </si>
  <si>
    <t>njawad@google.com</t>
  </si>
  <si>
    <t>rngy@google.com</t>
  </si>
  <si>
    <t>vermishkin@google.com</t>
  </si>
  <si>
    <t>cnorthrop@google.com</t>
  </si>
  <si>
    <t>linben@google.com</t>
  </si>
  <si>
    <t>alexkershaw@google.com</t>
  </si>
  <si>
    <t>ashaikh@google.com</t>
  </si>
  <si>
    <t>hongmingjin@google.com</t>
  </si>
  <si>
    <t>varunshah@google.com</t>
  </si>
  <si>
    <t>jiyong@google.com</t>
  </si>
  <si>
    <t>mspector@google.com</t>
  </si>
  <si>
    <t>sooniln@google.com</t>
  </si>
  <si>
    <t>popam@google.com</t>
  </si>
  <si>
    <t>timvp@google.com</t>
  </si>
  <si>
    <t>felkachang@google.com</t>
  </si>
  <si>
    <t>epeev@google.com</t>
  </si>
  <si>
    <t>ashleyrose@google.com</t>
  </si>
  <si>
    <t>yaoyx@google.com</t>
  </si>
  <si>
    <t>kchyn@google.com</t>
  </si>
  <si>
    <t>stefanot@google.com</t>
  </si>
  <si>
    <t>solomondaniel@google.com</t>
  </si>
  <si>
    <t>sundongahn@google.com</t>
  </si>
  <si>
    <t>yabinc@google.com</t>
  </si>
  <si>
    <t>dargeren@google.com</t>
  </si>
  <si>
    <t>yinxu@google.com</t>
  </si>
  <si>
    <t>jellefresen@google.com</t>
  </si>
  <si>
    <t>tobiasjs@google.com</t>
  </si>
  <si>
    <t>aurimas@google.com</t>
  </si>
  <si>
    <t>lalitm@google.com</t>
  </si>
  <si>
    <t>hallliu@google.com</t>
  </si>
  <si>
    <t>lelandmiller@google.com</t>
  </si>
  <si>
    <t>zhanghai@google.com</t>
  </si>
  <si>
    <t>madym@google.com</t>
  </si>
  <si>
    <t>ccross@android.com</t>
  </si>
  <si>
    <t>qal@google.com</t>
  </si>
  <si>
    <t>leohsu@google.com</t>
  </si>
  <si>
    <t>huangluke@google.com</t>
  </si>
  <si>
    <t>refuhoo@google.com</t>
  </si>
  <si>
    <t>ckesting@google.com</t>
  </si>
  <si>
    <t>jsharkey@google.com</t>
  </si>
  <si>
    <t>Keiichi.Akao@sony.com</t>
  </si>
  <si>
    <t>jackcwyu@google.com</t>
  </si>
  <si>
    <t>shuzhenwang@google.com</t>
  </si>
  <si>
    <t>bstack@google.com</t>
  </si>
  <si>
    <t>mwachens@google.com</t>
  </si>
  <si>
    <t>jchowdhary@google.com</t>
  </si>
  <si>
    <t>kwangsudo@google.com</t>
  </si>
  <si>
    <t>scottjonathan@google.com</t>
  </si>
  <si>
    <t>andrewlewis@google.com</t>
  </si>
  <si>
    <t>tonymak@google.com</t>
  </si>
  <si>
    <t>aarmaly@google.com</t>
  </si>
  <si>
    <t>shuoq@google.com</t>
  </si>
  <si>
    <t>yuhany@google.com</t>
  </si>
  <si>
    <t>agathaman@google.com</t>
  </si>
  <si>
    <t>alanstokes@google.com</t>
  </si>
  <si>
    <t>prb@google.com</t>
  </si>
  <si>
    <t>amitmahajan@google.com</t>
  </si>
  <si>
    <t>mocy@google.com</t>
  </si>
  <si>
    <t>bradenr@google.com</t>
  </si>
  <si>
    <t>mfritze@google.com</t>
  </si>
  <si>
    <t>mafitzpatrick@google.com</t>
  </si>
  <si>
    <t>delphij@google.com</t>
  </si>
  <si>
    <t>xiaotonj@google.com</t>
  </si>
  <si>
    <t>sashakuznetsov@google.com</t>
  </si>
  <si>
    <t>venkatarama.avadhani@ittiam.com</t>
  </si>
  <si>
    <t>vddang@google.com</t>
  </si>
  <si>
    <t>satayev@google.com</t>
  </si>
  <si>
    <t>alexbuy@google.com</t>
  </si>
  <si>
    <t>samiul@google.com</t>
  </si>
  <si>
    <t>rhedjao@google.com</t>
  </si>
  <si>
    <t>hansson@google.com</t>
  </si>
  <si>
    <t>cdombroski@google.com</t>
  </si>
  <si>
    <t>abkaur@google.com</t>
  </si>
  <si>
    <t>jjoz@google.com</t>
  </si>
  <si>
    <t>kholoudm@google.com</t>
  </si>
  <si>
    <t>wtlee@google.com</t>
  </si>
  <si>
    <t>alexmang@google.com</t>
  </si>
  <si>
    <t>dysu@google.com</t>
  </si>
  <si>
    <t>aquilescanta@google.com</t>
  </si>
  <si>
    <t>jminjie@google.com</t>
  </si>
  <si>
    <t>adorokhine@google.com</t>
  </si>
  <si>
    <t>sahanas@google.com</t>
  </si>
  <si>
    <t>jackykao@google.com</t>
  </si>
  <si>
    <t>acjohnston@google.com</t>
  </si>
  <si>
    <t>seanpont@google.com</t>
  </si>
  <si>
    <t>oscarazu@google.com</t>
  </si>
  <si>
    <t>klhyun@google.com</t>
  </si>
  <si>
    <t>ivanlozano@google.com</t>
  </si>
  <si>
    <t>steventhomas@google.com</t>
  </si>
  <si>
    <t>schfan@google.com</t>
  </si>
  <si>
    <t>peterliang@google.com</t>
  </si>
  <si>
    <t>dbright@google.com</t>
  </si>
  <si>
    <t>kiyoungkim@google.com</t>
  </si>
  <si>
    <t>digman@google.com</t>
  </si>
  <si>
    <t>ioffe@google.com</t>
  </si>
  <si>
    <t>tantoshchuk@google.com</t>
  </si>
  <si>
    <t>paulhu@google.com</t>
  </si>
  <si>
    <t>zezeozue@google.com</t>
  </si>
  <si>
    <t>lus@google.com</t>
  </si>
  <si>
    <t>fengcao@google.com</t>
  </si>
  <si>
    <t>rtenneti@google.com</t>
  </si>
  <si>
    <t>mashnitskaya@google.com</t>
  </si>
  <si>
    <t>evitayan@google.com</t>
  </si>
  <si>
    <t>arthuri@google.com</t>
  </si>
  <si>
    <t>huangaaron@google.com</t>
  </si>
  <si>
    <t>maennich@google.com</t>
  </si>
  <si>
    <t>jakew@google.com</t>
  </si>
  <si>
    <t>gkaiser@google.com</t>
  </si>
  <si>
    <t>jeffreyhuang@google.com</t>
  </si>
  <si>
    <t>aravind.angadi@ittiam.com</t>
  </si>
  <si>
    <t>shubang@google.com</t>
  </si>
  <si>
    <t>tjoines@google.com</t>
  </si>
  <si>
    <t>valiiftime@google.com</t>
  </si>
  <si>
    <t>chiuwinson@google.com</t>
  </si>
  <si>
    <t>oth@google.com</t>
  </si>
  <si>
    <t>corinac@google.com</t>
  </si>
  <si>
    <t>sasindran@google.com</t>
  </si>
  <si>
    <t>gprocida@google.com</t>
  </si>
  <si>
    <t>calhuang@google.com</t>
  </si>
  <si>
    <t>jinpark@google.com</t>
  </si>
  <si>
    <t>yabinh@google.com</t>
  </si>
  <si>
    <t>ram.mohan@ittiam.com</t>
  </si>
  <si>
    <t>charlesccchen@google.com</t>
  </si>
  <si>
    <t>smoreland@google.com</t>
  </si>
  <si>
    <t>tingtingw@google.com</t>
  </si>
  <si>
    <t>mincheli@google.com</t>
  </si>
  <si>
    <t>harish.mahendrakar@ittiam.com</t>
  </si>
  <si>
    <t>taesu82.lee@samsung.com</t>
  </si>
  <si>
    <t>sergeynv@google.com</t>
  </si>
  <si>
    <t>lumark@google.com</t>
  </si>
  <si>
    <t>mitchp@google.com</t>
  </si>
  <si>
    <t>hirokisato@google.com</t>
  </si>
  <si>
    <t>jimmycmchen@google.com</t>
  </si>
  <si>
    <t>dubrovsky@google.com</t>
  </si>
  <si>
    <t>tytytyww@google.com</t>
  </si>
  <si>
    <t>baligh@google.com</t>
  </si>
  <si>
    <t>timhypeng@google.com</t>
  </si>
  <si>
    <t>kdresner@google.com</t>
  </si>
  <si>
    <t>ntmyren@google.com</t>
  </si>
  <si>
    <t>nchalko@google.com</t>
  </si>
  <si>
    <t>yuwu@google.com</t>
  </si>
  <si>
    <t>huiyu@google.com</t>
  </si>
  <si>
    <t>amalova@google.com</t>
  </si>
  <si>
    <t>pinyaoting@google.com</t>
  </si>
  <si>
    <t>huiwang@google.com</t>
  </si>
  <si>
    <t>zholnin@google.com</t>
  </si>
  <si>
    <t>lsandrade@google.com</t>
  </si>
  <si>
    <t>rickyiu@google.com</t>
  </si>
  <si>
    <t>jiashenwang@google.com</t>
  </si>
  <si>
    <t>jdanis@google.com</t>
  </si>
  <si>
    <t>guojing@google.com</t>
  </si>
  <si>
    <t>qiangjiang@google.com</t>
  </si>
  <si>
    <t>marvinramin@google.com</t>
  </si>
  <si>
    <t>zzyiwei@google.com</t>
  </si>
  <si>
    <t>jacobhobbie@google.com</t>
  </si>
  <si>
    <t>mhagerott@google.com</t>
  </si>
  <si>
    <t>kyatoh@google.com</t>
  </si>
  <si>
    <t>victorhsieh@google.com</t>
  </si>
  <si>
    <t>eugenis@google.com</t>
  </si>
  <si>
    <t>skvadrik@google.com</t>
  </si>
  <si>
    <t>chiachangwang@google.com</t>
  </si>
  <si>
    <t>kanant@google.com</t>
  </si>
  <si>
    <t>rthakohov@google.com</t>
  </si>
  <si>
    <t>haydengomes@google.com</t>
  </si>
  <si>
    <t>zoeychen@google.com</t>
  </si>
  <si>
    <t>adamhe@google.com</t>
  </si>
  <si>
    <t>lpeter@google.com</t>
  </si>
  <si>
    <t>kaishi@google.com</t>
  </si>
  <si>
    <t>maco@google.com</t>
  </si>
  <si>
    <t>songferngwang@google.com</t>
  </si>
  <si>
    <t>anhph@google.com</t>
  </si>
  <si>
    <t>gokrishnan@google.com</t>
  </si>
  <si>
    <t>pbdr@google.com</t>
  </si>
  <si>
    <t>jaysullivan@google.com</t>
  </si>
  <si>
    <t>sarahchin@google.com</t>
  </si>
  <si>
    <t>bint@google.com</t>
  </si>
  <si>
    <t>jackalguo@google.com</t>
  </si>
  <si>
    <t>sunilravi@google.com</t>
  </si>
  <si>
    <t>saludlemus@google.com</t>
  </si>
  <si>
    <t>tymtsai@google.com</t>
  </si>
  <si>
    <t>georgekgchang@google.com</t>
  </si>
  <si>
    <t>chrisweir@google.com</t>
  </si>
  <si>
    <t>brambonne@google.com</t>
  </si>
  <si>
    <t>wengsu@google.com</t>
  </si>
  <si>
    <t>ilkos@google.com</t>
  </si>
  <si>
    <t>giridhar.tippabathuni@ittiam.com</t>
  </si>
  <si>
    <t>paulthomson@google.com</t>
  </si>
  <si>
    <t>cassiewang@google.com</t>
  </si>
  <si>
    <t>ayushsha@google.com</t>
  </si>
  <si>
    <t>android-build-coastguard-worker@google.com</t>
  </si>
  <si>
    <t>ramindani@google.com</t>
  </si>
  <si>
    <t>wangchun@google.com</t>
  </si>
  <si>
    <t>tomnatan@google.com</t>
  </si>
  <si>
    <t>jiabin@google.com</t>
  </si>
  <si>
    <t>chiangi@google.com</t>
  </si>
  <si>
    <t>yilunliu@google.com</t>
  </si>
  <si>
    <t>andreionea@google.com</t>
  </si>
  <si>
    <t>chelfi@google.com</t>
  </si>
  <si>
    <t>lcnathalie@google.com</t>
  </si>
  <si>
    <t>sethmo@google.com</t>
  </si>
  <si>
    <t>kaiqw@google.com</t>
  </si>
  <si>
    <t>brufino@google.com</t>
  </si>
  <si>
    <t>eliselliott@google.com</t>
  </si>
  <si>
    <t>shivamagrawal@google.com</t>
  </si>
  <si>
    <t>jakmcbane@google.com</t>
  </si>
  <si>
    <t>solanes@google.com</t>
  </si>
  <si>
    <t>chapin@google.com</t>
  </si>
  <si>
    <t>yochiang@google.com</t>
  </si>
  <si>
    <t>lakshmana@google.com</t>
  </si>
  <si>
    <t>hgchen@google.com</t>
  </si>
  <si>
    <t>hazems@google.com</t>
  </si>
  <si>
    <t>jaytwang@google.com</t>
  </si>
  <si>
    <t>xyj@google.com</t>
  </si>
  <si>
    <t>lesliewatkins@google.com</t>
  </si>
  <si>
    <t>ryanlwlin@google.com</t>
  </si>
  <si>
    <t>jonesriley@google.com</t>
  </si>
  <si>
    <t>hunga@google.com</t>
  </si>
  <si>
    <t>xilei@google.com</t>
  </si>
  <si>
    <t>dubeyshubham@google.com</t>
  </si>
  <si>
    <t>masonwang@google.com</t>
  </si>
  <si>
    <t>dagarhimanshu@google.com</t>
  </si>
  <si>
    <t>michaelbai@google.com</t>
  </si>
  <si>
    <t>irisykyang@google.com</t>
  </si>
  <si>
    <t>siyuanh@google.com</t>
  </si>
  <si>
    <t>topjohnwu@google.com</t>
  </si>
  <si>
    <t>molech@google.com</t>
  </si>
  <si>
    <t>caen@google.com</t>
  </si>
  <si>
    <t>yixiaoluo@google.com</t>
  </si>
  <si>
    <t>gargmayank@google.com</t>
  </si>
  <si>
    <t>lpy@google.com</t>
  </si>
  <si>
    <t>xunchang@google.com</t>
  </si>
  <si>
    <t>xiaotinghong@google.com</t>
  </si>
  <si>
    <t>jakub.tyszkowski@codecoup.pl</t>
  </si>
  <si>
    <t>fangqiu@google.com</t>
  </si>
  <si>
    <t>ycheo@google.com</t>
  </si>
  <si>
    <t>plhuang@google.com</t>
  </si>
  <si>
    <t>sattiraju@google.com</t>
  </si>
  <si>
    <t>srazdan@google.com</t>
  </si>
  <si>
    <t>jiakaiz@google.com</t>
  </si>
  <si>
    <t>joannechung@google.com</t>
  </si>
  <si>
    <t>evaschen@google.com</t>
  </si>
  <si>
    <t>rambowang@google.com</t>
  </si>
  <si>
    <t>louischang@google.com</t>
  </si>
  <si>
    <t>jamescflin@google.com</t>
  </si>
  <si>
    <t>eruffieux@google.com</t>
  </si>
  <si>
    <t>hubers@google.com</t>
  </si>
  <si>
    <t>jdduke@google.com</t>
  </si>
  <si>
    <t>prohr@google.com</t>
  </si>
  <si>
    <t>olly@google.com</t>
  </si>
  <si>
    <t>lihongyu@google.com</t>
  </si>
  <si>
    <t>ahujapalash@google.com</t>
  </si>
  <si>
    <t>yuanjiahsu@google.com</t>
  </si>
  <si>
    <t>scottieb@google.com</t>
  </si>
  <si>
    <t>rmacgregor@google.com</t>
  </si>
  <si>
    <t>xwxw@google.com</t>
  </si>
  <si>
    <t>sbowden@google.com</t>
  </si>
  <si>
    <t>corosenberger@google.com</t>
  </si>
  <si>
    <t>taklee@google.com</t>
  </si>
  <si>
    <t>vaniadesmonda@google.com</t>
  </si>
  <si>
    <t>ebiggers@google.com</t>
  </si>
  <si>
    <t>rahulsabnis@google.com</t>
  </si>
  <si>
    <t>android-build-cherrypicker-worker@google.com</t>
  </si>
  <si>
    <t>roosa@google.com</t>
  </si>
  <si>
    <t>alexsav@google.com</t>
  </si>
  <si>
    <t>zyy@google.com</t>
  </si>
  <si>
    <t>mingaleev@google.com</t>
  </si>
  <si>
    <t>nishact@google.com</t>
  </si>
  <si>
    <t>ddiproietto@google.com</t>
  </si>
  <si>
    <t>evanseverson@google.com</t>
  </si>
  <si>
    <t>blindahl@google.com</t>
  </si>
  <si>
    <t>shaoweishen@google.com</t>
  </si>
  <si>
    <t>sandrom@google.com</t>
  </si>
  <si>
    <t>mcarli@google.com</t>
  </si>
  <si>
    <t>rlukasz@google.com</t>
  </si>
  <si>
    <t>ivanbuper@google.com</t>
  </si>
  <si>
    <t>karthikmahesh@google.com</t>
  </si>
  <si>
    <t>patilprashant@google.com</t>
  </si>
  <si>
    <t>huiwu@google.com</t>
  </si>
  <si>
    <t>haoranzhang@google.com</t>
  </si>
  <si>
    <t>tweek@google.com</t>
  </si>
  <si>
    <t>ejyzhang@google.com</t>
  </si>
  <si>
    <t>abhay.chaudhari@ittiam.com</t>
  </si>
  <si>
    <t>suyog.pawar@ittiam.com</t>
  </si>
  <si>
    <t>muhammad.raza@randstadcontractors.co.uk</t>
  </si>
  <si>
    <t>noreply-gerritcodereview@google.com</t>
  </si>
  <si>
    <t>shaochuan@google.com</t>
  </si>
  <si>
    <t>auto import from //branches/cupcake_rel/...@140373</t>
  </si>
  <si>
    <t>AI 145254: CTS: add Android permissions test cases.
Automated import of CL 145254</t>
  </si>
  <si>
    <t>AI 145601: am: CL 145254 CTS: add Android permissions test cases.
  Original author: sus
  Merged from: //branches/cupcake/...
Automated import of CL 145601</t>
  </si>
  <si>
    <t>AI 145638: am: CL 145601 am: CL 145254 CTS: add Android permissions test cases.
  Original author: sus
  Merged from: //branches/cupcake/...
  Original author: android-build
Automated import of CL 145638</t>
  </si>
  <si>
    <t>AI 145675: CTS: fixed the fail bug in android.net.cts.NetworkInfoTest
Automated import of CL 145675</t>
  </si>
  <si>
    <t>AI 145881: Adding on to CL 145383, unhiding some additional methods and constants
  that ought to be exposed. Hid and deprecated the single-arg public
  constructor for NetworkInfo, and modified a CTS test that was testing it.
  Ran the android.net test package to make sure it still works.
  BUG=1779439
Automated import of CL 145881</t>
  </si>
  <si>
    <t>AI 145956: am: CL 145675 CTS: fixed the fail bug in android.net.cts.NetworkInfoTest
  Original author: sus
  Merged from: //branches/cupcake/...
Automated import of CL 145956</t>
  </si>
  <si>
    <t>AI 145980: am: CL 145881 Adding on to CL 145383, unhiding some additional methods and constants
  that ought to be exposed. Hid and deprecated the single-arg public
  constructor for NetworkInfo, and modified a CTS test that was testing it.
  Ran the android.net test package to make sure it still works.
  Original author: ers
  Merged from: //branches/cupcake/...
Automated import of CL 145980</t>
  </si>
  <si>
    <t>AI 146171: am: CL 145956 am: CL 145675 CTS: fixed the fail bug in android.net.cts.NetworkInfoTest
  Original author: sus
  Merged from: //branches/cupcake/...
  Original author: android-build
Automated import of CL 146171</t>
  </si>
  <si>
    <t>AI 146222: Manual merge of 145980 from donutburger =&gt; master.
Automated import of CL 146222</t>
  </si>
  <si>
    <t>AI 146876: CTS: add test cases for text.TextUtils.
Automated import of CL 146876</t>
  </si>
  <si>
    <t>AI 146877: am: CL 146876 CTS: add test cases for text.TextUtils.
  Original author: sus
  Merged from: //branches/cupcake/...
Automated import of CL 146877</t>
  </si>
  <si>
    <t>AI 146878: am: CL 146877 am: CL 146876 CTS: add test cases for text.TextUtils.
  Original author: sus
  Merged from: //branches/cupcake/...
  Original author: android-build
Automated import of CL 146878</t>
  </si>
  <si>
    <t>AI 147606: CTS: fix failed problem in android.graphics.Paint
Automated import of CL 147606</t>
  </si>
  <si>
    <t>AI 147652: CTS: fixed failed problem in android.app.cts.DatePickerDialogTest
Automated import of CL 147652</t>
  </si>
  <si>
    <t>decouple SyncAdapter from ContentProvider</t>
  </si>
  <si>
    <t>AI 148689: CTS Exclude flaky test from android.graphics.cts
Automated import of CL 148689</t>
  </si>
  <si>
    <t>Remove tests for now hidden install API.</t>
  </si>
  <si>
    <t>Integrate unsubmitted cupcake change 149421:
	CTS: add missed test cases for package android.widget</t>
  </si>
  <si>
    <t>Cleanup CTS provider permission tests.
Remove tests for providers that are not part of the public API (Calendar, Sync, etc),
and add tests for the public providers not covered.
Change implementation of the tests to use the new AndroidTestCase helper methods.
Split noReadWritePermissionTest into ProviderPermissionTest and NoSdCardWritePermissionTest.</t>
  </si>
  <si>
    <t>Integrate unsubmitted cupcake change 147350:
	CTS: clean up code in android.graphics package
    Completely overhauled Interpolator test, which did not actually test
    anything in the previous version.</t>
  </si>
  <si>
    <t>Integrate unsubmitted cupcake change 149409:
	CTS: added test case for android.location.LocationManager#removeTestProvider
    Remove or fix fragile tests (issue 1840782).</t>
  </si>
  <si>
    <t>Integrate unsubmitted cupcake change 149417:
	CTS: added missed test cases for package android.graphics.drawable</t>
  </si>
  <si>
    <t>Fix issue 1795088	Improve audio routing code
Initial commit for review.</t>
  </si>
  <si>
    <t>Cts content tests cleanup.
Remove tests for hidden APIs SyncResult, SyncContext and SyncStats.
Fix IntentTest.testFillIn, and rename the IntentTest constants.</t>
  </si>
  <si>
    <t>CTS: fix some tests with internal references.
BUGS 2087453 1925351</t>
  </si>
  <si>
    <t>Remove duplicate and brittle ResourcesTests.
Bug 2135117
Change-Id: I45a73c9686039bea7218d6b6e61fedb094f37225</t>
  </si>
  <si>
    <t>EventLogTags is now gutted, remove its CTS test.
(Will add EventLogTest in a separate change.)</t>
  </si>
  <si>
    <t>Remove onTooManyRedirects test as the method is deprecated.</t>
  </si>
  <si>
    <t>Remove KeyEventTest testGetMatch2.
Test was dependent on a specific key layout map, and was of limited value.
Bug 1950790
Change-Id: I31b1208494772c68c53a78ebe7ec9675c1829182</t>
  </si>
  <si>
    <t>fix cts-tests broken by my CL 36706
removed a public API SqliteDatabase.setMaxCacheSqlSize.
this broke some cts tests. fixing them in this CL.</t>
  </si>
  <si>
    <t>Fix failing and disabled SearchManager CTS tests
The tests were really messy, and used fixed timeouts and
Thread.sleep(). Rewrote them to use a Handler to postpone checks
until after the search dialog has had time to show / hide.
This fixes the failing testSetOnCancelListener test,
and reinstates the disabled testStopSearch test.
Fixes http://b/issue?id=2483047
Change-Id: If2b6d6645f6380fefffa4ac018dfb773d012a0b1</t>
  </si>
  <si>
    <t>Clean Up ViewStubTest
Remove some more null constructor checks to get rid of @ToBeFixed.
Get rid of testDispatchDraw which doesn't test anything. Get rid
of another @KnownFailure as it is now fixed.
Change-Id: Ic3b6465fee970c44078db0a32e9db0830c8f78d0</t>
  </si>
  <si>
    <t>Delete RatingBarTest OnMeasureSpec Test
Bug 2467320
The test checked that the rating bar was a certain width and height,
which caused problems on some LDPI devices. Just delete the test,
because the width and height is something that depends on what
images the device uses for ratings.
Change-Id: Ida3f9598f3438c3fadef212122712a7993bbba2e</t>
  </si>
  <si>
    <t>Delete Gallery testDispatchSetSelected
Bug 2558585
Delete testDispatchSetSelected since it is testing a no-op method.
Change-Id: I1fa72f5b027c36ba292f6397a6d29851ba269ad2</t>
  </si>
  <si>
    <t>Delete AutoCompleteTextViewTest testOnWindowFocusChanged
Bug 2558459
onWindowFocusedChanged does not invoke the validator so remove the
test. Another test case in this test covers performing validation
when the view loses focus.
Change-Id: Ia93f9122391c26f6e8deaab22cb5d4551b6572f5</t>
  </si>
  <si>
    <t>Remove internal.R References from AlertDialogBuilderTest
Use methods on AlertDialog to get the buttons and the list view.
Unfortunately delete the tests that use internal R resources that
can't be replaced with any public calls like to get the resulting
dialog's title...
Change-Id: I98dfe298202802b162036a1ae6170efeff9e325f</t>
  </si>
  <si>
    <t>Adjust PackageManagerTest for the SET_PREFERRED_APPLICATIONS permission changes
and associated cleanup.
Break up test methods into finer grain tests.
Remove deprecated TestTarget annotations from modified methods.
Add checks to verify SecurityExceptions are thrown where appropriate.
Bug 2541351
Change-Id: Ifcfdce1b7e7ccd90e82b20bd9b67e318feeb6427</t>
  </si>
  <si>
    <t>Revert "Merge "New tests for the new MipmapDrawable class.""
This reverts commit c7490c80290f3b01754963a818af4d618001a9f8, reversing
changes made to 31820be43c3003b0ad32b5f7e83b1dcff87ffd0e.
To fix the build</t>
  </si>
  <si>
    <t>The new test done not work on all devices yet.
Bug: 2597554
Change-Id: Ibc8c99a4de417a4f86df03727a3c22da6844554a</t>
  </si>
  <si>
    <t>Remove tests that cover private APIs.
Change-Id: I47bdf75405610c28335df40ed3144dca8f80c397</t>
  </si>
  <si>
    <t>Further Activity Lifecycle Testing Improvements
Bug 2639189 2663328 2189784
The prior change ran the lifecycle checking activity and if it
failed to match ran the activity again with a different expected
lifecycle. However, running the activity again could cause the
activity to follow the original lifecycle that failed. Thus,
follow the expected lifecycle as long as possible and then switch
to other possible lifecycles when running into lifecycle mismatches.
Also do not check the lifecycle for onStop or onDestroy methods,
because those are not guaranteed to be executed at all. Delete tests
that checked onStop and onDestroy being called, because they will
probably hang in the future.
Change-Id: I6f721d70861cd9b22523b8aa9b883e7336daab22</t>
  </si>
  <si>
    <t>Remove permission tests for *PreferredPackages methods.
These methods are now no-ops. Bug 2750299
Change-Id: Ic8fb034a92f94bee05e6f3e67d8c2aabbd29723c</t>
  </si>
  <si>
    <t>fix a couple of CTS database tests
removed one useless and intermitently failing unittest from SQLiteCursorTest
bandaid on CursorWrapperTest.
Change-Id: I10883e6f8dac80d35bbf3190da4cad037ab730fc</t>
  </si>
  <si>
    <t>fix cts tests after modifying the way SQLiteStatement works
2 changes caused this test to be modified:
1. SQliteProgram.getUniqueId() is deprecated and is NOT to be used any longer
2. previously, SQLiteStatement used to compile the sql statement when
the SQLiteStatement object was created. now, it is compiled only
when it is about to be executed.
Change-Id: I00a31602e3241d5e7b25cefc23c4e2a270fa7c9a</t>
  </si>
  <si>
    <t>Removing More PackageManager Permission Tests
Bug 2750299
There was another PackageManagerTest in addition to the previously
fixed PackageManagerRequiringPermissionsTest that was testing that
a SecurityException should be thrown. However, it is not expected
to throw that anymore.
Change-Id: I2e6c2556fdaf85f8f0b7adbbac531854e958d192</t>
  </si>
  <si>
    <t>fix cts tests after this 2 CLs in frameworks/base
fixing tests after
 I42b2376d714a1a4091c843e245a45b882bb7fee6
and Iba87258e1c8fa18c2cc46d1d2ab56ec3e38413f2
Change-Id: Id95ebcc02aa14294194d9a7bb3f70d457b9eb4fd</t>
  </si>
  <si>
    <t>manual cherry-pick of 45f8e6a523a096a3781f90d4fd5d54dcc0673a7e
Change-Id: I770948540f3aca9d930edea7a12119ff63fe9bdf</t>
  </si>
  <si>
    <t>Remove tests for removed methods.
Change-Id: Ic80d46b1ea771e882776f07d528440f38638fc59</t>
  </si>
  <si>
    <t>Remove a bogus test that's accessing libcore internals.
This test didn't test anything useful, and accesses stuff it shouldn't.
Bug: 2870945
Change-Id: I7ab6cbe054ff55c07145da99700b200ee03dab39</t>
  </si>
  <si>
    <t>CtsVerifier Test Result Infrastructure
Add a TestResult class that allows test activities to set their
finishing results as either pass or fail. Reflect the pass or
fail status in the TestListActivity's test list. This is done
via a ContentProvider that reads and writes to a database with
the TestListAdapter listening for changes.
Use the new API in the SUID Files test as an example. The other
activities should be able to be easily adjusted to use the API.
Just call TestResult.setPassedResult or .setFailedResult during
some time in the activity before you finish.
Change-Id: Ia6a1f75e2ac9d03cb22ed233bedf392e3fb28f0e</t>
  </si>
  <si>
    <t>More permission granting security tests.
Change-Id: I6a82af99d8e13cc5b03acb883ac797a8adf85f40</t>
  </si>
  <si>
    <t>removing tests for setConnectionPoolSize() because API is removed
Change-Id: Iba014b050b99640b020d4b5d2a3fa6707c575ee5</t>
  </si>
  <si>
    <t>Remove NoActivityRelatedPermissionTest.testSetPersistent.
Bug 3068230
Change-Id: I524b811d121580f791ea6f4056b622936a2f59fe</t>
  </si>
  <si>
    <t>Remove DevicePowerPermissionTest#testUserActivity
Bug 3027539
Change-Id: I30812435ccc1dbcb9313fa2c870605978704cb1b</t>
  </si>
  <si>
    <t>Remove WebViewTest#testPerformLongClick
Bug 3097462
This was throwing a ViewRoot$CalledFromWrongThreadException.
However, since this test wasn't actually testing anything,
I decided to just delete it.
Change-Id: Id6494f15b72a5f3e1ce233761fd4095ef19bcca0</t>
  </si>
  <si>
    <t>Fix Tests Dependent Upon ACTION_MULTIPLE Events
Bug 3097462
There is no support for injecting ACTION_MULTIPLE key events
in Gingerbread. Remove the tests that checked the onKeyMultiple
callback, since they cannot be triggered from tests with
instrumentation. Fix GridViewTest to use key down instead...it
did not support key up...
Change-Id: Ib5811d589c187dcef1c15cd181811e33ed14b303</t>
  </si>
  <si>
    <t>Delete ViewTest#testComputeScroll
Bug 3097462
I don't think this is useful test at all...
Change-Id: I6e5a4fccf142831d23ad5e460e831921147d68c3</t>
  </si>
  <si>
    <t>Delete CM#testAccessNetworkPreference Test
Bug 3106981
ConnectivityManager#setNetworkPreference used to be synchronous,
but now it merely sends a handler message. As a result, the
method won't throw any SecurityExceptions, because it will throw
it in the handler instead when trying to write to System.Secure
settings. The test tries to write invalid settings or the same
settings value to test that it won't throw a SecurityException.
Since the method won't throw the exceptions anymore and its
not clear how long to wait to confirm that the settings weren't
going to be changed, just delete these tests.
Change-Id: I9e754bb0e026656511512b17108c42c37d84b069</t>
  </si>
  <si>
    <t>Fix opcode tests for invoke_*
Some tests for the invoke-interface instructions involved
executing Dalvik code that could not translated into Java
like implementing an interface but marking the interface
method implementations as protected. The tests complained
about not being able to find the classes for the raw
dalvik bytecode, but I couldn't make the tests find them
even after putting @uses annotations (which BuildDalvikSuite
scans to determine what will be on the classpath). Thus,
I just deleted them...
...otherwise, more of the same...
Bug 3147582
Change-Id: I99a480ce3f2608c56474428ff0db9f354f66d6bc</t>
  </si>
  <si>
    <t>Delete some opcode tests for invoke_*
These will be added back in a future release!
Bug 3147582
Change-Id: I98200ee239d0bd52cbb1b2a3a8a093c0b248aa40</t>
  </si>
  <si>
    <t>Remove Profile Annotations Experiment
Bug 3166146
Change-Id: I23e09d4c4d828c8094d7feefaa5e1ed1ce07715f</t>
  </si>
  <si>
    <t>Fix BroadcastReceiverTest#testAccessAbortBroadcast
Test fails due to IllegalStateException saying "Call while result is not
pending at..." because setPendingResult isn't called on the
receiver before calling abortBroadcast. This test is probably
not using the receiver in an appropriate way.
Change-Id: Ibb8b4afb309f66216d09de9e1bce8acffa69537c</t>
  </si>
  <si>
    <t>Delete PorterDuff_ModeTest
...hmm.
Change-Id: Iea2acac750fa6f597e61640c5fcf6c54c8e05939</t>
  </si>
  <si>
    <t>Remove SensorManagerTest BrokenTests
Bug 3188260
These tests required sensor events to be generated.
Change-Id: I1d1dcd97d0157cf55f6ab80a9d50887f57f1b0d6</t>
  </si>
  <si>
    <t>Refactor Dialog Tests
Bug 3184944
The dialog tests start an activity that had a list of buttons
where each button launched a different type of dialog and then
hit the down button a number of times and then the center button
to launch them. Replace this approach with an intent based
approach where the tests launch an intent specifying what dialog
to create. This should make the tests less fragile to UI changes.
Change-Id: I3d36e2f9e6c1b4a065ffda59289a85278e04c8cf</t>
  </si>
  <si>
    <t>Test that AssetFileDescriptor handles remaing byte count correctly
Bug: 3240844
Change-Id: Id9a83720436c6276d726d7f6d4f1396dc1735858</t>
  </si>
  <si>
    <t>Fix Settings_SecureTest#testSecureSettings
Bug 3188260
This test tries to modify secure settings, which it will never be able
to do. Change the tests to check that the right exceptions are being
thrown.
Change-Id: I758bc958979823fb280eec7c5fe53fddb8b5b7f1</t>
  </si>
  <si>
    <t>Removed Broken SurfaceTest
Bug 3188260
It doesn't look like it's doing anything useful.
Change-Id: Id7d9270fd1c3e3cb67d54c80336e8d7812a367d8</t>
  </si>
  <si>
    <t>Delete Broken/Suppressed DatabaseCursorTest Tests
Bug 3188260
These tests seem to stress test the device. It will probably fail on
lower end devices and create unnecessary inquiries.
Change-Id: I99309ecac9b90b8db6b329d386ccf84113f825ad</t>
  </si>
  <si>
    <t>Nuke Problematic ContextWrapperTest
Change-Id: I8cfef23594ff550ecfc903ddb1e7becb08af79ba</t>
  </si>
  <si>
    <t>Fix (Qwerty|MultiTap)KeyListenerTest Tests
Bug 3185073
Replace the fragile setup code that required the target TextView to be
focused with code that directly call onKeyDown instead.
Change-Id: I09396d752a9ac1462b85f2f9fb9349701687abcc</t>
  </si>
  <si>
    <t>Allow CacheManager to be initially disabled.
The CTS test currently assumes that CacheManager is always enabled.
We would like to deprecate this class, and as a first step, we will
use the existing API to disable it on startup. This CL updates the
CTS tests to permit the cache to be initially disabled.
BUG=3270236
Change-Id: Id419ae4f25d057d21f65de397f7642ae99b15553</t>
  </si>
  <si>
    <t>Delete DatePickerDialogTest
Bug 3188260
It only had @BrokenTests so it was not being run anyway.
Change-Id: I93645e7fb7ec6390ac5315624d08bc717a02be62</t>
  </si>
  <si>
    <t>Remove Broken LayoutTest Tests
Bug 3188260
The annotations said "unsure if asserted widths are correct"...
They probably are not due to varying screen sizes and orientations.
Change-Id: I64404ce7de3913bb43e7766a7d111843da2ee535</t>
  </si>
  <si>
    <t>Make ListeningPortsTest less flaky.
When a DNS lookup occurs, a new listening UDP socket will be
created to receive the DNS response.  This listening socket is
only temporary, and shouldn't count as a permanent open
socket.
Bug: 3276283
Change-Id: I45090c0e07d9b360cc26f4bce23833db8c399507</t>
  </si>
  <si>
    <t>Revert "New tests for the new MipmapDrawable class."
Bug 3285373
This reverts commit 4e19452bb42984178390f65028afe38e2cf55cf0.
The class is now hidden in HC. However, it's great to see that new tests
are being added!
Change-Id: Ibfd1b8a585a6b2c81a1eb261a432f91207f66484</t>
  </si>
  <si>
    <t>Remove Broken NoActivityRelatedPermissionTest
Bug 1910487
Change-Id: I8dfa05222713e4d4f6a11aa42567510b06859a07</t>
  </si>
  <si>
    <t>Remove Private API Tests for PhoneNumberUtils
Issue 13363
compareLoosely and compareStrictly are private APIs that should not be
tested in CTS.
Change-Id: I41d5139f0dbe47c32e66014a0523260c4340de64</t>
  </si>
  <si>
    <t>Nuke WebChromeClientTest#testOnReceivedIcon
Remove this troublesome test that has been very flakey.
Change-Id: I66af4d3a9e9f96fd082f4c75784941446536ead8</t>
  </si>
  <si>
    <t>Nuke GridViewTest#testScroll
Bug 3097462
Remove flakey test and now broken test on GB. Could be a problem with
TouchUtils or the test.
Change-Id: Iecc09f4a997be24e08ea0b38c915073cf99a9d46</t>
  </si>
  <si>
    <t>Nuke TrafficStatsTest#testTrafficStatsWithHost...
Bug 3189208
Removing this test due to potential problems with GB. This will need to
be brought back and investigated.
Change-Id: Ifeafdf44464c652b063edfb51c5f7931624b6973</t>
  </si>
  <si>
    <t>Fix InsetDrawableTest#testGetOpacity
Bug 2397630
BitmapDrawableTest#testMutate changed the constant state which affected
InsetDrawableTest#testGetOpacity. However, the test wasn't doing much of
anything, so I've changed it a bit to call setAlpha and check
getOpacity a couple times. This test shouldn't have a problem with
constant state, because it calls setAlpha before checking anything.
Change-Id: I1cca5cb18107a647e40c13a7c88c905856436595</t>
  </si>
  <si>
    <t>Webview needs to set instance of ChromeClient to use getProgress value.
assertLoadUrlSuccessfully is using view.getProgress() which returns
no meaningful value  without ChromeClient.
Change-Id: Id8e2cdf5002f774984560a068ea8055e485dd135</t>
  </si>
  <si>
    <t>DO NOT MERGE - Nuke AbsListViewTest#testOnScroll..
Bug 3062700
This is broken like GridViewTest due to a bug in TouchUtils
and overscroll. It will have to be revisited later.
Change-Id: I06eb857f133c9678d5e0ef51e5f3d51229d61759</t>
  </si>
  <si>
    <t>Fix Bad Merge
My merging of Froyo changes reintroduced a test in
NoActivityRelatedPermissionTest that had already been
removed.
Change-Id: I103e615be7b32196a6eab0ad07016002fa25207c</t>
  </si>
  <si>
    <t>Fix (Arrow|Scrolling)MovementMethodTests
Bug 3308878
onKeyDown throws a NPE when the KeyEvent is null now and
sometimes doesn't throw a NPE like it used to...
Change-Id: Ida624a9a1984d5be1a8eb0bd3744b3e4c249bbc8</t>
  </si>
  <si>
    <t>Delete Useless LayoutTests
Bug 3198659
Couple new tests were failing because getLineDirections in the test
class was returning null. It turns out there is no way via the public
API to construct a Directions object. Its been like this for a while,
so there were a ton of other tests checking to see that NPE occurred.
Destroy all the tests that do so...
Change-Id: I31f6c162e42085fb1742c1573099d8f9908e2dc1</t>
  </si>
  <si>
    <t>Fix ProgressBarTest
Bug 3188260
- Remove broken testAccessInterpolatorContext, because it was doing the
  same thing as the test above it.
- Change references to com.android.internal to android...
Change-Id: Id3698e7a17463f2c21c6f4afe7e87bbd00e4986a</t>
  </si>
  <si>
    <t>Delete AlarmManagerTest#testSetTimeZone
Bug 3188260
I don't think this can or will be fixed, so delete this test.
Change-Id: Ibaa5d7a215b5ef7ec9430d41b80d8215e3ec03b6</t>
  </si>
  <si>
    <t>Fix ServiceTest to Match New Permissions Behavior
"Change I5d61930a: Just a little 'ol activity manager permission..."
changed the ActivityManager, so that an application doesn't need to
have the permissions required by its own components to start them.
Change-Id: If35769e87d052a415ece36bd54586303ae9a9fff</t>
  </si>
  <si>
    <t>Delete InstrumentationTest callOnDestroy Test
Bug 3414097
"Applications are not supposed to in any way shape or form directly
call onDestroy()."
Change-Id: I8598ad54d7ff2ce0bbc026b8daf3abba58655b13</t>
  </si>
  <si>
    <t>Delete ViewGroupTest#testRecompute...
This test now requires a full activity for the attachInfo to be set. I'm
not exactly sure what this test was trying to do...
Change-Id: I4da2b4e8aecf1f29bb00465295a2f949ace90fbd</t>
  </si>
  <si>
    <t>Fix WindowTest Tests
Removed all the methods trying to test the options menu. There is code
that deliberately no-ops these methods if the app is targeted for HC.
Ideally, we should have another CTS stub with a lower target SDK version
and then test the options panel there.
Finally, fix an assertion that no longer held due to the System Bar
taking up part of the screen.
Change-Id: I2637e1494623e4c2dd7cda0f8d2d3d030dc1d356</t>
  </si>
  <si>
    <t>Delete Options Menu Test in DialogTest
Change-Id: Ieee3f1b7b73c476734af70ef3a7aa8f10182616c</t>
  </si>
  <si>
    <t>Update Screen Configuration Tests
Bug 2715720
Update ConfigurationTest to be flexible in regards to the new CDD
policies regarding screen sizes and resolutions by getting rid
of the static list of allowed resolutions and replacing it with
some looser checks.
Change-Id: If01457d7dd33bc58e32f1ef77552916006bb5cdf</t>
  </si>
  <si>
    <t>CTS : remove testCallVoicemail
Comment from btmura : Test is invalid, because the CDD doesn't say
what is required in terms of permissions by the applications that
respond to these intents. Also the Dialer isn't part of the core
systems application list defined under the CDD's 3.2.3.1. Finally,
it appears that Intent.ACTION_CALL_PRIVILEGED is a private API as
well.
Change-Id: I9dc661d8f35b0960e79061232014eee51e54410b</t>
  </si>
  <si>
    <t>Delete Broken AudioManagerTest#testMuteSolo
Bug 3188260
There is not a way using the public API to determine what streams can
be muted, so remove the broken test.
Change-Id: I5ed6c5eb65ca988fbc467d3586a434a2e3924846</t>
  </si>
  <si>
    <t>Support sharding cts runs across multiple devices.
Change-Id: I958a3cafdd48c0d619c934620aeed85abc7c0608</t>
  </si>
  <si>
    <t>Fix Broken PaintTest#testBreakText1
Bug 3188260
Use getTextWidths to get the widths of the individual
characters of the strings rather than hard coding them.
Change-Id: I17c58f991fa2901e072c69fbcf0885bf85728872</t>
  </si>
  <si>
    <t>Remove Broken ListActivityTest
Bug 3188260
It looks like there were efforts to fix this one in bug 2334738.
Change-Id: I590f92a9ea43cad2b1e7c9eba40bdea62e24410d</t>
  </si>
  <si>
    <t>Fix PaintTest#testGetTextWidths Methods
Bug 3188260
Instead of testing hard-coded values check that the various
overloads return the same widths.
Change-Id: I60ed15eacb2c1a5bc39885b8ce1bb8288caab4a6</t>
  </si>
  <si>
    <t>Removing Some Pixel Comparison Tests
Bug 4064073
These tests break when the underlying drawing libraries are
updated and don't have much to do with testing the
framework.
Change-Id: Ibfcad8c5fbc9184e635b84ea6d906b2826cad837</t>
  </si>
  <si>
    <t>More improvements to renderscript CTS tests.
Now coverage is at 57%
Change-Id: Icf7be9a660a9572efd3722391ffea21886caab0a</t>
  </si>
  <si>
    <t>Fix More Paint#breakText Tests
Bug 3188260
Accidentally uncommented 2 broken tests earlier although they do pass.
Remove those tests and consolidate the testing of the different
breakText functions into a single test.
Change-Id: Iec1b3d9f40d63a647d752b7341b29d06fd3793e9</t>
  </si>
  <si>
    <t>Remove Broken TouchDelegateTest#testOn
Bug 3188260
Change-Id: Ibcc74111be172b7afe668bbb016f2fce9745e4dc</t>
  </si>
  <si>
    <t>Remove Broken MediaControllerTests
Bug 3188260
These don't seem like they will be reliable even if they are fixed.
Change-Id: Ib2c077a0a98afd7247df7641d33781c2c32d0be6</t>
  </si>
  <si>
    <t>Remove Broken WebKit Tests
Bug 3188260
Change-Id: I0c57a1035b7286a69198173a971de67808b0e46f</t>
  </si>
  <si>
    <t>Remove Broken Widget Tests
Bug 3188260
Change-Id: Icbc5700430d1575d601efa0013eabcc7969da267</t>
  </si>
  <si>
    <t>Remove Some Broken Paint Tests
Bug 3188260
Change-Id: I7e6b4fc06f2f771b3a96f764518ee3b3cb624f50</t>
  </si>
  <si>
    <t>Fix Paint#measureText Tests
Bug 3188260
Instead of hardcoding values just check that the returned values
of the overloaded methods make some sense.
Change-Id: Ia8d97300d5b12a6528b445e0fbfc0b745665a2af</t>
  </si>
  <si>
    <t>Clean Up VideoViewTest
Remove testOnKeyDown since it fails in batch mode. Remove empty
tests that were cluttering up the file.
Change-Id: I11b1b2e518194d0732732c013acfadeae10a8f07</t>
  </si>
  <si>
    <t>Remove Test Annotation Related Tools
Removes some unused tools used to process the annotations
on test methods.
Change-Id: I2820d9c9b2a6b1474ba66243370cc061b3939559</t>
  </si>
  <si>
    <t>Remove GestureDetector_SimpleOnGestureListenerTest
GestureDetector_SimpleOnGestureListenerTest fails only when
run in batch mode after the GestureDetectorTest. This test
just does "GestureDetectorTestUtil.testGestureDetector(this,
mActivity);" with GestureDetectorStubActivity. However,
GestureDetectorTest already does this same test with the
same activity. Something about running it twice causes
a problem.
Change-Id: I1984beda26607eaa59a9df767e5f51cca90994ad</t>
  </si>
  <si>
    <t>Removing CTS Verifier Tests
Nobody runs the tests. "make cts" doesn't build them either,
so these are just a build breakage waiting to happen.
Change-Id: If4aaf411944253bc97376c4f6415a8c75aef4055</t>
  </si>
  <si>
    <t>Remove WebView CTS test testClearView()
This test does not test anything specific to WebView.clearView() and the
methods it does test are tested elsewhere.
This will simplify later refactoring to call all WebView methods on
the UI thread.
Bug: 4340864
Change-Id: I71962be83bf742bf098db1fc2e8daa32c4c3570b</t>
  </si>
  <si>
    <t>Remove this CTS test.
It is testing an API that is not in the SDK.  I want to change the API.
Begone, CTS test!
Change-Id: I807294b4f0b21be947a77c00836cbe2a90ae396f</t>
  </si>
  <si>
    <t>Make FieldPackerTest include all entry points.
Change-Id: Ifa986c2d45c03178475c10a3da72d8a220b288ba</t>
  </si>
  <si>
    <t>Revert "Check "Unknown Sources" is Enabled by Default"
This reverts commit 594e9852cc4d34e966f2389c8be67aebb69fdc53.</t>
  </si>
  <si>
    <t>Remove testUnknownSourcesByDefaultTest
This was expected to be removed by merging in the changes
from Froyo. However, since the change originated in GB,
the cherry-picking into Froyo and removing it in Froyo
ended up as a no-op when merging the removal back into GB.
Thus, remove this again!
Change-Id: I95ff719a1ce6b276e00d33e3286bd49c2255759d</t>
  </si>
  <si>
    <t>CameraTests: Only throw exceptions in main thread.
junit does not catch the exceptions in created threads.
One test failure will stop all tests.
bug:4575981
Change-Id: I0f2b5e1ed442aeb683cbc7ab891387a390d1d4fc</t>
  </si>
  <si>
    <t>Remove superfluous WebView_HitTestResultTest.java
This test file calls WebView methods on the wrong thread and the tests
it provides are a subset of those provided by
WebViewTest.testLoadDataWithBaseURL() and
WebViewTest.testGetHitTestResult().
Change-Id: I35720631a017d6f06d130c8565d9c8e0a3c9eb4c</t>
  </si>
  <si>
    <t>Remove CTS tests for completeAudioAvailable
Change-Id: I23d66d2daf52518ecc90bef067681681839ce6e2</t>
  </si>
  <si>
    <t>Revert "Requires USB Features in HC MR1"
Bug 5035596
This reverts commit 08c3c23cb652e8c23de1b2cc8f9c0a41276ed640.
Change-Id: Iffbbf579d56984cdaefe0a7e734fabc4f331d78c</t>
  </si>
  <si>
    <t>Added and updated test cases in CTS.
Added and updated test cases in CTS for improving the code coverage
for android.graphics package.
Change-Id: Id701213b77055ae737c4a92cf81c4eb8ac75f6fc</t>
  </si>
  <si>
    <t>Adding tests for most of the layout widgets.
Additionally, built individual manual lookup tool
for OEMs when a certain test does not pass. Also,
the generator can now be run from the command line
to generate the master versions of our tests.
Script to automate this is coming soon.
Change-Id: Iadbd8d53ccf0f8a6d0beb74daf729f60c385aeae</t>
  </si>
  <si>
    <t>Remove WebDriver
 Bug: 5155997
Change-Id: I4369e5caa0a7497a057ab038dddabcc2df62b7bb</t>
  </si>
  <si>
    <t>Additional refactoring of MediaPlayer tests.
Rename MediaPlayerTestHelpers to MediaPlayerTestBase, a base class that can
be extended to easily create new MediaPlayer tests.  MediaPlayerTest now
consists of tests of local files, and MediaPlayerStreamingTest consists of
tests of streams (such as the local HTTP streams that were previously in
MediaPlayerTest).
Change-Id: I9aac07e8fdbc79bcd763e0a5e0c16254c42b39b0</t>
  </si>
  <si>
    <t>Improve test coverage for WebView.get/setCertificate()
Note that this depends on https://android-git.corp.google.com/g/138147 and
https://android-git.corp.google.com/g/#/c/138309.
Also fix the comment for testClearSslPreferences(), which incorrectly claims
that WebViewClient.onReceivedSslError() is not public, and remove
SslErrorHandlerTest.java, which does nothing.
Bug: 5287216
Change-Id: I1d6d7b1d2645392bc190a980483233528343a9da</t>
  </si>
  <si>
    <t>Changed vm-tests-tf to expect failure when int/float double/long mix.
There are still roughly 70 test cases failing. Some are caused by the
verifier not checking this new condition in certain cases (array
indexes, arguments to if statements). Some are caused by other issues
that need more investigation.
See Bug: 5399299
Change-Id: I6fecad07d0131b4128874094b892ee7c8a959e18</t>
  </si>
  <si>
    <t>Various fixes to vm tests for new verifier.
Change-Id: I8f3232ae6dd3c62bbdb53ece8706a9ea281bf846
This changes the expected results of various tests cases to match the
new verifier:
- invalid version number test bumped up to never be valid
- add-long/2addr, add-double/2addr tests for mixing long/double changed
  from using const to define type which can be ambiguous
- if-eqz can't take float values for arguments, and a test for this
  failure already exists, so the extra tests were removed
- invoke-super/invoke-virtual superclass ToInt method should use
  float-to-int, not int-to-float</t>
  </si>
  <si>
    <t>Delete test for hidden API that is being removed.
Bug: 5332296
Change-Id: Id09c9092dbfc36a514207d1138a9731d8a7d529c</t>
  </si>
  <si>
    <t>Remove a test case for mms intent-filter
This test case will make sure a existence of activities for the
implicit intent which has the type of "vnd.android.cursor.dir/mms".
In AOSP, the intent-filter such as above is declared by Mms
application. However it isn't included in core applications
defined by CDD. So CTS shouldn't have that test case for all devices.
Change-Id: Ib8a322cd7b62a561767cced69bea69958a877128</t>
  </si>
  <si>
    <t>Update CTS tests as part of ContentProvider cleanup.
Bug: 5332296
Remove references to removed hidden APIs.
Change-Id: I9ef14a3006afba91ae75ae072af52e387439d88f</t>
  </si>
  <si>
    <t>Delete Performance Tests
Bug 5432523
Change-Id: I1d79ff0e2ad2abf126ef62a2b9c12ae05b503163</t>
  </si>
  <si>
    <t>Only install necessary prequisite apks.
Bug 5513483
Change-Id: Ic93592799108300d71677d7a317dd6e926502159</t>
  </si>
  <si>
    <t>Fix build: remove CtsSetupTest.
Change-Id: I319ff94876f8ef114c58c96740c56937fb6433c1</t>
  </si>
  <si>
    <t>Delete Old Test Runner
Bug 5563917
Change-Id: I4ed2cde974eee53b90f231a26a2947222aff5415</t>
  </si>
  <si>
    <t>Delete Old Theme Tests
Bug 5404694
These tests are being rewritten!
Change-Id: I43af7d02848f1c91d9a52a1639db9234be15714b</t>
  </si>
  <si>
    <t>Delete DX Tests
These haven't been executed in CTS for a long time and have fallen
into disrepair. These can be recovered later if there is a need.
Change-Id: I7d18e854a24bdcc93ca4025e211e0ac25ba0ac88</t>
  </si>
  <si>
    <t>Revert "integrate media stress test : MediaPlay and MediaRecord only"
This reverts commit 525855d4835309da5e9c35a522f6302f29f8a0a4.</t>
  </si>
  <si>
    <t>Cleanup / fixes for CTS DebugTest.
First, remove a lot of the unused old annotations and empty test methods.
Then, rewrite test for Debug.threadCpuTimeNanos, which had lots of problems as detailed in the bug.
The new simple version:
-Fires off a new thread and waits for it to complete
-In that thread, do some work and verify that the cpu time has increased
Bug: 5387112
Change-Id: I9b67db7855133bafbcaa203c6e4c483ea770aad8</t>
  </si>
  <si>
    <t>Remove VM Tests
Bug 5563917
We have a separate copy for Tradefed already.
Change-Id: I37b7090aa271a8db78f1da20b61bbf730d6c16e1</t>
  </si>
  <si>
    <t>Flesh out NDEF cts tests.
Change-Id: I82137a87d280e3b7eb1010000d2fc88f48efc308</t>
  </si>
  <si>
    <t>Remove PhoneNumberFormattingTextWatcherTest
Bug 3198578
The API behavior changed in HC, and the test hasn't been
updated to reflect the different behavior. The test
doesn't seem to work like it used to in ICS either so
removing it for now.
Change-Id: I5f6f780488ebc7519393fa4a347d48f77409626a</t>
  </si>
  <si>
    <t>Delete RefAppTest
This test wasn't doing much besides scrolling in a ListView.
It required special building rules to build it.
Change-Id: Id2905f6d09a2dd1a949629ded68a0706c7bc8e14</t>
  </si>
  <si>
    <t>Remove WebViewTest.testAddJavascriptInterfaceOddName()
This doesn't test anything to do with the Java Bridge. It merely tests features
of the JavaScript engine, so should be removed.
Bug: 3279426
Change-Id: I3ff522ae39276aa31595c242d9799fa7856af09b</t>
  </si>
  <si>
    <t>Report Installed Apps and Properties
Bug 5875919
Add a list of installed packages and properties to the report.
There are a lot of packages and properties, so I restructured the
device information section to be four columns wide and split apart
the test summary into its own area. The device information is
no longer shown by default, since it is so long and wide. However,
there is now a link at the top that allows you to toggle it.
Refactor DeviceInfoResult to utilize common functions for
serializing and parsing. Make sure it all works by adding tests
for it in DeviceInfoResultTest. The tests weren't running,
because they were not part of UnitTests. Finally, fix the
existing CtsXmlResultReporterTest failures. The mock was not
being setup properly.
Change-Id: If8f909444785267806d1e52f5270146962255271</t>
  </si>
  <si>
    <t>Don't Report Installed Apps and Properties
Bug 5875919
Keep the refactoring that was done though and redistribute the data
across the columns.
Change-Id: Ibeda4337afb8e7e1660be1f1b5effab3d045c5c9</t>
  </si>
  <si>
    <t>Some android.database CTS Cleanup
- Remove another usage of IContentProvider.
- Get rid of private API dependency on com.google.android.collect...
Change-Id: I37e04686c2420e4cb495e6b95ae3907dda07fc70</t>
  </si>
  <si>
    <t>Remove Most of dx-tests
Strip out the dx-tests that no longer compile. The build doesn't
break, because the compilation occurs in a script. These tests
haven't been running as part of CTS and are not maintained at all.
Keep the cfassembler module since that is needed by the vm-tests
which are still maintained. Rename the dx-tests directory to
cfassembler, since that is all that is in it now.
Change-Id: I038054ad0703bdd00af3b7b1012ea9ad3eabd8a6</t>
  </si>
  <si>
    <t>Revert "Add proper CTS tests for array initialization."
This reverts commit 2105f752309b8f2c558bfa06a446e4f3a5bb1262.</t>
  </si>
  <si>
    <t>Simplify Choreographer API.
Bug: 5721047
Change-Id: I495aaa0b8b6ce44efd943eab3e75eef7aa0a6f53</t>
  </si>
  <si>
    <t>Update MessageQueue barrier API tests.
Bug: 5721047
Change-Id: Ib69ff7386c0f34aa305907fff7aa62b36a892fda</t>
  </si>
  <si>
    <t>Implement tests regarding loading of network resources and data url images.
The following settings are tested:
blockNetworkImage
blockNetworkLoads
loadsImagesAutomatically
Bug:5853667
Change-Id: I8b8ace17f75e8ff1a25fc76c3ab98ece0ea2b8a6</t>
  </si>
  <si>
    <t>Add tests for new Choreographer callback token feature.
Change-Id: I5630958b201d43fb8d6cadc3b08d7a80ada8e1a0</t>
  </si>
  <si>
    <t>Automated accessibility CTS tests and added more tests.
1. Added test runners for the two accessibility sets of tests
   to the cts-tradefed test types. While these runners are
   specific to the accessibility tests, the CTS maintainers
   are fine adding specific tests to the CTS tradefed library
   since there is already such a precedent and it is not common
   for someone to need adding custom runners.
2. Modified the build rule for a CTS package to take as an
   argument a runner class name. This enabled the package to
   specify which runner to invoke the tests in it.
3. Added tests for the accessibility API to maximize CTS test
   coverage. Currently not tested are interfaces and callbacks
   invoked by the system.
5. The accessibility tests can be used as an example for writing
   tests that require modification of the secure settings or
   generally require execution of shell commands from the host
   before and after running the tests.
bug:5946699
Change-Id: I3b68bff4fed846b374a88a2abe812801bd6f2c8f</t>
  </si>
  <si>
    <t>Update tests for new Choreographer implementation.
Change-Id: I71faf70430f44d7b94a01609cfffb1b1913a61f0</t>
  </si>
  <si>
    <t>PIILogTest: remove
Now that READ_LOGS is system|signature, third party apps (including
CTS) can't read log entries associated with another app. Remove
this test.
Change-Id: Iaec82e2996028ed98e391d8e88e47b4efdcb21e0</t>
  </si>
  <si>
    <t>Revert "Cts tests for webview file origin policy changes"
This reverts commit b75e6c7911492de9acb4120c62c0654064d10846
local build failed. I don't know if it is real/have time to investigate tonight so simply reverting. will do it tomorrow.</t>
  </si>
  <si>
    <t>Remove TimeUtilsTest#testWorld
Bug 6293324
- Remove known failure testWorld because it will not be fixed.
- Fix utils package to not use private APIs.
Change-Id: I1f51c506d4e710211b782fd078973193d04a1c4d</t>
  </si>
  <si>
    <t>Removing hierarchical accessibility focus directions.
1. The accessibility focus directions are not needed since an
   accessibility service just get the root, first child, next
   sibling, previous sibling and call execute the action to
   give it accessibility focus. Now the accessibility node
   info tree is properly ordered taking into account layout
   manager directions for both layout manager that we report
   and ones that we have determined as not important for
   accessibility. Also the position of a node info are ordered
   properly based on their coordinates after all transformations
   as opposed to child index.
bug:5932640
Change-Id: Ieeb69603c89ae57eaa7d7d6a4070838d7a6e5d2b</t>
  </si>
  <si>
    <t>Remove ImageViewTest#testOnSetAlpha
Bug 6293042
Change-Id: I97c41cf1f27838b0fbce3930caf1f7cc59d038a0</t>
  </si>
  <si>
    <t>FileSystemPermissionTest: Don't stop early
When scanning the filesystem looking for bad files /
directories, the current tests stop at the first bad one.
This suppresses other findings, and gives an inaccurate
state of the security of the device.
Collect all bad files and directories before we fail, and
print them all out as part of the failure message.
Change-Id: I8494694765034b5fd557cd2618b8ddad86a17a68</t>
  </si>
  <si>
    <t>Hide RTL related APIs - DO NOT MERGE
- fix bug #6441155 API review: @hide RTL layout APIs
Change-Id: Ia3ed48ecd49528f6aa03695b8a83ae24d99bbe7b</t>
  </si>
  <si>
    <t>Hide Paint textLocale APIs - DO NOT MERGE
- fix bug #6441521 Need to @hide Paint setTextLocale / getTextLocale - CJK support
Change-Id: I23d9d0d9da28434d6c866a9c2a75206d166608ec</t>
  </si>
  <si>
    <t>Get rid of zergrush reflection test
The ZergRush vulnerability is no longer present in
this Android release. No need to test for it further.
This test is failing due to commit dc410cb3499683509770bb88cb771a91acd16bd2
in frameworks/base. The MOUNT_UNMOUNT_FILESYSTEMS permission is
signature|system, and is no longer available to third party apps.
Bug: 6448705
Change-Id: Ibf7a8439e5faef4e4c73bc3977c56a71dd93ff30</t>
  </si>
  <si>
    <t>Fix bug #6293659 android.view.cts.ViewGroupTest#testSetPadding fails - DO NOT MERGE
- remove RTL unit tests ...
Change-Id: I8c4559418b538c674e44d92fa1c94a5b4a49a0d0</t>
  </si>
  <si>
    <t>Fixing the accessibility CTS tests.
1. We are now requiring an accessibilitiy service to request
   a special premission in order to be considered by the
   system as an accessibility service. The delegating service
   did not require this permission, thus it was not enabled.
2. We decided that the input and accessibility focus will no
   longer try to sync - removed and update the relevant tests.
3. Manipulating accessibility focus now requires explore by
   touch mode - updated the tests drivers to poke the
   corresponding setting.
Change-Id: Ica617fa29208104086cc4155ac838cad086f6539</t>
  </si>
  <si>
    <t>Remove flaky GestureDetectorTest
The history of failures indicate that this test fails in different
places sometimes making it to the double tap portion or sometimes
failing early in the single tap portion.
Bug 6301808
Change-Id: I6feea055e9905a5a17115678af5a2d1acfeeb73a</t>
  </si>
  <si>
    <t>Rewrite VelocityTracker tests.
These tests are intended to characterise what makes a good
velocity tracker algorithm while allowing for alternative
implementations.  Note that the requirements are still quite
stringent.
Bug: 6413587
Change-Id: Ic02755199dd0da17d7cba4a03466e9839b5ff6fa</t>
  </si>
  <si>
    <t>Remove flakey ObjectAnimatorTest
(set|get)CurrentPlayTime rely upon the current system time, so this test
cannot be reliable.
Bug 6346629
Change-Id: Iba8d88a7d062e298fd3c8df8749e0942b1f1f6dd</t>
  </si>
  <si>
    <t>Merged skipped commits
Change-Id: I0ab45214aac0213c6de40a059b03efa0e3aec2d7</t>
  </si>
  <si>
    <t>merge from ICS
- clean up unused views
- remove too high bit-rate clips
- skip tests if there is no camera
Change-Id: Iba91656d8d375a74286982735218943482a91acb</t>
  </si>
  <si>
    <t>Remove setMaximumTimeToLock Test
JB now ignores the Stay Awake option if the DPM sets the maximum time to
lock. This causes the screen to go dark during the tests and cause
problems.
Change-Id: Ifd16f6682645e402875f69ed37a0db38364f08ac</t>
  </si>
  <si>
    <t>Updated unit test for StaticLayout line breaking
Now correctly handles space consumption at the end of lines.
Also added tests for the maximum number of lines constraint.
Change-Id: I9b354bf3cc8789b9ccc489099e19e6e4019e4744</t>
  </si>
  <si>
    <t>Remove the accessibility focus search tests since these APIs are taken out.
1. In JellyBean we have added some APIs to search for next accessibility
   focus in various directions and set accessibility focus from hover.
   However, we have decided that there is not clean answer for how this
   should behave and the APIs were hidden. Now the accessibility service
   is responsible for that. The unused code is now taken out and some
   CTS tests are obsolete.
bug:6773816
Change-Id: I73e879522e15f11b2b7af94dc9a9c89914e49e59</t>
  </si>
  <si>
    <t>Remove the accessibility focus search tests since these APIs are taken out. DO NOT MERGE
1. In JellyBean we have added some APIs to search for next accessibility
   focus in various directions and set accessibility focus from hover.
   However, we have decided that there is not clean answer for how this
   should behave and the APIs were hidden. Now the accessibility service
   is responsible for that. The unused code is now taken out and some
   CTS tests are obsolete.
bug:6773816
Change-Id: I73e879522e15f11b2b7af94dc9a9c89914e49e59</t>
  </si>
  <si>
    <t>Revert "CTS for timestamp in ScanResult"
This accompanies:
https://googleplex-android-review.googlesource.com/217002
This reverts commit 98a6d451be2559e03ba221fb382764f85e3c2038
Change-Id: Ib37b72c59aad34fe9fd4461979c5f51af1218e37</t>
  </si>
  <si>
    <t>Remove spurious test case: CookieTest.testParse
This test is inappropriate for CTS as it is testing an
implementation detail that is subject to change rather
than the CookieManager API. Semi colons were specifically
forbidden from quote cookie values in RFC 6265.
Bug: 6991300
Change-Id: I6119108fc9c21a376cd6060ff93773443b03d172</t>
  </si>
  <si>
    <t>Revert "performace test initial work"
This reverts commit b6ea46e3f074720ddae5e018b80e616f72272ed0
Change-Id: I2becc16ff320bed2174582df0ca79dcc01067e4a</t>
  </si>
  <si>
    <t>Fix bug #6427629 Clean up layout direction APIs
- rename getResolvedLayoutDirection() to getLayoutDirection()
Change-Id: Ifcba38f3aedd2ec1da751d70457296b94608506c</t>
  </si>
  <si>
    <t>Delete a bad CTS test.
This test calls WakeLock.release() without previously
having acquired the WakeLock (because it does not have
permissions to do so).  The release() turns into a no-op
on the client side because the WakeLock is not held.
Consequently the system will not check permissions
(it doesn't have to) so no SecurityException is thrown.
That said, the system does check permissions on release()
but we can't test that through the API.
Bug: 6950370
Change-Id: I4a94b33b223e8010c285b756ae7d6bbbb4f308a1</t>
  </si>
  <si>
    <t>Fix incorrect tests
Bug #7262921
Bug #7198966
Bug #7203333
Change-Id: Iaf8d1ae0cb2440e479d1bb24145e223045624246</t>
  </si>
  <si>
    <t>comment out testResourceLeakageTest
- will not be fixed in JB MR1
Change-Id: I094bc1e11021d18e2ae43925f672e005d77137a2</t>
  </si>
  <si>
    <t>nuke webkit security tests
- Tests are broken and needs whole re-write
Bug: 6950518
Bug: 6950487
Change-Id: I6e3ae169e10f9e83095e685fc6daeb84c2dd64b0</t>
  </si>
  <si>
    <t>nuke AttachShaderTest#test_glAttachShaders_successfulcompile_attach_invalid_handle_frag
- having no crashing stack for wrong parameter is nice to have feature
Bug: 6979723
Change-Id: I5ef9ddd9b6309dc2e5e48fa2e40f327d2d085574</t>
  </si>
  <si>
    <t>Remove CacheManager related tests
CacheManager will not be implemented in webviewchromium and its
implementation has been removed from WebViewClassic. So removing
CacheManager related tests.
There is no way to test WebView.clearCache in isolation without
CacheManager implementation, so removing that test as well. Note that
clearCache is tested in the test for BlockNetworkLoads.
Change-Id: Ib503ab6b51310a4a9b8a8c6995a95a274e6be861</t>
  </si>
  <si>
    <t>nuke MediaPlayerFlakyNetworkTest
- the test is flaky and no one fixes it.
Bug: 6970592
Change-Id: I3cb5080a72be439b3d820a83ead36ad4165d9fa0</t>
  </si>
  <si>
    <t>nuke android.opengl.cts.AttachShaderTest#test_glAttachedShaders_attach_same_shader
- some device sometimes crash, and it cannot be reliably tested.
Bug: 6971276
Change-Id: I2181e6174b9bc88576087e2d2fe28c25402d7836</t>
  </si>
  <si>
    <t>nuke RTSP tests from StreamingMediaPlayerTest
- RTSP tests are more vulnerable to network condition, and are flaky.
- Those tests were in known failure list for all releases, so they were not
  in public release.
Bug: 6952519, 6952297, 6952295, 6952242
Change-Id: I4466bddd70ecd16380dcbf2a142209c4d199bfd7</t>
  </si>
  <si>
    <t>nuke some android.opengl.cts.AttachShaderTest and NativeAttachShaderTest
- test_glAttachedShaders_invalidshader nuked as test passes wrong parameter and expects error code, but some device crash.
- emptryfragshader_emptyfragshader and emptryvertexshader_emptyvertexshader nuked as only one vertex or frag shader can be attached
Bug: 7298859, 6971461, 6971501, 6971275
Change-Id: I92d78d39df05c1ee57f79c874f966a264f3db97b</t>
  </si>
  <si>
    <t>Revert "Add resize2D and copyFrom(Allocation) tests to CTS."
This reverts commit 8d13f3f8cbf991832117a68053905df1659d71e0
Change-Id: Ia946390e88fe53cc08bb5339ae7e2dd46096765f</t>
  </si>
  <si>
    <t>Revert "Test that rs_script_call_t works properly."
This reverts commit 72ebb23ef0dd074e1852bc4e9d4ff75c59787b1f.</t>
  </si>
  <si>
    <t>Remove usage of WebView.setCertificate
This method will be a no-op in the Chromium powered webview.  It looks
like it may have been exposed only as a convenience for testing.  This
change updates the tests to no longer use or rely on the method.
Bug: 5012961
Change-Id: I1a88464bd1acc46e72cfe82f6e3256a7482122cf</t>
  </si>
  <si>
    <t>Remove tests for Fused Location
Remove tests for Fused Location in the coarse location CTS tests.
Change-Id: Ic0e76657e9e93fc7b700d83386c528b29e88dd53</t>
  </si>
  <si>
    <t>Revert "Add test for exposed javascript interfaces."
This reverts commit 54ea8079237becd99105093d1daf70f04d12bd24
Change-Id: I506706b501be36164a72cab3bff96b0be06af95b</t>
  </si>
  <si>
    <t>change all file writes to random access with O_SYNC
- for giving the same result for all write tests
Change-Id: I630cfb8712bf0b130cb97f42b8c1708cfa0a1358</t>
  </si>
  <si>
    <t>UiAutomator test APK and Tests for CTS
This CL will be moved to TF CTS harness
Change-Id: I07f0d5185fa758728f4be10deb62ad316f87899d</t>
  </si>
  <si>
    <t>CTS tests for UiAutomator at API 17
Change-Id: Ibe1ef7c97b69ceee504e7aaceeb34e345170d6b1</t>
  </si>
  <si>
    <t>Remove no-op cts test
Bug: 7683972
The API test that this method is testing has been a no-op and will be
deprecated/removed at some point of time. Removing the test.
Change-Id: I2948d1a2c2b867a7822a721e941af5e8ab08dd05</t>
  </si>
  <si>
    <t>Remove WebSettingsTest.testAccessNavDump
This setting is now hidden and will not be supported.
BUG=7888794
Change-Id: I9c8bd99f0078005999e27765867311e914aec33e</t>
  </si>
  <si>
    <t>Remove WebSettingsTest.testAccessUserAgent
WebSettings.{get|set}UserAgent (the integer-based version) was
deprecated long time ago and is now hidden. It will not be supported
anymore.
BUG=6212306
Change-Id: Ib87c3df3c7f5e3d23e8e1aa1b94753c7b646b949</t>
  </si>
  <si>
    <t>Remove testSaveAndRestorePicture
This is deprecated and hidden, so support no longer needed in CTS
Bug: 7888947
Change-Id: I07efc6eabeaac2a65213a465f3a0a04967569d04</t>
  </si>
  <si>
    <t>Remove cts tests for deprecated APIs
Bug: 5012826
We are deprecating save/clear/has username password APIs. Remove
related tests.
Change-Id: Ifc60195c22057209407669af9fe5c865f5c0734d</t>
  </si>
  <si>
    <t>chage browser bench to device only test
- result captured using HTTP Post
- added a minimal HTTP POST hook to CtsServer
- PtsReport() in pts_report.js is the JS side API for posting the result
- fixed the issue of opening multiple tap by using EXTRA_APPLICATION_ID
- Client is supposed to post a result before watch-dog expires.
  Time-out is 10min for Octane.
- moved watch-dog timer code from openglperf to ctsutil lib to share it.
Change-Id: I94075c65b616ca4e1464607b57e7a776e88c2eab</t>
  </si>
  <si>
    <t>Revert "Merge remote-tracking branch 'goog/master-chromium' into 'goog/master'" DO NOT MERGE
This reverts commit b1701d8ffc9226e7bec45691c7ff44ed088ebbd0, reversing
changes made to c0d57641568a73cfd7b613a9127557cbcceef5f0.
Change-Id: I71d79634428d420e095d72f5995dfcf40e3628f0</t>
  </si>
  <si>
    <t>Revert "Add CTS tests for WebSQL database."
This reverts commit 1de065b9156d171f13e2998f7a0c7dcaf29fbdd0
Change-Id: I47f13b7a97f417ca9c3f560a643119347c55afab</t>
  </si>
  <si>
    <t>Remove testDatabaseEnabled
Bug:8231270
remove testDatabaseEnabled since there is no reasonable way to
implement it due to webkit limitations. Will add later if
we find a solution or webkit limitations are fixed.
Change-Id: I502b57285cc2ec36fe1b5fe08f0fc70c35b9c6ff</t>
  </si>
  <si>
    <t>Revert "Add CTS tests for new Trigger Sensor APIs."
This reverts commit 3d440cae50b1e6fc1d30d2e6e2d232907c0fb2ab.</t>
  </si>
  <si>
    <t>Revert "require seccomp"
This reverts commit fa79c10e91454f2af57691fde2648e9c8daada3b.</t>
  </si>
  <si>
    <t>DO NOT MERGE remove pts
Change-Id: Iab2fdae3692e3d4a716093749b65a3b4a7c5c735</t>
  </si>
  <si>
    <t>DO NOT MERGE - remove dns test from MR2
bug:8658901
Change-Id: I979f38545d7bde91e3711d09ba4278e02183a05b</t>
  </si>
  <si>
    <t>Calculating jank from the timestamps.
The reference benchmark was too heavy so instead the primitive benchmark
is being run with the smallest workload. A thread then queries the
timestamps from the device and calculates the jank.
Also switched the host side test away from UI automator as it was no
longer needed.
Change-Id: Ibe6e34b5815f67bd51ef303bba8ac265cd04af10</t>
  </si>
  <si>
    <t>The formatDateRange tests have moved.
They're now in libcore, where they're more extensive -- even testing actual
ranges -- and cover multiple locales, not just en_US.
Bug: 7289514
Change-Id: I5803ea5e7c5773881ce2f67ec66fc74c45e90b6f</t>
  </si>
  <si>
    <t>Update cts tests to be compatible for both art and dalvik.
- Removes tests that check that certain integral types can't be put into
  other integral types, ie. an int value of 2 put into a boolean. Dalvik
  disallows this, but art allows this. However, the instruction type must
  still match the array or field type.
- Changed how some invoke tests are run to trigger a runtime exception
  expected in art, as well as a verification error expected in dalvik.
- Changed some invoke tests to allow NoSuchMethodError expected in dalvik
  and VerifyError expected in art, with art being closer to the RI.
- Fixed various bytecodes to have proper arguments because art has
  stricter checks.
Bug: 10135051
Change-Id: I48fbf24d5f07faf23bb404685998bd358846b76b</t>
  </si>
  <si>
    <t>Removing older Jank tests.
Change-Id: I1003a1876ec77db364944379b92c7210533fdc40</t>
  </si>
  <si>
    <t>Remove tests for hidden ContentProvider APIs.
Bug: 10329944
Change-Id: I63be7f814e4f7c0fb47d26376f682289be04bad7</t>
  </si>
  <si>
    <t>Remove testNoLoadableModules()
The existing test is too coarse, and needs to be refined further.
Bug: 10415302
Change-Id: I4635d939dbff24950ae94189667da013f3fe7d75</t>
  </si>
  <si>
    <t>Remove duplicate test.
This test moved to live with the code in libcore
as part of e1a17472940f90d6712203f3523bb054bdbfd6e4.
Bug: 10209343
Change-Id: I1e2ef3434545971c51543cf819134e8750b065e3</t>
  </si>
  <si>
    <t>Disable cross test in relaxed mode
bug 10667455
Due to allowing different rounding modes in relaxed
the mul &amp; add pattern can produce large ulp errors when the
adds cancel each other.  This is normal and should not
be tested.
Change-Id: I3d3fbbceb58954a5222fb5916d6a556dbad1d4b4</t>
  </si>
  <si>
    <t>Remove unenforced READ_EXTERNAL_STORAGE tests.
This permission is now always enforced in KLP, so these tests are no
longer valid.
Bug: 10668366
Change-Id: I809e70bf1cdcb7ae0244531a748d1342cf151856</t>
  </si>
  <si>
    <t>Better activity resolution tests; AFD exceptions.
When calling Intent.resolveActivity(), test the various modes
separately.  Instead of hard-coding ResolverActivity, require that
whatever is returned will be able to update preferred activities.
AFD.createOutputStream() now throws IOException to match the
createInputStream() behavior.  This is a checked exception instead
of a RuntimeException, so we're reducing the severity.
Bug: 10309677, 10667113
Change-Id: If47a5c71bc5ec5a5070aef5979e2fba948ed29bb</t>
  </si>
  <si>
    <t>Camera2: Use CameraManager to get camera properties
Use CameraManager#getCameraCharacteristics rather than
CameraDevice#getProperties.
Bug: 10360518
Change-Id: I9c66c614223f3c5b95284a7d60ab113cb2b4d6a3</t>
  </si>
  <si>
    <t>Update CTS tests: remove acquireContentProviderClient test.
This test is dependent upon whether or not the content provider defines
any path permissions - if it does the acquireContentProvider call will
not throw. Since acquiring the content provider alone is no the important
part of the test, remove it. Querying/updating the content provider is
handled by the other test cases here, and these are what matter.
Change-Id: I880d01fe25b69c705bfb81d0c76a225e5100a981
Signed-off-by: Mathew Inwood &lt;mathewi@google.com&gt;</t>
  </si>
  <si>
    <t>Test new READ/WRITE_EXTERNAL_STORAGE behavior.
In KLP, the platform now makes package-specific directories on
external storage available to apps without requiring they hold any
storage permissions.  This change uses three different packages to
verify behavior of apps with no permissions, with READ_EXTERNAL,
and with WRITE_EXTERNAL.  All three packages run a set of common
tests to verify that package-specific directories are always
writable.
Also verifies behavior of new APIs that provide access to secondary
external storage devices.  Specifically, apps only get write access
to their package-specific directories.  Apps holding WRITE_EXTERNAL
can only write outside their package-specific directories on primary
external storage.
Bug: 10577541
Change-Id: I467221c358fdc69f88d0df81d7ee50ad3c5ab5d5</t>
  </si>
  <si>
    <t>Verify VIEW on MediaStore content, Contacts.
Verify that ACTION_VIEW is supported for directories of MediaStore
content.  Add tests for VIEW, PICK, and GET_CONTENT of contacts.
Remove search actions that are provided by apps, not by the platform.
Bug: 11045510, 11054437
Change-Id: I0bbd8ce229bb8b189b7394bd771ca6d58bb420ae</t>
  </si>
  <si>
    <t>- Refactor test code for bigger reusability.
- Fixes b/11118310 by using the norm to identify the validity of the sensor data.
- Adds regression tests for various timestamp issues.
Change-Id: I0baaa264144a4e630227407fa084d1fcd6322b63</t>
  </si>
  <si>
    <t>Remove test for UrlInterceptRegistry.
This is not a public API and will be removed soon.
Bug: 10427705
Change-Id: I750788aace225159fdd78c50b56051769d24b81d</t>
  </si>
  <si>
    <t>Refactor sensor tests to use composable test operations.
Operations introduced:
- Helpers: Composite, for loop.
- Base: Norm, StdDev, Jittering, Frequency, event ordering.
b/11159143
b/11161432
Change-Id: Ic2c70cc930e4f3d86bd5bf057edbed6a7067b134</t>
  </si>
  <si>
    <t>Removing older Jank tests.
Change-Id: If45be1dbf1740dbaa589856f403e7acba544f397</t>
  </si>
  <si>
    <t>Removing Bootup tests.
Change-Id: I34b47a901042b7beb43b6a2241b45db875620531</t>
  </si>
  <si>
    <t>Partially revert "CTS tests for LOCATION_MODE"
This partially reverts commit d6c95539981804e5ac691e6358ad078e48accb6e,
https://googleplex-android-review.googlesource.com/#/c/380591
- That CL ended up being a dead-end
Change-Id: If222806eebbe304fc614e17fa064c1580f5e3ee7</t>
  </si>
  <si>
    <t>Add test to prevent unknown CAs from being shipped.
Bug: 11483665
Change-Id: Iebf0fe21926bb3a1ef1f94e3fbea72325cbd85ee</t>
  </si>
  <si>
    <t>Add test to prevent unknown CAs from being shipped.
Bug: 11483665
Change-Id: Iebf0fe21926bb3a1ef1f94e3fbea72325cbd85ee
(cherry picked from commit 562ec52401a65facf4b5f1a7af06d66ac95c9022)</t>
  </si>
  <si>
    <t>Uncomment some fixed WebView tests
Some long standing errors (pre Froyo?) appear fixed since the move to
chromium webview, so re-enable them.
Also remove a pointless empty 'internal' test and inherently racy
getFavicon test (now covered by onReceivedIconTest instead).
Change-Id: I5652d928afce72ffa728d27ad1eb646040af9f66</t>
  </si>
  <si>
    <t>Revert "Verify content url parameters are not stripped"
This reverts commit 496f375f4f39faf4861023b4a2868d289b424c44.
Change-Id: Id092169b23266e655df814989abeacb57d2befd9</t>
  </si>
  <si>
    <t>Adding CTS test samples device- and host-side tests.
Change-Id: I925182e7565284e335ef7a5b64a80c7b60aa1d38</t>
  </si>
  <si>
    <t>Remove a test for a debug function that has been removed.
Change-Id: I8baeaa420aeae8ff4364fc1131835159fd013abd</t>
  </si>
  <si>
    <t>Revert "DO NOT MERGE Add test to check for duplicate random output"
Merged failed.
This reverts commit 4c77c14ba0a97c5fdee364cb063e6a1e124612aa.
Change-Id: I90a351d03dbaca3ec1a63aea6082a4d6ef91c381</t>
  </si>
  <si>
    <t>Native tests use --gtest_list_tests for test list.
Rewrite the nativescanner to parse the output of --gtest_list_tests.
Modify the rules for the xml test list generation to build the special
host test list executables and pipe the output to the native scanner.
Modify all of the native tests to create a host list executable.
Remove the known failures list for bionic tests.
Bug: 10914944
Change-Id: Ib4d7da0f260eeef08db6fd083cfeecf92459979b</t>
  </si>
  <si>
    <t>Enhance the CTS tests.
These are the new auto-generated tests.  The generator will
be in another CL.
Change-Id: I7bc955e6a7b55b83d48b884c586e52797d89806f</t>
  </si>
  <si>
    <t>Native tests use a text file based test list.
Rewrite the nativescanner to parse the output of --gtest_list_tests.
Modify the rules for the xml test list generation to cat the text file
as the source of the test lists. The text file was generated by running
all three gtest tests with the --gtest_list_tests option and saving it
to a file.
Remove the known failures list for bionic tests.
Bug: 10914944
(partial cherry-pick of 2830d721b4173ac7a91e4fc8b9cc0cafaaf86460 from aosp master)
Change-Id: I0a35f191f050e007d2b657b0ad871f38a8f27a9b</t>
  </si>
  <si>
    <t>Extend CTS VP8 encoder and decoder tests.
Bug: 11990571
- Change basic test to encode video streams with a set of bitrates and
  verify that actual bitrate values are close to the target.
- Add encoding and decoding quality statistics to the tests.
- Add video quality test, which will encode and decode video stream at
  various bitrates, check PSNR, verifies that video streams with higher
  bitrates have higher PSNR and compare PSNR values of platform
  specific and reference SW video codecs.
- Add function to select platform specific VP8 codec.
- Add YUV420p-&gt;NV12 and NV12-&gt;YUV420p color space conversions.
- Add support for a few variants of NV12 color space to encoder input
  and decoder output.
- Tested on N4 and N5 devices. Code currently supports
  a few Qualcomm specific color space formats. This part may need
  to be extended later for other devices if any non standard
  color formats will be used.
- Some test results for N4 and N5 device:
a) PSNR values calculated for 9 seconds of football_qvga
   QVGA 30 fps video:
  300 kbps: SW codec PSNR: 33.1 dB. HW codec PSNR: 32.5 dB.
  500 kbps: SW codec PSNR: 35.2 dB. HW codec PSNR: 34.9 dB.
  700 kbps: SW codec PSNR: 36.6 dB. HW codec PSNR: 36.7 dB.
  900 kbps: SW codec PSNR: 37.8 dB. HW codec PSNR: 38.0 dB.
b) Force key frame requests to the HW codec are working well giving
   key frame interval value exactly as was requested. For SW
   codec generated key frames may appear 2 frames after the request
   was actually made.
c) Dynamic bitrate change is also working well for N5 device - the
   transition to new bitrate is fast and generated bitrate after the
   change request follows the target value close enough.
   For SW codec dynamic bitrate change is not working well
   (b/12908952) - actual bitrate value after the adjustment is
   too different from the expected one.
Change-Id: I4930f0afe69912624d311dc772ed6b088a35da4c</t>
  </si>
  <si>
    <t>improve EncodeVirtualDisplayWithCompositionTest to check rendered output
- use one more virtual display and TextureView
- check output from rendering (only single pixel)
bug: 13529193
Change-Id: I0ec2c2d44ca3a72d9fe7005b82c99a968955ad70</t>
  </si>
  <si>
    <t>Allow for long running operations.
Refactor sensor verifications to allow for running verifications on the
fly.  This changes how the sensor manager works, moves the test sensor
event listener to a separate class, and breaks up the verifications into
individual classes for more flexibility.
Change-Id: If712edb589206adce95347de2e0fe975fcaff188</t>
  </si>
  <si>
    <t>Revert: Add native test for RS loop filter intrinsic
Change-Id: I3cefcc352b00b4bff9b36d61102b1f390b19618e</t>
  </si>
  <si>
    <t>DO NOT MERGE : Revert "DO NOT MERGE Fixing accessibility CTS tests."
Bug: 8487047
See comment #12 (fix not applicable to jb-mr1.1-dev)
This reverts commit f09eb74555a4c8d46fa908fa83099a26a28d80eb.
Change-Id: I34e9308be8c36361c3b06ba5b1eb7539244809d1</t>
  </si>
  <si>
    <t>Remove animated support from VectorDrawable CTS test
Change-Id: If3b3e3eec8737201d6ea4a9d0424b2fcc69742c8</t>
  </si>
  <si>
    <t>Camera2: Update cts for DNG tag change
Change-Id: I576084fbf0d8f628cb64518b4514e77cf52fb21c</t>
  </si>
  <si>
    <t>Camera2: update ImageReader tests
1. Add repeating Raw/JPEG tests
2. Trim verbose test names
Change-Id: If3f001b96f7c5fa8f8ec1c3a28c881cbe7c2ff0d</t>
  </si>
  <si>
    <t>camera2: Change tests to use StreamConfigurationMap
Bug: 14628001
Change-Id: I2db490a0849680a133a901403477a147b004fb28</t>
  </si>
  <si>
    <t>Remove the pointless ResolveInfo_DisplayNameComparatorTest.
bug:13247366
Change-Id: Ic5f0dd0173f8a2fbf832893caa18fc4d57372508</t>
  </si>
  <si>
    <t>Camera2: Mark the under-specified tags for FUTURE
Also clean up the tag ids.
Bug: 15168075
Change-Id: I57fb6fb37e512c224370c72d806a4b702360f29f</t>
  </si>
  <si>
    <t>DO NOT MERGE: Remove the VectorDrawable's CTS
Change-Id: If348bfd2f92db7c85c131e7530a355268deca178</t>
  </si>
  <si>
    <t>camera2: Update cts tests with managed key classes.
Switches to using managed value classes for the following keys:
- android.sensor.info.sensitivityRange
- android.sensor.info.exposureTimeRange
- android.jpeg.gpsCoordinates
- android.jpeg.gpsTimestamp
- android.jpeg.gpsProcessingMethod
- android.statistics.lensShadingMap
- android.lens.info.shadingMapSize
Bug: 14628001
Change-Id: Ia0f541242f529ab9ba3111db799306b198f2b40b</t>
  </si>
  <si>
    <t>Camera2: Add video snapshot CTS test
Record for some time, take a video snapshot and then record for
some time. After that check for the format and size of video
snapshot image and frame jittering.
Also refactor the code a bit to remove redundant preview suface
code.
Bug: 15391268
Change-Id: I3d98e3b73da078fd9fedc02f7f72fbc1bd15b438</t>
  </si>
  <si>
    <t>Camera2: Hide input stream related key and enum
Bug: 14622091
Change-Id: Id8fc20b752da876f00a94d0262cd9468951bb36d</t>
  </si>
  <si>
    <t>Revert "Add CTS tests for tinting API"
This reverts commit 8386822c69457adddca52bc9b7146dde368fec9d.
Change-Id: Id235968c3f547b362acc41d9366bebb9de546886</t>
  </si>
  <si>
    <t>Removing Holo UI device side tests.
Change-Id: I39a610073b1e8442ac67e9a9ffcc46d54336d988
Bug: 15567774</t>
  </si>
  <si>
    <t>Deprecate the Cookie Sync Manager
The CookieSyncManager is largely useless as the WebView
automatically syncs cookies every 30s (whether you like it
or not). The one method which needs to be saved is sync,
there is no other way to force a sync without this.
We move sync to the CookieManager and rename it to flush
for greater consistency.
Bug: 11060034
Change-Id: I8f6e14a8cf0b4dc74e95403ddc0f26bebbe18b31</t>
  </si>
  <si>
    <t>Update PinnedPositions CTS tests
Update PinnedPositions CTS tests to follow the new PinnedPositions
APIs
Bug: 15593967
Change-Id: Ia5955626493374aecbb11a5694517befb8587ab9</t>
  </si>
  <si>
    <t>Remove test for unsafe getTextColor method
BUG: 15782973
Change-Id: I7639a03ff4d99e929a88d20c0447823807d13bfc</t>
  </si>
  <si>
    <t>Disable Third Party Cookie Test
The CTS test for the WebView third party cookie APIs landed
before the implmentation had been merged from master-chromium
into master.
Bug: 11678084
Change-Id: I0e4369c98e2f32258d35748544db97aa4467a3e8</t>
  </si>
  <si>
    <t>SELinuxTest: remove testRild
rild_prop doesn't exist as of https://android-review.googlesource.com/98363
This test is failing. Delete it.
Change-Id: I3a8dfb2ef1dfb5211facae14f890f0a8c323804a</t>
  </si>
  <si>
    <t>More tests for the CTS TimeTest
Bug: 15765976
Change-Id: Ic06d8a8138b5dfada7c91d4984e71af4da1bfda3</t>
  </si>
  <si>
    <t>More tests for the CTS TimeTest
(cherry picked from commit c132d4188f17b2e408907e059ab58f5ae6c3f292)
Bug: 15765976
Change-Id: I9126e3fcbe13ee6d9c5b3ec20dae0141843974ed</t>
  </si>
  <si>
    <t>Revert "Adding app widget CTS tests."
The CTS build is broken because of this change.
This reverts commit d4b40bae92e42c89744d6e1453927c3a5b0e89fd.
Bug: 16483829
Change-Id: Ie86eb2a4720e8a5372354d6ea4600dadd1d47945</t>
  </si>
  <si>
    <t>camera2:  Update CTS for noise model.
Bug: 16369384
Change-Id: I7a540705176c7be68431a977e2b7218ffa1bddd0</t>
  </si>
  <si>
    <t>Add TvInputInfoTest
Add TvInputInfoTest and deprecate badly outdated TvInputManagerTest.
Bug: 16831503, Bug: 16409584
Change-Id: Id1fa670859a9824ca644e0b39e961e9e65694f85</t>
  </si>
  <si>
    <t>Remove tests that no longer make sense
StaticLayout no longer directly implements functionality to identify
line break opportunities. This commit removes (incorrect) tests for old
functionality and fixes other tests for the new (correct) behavior.
This fixes b/16867493.
Change-Id: I5af288f5736ad95e62399bbcc8ca978a9430cc5a</t>
  </si>
  <si>
    <t>Delete tests for setApplicationsHidden, which has been removed from the API
As requested in the API review.
Bug: 17005622
Change-Id: I832084c45b8719e06ec769cd9bdb3c99444bd7e9</t>
  </si>
  <si>
    <t>Update RS CTS tests for 64-bit.
bug 16846318
Change-Id: Ibd9f4473967839a41fcf6889be265c39e1b9fba1</t>
  </si>
  <si>
    <t>Don't require dmesg_restrict to always be 1
We are now enforcing dmesg access via SELinux, rather than using this
inflexible global flag.
See system/core commit 1a6184baf3e01bf7786fb14de4216bcb4e3b2f70
Bug: 10020939
Bug: 17185029
Change-Id: Ia952565dc2785c3d6fa9e720b2062d1f0b0fc254</t>
  </si>
  <si>
    <t>Remove RSG tests.
bug 16846318
Change-Id: Ib0d71a32fa71c081458fb3c328a859fac611175e</t>
  </si>
  <si>
    <t>Update ApiLevel-18 reference images to CtsThemeHostTestCases and delete CtsHoloTestCases
bug: 17160329
Change-Id: I865fdad3639ed37d9f2c9e382d0f28dff023d293</t>
  </si>
  <si>
    <t>Update ApiLevel-19 reference images to CtsThemeHostTestCases
Update the reference images from ApiLevel 18 to 19 and also delete CtsHoloTestCases
Bug: 17160329
Change-Id: I009d7c0b2b3d491c70b1f235969e436874d24586</t>
  </si>
  <si>
    <t>camera2: Remove obsolete CameraCharacteristicsTest
This test has now been fully superceded by
ExtendedCameraCharacteristicsTest
Bug: 17282060
Change-Id: Ic421d0712c78129f0c72251119654856db86a7cf</t>
  </si>
  <si>
    <t>Create a theme test in cts and updated reference pictures
1) Move android.host.holo to android.host.theme
2) Migrate other tests from android.holo to android.host.theme
3) Skip theme test for watch and tv
4) Delete the CtsHoloTestCases
bug: 17160329
Change-Id: I17bddcbd3a97d5638ba77a6f6b7b0b492c63d4cb</t>
  </si>
  <si>
    <t>Remove setCdmaSubscription API.
Bug: 17255752
Change-Id: Ibcc2abe001343c8e3c1bf5d633f82fcc91eebe9f</t>
  </si>
  <si>
    <t>Remove SqliteJournalLeakTest
This tested for a 2 year old vulnerability which is fixed in
all recent Android releases. No need to test for it further.
Bug: 17499477
Change-Id: Ic13698798fd4bbfdf0fefe4f61ca996b858bc1ef</t>
  </si>
  <si>
    <t>Make window introspection tests more robust.
The window introspection CTS tests were hardcoding the assumption
that there is always a nav bar and a status bar which is not always
true. For example, a wearable may not have space for both. This
change makes the tests more rebust by removing tests that rely on
existence of nav and status bars while making other window tests
agnosinc for the existence of these windows.
bug:17499420
Change-Id: Ieabb33ad106f805d49e87169d594f6a0b211864e</t>
  </si>
  <si>
    <t>Remove Telecom CTS tests
android.telecom.* APIs have been marked @hide, so remove their CTS
tests.
Bug: 17569532
Change-Id: Ibd7240ed3442b1d3c9257eb2c65673f9a577f54a</t>
  </si>
  <si>
    <t>NoReadLogsPermissionTest: don't depend on directory read access
In L, the /dev/log directory isn't world-readable. Expand out the
full list of files, and test each file individually to make sure
it has the appropriate permissions.
Allow for the non-existance of any file. With the migration to the
userspace logger, we expect these entries to go away over time.
Bug: 17594208
Change-Id: Id275e1aeb8e14ebd77ec53bc5a54bfb6cc7853fc</t>
  </si>
  <si>
    <t>Update CTS ConnectivityManager permissions tests to work with L release.
Removed getNetworkPreference() and setNetworkPreference() tests as
these functions are now fully deprecated and do nothing, including
performing no permissions checks.
Adjusted the arguments used to test startUsingNetworkFeature() to
make them more realistic as this function now performs some basic
argument checking before testing permissions.
Removed stopUsingNetworkFeature() test as this function can't
encounter permissions failures anymore.  It will only fail to find
a record of a matching startUsingNetworkFeature() call and return -1.
bug:17187446
bug:17187549
Change-Id: I14c310890c6905a9464d61113c2bfd789f290937</t>
  </si>
  <si>
    <t>Deleting the cts tests for Sim restricted APIs from lmp-dev
Bug: 17639966
Change-Id: I36297d488af1bacd8666de84fc0e9ff61b95e58e</t>
  </si>
  <si>
    <t>Removing AudioEffectTest: ConstructorFromUuid()
This test failed in devices that offloaded any of their effects, and
used hidden apis. Removed from test file and noted in knownfailures.txt
bug: 17605875
Change-Id: Idb464c56c4f32719d8800d63fef6ba97f11668f2</t>
  </si>
  <si>
    <t>Add integration to Gyroscope tests.
b/17629928
Remove testWaving from step counter/detector tests.
b/17670758
Change-Id: I6c82b3e8b3182e29e90764890b28ab397e09728f</t>
  </si>
  <si>
    <t>Remove loop filter test.
This was never a public API intended only to support VP9
Since this is not happening for L, remove test.
bug 17720646
Change-Id: I8964dc90c74203bb6293903c1b094d58e6c0f24a</t>
  </si>
  <si>
    <t>Create environment for running CTS test for Device Owner
At the moment, all DeviceOwner tests are implemented as GTS tests.
However, many of them can be run as CTS tests (i.e. they don't
require special permissions). I've moved across those tests on this change.
Also, I've renamed Profile Owner tests to Managed Profile to avoid confusion.
Bug: 17312478
Change-Id: I426e5b752a36403ec84f5b914558dfbcd407a08a</t>
  </si>
  <si>
    <t>Remove loop filter test.
Change-Id: I59c6f1c0492ca254fbc658db67a5dbb9a2804769</t>
  </si>
  <si>
    <t>skip audio effect tests when not applicable
Only Equalizer and Visualizer audio effects are mandated.
Skip the test when the platform does not support audio output
or when an effect is not reported as being implemented.
Bug: 18085894.
Bug: 15338282.
Change-Id: I2ca3af69737a5d1ae76e9505998c485ff57f9c96</t>
  </si>
  <si>
    <t>Fix NoExecutePermissionTest
Don't look for magic keywords such as [heap] or [stack],
as they aren't guaranteed to be present in /proc/self/maps.
Instead, determine the address of
1) a stack pointer
2) a heap pointer
3) an executable pointer
and check to see if they have the expected page permissions.
Bug: 16873288
Change-Id: I16f6066d1b5d26bc491e413de1d10e98aec9c81c</t>
  </si>
  <si>
    <t>DO NOT MERGE. Change SELinux neverallow tests to be sepolicy-analyze based.
Change I47c16ccb910ac730c092cb3ab977c59cb8197ce0 added support to
sepolicy-analyze for checking the SELinux policy binary for neverallow rule
violations.  This offers an improvement over the current tests, since this now
checks the entire policy rather than just the components which are extracted
from the AOSP policy.  Remove the old tests and replace them with the new.
Bug: 18004296
Change-Id: Iefe508df265f62efa92f8eb74fc65542d39e3e74</t>
  </si>
  <si>
    <t>Change SELinux neverallow tests to be sepolicy-analyze based.
Change I47c16ccb910ac730c092cb3ab977c59cb8197ce0 added support to
sepolicy-analyze for checking the SELinux policy binary for neverallow rule
violations.  This offers an improvement over the current tests, since this now
checks the entire policy rather than just the components which are extracted
from the AOSP policy.  Remove the old tests and replace them with the new.
Bug: 18004296
Change-Id: Iefe508df265f62efa92f8eb74fc65542d39e3e74
Conflicts:
	tests/tests/security/Android.mk</t>
  </si>
  <si>
    <t>Remove CTS test for MaximumTimeToLock
It was removing the stay awake setting thus ruining other CTS tests.
Test has been moved to GTS to be possible to restore the setting
after test has run.
Bug: 18002490
Change-Id: I91746032df08ef0fdef05711114691da18796a0a</t>
  </si>
  <si>
    <t>Avoid calling inflate() multiple times in AnimationDrawableTest
Calling inflate() multiple times has undefined behavior. It has only
worked in this particular test because the specific fields being
tested were consistently overwritten while others were not. It is
extremely unlikely that any developer was relying on this behavior.
This fix is needed to implement theme support in AnimationDrawable
that is consistent with the other drawable classes without breaking
the CTS tests.
Also fixes exception type thrown from ScaleDrawable to be consistent
with other drawable wrapper classes.
BUG: 16045735
Change-Id: Ib36834000e7791585ade0d168bbf011b4d219751</t>
  </si>
  <si>
    <t>Change SELinux neverallow tests to be sepolicy-analyze based.
Change I47c16ccb910ac730c092cb3ab977c59cb8197ce0 added support to
sepolicy-analyze for checking the SELinux policy binary for neverallow rule
violations.  This offers an improvement over the current tests, since this now
checks the entire policy rather than just the components which are extracted
from the AOSP policy.  Remove the old tests and replace them with the new.
Bug: 18004296
Change-Id: Iefe508df265f62efa92f8eb74fc65542d39e3e74</t>
  </si>
  <si>
    <t>Change SELinux neverallow tests to be sepolicy-analyze based.
Change I47c16ccb910ac730c092cb3ab977c59cb8197ce0 added support to
sepolicy-analyze for checking the SELinux policy binary for neverallow rule
violations.  This offers an improvement over the current tests, since this now
checks the entire policy rather than just the components which are extracted
from the AOSP policy.  Remove the old tests and replace them with the new.
Bug: 18004296
Cherry-pick of commit: d8f368c35d1dcdba572de21888bfdac2ac7d408c, which is a
cherry-pick of commit: 1e4bf6161c7e771c48540cd77d8e7ada69af8c95
Change-Id: I7c1d25493c311256b09598cf3874753331d81dd7</t>
  </si>
  <si>
    <t>Split SELinux neverallow rules test.
The current neverallow rules test component of the security host tests is
responsible for validating all of the security assertions present as part of
the neverallow rules present, but it offers an all-or-nothing result. Given
the number and scope of those rules, finer granularity is desired.  This CL
dynamically produces a java source file at build-time which has split each
neverallow rule into its own test.
Bug: 18005561
Change-Id: Ib3b454766419532de69f1726bd03215d35d6d495</t>
  </si>
  <si>
    <t>new SMS and MMS API
BUG: 18005911
Change-Id: I06769e84efc2ebcd5b647bfb4580cd1911412bc1</t>
  </si>
  <si>
    <t>media: don't test video decoders &amp; encoders on watch devices
This patch includes additional fixes for CTS tests that are still
run on watch devices.
Bug: 18664566
Change-Id: Ia69b76a781a1eff8e109e07f4176b1860b6454e7</t>
  </si>
  <si>
    <t>Remove ineffective sock_diag cts test.
SELinux now prevents access to netlink sockets for untrusted_app.
This effectively renders the previously existing sockDiagTest
useless.  Remove it.
Change-Id: Ie99709070dfc0d7b062a4c5b27638cd027585a16</t>
  </si>
  <si>
    <t>Remove useless AnimationDrawable test, fix test for default one-shot
The testInflateMissingAttributes() test was broken and didn't actually
testing any functionality that wasn't already covered by other tests.
Change-Id: Ia3e92cf0f6799f2f3c06ca85e11b7b7bda72b618</t>
  </si>
  <si>
    <t>Relax /dev/diag test
Rather than asserting that /dev/diag isn't present, only assert that
it's not readable / writable. It may be used by other parts of
Android.
Bug: 18776555
Change-Id: I63f3193ab9ae8bcad259e9ee607239a805ec9bd4</t>
  </si>
  <si>
    <t>DO NOT MERGE Remove useless AnimationDrawable test, fix test for default one-shot
The testInflateMissingAttributes() test was broken and wasn't really
testing any functionality that wasn't already covered by other tests.
BUG: 18784598
Change-Id: Ia3e92cf0f6799f2f3c06ca85e11b7b7bda72b618
(cherry picked from commit 72cdd8ea759d0681042361faad31ed6a5ac3fbe7)</t>
  </si>
  <si>
    <t>Revert "Cts tests for Settings intents"
This reverts commit 122af17e0c46dc39bc9d468b6e2c10794c5968fd.
Change-Id: I2b1121601dc77ae0101b5585b3b7bf446163a101</t>
  </si>
  <si>
    <t>Change SELinux neverallow tests to be sepolicy-analyze based.
Change I47c16ccb910ac730c092cb3ab977c59cb8197ce0 added support to
sepolicy-analyze for checking the SELinux policy binary for neverallow rule
violations.  This offers an improvement over the current tests, since this now
checks the entire policy rather than just the components which are extracted
from the AOSP policy.  Remove the old tests and replace them with the new.
Cherry-pick from commit: 1e4bf6161c7e771c48540cd77d8e7ada69af8c95
Bug: 19191637
Change-Id: I594a9df75ad52a07b101d71d11d9517dbf9d79be</t>
  </si>
  <si>
    <t>Split SELinux neverallow rules test.
The current neverallow rules test component of the security host tests is
responsible for validating all of the security assertions present as part of
the neverallow rules present, but it offers an all-or-nothing result. Given
the number and scope of those rules, finer granularity is desired.  This CL
dynamically produces a java source file at build-time which has split each
neverallow rule into its own test.
Bug: 18005561
Bug: 18617876
Cherry-pick of commit: b34ae0b2998aa3ac14034b2a8e48b6d4e94f7605
with commit: a44c966e626ba1ed4476c5e45fdade51fffcf74a squashed in.
Bug: 19191637</t>
  </si>
  <si>
    <t>Update the settings provider tests.
Some settings provider tests were testing internal implementation,
rather public APIs and had to be removed. Some other tests were
assuming presence of certain settings which is no longer true and
needed an pdate. Other tests were plain wrong.
Change-Id: Ic5f9c4982dd103a7e5183e6277935178e6b799eb</t>
  </si>
  <si>
    <t>FileSystemPermissionTest: Eliminate tests which access /proc/1/mounts
/proc/1/mounts is unreadable to CTS due to SELinux restrictions.
Drop the failing tests which attempt to access that file.
Change-Id: I73bfa701fd32e6f36097b89225982b7cbb132ad0</t>
  </si>
  <si>
    <t>Revert "Extend tests for Ctrl-Z undo in TextView"
This reverts commit 695b60c38c85d3bd6e8cc09e2bc22fad78f77e6d.
The code being tested was reverted.
Bug: 19505388
Bug: 19332904</t>
  </si>
  <si>
    <t>Revert "Add test for Ctrl-Z undo in editable TextViews"
This reverts commit c3fdc549adfae02c6749f1339cd7c45607799f77.
The code being tested was reverted.
Bug: 19505388
Bug: 19332904</t>
  </si>
  <si>
    <t>Fix build: Revert "[RenderScript] Add CTS tests for Allocation.copy1DRangeTo &amp;"
This reverts commit 0a5f066a6e8d9f3047710f467f8c0feb7a7e22e9.</t>
  </si>
  <si>
    <t>Delete obsolete security tests
These security bugs have been fixed for a really long time,
and the tests are broken and useless. Delete them.
Bug: 19658591
Change-Id: I1b0bb19c7ac28b0f274b1c6adafda4d0437e140c</t>
  </si>
  <si>
    <t>Remove KeystoreExploitTest
SELinux denies the ability to examine /proc entries, so this
test is effectively useless now.
Bug: 19699013
Change-Id: I7ffe2e37da2e70ababf7a090b6342a6d37487db9</t>
  </si>
  <si>
    <t>Revert "[RenderScript] Add CTS tests for RS C++ Allocation APIs"
Will resubmit when the API CL got merged.
This reverts commit bfe1405befe2138259d2fdcbd93a6011620b7a89.
Change-Id: I891190fb5ffd39004f4823bae66494f5ca34e830</t>
  </si>
  <si>
    <t>DO NOT MERGE ANYWHERE.
Revert "DO NOT MERGE ANYWHERE."
This reverts commit b7c798f9b84c7c100aa37e6aa77e7f31460c7bd7, reversing
changes made to 4e8ecc32db5d3a17ccec099681425c34b630d23b.</t>
  </si>
  <si>
    <t>Add cts test for testing launcher version.
Move the nfc resource tests to gts.
Bug:19793663
Change-Id: I8cab27208f702fddb2516f9046f847501b101b08</t>
  </si>
  <si>
    <t>Update low ram device test for new memory requirements
bug:20222250
Change-Id: Id71847b222b2ec913c148bd88ccf308212fdf1e2</t>
  </si>
  <si>
    <t>Fix keystore CTS tests broken by removal of DSA.
Bug: 17409664
Bug: 19863798
Change-Id: I2318ffbe9ed369ddbbedb95623e7c7aa6c5b5d0a</t>
  </si>
  <si>
    <t>Remove common scanners and xml generator.
New system will not use these
Change-Id: I0f9e7a7a9039d75dd64702134c8ef25e14219839</t>
  </si>
  <si>
    <t>Update low ram device test for new memory requirements
bug:20222250
Change-Id: Id71847b222b2ec913c148bd88ccf308212fdf1e2
(cherry picked from commit 4b7f7c01129b624947d9f9a84e9e851a2761fed7)</t>
  </si>
  <si>
    <t>Self-signed cert parameters are now optional.
This is a follow-up to 67d21aef98bbafd0def2cacc6254e644e911c8dd in
frameworks/base which made specifying self-signed cert parameters
optional when generating key pairs in AndroidKeyStore.
This CL adjusts the CTS to match.
Bug: 18088752
Bug: 20636391
Change-Id: I1bcdebe5305c9a9d1903a52fde6f59a40b08eb43</t>
  </si>
  <si>
    <t>videoperf: video codecs performance measurements on common video sizes.
Bug: 20507129
Change-Id: Ia717cae7452a36a390e03014315a480c45ce45d8</t>
  </si>
  <si>
    <t>Add a CTS suite for removed methods
Contains tests for FloatMath.
Bug: https://code.google.com/p/android/issues/detail?id=36199
Change-Id: Ie42e2b0a262e02036c5878806e2ff812d28dd8aa</t>
  </si>
  <si>
    <t>videoperf: add coverage to VideoCapabilities.getAchievableFrameRatesFor.
also add test config to enable/disable different test components and handle the case of
multiple codecs for one type.
Bug: 20507129
Change-Id: Ie0d026c3937f93ef789ad11d7d9c99ccab39e5a9</t>
  </si>
  <si>
    <t>Remove CTS tests which require MODIFY_PHONE_STATE permission.
Bug: 20884684
Change-Id: I8ffd2fee1b3d12bd9ceadb5dc52b03c9cf32e8ec</t>
  </si>
  <si>
    <t>Revert "Self-signed cert parameters are now optional."
This reverts commit 20815e69e7d5c7f62b190b7ef337a1dd6ec3df83.
This is to track frameworks/base commit 3f8d4d840894468f2be8a5b56ff266cef2d71c50.
Bug: 21039983
Change-Id: Ib7ce9b0f4af1bc9f3886c10d83fa1e965674d64b</t>
  </si>
  <si>
    <t>Remove Authorization and ProviderStatus CTS
Bug: 21090207
Change-Id: I05af463347c7624fae2f3edf0f5780243cc1f5b9</t>
  </si>
  <si>
    <t>Remove WebGL conformance tests from CTS
These are failing too frequently to maintain.
BUG: 20937460
Change-Id: I6aaee8cad3b73beb6f8abbfea09eb8844dcb71ac</t>
  </si>
  <si>
    <t>Update cts to not require multi-user when managed_users are declared
Tests that need to create a managed profile do not need to check
multi-user support.
Also remove the cts test which checks that multi-user support is
a prerequisite for managed_users.
BUG: 21119929
Change-Id: Ie58cf9adc675318d810dcb48beeb5b4842b557c4</t>
  </si>
  <si>
    <t>Tests for Compatibility Common Code
Host-side libraries are tested using Tradefed.
Device-side libraries are tested by bundling them, along with their tests,
into an app which is installed and instrumented.
Change-Id: I74494171f580b0dbd7c0c87e285d341a84c940f3</t>
  </si>
  <si>
    <t>Setup the animation callback for AnimatedVectorDrawable.
b/21341096
Change-Id: I30b7ce6717322aa73c96124d21590982a947833a</t>
  </si>
  <si>
    <t>Define test case out dir and tag certain modules.
Change-Id: I6cb22c493fd912e361a6fbb39f2f43897183d416</t>
  </si>
  <si>
    <t>Update CTS tests for moved notifyCarrierNetworkChange() API
Bug: 21630803
Bug: 21572049
Bug: 21721768
Change-Id: Ie952651d2f15c370de713ed8abb6d9f6f07dd2b4</t>
  </si>
  <si>
    <t>Remove tests for removed APIs.
Change-Id: Ic70c0d68d0a937c8dfdfa9c37f9c988535dc5d18</t>
  </si>
  <si>
    <t>Deprecate WebView scrollbar overlay settings
BUG:21642246
BUG:21815096
Change-Id: I5780b05778813f923cdb35b51f81b7754a615a03</t>
  </si>
  <si>
    <t>Remove android.security.cts.SeccompBpfTest.
This is obsolete now that the kernel-level unittests run as part of
android.os.cts (c.f. I607195da52df24c39366b34cb1f5caddf6217b8b).
Bug: 21396275
Change-Id: Iaa18f92709418c73bbd61edeae83bd9f7845f1bb</t>
  </si>
  <si>
    <t>Remove not relevant browser tests - APIs are gone
bug:21857991
Change-Id: Iab7dd9955d97ee62b132014fc65b08100b687232</t>
  </si>
  <si>
    <t>Expand AndroidKeyStore KeyPairGenerator tests.
Bug: 18088752
Change-Id: I059c82ad1138b337e524cca231b757b53630d063</t>
  </si>
  <si>
    <t>Remove CTS tests for removed TextView apis
We removed indent methods from the public API. This patch removes the
corresponding CTS tests.
Bug: 20641996
Change-Id: I895d6ae417b61fddaaa0cc08ca530d1a833414ad</t>
  </si>
  <si>
    <t>Remove cell / wifi manipulation from ApacheHttpClientTest
The testcase was manipulating the Wifi / Cell networks,
presumably in an effort to make data pass over each type of
network.
The test was sending / receiving data using the loopback
interface so it doesn't make much sense.
testExecute_withMobile would fail if the device did not
have a SIM / mobile data connection *and* if the wifi
network was up when the test ran; it would fail waiting
for the mobile data network to enter the CONNECTED state.
If the wifi connection was down at the start it would
assume the mobile data connection was up already and
proceed with the test (which passed, because it
didn't actually use the network).
This change chops out parts of this test to leave just
HttpClient-related code.
Bug: 21874093
Change-Id: I8248b840f58f939661eff2345f70a9e786e593f3</t>
  </si>
  <si>
    <t>Remove tests for generating keys requiring user auth.
These tests require that the secure lock screen is set up and that at
least one fingerprint is enrolled. However, CTS does not require that
at the moment.
Bug: 21949423
Change-Id: I9118ffac7a46293f518de9890e1fe5e1c426193a</t>
  </si>
  <si>
    <t>Implements plans via Tradefed config files.
Also moves result reporting into common/util so CTS verifier can use
Change-Id: Ib3a42cf17c06da6650195d49403b7b89cce2cb02</t>
  </si>
  <si>
    <t>Remove CTS tests for removed APIs
Change-Id: I107fac999c8b7eddc6f1a4cf8d6933a695d46cdb</t>
  </si>
  <si>
    <t>Remove isDither()
Bug: 22013358
Change-Id: Ib47141d5ce8359461370e96ea9a0a776b9bfa63a</t>
  </si>
  <si>
    <t>[CTS update lastAuthenticatedTime]
Update behavior of lastAuthenticatedTime.
Bug: 21959561
Change-Id: I3c078e7310b359645a2b23d2327646a7d7a993db</t>
  </si>
  <si>
    <t>Revert "Adding more fields to verify in CallDetails test."
This reverts commit 948eda6f30123df653c313b24677543c994ab490.
Change-Id: If7cdea9dd6d260f7768d088b67d0587364c487a4</t>
  </si>
  <si>
    <t>Rewrite TextView onSaveInstanceState CTS tests
The previous tests directly access the SaveState parcel, and make
assumptions about its internal layout, which is not valid. This patch
replaces those tests with new ones that actually save and restore
instance state to a real TextView, using stable public interfaces.
The save state also contains state related to undo, but coverage for
that was already added.
Bug: 21209641
Change-Id: I9e9a3b37afb8356021e7b7232ee36823a0ce63d5</t>
  </si>
  <si>
    <t>TIF: remove READ_EPG and WRITE_EPG permission related code from CTS
Note that we have functional test cases for TvProvider in TvContractTest and
the test cases for newly added permission will be added with a separate change.
Bug: 22075166
Change-Id: I4e456330122e3935ba0a88aa0a7f461968e0e828</t>
  </si>
  <si>
    <t>Revert non-activity KeyChain CTS tests
Change-Id: I922c5e01e215648dd0d2d265a20bc4a95a81e176</t>
  </si>
  <si>
    <t>Replace more obvious private API usages in view CTS tests
Removes some unnecessary overrides, imports, and method calls. Also
removes the entirety of OnComputeInternalInsersListener tests from
ViewTreeObserver since that class is framework-private.
Inverts some assertions for dispatch tests since a real ViewGroup
dispatches to children. The previous tests were basically no-op since
setParent() was just setting a class variable and not setting up a
real view hierarchy.
Moves scrollbar tests to use XML rather than code since we deprecated,
removed, and no-op'ed the behavior of initializeScrollbars().
Bug: 13281485
Change-Id: Ie48b807be5f0d15645acfb86dd5db4469125cbff</t>
  </si>
  <si>
    <t>Build app and accessibility CTS suites against public APIs
Remove CTS tests for private methods and classes in app package. Updates
Android.mk files to build against public APIs.
Bug: 13281485
Change-Id: I15e6b4c6d1ddbf9d8f59ac3070d666033ab0d6ec</t>
  </si>
  <si>
    <t>Moving to common compatibility utils.
bug:21762834
Change-Id: Ie0bf75bb1621308118633f41e063df40b529478d</t>
  </si>
  <si>
    <t>Revert "Moving to common compatibility utils."
This reverts commit b054026b4d0347f958de7c4b3eaa6a52ff3d20cd.
Master is red, fixing the build by reverting all CL's merged from
b/21762834 today.
Bug: 21762834
Change-Id: Ibe31d8b615e55387ebbbd953f793f491ee30a2e8</t>
  </si>
  <si>
    <t>Revert "Revert "Moving to common compatibility utils.""
This reverts commit 992b459293c4dcae2a12cdf5923e3e26a476bd1a.
This change includes the fix which caused the build breakage which
caused the revert this is reverting.
bug: 21762834
Change-Id: I1df495ba219208b07a7d7c8ac99d2890052caf69</t>
  </si>
  <si>
    <t>Remove target from ReportLog and handle serializing/parsing with XML.
bug:21762834
Change-Id: Ia686cfb4df0d315f965c1f8e46d790cd2841da19</t>
  </si>
  <si>
    <t>Clean up failing CTS tests after refactor
Removes Gallery.getContextMenuInfo() test, which relied on private
classes.
Bug: 22347797
Change-Id: I7f01a99289a5c84b8db39e66f1ea062ee4e4497f</t>
  </si>
  <si>
    <t>CTS tests for Android Keystore-backed Cipher.
This adds algorithm-agnostic tests for Android Keystore-backed Cipher
implementations.
This also aligns pre-existing Android Keystore Signature and Mac tests
with new patterns introduced in this CL:
* Separate tests for encrypt-decrypt and sign-verify within Android
  Keystore provider and between Android Keystore and highest-priority
  Provider.
* Authorization enforcement tests for all algorithms, not just
  pseudo-randomly picked ones.
Bug: 21936191
Change-Id: I608fe3aa985e8fae5f0991476f2a92efea23bd28</t>
  </si>
  <si>
    <t>TIF: remove test for READ_EPG which is deprecated in M
Bug: 22075166
Change-Id: I811f23c19be6c69b3675e77ed0618fd5518dfa07</t>
  </si>
  <si>
    <t>Remove EventOrderingVerificationTest_testSameTimestamp
Bug: 22524131
Change-Id: I755289be5c28fc2df2b458e57a923637756aff9b</t>
  </si>
  <si>
    <t>Add test filtering to compatibility.
bug:21762834
Change-Id: Ie04f7a5b9f3c352df842d7d3e2ab41303bb142b0</t>
  </si>
  <si>
    <t>Add UiAutomation test for runtime permissions
Bug: 22192363
Change-Id: Idf2a9ef766cb4ce811253ba8d4aedb7cd2748377</t>
  </si>
  <si>
    <t>Move ApplicationRestrictionsTest to DeviceAndProfileOwner
Because application restrictions apply to device and profile owner
situations, the test is moved to the DeviceAndProfileOwner package and
is now run in both situations.
Bug: 22709411
Change-Id: Ib72249241142d7d440f0283371a00b9440fc5d4a</t>
  </si>
  <si>
    <t>Move ScreenCaptureDisabledTest to DeviceAndProfileOwner
Also extended the existing tests to actually trigger a screenshot and
verify that it is blocked.
Bug: 22709411
Bug: 17482450
Change-Id: Ic8cfa915f0e93215db5f76c12e55dff19921ca07</t>
  </si>
  <si>
    <t>Move PersistentIntentResolvingTest to DeviceAndProfileOwner
Bug: 22709411
Change-Id: I1185abfc7e554d163bf88565e8b838981f5a0481</t>
  </si>
  <si>
    <t>Revert "Work around deqp log file creation issues."
This reverts commit b107f79e3b190540cee21986d458226d3e2f338c.
Bug: 22630974
Bug: 22328970
Change-Id: Ic2399ec77d000c42ada20a0dc778b911af80dd38</t>
  </si>
  <si>
    <t>CTS: TelephonyProviderTest failing
Bug 21207615
The test doesn't run in the context of being the default SMS app. As
a result, the TelephonyProvider code is never actually executed. The
insert call returns a "fake" result and the test interprets that as
failure. The test is commented out for now, until we figure out a way
to run the test as the default SMS app.
Change-Id: I50e2b006f1ff8950247b7fc3cf41d6356414e21b</t>
  </si>
  <si>
    <t>Manual cherry-pick of "Remove not relevant browser tests"
Cherry-pick of 4bd0ad8697cb789d227561b861c1176908de122d from internal/M
The bookmarks API is deprecated.
BUG:21857991
Change-Id: If77dcc2627e03457126174dff97a770698508120</t>
  </si>
  <si>
    <t>Use test app in separate package from assistant.
Send screenshot with data and added test for disabled context.
Change-Id: I262b85b80aff5cbe0d7d64eb2fcf5e7d393dec39</t>
  </si>
  <si>
    <t>Delete signature-tools
It appears to be unused and would involve some maintenance to
keep it working in the future.
Bug: 23078018
Change-Id: Ib60fee57dd53128f8207a3e4d0c01819def191ea</t>
  </si>
  <si>
    <t>Move compatibility build info into build attributes.
bug:22830394
bug:21762834
Change-Id: I0df8b3eb8d35ac2c7c1cfbf664ef342040df0738</t>
  </si>
  <si>
    <t>Revert "Revert "Move compatibility build info into build attributes.""
This reverts commit 1c28c69c33fd2e8b84b22b240ca96c1df105e2fd.
Change-Id: Id807f5fdcf2542f25d710326c3fef936ed3b65b7</t>
  </si>
  <si>
    <t>Few stability fixes in Telecom CTS tests.
Fixing some failures when running all the telecom tests back to back
in a suite:
1. Ensure that the connection/incall services created by test are
unbound before exiting a test to ensure that each test cleans up the
telecom state.
2. In ConnectionService tests, we need to wait for the new calls
corresponding to the new connections created. Since the calls created
via |addExistingConnection| API in ConnectionService take a little while
to bubble upto inCallService, we might end up missing to cleanup this
new call as a part of test teardown and this might interfere with
subsequent tests.
3. Destroy the MockConnection object on reject/abort. This was resulting
in the ExtendedInCallService#testRejectIncomingCall leaving behind a
stale connection object.
4. Since the remote phone accounts are registered/enabled via ADB commands
(since they need system permission), we need to add a small wait to ensure
that the account has been successfully registered and available in
PhoneAccountRegistrar.
5. Use |creatTestNumber| method instead of |getTestNumber|  to create a
new unique phone number for each incoming call in the test.
6. Some other minor cleanup of unused code.
BUG: 23604254
Change-Id: Iff123f122f9cb43ec89f6c18cdb76e4b33dd4a94</t>
  </si>
  <si>
    <t>Remove duplicate requestRouteToHost permission test.
This test was missed in http://ag/745545 , which added it to the
legacy ConnectivityManagerPermission test in
android/net/cts/legacy/api22/permission but did not remove it
from the current ConnectivityManagerPermission test in
android/permission/cts.
This CL only removes the duplicate copy. This test is still,
as intended, present in android/net/cts/legacy/api22/permission,
where it was added in http://ag/745545 .
Bug: 23040704
Change-Id: I63ce2bf83eb8a01d0619fdde32e03548a4ea6a72</t>
  </si>
  <si>
    <t>DO NOT MERGE ANYWHERE:revert and resubmit to lmp-* branches
Revert "DO NOT MERGE ANYWHERE: Test whether mediaserver leaks info across invalid binder calls"
This reverts commit ab984239ce7d6cf247930e44b0c7feac08a44c6d.
Bug: 23756261
Change-Id: Ice15d9d5473d70a65541765612c1a1c9fee77737</t>
  </si>
  <si>
    <t>DO NOT MERGE ANYWHERE:revert and resubmit on lmp-dev
Revert "DO NOT MERGE ANYWHERE: Test whether mediaserver leaks info across invalid binder calls"
This reverts commits ab984239ce7d6cf247930e44b0c7feac08a44c6d and
ad122338202f50e4feccfed353ecfa258bf739ef
Bug: 23756261
Change-Id: I8c2de5b11a5789e90722385f8d6809aaafcff38b</t>
  </si>
  <si>
    <t>Remove duplicate test in WiredHeadsetTest
android.telecom.cts.WiredHeadsetTest#
testStartCallWithSpeakerphoneNotProvided_SpeakerphoneOffByDefault
is an unintentional dupe of
android.telecom.cts.OutgoingCallTest#
testStartCallWithSpeakerphoneNotProvided_SpeakerphoneOffByDefault
Bug: 24067587
Change-Id: I2a98f28e1c9a0c8c8ce6d0491ed7597ecb316752</t>
  </si>
  <si>
    <t>Revert "CTS test for libmedia OOB write anywhere"
This reverts commit e8cd8fadc7604a46cf0a62d55bdda265fc32a337.
Change-Id: Ic1a2169c73a890fc69061502b6961a3fc9297258</t>
  </si>
  <si>
    <t>Separating phone and telecom specific protected broadcasts.
Bug: 23192492
Change-Id: Iae793f1a5489bf751ea6f39b8a5b86a5a3072d63</t>
  </si>
  <si>
    <t>Move WiFi Precondition from device to host side
This enables the option to synchronously connect to a Wifi network if
not already connected.
bug:23939594
Change-Id: I2c808fc95acba324ee72564d08983a2b6e00db95</t>
  </si>
  <si>
    <t>Use general PropertyCheck class for preconditions
Check the device's build type and locale with PropertyCheck, that checks
any property accessible from the ITestDevice.getProperty()
method. Notable changes in functionality include the option to print a
warning instead of throwing an exception if the device's locale isn't as
expected, and the removal of a default expected locale, which must now be
declared in the PropertyCheck's options.
bug: 23939594
Change-Id: Ic22ad55ea5d965b88cfe6f4d86b9706023eb5d47</t>
  </si>
  <si>
    <t>Squashed mnc-dev changes:
This contains all of the changes from b54aa51 to
791e51a on mnc-dev, except the changes
to tests/tests/security.
Bug: 24846656
Change-Id: I01f53a1a238ac49f86928e0e22796dc73e0e34af</t>
  </si>
  <si>
    <t>Improve scheduling, support sub-module sharding and module prerequisites.
Bug: 21762834
Change-Id: If2c5500f03a4708f751a25046ba20a6bbe6f7bf8</t>
  </si>
  <si>
    <t>Fix handling of repeated executions.
Bug:21762834
Change-Id: I2fc198b63ef7c30a5d6c601e506b36a7f1d4b3b3</t>
  </si>
  <si>
    <t>Revert "DO NOT MERGE CTS host-side preconditions for MNC"
This reverts commit d8972ff406ad5af7c281ba88c184690aaf6e43c6.
Change-Id: I92059b99f55bf01b2b7df671936072afb27efd3a</t>
  </si>
  <si>
    <t>Revert "DO NOT MERGE CTS device-side preconditions for MNC"
This reverts commit 3d6f8bb9e82146a31a2457e63d1160e64460bea0.
Change-Id: I4b75b01e3b64bb86c479f49a6e1aa541307969f4</t>
  </si>
  <si>
    <t>Validate platform defined permissions are not altered
Change-Id: I45737720e5460927d8cd1ff96b1ffcc44c799a13</t>
  </si>
  <si>
    <t>Revert "MediaMetadataRetrieverTest: add new test to handle overflowed padding."
This reverts commit 13c1585464a6ba445180e4d0d7d20aaaa418fcee.
The new test was moved to security/.
Change-Id: Icbdb7ce0c7bf1e784db5de41baf8703fb904ce90</t>
  </si>
  <si>
    <t>Revert "Add test for Fragment Transition."
This reverts commit 209cd9857903dfd589e1870e37d16917983476eb.
Change-Id: Icb55f2953e1990b9c7f65deff6b26af7bf57816b</t>
  </si>
  <si>
    <t>Move long string test from TextView to StaticLayoutTest
We need to test measurement of very long strings to exercise a
potential stack overflow (bug 13506939). As of M, changes to the text
stack meant that we were not actually exercising the method in
question. In addition, the test required a huge amount of memory,
which was causing problems on low-RAM devices. This patch moves the
test from TextViewTest to StaticLayoutTest (which is a more direct
invocation), and also changes the text string so that it can be
measured more quickly and with less memory than before.
Bug: 25806062
Change-Id: I450b35c18a0b99a8fdfd37218518d8d2e01c3c90</t>
  </si>
  <si>
    <t>Remove dynamic config dependent sample tests
bug: 26469660
Change-Id: I638ca122d77a2e92e8432a3be5614fb0e3730edd</t>
  </si>
  <si>
    <t>Remove all of dynamic config from sample
bug:26469660
Change-Id: I3db190c80d2bc3f1a3cb0844d87d25b7285c2f47</t>
  </si>
  <si>
    <t>Update CTS tests for account management policies
1. From N, the device / profile owner will be allowed to call the
account management APIs even if the policy is set.
2. Move the test for DISALLOW_MODIFY_ACCOUNTS from xts to cts, as it is
no longer Google specific.
Bug: 22030831
Change-Id: I1e3dc87e0f97cfb20c64591a1c3af7eaebc3bf4c</t>
  </si>
  <si>
    <t>Remove no-op test in AbsSeekBarTest
Change-Id: I3783f1f9f4b61319bf273de6bb0ec7196961b0f1</t>
  </si>
  <si>
    <t>Revert "AccountManager: CTS tests for finishSession API."
This reverts commit e6572c08c3bf2061cd81a333bb78f189e2db4a6b.
Change-Id: Ic99339fcbc03ca7dd6069646f00ef70f759b2028</t>
  </si>
  <si>
    <t>Revert "AccountManager: CTS tests for startUpdateCredentials API."
This reverts commit 6f8eea9229412914ecd90f8840da2d8eb06634cc.
Change-Id: Ibb7deaaaf4a2173406a87b54cfb881ac7c8fbe1c</t>
  </si>
  <si>
    <t>Revert "AccountManager: CTS tests for startAddAccount API."
This reverts commit 7a014d1c467413d780bc678bb5ac7822932ab27f.
Change-Id: I9b2e61acbcc58ad673de03dfd2850a9d09146a31</t>
  </si>
  <si>
    <t>DO NOT MERGE - add more binder tests for AudioFlinger and AudioPolicyService.
Bug: 23905951
Bug: 23912202
Bug: 23953967
Change-Id: I39a830c6d605b7a4453db2b1e561c64f9d3089a6
(cherry picked from commit 491d78f8bd93cd9c625cfb45628879aad1af1326)</t>
  </si>
  <si>
    <t>Revert "Add CTS tests for Resources#getResolvedLocale()"
This reverts commit e441e81d2c6966dccb518eba744633edda531b1f, since
we are taking out per-Resources locale negotiation and moving it to
ResourcesManager.
Bug: 25800576
Bug: 26404653
Change-Id: Id355378881b712ddd1ec271fddb6af54fb5cc3c1</t>
  </si>
  <si>
    <t>Remove android.graphics.cts.VulkanReservedTest
This test reserved the libvulkan.so name in previous releases until we
implemented it in the platform and had compatibility tests. We now
have the implementation, and tests are written and will be merged
soon.
Bug: 26878050
Change-Id: I03508b372a3bfd3dc0ed8ac2d8d09c06e5d7d65d</t>
  </si>
  <si>
    <t>Revert "Add CTS Tests for QS Tiles"
This reverts commit 952879d26caf5afe9bc56d87608fc4f88d253347.
Change-Id: I5d8f177ef51996f0d9948549a888ecf9cfc1cdd5</t>
  </si>
  <si>
    <t>Revert "CTS test for libmedia OOB write anywhere"
This reverts commit 79a70a6f1eec5e5a5f4c0b19d6606c494fead035.
This commit is testing a non-public shared library.  Remove it.
Bug: 26511576</t>
  </si>
  <si>
    <t>Hack: Eliminate lib-loading errors.
Temporarily downgrade security cts sdk-version to take advantage of
platform grey-list while we sort out the proper use of these libraries.
Remove Stagefright_foundation test, as it was testing library on-device.
Move libraries to static where possible. Set LOCAL_CXX_STL to
libc++_static to prevent further libc++.so loading errors.
Bug: 26511576
Change-Id: I16393771d4765d33156a81fa9405475de6b37668</t>
  </si>
  <si>
    <t>Clean up the DA host side test.
Bug 27045567
Change-Id: I89a30b494bb351e1d1a1874bc3eb6371ba93a555</t>
  </si>
  <si>
    <t>Revert "Add genre test for TvProvider"
This reverts commit f15cf53fd0180c60b538e56a47f30ef12db91ca6.
Change-Id: I534f8e8f7793d6d97e5e518d7a4613b3d7296e92</t>
  </si>
  <si>
    <t>Move all resetPassword() tests to hostside test
- tests/tests/admin no longer runs as device-owner.
This fixes CTS v1, and also running those tests as DO wasn't a good
idea anyway.
- All the password related tests have been moved to the
DeviceAdmin hostside test.
- Now we really should run all the DeviceAdmin hostside tests
as a pure, non-device-owner DA, but turned out that's very painful
because that means each device side test can only call resetPassword()
once, then on the host side it needs to call DO to clear the password.
So I gave up and moved all the password quality related tests to
a single test, and run it as device-owner.  Other tests are still
run as a pure non-DO da.
Bug 27045567
Change-Id: I5f54827b28e00f23c7b913ffb06c326cca161337</t>
  </si>
  <si>
    <t>Added test for the scenario where the app already has the requested permission.
BUG: 26742218
Change-Id: I08d308b37bc0cd6758c592c7adaf388431114a82</t>
  </si>
  <si>
    <t>Remove Notification Topics.
Bug: 23220370
Change-Id: If1f2f7bc3947e57e7a79a58e20e6825f37c45240</t>
  </si>
  <si>
    <t>Remove SELinuxTest#testNoBooleans.
Access to booleans dir was dropped with removal of domain_deprecated
from untrusted app. Reading the booleans dir results in the following
denial:
denied { read } for name="booleans" dev="selinuxfs" ino=21
scontext=u:r:untrusted_app:s0:c512,c768 tcontext=u:object_r:selinuxfs:s0
tclass=dir permissive=0
Other SELinuxHostTests still work since appdomain has permissions to
read and write selinuxfs files directly.
This test is redundant anyway and is already covered by the
SELinuxHostTests.  Remove it.
Bug: 27150731
Change-Id: Ia143b5ddd96a0e3fe216437615ac9b2c731f0196</t>
  </si>
  <si>
    <t>Remove SELinuxTest#testNoBooleans.
Access to booleans dir was dropped with removal of domain_deprecated
from untrusted app. Reading the booleans dir results in the following
denial:
denied { read } for name="booleans" dev="selinuxfs" ino=21
scontext=u:r:untrusted_app:s0:c512,c768 tcontext=u:object_r:selinuxfs:s0
tclass=dir permissive=0
Other SELinuxHostTests still work since appdomain has permissions to
read and write selinuxfs files directly.
This test is redundant anyway and is already covered by the
SELinuxHostTests.  Remove it.
(cherry-pick of commit: 50a0db7e76e2380940e5ec1cf7fafd9592a062f5)
Bug: 27150731
Change-Id: I2757e251240b919eeb776aa18635861c2658df0b</t>
  </si>
  <si>
    <t>Refactored how data is shared between test apps.
When running the device-site tests, it's necessary to share state
between a second app and the main test app. Currently that's achieved
through a shared preference file that is accessed by both apps (since
they use a shared id), but this approach will not work on power save
mode tests (because the test app will be in foreground and the
background restrictions won't be applied in the second app).
This change refactors the data sharing mechanism by:
- Using an ordered broadcast that is sent from the test app to the
  secondary app.
- Checking for the network status in the secondary app.
- Moving the test logic to the client-side tests.
BUG:  27127112
Change-Id: I44987701b908b329fdf40e3a7a97e9f30cfadecb</t>
  </si>
  <si>
    <t>Remove tests for DPM.createAndInitializeUser and createUser
as the APIs are removed in N.
Bug: 26974903
Change-Id: I3dcb079ec3385cb7b1011d930a70ac71cc204b67</t>
  </si>
  <si>
    <t>Un-suppress testPermission{AppUpdate,Prompts}() from
from MixedProfileOwnerTest.
I suppressed those tests on MixedProfileOwnerTest when I
added this class because at that point I thought it was something
to do with how we ran the CTS or something.
It turned out they're actually failing on MixedProfileOwnerTest
too, so it must be really a regression (eithr in the test or in the
actual code).
Bug 27291916
Change-Id: I9b74c85171a91cbc178250479f686783dbc3feab</t>
  </si>
  <si>
    <t>[RenderScript] Remove the defective LinkTest
Bug: 27358969
Change-Id: Ibd66bbdf3e64724124f2624ebd03461cbf4cf244</t>
  </si>
  <si>
    <t>Added tests for TextView fading edges.
Added tests that checks the fading edges of a TextView using the
following parameters:
- LTR/RTL text
- short/long text
- horizontalFadingEnabled: [true, false]
- gravity
- textAlignment
Bug: 10918591
Change-Id: I401abfbea681c7b8e38f93c6881c710c7ae12dd4</t>
  </si>
  <si>
    <t>Revert "CTS test for libmedia OOB write anywhere"
This reverts commit 79a70a6f1eec5e5a5f4c0b19d6606c494fead035.
Change-Id: I9713391f44717618c77c384d1af89e8b4174a44b</t>
  </si>
  <si>
    <t>Camera: remove StaticMetadataCollectionTest
Migrated to new DeviceInfoStore APIs.
Bug: 25983832
Change-Id: Ie9d32d536e0a667eb86a51b6c3b2c4a2521f8644</t>
  </si>
  <si>
    <t>remove CarConnectionListenerTest and add CarTest
- CarConnectionListener is removed from android.car
- add CarTest to check service connection
bug: 27374331
Change-Id: If71285420f0b4920f13324f9fe26883b93e8fa1e</t>
  </si>
  <si>
    <t>Add tests for Evaluator classes in android.animation
Specifically, adding IntArrayEvaluator, FloatArrayEvaluator,
RectEvaluator, and PointFEvaluator.
Also, move existing evaluator tests into this single, new file
and remove the other individual Evaluator test classes.
Finally, fix existing evaluator tests, which were too simplistic and
didn't actually check the value of the result.
Issue #27539331 Add Evaluator CTS tests
Change-Id: Id4a2a262f58c9827a3c449bdf7fbbc6ddde0c853</t>
  </si>
  <si>
    <t>CTS coverage for GradientDrawable
Bug: 27543512
Change-Id: Ibc85fdc8777873f2992e3cb19055d53dac6f33cb</t>
  </si>
  <si>
    <t>CTS coverage for various high-coverage drawable classes
Fixes flaky LayerDrawable preload density test that wasn't
accounting for intrinsic width relying on two separate scaling
methods.
Change-Id: I6f12bdbfbbcb7e87364e908e3ecd2460b32a3dd6</t>
  </si>
  <si>
    <t>Remove CTS tests for all non-porterduff xfermodes.
These xfermodes have been removed from the public API and are no longer
valid tests.
bug: 14650725
Change-Id: I91f76830252885863ff2ead27376a2c89f268720</t>
  </si>
  <si>
    <t>CTS coverage for various medium-coverage drawable classes
Still missing DrawableContainerState.computeConstantSize(),
which is literally impossible to test (without resorting to
reflection) since it's protected and DrawableContainerState
has no public constructor.
Change-Id: I9c0d328ac8e75b365f719a0f174b8ce57d4a8bbc</t>
  </si>
  <si>
    <t>Move back some test cases in BackspaceTest/ForwardDeleteTest.
Implementation can choose the support of ZWJ and Emoji modifier, so move them
back to CoreTests.
Bug: 27553165
Change-Id: I65673b3e4a928e16d204548dbe0ec2f0bc8afe03</t>
  </si>
  <si>
    <t>Removed test cases that test moved methods
Bug: 27633183
Change-Id: I1dfbf253e65567cf5d6750e1ec24482db3aec407</t>
  </si>
  <si>
    <t>CTS test coverage for android.content.res classes
Change-Id: Iaaa33bbd5038ffb5b4952228df94a6ec5610c3f2</t>
  </si>
  <si>
    <t>First pass for PopupMenu CTS tests
* Testing inflated menu content via inflate() and
getMenuInflater().inflate().
* Testing popup menu dismissal via dismiss() and an
outside click.
* Testing menu item click via Menu.performIdentifierAction(),
including menu dismissing itself on item click.
Change-Id: I95e0ac026d883a8cf0cba46b1d53144df1d6fe3b</t>
  </si>
  <si>
    <t>CTS changes to match those made to a11y api.
Change-Id: I6729bbc93586c8379af0d2b34c8457065be49daf</t>
  </si>
  <si>
    <t>Remove wifi MAC addr access test
The Openjdk version of NetworkInterface.java obtains the wifi MAC
address using a netlink route socket, instead of the previous method
of finding it in /sys.
Since any app can create and use a netlink route socket to get this
information, specifically blocking it in NetworkInterface is not
useful. Delete test and find a better way to block access.
Bug: 27266415
Change-Id: Ifb4ec7cfd565d726390a535e247b20e556f834e6</t>
  </si>
  <si>
    <t>Fixed the failed test cases
Bug: 27621461
Change-Id: I9714d0bb69390a5ff9593297aed5e3e209acb1b2</t>
  </si>
  <si>
    <t>adjustStreamVolume can be called without DND policy access.
Bug: 27711587
Change-Id: Ib8eac232e09a7c7829107c11b7e3590aafa46067</t>
  </si>
  <si>
    <t>Improved Scoped Directory Access tests.
Although the Scoped Directory Access is implemented by DocumentsUI, it
uses a different UI and different semantics, so it makes sense to have
different test cases as well.
Splitting the tests makes development more productive because the tests
run faster and isolated from each other. Examples:
- DocumentsTests needs a file provider while ScopedDirectoryAccessTests
   doesn't.
- ScopedDirectoryAccessTests needs to clear the DocumentsUI cache, which
  could interfere with DocumentsTests tests.
This change not only splits them, but also makes some other improvements
in the Scoped Directory Access tests:
- Moved all logic (including removing a directory) to client side.
- Clear the DocumentsUI app before each test.
BUG: 27743842
Change-Id: I84011aab7319cf60af10de03e97dd31ee5ab53e1</t>
  </si>
  <si>
    <t>Remove periodic job test
We currently don't have the infrastructure
to simulate time. All CTS tests need to pass
for DP2 (by 3/23). So I'm removing this test
for the time being. Some host side testing
would be needed to test periodic jobs.
Bug: 26638968
Change-Id: Ie5be5f75606790f709dab247e449ce5c46c4bbfe</t>
  </si>
  <si>
    <t>Remove MediaCryptoTest from Security CTS
MediaCryptoTest should have been removed earlier on, but
somehow it was either added back in or forgotten to be removed.
We will proceed to remove this as part of Security CTS cleanup
and SDK level upgrade.
Bug: 27763106
Change-Id: If0e97ea9dfe9fe73eeee1f3f7536348a1c5d0bb2</t>
  </si>
  <si>
    <t>Delete testMediaserverDomain test
Mediaserver was refactored, and this old test isn't relevant
anymore. Delete the test.
Bug: 27795382
Change-Id: I7c99e76c84471d1bc14c560ec0a930350c645711</t>
  </si>
  <si>
    <t>Extending and cleaning up CTS coverage for ImageView
* Switch away (where possible) from custom classes that track
calls to specific methods to Mockito's mocking and spying.
* Tweak the test around drawable state change to trigger it
via selection instead of an explicit call to the changed callback.
* Add coverage for baseline, image alpha, tint mode and tint
colors - the last three groups doing pixel-level checks.
Change-Id: Ic9a7eb710e20105dd82fc248234657a2545da20a</t>
  </si>
  <si>
    <t>Remove StagefrightFoundationTest from CtsSecurityTestCases module
The code is testing functions from the shared library. As part of
SDK level upgrade and CTS test cleanup, this test will therefore
be removed from the test suite.
Bug: 27762569
Change-Id: I7f116d7c714300e3502e1295f0909b7c6c2ed6d3</t>
  </si>
  <si>
    <t>Revert "Test TextView setText/append methods set movement method"
This reverts commit faa56693529d6029723365a604b2da97276de5f7.
Change-Id: I89c31da20e85fce0049cedfd01d52c15c66954f5</t>
  </si>
  <si>
    <t>remove CtsUiAutomatorTestCases
* This test is effectively a functional test on UI Automator framework
* The UI Automator framework being tested is an obsolete version using
  shell based
* Supported version of UI Automator has already been unbundled from
  framework
* Underlying framework dependency already covered by uiautomation suite
* This change also removes related build, test type support
Bug: 27614481
Change-Id: Ifda6c75b1fb5909f8dfd994e472ac4f1af8933c5</t>
  </si>
  <si>
    <t>Minimize destruction of UiAutomation in A11y CTS.
Also simplifying the test for soft keyboard control.
Bug: 27365874
Change-Id: Id7d9ec606c46f969287866582a57fdd5d35ad362</t>
  </si>
  <si>
    <t>Remove non-API-based security tests.
Bug: 27848613
Change-Id: I77225b9b433d13fcddd06484e4484cd38d3eb5c3</t>
  </si>
  <si>
    <t>Updated test cases to match the API update
Bug: 27948390
Change-Id: Ieccd28b5e5f5115460abfc93414111e1b2b2ede9</t>
  </si>
  <si>
    <t>Remove test_listAudioPatches
Remove deprecated test:
android.security.cts.AudioFlingerBinderTest#test_listAudioPatches
Bug: 27999907
Change-Id: Ib173c57bd8fb29612cbe7819f1b98175b8b15c7a</t>
  </si>
  <si>
    <t>Remove some tests from SELinuxTest in CtsSecurityTestCases module.
Test cases that rely on selinux_check_access(),
security_check_context(), and log_callback() are removed.
Bug: 27763829
Change-Id: I329e9c42cc0cb18db183e65fe11f7f06049be885</t>
  </si>
  <si>
    <t>First CTS pass for AutoCompleteTextView
* Switch to lambdas everywhere
* Switch to Mockito-powered listeners everywhere
* For testing the protected replace() method, use Mockito as well
Change-Id: I9ae92022a2245e42dfd7da6645818779df3dd1bc</t>
  </si>
  <si>
    <t>First pass for Spinner CTS tests
* Use activity with two spinners, one in dialog and one in dropdown mode
* Convert all relevant existing tests to run on these two new spinners
* Add constructor coverage for various permutations
Change-Id: I618f6a2f287722835b54b8f93d14828306f40dfa</t>
  </si>
  <si>
    <t>Verify that Linkify accepts _, $, and empty path
Add tests to verify that Linkify matches:
- underscore in domain name
- dollar sign in path and query
- empty path with query parameters. i.e. a.com?q=v
Bug: 27436084
Bug: 27501264
Change-Id: Ia8111e4f30b96c900d8b4884e3f470fb0791b024</t>
  </si>
  <si>
    <t>Split and refactor CustomPrintOptionsTest to hopefully make it more stable.
Change-Id: I972b58919696cf2d59bc9a35bf1e531aa0894c3d</t>
  </si>
  <si>
    <t>Removing CTS tests related to multi-endpoint APIs.
Bug: 28196918
Change-Id: I0c1d815289d0a358c477b5f73e79a7bfc8f06082</t>
  </si>
  <si>
    <t>Rewrite X509TrustManagerExtensionsTest
X509TrustManagerExtensionsTest used internal implementation details to
test X509TrustManagerExtensions#isUserAddedCertificate, these
implementation details are no longer the same and so this test failed to
catch the API being broken and then incorrectly flagged the fixed API as
broken.
To ensure that isUserAddedCertificate is properly covered the tests for
the API are split into two places: X509TrustManagerExtensionsTest covers
tests for the default case where there are no added CAs and
CaCertManagementTest to test the behavior when CAs have been added.
Bug:28262103
Change-Id: I14f3211c277fdc9c8bfc3d4ac932be375961fa28</t>
  </si>
  <si>
    <t>Beefing up CTS tests for CheckBox and RadioButton.
All constructors, set/get text and various ways to interact
with these widgets via API calls or emulated taps.
Change-Id: I44da005b1878e1b399c5c7126cfa14c1cd6c586f</t>
  </si>
  <si>
    <t>Beefing up CTS tests for ImageButton
Covering construstors, as well as default / runtime image
sources.
Change-Id: I6702684f501a8e774f8d7f93d6b118d9b154af3d</t>
  </si>
  <si>
    <t>Moving failing testRemoteBugreportWithSingleUser test to CtsVerifier
Due to notification dismissal failures that mechanism has been removed
and the test has been replaced with a relevant test in CtsVerifier.
Bug: 27727880
Change-Id: I6712630e6019895d7064321bb39ea582ffba1720</t>
  </si>
  <si>
    <t>First (cleanup) pass for CTS tests on CheckedTextView
Convert as many tests as possible (those that don't test protected
methods) to run on the widgets in the activity.
Switch to lambdas everywhere
Cover constructors that get attr and style references
Clean up unused methods in MockCheckedTextView
Mark as @SmallTest
Change-Id: I18687ba57807c064ca80eab48bede325e940eed7</t>
  </si>
  <si>
    <t>CTS Test Metrics: Remove Details from result xml.
- Remove metrics details from result xml.
- Make summary optional for report logs.
- Fix result parsers.
- Fix unit tests.
Bug:28012209
Bug:27925818
Change-Id: I106fead0b4cde13cb8ce5a20b72eb654a0b8a7c6</t>
  </si>
  <si>
    <t>Remove CtsInputMethodTestCases until it becomes ready.
This test is not ready.  We must remove this until we are confident that
this test is working as expected.
Bug: 7542467
Bug: 28075399
Change-Id: I25367527894b25d02dba76c74376cfd84b0421eb</t>
  </si>
  <si>
    <t>Add runtime permissions CTS tests
In order to confirm the fix of b/28347872 we needed a CTS
test suite to make sure nothing is borken by the fix.
bug:28440521
Change-Id: I8e2bcd51287a38fec5794b007bcf64bbe8a807c3</t>
  </si>
  <si>
    <t>Revert "This test case tries to decode a corrupt image file using BitmapFactory.decodeStream which causes Process crash on an unpatched device, thus failing the test."
This reverts commit fa6888bc1d53d2f041be010b0fbba089a9966226.
Change-Id: I914608e203869504ca487eb79dfc331e3d4b59cc</t>
  </si>
  <si>
    <t>Revert "This test verifies recursive decoding of malformed ICO file which should not lead to skia buffer overflow"
This reverts commit be5bc373a6117cfcc2efd691d7ed08f4e10290d2.
Change-Id: Icded8b337fa02d7fbd0061c0957a4f734a960562</t>
  </si>
  <si>
    <t>Remove device admins using dpm remove-active-admin
Make tests less flakey by using remove-active-admin
dpm command rather than relying on broadcast to admin
to clean up after tests.
Tidy up logging so its clearer what are failures
and what aren't.
Also start users when creating them.
Bug: 28027468
Bug: 28578782
Change-Id: I4729478976e84444e92216df8b723660354af775</t>
  </si>
  <si>
    <t>Disble a CTS test not needed in N
The change that was tested by the test was moved
to master and the test should be disabled in N.
bug:28599506
Change-Id: Iec90b448c17438e8ee847bc706cbca62505009fd</t>
  </si>
  <si>
    <t>Remove BrowserBenchTest
Bug: 28655634
This is a performance test with a hardcoded timeout (1 hour). Webview
team does not have a use case for this test or resulting report.
Change-Id: I6f296772dc4a0b0a1026e9cac177fe987925c109</t>
  </si>
  <si>
    <t>Delete all ShortcutManager CTS
We've punted the API.
Bug 28704708
Change-Id: I18a567e67f99985bb77f0db5f561667fac790da3</t>
  </si>
  <si>
    <t>CompilationTest + corresponding app to (integration) test dex2oat compilation.
- This is a hostside test, i.e. it runs in a Java process on the host
  but instruments behavior of the (Android) client via adb commands.
- The test contains hard coded profile data which I collected by running
  the app manually on a Nexus 6P running Android N build 2834242.
- The test checks all four combinations of the "ref" and "cur" profiles
  being present / absent.
Tested:
  cts-tradefed run cts -m CtsCompilationTestCases
Bug: 27217443
Change-Id: Icfaf5db2ec102451109e2060dc2af2290716ed45</t>
  </si>
  <si>
    <t>Add tests for java.nio.channels.FileChannel lock methods
lock()
lock(long, long, boolean)
tryLock()
tryLock(long, long, boolean)
Bug: 27186422
(cherry-picked from commit 2eff57cc1164d20f8a748f8e752ebac021476167)
Change-Id: Ia2d67993d61116e83e636e9305e40932e79d2584</t>
  </si>
  <si>
    <t>Add tests for java.nio.channels.FileChannel lock methods
lock()
lock(long, long, boolean)
tryLock()
tryLock(long, long, boolean)
Bug: 27186422
Change-Id: Ia2d67993d61116e83e636e9305e40932e79d2584</t>
  </si>
  <si>
    <t>Add tests for java.nio.channels.FileChannel lock methods
lock()
lock(long, long, boolean)
tryLock()
tryLock(long, long, boolean)
Bug: 27186422
Change-Id: Ia2d67993d61116e83e636e9305e40932e79d2584
(cherry picked from commit d2273c475c9b659c8545de4ae5742bf18309d3d8)</t>
  </si>
  <si>
    <t>Remove TextureView tests.
Removing the TextureView tests because GLView tests cover similar
aspects of the decoders, it also removes the dependency on the
screen.
b/28377691
Change-Id: Ia287e1cc9bb549755bc9bace2457c199c4a7d273</t>
  </si>
  <si>
    <t>DO NOT MERGE Remove Pointer Capture API.
Bug: 26830970
Change-Id: I936013f17867211f5360189ca8bb3439d41550fb</t>
  </si>
  <si>
    <t>Remove empty tests from KeyguardManagerTest
Change-Id: I54e706818918c78a8679c4862ef6963593bbae07</t>
  </si>
  <si>
    <t>ActivityManagerTest ensure screen is on
bug: 28656428
Change-Id: Ie5ed187aed53038b2cfee63e9f3713fe35bb7c4f</t>
  </si>
  <si>
    <t>Revert "sustained perf: Adds a CTS test for Sustained Performance Mode"
This reverts commit 24e4936458d92528733f6692df9233e74e254e0c.
Change-Id: If64d14ba178548e56977d3c94177178ec7f395a7</t>
  </si>
  <si>
    <t>Suppress DeviceAndProfileOwnerTest.testPermissionPrompts()
Bug 28909500
Change-Id: Ib50ee2053a3617d1ff8158173c408864cfbf4c9b</t>
  </si>
  <si>
    <t>Revert "This test is to test the security vulnerability in qhwc::MDPCompLowRes::allocLayerPipes (Qualcomm) and"
This reverts commit e4166ed3aaa45932a0883e54abaf7cc9a76def9b
because the test case requires root permissions to run.
Signed-off-by: Utsav Singh &lt;utsavs@google.com&gt;</t>
  </si>
  <si>
    <t>DO NOT MERGE
This CTS will failed in pixel-C, refer to b/28986484.
So revert it. Only work for nyc, never merge into L, M
Revert "DO NOT MERGE This test is to test the security vulnerability in qhwc::MDPCompLowRes::allocLayerPipes (Qualcomm) and that remote rode execution vulnerabilities in Display Driver is fixed Bug #24163261"
This reverts commit ba7117b929c79f9ea9a10139f47f6191462ede4f.
Change-Id: I7e348fb2df74c62da2307357cdd702653a1f4d3c</t>
  </si>
  <si>
    <t>Disable CreateAndManageUserTest as it has issues on user build
Bug 29072728
Change-Id: If0bcacf45c2199968056d0ef0a3e50b95f35aa93</t>
  </si>
  <si>
    <t>Revert "Verify that installation of a large apk succeeds"
This reverts commit e7114fdc88400aad8480d376a6d95bc1924cd1fc.
Bug: 28808317
Change-Id: Ifbdcd2266ccdc6b20a65a6b4bcf7c860e58f82b7</t>
  </si>
  <si>
    <t>Integration test for bg-dexopt compilation
Since this test relies on adb root, it exits early (passes
without doing anything) when running on a 'user' build.
Tested:
On user, and userdebug with/without dalvik.vm.usejitprofiles:
  cts-tradefed run cts -m CtsCompilationTestCases
Bug: 27217443
Change-Id: I5991fd15ad74de95103c7bf8d8fadd835abc1fe9</t>
  </si>
  <si>
    <t>Disable CreateAndManageUser hostside tests
Remove Host side tests whose implementation where removed in ag/1097074
Bug 29072728
Change-Id: If26e3529aa254fef9a85d5836302dba6a347bc45</t>
  </si>
  <si>
    <t>Delete DragAndDropTest
This test has been replaced by a much more reliable host side test.
See CrossAppDragAndDropTests under cts/hostsidetests/services/windowmanager.
Bug: 28508640
Change-Id: Ib1c12d6c04458670055b298dd2092e1428c72048</t>
  </si>
  <si>
    <t>media: A add one more AVC test stream to test the color aspects.
Also refactor the code to combine both the tests of vendor and Google.
Bug:28961357
Change-Id: I32ccd391f74dbea9f7b152e0b6c22e2f4b883b8b</t>
  </si>
  <si>
    <t>Remove Pointer Capture API.
Bug: 26830970
Change-Id: I4246c52e6b426705859f4ae32d9f60c00dc29823</t>
  </si>
  <si>
    <t>Revert "Add test for setting play time *after* start()'ed"
This reverts commit 44c8e95cf7ee3c4ea8c4b6b60bf14ce27bad75df.
Change-Id: I33a3c9dbe59da5c7e498c83610a5a66923922cb3</t>
  </si>
  <si>
    <t>Filter before sharding in ModuleRepo
Filtering before tests are sharded and converted to their own modules
requires us to pull all filtering logic out of IModuleDef, and apply it
directly to the IRemoteTest object before it is split and its options
are copied. This allows filtering to work properly in DeqpTestRunner
during sharded runs.
bug:29248833
Change-Id: I74355394efa447a6e6dcefc1d43bcefda7c5f206</t>
  </si>
  <si>
    <t>Remove VrSensorsTest as it is now obsolete.
Bug: 29253671
Change-Id: I9466db23861511e32f59ea1601e4c2fe9084be1a</t>
  </si>
  <si>
    <t>media: update performance tests to be quasi-parameterized
Bug: 28752802
Change-Id: I4ad8ca460154682ad24559cc3d9210a67c676677</t>
  </si>
  <si>
    <t>Third pass for completing TextView CTS tests.
* Continue switching to lambdas where relevant
* Add timeout-aware method to PollingCheck
* Coverage for highlight color APIs
* Coverage for cursor visibility APIs
* Coverage for font feature settings APIs
* Workaround for proper coverage report of marquee APIs
* Coverage for show soft input APIs
Change-Id: I270944d95b760098f9d12f0c71d21b6c783ad024</t>
  </si>
  <si>
    <t>Include CaCert hostside test in profile owner runs
Bug: 29384715
Change-Id: I3b684849898c8be3a70ff64a45e587cb25d06654</t>
  </si>
  <si>
    <t>Add test for Path#isConvex
fixes: 29520156
Also cleans up empty tests, and switches file to junit4
Change-Id: Iccb8ecd14b9fc064e8f2acacfc533a3b81f3fb0d</t>
  </si>
  <si>
    <t>Add test for Matrix#isAffine
fixes: 29518874
Also update to JUnit4.
Change-Id: I5f02f0864b572b2a13cce9f986f7b3bbda1cce2f</t>
  </si>
  <si>
    <t>Remove BrowserBenchTest
This is a performance test with a hardcoded timeout (1 hour). Webview
team does not have a use case for this test or resulting report.
Bug: 28655634, 28748719
Change-Id: I005a568287a921838ea53894cccbcf319fce1840</t>
  </si>
  <si>
    <t>CTS test for restoring ListView position in restoreInstanceState
Bug: 4948239
Change-Id: I0892ecd9661645b3780060d731ea221ac220912b</t>
  </si>
  <si>
    <t>Add tests for text related classes
Change-Id: I77df714cdfcb861a2e41f2ff89a4d18a05967ca9</t>
  </si>
  <si>
    <t>CTS: Replace deviceSerial with startTime as MetricsStore key.
Bug:2953947
Change-Id: I94bdf95c8f363962d6f5b437a862efab1433f408</t>
  </si>
  <si>
    <t>CTS tests for SavedState classes
Bug: 29574629
Change-Id: Id3a8177736d812795a9511757cdece22148db201</t>
  </si>
  <si>
    <t>Convert AbsListView to Mockito
For more precise tracking of various scenarios that involve
listener callbacks
Change-Id: Ic9cd37e68d51a87c10f3d7e31b18c2ac0c7a5497</t>
  </si>
  <si>
    <t>Revert "Add test for AnimatorListenerAdapter"
This reverts commit 18781f81bd0eed56e97abb7c49bed1caf1278720.
Change-Id: I3f148034251157bfd97c938b0f28023fca12ae79</t>
  </si>
  <si>
    <t>Complete CTS coverage for Chronometer
Change-Id: Id251ed3f16a06e4583c9851352fa91f520f6ef74</t>
  </si>
  <si>
    <t>First pass for completing CTS coverage of RemoteViews
Bug: 29805243
Change-Id: I81f79fa5d8bed3494df4731af0b4465d0b0a5e83</t>
  </si>
  <si>
    <t>First pass for completing AbsListView CTS tests
* Switch to JUnit4, ActivityTestRule and lambdas everywhere
* Remove useless methods
* Switch away from deprecated TouchUtils
* Mark tests with MediumTest / LargeTest
Bug: 29812971
Change-Id: I5e4731a30300069a84d8db93693ba5c506b2c55f</t>
  </si>
  <si>
    <t>Convert android.widget tests to JUnit4
* Use new annotations for running the CTS tests with JUnit4
* Extract tests that should throw exceptions into their own methods
* Clean up incorrect assumptions on how ExpectedException
behaves (it exits the test after the expected exception is thrown,
and doesn't continue in that method)
Bug: 30196727
Change-Id: Ibc8d2669ee736a2aef85bcf0c38313e2515540f5</t>
  </si>
  <si>
    <t>More ShortcutManager CTS
Bug 29612099
Change-Id: Icb58e32920dbf3b13e1b28713f4cf47d01d4655c</t>
  </si>
  <si>
    <t>Pass #3 for converting widget CTS tests to JUnit4
* Use new annotations for running the CTS tests with JUnit4
* Extract tests that should throw exceptions into their own methods
* Switch to @UiThreadTest where possible
Bug: 30196727
Change-Id: I2a4b7126424aafbf2455a4bcb571f3f69bcedbfd</t>
  </si>
  <si>
    <t>Pass #2 for converting widget CTS tests to JUnit4
* Use new annotations for running the CTS tests with JUnit4
* Extract tests that should throw exceptions into their own methods
* Switch to @UiThreadTest where possible
* Convert EditTextTest to run tests on screen content where possible
* Use Mockito for testing text watchers on dialer filter
Bug: 30196727
Change-Id: I3c22cda4c09f28e8b1bb23d7e1749e622c33a5cf</t>
  </si>
  <si>
    <t>Pass #4 for converting widget CTS tests to JUnit4
* Use new annotations for running the CTS tests with JUnit4
* Extract tests that should throw exceptions into their own methods
* Switch to @UiThreadTest where possible
* Convert to run tests on screen where possible
* Move custom widget classes to be defined in their tests
Bug: 30196727
Change-Id: I48ffdb112fb936e4ed900fe36ffd9b75285ce416</t>
  </si>
  <si>
    <t>Pass #6 for converting widget CTS tests to JUnit4
* Use new annotations for running the CTS tests with JUnit4
* Extract tests that should throw exceptions into their own methods
* Switch to @UiThreadTest where possible
* Convert to run tests on screen where possible
Bug: 30196727
Change-Id: Ief5849d78bda4790eac1df10e5ed712a5506e7a9</t>
  </si>
  <si>
    <t>Pass #7 for converting widget CTS tests to JUnit4
* Use new annotations for running the CTS tests with JUnit4
* Extract tests that should throw exceptions into their own methods
* Switch to @UiThreadTest where possible
* Convert to run tests on screen where possible
* Move custom widget classes to be defined in their tests
Bug: 30196727
Change-Id: I4ff1e85d758a7e030df619aa4ca941498c5e2fe0</t>
  </si>
  <si>
    <t>Remove WebView startup StrictMode CTS test and add NullWebView check
The WebView startup StrictMode test fails for Wear, and passes
incorrectly when run as part of a series of tests anyway so there is no
reason to keep it as is (if implemented correctly, or just run on its
own, it will fail for a non-wear device).
Also add NullWebView check to a WebView ServiceWorker test to early-out
if WebView is not available on the device.
Bug: 30119659
Change-Id: I2a60d02175c5085704285e570a93fe4dc00b57db</t>
  </si>
  <si>
    <t>Pass #9 for converting widget CTS tests to JUnit4
* Use new annotations for running the CTS tests with JUnit4
* Extract tests that should throw exceptions into their own methods
* Switch to @UiThreadTest where possible
* Convert to run tests on screen where possible
* Unify usage of android.R and android.widget.cts.R
* Cover additional cases of exception throwing in TabHost
Bug: 30196727
Bug: 30589663
Change-Id: I327663d7e327e9bd85b168d2e7bbf53b6a6284fd</t>
  </si>
  <si>
    <t>Pass #13 for converting widget CTS tests to JUnit4
* Use new annotations for running the CTS tests with JUnit4
* Extract tests that should throw exceptions into their own methods
* Switch to @UiThreadTest where possible
* Convert to run tests on screen where possible
Bug: 30196727
Change-Id: I4da5e8a1341a0effbd04ad2bfe4b08c72de04c42</t>
  </si>
  <si>
    <t>Pass #14 for converting widget CTS tests to JUnit4
* Use new annotations for running the CTS tests with JUnit4
* Extract tests that should throw exceptions into their own methods
* Switch to @UiThreadTest where possible
* Convert to run tests on screen where possible
Bug: 30196727
Change-Id: I709b1001d35909c2525a437dc20b8869afe029dc</t>
  </si>
  <si>
    <t>Revert "CTS: check cpu currents are initialized in the device tree."
This reverts commit cee310c8de5f376e34627551f74e0f39709df5bc.
BatteryStats no longer depends on the kernel computation of the CPU
power. This test can hence be removed.
Bug: 30596283
Change-Id: Ie183fc55a9f4a168f485158f44267dae66d1f7ca
Signed-off-by: Ruchi Kandoi &lt;kandoiruchi@google.com&gt;</t>
  </si>
  <si>
    <t>Pass #15 (last!) for converting widget CTS tests to JUnit4
* Use new annotations for running the CTS tests with JUnit4
* Extract tests that should throw exceptions into their own methods
* Switch to @UiThreadTest where possible
* Convert to run tests on screen where possible
Bug: 30196727
Change-Id: I6196323f58935c67516486ef92aa52cde7dc9842</t>
  </si>
  <si>
    <t>Pass #2 for bringing android.view CTS tests into the new world
* Use Java 8 features (lambdas, method references, diamonds)
* Use JUnit4 (@RunWith, @Before, @Test)
* Use the latest test harness (@ActivityTestRule, size annotations)
* Use Mockito for tracking invocation of listeners / helper objects
Bug: 30695817
Change-Id: I2b55c3814ac4bb1607eca7675bf7af75f56f57f1</t>
  </si>
  <si>
    <t>Pass #5 for bringing android.view CTS tests into the new world
* Use Java 8 features (lambdas, method references, diamonds)
* Use JUnit4 (@RunWith, @Before, @Test)
* Use the latest test harness (@ActivityTestRule, size annotations)
* Use Mockito for tracking callbacks
Also removed duplicated tests in ViewTreeObserverTest
Bug: 30695817
Change-Id: Ib0b952a833a795546b822d1521c4cb53dd43c709</t>
  </si>
  <si>
    <t>Pass #6 for bringing android.view CTS tests into the new world
* Use Java 8 features (lambdas, method references, diamonds)
* Use JUnit4 (@RunWith, @Before, @Test)
* Use the latest test harness (@ActivityTestRule, size annotations)
* Use Mockito for tracking callbacks
Bug: 30695817
Change-Id: I5570a18759452c12d942e52d3a30958ddc274463</t>
  </si>
  <si>
    <t>Revert "DO NOT MERGE: CTS test case for CVE-2015-1530"
This reverts commit 9dfbc395958780704bd8f65e7bd8cdc635033d04.
Change-Id: I798362a125ba6a87e07de9a9a277717d59d5f5cc</t>
  </si>
  <si>
    <t>Add CTS test cases for MediaRouter
This CL adds CTS test cases for:
 - MediaRouter.UserRouteInfo
 - MediaRouter.GetRouteAt()
Bug: 21448861
Change-Id: I86de37c067f424e11e1de443253158bd798c65d3</t>
  </si>
  <si>
    <t>Pass #4 for bringing android.view CTS tests into the new world
* Use Java 8 features (lambdas, method references, diamonds)
* Use JUnit4 (@RunWith, @Before, @Test)
* Use the latest test harness (@ActivityTestRule, size annotations)
* Use Mockito for tracking callbacks
Bug: 30695817
Bug: 30764621
Change-Id: I24404ff09ba54f6287510b83bb121c7019a89777</t>
  </si>
  <si>
    <t>Pass #9 for bringing android.view CTS tests into the new world
* Use Java 8 features (lambdas, method references, diamonds)
* Use JUnit4 (@RunWith, @Before, @Test)
* Use the latest test harness (@ActivityTestRule, size annotations)
* Use Mockito for tracking callbacks
Bug: 30695817
Change-Id: I002d7d49d6acf76c513d0e285aa5a1ef6581d0f7</t>
  </si>
  <si>
    <t>Pass #11 for bringing android.view CTS tests into the new world
* Use Java 8 features (lambdas, method references, diamonds)
* Use JUnit4 (@RunWith, @Before, @Test)
* Use the latest test harness (@ActivityTestRule, size annotations)
* Use Mockito for tracking callbacks
Bug: 30695817
Change-Id: Icfac89a7132a4d6ec52b6b382687a70652e80b7e</t>
  </si>
  <si>
    <t>Pass #12 for bringing android.view CTS tests into the new world
* Use Java 8 features (lambdas, method references, diamonds)
* Use JUnit4 (@RunWith, @Before, @Test)
* Use the latest test harness (@ActivityTestRule, size annotations)
* Use Mockito for tracking callbacks
Bug: 30695817
Change-Id: Ic56178386eb0955d24ed341f2a7a64663af4cdf1</t>
  </si>
  <si>
    <t>Delete invalid test
AnimatorSetTest.testSetSynchronized() depends on invalid assumptions
that elapsed time and animation start/end events should be synchronized.
Issue #30807009 Failed test in android.animation.cts
Change-Id: I56f7a62c5efe48f9c5288aef074757708df77f06</t>
  </si>
  <si>
    <t>Moderize + speed up print CTS tests.
Change-Id: I5c09e7a9948fb37f09d2240f905f67ec9b69837d</t>
  </si>
  <si>
    <t>Bring util CTS tests into the new world
* Use Java 8 features (lambdas, method references, diamonds)
* Use JUnit4 (@RunWith, @Before, @Test)
* Use the latest test harness (@ActivityTestRule, size annotations)
* Use Mockito for tracking callbacks
* Consistent comparison of floats with epsilon error margins
Bug: 30912478
Change-Id: Id530394df9cf0a8b542252c36d2fc28688852bb1</t>
  </si>
  <si>
    <t>Update shortcut CTS
Bug 29612099
Change-Id: I4d7029f2faa780c4bafcd4d0de69998675e19149</t>
  </si>
  <si>
    <t>Bring text CTS tests into the new world - pass #1
* Use Java 8 features (lambdas, method references, diamonds)
* Use JUnit4 (@RunWith, @Before, @Test)
* Use the latest test harness (@ActivityTestRule, size annotations)
Bug: 30912379
Change-Id: Ice46fd9843a72e2e065540b9f25731835b5fa4fb</t>
  </si>
  <si>
    <t>Bring text CTS tests into the new world - pass #3
* Use Java 8 features (lambdas, method references, diamonds)
* Use JUnit4 (@RunWith, @Before, @Test)
* Use the latest test harness (@ActivityTestRule, size annotations)
* Use Mockito
Bug: 30912379
Change-Id: I2816fc0f4c94f8ab612c9a18ac77e572ab8bd83b</t>
  </si>
  <si>
    <t>Bring text CTS tests into the new world - pass #2
* Use Java 8 features (lambdas, method references, diamonds)
* Use JUnit4 (@RunWith, @Before, @Test)
* Use the latest test harness (@ActivityTestRule, size annotations)
* Use Mockito
Bug: 30912379
Change-Id: I074c6b158c55a75dd0e38a725662a3368a60ca59</t>
  </si>
  <si>
    <t>Bring text CTS tests into the new world - pass #4
* Use Java 8 features (lambdas, method references, diamonds)
* Use JUnit4 (@RunWith, @Before, @Test)
* Use the latest test harness (@ActivityTestRule, size annotations)
* Consistent comparison of floats with epsilon error margins
Bug: 30912379
Change-Id: Ia3aa31c11a3b6849b3e57fb4f7c40b7629030b04</t>
  </si>
  <si>
    <t>Bring text CTS tests into the new world - pass #6
* Use Java 8 features (lambdas, method references, diamonds)
* Use JUnit4 (@RunWith, @Before, @Test)
* Use the latest test harness (@ActivityTestRule, size annotations)
* Consistent comparison of floats with epsilon error margins
Bug: 30912379
Change-Id: Id5b762b1f0a5c53e2f3bf2d96b7f8ac6f565f8bc</t>
  </si>
  <si>
    <t>Pass #3 for converting graphics CTS tests to the new world
* Use Java 8 features (lambdas, method references, diamonds)
* Use JUnit4 (@RunWith, @Before, @Test)
* Use the latest test harness (@ActivityTestRule, size annotations)
* Use Mockito to mock listeners
Bug: 30912825
Change-Id: Ibf347af58b9626a3d3cee2062b5c7543b0c6e920</t>
  </si>
  <si>
    <t>Backporting shortcut manager CTS to mr1
Bug 29612099
Change-Id: I620c7190b17c4ff9abd9f20f06ac0ab3d9cb7c3a</t>
  </si>
  <si>
    <t>Pass #6 for converting graphics CTS tests to the new world
* Use Java 8 features (lambdas, method references, diamonds)
* Use JUnit4 (@RunWith, @Before, @Test)
* Use the latest test harness (@ActivityTestRule, size annotations)
* Use Mockito to mock listeners
Bug: 30912825
Change-Id: I1d4a3ab8cf3b9a24bcb5cc30f3f2221c02df2b50</t>
  </si>
  <si>
    <t>Backport shortcut manager CTS to DR
Bug 29612099
Bug 31033599
Change-Id: I74be3588387ff0ae952cb912d946ce6d62936f0f</t>
  </si>
  <si>
    <t>Pass #10 for converting graphics CTS tests to the new world
* Use Java 8 features (lambdas, method references, diamonds)
* Use JUnit4 (@RunWith, @Before, @Test)
* Use the latest test harness (@ActivityTestRule, size annotations)
Bug: 30912825
Change-Id: Ieb66530a9115fa1225c743e00d79d7b16ec15e66</t>
  </si>
  <si>
    <t>Pass #9 for converting graphics CTS tests to the new world
* Use Java 8 features (lambdas, method references, diamonds)
* Use JUnit4 (@RunWith, @Before, @Test)
* Use the latest test harness (@ActivityTestRule, size annotations)
Bug: 30912825
Change-Id: I10f3474682fe28dec1ee4e56983846edcd3c7219</t>
  </si>
  <si>
    <t>Pass #11 for converting graphics CTS tests to the new world
* Use Java 8 features (lambdas, method references, diamonds)
* Use JUnit4 (@RunWith, @Before, @Test)
* Use the latest test harness (@ActivityTestRule, size annotations)
Bug: 30912825
Change-Id: Ie8c464b3630ad86b62633a962962bf86bb0b70d8</t>
  </si>
  <si>
    <t>Pass #12 for converting graphics CTS tests to the new world
* Use Java 8 features (lambdas, method references, diamonds)
* Use JUnit4 (@RunWith, @Before, @Test)
* Use the latest test harness (@ActivityTestRule, size annotations)
Bug: 30912825
Change-Id: I7db48936b17b1896459c1a9962583e9b0d08e7be</t>
  </si>
  <si>
    <t>Pass #13 for converting graphics CTS tests to the new world
* Use Java 8 features (lambdas, method references, diamonds)
* Use JUnit4 (@RunWith, @Before, @Test)
* Use the latest test harness (@ActivityTestRule, size annotations)
Bug: 30912825
Change-Id: I682b521309e15f528edc3f6a0c0449e693be51d8</t>
  </si>
  <si>
    <t>Pass #14 for converting graphics CTS tests to the new world
* Use Java 8 features (lambdas, method references, diamonds)
* Use JUnit4 (@RunWith, @Before, @Test)
* Use the latest test harness (@ActivityTestRule, size annotations)
Bug: 30912825
Change-Id: Ie5cae295012ab51f5eea0d7366874d4f3380fecb</t>
  </si>
  <si>
    <t>Add CTS tests for srcRect
Change-Id: I44d51245d6a2b177a0460c3a431d08271e3c7c46</t>
  </si>
  <si>
    <t>First pass for completing CTS coverage of MotionEvent
* Unifiying separate smaller methods to test the current and
historical data on motion events into a collection of utility
methods that test all data aspects with a variety of APIs
(specific getters as well as axis-based generic getters)
* Adding coverage for current and historical data APIs for
events with multiple pointers
This CL adds coverage for 30 methods that were not previously
covered in CTS
Bug: 31441257
Change-Id: Ic628e034a819cb31c552ead41482a364476891b0</t>
  </si>
  <si>
    <t>Use tradefed AbiUtils
Bug: 31234712
Change-Id: I8803accae69a9fe8609acfe58f0a191b5c56b7c6</t>
  </si>
  <si>
    <t>Revert "Manually merge commit 'd3d4725f08ac2f27368cda123e87751231c9bd14' into nyc-dev"
This reverts commit 1192f209d52a9efd25d56a72a4805b61df9f3b24.
Change-Id: If8862e289eb6693650713ff819c8b05f65cdeda5</t>
  </si>
  <si>
    <t>Revert "DO NOT MERGE security: Test mediaserver crash against an invalid MIDI file"
This reverts commit 08f6f87be64b34933c41e51cee5dfb0db2fc39af.
Bug: 31513597
Change-Id: Iaf1ff48341ac0dc88c863a57d7cedc86f11294c0</t>
  </si>
  <si>
    <t>Add more CTS coverage for KeyEvent APIs
Test: adb shell am instrument -e class 'android.view.cts.KeyEventTest'  -w 'android.view.cts/android.support.test.runner.AndroidJUnitRunner'
Change-Id: I3fc714b015da9bce9d61b6ecaf5a8091562ea0c1</t>
  </si>
  <si>
    <t>Fix DO/PO Wifi CTS
- Flip the feature check
- PO can't access the MAC address.  Removed the test.
Bug 31767129
Change-Id: I9ab72e491df22849f8755899217d207e326f011f</t>
  </si>
  <si>
    <t>Revert "Add CTS tests for WebViewDatabase API"
This reverts commit 28df8eb84cc7779570cdaa39997bf65914472912.
Change-Id: I4546e88dabc98e2d6c46dbe706dbaee07d93bcf3</t>
  </si>
  <si>
    <t>remove CTSv1 tradefed harness
Bug: 31788743
Test: $ make ... cts dist
      # verify number of modules, API coverage report
      $ cts-tradefed run collect-tests-only \
        --product-type bullhead --skip-preconditions \
	--skip-device-info --skip-connectivity-check \
        --primary-abi-only
      # verify that test lists are identical before/after
      $ make ... checkbuild
Change-Id: Ia5bb36af210f886c8efdc7956b30aed6f74f45d9</t>
  </si>
  <si>
    <t>remove CTSv1 tradefed harness
Bug: 31788743
Test: $ make ... cts dist
      # verify number of modules, API coverage report
Change-Id: Ia5bb36af210f886c8efdc7956b30aed6f74f45d9
(cherry picked from commit 1418a40f30d0316108794a8acd8da82a8b4b3b03)</t>
  </si>
  <si>
    <t>api council changes
bug: 31913591
Test: cts
Change-Id: I10764252ffab53a59d3fa8e0cc03fde08bd4f944</t>
  </si>
  <si>
    <t>update CarInfoManager test
bug: 31930987
Test: cts
Change-Id: I741f8a9260ed27a0418f988a471a578e1c7452c0</t>
  </si>
  <si>
    <t>A11y CTS: Check keyboard presence explicitly
We were inferring the presence or absence of an IME based
on the number of windows visible, but that method makes
assumptions about how IMEs behave that aren't always true.
Instead check for the presence of an IME window explicitly.
Also explicity forcing the IME to be shown and adding a 5s
timeout for the IME to show up and disappear.
In addition, we were requiring the IME to reappear when the
a11y feature is disabled or the service controlling it
turned off. It's not obvious that this is the correct
behavior in all cases, so I'm removing the tests that
require it.
Now passes on the phone in portrait and landscape as well as
on my Nemo watch.
Bug: 31986566
Change-Id: Ic2f99df78f3807436881633a4eaf6c1658b3cc07</t>
  </si>
  <si>
    <t>Tests for ellipsized &amp; non-ellipsized TextView height
Asserts that ellipsized and non-ellipsized versions of TextView has the
same height.
Bug: 28988744
Bug: 18864800
Change-Id: I6aa0ac098c03a76c6a524d05e26b74272a069c9b</t>
  </si>
  <si>
    <t>Remove redundant code from managed profile owner test
MixedManagedProfileOwnerTest does not need to override
testDelegatedCertInstaller, since tearDown() and setUp() methods already
serve the purpose of resetting the test environment.
Change-Id: I937ac8fdeb38e4383510d8e1f2d5fa65cf5be31c
Fixes: 31924544
Test: cts-tradefed run cts --module DevicePolicyManager --test com.android.cts.devicepolicy.MixedManagedProfileOwnerTest#testDelegatedCertInstaller</t>
  </si>
  <si>
    <t>Revert "Add test cases for android.util.Half"
This reverts commit 2eb66d66b0f2a6bfc71c217e12bcb6f002ecf336.
Change-Id: I1ee4cfa9e41c5aab02a7750f8fe1e128a6a511b4</t>
  </si>
  <si>
    <t>Api updates for channel.
Test: these are tests.
Change-Id: I1ea1fb85d6dc8a0a0207aeb66b9fc592334ba6db</t>
  </si>
  <si>
    <t>Move test case to StagefrightTest
so it is tested with MediaExtractor as well.
Bug: 19779574
Bug: 31156921
Change-Id: I08fbd8e28d23bafea816ea853382a11325c10b7e</t>
  </si>
  <si>
    <t>Revert "CTS: check cpu currents are initialized in the device tree."
This reverts commit cee310c8de5f376e34627551f74e0f39709df5bc.
BatteryStats no longer depends on the kernel computation of the CPU
power. This test can hence be removed.
Test: No
Bug: 30596283
Change-Id: Ie183fc55a9f4a168f485158f44267dae66d1f7ca
Signed-off-by: Ruchi Kandoi &lt;kandoiruchi@google.com&gt;</t>
  </si>
  <si>
    <t>Revert "DO NOT MERGE: Add CTS For bug - 13225149"
This reverts commit e3eee99b576e4418ccfcd172b9a989fc79d683f4.
Bug: 30307255
Change-Id: Idfc0434ec8d82a658b6adcb97f6ac2e027baee04</t>
  </si>
  <si>
    <t>Remove broken and unnecessary KeyChain test.
Previously, testGetPrivateKeyOnMainThreadFails verified that an
exception was thrown if KeyChain.getPrivateKey() was called from the
main thread. This user error was diagnosed by the KeyChain code, but now
something lower in the stack asserts and kills the process when this is
done so the test is no longer necessary.
Test: Fixes broken test.
Change-Id: Ifb058651581a6c2b29efeb4793dc574e91f53bbc</t>
  </si>
  <si>
    <t>Remove DisplayTest#testGetCurrentSizeRange
Now configuration and display info is computed for each individual
display instead of only for the default display. This means that
same rules are now applied for display size range computation for
all displays; virtual displays no longer have fixed size range
equal to size they were initialized with.
We also can't predict what should the values look like, as different
system UIs can induce different sizes.
Bug: 32910901
Test: android.display.cts.DisplayTest
Change-Id: I26e62defbf8f357090b402c332bc911cb01b8afa</t>
  </si>
  <si>
    <t>CTS sharding refactoring
- ModuleRepo is not shared anymore.
- New sharding balancing algorithm.
- CompatibilityTest is now resumable to reschedule shards
when precondition fails.
Test: unit tests, ./cts-tradefed run ctsibility:include-filter
CtsGestureTestCases --compatibility:include-filter
CtsAnimationTestCases --log-level verbose --shards 2
--product-type bullhead
Bug: 30449039
Change-Id: Ife68aef3b76c04a60d88b0f13a4182b04444f981</t>
  </si>
  <si>
    <t>Revert "Host-side test for DISALLOW_BLUETOOTH user restriction."
This reverts commit 2d3020b24fbc9db60e3fc94a075a9dce0ff9d4d6.
Change-Id: Id0ed64e10bd25f5de7abcc4f284102b3c48e1b84</t>
  </si>
  <si>
    <t>Temporary disable account visibility CTS tests.
Bug: https://b.corp.google.com/issues/33046496
Test: unit tests.
Change-Id: Idc71633ba3f907c7c7935177f5c6ba35660a5e8f</t>
  </si>
  <si>
    <t>Dropping CTS v1 targets
Test: make cts checkbuild
Test: cts-tradefed run singleCommand cts -m CtsIcuTestCases - 4590 pass
Test: cts-tradefed run singleCommand cts -m CtsLibcoreTestCases
Test: cts-tradefed run singleCommand cts -m CtsLibcoreOjTestCases - 586 pass
Bug:33072085
Change-Id: I647900a26d59446ae0b2fd71e62eba511008918b</t>
  </si>
  <si>
    <t>Dropping CTS v1 targets
Test: make cts checkbuild
Test: cts-tradefed run singleCommand cts -m CtsIcuTestCases - 4590 pass
Test: cts-tradefed run singleCommand cts -m CtsLibcoreTestCases
Test: cts-tradefed run singleCommand cts -m CtsLibcoreOjTestCases - 586 pass
(cherry picked from commit 2fbc4fb2fec3bd955d6933feb5d4d63e357bc55b)
Bug:33072085
Merged-In: I647900a26d59446ae0b2fd71e62eba511008918b
Change-Id: I9ee5b0d41cd3f4bda6c6710426738fe4fb67962f</t>
  </si>
  <si>
    <t>Use device APIs to determine max resolution for MediaPreparer
Bug:31443110
Test: cts-tradefed run cts -m CtsMediaStressTestCases
Change-Id: I41866886cd03ce817c1635688d0acb153d864435</t>
  </si>
  <si>
    <t>Improve CTS logging/ help console
- Update verbosity to reduce default console printing.
- Update CTS help
Test: build, unit tests, manual
Bug: 28269862
Change-Id: Ia925fde7ef1ed7f531da9d9d8efeb4be2e78995f</t>
  </si>
  <si>
    <t>Remove Rasterizer and its subclasses from CTS.
Test: compile
Bug: 14650725
Change-Id: I1a8a3bf5fdc8f9167b3fe90838e21085d5a39a6a</t>
  </si>
  <si>
    <t>Fix PixelCopyTests, add rotation tests
Bug: 33421965
Bug: 33306464
Test: N/A
Change-Id: I12b8cfe251cb17ba40d825e01d6d25b980ad5ee5</t>
  </si>
  <si>
    <t>Revert "Add telephony cellular data connectivity precondition Bug: 32567871 Test: cts-tradefed run cts -m CtsUsageStatsTestCases"
This reverts commit 1c8a56a335d186d554634f26ef3135ab4fe6f838.
Change-Id: Ic4b5e3b230396d1bdee55d1f343c9f869215791d</t>
  </si>
  <si>
    <t>Revert "Don't allow permission change to runtime - tests"
This reverts commit ee8e5c25e7239ee42ac9f817d5a40dbf5ed9cc8b.
Change-Id: I21a515419b43ee707a72bf7a1eef40f2813d85e9</t>
  </si>
  <si>
    <t>Remove Canvas.clipRegion from CTS.
Test: compile
Bug: 14650725
Change-Id: I9b04f8244e28f61e6c31f1c473e5e794fa215ca4</t>
  </si>
  <si>
    <t>Test that DO can bind to managed profile before it's enabled.
Also do some cleanup by using the same test class for managed
profile and device owner bind service.
BUG:32433112
BUG:33605748
Test: cts-tradefed run cts --module CtsDevicePolicyManagerTestCases
--test com.android.cts.devicepolicy.DeviceOwnerPlusManagedProfileTest
Change-Id: I2575019556b63f3995a418bf52734879215edc4a</t>
  </si>
  <si>
    <t>DO NOT MERGE: Removing test for audio source unprocessed
Avoid failing on devices missing some configuration files.
Bug: 33924284
Test: this is the test
Change-Id: I9f523e9d4f47ef86631c996af1fc214dc327849a</t>
  </si>
  <si>
    <t>Cannot have badge only channels.
Test: this
Change-Id: I20b3964e3d82d9021e4f081e881edb8636e5311d</t>
  </si>
  <si>
    <t>Remove EncryptionTest#testConfig
Testing for kernel configuration is unreliable across architectures,
and conflicts with the goal of tightening access to /proc.
Bug: 34076934
Test: android.security.cts.EncryptionTest passes
Change-Id: Ibc6bd4ef6d0041724d793c1b666052467ff03098</t>
  </si>
  <si>
    <t>Reintroduce wifi mac address cts tests for PO.
BUG:34158452
Test: cts-tradefed run cts --module CtsDevicePolicyManagerTestCases --test
com.android.cts.devicepolicy.ManagedProfileTest#testWifiMacAddress
cts-tradefed run cts --module CtsDevicePolicyManagerTestCases --test
com.android.cts.devicepolicy.ProfileOwnerTest
Change-Id: Idb0d1767d8020c039c114e3f7d920f37fd656f2b</t>
  </si>
  <si>
    <t>Cts for isProvisioningAllowed with user restrictions.
Test the behavior of isProvisioningAllowed depending on
disallow add/remove managed profile user restriction.
Test: cts-tradefed run cts --module CtsDevicePolicyManagerTestCases --test
com.android.cts.devicepolicy.DeviceOwnerPlusManagedProfileTest#testIsProvisioningAllowed
BUG:32629873
Change-Id: I93a16cc5553c74ec1de041bee973a4532fab695c</t>
  </si>
  <si>
    <t>Replace custom mock class with mockito spy
And break the long test function down into separate tests so we can
find failing ones easier.
Test: runtest -x tests/admin/src/android/admin/cts/DeviceAdminReceiverTest.java
Change-Id: I26048873cdc01edae2e0a7daaed5d2805169e090</t>
  </si>
  <si>
    <t>AutoSize TextView (part 6) - introduce autoSizeMaxTextSize [CTS]
autoSizeMaxTextSize attribute for TextView has been introduced
(instead of using getTextSize() as max size). Reflect this in
the test layout.
Also discovered flakiness in the existing tests and after
investigating it turns out that mokito does not play well
with multiple threads. This led to changing the tests from
verifying that setTextSize has been called to verifing the
text size has changed.
Bug: 33449596
Bug: 32221168
Test: cts-tradefed run cts-dev -m CtsWidgetTestCases -t \
      android.widget.cts.TextViewTest
Change-Id: Idb5224ccfc64b3d5e89cdfda6ee5834d3d96b584</t>
  </si>
  <si>
    <t>Temporarily disable particularly slow tests
Bug: 26504707
Test: cts-tradefed run cts --skip-device-info --skip-preconditions --skip-system-status-check com.android.compatibility.common.tradefed.targetprep.NetworkConnectivityChecker -a armeabi-v7a -m CtsProviderTestCases -t android.provider.cts.ContactsContract_AllUriTest
Change-Id: Id6ed15461ef11f3a92642f43523b59fa488175f5</t>
  </si>
  <si>
    <t>Device wide features are available if all users are affiliated
Test: cts-tradefed run cts -a armeabi-v7a --module CtsDevicePolicyManagerTestCases --test com.android.cts.devicepolicy.DeviceOwnerTest
Test: cts-tradefed run cts --module DevicePolicyManager --test com.android.cts.devicepolicy.DeviceOwnerPlusManagedProfileTest
Bug: 32326223
Change-Id: Icb932cdaa77c64d9cb67be1eeda2c8f879e44838</t>
  </si>
  <si>
    <t>Revert "Compatibility tests for the updates to SSAID tracked in same bug."
This reverts commit 48eb162532cb33875f1a8d761a22e704790714f2.
Change-Id: I4217394565fdc54bbeaf9b58e0c7f26fa63838ac</t>
  </si>
  <si>
    <t>CP MediaStress and MediaPreparer dynamic config changes to nougat
bug:33573055
bug:31443110
bug:32420751
Test: run cts -m CtsMediaStressTestCases
Change-Id: I96ce1be09f75b7ab75a9317fbf8f3a8f5e53bf0a</t>
  </si>
  <si>
    <t>Revert "Introduce set/get FontVariationSettings test cases."
This reverts commit 2e6f9b1133ed9930957fa285d008e4d6927ced51.
Bug: 34378805
Change-Id: Ic18744e214cd5444dca7ae935df4286d6d4b64c7</t>
  </si>
  <si>
    <t>Revert "Create InvocationHistory that tracks results across session retries"
This reverts commit 43bc783fbd3790b99e5a60b67b44204aecaa35e8.
This caused build failures due to dex overflows in CTS libs.
Bug: 34596615
Change-Id: Icdd2f3250d11d808a6c357ccd953a7cf7e825c3c</t>
  </si>
  <si>
    <t>CTS tests updated for the UX spec without sections.
No sections, and the updated clusters semantics.
Bug: 32151632
Test: Running these tests.
Change-Id: I1ce897a35ad97d2c0c4eb7f1846d64233a877a98</t>
  </si>
  <si>
    <t>Revert "CTS for LauncherApps lock-down"
This reverts commit d61f52ec3dc8955173c897aebde485e26ba490f4.
Change-Id: Ib963676c7919c751c36a858109969c35f35bde17</t>
  </si>
  <si>
    <t>Remove duplcated Input Method CTS tests
Since those tests have been moved to CtsInputMethodTestCases by
I86881c0145, the original code can be safely removed.
Bug: 34648531
Test: Manually "run cts --module CtsViewTestCases" and verify that all
      (but already failed/flaky) tests are passed.
Change-Id: Ibafa0f19797c0e7c86e472a7f20db8ef8ced0ab0</t>
  </si>
  <si>
    <t>Revert "Test an order of ActivityCallbacks and corresponding Activity's methods"
This reverts commit aae10c62b8d172a7c49e77474c6a88ef48680616.
Bug: 34415265
Bug: 34914977
Change-Id: Ib1d7d4f055859d7b84ec371d9e940f782715f65f
Test: chrome launches</t>
  </si>
  <si>
    <t>Add tests for getLockTaskPackages
Bug: 34614754
Test: cts-tradefed run cts-dev --module DevicePolicyManager --test com.android.cts.devicepolicy.DeviceOwnerTest#testLockTask_affiliatedSecondaryUser
Test: cts-tradefed run cts-dev --module DevicePolicyManager --test com.android.cts.devicepolicy.DeviceOwnerTest#testLockTask_unaffiliatedUser
Test:  cts-tradefed run cts-dev --module DevicePolicyManager --test com.android.cts.devicepolicy.DeviceOwnerTest#testLockTask_deviceOwnerUser
Change-Id: If8807f258a067acb0ba9a0a02a407242f3501fe0</t>
  </si>
  <si>
    <t>Move new instrumentation tests to the right place.
Test: this is it.
Change-Id: Iedb709555a29d7042ba88513b7057d7c572dd629</t>
  </si>
  <si>
    <t>Moving some package installer tests out of hostsidetests
Test: Verified using runtest
Change-Id: Ica04951efb09c924f04e92be3b09a43d185b88e1</t>
  </si>
  <si>
    <t>Remove ClonedSecureRandomTest
This test was kind of flaky because it depended on a lot of variables
working. SELinux has now blocked pid_max which makes this test fail 100%
of the time.
It is obsoleted by BoringSSL. This problem only affected OpenSSL because
it buffered random data which could be a problem when forking.
Test: cts-tradefed run cts -m CtsSecurityTestCases -a arm64-v8a
Bug: 34077876
Change-Id: I9ea90a8f1e1620d184fd0315ea119abb601c9658</t>
  </si>
  <si>
    <t>Remove Vroot test
It's not compatible with seccomp
Bug: 34722840
Test: cts test NativeCodeTest now passes
Change-Id: I96772b593f7d4d4fec3ad467524524bd1eac3fdd</t>
  </si>
  <si>
    <t>Update CTS tests to cover new Account Discovery API.
Bug: 33046496
Test: cts tests.
Change-Id: I3d4e076f62dd142efe1f10043da5a70c9ff23a09</t>
  </si>
  <si>
    <t>Revert "Fixed AutoFillServiceTestCase workflow."
This reverts commit 408ffa36528328dbf9017eb156844e0b4a19e3ac.
Change-Id: I948bf173fcc0985a15a44eb2236bf93cd937682d</t>
  </si>
  <si>
    <t>CTS test for setVoicemailRingtoneUri and setVisualVoicemailEnabled
Both API needs default dialer privilege so is tested inside
VisualVoicemailServiceTest.
Fixed testGetCarrrierConfig(). Bundles are not easily comparable so
verified no crash instead.
Bug: 34626472
Fixes: 34626472
Test: CtsTelephonyTestCases TelephonyManagerTest
    testVoicemailRingtoneSettings and testVoicemailVibrationSettings
Change-Id: Iea93b9ec6dba2083dba6f70902688e8749de89fa</t>
  </si>
  <si>
    <t>TextView/LinkMovementMethod - touch up revert [CTS]
Inline the existing CTS tests with the reverted
behavior attached in the same topic.
Bug: 23692690
Test: run cts-dev -m CtsTextTestCases -t \
      android.text.method.cts.LinkMovementMethodTest
Change-Id: I84b1fb005e5b517a29bba5c13a5d778c7352df4a</t>
  </si>
  <si>
    <t>security: delete obsolete debuggerd test.
Bug: http://b/34721521
Test: none
Change-Id: I62d28ea3097322fc8065815953876e555a2ba477</t>
  </si>
  <si>
    <t>security: delete another obsolete test.
Bug: http://b/35398418
Change-Id: I7285cb008a7f6ffecad937ecbcaacb3b610044a0</t>
  </si>
  <si>
    <t>Reduce failures and flakiness of DemoMode tests
Bug: 33659098
Test: run cts-dev -m CtsRetailDemoHostTestCases (it's still flaky;
experimentally all tests pass about 80% of the time)
Change-Id: I8b165a2a10c122be3b8d24cc3ca81eed61151a93</t>
  </si>
  <si>
    <t>Disable account discovery tests during refactoring.
Change-Id: I14e251ff036d15257e5613ed4d789f2c5ce91bda
Test: cts-tradefed run cts -m CtsAccountManagerTestCases</t>
  </si>
  <si>
    <t>Updating devicepolicy tests for dpm.setSecureSetting
Since the setting install_non_market_apps is deprecated, device owner
packages targeting O or above should not be able to change it via
dpm#setSecureSetting. Also updated the manifest to use "testOnly=true"
to make the clean up of admin packages easier
Test: cts-tradefed run singleCommand cts-dev -m CtsAdminTestCases --test
android.admin.cts.DevicePolicyManagerTest
Bug: 33947615
Change-Id: I8e9d436d396ba2d2cb4a36daa51b911d9bbfe6d6</t>
  </si>
  <si>
    <t>KernelSettingsTest: remove check for /proc/config.gz
The kernel config file interface in /proc is now required by Android.
Bug: 35126415
Test: KernelSettingsTest passes with and without /proc/config.gz
Change-Id: Ib71eb4480699321ba1ebb6efaec34ab489a3de04</t>
  </si>
  <si>
    <t>Move resetPasswordTest to pre-O DPC package
DPM.resetPassword is being deprecated in O and only DPC who targets SDK level
below O can still call it. As a result, move the CTS test to its own DPC package
Also try to clear device lockscreen password in tearDown() in case test fails.
Bug: 35417075
Test: cts-tradefed run cts-dev -m CtsDevicePolicyManagerTestCases -t com.android.cts.devicepolicy.MixedProfileOwnerTestApi25
Test: cts-tradefed run cts-dev -m CtsDevicePolicyManagerTestCases -t com.android.cts.devicepolicy.MixedDeviceOwnerTestApi25
Test: cts-tradefed run cts-dev -m CtsDevicePolicyManagerTestCases -t com.android.cts.devicepolicy.MixedManagedProfileOwnerTestApi25
Change-Id: I482f84587dc567410dd6df5e61fe94ec29dadaf5</t>
  </si>
  <si>
    <t>Revert "Test NoCopySpans are not copied in SpannableStringInternal"
This reverts commit bde13c23346d7c5e1f464cae949c844ddf404dc5.
Bug: 34712634
Fixes: 35363881
Change-Id: I228f5b5b39c70f84939a986d181c3f8381bc3b06</t>
  </si>
  <si>
    <t>Revert "Test TextView changes width after setText in LinearLayout"
This reverts commit 672de87741b35d488adeabd3a4b9f8440dbc8bee.
Reverts fix for bug 27995311.
Test: cts-tradefed run cts --test android.widget.cts.TextViewTest -m
CtsWidgetTestCases --skip-device-info --skip-preconditions
--skip-connectivity-check
Fixes: 34843459
Change-Id: Ic5013b01846d92c3aad8035c4d6e5c4f03f1a9e0</t>
  </si>
  <si>
    <t>Tests for "tap to revert smart selection".
See: If73259ddb67379d5a5deaa01b840b5185cedf4c8
Test: cts-tradefed run cts-dev -m CtsWidgetTestCases -t
android.widget.cts.TextViewTest#testSmartSelection_resetSelection
Bug: 34777048
Change-Id: I7456eb4773d40366a3f4aa7bf051a1c7ddda6e9d</t>
  </si>
  <si>
    <t>Tests for Support non-system Font Providers
Bug: 35025705
Test: run cts -m CtsGraphicsTestCases -t android.graphics.fonts.cts
Change-Id: I397ed6e7e000d4d4b9082a0392cbb56d23a394e6</t>
  </si>
  <si>
    <t>Deprecate settingsActivity field in TvInputService
Test: remove tests
Bug: 27325064
Change-Id: I25dd85602d52ba7ae03ed93a68eed75584fb7a1c</t>
  </si>
  <si>
    <t>Removing obsolete PiP test.
- We no longer require resizeableActivity to enter picture-in-picture
  so this test is obsolete.
Bug: 35704894
Test: None, that's the point
Change-Id: I8f3b1b21a4ffb4dcbe4f5a0d3597f5d4e6ca3296</t>
  </si>
  <si>
    <t>Remove CtsRetailModeHostTestCases
Bug: 33659098
Test: run cts-dev -m CtsRetailModeHostTestCases (with output 'No
modules found matching CtsRetailModeHostTestCases')
Change-Id: Ia41c7c9396c9266d39c716ff19379ac70ce820b7</t>
  </si>
  <si>
    <t>DO NOT MERGE, Revert "resolve merge conflicts of 4bebe6db69 to nyc-dev"
This reverts commit 3fbcb77d76f6d8aa6335f821845791ce4c049e35.
This test is not necessary in nyc-dev or later.
Change-Id: I98224dcc5aae100f1f9717ba632da203bbffa8b2
Bug: 35429755</t>
  </si>
  <si>
    <t>Switch to new autofillHint API
Test: Ran CTS autofill tests
Bug: 35364993
Change-Id: I75bfd5fa6d8e40347b17a9ec1a92f0025e714263</t>
  </si>
  <si>
    <t>Revert "add more setBitmap tests for its new behavior"
https://buganizer.corp.google.com/issues/36218535
This reverts commit 1b6437cd718e963c1038be43008d76ff678ac14d.
Change-Id: I685c4f17ace5eab8ffcbadcd950cd8246e747527</t>
  </si>
  <si>
    <t>Update tests to reflect new behavior
- No res id name methods
- Channels can be renamed
Test: this
Change-Id: Iff076ca1e42a965fc359520c75b972823635451d</t>
  </si>
  <si>
    <t>Remove failing UsesLibrary.testUsesLibrary test.
A fix for how duplicate classes were checked went in here:
https://android-review.googlesource.com/#/c/349268/
It exposed an issue with this CTS test. Now that the check works
properly, it's rejecting the test apk, which was declared to have
a shared library, but is compiled with no shared libraries when
installed. It doesn't seem like the runtime knows enough about this
library to pass it through to dex2oat.
There may be similar issues with the other tests in this file. A new
test should be developed to better check uses-library, but I'm removing
the failing test in the meantime.
Bug: 36285180
Test: cts-tradefed run singleCommand cts -d --module
CtsAppSecurityHostTestCases -t
android.appsecurity.cts.UsesLibraryHostTest
Change-Id: I4091e6da796f93df076c26f73f41a679c3dccd57</t>
  </si>
  <si>
    <t>Remove failing UsesLibrary.testUsesLibrary test.
A fix for how duplicate classes were checked went in here:
https://android-review.googlesource.com/#/c/349268/
It exposed an issue with this CTS test. Now that the check works
properly, it's rejecting the test apk, which was declared to have
a shared library, but is compiled with no shared libraries when
installed. It doesn't seem like the runtime knows enough about this
library to pass it through to dex2oat.
There may be similar issues with the other tests in this file. A new
test should be developed to better check uses-library, but I'm removing
the failing test in the meantime.
Bug: 36285180
Test: cts-tradefed run singleCommand cts -d --module
CtsAppSecurityHostTestCases -t
android.appsecurity.cts.UsesLibraryHostTest
Merged-In: I4091e6da796f93df076c26f73f41a679c3dccd57
Change-Id: I677f5262aad18b884b2c2471bba0c14ed4c337d8</t>
  </si>
  <si>
    <t>Stop trying to be clever with test ordering.
To avoid the overhead of creating/destroying users for every
individual test, I tried being clever with test name/placement, but
the test harness used in production uses some custom ordering
strategy.  So give up and just smash all tests into a single method.
Test: cts-tradefed run commandAndExit cts-dev -m CtsAppSecurityHostTestCases -t android.appsecurity.cts.StorageHostTest
Bug: 36455171
Change-Id: I7818690f409b1c78061c1b6d3e3b94b63d750614</t>
  </si>
  <si>
    <t>Revert "NdkMediaCodec: CTS for surface APIs"
This reverts commit afca158ab14b6f01854c11bcec42e58306765926.
Change-Id: I1fdf4999f67dd50f48e37dcedb9bb231dd90b25b</t>
  </si>
  <si>
    <t>Deprecated getDeviceId and added getMeid and getImei
Added two new public APIs getMeid and getImei. Deprecated the exisintg
getDeviceId API because it can't return a constant id when phone type
changes.
Test: CTS and manual
bug: 34233620, 10831289
Change-Id: Ife6549f0bb50bdd70df71e7ec406e5aacee19e65</t>
  </si>
  <si>
    <t>Removing tests for indexOfValueByValue
The method indexOfValueByValue was removed from the api. Hence, tests
needed to be removed as well.
Test: Running 'cts-tradefed run singleCommand cts-dev CtsUtilTestCases'
should not run the removed tests.
Bug: 35765468
Change-Id: I15a40c69e7f319e409343e6864ae25896431fa48</t>
  </si>
  <si>
    <t>Remove testSdcarddDomain
This implementation detail has changed, making this test no
longer accurate. When running with sdcardfs, sdcardd mounts
sdcardfs and then terminates, with all future interaction
handled by sdcardfs.
Bug: 35919392
Change-Id: Ibbb7185148d9a8d0803fd6d63afd5013619e5135
Test: Test is no longer present</t>
  </si>
  <si>
    <t>Deprecated getDeviceId and added getMeid and getImei
Added two new public APIs getMeid and getImei. Deprecated the exisintg
getDeviceId API because it can't return a constant id when phone type
changes.
Test: CTS and manual
bug: 34233620, 10831289
Merged-In: Ife6549f0bb50bdd70df71e7ec406e5aacee19e65
Change-Id: Ife6549f0bb50bdd70df71e7ec406e5aacee19e65</t>
  </si>
  <si>
    <t>Added AspectRatioTests CTS tests.
For testing android:maxAspectRatio API.
Test: cts/.../run-test CtsAppTestCases android.app.cts.AspectRatioTests
Bug: 33205955
Bug: 35810513
Change-Id: I6c29cbf173dc70ef03e25d935eb6e9922db27ffc</t>
  </si>
  <si>
    <t>Update CTS to follow FontConfig API changes.
Bug: 36660849
Test: android.text.cts.FontManagerTest passed
Change-Id: Ifcf5400f7e53e0fa935239fe116a22b19b389b71</t>
  </si>
  <si>
    <t>[CTS] Remove backup hostside tests
Those tests have been moved to GTS instead.
Bug: 34760953
Test: this is just removing tests
Change-Id: I28c16b7700cf44476a62e16140cb0002d79bd5c9</t>
  </si>
  <si>
    <t>AudioAttributes: update getVolumeControlStream() after API change
AudioAttributes.getVolumeControlStream() is not static anymore.
Test: cts-tradefed run cts -m CtsMediaTestCases -t android.media.cts.AudioAttributesTest
Change-Id: Ieb4d9d03470715ab3ffc429f36f4e285a1f339dc</t>
  </si>
  <si>
    <t>Revert "Make public getFragments() and getLayoutInflater() methods"
This reverts commit 1bf0fc643dadd23d47b9ad667b36d8c0d443c1a8.
The change is being reverted because it broke git_master build.
Change-Id: I902e33114e53ea78f2c556e760131d99ad734b5b</t>
  </si>
  <si>
    <t>Delete more tests for @hide apis.
DO NOT MERGE
Test: make cts
Change-Id: Ibfd975b0a10d4543bdc0108f016a7364e64347e1</t>
  </si>
  <si>
    <t>Update CTS to follow FontConfig API changes.
Bug: 36660849
Test: android.text.cts.FontManagerTest passed
Change-Id: Ifcf5400f7e53e0fa935239fe116a22b19b389b71
(cherry picked from commit 25ea2597fb9cba7d63d22bb322e58b136785bd6c)</t>
  </si>
  <si>
    <t>Introduce FontVariationAxis test cases.
Also remove FontManagerTest since it is no longer public API.
Test: android.graphics.cts.FontVariationAxisTest passes.
Change-Id: I6cb903789acb5ba9f74f4405adb0337c601e4c6b</t>
  </si>
  <si>
    <t>Revert "Tests for I069f9779"
This reverts commit d85e14c4798e12ec1144dd9aa615552d5517092e.
Bug 36186790
Test: cts-tradefed run cts-dev --skip-device-info --skip-preconditions --skip-system-status-check com.android.compatibility.common.tradefed.targetprep.NetworkConnectivityChecker -a armeabi-v7a -l INFO -m CtsShortcutHostTestCases
Test: cts-tradefed run cts-dev --skip-device-info --skip-preconditions --skip-system-status-check com.android.compatibility.common.tradefed.targetprep.NetworkConnectivityChecker -a armeabi-v7a -l INFO -m CtsShortcutManagerTestCases
Change-Id: If264d3003ffca44b9dc6b9c298549cefe5e78b12</t>
  </si>
  <si>
    <t>Remove CTS test for a11y service state API
Bug: 35764675
Test: Ran a11y CTS
Change-Id: Ie61369d5d17bc3ace65d21a6d4877abe6a7297bd</t>
  </si>
  <si>
    <t>Removing Native MIDI CTS tests from master repo until post-branch O mr1
Test: manual
Bug: 36369178
Change-Id: I40c4dc78640eaffe3af62a0613c6443f1d78f28a</t>
  </si>
  <si>
    <t>Revert "CTS: Add a JVMTI redefineClasses test"
This reverts commit 21027c19ffb64b08f06b06055db508de5c00ac4b.</t>
  </si>
  <si>
    <t>Revert "CTS: Add a JVMTI allocation tracking test"
This reverts commit ded3ae49da669bdbaf0e99b4ef38f650409ef575.</t>
  </si>
  <si>
    <t>Revert "CTS: Add a JVMTI tagging test"
This reverts commit 04a01c8dfd2a968001b6872dc4c63444227048d6.</t>
  </si>
  <si>
    <t>Revert "CTS: Add skeleton for JVMTI tests"
This reverts commit a9b479dcc27369e3e73ca3157979ee4a705e96e0.</t>
  </si>
  <si>
    <t>Removing Native MIDI CTS tests from master repo until later branch
Test: manual
Bug: 36369178
Change-Id: I40c4dc78640eaffe3af62a0613c6443f1d78f28a</t>
  </si>
  <si>
    <t>Update CTS to support more conservative approach to isClipEmpty().
Test: bit CtsGraphicsTestCases:.CanvasTest
Bug: 36677738
Change-Id: I5c67802da1782bb80a6c543e40340bb31ed0ae20</t>
  </si>
  <si>
    <t>Temporarily disable testExposedSystemActivites
The fixes for this test are blocking on prebuilts coming in from google3
and activity-alias visibleToInstantApps support. To keep tests green
disable this for now.
Bug: 36788934
Test: android.appsecurity.cts.EphemeralTest#testExposedSystemActivities
is no longer a part of EphemeralTest
Change-Id: I93c0982ed510baa8858629a51c0d1d6c07a590d6</t>
  </si>
  <si>
    <t>This CTS generates false positives on newer branches
This is a reverts commit ba7117b929c79f9ea9a10139f47f6191462ede4f.
Bug: 33304218
Test: testDisplayDriver_cve_2015_6634 doesnt fail. cause it doesnt
exist.
Change-Id: I7e348fb2df74c62da2307357cdd702653a1f4d3c</t>
  </si>
  <si>
    <t>Remove CTS tests for formdata
Webview Form data functionality is disabled in Android O and later.
Test: deleting test
Bug: 36869838
Change-Id: I07ee2972ef865756be902be2df9730919157e21c</t>
  </si>
  <si>
    <t>Revert "CTS tests for refreshing opacity and statefulness on tint change"
This reverts commit bba14f67c803d7d61c845599509c70d64d42264a.
Reason to revert:
The setup wizard started throwing android.view.InflateException due to
I89f6d804fb025f426aefdee67559778cf03015bb. Temporarily reverting that
change until we figure out what is going on.
Change-Id: Ib2e906318779e10bc868970b9ab8bfd65ac9f6a1
Test: Manually verified that the setup wizard no longer crashes.
Bug: 33124798
Bug: 36870685</t>
  </si>
  <si>
    <t>Remove dumpsys negative CTS.
It's already covered elsewhere.
Test: cts-tradefed run cts-dev --skip-device-info --skip-preconditions --skip-system-status-check com.android.compatibility.common.tradefed.targetprep.NetworkConnectivityChecker -a armeabi-v7a -l INFO -m CtsShortcutManagerTestCases -t android.content.pm.cts.shortcutmanager.ShortcutManagerNegativeTest
Bug: 36895088
Change-Id: I195f156575044943971f9a15e4351e42db467db8</t>
  </si>
  <si>
    <t>Adding CTS Verifier test for uninstalling device admins
Replacing the uiautomater test as it relies on the UX of the
settings app, which may vary on different phones.
Test: make -j32 cts-verifier
Cts verifier -&gt; Device Admin Uninstall Test
Bug: 34520349
Change-Id: Ia7982c7325d01f6119c95a83d99306c62181513b</t>
  </si>
  <si>
    <t>Adding CTS Verifier test for uninstalling device admins
Replacing the uiautomater test as it relies on the UX of the
settings app, which may vary on different phones.
Test: make -j32 cts-verifier
Cts verifier -&gt; Device Admin Uninstall Test
Bug: 34520349
Change-Id: Ia7982c7325d01f6119c95a83d99306c62181513b
Merged-In: Ia7982c7325d01f6119c95a83d99306c62181513b</t>
  </si>
  <si>
    <t>Removed testSaveSnackBarGoesAway()
Bug: 37083017
Test: CtsAutoFillServiceTestCases pass
Change-Id: I153c8034843c1fd743532ef55868764bf1ee65c2</t>
  </si>
  <si>
    <t>Delete testAllCharacterDevicesAreSecure()
Delete the test testAllCharacterDevicesAreSecure(). Many of these tests
are already duplicated by SELinux neverallow rules, which are a cleaner
way to perform these kinds of tests and don't involve opening up stat()
permissions on various character device files. In addition, the normal
version of this test (not the host side version) doesn't work because
/dev isn't readable.
This test is a maintenance burden, doesn't meet our partner's needs, and
is a recurring source of waiver requests.
Bug: 36891574
Test: CTS compiles.
Change-Id: Ice9b9c32a87add3a0f16647a46af1be31ad5f044</t>
  </si>
  <si>
    <t>Remove RenderProcessCrashTest#testCrash
This reverts part of 0bf04408.
Test: ran testOnRenderProcessGoneDefault, testOnRenderProcessGone
BUG:36869571
Change-Id: I85e7eca66e4f352519d02650eece3755aed2dd52</t>
  </si>
  <si>
    <t>Revert "Move retry logic into its own class"
This reverts commit 177cc6ed7aaadf0418001bf1aeff0395605be751.
Change-Id: I07486d94d6124ab16266fcb9ea072a3a7935fec4</t>
  </si>
  <si>
    <t>Move API for disabling an autofill service to the manager
Test: the disable self CTS tests pass
bug:37170723
Change-Id: Ic6340c0bd377793db6db2ab401a2f8fc6fc05ba0</t>
  </si>
  <si>
    <t>Remove test coverage of auto-paging.
Auto-paging is being removed in favor of a client side support lib Adapter.
Bug: 30927484
Test: Run CTS tests.
Change-Id: I65fcf6d5d717b2c6193ec0044a05efa141d00a46</t>
  </si>
  <si>
    <t>Revert "CTS for scrollbar dimensions"
This reverts commit a6305a4f47ca65e8762dd44e957157e347be912a.
Bug: 35432058
Test: android.view.cts.ViewTest passes
Change-Id: Ia6bd571f644c96b45f6c7b0c30845d2c6134412e</t>
  </si>
  <si>
    <t>Revert "add CTS tests for concurrent audio capture"
This reverts commit 3ce7a835b584123918e580e4129ce88fc5a5d1dd.
Bug:36891272
Test: run CTS AudioRecordTest
Change-Id: I050a56ac818f8d562da5b02eea10cb3aaeca656e</t>
  </si>
  <si>
    <t>Remove test coverage of auto-paging.
Auto-paging is being removed in favor of a client side support lib Adapter.
Bug: 30927484
Test: Run CTS tests.
Change-Id: I65fcf6d5d717b2c6193ec0044a05efa141d00a46
(cherry picked from commit fc25beca4c74953ff1c6e8be18f5c0a9a20ceebc)</t>
  </si>
  <si>
    <t>Revert "Add CTS tests for the MediaBrowser search API"
This reverts commit bad1de54cbd83f249854fd246fe8d7757399e3ca.
Bug: 36844917
Test: Passed MediaBrowserTest and MediaBrowserServiceTest
Change-Id: I070eaa5c1218f6631facbf5803bc58835934c755</t>
  </si>
  <si>
    <t>Revert "Add tests for queue managments of MediaController"
This reverts commit 1a7f9a4ce2d35e26241f3c68b3103debed88b71f.
Bug: 36844917
Test: Pass MediaControllerTest
Change-Id: I73b1e2d5e465d4bb1213088a4095300a6b18ed1c</t>
  </si>
  <si>
    <t>Remove unnecessary sepolicy attributes
Test: make cts
Bug: 34980020
Change-Id: Iaf2b8ac5bfb7753782fc56ab078cdd14d61b57b8</t>
  </si>
  <si>
    <t>Remove unnecessary sepolicy attributes
Test: make cts
Bug: 34980020
(cherry picked from commit 9a05c717ca6ae16344cbe0471cb2e6dff0c7282f)
Change-Id: I501b08dc56e827cb348aa1045e32e0221d9c0b64</t>
  </si>
  <si>
    <t>Remove autofillMode attribute
Bug: 36171235
Test: CtsAutoFillServiceTestCases
Change-Id: I4ec72e08fd4d091c6d43d87b14729580ca9931c4</t>
  </si>
  <si>
    <t>CTS: Update TextClassificationManagerTests
Test: bit CtsViewTestCases:android.view.textclassifier.cts.TextClassificationManagerTest
Bug: 37296604
Change-Id: I1c3781caa635fa6260c01fb4a58e957fbc851708</t>
  </si>
  <si>
    <t>Remove ColorFilter/Shader mutate tests
Bug: 36025103
Bug: 37327129
Test: boots, CtsGraphicsTestCases passes
Change-Id: If689af005fcb757205eb4358c6fdee9b7d34c778</t>
  </si>
  <si>
    <t>Revert "Add pages count test for WebView printing"
Will merge this test to MR1.
This reverts commit 76ef62330b22abc31f9dd9cdaa14ee657328515b.
Bug: 37432731
Change-Id: I4baf9933f376f4a22d437a353d1e713d3f474adb</t>
  </si>
  <si>
    <t>Add tests for two accessibility state listeners
Make sure accessibility and touch exploration state
change listeners get called back when relevant changes
happen.
Bug: 37124673
Test: This adds a test. It even passes!
Change-Id: I6629b09b5dc12c93abaad81487eeaee5290ee113</t>
  </si>
  <si>
    <t>DO NOT MERGE: Remove testAddTwoToastsViaAddingWindowApisWhenUidFocusedQuickly.
The described behavior doesn't match on what nougat-mr1-dev framework does,
The other test case, the WhenUid"Un"Focused, can be still kept to ensure
unwanted apps not to occupy the foreground by multiple toasts.
Bug: 37088966
Test: None (this CL is just removing a test.)
Change-Id: I3ad362d5a7542b45214248ee7a32bb5874faa6bd</t>
  </si>
  <si>
    <t>(CTS) Remove language detection test.
Test: bit CtsViewTestCases:android.view.textclassifier.cts.TextClassificationManagerTest
Bug: 37562190
Change-Id: Idb5d2d9abe157e7318b63a56df5844bbe8088a96</t>
  </si>
  <si>
    <t>Revert "BuildTest: split out test expected to fail on prerelease builds"
The commit was based on a misunderstanding of the semantics of
the @RestrictedBuildTest annotation.
This reverts commit b2d6cf2d3ac5e9a152b9deca8ae4e9b33e65c27b.
Test: nothing, ran BuildTest at subsequent CL
Bug: 35922665
Bug: 37484198
Change-Id: I9a41c7ae5255be2ec116f6af97959be8cecac11b</t>
  </si>
  <si>
    <t>Revert "BuildTest: split out test expected to fail on prerelease builds"
The commit was based on a misunderstanding of the semantics of
the @RestrictedBuildTest annotation.
Test: nothing, ran BuildTest at subsequent CL
Bug: 35922665
Bug: 37484198
This reverts commit b2d6cf2d3ac5e9a152b9deca8ae4e9b33e65c27b.
Merged-In: I9a41c7ae5255be2ec116f6af97959be8cecac11b
Change-Id: I4ff433f54275ead836205fea8e1288e6c255b247</t>
  </si>
  <si>
    <t>Remove test related to removed APIs.
Test: N/A
Bug: 37514611
Bug: 37463988
Bug: 37281200
Change-Id: I106476790263e5f158a8b630d42d344aec5dab1c</t>
  </si>
  <si>
    <t>Camera: Remove testOpaqueImageWriterReaderOperation
It ends up creating a pair of ImageReader/Writer with usage flags of
0, which is not allowed per the gralloc usage spec.
Test: Compiles
Bug: 36794161
Change-Id: Ic2de5fea20e83e22650d4966364f2d6ee2f7dfca</t>
  </si>
  <si>
    <t>Revert "BuildTest: split out test expected to fail on prerelease builds"
The commit was based on a misunderstanding of the semantics of
the @RestrictedBuildTest annotation.
This reverts commit b2d6cf2d3ac5e9a152b9deca8ae4e9b33e65c27b.
Test: nothing, ran BuildTest at subsequent CL
Bug: 35922665
Bug: 37484198
Change-Id: I9a41c7ae5255be2ec116f6af97959be8cecac11b
(cherry picked from commit c21996a3198d8f0cc40759a828ff5ecb343bf281)</t>
  </si>
  <si>
    <t>Remove IpSecManagerTest
IpSecManager and its associated classes are removed from OC.
They are planned for a future release.
Bug: 37681043
Test: make cts
Change-Id: I2ff911d5c62dbbf9be699330742d041706d9cbc2</t>
  </si>
  <si>
    <t>Remove IpSecManagerTest
IpSecManager and its associated classes are removed from OC.
They are planned for a future release.
Bug: 37681043
Test: make cts
Change-Id: I2ff911d5c62dbbf9be699330742d041706d9cbc2
Merged-In: I2ff911d5c62dbbf9be699330742d041706d9cbc2
(cherry picked from commit 3a51173a3a762b576dd3c0d29c883e8763a9f95b)</t>
  </si>
  <si>
    <t>Follow FontRequest moving in frameworks/base
Bug: 37326126
Test: am instrument -w -e class android.provider.FontsContractTest
      com.android.frameworks.coretests/\
      android.support.test.runner.AndroidJUnitRunner
Test: am instrument -w -e class android.provider.cts.FontProviderTest
      android.provider.cts/android.support.test.runner.AndroidJUnitRunner
Test: am instrument -w -e class android.provider.cts.FontRequestTest
      android.provider.cts/android.support.test.runner.AndroidJUnitRunner
Change-Id: Ic02bb2dae2461c13cf8729cf60dbb2e713a13a71</t>
  </si>
  <si>
    <t>Add CTS tests for Canvas#clipOutRect
Bug: 37720768
Test: bit CtsGraphicsTestCases:CanvasTest
Change-Id: I2b63005dc809f93ad3809ea17774c7081e643182</t>
  </si>
  <si>
    <t>Temporarily remove failing test
Bug: 37633952
Bug: 37723275
Test: none
Change-Id: Iec50c9937c9d328a9b41e0e3f9997b6b0ee9547c</t>
  </si>
  <si>
    <t>Fix most private API usage in CtsGraphicsTestCases
Bug: 37779858
Test: bit CtsGraphicsTestCases:*
ColorSpace#Renderer was @hidden, so test are moving to APCT.
Change-Id: I9784f533895ddf1a38da79dbe62ec29135e41a50</t>
  </si>
  <si>
    <t>A11y CTS changes to match API council requests
Bug: 37749679
Bug: 37747749
Bug: 37737948
Bug: 37718183
Bug: 37720667
Bug: 37724600
Bug: 37708057
Test: Affected tests still pass.
Change-Id: I8a56fd0f4ac8475b2f5330c24578dde826fb1d37</t>
  </si>
  <si>
    <t>avoid using private APIs for PhoneNumberUtils cts
Bug: 13250611
Test: run cts -m CtsTelephonyTestCases -t
android.telephony.cts.PhoneNumberUtilsTest
Change-Id: I9a05ab9e69104ba1fd28f02e1f4f90b89bd08db5</t>
  </si>
  <si>
    <t>Fix test for a11y fingerprint with no sensor
After the API change where getFingerprintGestureController never
returns null, we can't very well have a CTS test that demands
it return null. Removing that test and adjusting the initial
state test to match the availability of hardware.
Bug: 38004367
Test: Test passes on both Sailfish and Ryu
Change-Id: Ib90fd2021f57f6d98ba1b400bae6401c0285e065</t>
  </si>
  <si>
    <t>Revert "Make AHardwareBuffer test cases run through JNI."
This reverts commit b46dc4767cdaa44992c2083c915d28cb1a94cc96.
Change-Id: I86d93e6c943e45be4800313e5520947254146115</t>
  </si>
  <si>
    <t>KernelSettingsTest: delete SELinux enforcing test
This is a duplicate of a host-side test, so can safely be deleted.
This file cannot be read anymore as of system/sepolicy commit
14e2e9261fec015ab6fa66f2bc67439f13c45b8d
Bug: 27756382
Test: CTS compiles.
Change-Id: I5bcfe2c0f3a72e2d76fb9122747cf3192387d69d</t>
  </si>
  <si>
    <t>Remove tests for voicemail ringtone settings
With the change in O notification channels setting ringtone through
telephony no longer works. These APIs is to be deprecated.
Change-Id: If43402d1657385b6b50d7e427200a9656cdf9c1f
Fixes: 38237253
Test: CtsTelephonyTestCases VisualVoicemailServiceTest</t>
  </si>
  <si>
    <t>CTS Test more video resolutions in DecodeAccuracyTest.
There are 396 tests in total that take 15-25 minutes to run.
Replacing the original test cases with about 3MB of
new test streams. The test will be run based on the
capability of codecs.
Test: test results will be shared in comments.
Bug: 38181390
Change-Id: Ia06142aaf6f55fc7bd02c72b069e7d02265fadf3</t>
  </si>
  <si>
    <t>[CTS] Remove call log backup tests (moved to GTS)
Test: make cts -j40 still works
Bug: 37301304
Bug: 29085027
Change-Id: I7443a3b828609d461949fa513c54e544efd38813</t>
  </si>
  <si>
    <t>Ease constraints for compress/extractAlpha methods on HW bitmaps
Some device are not always precise.
bug:38242157
Change-Id: I48944d3a374e251577dd998ae5144974d40f722b</t>
  </si>
  <si>
    <t>Remove deprecated CarUiProviderTest.
Bug: 32019250, 62058921
Test: Trivial file deletion.
Change-Id: Icef02886790a43b8e24a849641e3ba28acd8fc2c</t>
  </si>
  <si>
    <t>Make storage and StrictMode tests more robust.
Many of the AppSecurity tests verify cross-user interactions by
creating and starting temporary users on multi-user devices.  Since
user creation adds significant overhead, this change creates a
secondary and tertiary user only once for the entire module, which
individual tests can then efficiently reuse.
Quietly skip testFullDisk() when we're unable to free up more than
90% of disk space, since that's a prerequisite for that test.
Rewrite StrictModeTest to use explicit listener for observing
violations, since reading back raw logcat data recently became
very flaky.
Test: cts-tradefed run commandAndExit cts-dev -m CtsOsTestCases -t android.os.cts.StrictModeTest
Test: cts-tradefed run commandAndExit cts-dev -m CtsAppSecurityHostTestCases
Test: cts-tradefed run commandAndExit cts-dev -m CtsAppSecurityHostTestCases -t android.appsecurity.cts.StorageHostTest
Test: cts-tradefed run commandAndExit cts-dev -m CtsAppSecurityHostTestCases -t android.appsecurity.cts.ExternalStorageHostTest
Bug: 38234598, 37486230, 37915178, 62018992
Change-Id: I97182aaa8c82cdc0a1169d5b4adac053c84a1b11</t>
  </si>
  <si>
    <t>Revert "Add new test type to StagefrightTest"
This reverts commit 6724527ab528c8abbd0a4dd9fb560005fc200ee9.
Bug 36816007 isn't actually fixed yet, so we shouldn't have a test for it yet.
Bug: 36215950
Bug: 36816007
Bug: 36895511
Bug: 38431599
Change-Id: Iab2c0c2f33a97b2a32b431a0eb0b0eaa95217307</t>
  </si>
  <si>
    <t>Revert "Add CTS test for underlines not affecting width"
This reverts commit 6c11e6dd7b660544650fb8fbccb924b75b227a74.
Bug: 62234081
Change-Id: Ib5404a7fcee0d18015dfa7dd8cfe1a0d145cc94d</t>
  </si>
  <si>
    <t>Revert "Reland "Add pages count test for WebView printing""
Revert this until M59 in master.
Bug: 38004073
This reverts commit 02c12dde10d73f9a17a0e7fd957094ecb0f4678e.
Change-Id: Ia583b7968c6be57213b2830086a69f7ab686f334</t>
  </si>
  <si>
    <t>DO NOT MERGE Remove testStagefright_cve_2015_3826
This test should have been removed from L, but was only removed from L-MR1
Bug: 38391487
Bug: 27368229
Test: build
Change-Id: I31bbaac5244df211a60e3c9465772846a4dc57d7</t>
  </si>
  <si>
    <t>Fix text tests to not use non-public APIs
This CL modifies various tests or moves them to frameworks core tests.
Bug: 37780152
Test: cts-tradefed run cts-dev --module CtsTextTestCases
Change-Id: I3bb6df901b5c181a15235d8a627a5ead57ab0b05</t>
  </si>
  <si>
    <t>KernelSettingsTest: delete SELinux enforcing test
This is a duplicate of a host-side test, so can safely be deleted.
This file cannot be read anymore as of system/sepolicy commit
14e2e9261fec015ab6fa66f2bc67439f13c45b8d
Bug: 27756382
Bug: 62386947
Test: CTS compiles.
(cherry picked from commit 4938b4d5ef8f2246784e919113331420ae541208)
Change-Id: Idbae18b4d89ac89d1311f1310b3d4a5772e51f9d</t>
  </si>
  <si>
    <t>CTS CalendarViewTest - rewrite min/max test
Inlines with the framework material implementation
where we do not throw an error anymore when min or
max date are before, respectively after the selected
date, but instead clamp selected date to the new
min/max if it is outside the interval.
Obs: the holo implementation still keeps throwing the
     error since API 21
Bug: 62485314
Bug: 62436528
Test: cts-tradefed run cts-dev -m CtsWidgetTestCases -t
      android.widget.cts.CalendarViewTest#testMinMaxRangeClampingMaterial
Test: cts-tradefed run cts-dev -m CtsWidgetTestCases -t
      android.widget.cts.CalendarViewTest#testMinMaxRangeRestrictionsHolo
Change-Id: I6fe38e026108470f53498cd63c298259e565639d</t>
  </si>
  <si>
    <t>Remove cts tests for validating uid times per cpu freq in dump.
Bug: 62492900
Test: cts-tradefed run singleCommand cts-dev -m ctsIncidentHostTestCases -t \
      com.android.server.cts.BatteryStatsValidationTest
Change-Id: I448ef830794d36ac251e431e5417293584d18201</t>
  </si>
  <si>
    <t>Fixed autofill CTS permission issues.
- Removed unneeded call to 'wm dismiss-keyguard'.
- Removed redundant LoginActivity.testUserRestriction() (whose logic is
  already tested on CtsDevicePolicyManagerTestCases.
Fixes: 62377598
Test: CtsAutoFillServiceTestCases pass after calling adb unroot
Change-Id: Idcdf29fe9645f4d6cafe2a019d27f245e0dcd919</t>
  </si>
  <si>
    <t>Parameterize MediaBitstreamsTest
Bug: 30268664
Test: cts-tradefed run everything \
  -m CtsMediaBitstreamsTestCases \
  -t MediaBitstreamsTest#testBitstreamsConformance[path/to/bitstream]
Change-Id: I44a8bf4c6cba93e5d68aa52791f321f402334cc9</t>
  </si>
  <si>
    <t>Only test available intents
because instant applications can't get enough permissions to inspect
the device, they are reliant on system defined pickers/choosers.
ensure the various chooser/pickers have been properly exported to
instant applications; but, only if they're available on the device
for full applications.
Change-Id: Ic9568d5e1f0508d3d49bebade7ea73da25e1fb44
Fixes: 62233495
Test: cts-tradefed run commandAndExit cts-dev -m CtsAppSecurityHostTestCases -t android.appsecurity.cts.EphemeralTest</t>
  </si>
  <si>
    <t>Rewrites CTS test for key/value backup
Previous implementation used logcat as means of communication between
the test app on the device and the host side of the test. Due to the
nature of logcat that proved to be unreliable and flaky.
New implementation uses device-side test routines to save, read and
verify shared preferences and files. The host side is used to drive the
test flow, install and uninstall the test app, run backup and restore commands.
Test: cts-tradefed run cts -m CtsBackupHostTestCases -t android.cts.backup.KeyValueBackupRestoreHostSideTest
Bug: 38331563
Change-Id: I0d3082c7b0088965f9d018aeb35eae6244f80018</t>
  </si>
  <si>
    <t>VrCpuTest - On Vr high performance devices, remove need for exclusive core
Bug: b/34973979
VrDisplayTest -Increase max display length to be 6.3 inches for bezel'less devices
Bug: b/62619244
Change-Id: Id30cf850f8ae840a9bd4cefd46138fd484cd6ad5</t>
  </si>
  <si>
    <t>MediaSession: Split test cases for getting active sessions
Splits test cases against primary users, additional users,
restricted profiles and managed profiles.
Test: cts-tradefed run cts -m CtsMediaHostTestCases
Bug: 63112661
Change-Id: If823590a2d0803c8d75a08232052f30ef0cc8013</t>
  </si>
  <si>
    <t>Removed CTS test of private API
Moved to a unit test since API isn't acessible anymore
Change-Id: I70b657a69a5eeb56a791861fb5a09ecfdfd7ef57
Fixes: 63096109
Test: runtest -x tests/app/src/android/app/cts/WallpaperColorsTest.java</t>
  </si>
  <si>
    <t>Fix testProcSelfPagemapNotAccessible() on new kernels
New kernels take a different approach to mitigating Rowhammer-style
attacks.  Processes without CAP_SYS_ADMIN can once again read from
/proc/self/pagemap, but all entries will have the PFN bits zeroed out.
Since /proc/self/pagemap can stay accessible if it's sanitized, rename
the test to testProcSelfPagemapSane().
Test: bit CtsPermissionTestCases:.FileSystemPermissionTest\#testProcSelfPagemapSane
      (on sailfish [3.18] and hikey [4.9])
Bug: 62235647
Change-Id: Ie53e331415590881a5101487b29e5dc62c016495
Signed-off-by: Greg Hackmann &lt;ghackmann@google.com&gt;</t>
  </si>
  <si>
    <t>DO NOT MERGE
Remove ClonedSecureRandomTest
This test was kind of flaky because it depended on a lot of variables
working. SELinux has now blocked pid_max which makes this test fail 100%
of the time.
It is obsoleted by BoringSSL. This problem only affected OpenSSL because
it buffered random data which could be a problem when forking.
Test: cts-tradefed run cts -m CtsSecurityTestCases -a arm64-v8a
Bug: 34077876
Change-Id: I9ea90a8f1e1620d184fd0315ea119abb601c9658</t>
  </si>
  <si>
    <t>Cleaning up uses of @hide apis
Bug: 62069804
Bug: 62066671
Test: View_FocusHandlingTest and FocusFinderTest still pass
Change-Id: I530442cfee16a5e8db3c828cd55fd92aa62fd451</t>
  </si>
  <si>
    <t>Uses Pattern instead of String for new Autofill Save API.
Test: CtsAutoFillServiceTestCases pass
Bug: 62534917
Change-Id: I61c27c3224ed88d8bf8cb9cfefe4b5fb9de9ec67</t>
  </si>
  <si>
    <t>Fix testProcSelfPagemapNotAccessible() on new kernels
New kernels take a different approach to mitigating Rowhammer-style
attacks.  Processes without CAP_SYS_ADMIN can once again read from
/proc/self/pagemap, but all entries will have the PFN bits zeroed out.
Since /proc/self/pagemap can stay accessible if it's sanitized, rename
the test to testProcSelfPagemapSane().
Test: bit CtsPermissionTestCases:.FileSystemPermissionTest\#testProcSelfPagemapSane
      (on sailfish [3.18] and hikey [4.9])
Bug: 62235647
Change-Id: Ie53e331415590881a5101487b29e5dc62c016495
Signed-off-by: Greg Hackmann &lt;ghackmann@google.com&gt;
(cherry picked from commit ffd8d565cc3b8a32e72bede4d6f677e2024ee817)</t>
  </si>
  <si>
    <t>DO NOT MERGE [CTS] Remove call log backup tests (moved to GTS)
Test: make cts -j40 still works
Bug: 63707329
Bug: 37301304
Bug: 29085027
Change-Id: I004238bda127530e5a0c762ccef16341ca4e5e12</t>
  </si>
  <si>
    <t>DO NOT MERGE [CTS] Remove call log backup tests (moved to GTS)
Test: make cts -j40 still works
Bug: 63707329
Bug: 37301304
Bug: 29085027
Change-Id: If2221b7457e16d1363d7393ca811cc6d9b4fc608</t>
  </si>
  <si>
    <t>DO NOT MERGE [CTS] Remove call log backup tests (moved to GTS)
Test: make cts -j40 still works
Bug: 63707329
Bug: 37301304
Bug: 29085027
Change-Id: I57902d1f942b09d7792d4fb1d746dcbd2538a2f6</t>
  </si>
  <si>
    <t>Revert "Add CTS tests for retrying ellipsization"
This reverts commit c3f441e2dc3cbef33935bd5a595f1b32fe728129.
Bug: 64156587
Bug: 31537595
Change-Id: I90b16eaf6b9cf63a47bead79dc16179ecf665119</t>
  </si>
  <si>
    <t>Revert "Add CTS tests for retrying ellipsization"
This reverts commit 50d71fab486cda44b5961798edce7af89a6d7054.
Bug: 64312574
Change-Id: Idc1fb9d33f8e64dfd93aa7027599f27ff8823fce</t>
  </si>
  <si>
    <t>Introduce gtest_wrapper and convert debugtest
Test: CtsDebugTest still passes
Change-Id: Iaa0939a6fa1d2f67b7d1983849732d54d82626ee</t>
  </si>
  <si>
    <t>Revert Session.transfer tests
This reverts:
8745fd152602f640bd4152cc42e6e4041097042f
3b5d2ed11e0d135275c15c96edcc04e8a65ec522
Bug: 64467704
Test: none, 100% revert
Change-Id: Iadda74926db5fa6d4f38ab6bff4d5f8c07426a9f</t>
  </si>
  <si>
    <t>CTS test for ASharedMemory_dupFromJava
Bug: 64394076
Test: this
Change-Id: I7b4507b770bac034b2b1325cc176cf741f936704</t>
  </si>
  <si>
    <t>Revert "Autofill: tests Save UI is dismissed when new activity launches."
This reverts commit 55a2d559864da3f12fcce40522e6844a5fe0d7df.
Bug: 64693551
Test: it's a reversal, silly!
Change-Id: Iddafd5e430298f81171c0516a304ea69a9c91894</t>
  </si>
  <si>
    <t>Revert "CtsMediaBitstreamsTestCases: bitstreams package via annotation"
This reverts commit 6ca2a7dded89d14f7f937d3c2ed01960b2f0ba66.
Bug: 64342361
Change-Id: I3db25eb76327dae3cc0cb6cdb22f8d7d2af98703</t>
  </si>
  <si>
    <t>WebView: rename API in tests, remove obsolete tests
No change in logic.
This changes CTS tests to use the new names for the following API:
 * initSafeBrowsing -&gt; startSafeBrowsing
Test names have been renamed accordingly.
This also removes an obsolete test, because stopSafeBrowsing has been
removed.
Bug: 64331900
Test: run cts -m CtsWebkitTestCases -t android.webkit.cts.WebViewTest
Change-Id: If4e4a307bd7974ac47bdd88bb9fd878ae3419ae6</t>
  </si>
  <si>
    <t>Revert "Added autofill tests for dismissing UI on cancel()."
This reverts commit 2c133721cfc4d1e0327d9aa7865473771ecf83c3.
Test: I don't always revert a CL, but when I do, I don't write tests.
Bug: 64756889
Change-Id: Id2b7087031b82aa5528ba1c0b612859412ad20a8</t>
  </si>
  <si>
    <t>Fix broken ephemeral users tests
Ephemeral users were previously disallowed on non-system user split
devices. We have recently enabled them on all devices, which broke the
existing CTS tests. Fix those tests to take into account the recent
changes. This now runs ephemeral user tests all devices.
Bug: 64381943
Test: cts-tradefed run singleCommand cts -m DevicePolicyManager --test
com.android.cts.devicepolicy.EphemeralUserTest --abi arm64-v8a
Test: cts-tradefed run singleCommand cts -m DevicePolicyManager --test
com.android.cts.devicepolicy.DeviceOwnerTest --abi arm64-v8a
Change-Id: If08281d848828325c077c9b438f44cb3f3c39364</t>
  </si>
  <si>
    <t>Revert "Testing that invalid authorities are cleared on boot"
AndroidJUnit4 was not support in lmp.
Need to revert to get a single CL for security cherry-picks
Bug:35028827
This reverts commit 0f05863bde96b03b8052c40b2622395c73370bdd.
Change-Id: If1410aea7afa6149cecd3404df9e9149b0bab725</t>
  </si>
  <si>
    <t>Revert "DO NOT MERGE StagefrightTest: add test for bug 23270724"
This reverts commit abf3663133dee4bb42e4077565633f10b9ee8b53.
Change-Id: Ic91b06208075234f78268e9bb1aa1f3b4861709c</t>
  </si>
  <si>
    <t>Revert "DO NOT MERGE StagefrightTest: add test for bug 23270724"
This reverts commit c40a811394286cc35d1989e1b13a9cfa0d4f5c0e.
Change-Id: Ie577636aee427ff043e371764776f191b6835076</t>
  </si>
  <si>
    <t>Revert EditText maxLines CTS test
We have added a maxLines=0 test to EditTextTest to check the height of
the EditText. It fails on smaller devices with a 1off error. The test
is not ready yet, will add the test back on master when it is ready.
Test: None
Bug: 65850652
Change-Id: I3e119aa121641abbbafd4a8a980bd35b6e4ad8db</t>
  </si>
  <si>
    <t>Delete Crypto provider compatibility test.
The Crypto provider is being removed, so the compatibility test is no
longer required.
Bug: 35707247
Test: cts -m CtsSecurityTestCases
Change-Id: I49d51e1a8524c402a6cd7f690dfc680f2d14472e</t>
  </si>
  <si>
    <t>Delete obsolete openssl security tests
These tests were originally intended to detect CVE-2014-0224 and
CVE-2014-0160 and have served their purpose well. However, 3 years after
those bugs were relevant, all new Android devices have these patches,
and these tests are no longer adding value and are causing other
problems (eg bug 64317209)
Delete these stale tests.
Bug: 64317209
Test: CTS compiles.
Change-Id: I55c8598fdf19ab380852b7dc36a190ed168ce708</t>
  </si>
  <si>
    <t>Revert "test if b/65484460 is fixed."
Bug: 67498260
Bug: 65484460
This reverts commit 1249be8a6157fb3140afd9879eecd80624541bc8.
Change-Id: I6ff2b3028713791dd4d5269264b1f3123d50eb7e</t>
  </si>
  <si>
    <t>Move abi support from cts to tf (suite)
For cts-suite move the abi resolution to TF.
Test: unit tests
Bug: 65303193
Change-Id: I3c765106aa2ca0fb29738254f2cff038a027cb47</t>
  </si>
  <si>
    <t>Move metadata filtering out of CTS
ITestSuite will apply the metadata filter.
Test: unit tests
./cts-tradefed run cts-suite --module-metadata-include-filter
component=framework
Bug: 65303193
Change-Id: I932f6a1335846036bcde5fc6637d72701fb97814</t>
  </si>
  <si>
    <t>Updating FingerprintIncidentTest to pass on all devices.
Bug: 65750812
Test: $ cts-tradefed run cts-dev --module CtsIncidentHostTestCases --test com.android.server.cts.FingerprintIncidentTest
Change-Id: Ifc4f4945775aea4b67309a475dbc3996a33ffc1e</t>
  </si>
  <si>
    <t>Prevent touch delegate from blocking parent events
Make sure that TouchDelegate does not interfere with
handling of parent's events, such as onClick().
Check that ACTION_CANCEL is received by the TouchDelegate.
Test: bit CtsViewTestCases:.TouchDelegateTest
Bug: 65392236
Change-Id: I45a239f66d1dc6466d5c6a47b269d457c6e980b9</t>
  </si>
  <si>
    <t>Remove deprecated host base class
Replaced by generalized BaseHostJUnit4Test in TF.
Test: build cts, dts, pts, vts
Bug: 67607927
Change-Id: I8f3e48f1aaac4b151fa339d634937e02b8f5d968</t>
  </si>
  <si>
    <t>Remove cts vr tests to accommodate CDD changes
VrCPUTest - On Vr high performance devices, remove need for exclusive
core
VrDisplayTest - On Vr high performance device, remove the need to test
diagnonal display size
Test: None
Bug: 62536935
Bug: 62536183
Fixes: 62536935
Fixes: 62536183
Change-Id: I68955b278da072e3bb8bd87714eee962946efd21</t>
  </si>
  <si>
    <t>Make testCreateAndManageEphemeralUser use proper SDK constant
- Removed testCreateAndManageEphemeralUserFails as it's not used anywhere
Bug: 64381943
Test: cts-tradefed run singleCommand cts -m DevicePolicyManager --test com.android.cts.devicepolicy.DeviceOwnerTest#testCreateAndManageEphemeralUser --abi arm64-v8a
Change-Id: I756051f7d4c4baa74ca1d1b742b5a76979e0a74a</t>
  </si>
  <si>
    <t>Revert "Test initial focus behavior"
This reverts commit 3ddbd06f88653089694dca05c673227b6f5b9204.
Reason for revert: Pushback from bundled apps
Bug: 68841055
Bug: 34520588
Change-Id: I4d4acfcf1c4714b2e8244228dbbe52dea52a6f53</t>
  </si>
  <si>
    <t>Revert "Test initial focus behavior"
This reverts commit 3ddbd06f88653089694dca05c673227b6f5b9204.
Reason for revert: Pushback from bundled apps
Bug: 68841055
Bug: 34520588
Change-Id: I4d4acfcf1c4714b2e8244228dbbe52dea52a6f53
(cherry picked from commit 3ae8059ea47c78869bc8aa1d0a8a4a7b726bf019)</t>
  </si>
  <si>
    <t>Remove testDisplayDimensions for CDD change
The CDD removes the requirement for certain display dimensions. This
test has been removed in nougat-cts, and this will remove it from
oreo-cts.
Test: None
Bug: 62536935
Bug: 62536183
Change-Id: I4d847b92bf00c686fa2bd944cb1f0c64d56466b8</t>
  </si>
  <si>
    <t>Revert "Test proper focusability of zero-sized Views."
This reverts commit 2976943ffe98aa57891ae482ab299bb43cb172dd.
Reason for revert: TextView interracts poorly
Change-Id: I4115f54597aa84cb9133a6ea2076e617af0eee57</t>
  </si>
  <si>
    <t>Changed ValidatorTest to contain just integration tests...
...and moved unit tests to ValidatorsTest
Test: atest CtsAutoFillServiceTestCases:ValidatorTest
Test: atest CtsAutoFillServiceTestCases:ValidatorsTest
Bug: 37566627
Change-Id: I2c9407220bd5d6503508bc33151ee83a0c61e1b6</t>
  </si>
  <si>
    <t>cts test for screen state on and off atoms
Test: cts test
Change-Id: I080be4dfa4ca36866ee4f9e43953a3e054beed09</t>
  </si>
  <si>
    <t>Add tests for get/setPropertyString and ByteArray.
Test: CTS
  ANDROID_BUILD_TOP= ./android-cts/tools/cts-tradefed run cts -m
  CtsMediaTestCases --test android.media.cts.ClearKeySystemTest#testGetProperties
  ANDROID_BUILD_TOP= ./android-cts/tools/cts-tradefed run cts -m
  CtsMediaTestCases --test android.media.cts.ClearKeySystemTest#testSetProperties
bug: 68009146
Change-Id: Ib51c6a27eaecda22df11be3a543788e74a7109af</t>
  </si>
  <si>
    <t>Refactored FieldsDetectionTest into FieldsClassificationTest.
Test: atest CtsAutoFillServiceTestCases:FieldsClassificationTest
Bug: 68045531
Change-Id: I0efa515dd7188424499dc8f30bb31658f6684133</t>
  </si>
  <si>
    <t>Revert "Don't generate irrelevant a11y events - CTS"
This reverts commit 50e2160d0b8f6f6f53c2d621aa7bf4cd5bb14f78.
Change-Id: I6d741fe9e787d687e666ae8bb4edaafd2982ac6d</t>
  </si>
  <si>
    <t>DO NOT MERGE: Move test case to StagefrightTest
so it is tested with MediaExtractor as well.
Bug: 19779574
Bug: 31156921
Change-Id: I08fbd8e28d23bafea816ea853382a11325c10b7e
(cherry picked from commit a201f0d3cafe2922ea57d9a6c770af485360756c)</t>
  </si>
  <si>
    <t>DO NOT MERGE: Move test case to StagefrightTest
so it is tested with MediaExtractor as well.
Bug: 19779574
Bug: 31156921
Change-Id: I08fbd8e28d23bafea816ea853382a11325c10b7e
(cherry picked from commit e21bdfeb8b6eecc012c306972b0d5139ae8a29de)</t>
  </si>
  <si>
    <t>Deprecate testInputMethodSubtypesOfSystemImes()
This CL removes the following test case:
 InputMethodInfoTest#testInputMethodSubtypesOfSystemImes()
What this test is doing are basically:
 * Get the entire set of supported languages in that device.
   (Hereafter call it language set X)
 * For each pre-installed IME, get the list of InputMethodSubtype with
   InputMethodManager#getEnabledInputMethodSubtypeList(imi, true)
   (Hereafter call it InputMethodSubtype set Y)
 * For any combination of X and Y, the test passes if and only if
   there is at least one matching pair of x's language and y's language.
However, the above requirement may not be contributing to the
compatibility story much, because such an existence of InputMethodSubtype
basically guarantees almost nothing for both users and developers.
Therefore this CL removes that test case to avoid confusions.
Fixes: 69934718
Test: cts-tradefed run singleCommand cts -m CtsInputMethodTestCases
Change-Id: Idd5632111a839f7e7c3145d974e2b364f1a19d21</t>
  </si>
  <si>
    <t>Remove ColoredNavigationBarTest, which isn't ready
This CL removes ColoredNavigationBarTest, which is not ready but was
accidentally included in my previous CL [1].
 [1]: Ied91a77e9efb3453e80f41e16f476e9874f39db2
      5a0e4063e55cc96a605e0e57a3e437fab09a75cc
Bug: 69845539
Test: atest CtsInputMethodTestCases
Change-Id: Ic2c6a638e42f3afeb115283e1fb7afedd907acb3</t>
  </si>
  <si>
    <t>WorkSourceTest: Remove tests for stripName.
Removed in 9ab2c99465247e8ed32e.
Test: WorkSourceTest
Change-Id: I43bb460518b1a24d63c5394c7e534e88fac563c3</t>
  </si>
  <si>
    <t>Delete test for obsolete/unused 'back button panic press'
Bug: 62069912
Change-Id: I1c774b30ddacb425b4ca01b9422117c19c0d9541</t>
  </si>
  <si>
    <t>Revert "CTS/STS test for Android Security b/62214264"
This reverts commit 5d4b01c20e4163fbbe2f62c6225d0b9bd0fdcf13.
Bug:70524340
Bug:62214264
Change-Id: I74ad509fd8ea791a99170aff5b93b673b993bd68</t>
  </si>
  <si>
    <t>Remove all hostside elevated permissions tests that were
introduced in nyc-mr1 or mr2.
Test: successful build.
Bug:67456333
Change-Id: Id916ea90464deee5c2edb520d77553a6c4105532</t>
  </si>
  <si>
    <t>Remove all hostside elevated permissions tests that were
introduced in nyc-mr1 or mr2.
Test: successful build.
Bug:67456333
Merged-In: Id916ea90464deee5c2edb520d77553a6c4105532
Change-Id: Id916ea90464deee5c2edb520d77553a6c4105532</t>
  </si>
  <si>
    <t>Revert "Add CTS to verify IMS.onStartInput() is called once."
This reverts commit c0bd71ea57614aafaf9eb287e5e4c3f308221fec [1].
Reason for revert:
In Bug 69845539, we successfully migrated this test from host-side to
device-side [2] hence we no longer need this test in
InputMethodServiceLifecycleTest.
Also this test is a bit flaky (Bug 70538611).
 [1]: I5fd7d8a535d66b7599bb03d7192668d00e10d81c
 [2]: I90c306ec3ce15662717d3b17b833db6c2072c2ca
      e3d0c68f1bdc72f4d9ebfc08840344a1bc1bbe6f
Bug: 35599628
Change-Id: Iacc677864b111e56d0308cc85bd2a0353978aeeb
Fixes: 70538611
Test: atest CtsInputMethodServiceHostTestCases</t>
  </si>
  <si>
    <t>Revert "Add CTS SearchView tests to verify IME visibility."
This reverts commit 9e989fde100d51f51c4435844b7dd37db1f5465b [1].
Reason for revert:
In Bug 69845539, we successfully migrated the following tests from
host-side to device-side [2].
 * InputMethodServiceLifecycleTest#testSearchView_giveFocusShowIme()
 * InputMethodServiceLifecycleTest#testSearchView_setQueryHideIme()
Hence we can safely revert the original CL that added above tests.
  [1]: Iac24b4cb12e0e90471e4c6726296ac836c2f84c7
  [2]: I23523861161751153d58fee4de93fe26e074366f
       2b221fe33e3c20b034f33ac23b1062cb37172f82
Bug: 36404632
Test: atest CtsInputMethodServiceHostTestCases
Change-Id: Id1dbc348efaa2ad5d8d7bd1570eff973af89d1fd</t>
  </si>
  <si>
    <t>Speed up InputMethodServiceLifecycleTest
This CL simplifies InputMethodServiceLifecycleTest without actually
changing what InputMethodServiceLifecycleTest is currently testing.
The method in question is
  InputMethodServiceDeviceTest#testIme1IsNotCurrentIme(),
which is essentially just doing polling check for
  adb shell settings get secure default_input_method
in the device side, which does not make much sense because the same
check can be done in the host side as well.
With this CL, the same assertion is re-implemented in the host side in
favor of faster execution time (25s -&gt; 15s on taimen-userdebug) as
well as simplicity.
Bug: 70730589
Test: atest CtsInputMethodServiceHostTestCases
Change-Id: I29b4a4d68fc94ceb19268fc0a875dbafc81ed206</t>
  </si>
  <si>
    <t>Revert "Try to deflake CtsInputMethodServiceHostTestCases"
This reverts commit 99d9d9718502356286e0b1847d2e06da0347c4b4 [1]
Reason for revert:
Somehow this is now all tests in CtsInputMethodServiceHostTestCases are
100% failing on continuous CTS.  We need to revert this first until we
figure out what is going on.
 [1]: I306d66a65ebabefeec02dd247f26f87709731a27
Bug: 70730589
Change-Id: Idd59402e0327f4ec18c68ffe87c2c70702e93baf
Test: atest CtsInputMethodServiceHostTestCases</t>
  </si>
  <si>
    <t>Revert "CTS test for Android Security b/65122447"
This reverts commit d882117b13daebc46df014dcc1a6c8f2224c75f0.
Change-Id: Iecf5014f92d5462dd5651ca1d899926bc4f6b5b3
Bug: 65122447</t>
  </si>
  <si>
    <t>Temporarily disable BluetoothLeScanTest#testOpportunisticScan
Temporarily disable BluetoothLeScanTest#testOpportunisticScan because it
is interfered by the GmsCore; it fails when it obtains results from
GmsCore explicit scan.
Bug: 69373800
Test: adb shell am instrument -e class
'android.bluetooth.cts.BluetoothLeScanTest' -w
'android.bluetooth.cts/android.support.test.runner.AndroidJUnitRunner'
Change-Id: I48068c2238102fefadd8907df956696e8c853703</t>
  </si>
  <si>
    <t>Simplify a few a11y CTS tests
Moving A11yViewTreeReportingTest and
AccessibilityWindowReportingTest to junit4.
Using lamdas to reduce boilerplate.
Moving getStatusBarHeight to a util class. Future tests
will need it.
Adding utility class for launching an activity and making
sure it's really ready to be inspected by a11y.
Adding utility class for AccessibilityEventFilter, since
we were creating very similar ones all over the place.
I deleted one test whose code was duplicates elsewhere, but
that's the only functional change.
Test: Ran A11y service CTS
Change-Id: Id2b0fd07db178ddc63a487429b06e4d33ad22d8d</t>
  </si>
  <si>
    <t>Deprecate testInputMethodSubtypesOfSystemImes()
This CL removes the following test case:
 InputMethodInfoTest#testInputMethodSubtypesOfSystemImes()
What this test is doing are basically:
 * Get the entire set of supported languages in that device.
   (Hereafter call it language set X)
 * For each pre-installed IME, get the list of InputMethodSubtype with
   InputMethodManager#getEnabledInputMethodSubtypeList(imi, true)
   (Hereafter call it InputMethodSubtype set Y)
 * For any combination of X and Y, the test passes if and only if
   there is at least one matching pair of x's language and y's language.
However, the above requirement may not be contributing to the
compatibility story much, because such an existence of InputMethodSubtype
basically guarantees almost nothing for both users and developers.
Therefore this CL removes that test case to avoid confusions.
Fixes: 69872509
Fixes: 70280713
Test: cts-tradefed run singleCommand cts -m CtsViewTestCases
Change-Id: Idd5632111a839f7e7c3145d974e2b364f1a19d21
Merged-In: Idd5632111a839f7e7c3145d974e2b364f1a19d21
(cherry picked from commit d84fb8030c0cd185ca4462fcfb2d61ec61b4f50a)</t>
  </si>
  <si>
    <t>Reboot device before starting security logging tests, to ensure logd has the device owner
property enabled.
Consolidate security logging test cases into a single case, to minimize number of reboots
required.
Bug: 70972063
Test: cts-tradefed run singleCommand cts -m DevicePolicyManager --test com.android.cts.devicepolicy.DeviceOwnerTest#testSecurityLoggingWithSingleUser
Change-Id: I99cac20f65151cffc26100ce5bc64d7118f04cf6</t>
  </si>
  <si>
    <t>Revert "StagefrightTest: add test for bug 23270724"
This reverts commit 4e38daf30b1495d5cfe236b7e4f5a87c200cbbb1.
Change-Id: I1bc6f375d393bc42746a949f3f0861fd1b4adabc
Bug: 23270724
(cherry picked from commit 4d79511e2fb367f17410cea03feabda41c14a1f5)</t>
  </si>
  <si>
    <t>Add tests for device owner transfer.
Test: cts-tradefed run cts-dev --module DevicePolicyManager --test com.android.cts.devicepolicy.MixedDeviceOwnerTransferTest
Change-Id: Ifa04e16ea6c3b0847a2b1ac0ccb225c2d7d1018e</t>
  </si>
  <si>
    <t>Moved EditDistanceScorerTest.java to frameworks/base
Test: echo "I don't always remove a test class, but when I do, I don't run it"
Bug: 70291841
Change-Id: I03930bd49ce231d672962b1297ff99b8381c953d</t>
  </si>
  <si>
    <t>Revert "Run LockScreenInfoTest for affiliated profile owner"
- This API no longer accept affiliated profile owner as part of http://ag/3416725
Bug: 68925683
Test: DeviceOwnerTest still passes
Change-Id: I2e4905d15470735dd264551aaf1a1c7bba02c220</t>
  </si>
  <si>
    <t>Move SyncAccountAccess*CertTests to device tests.
Test: cts-tradefed run cts-dev -m CtsSyncAccountAccessOtherCertTests
      cts-tradefed run cts-dev -m CtsSyncAccountAccessSameCertTests
Change-Id: Ib446a6ebd4b2ea62d0943d1dd286159b654d59a3</t>
  </si>
  <si>
    <t>Keep only the minimal specialization of CTS specific
- Only keep what is really CTS specific in the suite
implementation.
- Move to TF the supporting class.
Test: unit tests, run cts-suite -m CtsGesture
Bug: 65303193
Change-Id: I6ca065a7589977ff13d399aa08cf33d831556a2d</t>
  </si>
  <si>
    <t>Add test case for new MeasuredText consturctors and API.
Bug: 67504091
Test: bit CtsTextTestCases:*
Test: bit CtsWidgetTestCases:android.widget.cts.TextViewTest
Change-Id: I039abe57110b751a5956e517790b2284927e6634</t>
  </si>
  <si>
    <t>Remove obsolete "dram" test.
Bug: http://b/26907755
Test: builds
Change-Id: Iba0947a545bc469273630966696f256bf5e3bcc7</t>
  </si>
  <si>
    <t>Remove obsolete "dram" test.
Bug: http://b/26907755
Test: builds
Merged-In: Iba0947a545bc469273630966696f256bf5e3bcc7
Change-Id: Iba0947a545bc469273630966696f256bf5e3bcc7</t>
  </si>
  <si>
    <t>Update selinux targetSdk app domain tests
Untrusted_apps now fall into three selinux domains based on
targetSdkVersion with the following characterstics:
targetSdkVersion &gt;= 28
seapp_contexts selector levelFrom=all (per-user and per-app categories)
Domain: u:r:untrusted_app:s0:c[0-9]+,c[0-9]+,c[0-9],c[0-9]
Data context: u:object_r:app_data_file:s0:c[0-9]+,c[0-9]+,c[0-9],c[0-9]
targetSdkVersion &gt; 25 &amp;&amp; targetSdkVersion &lt;= 27
seapp_contexts selector levelFrom=user (per-user categories)
Domain: u:r:untrusted_app_27:s0:c[0-9]+,c[0-9]+
Data context: u:object_r:app_data_file:s0:c[0-9]+,c[0-9]+
targetSdkVersion &lt;=25
seapp_contexts selector levelFrom=user (per-user categories)
Domain: u:r:untrusted_app_25:s0:c[0-9]+,c[0-9]+
Data context: u:object_r:app_data_file:s0:c[0-9]+,c[0-9]+
Test that the domain data contexts match expected values. Refactor
tests to put common code into shared directory.
Bug: 63897054
Test: cts-tradefed run cts -m CtsSelinuxTargetSdkCurrentTestCases
Test: cts-tradefed run cts -m CtsSelinuxTargetSdk27TestCases
Test: cts-tradefed run cts -m CtsSelinuxTargetSdk25TestCases
Test: Boot sailfish, run apps, verify no new selinux denials.
Change-Id: I010cd6e0fb8ff6a9a8eceb8e866aa572b98c21d7</t>
  </si>
  <si>
    <t>Revert "CTS tests for tooltip a11y support"
This reverts commit 7e8443e1d9d38ac375adeffae964e04348aa6045.
Reason for revert: Cannot access views by resource-id via uiautomator
Bug: 72271943
Change-Id: I0ee50eaa27cc3a6c7bd418547e7573c8b758136e</t>
  </si>
  <si>
    <t>Test for BulletSpan
Test: BulletSpanTest
Change-Id: I6be8610bef176f5074f1748ab5b64ce885573e8f
But: 72217003</t>
  </si>
  <si>
    <t>CTS for setLightNavigationBarDivider
Test: android.systemui.cts
Change-Id: If08e3cf6b1096227f3115a5a79524673c76f5621
Fixes: 68776845</t>
  </si>
  <si>
    <t>Revert "DO NOT MERGE StagefrightTest: add test for bug 23270724"
This reverts commit b2de82b797cf311e65d1fa11cd0aadbca220b70a.
Bug: 64315203
Change-Id: Ibf00ceebeaa9ddb8fcc6432ba102b81e11c1a33f</t>
  </si>
  <si>
    <t>Remove all Android Security tests that require root from CTS.
Test: successful build
Bug: 67456333
Change-Id: I096d71ebb42ea34a3f0b3e7fbd33a2f59aeed717</t>
  </si>
  <si>
    <t>Revert "Add CTS tests for retrying ellipsization"
This reverts commit 55102bcf5f2fdb41df5ec04e4a902fd9f161c5e6.
Test: bit FrameworksCoreTests:android.text.StaticLayoutTest
Test: bit FrameworksCoreTests:android.text.DynamicLayoutTest
Test: bit FrameworksCoreTests:android.text.TextUtilsTest
Test: bit CtsTextTestCases:*
Test: atest FilesActivityUiTest
Bug: 71599479
Bug: 31537595
Bug: 64156587
Change-Id: I66446b9412c40b0f4eee421a1490ca60e9df1f68</t>
  </si>
  <si>
    <t>Removing Incident.*Test.
Bug: 67899176
Bug: 70632504
Test: N/A
Change-Id: Ib0ebfce395e136cf22014f28f8bd9fef9b1eaff7</t>
  </si>
  <si>
    <t>Make AssetInputStreamTest actually test read with offset
Previously, the read at offset method would just test that the contents
of the same buffer from the previous read at offset were identical to
the expected bytes. This could be true if the first read filled in data
ahead of its intended length.
Test: atest CtsContentTestCases:AssetManager_AssetInputStreamTest
Change-Id: I67ff53791dbf55fcd7fb74062c127f8bf5b12ec0</t>
  </si>
  <si>
    <t>[CTS] Remove BackupManagerTest
This test made use of a now deprecated requestRestore() API.
It wasn't testing much anyway, and testing on dataChanged()
behaviour is covered in different tests.
Test: make -j40 cts
Bug: 62650350
Change-Id: I5aaf187e5ee4372ea153efefeb11441360aa4a31</t>
  </si>
  <si>
    <t>Remove all Android Security tests that require root from CTS.
Test: successful build
Bug: 67456333
Change-Id: I096d71ebb42ea34a3f0b3e7fbd33a2f59aeed717
Merged-In: I096d71ebb42ea34a3f0b3e7fbd33a2f59aeed717</t>
  </si>
  <si>
    <t>Deleted CTS test for deprecated CAR_AUDIO_USAGE
BUG: 72046976
Test: lunch gcar_emu-x86 &amp;&amp; m -j // Verify in Car Settings
Change-Id: Ia2fe3c31016bd3416b7d3fa816ef8d1fba60eef7</t>
  </si>
  <si>
    <t>[AWARE] Remove "Respond to ANY" API - dummy tests deprecated
Aware API which permitted a Responder (Publisher) to accept data
path requests from ANY peer (as opposed to a specific peer with a
Peer ID or MAC address) is deprecated in the API update.
The CTS tests in any case cannot test the full exchange (which
requires 2 devices and is tested using CtsVerifier). They tested
the creation of a valid Network Specifier and a network request
which then times-out. However, the network request did not specify
a peer - a now deprecated API.
Update the tests:
- For OOB data-path specify a dummy MAC address
- Remove the in-band data-path tests since there is no public API
  to create a dummy PeerHandle.
Bug: 72175022
Test: CTS passes
Change-Id: I97b74d80d0f9dfdc43c4c743a18c960c05ab6a53</t>
  </si>
  <si>
    <t>Added more tests for Save on virtual views.
Test: atest VirtualContainerActivityTest
Bug: 63602573
Change-Id: I83c4744e3976b75a20d72cf2d151cf2d47106611</t>
  </si>
  <si>
    <t>Fix Context.enforce[CallingOrSelf]Permission tests, and add more permission tests.
Test: atest CtsContentTestCases:ContextWrapperTest
Change-Id: Iee763cdcba85b9a3400c85c15357cc225268b7e6
Bug: 72485440</t>
  </si>
  <si>
    <t>Revert "CTS test for Android Security b/38115076"
This reverts commit 9272b86c66eb3e6bce0efb056ae13fec18094ce9.
Bug: 38115076
Change-Id: Ibf02e3f7c6200e9fc33199f6d43668355a7d09fe</t>
  </si>
  <si>
    <t>Add Cts for ConnectionService focus API
Bug: 69651192
Test: atest CtsTelecomTestCases:ConnectionServiceTest
Change-Id: Iff82f87b4c61abd3f53150f35e879cfc439b85ed</t>
  </si>
  <si>
    <t>Fix MixedDeviceOwnerHostSideTransferTest#testTransferAffiliatedProfileOwnershipInComp failure.
In COMP transfer we need to wait between the DO and PO transfers for the DO transfer broadcasts to be handled.
I also switched the order of transfers - first we transfer PO and then DO, because that is the point of the TransferAffiliated callback.
Bug: 72831456
Test: cts-tradefed run cts-dev --module DevicePolicyManager --test
com.android.cts.devicepolicy.MixedDeviceOwnerHostSideTransferTest#testTransferAffiliatedProfileOwnershipCompleteCallbackInComp
Change-Id: I90d01291a335cbce1982035b0e0934a7c8e59c15</t>
  </si>
  <si>
    <t>Check audit logging of keystore events.
Bug: 70886042
Test: Test: cts-tradefed run cts -m CtsDevicePolicyManagerTestCases -t
 com.android.cts.devicepolicy.DeviceOwnerTest#testSecurityLoggingWithSingleUser
Change-Id: Idb16705ceee1a8edcc93e128b1ed0e886edfa950</t>
  </si>
  <si>
    <t>Camera2: Update MOTION_TRACKING capability tests
The MOTION_TRACKING API is being simplified for the P release, so
adjust tests accordingly.
Test: Revised Camera CTS passes
Bug: 63629224
Change-Id: Icc782c68cdabe814987633cfb14edaed3b9c43fb</t>
  </si>
  <si>
    <t>Add more tests for PrecomputedText
This CL contains following changes:
- Update test case for API changes in frameworks/base
- Precomputed need to be re-created if the parameter of the StaticLayout
  is different from the ones when PrecomputedText is created.
Bug: 72783843
Bug: 67504091
Test: bit FrameworkCoreTests:android.text.
Test: atest CtsWidgetTestCases:EditTextTest \
    CtsWidgetTestCases:TextViewFadingEdgeTest \
    FrameworksCoreTests:TextViewFallbackLineSpacingTest \
    FrameworksCoreTests:TextViewTest FrameworksCoreTests:TypefaceTest \
    CtsGraphicsTestCases:TypefaceTest CtsWidgetTestCases:TextViewTest \
    CtsTextTestCases
Change-Id: Idf41e714926c98ab935b6aecda2b66277376bcd4</t>
  </si>
  <si>
    <t>CTS: Parametarize Key Management tests
Previously, the key generation tests only tested one supported algorithm
and a limited combination of Device Identifiers in the attestation
record.
Modify the test to test both RSA and EC key generation, together with:
* Key Attestation only.
* Device ID Attestation: All combinations of basic device information,
device serial number, device IMEI and device MEID (where the two are
distinct).
This ensures the key management test passes only if the underlying
Keymaster implementation supports all required forms of key and device
ID attestation.
Bug: 71493452
Test: cts-tradefed run commandAndExit cts-dev -a armeabi-v7a -m CtsDevicePolicyManagerTestCases -t com.android.cts.devicepolicy.DeviceOwnerTest#testKeyManagement
Change-Id: Ib01153d3dce9dfaa3baa23d071908c9f3323f62f</t>
  </si>
  <si>
    <t>Revert "Add more tests for PrecomputedText"
The original change will be reverted
This reverts commit 83fdac5acda66ca69dcef777a4f43e744473ad7d.
Change-Id: I3586a7c6b5d25f9f18b4b65954de2ba47191ba0a</t>
  </si>
  <si>
    <t>Temporarily disable WebView Tracing API CTS tests for landing
Temporarily disable existing TracingController CTS tests
in order to land the updated APIs (ag/3478990) and the
corresponding android webview glue and chromium patches.
The tests will be updated and re-enabled once the chromium
side rolls into android master and the test will actually
be able to run the new api end-to-end.
BUG: 63750258
Test: cts-tradefed run cts -m CtsWebkitTestCases --test android.webkit.cts.TracingControllerTest
Change-Id: I78f4ee09c5caf226c7275f5937407a3584450289</t>
  </si>
  <si>
    <t>Refactored Autofill Field Classification tests.
Bug: 70407264
Test: atest CtsAutoFillServiceTestCases:UserDataTest \
            CtsAutoFillServiceTestCases:FieldsClassificationTest
Change-Id: I5ed1337cf899746233530235a5450ec241384567</t>
  </si>
  <si>
    <t>Pre-P apps cannot change dnd policy test
Bug: 70662324
Test: runtest --path cts/tests/app/src/android/app/cts/NotificationManagerTest.java
Change-Id: Id8f34d6274b3ac4c796d3e2d4c61e2c2b97885d0</t>
  </si>
  <si>
    <t>Remove testHideSoftKeyboard_shouldHideKeyboardOnRequest test
As discussed on the associated bug, this test is unable to get to
VR keyboard on Daydream devices and it makes an invalid assumption
that a soft keyboard has an associated View in WindowManager.
Also this test was responsible for a bunch of other issues in the
past. So we decieded to remove this test completely and create a new
one for Android P.
Bug: 64480919
Change-Id: If729bc7966ac9f883e17e71e18b08a786d79c09d</t>
  </si>
  <si>
    <t>Remove testHideSoftKeyboard_shouldHideKeyboardOnRequest test
As discussed on the associated bug, this test is unable to get to
VR keyboard on Daydream devices and it makes an invalid assumption
that a soft keyboard has an associated View in WindowManager.
Also this test was responsible for a bunch of other issues in the
past. So we decieded to remove this test completely and create a new
one for Android P.
Bug: 64480919
Merged-In: If729bc7966ac9f883e17e71e18b08a786d79c09d
Change-Id: I254dbf6265657d5545f7de01ad835949a731265a</t>
  </si>
  <si>
    <t>Rework #testInputMethodManager()
With this CL, InputMethodManagerTest#testInputMethodManager() is split
into two test cases #testIsActive() and #testIsAcceptingText() with
the following changes:
 * InputMethodManagerTest stops relying on @Rule, which is no longer
   recommended in JUnit 5.
 * Those tests no longer require PackageManager.FEATURE_INPUT_METHODS
   to run, because APIs we are testing here should continue working
   even if the device does not support installable IMEs.
 * InputMethodManager#isAcceptingText() has more test coverage.
 * InputMethodManager#isActive(View) has more test coverage.
Fix: 72922405
Test: atest CtsInputMethodTestCases
Change-Id: Icde60bfb95127f84aff10fd28cc086281e75837f</t>
  </si>
  <si>
    <t>Add more tests for PrecomputedText (2nd)
This is 2nd attempt of Idf41e714926c98ab935b6aecda2b66277376bcd4
This CL contains following changes:
- Update test case for API changes in frameworks/base
- Precomputed need to be re-created if the parameter of the StaticLayout
  is different from the ones when PrecomputedText is created.
Bug: 72783843
Bug: 67504091
Test: bit FrameworkCoreTests:android.text.
Test: atest CtsWidgetTestCases:EditTextTest \
    CtsWidgetTestCases:TextViewFadingEdgeTest \
    FrameworksCoreTests:TextViewFallbackLineSpacingTest \
    FrameworksCoreTests:TextViewTest FrameworksCoreTests:TypefaceTest \
    CtsGraphicsTestCases:TypefaceTest CtsWidgetTestCases:TextViewTest \
    CtsTextTestCases
Change-Id: Id8c78a79a42c89735ad7dd272caf9601afbf093f</t>
  </si>
  <si>
    <t>Add Cts for ConnectionService focus API
Bug: 69651192
Test: atest CtsTelecomTestCases:ConnectionServiceTest
Merged-In: Iff82f87b4c61abd3f53150f35e879cfc439b85ed
Change-Id: Iff82f87b4c61abd3f53150f35e879cfc439b85ed</t>
  </si>
  <si>
    <t>Revert "Add TransformationInfo CTS tests."
This reverts commit dd4aaaf3e39d73f1d1b532132e246de4e756ab48.
Reason for revert: we're cutting the feature from P
Change-Id: Ib2f2566c8af430fa8a9c6b17bf1dee6cfcbc1875
Bug: 73727182</t>
  </si>
  <si>
    <t>Revert "Add the assisted dialing setting activity cts test."
This reverts commit 56f2cbfaf29f8ca2f9a8b93ca493485bd3385151.
Reason for revert: we're cutting the feature from P
Change-Id: I3bbf6a737ab8e3a316c738e3ceae4cd85249f78e
Bug: 73727182</t>
  </si>
  <si>
    <t>Revert "CTS test for Android security b/32706020"
This reverts commit d6a6157f73cccd815307efbaa946711f90872885.
Reason for revert: Broken build in nyc-mr2+, missing dependency?
Change-Id: I705420a5b8ce9ba621569152727925f87bf959b5</t>
  </si>
  <si>
    <t>Add more test cases for PackageManager.checkPermission() and checkSignatures().
Also remove a test that doesn't actually test anything and whose TODO bug was marked as obsolete.
Bug: 72485440
Test: atest CtsContentTestCases:PackageManagerTest#testCheckPermissionGranted CtsContentTestCases:PackageManagerTest#testCheckPermissionNotGranted CtsContentTestCases:PackageManagerTest#testCheckPermissionSystem
Change-Id: I9595b2daffce9891718a58dc8c81ff27a690194a</t>
  </si>
  <si>
    <t>Removed tests that rely on tapping recents.
These tests were currently ignored as the recents behavior is not well defined,
which was causing failures on some OEM devices. Besides, the scenarios they were
testing were kind of redundant, as they were also exercised by tests that either
tapped HOME or explicitly launched an activity.
Test: atest CtsAutoFillServiceTestCases # although there are unrelated failures
Fixes: 72044685
Change-Id: Idd109555e49c481a7f25149766d1208ccd3e8305</t>
  </si>
  <si>
    <t>Revert "MediaSession2: Copy tests from frameworks/av to CTS"
This reverts commit 4241d4a3ca12764c063cd0c712a4f79e6b34853c.
Reason for revert: Temporarily reverting this CL to merge ag/3668226 first.
Change-Id: Iaa1768b888ceec9cf09a2afc2f6e58329ab333be</t>
  </si>
  <si>
    <t>Add tests for VibrationEffect
Unit-tests added to cts
Test: run "cts-tradefed run commandAndExit cts-dev -m CtsOsTestCases -t android.os.cts.VibrationEffectTest"
Bug: 73124917
Change-Id: I87a627654c46ec2aae43972254c631d521766b3e</t>
  </si>
  <si>
    <t>Revert "CTS: InputConnection#reportLanguageHint()"
This reverts commit 319e7288f8b02a91f0ab7bfaf57b62c8d0d38e54 [1].
Reason for revert:
The protocol is not yet ready to be exposed and we are still unsure
what is the best approach.
 [1]: I0a0502210ba52f1f2373d8e1981dca7511253cd7
Fix: 74087970
Bug: 7031513
Bug: 72522601
Test: atest CtsInputMethodTestCases
Change-Id: Idb2e918215adf0f02623eca0f76b491c76d118fd</t>
  </si>
  <si>
    <t>Remove some tests since some APIs are going away
Test: atest cts/tests/tests/slice
Bug: 73124257
Change-Id: Ibf8ae958a51a91c8e5b7c673b009518aebe7932e</t>
  </si>
  <si>
    <t>Remove an obsolete test
This security check doesn't apply anymore, neither do any of the
setLauncher calls.
Test: atest cts/tests/tests/slice
Bug: 73123411
Change-Id: If93eb3535ac549280b8a6bffa0279d9c02097a54</t>
  </si>
  <si>
    <t>MediaSession2: Replace PlaybackState2
This CL removes PlaybackState2 and replaces it with other APIs.
Bug: 74370608, Bug: 73971431
Test: Passed CTS
Change-Id: If65afba0cf130f665cf1431faf4cc772afdfa79b</t>
  </si>
  <si>
    <t>Remove NoWifiStatePermissionTest.testSaveConfiguration
The api this is testing is now no-op.
Bug: 74585302
Test: compile
Run test on device with command:
adb shell am instrument -w \
    -e class android.permission.cts.NoWifiStatePermissionTest \
    android.permission.cts/android.support.test.runner.AndroidJUnitRunner
Change-Id: I53e2df0e966cf5f572887185f2cc2c7a89fde270</t>
  </si>
  <si>
    <t>MediaSession2: Refactor incoming binder calls to the MediaSession2Stub
This CL refactors methods in MediaSession2Stub that handles incoming
binder calls from the controller by adding methods to do followings
in one place.
  1. Check if the session hasn't closed.
  2. Check if the controller is allowed for the command
  3. Call SessionCallback#onCommandRequest() for APIs that would be
     sent directly to the MediaPlayerBase or MediaPlaylistAgent if
     allowed.
This CL also adds missing command code for setRating().
Bug: 74581821
Test: Run CTS tests with MediaComponents/runcts.sh
Change-Id: Ie31c0b4083499f957c0bc7a8e5fce93acec68a7f</t>
  </si>
  <si>
    <t>Revert "Merge commit '169fcb0193b2e92c8a8044647393f6f4d07ed144' into am-6752d344-de2b-444c-b5eb-e9fb8dae5d03"
This reverts commit ee9d468a586e174d7d90bbec40f184528c9c1d00.
Reason for revert: build break nyc-mr2+
Change-Id: I41aed39c3fc2b3b83517ad79ebda941903501354
Bug: 29422022</t>
  </si>
  <si>
    <t>[RESTRICT AUTOMERGE] Revert "CTS test for Android Security b/29422022"
This reverts commit 7e3fa63b0c414ac5a76bc34f93135704fc8e2def.
Reason for revert: Breaks build on nyc-mr2+
Change-Id: Ia219b303d90f8f54365da59e9a384b15d9404cc5
Merged-In: I41aed39c3fc2b3b83517ad79ebda941903501354
Bug: 29422022</t>
  </si>
  <si>
    <t>[RTT] Remove testAvailabilityStatusChange because of lack of triggering API
The availability status change test performs the following:
- Disable RTT
- Verifies broadcast informing of RTT status change arrives (and then
  validates disabled)
- Enable RTT
- Verifies broadcast informing of RTT status change arrives (and then
  validates enabled)
However: there is no API available to CTS (to apps) to disable RTT in
a robust way:
- No APM control API
- Disabling Wi-Fi is possible but that only disables RTT if scans are
  also disabled and there is no API for that and the rest of the tests
  requires scans to be on (higher priority tests).
Bug: 74518964
Test: atest CtsNetTestCases:WifiRttTest
Change-Id: Ieaeca065661cebae1921933fad56f82dd6f30c2f</t>
  </si>
  <si>
    <t>MediaSession2: Implement PlaylistParams replacements
This includes following changes
  - Remove PlaylistParams
  - Implement PlaylistParams replacements. Here's the list.
    - get/setShuffleMode()
    - get/setRepeatMode()
    - Note: Playlist metadata APIs are already submitted (b/74174649)
Bug: 74116823, Bug: 74118768
Test: Run CTS with MediaComponents/runcts.sh
Change-Id: I961477dab67932ca0ef9b366b8136dba27aa2e55</t>
  </si>
  <si>
    <t>Revert "Introduce new CTS test cases for Spannable interface of PrecomputedText"
This reverts commit 04d14540a4766c1b96eb26c98d7a0d99bad24e47.
Bug: 75652829
Change-Id: I8e3971f70ec8fdec02319a302e8b925ff5b13c07</t>
  </si>
  <si>
    <t>Revert "Introduce new CTS test cases for Spannable interface of PrecomputedText"
This reverts commit 04d14540a4766c1b96eb26c98d7a0d99bad24e47.
Bug: 75652829
Change-Id: I8e3971f70ec8fdec02319a302e8b925ff5b13c07
(cherry picked from commit bdf29769f0c7750eda72926adfc33cbae3ae3273)</t>
  </si>
  <si>
    <t>Follow some API changes
Remove some tests that aren't needed and follow some other changes
to APIs.
Test: atest cts/tests/tests/slice
Change-Id: Icfcc300bb6c361a20609e9afc28b53d71e0734fe
Fixes: 73124159
Bug: 73123366
Fixes: 73123451
Fixes: 73123651
Fixes: 73124123</t>
  </si>
  <si>
    <t>Remove BatteryStats Wifi transfer CTS tests
Removes testWifiDownload and testWifiUpload CTS tests since they
don't work on all devices, due to getWifiLinkLayerStats not being
usable on all devices.
Test: the test is removed
Bug: 65050817
Bug: 73738234
Bug: 70634369
Bug: 69987906
Change-Id: I237c0db3a4183f8d7107e78a4c3bb822273cd1a8</t>
  </si>
  <si>
    <t>Remove BatteryStats Wifi transfer CTS tests
Removes testWifiDownload and testWifiUpload CTS tests since they
don't work on all devices, due to getWifiLinkLayerStats not being
usable on all devices.
Test: the test is removed
Bug: 65050817
Bug: 73738234
Bug: 70634369
Bug: 69987906
Merged-In: I237c0db3a4183f8d7107e78a4c3bb822273cd1a8
Change-Id: I237c0db3a4183f8d7107e78a4c3bb822273cd1a8</t>
  </si>
  <si>
    <t>Remove BatteryStats Wifi transfer CTS tests
Removes testWifiDownload and testWifiUpload CTS tests since they
don't work on all devices, due to getWifiLinkLayerStats not being
usable on all devices.
Test: the test is removed
Bug: 65050817
Bug: 73738234
Bug: 70634369
Bug: 69987906
Merged-In: I237c0db3a4183f8d7107e78a4c3bb822273cd1a8
Change-Id: I237c0db3a4183f8d7107e78a4c3bb822273cd1a8</t>
  </si>
  <si>
    <t>CTS: check that GPU_COLOR_OUTPUT buffers are renderable.
Adds a test that verifies that each color format that can be successfully
allocated by gralloc with the usage flag GPU_COLOR_OUTPUT can be bound
as a renderbuffer to OpenGL and read back with glReadPixels.
Test: built and ran the test on Pixel XL, passes.
Bug: 74131503
Bug: 66900669
Change-Id: Id5ea6c70107288dac7fe10acd80688724eba0a21</t>
  </si>
  <si>
    <t>Remove BaseInputConnectionTest#testSendKeyEvent()
In most of cases BaseInputConnectionTest#testSendKeyEvent() makes no
sense because what it tries to do is sending KeyEvent.KEYCODE_Q with
Instrumentation API then verifying that the focused EditText has the
value "q".
This is questionable because:
 * it's actually not testing BaseInputConnection#testSendKeyEvent()
   unless the current key-character map is NUMERIC, which is not a
   popular configuration
 * it does not use Mock IME and the default IME is allowed to consume
   KeyEvent.KEYCODE_Q to do whatever
This test should be removed for now.  A proper test for
BaseInputConnection#testSendKeyEvent() should be added later by using
Mock IME.
Bug: 70730589
Test: atest CtsInputMethodTestCases
Change-Id: Iadc16a0ea523736aaa516df318fa4e2b4a16f93d</t>
  </si>
  <si>
    <t>Increase the CTS coverage of Context tests.
Before this change:
- Few CTS test cases for Context.
- Many CTS test cases for ContextWrapper.
This change takes the union of these test cases, and applies it to both Context and ContextWrapper (the latter just delegates to the Context).
Test: atest CtsContentTestCases:ContextTest
Test: atest CtsContentTestCases:ContextWrapperTest
Change-Id: Ibd93f1c3c38da6c8c18792e7b42e16a69930fead</t>
  </si>
  <si>
    <t>CtsMediaTestCases: Fix crashes due to the hidden API uses
This CL includes following changes to fix crashes due to the hidden API
uses.
  - Commented out MediaControllerTest#testPlaybackInfo()
  - Changed MediaRouterTest#testCallback()
  - Changed MediaSessionTest#testCreateSession()
  - Changed MediaSessionTest#testPlaybackToLocalAndRemote()
Bug: 76390111
Test: Run following tests in CtsMediaTestCases
      - MediaControllerTest
      - MediaRouterTest
      - MediaSessionTest
Change-Id: I387b50d0fbbc935965614d5a10af7e5a7051d16c</t>
  </si>
  <si>
    <t>MediaController2: Add fastForward() / rewind()
Following CLs are included
  - Add MediaController2#fastForward() / rewind()
  - Add MediaSession2.SessionCallback#onFastForward() / rewind()
Bug: 74724709
Test: Build
Change-Id: I39bbc5189d60fb7769cbe2d39b5cfe27f6d16c5d</t>
  </si>
  <si>
    <t>Remove deprecated android.graphics.Canvas APIs
Bug: 73777445
Test: compile
Change-Id: I0fe23d5d382a821f325a135918988f9d6e506e33</t>
  </si>
  <si>
    <t>Account for new getColorStateList nullability
Per ag/3548162, getColorStateList will no longer return null and so
ResourcesTest#testGetColorStateListNull is no longer valid as written.
This change modifies the test to expect a NotFoundException instead.
Change-Id: Ica0c3b9dae769165c3322575a8ff7084df6d2ffe
Fixes: 73741612
Test: atest ResourcesTest</t>
  </si>
  <si>
    <t>DO NOT MERGE: Delete IMSLifecycleTest#testOnStartInputCalledOnce
The test had been flaky due to inherent design. These tests
were re-written &amp; migrated from host side to device side in P.
Hence we can safely remove them from O.
Bug: 74340797
Test: cts-tradefed run singleCommand cts-dev -m CtsInputMethodServiceHostTestCases
Change-Id: I17e015ad20cbfe3d8fc59f5205cca9756a7b9f36</t>
  </si>
  <si>
    <t>Update tests for rename of ImageDecoder.setResize
Bug: 76448408
Bug: 73537624
Test: This
Also remove references to getSampledSize.
Add a test for setSampleSize. Add a DNG image to RECORDS, and test it
with setSampleSize. It doesn't support sampling internally, so we add an
extra step to scale it (issue 73537624). Ensure that it gets scaled as
expected.
Change-Id: Ib40d65c68a6c709b6456f2145ad8a5557a941494</t>
  </si>
  <si>
    <t>CTS updates for Iea744f1fa5964b4399290c31863ebeffa99af8d3
Bug: 74461129
Test: bit CtsViewTestCases:android.view.textclassifier.cts.TextClassificationManagerTest
Change-Id: Ia96a2a710f1be27d34c10cab6f836f26e348af8f</t>
  </si>
  <si>
    <t>Revert "Add proc_type and sysfs_type tests to CTS."
This reverts commit bdf7a2099c7a2e63881ae362414f2ee1aa6a0e2a.
Reason for revert: reverting the topic of go/aog/643573
Change-Id: I2de74da58fdb9433660e0cd94585a0ad167b0d52</t>
  </si>
  <si>
    <t>Remove CTS tests for password blacklist API
API is being removed from P, hence remove CTS tests.
Bug: 73750934
Test: compiles
Change-Id: I42703bf04ca2880f4033fb05a85468c6a8ece834</t>
  </si>
  <si>
    <t>Move SetSystemSettingTest to DeviceAndProfileOwnerTest.
As system setting is per user, we should allow PO to call it. Thus
we should move SetSystemSettingTest from DeviecOwnerTest to
DeviceAndProfileOwnerTest where the test would be executed under both
PO and DO.
Bug: 77204777
Test: run cts --module CtsDevicePolicyManagerTestCases --test com.android.cts.devicepolicy.MixedDeviceOwnerTest#testSetSystemSetting
run cts --module CtsDevicePolicyManagerTestCases --test com.android.cts.devicepolicy.MixedProfileOwnerTest#testSetSystemSetting
Change-Id: I8a0566eb495ddfde6576462f9eabb89e4fd8fa98</t>
  </si>
  <si>
    <t>CTS test updates for I933ada8b37ef9893331a265e3b4fc08e043f1029
Bug: 74461129
Test: bit CtsTextTestCases:android.text.util.cts.LinkifyTest
Test: bit CtsViewTestCases:android.view.textclassifier.cts.TextClassificationManagerTest
Test: bit CtsViewTestCases:android.view.textclassifier.cts.TextClassifierValueObjectsTest
Test: bit CtsWidgetTestCases:android.widget.cts.TextViewTest
Change-Id: I02e552600b7ca9c936644d358d86a02a60087657</t>
  </si>
  <si>
    <t>Delete CTS for optimize startInput
Delete optimize startInput() tests for P. Refer to bug
for details.
Change-Id: I21ccde28b59f4dffd7a64578cc064bd94a707e55
Fixes: 76078731
Bug: 37617707
Test: atest FocusHandlingTest</t>
  </si>
  <si>
    <t>Prevent CTS from hanging if no UDP packet was received
Previously, CTS tests could block forever on attempting to read a packet
from a UDP socket.
This patch modifies the receive methods of the NativeUdpSocket wrapper,
allowing it to gracefully fail if UDP packets are not received.
This patch also updates the IKE over UDP encap socket test to use the
NativeUdpSocket wrapper, preventing the tests from hanging in the same
fashion.
Bug: 70938121
Test: Ran updated tests on walleye + marlin
Change-Id: I390e4585e85647eb8555e706d44b76f95dec931f</t>
  </si>
  <si>
    <t>Prevent CTS from hanging if no UDP packet was received
Previously, CTS tests could block forever on attempting to read a packet
from a UDP socket.
This patch modifies the receive methods of the NativeUdpSocket wrapper,
allowing it to gracefully fail if UDP packets are not received.
This patch also updates the IKE over UDP encap socket test to use the
NativeUdpSocket wrapper, preventing the tests from hanging in the same
fashion.
Bug: 70938121
Test: Ran updated tests on walleye + marlin
Merged-In: I390e4585e85647eb8555e706d44b76f95dec931f
Change-Id: I390e4585e85647eb8555e706d44b76f95dec931f
(cherry picked from commit e2fcb9d64ba10f07a69a6b96a7f7e1465856172a)</t>
  </si>
  <si>
    <t>Test EditText#setShowSoftInputOnFocus() with Mock IME
TextViewTest#testAccessShowSoftInputOnFocus() is currently testing the
behaviors of both the system and the currently selected IME, which is
known to be a source of non-determinism and test flakiness.  We should
use Mock IME to test only the system behavior.
Fortunately most of IME APIs that have been tested in
TextViewTest#testAccessShowSoftInputOnFocus() are already covered in
CtsInputMethodTestCases.
The only API we needed to port to CtsInputMethodTestCases is
EditText#setShowSoftInputOnFocus(), which is now coverted in
FocusHandlingTest with MockIME.
Fixes: 37570215
Test: make -j CtsWidgetTestCases
Test: atest CtsInputMethodTestCases
Change-Id: I3f56d8d0efbd3d61b5a97f39abc479c8ab568a1e</t>
  </si>
  <si>
    <t>Update PrecomputedTextTest to reflect latest API changes
- getText is now hidden, so removed from CTS
- getWidth/getBounds are now public. Added test cases for them
Bug: 76448719
Test: atest CtsWidgetTestCases:EditTextTest
    CtsWidgetTestCases:TextViewFadingEdgeTest
    FrameworksCoreTests:TextViewFallbackLineSpacingTest
    FrameworksCoreTests:TextViewTest FrameworksCoreTests:TypefaceTest
    CtsGraphicsTestCases:TypefaceTest CtsWidgetTestCases:TextViewTest
    CtsTextTestCases FrameworksCoreTests:android.text
    CtsWidgetTestCases:TextViewPrecomputedTextTest
Change-Id: Idcd1abc09801c3a569337319fcf262bcec0a11a3</t>
  </si>
  <si>
    <t>Eliminate CTS tests using reflection
Moving the checking to unit tests.
Bug: 77266422
Test: atest CtsAccessibilityTestCases
Change-Id: I855b605169e64d82045591698a8f6d230a1b80ad</t>
  </si>
  <si>
    <t>remove CtsAadbTestCases module
This module contains stress tests of adb:
1) not directly enforcing CDD requirements
2) already implicitly covered by execution of CTS
   harness itself
Bug: 73781508
Test: builds, CTS harness unit tests
Change-Id: Ia311f725e8c4dab3e92a078b003280c24dfd515a</t>
  </si>
  <si>
    <t>Revert "Add cts to test unwanted capabilities api"
This reverts commit 248542c4723aa41d7bd0943ebaed9ffc29db2fa7.
Bug: 77601789
Test: atest android.net.cts.NetworkRequestTest
Change-Id: Ib3db82e889ed4ca050a837b1169a9da8e17bb424</t>
  </si>
  <si>
    <t>Test system properties in full report tests instead of standalone.
Bug: 77291057
Test: atest CtsIncidentHostTestCases:com.android.server.cts.IncidentdTest
Change-Id: I40553aff7f22cb6252b3804b99ac15cbe2d89a06</t>
  </si>
  <si>
    <t>Remove tests for the mandatory backups' API.
It was decided to hide the API.
Bug: 77801801
Bug: 73750212
Bug: 64012357
Test: cts-tradefed run cts -m CtsDevicePolicyManagerTestCases --test
com.android.cts.devicepolicy.DeviceOwnerTes
cts-tradefed run cts -m CtsBackupHostTestCase
Change-Id: I2c264c98458f778bb06381dd5971a0120abe3515</t>
  </si>
  <si>
    <t>Revert "Add cts for TelephonyManger"
TelephonyManager app doesn't have the carrier privilege, so the test case
testRequestNetworkScan will be failed. The requestNetworkScan API is 
covered in CarrierApiTest app. Revert this CL in order to resolve the 
failure.
Bug: 77976208
This reverts commit 892a77796ccf07bd0ff814f6075a1adb0aac4775.
Change-Id: I8045dd6bcca085daced33101880793c1cd2b7ac3</t>
  </si>
  <si>
    <t>DO NOT MERGE: Remove test that depends on tz data
Commenting out a test that will pass with &lt;= 2018c
time zone data but fail on &gt;= 2018d time zone data.
The has been removed for historic CTS releases because
there should be adequate coverage from the other tests
and it would be more complicated to provide a test
that works on a range of devices. We can expect OEMs
to release system images for some old releases with
&gt;= 2018d data.
Bug: 76362687
Bug: 77905300
Test: build only
Change-Id: Idc277ade6aeb4707fb02c3db46a2d12dc653cb40
(cherry picked from commit e9539f02874b9d6f3f55e4d7db5a79960bf363f9)</t>
  </si>
  <si>
    <t>DO NOT MERGE: Remove test that depends on tz data
Commenting out a test that will pass with &lt;= 2018c
time zone data but fail on &gt;= 2018d time zone data.
The has been removed for historic CTS releases because
there should be adequate coverage from the other tests
and it would be more complicated to provide a test
that works on a range of devices. We can expect OEMs
to release system images for some old releases with
&gt;= 2018d data.
[Manual resolution on cherry-pick due to &lt;= nougat-mr1
TimeTest using Junit3]
Bug: 76362687
Bug: 77905300
Test: build only
Change-Id: Idc277ade6aeb4707fb02c3db46a2d12dc653cb40
(cherry picked from commit e9539f02874b9d6f3f55e4d7db5a79960bf363f9)
(cherry picked from commit cd23f1b34f8b460167ba8cf20fea39fd57c287f2)</t>
  </si>
  <si>
    <t>Removes multi window tests from Preferences2 CTS tests
These tests are unstable and because it is very hard to reliably enter
and leave multi window mode in a test environment, it will be very hard
to make them stable. The behaviour they were asserting has been manually
verified.
Also cleans up and simplifies TestUtils.
Bug: 77702043
Test: CtsPreference2TestCases
Change-Id: Ifdded0c33912b0a8d45fcbcc7bd85ef56be13a99</t>
  </si>
  <si>
    <t>Removed VirtualContainerActivityTest#testAppCannotFakePackageName
This test case was using reflection to emulate an app forging a different
package name, but on P the use of non-public APIs is blocked at the ART level,
so this test is useless, as the field was never changed:
04-18 21:33:01.639  5965  5965 E VirtualContainerView: java.lang.IllegalArgumentException: error getting field mAssist from objectandroid.app.assist.AssistStructure$ViewNodeBuilder@3722a94
04-18 21:33:01.639  5965  5965 E VirtualContainerView: 	at android.autofillservice.cts.Helper.getField(Helper.java:855)
Bug: 78235438
Test: removed is
Change-Id: Iabbbad3c165fca7dd8c807cad58778b7f20d26bd</t>
  </si>
  <si>
    <t>It's incoherent to test (doze + visible foreground app)
Change-Id: I15275ecdce7adac38da88c3201b36a3d2274e3f5
Fixes: 74072213
Test: atest android.jobscheduler.cts.DeviceIdleJobsTest</t>
  </si>
  <si>
    <t>Fixed autofill's UiBot.assertNoDatasets()
Also fixed RetryRule so it doesn't retry on StaleObjectException, as this
exception is most likely thrown due to an error in the test case logic.
Test: atest CtsAutoFillServiceTestCases
Fixes: 73064230
Change-Id: I0882d36bd058a3b6fa9b2b0911d486e8b91acd4c</t>
  </si>
  <si>
    <t>Increase the test coverage of Context.{enforce,check}CallingOrSelfPermission.
Test: atest CtsContentTestCases:ContextTest
Bug: 72485440
Change-Id: Ia7081eb2ac5fe193717c2a11e9ba16ccca1fe6cb</t>
  </si>
  <si>
    <t>CtsPermissionTestCases should only use test APIs
- Moved tests for system APIs to GTS version of this test
- Removed DevicePowerPermissionTest as it was testing a @removed API
- Make leftover APIs @TestAPI
Change-Id: Ib3427ba29c879879df7ad7d1b6d48b2a996a7c3c
Fixes: 77604428
Test: atest CtsPermissionTestCases com.google.android.permission.gts.TelephonyManagerPermissionTest</t>
  </si>
  <si>
    <t>Remove this test since `adb shell stop` won't work on user build.
adb shell stop requires root, which are forbidden on production user
builds.
Bug: 78476101
Test: N/A
Change-Id: I9e8ded9bed883f6b5836ddcc397e24b0897d9611</t>
  </si>
  <si>
    <t>Not limiting OBSERVE_APP_USAGE to one app
Removing a cts test since we decided to limit the API surface to reduce
possibility of abuse
Test: N/A
Bug: 78890515
Change-Id: I6ee1f95d759eeccb75da9dc113ae04b4564de7fb
Merged-In: Ib3427ba29c879879df7ad7d1b6d48b2a996a7c3c</t>
  </si>
  <si>
    <t>Remove PackageManagerTest.testCheckPermissionSystem.
The test is making the assumption that the system is automatically
granted all permissions, which doesn't seem to be the case. It only
passes on phone builds because the checked permission is granted
to the system via a manifest; in Wear builds the system doesn't get
this permission, so the test fails. I tried defining a dummy
permission in frameworks/base/core/res/AndroidManifest, but not
granting it to anything - the test fails even on phone builds
if it checks this permission.
Bug: 73487100
Test: - (test being removed)
Change-Id: I3c244b91a271894f989c0f2bfef3a227ea070858</t>
  </si>
  <si>
    <t>Update cts tests for new MediaDrm methods
Add a clearkey version check to make sure that tests
that use the new APIs aren't run when using an older
version of the clearkey plugin. Some minor improvements to
the tests are also included.
bug:77228589
Change-Id: I5900cb8ec170495e58599b9f835738f732e105eb
test:run cts-dev --module CtsMediaTestCases -t android.media.cts.MediaDrmClearkeyTest
     tested with clearkey 1.1 service and 1.0/default</t>
  </si>
  <si>
    <t>Remove requirement for optional system activity intents
We're regularizing the situation by making these intents formally
optional, i.e. documenting that callers of startActivity() must be
prepared for a no-such-activity result.
Bug: 68300743
Bug: 62201251
Bug: 69587018
Fixes: 77282739
Test: atest CtsContentTestCases:.AvailableIntentsTest
Change-Id: I1d07020ca85cd4d8d75190d1a69691f8133c885c</t>
  </si>
  <si>
    <t>Remove TextToSpeechTest
These tests assume there is a default text-to-speech synthesizer but
AOSP no longer has one after the removal of Pico.
The TTS API should still be covered by the tests in
TextToSpeechServiceTest, which uses a stub service.
Bug: http://b/79205065
Change-Id: I5f8a7259406c4a15164ffe77f43340ddf20c957a</t>
  </si>
  <si>
    <t>Remove android.os.cts.NoExecutePermissionTest#testExecuteCode test
This test does not work as expected in natively bridged environments
where the code is loaded but is never executed directly. In this case
not having executable flag is actually improves security since it
removes unnecessary potential source of ROP gadgets.
Bug: http://b/72862209
Test: cts-tradefed run commandAndExit cts -m CtsOsTestCases -t android.os.cts.NoExecutePermissionTest
Change-Id: I4ede8320387dc619f1df002b042edadc5b6d55b6</t>
  </si>
  <si>
    <t>[DO NOT MERGE] [Harness Separation] Delete harness from platform/cts and undo ag/4057682
* Harness code will be added to new repo platform/test/suite_harness.
Delete the code from platform/cts
* Fixed run_unit_tests.sh to refer to the new repo path
* Undo the trick to Android.mk (ag/4057682)
Bug: 78461075
Bug: 79201478
Bug: 79695450
Test: make cts -j32 WITH_DEXPREOPT_BOOT_IMG_AND_SYSTEM_SERVER_ONLY=true
TARGET_PRODUCT=aosp_arm64
Test: cts-tradefed run cts --compatibility:include-filter
CtsGestureTestCases
Test: cts/run_unit_tests.sh
Test: make gts -j32 WITH_DEXPREOPT_BOOT_IMG_AND_SYSTEM_SERVER_ONLY=true
TARGET_PRODUCT=aosp_arm64o
Change-Id: Iedde70e1180f149d9a461e91b4c8e0164dbb573a</t>
  </si>
  <si>
    <t>[Harness Separation] Delete harness from platform/cts and undo ag/4057682 on master
* Harness code will be added to new repo platform/test/suite_harness.
Delete the code from platform/cts
* Fixed run_unit_tests.sh to refer to the new repo path
* Undo the trick to Android.mk (ag/4057682)
Bug: 78461075
Bug: 79201478
Bug: 79695450
Test: make cts -j32 WITH_DEXPREOPT_BOOT_IMG_AND_SYSTEM_SERVER_ONLY=true
TARGET_PRODUCT=aosp_arm64
Test: cts-tradefed run cts --compatibility:include-filter
CtsGestureTestCases
Test: cts/run_unit_tests.sh
Test: make gts -j32 WITH_DEXPREOPT_BOOT_IMG_AND_SYSTEM_SERVER_ONLY=true
TARGET_PRODUCT=aosp_arm64
Change-Id: Ie34545501e94a9ecd97b084745f8a00096ce13e5</t>
  </si>
  <si>
    <t>Don't assume fingerprint sensors support gestures
I've updated a config to specify if a device supports
fingerprint gestures. If it doesn't the gestures
will report unavailable. Changing the CTS test so that
behavior won't trigger a failure.
Bug: 79929868
Test: atest AccessibilityFingerprintGestureTest
Change-Id: Ia543019f64acf65f9b5dd33f6a8dea344cb6d7b9</t>
  </si>
  <si>
    <t>Revert "DO NOT MERGE Added autofill test to check apps cannot bypass package name on AssistStructure"
This reverts commit 628980712d5fa82520dd98692f559f8a6d8b46e1.
Reason for revert: resolving failure.
Change-Id: I139b4c2bcec90253644324024ab89b7fbc67be12</t>
  </si>
  <si>
    <t>Revert "DO NOT MERGE Added autofill test to check apps cannot bypass package name on AssistStructure"
This reverts commit c23c0c20b926e4f4c6f41697a3655b487ad48c5e.
Reason for revert: resolving failure.
Change-Id: I5eaa16390df253d114a0ca49afefc7296e834f72</t>
  </si>
  <si>
    <t>Remove android.os.cts.NoExecutePermissionTest#testExecuteCode test
This test does not work as expected in natively bridged environments
where the code is loaded but is never executed directly. In this case
not having executable flag is actually improves security since it
removes unnecessary potential source of ROP gadgets.
Bug: http://b/72862209
Test: cts-tradefed run commandAndExit cts -m CtsOsTestCases -t android.os.cts.NoExecutePermissionTest
Change-Id: I4ede8320387dc619f1df002b042edadc5b6d55b6
(cherry picked from commit bda4fa92a84de697a2595a281223243c40f7eee2)</t>
  </si>
  <si>
    <t>Remove tests for forced ephemeral users.
Hidden APIs shouldn't be tested by cts.
Bug: 79924580
Test: cts-tradefed run cts -m CtsDevicePolicyManagerTestCases -t
com.android.cts.devicepolicy.DeviceOwnerTest
Change-Id: I2d77677ebe88b82ac572e055c555ace332b618d2</t>
  </si>
  <si>
    <t>Removing testCompare
As requested bug Google removing the test.
Bug:70868931
Change-Id: I4b1d68f551698367e98c6b1abb965bbee8121b9b
Signed-off-by: Raj Mamadgi &lt;r.mamadgi@samsung.com&gt;</t>
  </si>
  <si>
    <t>[DO NOT MERGE] Remove backup/restore CTS tests on M
These tests cannot be backported to run on M devices since it relies on
functionality that is in N+.
Bug: 80100637
Change-Id: Ifcd866645746137fa8d3727a751e229f86a98647</t>
  </si>
  <si>
    <t>Convert ExternalSourcesTest to kotlin.
- Android.mk based build does not support kotlin
- Android.bp based build does not support builing apks
Hence the whole app is now a shared lib an the Android.mk is just
turning the lib into an apk.
Test: atest CtsExternalSourcesTestCases
Change-Id: I507e7c07bc18ff43de4936d3d91a366283643555</t>
  </si>
  <si>
    <t>Trigger lockNow() via a broadcast
At the moment when we need to lock the work profile, we execute a dummy test
case which calls lockNow(). This leads to problems because lockNow() will
result in all work apps including the test process being killed, which is
interpreted by tradefed as a test failure "Process crashed". To fix this
issue, we switch to sending a broadcast to  invoke lockNow().
Bug: 93278874
Test: atest com.android.cts.devicepolicy.ManagedProfileTest#testResetPasswordWithTokenBeforeUnlock
Test: atest com.android.cts.devicepolicy.ManagedProfileTest#testResetPasswordTokenUsableAfterClearingLock
Test: atest com.android.cts.devicepolicy.ManagedProfileTest#testLockNowWithKeyEviction
Change-Id: Ib380fde4cb6376cacfd589a254398e1688868e54</t>
  </si>
  <si>
    <t>Remove BatteryStats testWifiScan
This test was to ensure BatteryStats correctly recorded background wifi
scanning, since that is an important battery statistic due to its affect
on battery life. In P, background wifi scanning is throttled anyway, so
poor behaviour, in this regard, is no longer possible. Thus, the test is
no longer important. Since it fails due to the throttling, it may as
well be removed.
Test: removed
Bug: 79773672
Change-Id: Ic4a5f26152962338283602766a2cf2e84c1a4833</t>
  </si>
  <si>
    <t>Revert "CTS Test for Android Security b/74612220 b/68399439"
This reverts commit df1174de50d2af15fadf7970673d2cc489e604e2.
Reason for revert: Still hits on pi-dev
Bug: 74612220
Bug: 68399439
Bug: 109841192
Change-Id: Iea212335be03bb584e9eb95e8899fb232f48d826</t>
  </si>
  <si>
    <t>Disable CTS UDP6 listening ports test
Fixes: 110264058
Test: cts-tradefed run cts -m CtsSecurityTestCases -t
       android.security.cts.ListeningPortsTest
Change-Id: I8d350cb156b02b8598ee6640aebd2e1a8f1e1dfc</t>
  </si>
  <si>
    <t>DO NOT MERGE - remove testStagefright_bug_34360591
This test fails but won't be fixed. Remove it.
Bug: 80095190
Bug: 34360591
Change-Id: Ia91a81baab604234a7910dc60babf41388691ca7</t>
  </si>
  <si>
    <t>Remove useless test method.
WebBackForwardListTest#testClone is an empty test method - remove it,
since there's nothing to meaningfully test in clone(). Since K,
WebBackForwardList has been an immutable value object, for which cloning
is both trivial and unnecessary - and there's no meaningful way to test
it as a result, though it remains cloneable to avoid introducing an API
change.
Bug: 74593032
Test: cts -m CtsWebkitTestCases -t android.webkit.cts.WebBackForwardListTest
Change-Id: I3848468b3a8b456aff7ca0f4cef0c7daca0a4bd8</t>
  </si>
  <si>
    <t>Remove failing text traveral tests
They are blocking P, and they are testing something that should be
deprecated.
Bug: 110266107
Test: Built and ran tests in file.
Change-Id: I10bbe230e585726969d2a3578dfbdf7da72a796d</t>
  </si>
  <si>
    <t>DO NOT MERGE: Remove requirement for optional system activity intents
We're regularizing the situation by making these intents formally
optional, i.e. documenting that callers of startActivity() must be
prepared for a no-such-activity result.
Bug: 68300743
Bug: 62201251
Bug: 69587018
Bug: 109897333
Fixes: 77282739
Test: atest CtsContentTestCases:.AvailableIntentsTest
Change-Id: I1d07020ca85cd4d8d75190d1a69691f8133c885c</t>
  </si>
  <si>
    <t>Disable testVolumeDndAffectedStream
Test is no longer relevant
Test: builds
Change-Id: I927444f5e8e679526a4d4dd631d8fcef5047bc3f
Fixes: 73355088</t>
  </si>
  <si>
    <t>Remove failing text traveral tests
They are blocking P, and they are testing something that should be
deprecated.
Bug: 110266107
Test: Built and ran tests in file.
Change-Id: I10bbe230e585726969d2a3578dfbdf7da72a796d
(cherry picked from commit 20523ea303f48fd18811c13bd0e6c422fffc86db)</t>
  </si>
  <si>
    <t>Remove com.android.cts.devicepolicy.DeviceOwnerTest#testCreateAndManageUser_DontSkipSetupWizard
- Refactored com.android.cts.devicepolicy.DeviceOwnerTest#testCreateAndManageUser_SkipSetupWizard to use cross user verification and greatly simplified CreateAndManagedUserTest
Bug: 110354076
Test: cts-tradefed run singleCommand cts -m CtsDevicePolicyManagerTestCases --test com.android.cts.devicepolicy.DeviceOwnerTest#testCreateAndManageUser_SkipSetupWizard
Change-Id: If7625d5910f32ac0d30455a6a211654c5561a77f</t>
  </si>
  <si>
    <t>Get android.os tests running against real APIs.
Combination of moving to existing public API, tagging things as
@TestApi, and bringing utility methods into tests.
Bug: 13282254
Test: atest cts/tests/tests/os/
Change-Id: I1636722c1ad174f9a444b6f7a7a029c4df220d00</t>
  </si>
  <si>
    <t>Revert "Add CTS Tests for UrlSpanFactory"
This reverts commit 34c5f99bcc0d439446460293e90a810a39f88385.
Reason for revert: b/111218263
Bug: 28536972
Bug: 32613009
Bug: 29150779
Change-Id: I929007560ec7c3e8778ae467dc03636943f3a98b</t>
  </si>
  <si>
    <t>Revert "Updating test to include vendor security patch level"
This reverts commit ee7a193ea70c64c72c69796365f1c7dff52621ee.
Reason for revert: This belongs in VTS instead.
Bug: 110800742
Change-Id: I1b27e2456149995dc1f21f434002b43b1b0e6c30
Merged-In: I1b27e2456149995dc1f21f434002b43b1b0e6c30</t>
  </si>
  <si>
    <t>Remove testSecurityPatchDate as it is in GTS now.
Bug: 33388930
Change-Id: I578f163ba989561fad47d6d91d44ffb35493ebdc
Merged-In: I2192ad1d4091fc375a7393a1bc3d3ca08b4e01f1
Merged-In: Ic676921884c89791df331430653a7fd83f2655ad</t>
  </si>
  <si>
    <t>Remove testSecurityPatchDate as it is in GTS now.
Bug: 33388930
Change-Id: I2192ad1d4091fc375a7393a1bc3d3ca08b4e01f1
Merged-In: Ic676921884c89791df331430653a7fd83f2655ad</t>
  </si>
  <si>
    <t>Remove testSecurityPatchDate as it is in GTS now.
Bug: 33388930
Change-Id: Ic676921884c89791df331430653a7fd83f2655ad
Merged-In: Ic676921884c89791df331430653a7fd83f2655ad</t>
  </si>
  <si>
    <t>Remove testSecurityPatchDate as it is in GTS now.
Bug: 33388930
Change-Id: Ic676921884c89791df331430653a7fd83f2655ad</t>
  </si>
  <si>
    <t>Remove testWarpedDng
Bug: 78878033
Bug: 79474588
Bug: 78120086
Test: This is just removing a test
The prior fix to only run this test on devices with 2 gigs of memory was
not enough to fix it. This image requires an extraordinary amount of
memory, which we cannot rely on being available.
The test was originally introduced as part of b/78120086, but that
already has a CTS test, so this one is superfluous.
Change-Id: Ide58f96e2b0047c0a787ed0bab65b8458c6f1a98</t>
  </si>
  <si>
    <t>Remove testSecurityPatchDate as it is in GTS now.
Bug: 33388930
Change-Id: I578f163ba989561fad47d6d91d44ffb35493ebdc
Merged-In: I2192ad1d4091fc375a7393a1bc3d3ca08b4e01f1
Merged-In: Ic676921884c89791df331430653a7fd83f2655ad
(cherry picked from commit 7fd2a1b4bcc8b3485c5ed88b8824620a1cec584d)</t>
  </si>
  <si>
    <t>Revert SQLiteQueryBuilder for now.
We've encountered subtle bugs in how apps are using this public
API, so revert it back to exactly what shipped in the last
release, and move functionality to new SQLiteStatementBuilder
class, since we already have several customers using it.
Test: atest cts/tests/tests/provider/src/android/provider/cts/MediaStore*
Test: atest cts/tests/tests/database/src/android/database/sqlite/cts/SQLiteQueryBuilderTest.java
Bug: 111486645</t>
  </si>
  <si>
    <t>Revert SQLiteQueryBuilder for now.
We've encountered subtle bugs in how apps are using this public
API, so revert it back to exactly what shipped in the last
release, and move functionality to new SQLiteStatementBuilder
class, since we already have several customers using it.
Test: atest cts/tests/tests/provider/src/android/provider/cts/MediaStore*
Test: atest cts/tests/tests/database/src/android/database/sqlite/cts/SQLiteQueryBuilderTest.java
Bug: 111486645
(cherry picked from commit 3ef21b4e7eee7554bfb72725649534d2948312e1)
Change-Id: Ibf5c28d46d46fdb2eee880ff10356ce7358e4197</t>
  </si>
  <si>
    <t>Remove "Charging sounds" and "Screen locking sounds" in CTS test.
Remove "Charging sounds" and "Screen locking sounds" in CTS test for verifying backup/restore function.
Because these two settings are not part of the public API.
Bug: 111649510
Test: cts-tradefed run cts -m CtsBackupHostTestCases -t android.cts.backup.OtherSoundsSettingsHostSideTest
Change-Id: I0a7d14611be2b75cc85f0c49a23ed218df14c2de</t>
  </si>
  <si>
    <t>Revert "Updating test to include vendor security patch level"
This reverts commit 7312d60c48cf4f952bd0f7d419aa109da9d78177.
Reason for revert: Test exists in VTS now
Test: This is the test
Change-Id: I86a9bf909cc57c29a8720489b7087b9f50da510a</t>
  </si>
  <si>
    <t>Remove tests for injecting assistant key codes to reduce CTS flakiness.
The tests for injecting KEYCODE_ASSIST and KEYCODE_VOICE_ASSIST cause
inherent flakiness in the rest of the tests, because they cause the
assistant window to be launched, asynchronously, which ends up covering
other windows and causing them to lose focus (sometimes needed for
verification). The utility of ensuring that the key codes are not
received by the apps seems less important than the rest of the tests
being able to run deterministically.
Test: These are the tests
Bug: 112654616
Change-Id: I1176f2216468ed749986701f89a9c1515aa85f2c</t>
  </si>
  <si>
    <t>Simplify ZoomButtonTest
ZoomButton is deprecated. Simplify the logic that tracks callback
invocation on long-press to only track when the first callback
happens.
Test: adb shell am instrument -e class 'android.widget.cts.ZoomButtonTest'  -w 'android.widget.cts/android.support.test.runner.AndroidJUnitRunner'
Bug: 70278378
Change-Id: I48be229f03f33c5fe810d93be67090b08ad25fda</t>
  </si>
  <si>
    <t>CTS: Remove VmTests CTSv2 attempt
Duplicated and unsupported tests.
Bug: 110155920
Test: m cts
Change-Id: I220fe9cf3612119fbfc6bf9c8eddc293f26e1055</t>
  </si>
  <si>
    <t>Migrate EphemeralTest to Junit4
Get rid of some util code in favor of methods in
BaseAppSecurityTest.
Also check if the device has unsupported features only once per test
vs thrice.
Test: run cts-dev -m CtsAppSecurityHostTestCases \
-t android.appsecurity.cts.EphemeralTest
Change-Id: Ieaab59e42120b3b71b90a14828909d442ef22569</t>
  </si>
  <si>
    <t>CTS: Remove op strings size comparing test
Remove test of testAllOpsHaveOpString in CtsPermissionTestCases
Test: Pass CTS:
run cts -m CtsPermissionTestCases -t android.permission.cts.AppOpsTest
Merged-In: Ie3058bcff729b9c0cbe1a3995b2c0f007615d2b2
Bug: 112119292</t>
  </si>
  <si>
    <t>DO NOT MERGE: CTS for setLightNavigationBarDivider
CPing change that was directly submitted to master, and not yet in O MR1 CTS.
Exclude testNavigationBarDivider from LightBarTests since it is missing an API.
Test: android.systemui.cts
Bug: 68954516
Change-Id: If08e3cf6b1096227f3115a5a79524673c76f5621
Fixes: 68776845</t>
  </si>
  <si>
    <t>Revert "Added moar tests for custom description and DELAY_SAVE integration."
This reverts commit 7f257c997fb6414c5fd38e39c81fa9463245aa4d.
Reason for revert: broke CTS tests
Change-Id: Iaf5f71950b5c80c576d5bd77b6a14031d2ed898c</t>
  </si>
  <si>
    <t>Remove mms test in cts-verifier.
in the ELS test, we are using hidden API to test mms.
However recent change in the platform prevent us to do so.
Remove the mms test since we already have phone call and sms.
b/112388877
Test: make cts-verifier -j 32
Change-Id: Ica13fd394461d251f5418b494467666739bb814a</t>
  </si>
  <si>
    <t>Fix the cts test for sepolicy update
The xt_qtaguid files will be completely blocked by sepolicy and no
longer avalaible to any unprivileged processes at all. No need to test
legacy api seperately now.
Bug: 114475331
     79938294
Test: FileSystemPermissionTest.java
Change-Id: I04c8fa1096124f1decc041fbd730459a11ecb8f1</t>
  </si>
  <si>
    <t>Add Myanmar rendering tests
Test: atest cts/tests/tests/text/src/android/text/cts/MyanmarTest.java
      Test have been executed in the existence and absence of the Zawgyi
      font.
Bug: 113075320
Change-Id: I2bd86af3f6651c3bb40686bf8acd329dea47f736</t>
  </si>
  <si>
    <t>remove android.security.cts.SELinuxHostTest#testSdcarddDomain test
Description:SecurityHostTestCases.android.security.cts.SELinuxHostTest#testSdcarddDomain
this failed on 7.0/7.1. The test has been removed from other CTS branches.
Xiaomi can help submit a bug against 7.0/7.1 branches and copy the fix from other branches
to fix the failure in future release;
Bug: 110970983
Change-Id: If0f0b565b2a5b08cc74b319dd146a198d01ef6da
Signed-off-by: weijuncheng &lt;weijuncheng@xiaomi.com&gt;</t>
  </si>
  <si>
    <t>Move tests requiring /proc/sys/net access to hostside
This access is going away for apps. Move these tests to hostside
tests to be executed by the shell domain.
Test: atest cts/hostsidetests/net/src/com/android/cts/net/ProcNetTest.java
Test: atest android.net.cts.ConnectivityManagerTest
Test: atest android.net.cts.IpSecSysctlTest
Test: atest android.net.cts.MultinetworkSysctlTest
Bug: 116053204
Change-Id: Id7e867184dd344a2d877515956e76019d627788b</t>
  </si>
  <si>
    <t>RESTRICT AUTOMERGE: Revert "RESTRICT AUTOMERGE: CTS test to confirm permission revoked when being removed."
This reverts commit 4dce4146751513f24b4cb93668be05217075a1a0.
Reason for revert: triggers other issue.
Bug: 114365189
Change-Id: I1e4e25fb48405c6c2b875dae38199046bf2fd259</t>
  </si>
  <si>
    <t>RESTRICT AUTOMERGE: Revert "RESTRICT AUTOMERGE: CTS test to confirm permission revoked when being removed."
This reverts commit 123e1413fed13c69421dae351fdd115dcd61b2bb.
Reason for revert: triggers other issue.
Bug: 114365189
Change-Id: I02a4a32cf3195d15935962b2b2339702ff6c155d</t>
  </si>
  <si>
    <t>Revert "RESTRICT AUTOMERGE: CTS test to confirm permission revoked when being removed."
This reverts commit 01b53c305fcd43352d1c592a75cda7ee5df78648.
Reason for revert: triggers other issue.
Bug: 114365189
Change-Id: I1c6454385c45952f34775a45ce70094809614aac</t>
  </si>
  <si>
    <t>DO NOT MERGE: Remove tests for injecting assistant key codes to reduce CTS flakiness.
The tests for injecting KEYCODE_ASSIST and KEYCODE_VOICE_ASSIST cause
inherent flakiness in the rest of the tests, because they cause the
assistant window to be launched, asynchronously, which ends up covering
other windows and causing them to lose focus (sometimes needed for
verification). The utility of ensuring that the key codes are not
received by the apps seems less important than the rest of the tests
being able to run deterministically.
Test: These are the tests
Bug: 112654616
Change-Id: I1176f2216468ed749986701f89a9c1515aa85f2c
cherry pick to pie-cts-dev
Bug: 111417080</t>
  </si>
  <si>
    <t>Revert "Add test case testRawContactsChangeNotification"
This reverts commit e69d57706c20b217820bcb45fc860986468721cd.
Reason for revert: API Council pushback
Bug: 113696451
Bug: 116798156
Change-Id: Ia0b5ba774ab1e2e2f46f83f057406c3e850d6e27</t>
  </si>
  <si>
    <t>Added Cts test case to CanvaTest to verify Canvas#drawDRRect
Added test case to verify the edges of the rounded rectangles
are the target color, where the color inside the bounds of the
specified inner rect are not colored.
Moved graphic Canvas tests into UiRenderingTestCases. Kept all
exception based tests
Bug: 117181396
Test: this
Change-Id: I676442e0747682ea326df48293da24127026c4f7</t>
  </si>
  <si>
    <t>DO NOT MERGE Revert "CTS test for Android Security b/36592202"
Bug: 36592202
Bug: 72456874
Test: Builds successfully
Change-Id: I4fbd3283a0abdedb7344b76100964f2130524832</t>
  </si>
  <si>
    <t>Revert "CTS test for Android Security b/63522067"
This reverts commit 15894f5be206541a5ad380aef49d6a4ce0c3232f.
Reason for revert: Test needs crash parser
Bug: 72314764
Bug: 63522067
Bug: 116174409
Change-Id: Ib4e80663c9db1a39a274c9d74e39533826625899</t>
  </si>
  <si>
    <t>Revert "Rootless GPU Debug for GLES Tests"
This reverts commit 735b21ece52304bd162bb1a0cc732093289677b4.
Bug: 110883880
Test: Chrome no longer crashes
Change-Id: I5ba04454451d33f1078383921a0e8ca601552a9a</t>
  </si>
  <si>
    <t>Revert "Rootless GPU Debug for GLES Tests"
This reverts commit 735b21ece52304bd162bb1a0cc732093289677b4.
Bug: 110883880
Test: Chrome no longer crashes
Change-Id: I5ba04454451d33f1078383921a0e8ca601552a9a
(cherry picked from commit 190c5a3c785aedd1fc5607ff322c06f298b9866a)</t>
  </si>
  <si>
    <t>Remove Obsolete Keystore test.
This test was originally added when KeyStore uses encrypted key blobs
(which were encrypted by KeyStore itself). This used to be used pre-L;
however, now that keymaster is mandatory, this is no longer neeed.
Bug: 76033450
Test: Removed test.
Change-Id: I558e1abe04d5a2ae9e3933eeedac109800794192</t>
  </si>
  <si>
    <t>Revert "CTS test for Android Security b/36592202"
Bug: 36592202
Bug: 72456874
Test: Builds successfully
Change-Id: I4fbd3283a0abdedb7344b76100964f2130524832
(cherry picked from commit 72f161c5b17442e227e4d2aec895aca863681fb5)</t>
  </si>
  <si>
    <t>Remove DA tests from CameraPolicyTest since the functionality
was removed in http://ag/4779801.
Test: atest CtsDevicePolicyManagerTestCases:ManagedProfileTest#testCameraPolicy
Fixes: 117896177
Change-Id: Ib624432ac2a465e1f8a31be85a1e3a646784112e</t>
  </si>
  <si>
    <t>Revert "CTS test for Android Security b/36592202"
This reverts commit be51a47b6d07e0d8d6aef75e6a627e9d923e8d61.
Bug: 36592202
Bug: 72456874
Bug: 116174409
Test: Builds successfully
Change-Id: Ida4198590a259cd0aacd60ee326b1a72088ff53b
Merged-In: I4fbd3283a0abdedb7344b76100964f2130524832
(cherry picked from commit 13721b181cb9e4c7010b0c63eb26a7c185af1389)</t>
  </si>
  <si>
    <t>Revert "CTS test for Android Security b/36592202"
This reverts commit be51a47b6d07e0d8d6aef75e6a627e9d923e8d61.
Bug: 36592202
Bug: 72456874
Bug: 116174409
Test: Builds successfully
Change-Id: Ida4198590a259cd0aacd60ee326b1a72088ff53b
Merged-In: Ida4198590a259cd0aacd60ee326b1a72088ff53b</t>
  </si>
  <si>
    <t>Remove testIsNotified
Clipboard listeners no longer work in the background and are effectively
soft-deprecated for this use case, as such remove the test.
Change-Id: Icacb08bab9245932134ca2cffd801899f713b4d0
Fixes:117896917
Test: Self</t>
  </si>
  <si>
    <t>Update CarrierApi tests to verify device ID access
The original design for device identifier access only allowed apps with
carrier privilegs to access subscriber identifiers (IMSI and SIM serial
number), however this was too restrictive and can impact a number of
carriers. For Q apps with carrier privileges will be allowed access to
the device identifiers, but this may be changed in a future release.
This change updates the CTS tests to verify that apps with carrier
privileges do not receive a SecurityException when querying for device
identifiers.
Change-Id: I10af00edb0fd69b681fc365b4615ff8527287af1
Fixes: 117844226
Test: atest CarrierApiTest</t>
  </si>
  <si>
    <t>Revert "Test for new listing volumes API."
This reverts commit 19a9801d51b081e7a335b323b156554e58d195d7.
Reason for revert: reverting the whole topic docs build was broken https://android-build.googleplex.com/builds/submitted/5104251/sdk_phone_armv7-sdk/latest/view/logs/build_error.log
Change-Id: I16856a6a414ddb8327d1feb387f37291ad857559</t>
  </si>
  <si>
    <t>Revert "CTS test for Android Security b/37710346"
Bug: 72379138
Bug: 37710346
Bug: 116174409
Test: Test no longer run in CTS
This reverts commit d77dbb4225b318fb4da6ed8b85f93442db0478a0.
Change-Id: I002953f64cacaf248a8006ddc1b68534905f4393</t>
  </si>
  <si>
    <t>Revert "CTS test for Android Security b/63522067"
Bug: 63522067
Bug: 72314764
Bug: 116174409
Test: Test no longer runs in CTS
This reverts commit 15894f5be206541a5ad380aef49d6a4ce0c3232f.</t>
  </si>
  <si>
    <t>Revert "CTS test for Android Security b/28835995"
Bug: 28835995
Bug: 72047557
Bug: 116174409
Test: Test no longer runs in CTS
This reverts commit 775b70ec0bac2504d0a76c479b05b6a3fc301ecb.</t>
  </si>
  <si>
    <t>Deprecate scoped directory access.
Update CTS tests to use OPEN_DOCUMENT_TREE to obtain directory Uri
permission instead.
Bug: 111892460
Test: atest \
  cts/tests/providerui/src/android/providerui/cts/MediaStoreUiTest.java \
  cts/tests/tests/os/src/android/os/storage/cts/StorageManagerTest.java \
  cts/hostsidetests/appsecurity/test-apps/DocumentClient/src/com/android/cts/documentclient/ScopedDirectoryAccessClientTest.java
Change-Id: I1949bf8594db1623d083d1990c00e9028afa4b78</t>
  </si>
  <si>
    <t>Revert "CTS test to confirm permission revoked when being removed."
This reverts commit 043095a435fe1802be787d1b757cd270f97ca0aa.
Reason for revert: the original changes fails a few code path
Test: atest -m CtsPermissionTestCases
Change-Id: Id6090b5ecf1c50ca84ad3c4daf050b9a787141e2</t>
  </si>
  <si>
    <t>Fixed style and minor updates to isAppForeground CTS test.
Bug: 115384617
Test: atest cts/tests/tests/security/src/android/security/cts/ActivityManagerTest.java#testIsAppInForegroundNormal
Test: atest cts/tests/tests/security/src/android/security/cts/ActivityManagerTest.java#testIsAppInForegroundMalicious
Change-Id: If9dc543f3253b1a1c7f73109cee4a66307becafb</t>
  </si>
  <si>
    <t>Move UnofficialApisUsageTestCases from CTS to GTS
The test is not for app compatibility.
Bug: 119376080
Test: no need
Change-Id: Iab7041a07eab9c948b3391545599792fd2f07467</t>
  </si>
  <si>
    <t>Move UnofficialApisUsageTestCases from CTS to GTS
The test is not for app compatibility.
Bug: 119376080
Test: no need
Merged-In: Iab7041a07eab9c948b3391545599792fd2f07467
Change-Id: Iab7041a07eab9c948b3391545599792fd2f07467</t>
  </si>
  <si>
    <t>[RESTRICT AUTOMERGE] Adding SPL annotations to tests
Bug: 78022427
Test: build
Change-Id: I0f96f0b69f9f8cc8dc632ecd9b8844b8d532b1d9</t>
  </si>
  <si>
    <t>Deprecate location provider status callbacks.
Remove references to test provider statuses from tests.
Bug: 118885128
Test: manually
Change-Id: I2c3d0c32c39114fad22890449c3fb2c4e8acaf5f</t>
  </si>
  <si>
    <t>WifiManagerTest: Remove tests for deprecated API's
Remove/Modify tests that are invoking the deprecated API's. Use the
shell automator to toggle wifi state.
CTS tests for the replacement API surface (i.e NetworkRequest &amp;
NetworkSuggestion) will be added later.
Bug: 115504728
Test: `atest android.net.wifi.cts.WifiManagerTest`
Change-Id: I04b3e1572ddfd31b28639185e5cf54dd70a1ae42</t>
  </si>
  <si>
    <t>Remove unused media2 widgets
Bug: 119591238
Test: build
Change-Id: If7817756ce4e90b06de97c7952e62cdd81912076</t>
  </si>
  <si>
    <t>Remove unused MediaBrowser2 and relevant classes
Bug: 119591238
Test: build
Change-Id: I6d83711a231ed6aa6b6561807633a21753a76a6b</t>
  </si>
  <si>
    <t>[Magnifier-59] Improve and cleanup tests
The CL:
- improves #testShow_withDecoupledWindowPosition
- groups together tests testing for things
- removes some code duplication and generally cleans up tests
Bug: 72211470
Test: atest CtsWidgetTestCases:android.widget.cts.MagnifierTest
Change-Id: Ibc543618401ba5c88ce2df8c74ee41146a87fcb3</t>
  </si>
  <si>
    <t>DO NOT MERGE: Remove ClonedSecureRandomTest
This test was kind of flaky because it depended on a lot of variables
working. SELinux has now blocked pid_max which makes this test fail 100%
of the time
Test: cts-tradefed run cts -m CtsSecurityTestCases -a arm64-v8a
Bug: 113242597
cherry-picked from https://android-review.googlesource.com/c/platform/cts/+/336923</t>
  </si>
  <si>
    <t>Remove unused Media 2.0 APIs
Bug: 119591238
Test: build
Change-Id: Ifd66f7007902f441fb73b3e4fc88cba30f5ca659</t>
  </si>
  <si>
    <t>[RESTRICT AUTOMERGE] Revert "CTS test for Android Security b/28835995"
This reverts commit 775b70ec0bac2504d0a76c479b05b6a3fc301ecb.
Bug: 72047557
Bug: 116174409
Test: Builds successfully
Change-Id: Ib915cf293c2c98db9fedecd3b9c9cbdf5e79f200</t>
  </si>
  <si>
    <t>[RESTRICT AUTOMERGE] Revert "CTS test for Android Security b/37710346"
This reverts commit d77dbb4225b318fb4da6ed8b85f93442db0478a0.
Bug: 72379138
Bug: 116174409
Change-Id: I57ce41b2ec151807ce2cf43f0bd22859a0c7d17d</t>
  </si>
  <si>
    <t>Revert "CTS test for Android Security b/24157524"
This reverts commit 51c7a20209bfba1d13b487ccb54e2f3dfbd1a332.
Bug: 72510186
Bug: 116174409
Change-Id: Id04e9922f45998c78548cf064a04a5a826de88ea</t>
  </si>
  <si>
    <t>Update ANGLE Developer Options
Update ANGLE developer options to allow selecting the OpenGL driver
(default, ANGLE, native) for each app as well as forcing ANGLE for all
apps.
Bug: 118384925
Test: Execute the CtsAngleDeveloperOptionHostTest tests and verify there
are no failures.
Change-Id: Iefd3bad54ec3ca4b4398fb67f994706a16cc4375</t>
  </si>
  <si>
    <t>Revert "test if b/65484460 is fixed."
This reverts commit 3ea670d5490549dff3ad869639f582add2a852fa.
Bug: 114103143
Bug: 116174409
Test: Test no longer runs in CTS
Change-Id: I8b30da5bd17184d1a58726e61a5368f325792c67</t>
  </si>
  <si>
    <t>Revert "Add test for bug 64710074"
This reverts commit 8bc9729c7ae8971aa544bf9801d06a90853c0d93.
Bug: 72440646
Bug: 116174409
Change-Id: I394aea9d65d6e8243e41a6cd0c84fa0d6e503f42
Merged-In: I0f96f0b69f9f8cc8dc632ecd9b8844b8d532b1d9</t>
  </si>
  <si>
    <t>Revert "Add test for bug 64710074"
This reverts commit 8bc9729c7ae8971aa544bf9801d06a90853c0d93.
Bug: 72440646
Bug: 116174409
Change-Id: I394aea9d65d6e8243e41a6cd0c84fa0d6e503f42</t>
  </si>
  <si>
    <t>Revert "Add test for bug 64710074"
This reverts commit 8bc9729c7ae8971aa544bf9801d06a90853c0d93.
Bug: 64710074
Bug: 72440646
Bug: 116174409
Test: Test no longer runs in CTS
Change-Id: I0e2d68b117bfe85b6c8bd090356256a927245786
Merged-In: I0f96f0b69f9f8cc8dc632ecd9b8844b8d532b1d9</t>
  </si>
  <si>
    <t>Revert "DO NOT MERGE test if b/65484460 is fixed."
This reverts commit 08434c07d24ad5f27d9d49476b1c2f97a2d1a62f.
Bug: 65484460
Bug: 114103143
Bug: 116174409
Reason for revert: Test needs to be reworked
Change-Id: I20a53886b8a5722d320faf9140f7b6d2d8c07e7f</t>
  </si>
  <si>
    <t>Revert "DO NOT MERGE test if b/65484460 is fixed."
This reverts commit 1c5495adbfee486fd9b2d3c848f7d606bb696e0f.
Bug: 65484460
Bug: 114103143
Bug: 116174409
Reason for revert: Test needs to be reworked
Change-Id: I9b9e6279752706b4bc7355f921cd8935c2ee29d7</t>
  </si>
  <si>
    <t>Revert "test if b/65484460 is fixed."
This reverts commit 3ea670d5490549dff3ad869639f582add2a852fa.
Bug: 65484460
Bug: 114103143
Bug: 116174409
Test: Test no longer runs in CTS
Reason for revert: Test needs to be reworked
Merged-In: I8b30da5bd17184d1a58726e61a5368f325792c67
Change-Id: I4cb4be2a7833efad621248a432c54d5adf77e3a7</t>
  </si>
  <si>
    <t>App overlay tests
Test: these
Bug: 111236845
Change-Id: I8fcebb79cc68deea467b38dc4f9cd60528a71b50</t>
  </si>
  <si>
    <t>Revert "To make sure SAF to have the same experience"
This reverts commit 4dabd7f52b987bf9626bedf6b20fea559428359a.
Reason for revert: The test is better in GTS rather than CTS.
Change-Id: I8123d4a4f7cd20d41a8f9a117c49b89a6ca039ef</t>
  </si>
  <si>
    <t>Remove isUnicodeRendersCorrectly method
Now we have ZawDecode font which breaks the assumption of the
MyanmarTest since ZawDecode renders Unicode sequence and Zawgyi sequence
to the same output.
We decided to move these test to CDD instead of finding the ZawDecode
font from the system.img
Bug: 113075320
Test: atest android.text.cts.MyanmarTest
Change-Id: I53fefae17eca8943dda72a7b38057f7da961e239</t>
  </si>
  <si>
    <t>[CTS][WIFI] Remove test for a deprecated API
WifiManager#addNetwork(.) is deprecated - need to remove all
tests which exercise it. The deprecation logic is already
tested in WifiManagerTest#testDeprecatedApis().
Bug: 121284726
Test: atest WifiEnterpriseConfigTest
Change-Id: I599fea92b3a0c9e223948d3f1fc841031bb12770</t>
  </si>
  <si>
    <t>Camera: Rework and add legacy performance test to static library
Reduce the dependencies of the legacy performance test case
as much as possible and add it to the static performance
library.
Bug: 79682338
Test: Manual using CtsVerifier application,
Camera CTS
Change-Id: I30c03ba2e1f1aa6a8e51d823304a33106bc21d9f</t>
  </si>
  <si>
    <t>MediaStore should reflect state on disk.
It's an index of data scanned from disk, and it's been misleading to
let people mutate that data directly in MediaStore, since those
edits aren't durable in any way.  We never updated the metadata in
the underlying files, so any changes would be lost when moving
between devices.
This change moves to always re-scan files after they've been edited,
to ensure we pick up metadata changes.  It also ignores direct edit
attempts from apps.
Bug: 120711487
Test: atest android.media.cts.MediaScannerTest
Test: atest cts/tests/tests/provider/src/android/provider/cts/MediaStore*
Change-Id: Ie2a3c67d12cbf2fb7022611ab30f7e074c28401a</t>
  </si>
  <si>
    <t>Update LocationManager CTS
Remove CTS tests for deprecated APIs.
Test: manually
Change-Id: If2ecda2350882cafce6bf849eb13c6e752fb1e3e</t>
  </si>
  <si>
    <t>DO NOT MERGE: Remove test that depends on tz data
Commenting out a test that will pass with &lt;= 2018c
time zone data but fail on &gt;= 2018d time zone data.
The has been removed for historic CTS releases because
there should be adequate coverage from the other tests
and it would be more complicated to provide a test
that works on a range of devices. We can expect OEMs
to release system images for some old releases with
&gt;= 2018d data.
Bug: 76362687
Bug: 121365628
Bug: 78868503
Test: build only
Change-Id: Idc277ade6aeb4707fb02c3db46a2d12dc653cb40
(cherry picked from commit e9539f02874b9d6f3f55e4d7db5a79960bf363f9)
(cherry picked from commit c5fc884ec268862fff828d8c276736a39eab3d27)</t>
  </si>
  <si>
    <t>Fix tests for null cursor drawable
The CL removes tests expecting that the cursor drawable setter for a
TextView would take a NonNull argument. Also, a few other tests checking
exceptions are thrown when negative resource ids are passed are removed,
as negative resource ids are valid.
Test: atest CtsWidgetTestCases:android.widget.cts.TextViewTest
Bug: 122550166
Change-Id: I91e328aae8e8c72fef687c1e32d358bc1c7c6b37</t>
  </si>
  <si>
    <t>Historical app ops - CTS
This change is the main check in for the historical app op feature.
The idea is to store a historical data about past app op rejections,
accesses, and durations per op for any UID state indefinitely.
Keeping all operations on record is not practical as app ops are
very frequently performed. To address this we are storing aggregated
data as snapshots where we store for every UID and its packages
how many times each op was accessed, rejected, lasted as an aggregate.
To allow history scaling indefinitely we are taking a logarithmic
approach with only the most recent state stored in memory and all
preceding state stored on disk. State on disk is stored in separate
files where each preceding file, i.e. for an older period, would
cover X times longer period with X number of snapshots covering
X times longer period. Initially X is ten but can be tweaked. For
example, the first file could contain data for ten days with daily
snapshots, while the file for older period would have data
for a hundred days with snapshots every ten days, etc.
The implementation is optimized for fast history update and no impact
on system runtime performance and minimizing memory footprint. We
are lazily persisting state to disk on a dedicated thread as this is
slow. We are also reading the relevant historical files on a query
as this is very rare as opposed to state updates.
The base snapshot interval, i.e. snapshot time span, in the initial
iteration and the logarithmic step are configurable. These can be
changed dynamically and the history would be rewriten to take this
into account.
Test: atest CtsAppOpsTestCases
bug:111061782
Change-Id: I347866762f084bf2526a6d5420b678168e7baea5</t>
  </si>
  <si>
    <t>Update CTS tests for urlSpanFactory
Test: atest android.text.util.cts.LinkifyTest
Test: atest android.text.util.LinkifyTest
Bug: 28536972
Bug: 32613009
Bug: 29150779
Bug: 112303511
Change-Id: I2ea8459484f9992248bf5e8394eaef118976b1d5</t>
  </si>
  <si>
    <t>Remove CTS tests for no-op (and deprecated) APIs
Bug: 122316674
Test: CTS
Change-Id: I47306722bdcf28cf2ebee7dfdf0e3bb56d478322</t>
  </si>
  <si>
    <t>Refactor CTS tests to match API refactor
Test: atest IntFlagMappingTest
Bug: 122518089
Change-Id: I96b9f9c8f44af1986e5f7a579beb761797b5e5ae</t>
  </si>
  <si>
    <t>Update CtsCarTestCases.
Whether an activity is allowed depends on whether:
- AndroidManifest declares it to be Distraction Optimized; or
- it is whitelisted in R.string.activityWhitelist
Change-Id: Iccba433442834ac76e18d9921ee57d5b970d2d9b
Fixes: 121463026
Bug: 120125891
Test: m CtsCarTestCases -j &amp;&amp; cts-tradefed run cts-dev -a arm64-v8a -m CtsCarTestCases</t>
  </si>
  <si>
    <t>Update CtsCarTestCases.
Whether an activity is allowed depends on whether:
- AndroidManifest declares it to be Distraction Optimized; or
- it is whitelisted in R.string.activityWhitelist
Change-Id: Iccba433442834ac76e18d9921ee57d5b970d2d9b
Merged-In: Iccba433442834ac76e18d9921ee57d5b970d2d9b
Fixes: 121463026
Bug: 120125891
Test: m CtsCarTestCases -j &amp;&amp; cts-tradefed run cts-dev -a arm64-v8a -m CtsCarTestCases</t>
  </si>
  <si>
    <t>Remove inaccurate location CTS test
This test hasn't made sense since P, but has continued to pass on most
devices, so has never come to our attention as being broken. Starting
from P, location has only had on/off values, not the older 4 state
values.
Test: CTS
Change-Id: Ic664137c4258722ca2282d0d0005240c36ea3b86</t>
  </si>
  <si>
    <t>More work towards secondary storage devices.
Bring along remaining MediaStore tests to be parameterized and run
multiple times for all attached shared storage devices.  Update tests
to point at current storage volume being tested.
Fix several internal bugs in MediaProvider where it wasn't aware of
secondary volume names.
Bug: 117932814, 121280233
Test: atest MediaProviderTests
Test: atest cts/tests/tests/media/src/android/media/cts/MediaScanner*
Test: atest cts/tests/tests/provider/src/android/provider/cts/MediaStore*
Change-Id: I049aba160321e8aea78d6495a4e979c93b272c60</t>
  </si>
  <si>
    <t>Revert "Add CTS to check for both PackageManager.FEATURE_FINGERPRINT features"
This reverts commit 3b4167f594d9829299a6690e2e1d0920520e5d6f.
Reason for revert: b/115639644 comment #27 and #29
Change-Id: I9ba1e36cbd1a14bd2114b8e455da659e3dc135c1</t>
  </si>
  <si>
    <t>Sanity check raw paths against requested volume.
When callers are inserting or updating raw "_data" paths, we need to
sanity check them to make sure they're not "crossing the streams"
between storage devices.  For example, it would be really broken to
insert a file on the SD card into the "internal" storage volume.
This also enforces that callers don't "cross the streams" between
multiple storage volumes on devices that support them, since
otherwise they'd end up with very confusing behavior, such as
the same underlying file being inserted into multiple databases.
Also, the "internal" storage volume should really only be used for
common media (such as ringtones), and it shouldn't be allowed to
point into private app data directories, since MODE_WORLD_READABLE
has been deprecated for many years now.
Bug: 117932814
Test: atest MediaProviderTests
Test: atest cts/tests/tests/media/src/android/media/cts/MediaScanner*
Test: atest cts/tests/tests/provider/src/android/provider/cts/MediaStore*
Change-Id: Ic79f6ad318443beaed539352c7026646f7ce1ca4</t>
  </si>
  <si>
    <t>Revert "Create cts test for enabling/disabling backup on work profile."
This reverts commit 7a94e257c39f67f7c61d23e6ea50078bdc0e20ae.
Reason for revert: b/123237328
Change-Id: Ic1fdfe5e8e384d284318fa8df271aa1f64e33b17</t>
  </si>
  <si>
    <t>Revert "Create cts test for enabling/disabling backup on work profile."
This reverts commit 7a94e257c39f67f7c61d23e6ea50078bdc0e20ae.
Reason for revert: b/123237328
Change-Id: Ic1fdfe5e8e384d284318fa8df271aa1f64e33b17
(cherry picked from commit 8ed62f56415387ca4671068ffd2d08dfbc27d43e)</t>
  </si>
  <si>
    <t>Remove tests for newly hidden ColorSpace APIs
Bug 116516917
Change-Id: I01cf0f66bd79597d840f7bd641fc94f68e144577</t>
  </si>
  <si>
    <t>Get CtsProviderTestCases building against API.
To help confirm that we're actually testing developer-visible
behaviors, we need to build against public APIs, since there have
been plenty of examples in this suite of "testing" hidden API
behaviors, which are then misleading to developers.
Bug: 120429729
Test: atest cts/tests/tests/provider/
Change-Id: I0d1337625c52cabd4172d1a0affc4ab2b43ab62a</t>
  </si>
  <si>
    <t>Add CheckLibraryNames
When the APIs are released, we need to update the make file for testing
new released APIs. To avoid doing this, I added the check-library-names
argument. When this argument is true, APIs test will be done if an API
library is available as the &lt;uses-library&gt; tag.
Bug: 123040759
Test: copy frameworks/base/test-base/api/current.txt into
prebuilts/sdk/28/public/api/android.test.base.txt and manually add some
APIs there.
run cts -m CtsSharedLibsApiSignatureTestCases
Change-Id: I6fa063e8c4d3450668dd73858ebfdda978f79f7c</t>
  </si>
  <si>
    <t>[Magnifier-75] Remove tests for MAX_IN_VIEW
Bug: 72211470
Test: atest CtsWidgetTestCases:android.widget.cts.MagnifierTest
Change-Id: I950c9f7a8133e314b950f84f4f1e4be3fe4e2b6d</t>
  </si>
  <si>
    <t>testProfileWifiCleanup: Remove test
Regular apps targeting SDK 29 cannot add or edit saved networks on the
device. They should use the new suggestions API for it. So, this test is
kind of obsolete, remove it.
Bug: 122743990
Test: atest com.android.cts.devicepolicy.ManagedProfileTest
Change-Id: I855f24779647a34ec4d846eb1b311104789273a8</t>
  </si>
  <si>
    <t>simpleperf: prepare for testing profileable apps.
1. Move CtsSimpleperfDebugApp to CtsSimpleperfDebuggableApp,
   add an activity running a busy thread. So we can test
   profiling app process.
2. Copy CtsSimpleperfDebuggableApp to CtsSimpleperfProfileableApp,
   which will be changed to a profileable app in later CLs.
Bug: 118835348
Test: run CtsSimpleperfTestCases.
Change-Id: I0f36980650387c7eb46c30c04e9e6a1c0fa94961</t>
  </si>
  <si>
    <t>Revert "Remove MediaController2 usages in MediaSessionServiceImpl"
This reverts commit 41e4aaa0e03af984989376f25fe9cd36c2fac5b3.
Reason for revert: Now the circular dependency problem is resolved, this change is now obsolete.
Bug: 123336670
Change-Id: I5adda24c7540e5408897830de6b62606d2ff85ce</t>
  </si>
  <si>
    <t>Removed some ignored tests.
Bug: 122595322
Test: m update-api
Test: atest CtsContentCaptureServiceTestCases
Change-Id: I6b7c73efc74af1d5de6cd57777457fe376ec49cd</t>
  </si>
  <si>
    <t>Revert "[RESTRICT AUTOMERGE] Add crashutils to cts, and integrate into Stagefright"
This reverts commit 3d32635e90e7f3faf5916351555e1d9de59fb078.
Reason for revert: Crash Parser redesign
Bug: 113170203
Change-Id: I6fbe5c08364da102056fbbf0115ec3bc7bd4b155</t>
  </si>
  <si>
    <t>Revert "[RESTRICT AUTOMERGE] Add crashutils to cts, and integrate into Stagefright"
This reverts commit 8cfc3b6dc2e1bd4ae45bdfe56d410305bc4bd27b.
Reason for revert: Crash Parser redesign
Bug: 113170203
Change-Id: I173ff632a4b6c80303f67602db727699c1a57103</t>
  </si>
  <si>
    <t>Revert "[RESTRICT AUTOMERGE] Add crashutils to cts, and integrate into Stagefright"
This reverts commit 6ed86fb21b871da99052bd1fcb8ff68f383160e9.
Reason for revert: Crash Parser redesign
Bug: 113170203
Change-Id: I86eb13f2831e8a23ac394ab661928a86c24cab19
Merged-In: I6fbe5c08364da102056fbbf0115ec3bc7bd4b155</t>
  </si>
  <si>
    <t>Revert "Add CTS to check for both PackageManager.FEATURE_FINGERPRINT features"
This reverts commit 3b4167f594d9829299a6690e2e1d0920520e5d6f.
Reason for revert: fingerprint is back to android.hardware.fingerprint
Change-Id: Ibb8cb1f5050b3b0fcb13cc55b8d64497e216b86a</t>
  </si>
  <si>
    <t>DO NOT MERGE - Revert "Changed Autofill tests to check for UPDATE instead of SAVE when necessary."
This reverts commit b08897ae8ed7d6c910b550f0c011f5da41d6743e.
Fixes: 122848656
Test: atest CtsAutoFillServiceTestCases
Change-Id: I66710a12bc1b9c3826522eec7925880b08b8ff2d</t>
  </si>
  <si>
    <t>Remove usage info
Test: checkbuild
Change-Id: I4d8ae720b18e3a49815011f89ae03ddcec83b824
Build: 123699931</t>
  </si>
  <si>
    <t>[RESTRICT AUTOMERGE] Remove CTS tests which call hidden APIs
Bug: 122129105
Test: run cts --module CtsSimRestrictedApisTestCases
Change-Id: I86cde4a23ff934cdad8426e3ed9483b7f71c9acb</t>
  </si>
  <si>
    <t>Remove CTS tests which call hidden APIs
Bug: 122129105
Test: run cts --module CtsSimRestrictedApisTestCases
Change-Id: I86cde4a23ff934cdad8426e3ed9483b7f71c9acb</t>
  </si>
  <si>
    <t>Start paving the way for XMP metadata.
The Extensible Metadata Platform (XMP) standard is widely used to
annotate useful information about audio, video, and image files, so
this change starts indexing certain widely-useful fields.
For example, the "document ID" concept is designed to uniquely
identify media items regardless of renaming or trivial metadata
edits over time.  And "original document ID" gives a clean way of
identifying a chain of derivative works.
Finally, the "format" attribute can be used to specify a richer MIME
type that may not be recognizable from a file extension alone.
While we're making changes here, remove several APIs that we've
realized aren't needed for Q, such as "trashing."
Bug: 120791890
Test: atest MediaProviderTests
Test: atest cts/tests/tests/provider/src/android/provider/cts/MediaStore*
Change-Id: Ib992d9bb7c74de0c78ba0ca5f5a197069572aebb</t>
  </si>
  <si>
    <t>Remove tests for removed API in Animation
The methods add/removeAnimationListener have been withdrawn before they
were released, so the tests can be removed as well.
Bug: 117519981
Test: atest AnimationTest
Change-Id: I2daf1e328116388ac25533c38cc3dc951089957c</t>
  </si>
  <si>
    <t>[wv-cts] Break out WebView zoom tests
Test: atest 'CtsWebkitTestCases:android.webkit.cts.WebViewZoomTest'
Change-Id: I5ffeded28159a27cd748f5e4532c9e4c616ec259
Fixes: 124109768</t>
  </si>
  <si>
    <t>WebView: break up testLoadDataWithBaseUrl
No change to test coverage.
This breaks up testLoadDataWithBaseUrl into several test cases. This
makes it easier to reason about side-effects between tests, and gives
better feedback in case of test failures.
This also refactors this @UiThreadTest logic to be off the UI thread.
Bug: 124009607
Test: atest CtsWebkitTestCases:android.webkit.cts.WebViewTest
Change-Id: Ic5d6db13fb3387f7073b16989ab50d53fa2d9e07</t>
  </si>
  <si>
    <t>Delete CtsUiDeviceTestCases
This test target only had 2 tests:
- ScrollingTest -&gt; perf tests that scrolls a scrollview for 3 minutes
                   but then does not report the results anywhere.
- WatchPercentageScreenDimenTest -&gt; better fits with theme tests.
Bug: 124017067
Test: None
Change-Id: I7c99a460f1f093e4257a43933d5b4765e0b33746</t>
  </si>
  <si>
    <t>Revert "Revert "Delete CtsUiDeviceTestCases""
Reland ag/6304365 with a fix making sure it is not used by other
testcase.
Bug: 124017067
Change-Id: I8982444087f6a0af82ac6aa4ef840090b4ee0ddc</t>
  </si>
  <si>
    <t>Revert "[A-0-2] Android Automotive required Bluetooth profiles CTS test"
This reverts commit b733e464763564bf471eb2443199361b2b464460.
Reason for revert: This seems to have broken the build on internal master.
Change-Id: I5017175c9d4d0571bdaa194677776d8fde345413</t>
  </si>
  <si>
    <t>Updated CtsContentCaptureServiceTestCases with latest API changes.
Test: atest CtsContentCaptureServiceTestCases
Bug: 124266664
Change-Id: I80a84596bd1cfff8f98d0867983affe2b55c2e89</t>
  </si>
  <si>
    <t>Updated CtsContentCaptureServiceTestCases to use disableContentCaptureServices().
Bug: 123286662
Test: atest CtsContentCaptureServiceTestCases
Change-Id: I608272ca1198a2ca64acdf95315c91a567b8697b</t>
  </si>
  <si>
    <t>SQLiteDatabaseTest: Remove test for compatibility WAL config.
We no longer have a configurable flag for turning on compatibility
WAL by default.
Test: make
Bug: 123352172
Change-Id: Icc2e22624cc10355441f07ef3588303a25c439be</t>
  </si>
  <si>
    <t>Remove testGetServiceState
testGetServiceState is no longer needed -- functionality is tested by
TelephonyManagerTest#testServiceStateSanitization
Fixes: 124899889
Test: CTS
Change-Id: Id2d64fd1eaf6440c472f84e4171644c1fc7b4bd3</t>
  </si>
  <si>
    <t>Remove TelephonyProvider permissions tests
This simplifies these tests, and removes the need to worry whether the
test package is set to be the default SMS application. Now the test
package is remains the default throughout testing.
These will be brought back and addressed in b/126446003.
Bug: 122852169
Test: atest CtsTelephonyProviderTestCases
Change-Id: I24658e655e657befa36fa3f67b09af5499521ead</t>
  </si>
  <si>
    <t>Remove CtsAlarmClockTestCases module
These tests are inherently too flakey and slow to run in CTS since
they require waiting for 1+ minute(s) for an alarm to fire. Instead
use AvailableIntentTest to ensure that AlarmClock intents are
handled.
Bug: 126634496
Test: AvailableIntentsTest
Merged-In: I149335a45520a95f8e6a5241b309cf6dcfe743e2
Change-Id: I149335a45520a95f8e6a5241b309cf6dcfe743e2</t>
  </si>
  <si>
    <t>Remove CtsAlarmClockTestCases module
These tests are inherently too flakey and slow to run in CTS since
they require waiting for 1+ minute(s) for an alarm to fire. Instead
use AvailableIntentTest to ensure that AlarmClock intents are
handled.
Bug: 126634496
Test: AvailableIntentsTest
Change-Id: I149335a45520a95f8e6a5241b309cf6dcfe743e2</t>
  </si>
  <si>
    <t>Add tests to cover RoleManager APIs.
Bug: 125404675
Test: atest RoleManagerTest
Change-Id: I62e76a1b543980240db7eb0acb831fdd4581f1ac</t>
  </si>
  <si>
    <t>Adapt SplitPermissionTest to location bg perm
The behavior of the location background permission has changed. Hence
the tests need to change with it.
Now the permissions inherit normally. Location permissions will only be
removed during upgrade
Test: atest CtsPermissionTestCases:SplitPermissionTest
Change-Id: Ibe6c44227b44ee54ffc6f175b6c201a95c254574</t>
  </si>
  <si>
    <t>Remove tests for deprecated APIs
Remove references to GpsStatus.* from CTS tests.
Test: manually
Change-Id: I9adabb6836a9d211ac92c90c44ee058a4ac0df0e</t>
  </si>
  <si>
    <t>Remove test for bubble metadata needing a title since we no longer have a title
Test: this is a test that I'm fixing, atest NotificationTest
Fixes: 127305830
Change-Id: Ief280547d4f622faef5351dab7a92e63dc580149</t>
  </si>
  <si>
    <t>Revert "Adding CTS test for android.location.Location"
This reverts commit 4d3fa970a0d5b6eae5f382afc9ef46012c72502c.
Reason for revert: b/127312065
Change-Id: I0b7ec24868ff13995e630d9f5f925c84bb1bac4c</t>
  </si>
  <si>
    <t>Delete tests that are moving to xts
Test: make
Bug: 127146476
Change-Id: I4c04109397d093de863032fb61158b5928f9d64d</t>
  </si>
  <si>
    <t>Private DNS: Accommodate API changes
Change test for the Private DNS Device Policy Manager API to match the
API change due to API review.
Bug: 124301971
Test: atest com.android.cts.devicepolicy.DeviceOwnerTest#testPrivateDnsPolicy
Change-Id: Id86aa3b51f07a2a88744a308018f636532f6d782</t>
  </si>
  <si>
    <t>Removed Passpoint tests from WifiManagerTest
Passpoint APIs require NETWORK_SETTINGS permission, which the
CTS verifier cannot acquire.
Bug: 127824266
Test: atest WifiManagerTest
Change-Id: I1c69ae748318c0c5431326be77f8b1a942a1f2db</t>
  </si>
  <si>
    <t>CTS tests for IntFunction flag and enum mappings
Bug: 124448834
Test: atest android.view.inspector.cts android.processor.view.inspector.cts
Change-Id: Id87c837476c9ef036b662ae1362140b86bb6523a</t>
  </si>
  <si>
    <t>Remove testDisallowSetUserIcon_allowed() from CTS.
UserManager.getUserIcon() should be protected by privileged permission
MANAGE_USERS which can't be granted by CTS so that it's unable to
validate the result of DevicePolicyManager.setUserIcon().
Remove testDisallowSetUserIcon_allowed() from CTS auto test.
(Will add a manual test for setUsericon().)
Bug: 127771754
Test: Manually. There should be no testDisallowSetUserIcon_allowed in
MixedDeviceOwnerTest.
Change-Id: I4b35ef7d0ebe881a3af8fdd680c9d0ec038cd68e</t>
  </si>
  <si>
    <t>Remove carrierapi2 CTS module
The carrierapi2 module was originally added as a CTS module when
only subscriber identifiers were going to be accessible to carrier
privileged apps; this module verified the behavior when a carrier
privileged app targeting pre-Q requested a device identifier. Since
carrier privileged apps now have access to all device identifiers
and the behavior is consistent regardless of target SDK this module
is being removed.
Fixes: 127318246
Test: m cts -j
Change-Id: Ia55b6dd2afc16a7f06814ccfe282097e88013bd0</t>
  </si>
  <si>
    <t>Revert "Add test case for invalid font loading"
This reverts commit f06f5486579e9214594ca76cd78fdea30ce5c287.
Reason for revert:
This breaks CTS. Looks like even in old devices, we tells errors to
developers. Just suppression is not a right solution here.
Change-Id: I7891b96ba64868a78570475bd1483393ab770d69</t>
  </si>
  <si>
    <t>Improve test for the changing of DnsResolver
1. Done for some code-style nits.
2. Update tests because AnswerCallback of DnsResolver is changed.
Bug: 124882626
Test: built, flashed, booted
      atest DnsResolverTest
Change-Id: Ie862c7ea5077f56fd9a4d96baf3f466b65db93d8</t>
  </si>
  <si>
    <t>Remove SubscriptionManager#setMetered API.
Bug: 123661746
Test: sanity
Change-Id: I57c8bf6dc93aaa68a48046e484ee0128e988e65d</t>
  </si>
  <si>
    <t>Cleanup CTS test ServiceStateTest.
ServiceStateTest has a single test method that tests a variety of
unrelated functions. This should be broken into several smaller
functions, each testing its own instance of ServiceState.
Bug: 74207290
Test: CtsTelephonyTestCases:ServiceStateTest
Change-Id: Ic6bf7b78a4fea722754e32f8092d11f835e9b73c</t>
  </si>
  <si>
    <t>Address feedback on MediaTimestamp, SubtitleData and TimeMetadata
Test: MediaTimestampTest, SubtitleDataTest, TimeMetadataTest
Bug: 128547839, Bug: 128460405
Change-Id: Ie1511dfe5dfbad69ece6121cb5690ba27cba8480</t>
  </si>
  <si>
    <t>Remove unused @InspectableNodeName tests
Bug: 128997046
Test: atest CtsViewInspectorAnnotationProcessorTestCases
Change-Id: I9574924e9a479a25773c3b3488ad673209c6d4e5</t>
  </si>
  <si>
    <t>Use ProxyFileDescriptorCallback instead of DataSourceCallback
Test: MediaPlayer2Test
Bug: 128461264, Bug: 126701061
Change-Id: I8121660baebe9264478091d9bc1d4f337cfba6f9</t>
  </si>
  <si>
    <t>Respond to API feedback on DIRECTORY columns.
Internal feedback asked for more documentation, and feedback from
external teams (at least Photos and Camera) was the ability to store
files at arbitrary directory depths.
We now offer a single PATH column, which gives callers more precise
control over file placement.  The old DIRECTORY columns remain
intact for now, and are temporarily accepted to support apps
developing against the preview SDKs.
Bug: 127657692, 123967243
Test: atest MediaProviderTests
Test: atest cts/tests/tests/provider/src/android/provider/cts/MediaStore*
Exempt-From-Owner-Approval: trivial tests
Change-Id: I0dbbbab39f9e3ba24f7bfd946f31859f95f3175e</t>
  </si>
  <si>
    <t>DO NOT MERGE: Remove test for none public APIs
Bug: 129015281
Test: make cts
Change-Id: I1d80648b6df2a3a8ca142c000d6e2283004e1711</t>
  </si>
  <si>
    <t>remove submitPduTest as the constructor is not public
Bug: 127574259
Test: CTS
Change-Id: Ia64c578a3e77ab33f175aec2a02615d598238d94</t>
  </si>
  <si>
    <t>remove test for gsmSmsManager which is deprecated
gsm.Smsmanager is replaced by android.telephony.SmsManager
that supports both GSM and CDMA.
Bug: 127589214
Test: cts
Change-Id: I220f4a4330777ab52199376406135e928cd22c87</t>
  </si>
  <si>
    <t>Revert "Added a test that always fail to make sure we're running the suite."
This reverts commit 16ba1dd7a9a5a38cb217b35a7a2c4ac55273dddd.
Test: atest CtsContentCaptureServiceTestCases:CanaryTest
Fixes: 129476944
Bug: 128571561</t>
  </si>
  <si>
    <t>Remove SubscriptionManager#setMetered API.
Bug: 123661746
Test: sanity
Change-Id: I57c8bf6dc93aaa68a48046e484ee0128e988e65d
Merged-In: I57c8bf6dc93aaa68a48046e484ee0128e988e65d</t>
  </si>
  <si>
    <t>Remove call identification APIs.
Removing the CallIdentification API surface.
Test: Build, run tests.
Bug: 129531123
Change-Id: I630d27808f6de141f5bc88cf1e2417d1b8d2713d</t>
  </si>
  <si>
    <t>Apps using storage must have runtime permission.
A major goal of the Q release is to promote user transparency around
permission usage, and to also give user controls over those
permissions.  To further this goal, all apps requesting the
internal WRITE_MEDIA_STORAGE permission must also request (and be
granted) the "Storage" runtime permission in order to gain the
associated access.
If the user revokes the "Storage" runtime permission, then the app
must lose all access granted to it via WRITE_MEDIA_STORAGE.
Bug: 129144016
Test: atest android.permission.cts.ProviderPermissionTest#testWriteMediaStorage
Exempt-From-Owner-Approval: fixing existing tests
Change-Id: I1d013c7a401a372dcff6a48bb0bf0e22243702d0</t>
  </si>
  <si>
    <t>Remove test/APIs related to dual permission model
Test: atest android.appsecurity.cts.PermissionsHostTest
            android.permission.cts.SplitPermissionTes
	    android.permission.cts.PermissionFlagsTest
	    android.permission2.cts.PermissionPolicyTest#testPlatformPermissionPolicyUnaltered
Change-Id: Ica6b51158d08fd2f56b6307d9a2c93a2a96c5f89</t>
  </si>
  <si>
    <t>Fix API council review feeback
Change getSupportedOffHostSecureElements to @hide so remove from CTS
test
Bug: 128831640
Test: build pass
Change-Id: I033eb7c552f65efc694fad05771f9ea7075b78be</t>
  </si>
  <si>
    <t>Revert "Add test for FEATURE_NFC_OFF_HOST_CARD_EMULATION_UICC/ESE"
This reverts commit 056907a75762e2beaaf0c2bb57b95f55a3d01b0e.
Reason for revert: getSupportedOffHostSecureElements change to @hide
Change-Id: I8314b8d6d35da95dc4ed757a2c9aa6fe361c6493
Merged-In: I033eb7c552f65efc694fad05771f9ea7075b78be</t>
  </si>
  <si>
    <t>Camera: Relax logical camera stream combination requirement
- Update CTS to handle relaxed requirement for both public API and NDK.
- Added stream combination support query in Camera ITS.
Test: Camera CTS and ITS
Bug: 119325664
Change-Id: Ibcf418baccfcd9672d83f36eaf81671f3d514334</t>
  </si>
  <si>
    <t>Remove Game Rotation Vector Batch Size Test
The Game Rotation Vector's (GRV) batch size requirement is being
removed (ag/6902964). This change removes the corresponding test.
Bug: 123996403
Test: Builds
Change-Id: I7a4edfcac62499e733eb8acea26d3f5c99432368</t>
  </si>
  <si>
    <t>Remove DELEGATION_PACKAGE_INSTALLATION
Bug: 112982695
Test: atest MixedDeviceOwnerTest.testDelegation
Change-Id: If75585f0d287d8d7ac6e6573b04625a126ee3ea1</t>
  </si>
  <si>
    <t>Remove ProtoInputStream Cts tests
Test: atest CtsProtoTestCases
Bug: 115635242
Change-Id: Ie5ccea4a6b0c4a34fe66e9e7875cf93865f5975d</t>
  </si>
  <si>
    <t>cts: Retstrict EXIF location to apps having FINE location permissions.
Add tests to make sure that apps with BACKGROUND, COARSE and MEDIA location
permissions don't get location information in exif data on capturing
images / recording videos through intents.
Bug: 129953514
Test: runtest -x MediaStoreUiTest.java
Change-Id: Iee57253625b1901ee122969590449828cff50b69
Signed-off-by: Jayant Chowdhary &lt;jchowdhary@google.com&gt;</t>
  </si>
  <si>
    <t>Restricted permission mechanism - CTS
This change adds a mechanism for restricting permissions (only runtime
for now), so that an app cannot hold the permission if it is not white
listed. The whitelisting can happen at install or at any later point.
There are three whitelists: system: OS managed with default grants
and role holders being on it; upgrade: only OS puts on this list
apps when upgrading from a pre to post restriction permission database
version and OS and installer on record can remove; installer: only
the installer on record can add and remove (and the system of course).
Added a permission policy service that sits on top of permissions
and app ops and is responsible to sync between permissions and app
ops when there is an interdependecy in any direction.
Added versioning to the runtime permissions database to allow operations
that need to be done once on upgrade such as adding all permissions held
by apps pre upgrade to the upgrade whitelist if the new permisison version
inctroduces a new restricted permission. The upgrade logic is in the
permission controller and we will eventually put the default grants there.
NOTE: This change is reacting to a VP feedback for how we would handle
SMS/CallLog restriction as we pivoted from role based approach to roles
for things the user would understand plus whitelist for everything else.
This would also help us roll out softly the storage permisison as there
is too much churm coming from developer feedback.
Exempt-From-Owner-Approval: Update tests due to removed API
Test: atest CtsAppSecurityHostTestCases:android.appsecurity.cts.PermissionsHostTest
Test: atest CtsPermissionTestCases
Test: atest CtsPermission2TestCases
Test: atest RoleManagerTestCases
Test: atest CtsTelephonuTestCases
bug:124769181
Change-Id: Ia41b96f7be8a70bd593110a28fcceaa1d08ae2f1</t>
  </si>
  <si>
    <t>remove test for gsmSmsManager which is deprecated
gsm.Smsmanager is replaced by android.telephony.SmsManager
that supports both GSM and CDMA.
Bug: 127589214
Test: cts
Change-Id: I220f4a4330777ab52199376406135e928cd22c87
(cherry picked from commit e17aa4c7c0ce302d86af83a8254e7fe037c794a6)
Merged-in: I220f4a4330777ab52199376406135e928cd22c87</t>
  </si>
  <si>
    <t>Add and update CTS test cases for CarInfoManager
Add and update CTS test cases for CarInfoManager
Bug: 124914164
Test: atest CtsCarTestCases:CarInfoManagerTest
Change-Id: I06073e513004c34947362366dcd0522dbdd71161</t>
  </si>
  <si>
    <t>DnsResolver cts changes to match API council requests
Bug: 129261432
Test: atest DnsResolverTest
Change-Id: I803f10218a01614ba7fb26597971853e602273c6</t>
  </si>
  <si>
    <t>Reboot device after requesting bug report to clean state.
Test: atest CtsDevicePolicyManagerTestCases:com.android.cts.devicepolicy.DeviceOwnerTest -- --abi x86
Fixes: 127272869
Change-Id: Ifaf71d3f4fe6ff87416237ac7641d5751d5aedaf</t>
  </si>
  <si>
    <t>Split VOLUME_EXTERNAL and VOLUME_PRIMARY.
To let developers focus on specific concrete storage devices in Q,
we need a volume name that can be used to point at the primary
external storage device.  We had been using VOLUME_EXTERNAL for that,
but we've heard that certain apps are making deep assumptions that
media item IDs are globally unique across all volumes.
Thus these changes merge all volumes back into a single underlying
database, and VOLUME_EXTERNAL works with all of the currently
attached volumes.  The new VOLUME_PRIMARY name can be used to focus
on the primary storage device when desired.
When developers try inserting items directly into VOLUME_EXTERNAL,
we gracefully assume they meant VOLUME_PRIMARY.
Bug: 128451765
Test: atest --test-mapping packages/providers/MediaProvider
Change-Id: If2281708bc3965f83c6d5f383fbf6aecce54a67e</t>
  </si>
  <si>
    <t>DnsResolver cts changes to match API council requests
Bug: 129261432
Test: atest DnsResolverTest
Merged-In: I42df921cc3bb01ea25a671d5a1af678a6d3f5872
(cherry picked from commit 2ca7a999cf588fd79c8ac092896abc610df14948)
Change-Id: Ibcb92ac23cf413322234bba9100293ab794cf50e</t>
  </si>
  <si>
    <t>[CTS] Remove dataChanged for profile k/v scheduled job test
When a new package is installed, the backup service already calls
dataChanged() on the package, so we don't need to manually invoke it in
our test.
Bug: 129476019
Test: atest android.cts.backup.ProfileScheduledJobHostSideTest
Change-Id: I742e6b51a4af3a7c36ee230d10fd089369403444</t>
  </si>
  <si>
    <t>Remove MediaPlayer2-related CTS tests
Test: m -j32 cts
Bug: 130420617
Change-Id: I43362244caf78b12597466b0ed14f5cea49c9763</t>
  </si>
  <si>
    <t>DO NOT MERGE - Removed content capture tests for standard views.
Bug: 129982633
Test: atest CtsContentCaptureServiceTestCases
Change-Id: Ie3100d997bb1f839e71a192fb42427fb04a6ffde</t>
  </si>
  <si>
    <t>Revert "Add test for FEATURE_NFC_OFF_HOST_CARD_EMULATION_UICC/ESE"
This reverts commit 056907a75762e2beaaf0c2bb57b95f55a3d01b0e.
Reason for revert: getSupportedOffHostSecureElements change to @hide
Test: build pass
Bug: 128831640
Change-Id: I8314b8d6d35da95dc4ed757a2c9aa6fe361c6493
Merged-In: I033eb7c552f65efc694fad05771f9ea7075b78be</t>
  </si>
  <si>
    <t>Update CTS for TextClassifierEvent
Bug: 129344540
Test: atest cts/tests/tests/view/src/android/view/textclassifier/cts/
Change-Id: I3156f58b1983142672d9f8e0ffb85101717b97f0</t>
  </si>
  <si>
    <t>Remove MediaItem2 test
Bug: 130579223
Test: build
Change-Id: I4b1e8f458bc0b99d0b16646637ac6da09e9c35b5</t>
  </si>
  <si>
    <t>Remove BufferingParams from TestApi.
This class was missed when hiding MediaPlayer2.
Test: make update-api &amp; cts
Bug: 130420617
Change-Id: I15e78d84772ff515fb4c1ea0f22d66956e95f2ec</t>
  </si>
  <si>
    <t>Start bringing back legacy storage tests.
When APKs ask for the legacy storage world, we need the old tests to
verify they get the access they've been granted.  (For example, an
app only granted READ_EXTERNAL_STORAGE, etc.)
Bug: 130619210, 130566083
Test: atest android.appsecurity.cts.ExternalStorageHostTest
Exempt-From-Owner-Approval: trivial test changes
Change-Id: I7bf75a87663f566d737dd12bd0085085a769a5b0</t>
  </si>
  <si>
    <t>CtsSecurityTestCases: delete obsolete test cases
These test cases are nasty chunks of code which were designed to detect
bugs which have been long fixed. The maintenance burden of the test code
is greater than the benefit it provides. Delete the code.
Bug: 123605817
Test: this
Change-Id: Ic472f4165e36676b7d0bbf7880d0fdd7e4b05a11</t>
  </si>
  <si>
    <t>Revert "Test mkv whose mp3 audio frame is incomplete"
This reverts commit 170925a275e9babb7a9572f686d01c72359ccd1f.
Reason for revert: copyright ambiguities
Bug: 123590715
Change-Id: I8b6013c25a64ba92a116722031abd42d5177bbc0</t>
  </si>
  <si>
    <t>Delete dummy CTS test cases
Fixes: 129909356
Fixes: 130526034
Test: atest CtsWindowManagerSdk{25,28}TestCases
Change-Id: I1dcaccc0c2fb3ef413c733dea9c3df834451fad8</t>
  </si>
  <si>
    <t>KernelSettingsTest: remove xattr test
Remove the code which asserts xattrs are compiled into the kernel. This
test, introduced in commit 4267ab6c3ea0562ba938304144fac3bbd2e731b0, was
intended to ensure that OTAs from Android 4.2.* to 4.4.* would be
successful, and is largely obsolete at this point. xattr support in the
kernel is implicit in the device running SELinux.
This test does not work on instant apps. Rather than carrying around the
burden of an effectively useless test, just delete it.
Effectively a revert of 4267ab6c3ea0562ba938304144fac3bbd2e731b0.
Bug: 13445875
Bug: 123605817
Test: this code
Change-Id: Id33860e43c2b32df8b6677d3e112381afe6e89a5</t>
  </si>
  <si>
    <t>DO NOT MERGE: Remove test for none public APIs
Bug: 130192231
Test: build
Change-Id: I330ae3b1781dd4e8a6b53b5100134f67823bad21</t>
  </si>
  <si>
    <t>Delete Exynos vulnerability tests.
These tests, added in 2012, have been fixed for years now. There is no
further value in testing for this vulnerability.
Effectively a revert of commit 6537494848b04482ed3127072310b01017fe62e6.
Test: compiles
Bug: 123605817
Change-Id: If83fbae63525adc6c487414ca1f54fb5d6851eaa</t>
  </si>
  <si>
    <t>Update behavior of some DownloadManager APIs.
-- Update behavior of DownloadManager.setDestinationUri(),
   DownloadManager.setDestinationInExternalPublicDir() and
   DownloadManager.addCompletedDownload() based on the latest
   storage re-design. Essentially, going forward these APIs
   will only allow downloading files into package owned dirs
   or the top-level Download dir.
-- Allow some system components to specify
   MediaColumns.OWNER_PACKAGE_NAME when inserting items into
   MediaProvider.
-- Don't copy DownloadManager.COLUMN_TITLE to MediaProvider.
   DownloadProvider and MediaProvider have different constraints
   around "title" and there isn't really a need to keep these
   in sync.
-- Sanity check file download paths hinted by apps.
-- Remove sandbox related logic in DownloadProvider.
Bug: 120879208
Bug: 128630262
Bug: 130797842
Test: manual
Test: atest DownloadProviderTests
Test: atest cts/tests/app/src/android/app/cts/DownloadManagerTest.java
Test: atest cts/tests/app/DownloadManagerLegacyTest/src/android/app/cts/DownloadManagerLegacyTest.java
Test: atest cts/tests/app/DownloadManagerApi28Test/src/android/app/cts/DownloadManagerApi28Test.java
Test: atest cts/tests/tests/provider/src/android/provider/cts/MediaStore*
Change-Id: I4334d3345206c2dbcba12309ddb4266e333529cd</t>
  </si>
  <si>
    <t>Delete SSLConscryptPlainTextExposureTest
This test, added as part of b/73251618 and b/77875799, is intended to
test for the presence of CVE-2017-13309. However, at almost 900 lines,
this test is very complex, and the original authors are no longer in
Android. A smaller, simpler form of this test is already available at
https://android.googlesource.com/platform/external/conscrypt/+/e56958e7dea05c1784317f139e2216e2e707d391%5E%21/#F1
Since SSLConscryptPlainTextExposureTest is essentially a duplicate of an
existing test, delete it.
In particular, this test is broken when run as an instant apps, as
instant apps are not allowed to listen on a TCP port and accept incoming
connections. The downsides of maintaining this test outweigh the
upsides that this test provides.
Effectively a revert of commit 212020d5ec9cf26e4043463a9a92fc895c8c0cdc.
Bug: 73251618
Bug: 77875799
Bug: 123605817
Test: this
Change-Id: Ic2669d988e143e108baf219bd4275c950ff4b1d0</t>
  </si>
  <si>
    <t>Revert "Revert "Delete dummy CTS test cases""
This reverts commit c910b565203b9bb4ad2efe98650c4ec3e5eee093.
Reason for revert: All references to CtsActivityManagerDeviceTestCases had been removed (b/130526034)
Change-Id: Ie5a9fbadce211765284fb19dac12c36f04e7865a
Bug: 130526034</t>
  </si>
  <si>
    <t>Test permission inheritence with shared UIDs
Permission inheritence should work for apps regardless wether they used
shared UIDs or not.
Fixes: 130707789
Test: atest CtsPermissionTestCases:android.permission.cts.SplitPermissionTest
            CtsPermissionTestCases:android.permission.cts.SharedUidPermissionsTest
Change-Id: I7dd8f35b491ac1523245bb684525bd7dd77a26de</t>
  </si>
  <si>
    <t>CtsSecurityTestCases: delete SELinuxTest
Delete the tests in SELinuxTest.java. They are duplicates of other
tests.
SELinuxTest#testCTSIsUntrustedApp - is duplicate of
https://android.googlesource.com/platform/cts/+/7b8db78fdcd1125dd8d448e7eb990521300d3bc4/tests/tests/selinux/selinuxTargetSdkCurrent/src/android/security/SELinuxTargetSdkTest.java#45
SELinuxTest#testCTSAppDataContext - is duplicate of
https://android.googlesource.com/platform/cts/+/7b8db78fdcd1125dd8d448e7eb990521300d3bc4/tests/tests/selinux/selinuxTargetSdkCurrent/src/android/security/SELinuxTargetSdkTest.java#60
SELinuxTest#testFileContexts - CTS asserts that file_contexts contains
all the AOSP elements, which makes this test largely redundant. See
https://android.googlesource.com/platform/cts/+/7b8db78fdcd1125dd8d448e7eb990521300d3bc4/hostsidetests/security/src/android/cts/security/SELinuxHostTest.java#616
Test: this
Bug: 123605817
Change-Id: I037b7420aee7c482ed8f5318a6911a3049b18aca</t>
  </si>
  <si>
    <t>Remove a couple of tests which are not valid anymore.
Bug: 131693243
Test: atest cts/tests/app/src/android/app/cts/DownloadManagerTest.java
Change-Id: I295423feed39978b02925b32b1ea26460a91381e</t>
  </si>
  <si>
    <t>cts: Remove testVideoCaptureWithInadequetePermissions from MediaStoreUiTest.
Remove the test since its very fragile to test this using UiAutomator. A
CTS Verifier test will be added instead.
Bug: 131233737
Test: runtest -x MediaStoreUiTest.java
Change-Id: Ifed7a7cc49d78a496fb7e91fc83bae531a3a151e
Signed-off-by: Jayant Chowdhary &lt;jchowdhary@google.com&gt;</t>
  </si>
  <si>
    <t>CtsSecurityTestCases: delete obsolete test cases
These test cases are nasty chunks of code which were designed to detect
bugs which have been long fixed. The maintenance burden of the test code
is greater than the benefit it provides. Delete the code.
Bug: 123605817
Test: this
(cherry picked from commit 0fb0b99b57af2a86884c464f207e12608d31e01e)
Change-Id: I7ed36e871a6389cf9b682fe30429c9f7fdabc936
Merged-In: Ic472f4165e36676b7d0bbf7880d0fdd7e4b05a11</t>
  </si>
  <si>
    <t>KernelSettingsTest: remove xattr test
Remove the code which asserts xattrs are compiled into the kernel. This
test, introduced in commit 4267ab6c3ea0562ba938304144fac3bbd2e731b0, was
intended to ensure that OTAs from Android 4.2.* to 4.4.* would be
successful, and is largely obsolete at this point. xattr support in the
kernel is implicit in the device running SELinux.
This test does not work on instant apps. Rather than carrying around the
burden of an effectively useless test, just delete it.
Effectively a revert of 4267ab6c3ea0562ba938304144fac3bbd2e731b0.
Bug: 13445875
Bug: 123605817
Test: this code
(cherry picked from commit 4f4c1b15dcdb79087d766893c10c1326489d3f48)
Change-Id: I28bbdc1a3d206d10e549b2be12f3b072bc00e6da
Merged-In: Id33860e43c2b32df8b6677d3e112381afe6e89a5</t>
  </si>
  <si>
    <t>Delete Exynos vulnerability tests.
These tests, added in 2012, have been fixed for years now. There is no
further value in testing for this vulnerability.
Effectively a revert of commit 6537494848b04482ed3127072310b01017fe62e6.
Test: compiles
Bug: 123605817
(cherry picked from commit 890fd9833ecb23084fef78d7b73ad6c9122f3c35)
Change-Id: I4070703ebfbdb0a50f15992704538a3cc8240f4e
Merged-In: If83fbae63525adc6c487414ca1f54fb5d6851eaa</t>
  </si>
  <si>
    <t>Delete SSLConscryptPlainTextExposureTest
This test, added as part of b/73251618 and b/77875799, is intended to
test for the presence of CVE-2017-13309. However, at almost 900 lines,
this test is very complex, and the original authors are no longer in
Android. A smaller, simpler form of this test is already available at
https://android.googlesource.com/platform/external/conscrypt/+/e56958e7dea05c1784317f139e2216e2e707d391%5E%21/#F1
Since SSLConscryptPlainTextExposureTest is essentially a duplicate of an
existing test, delete it.
In particular, this test is broken when run as an instant apps, as
instant apps are not allowed to listen on a TCP port and accept incoming
connections. The downsides of maintaining this test outweigh the
upsides that this test provides.
Effectively a revert of commit 212020d5ec9cf26e4043463a9a92fc895c8c0cdc.
Bug: 73251618
Bug: 77875799
Bug: 123605817
Test: this
(cherry picked from commit 3f3d2b75e610457e628d93597bded0be222b6969)
Change-Id: I469a4c2601af553e3ce57a21a52084ef68cb05d5
Merged-In: Ic2669d988e143e108baf219bd4275c950ff4b1d0</t>
  </si>
  <si>
    <t>CtsSecurityTestCases: delete SELinuxTest
Delete the tests in SELinuxTest.java. They are duplicates of other
tests.
SELinuxTest#testCTSIsUntrustedApp - is duplicate of
https://android.googlesource.com/platform/cts/+/7b8db78fdcd1125dd8d448e7eb990521300d3bc4/tests/tests/selinux/selinuxTargetSdkCurrent/src/android/security/SELinuxTargetSdkTest.java#45
SELinuxTest#testCTSAppDataContext - is duplicate of
https://android.googlesource.com/platform/cts/+/7b8db78fdcd1125dd8d448e7eb990521300d3bc4/tests/tests/selinux/selinuxTargetSdkCurrent/src/android/security/SELinuxTargetSdkTest.java#60
SELinuxTest#testFileContexts - CTS asserts that file_contexts contains
all the AOSP elements, which makes this test largely redundant. See
https://android.googlesource.com/platform/cts/+/7b8db78fdcd1125dd8d448e7eb990521300d3bc4/hostsidetests/security/src/android/cts/security/SELinuxHostTest.java#616
Test: this
Bug: 123605817
(cherry picked from commit 683a0ddebdf9b13cf21144c185cab6796e1d664c)
Change-Id: I872d3b53c78fa75efd8e1e88f4b4d84fb99dda6f
Merged-In: I037b7420aee7c482ed8f5318a6911a3049b18aca</t>
  </si>
  <si>
    <t>Restricted permission whitelisted by default - CTS
To ensure existing installers would work without a change the
default state of installing a package is now that all restricted
permissions are whitelisted. If the installer specifies another
whitelist at install time, it determines the install state. In
addition to this we now enable the restricted permission checks
as a prebuilt installer is no longer required.
Test: atest CtsPermission2TestCases
Test: atest CtsPermissionTestCases
Test: atest CtsAppSecurityTestCases:android.appsecurity.cts.PermissionsHostTest
bug:132160728
Change-Id: I1ce1472ed4a85f9fd7f0135783c14623af1a93fd</t>
  </si>
  <si>
    <t>Remove tests that expect TouchExplorer to use touch events to deliver double tap and double tap and hold.
Test: cts-tradefed run singleCommand cts -d --module CtsAccessibilityServiceTestCases --test android.accessibilityservice.cts.TouchExplorerTest
Change-Id: I1809b40b4f1e9be4875b9a8246cd9eefeaf66195</t>
  </si>
  <si>
    <t>Enhance and Fix Call redirection CTS
Test: atest CallRedirectionServiceTest
Bug: 130181536
Bug: 130325769
Change-Id: Ie538258dd3c28b9e0bb0aebc283195ac791f4fde</t>
  </si>
  <si>
    <t>Remove YearOfHardware from GNSS CTS
Bug: 131435847
Test: run cts tests on device
Change-Id: I42ba90e809b835137ce26bbd77d6b24c2c037895</t>
  </si>
  <si>
    <t>Add IPsec Tunnel mode data tests
This change adds single-direction tests for the IPsec Tunnel Mode API.
In the outbound direction, TUNs are used to capture outgoing packets,
and values are inspected. In the inbound direction, packets are built
manually, using the PacketUtils framework. Additional testing for
end-to-end integration tests will follow in aosp/941021 using packet
reflection via the TUN.
Bug: 72950854
Test: This; passing
Change-Id: Ic4181fc857fa880db5553314efa914f870dbe87c</t>
  </si>
  <si>
    <t>Add IPsec Tunnel mode data tests
This change adds single-direction tests for the IPsec Tunnel Mode API.
In the outbound direction, TUNs are used to capture outgoing packets,
and values are inspected. In the inbound direction, packets are built
manually, using the PacketUtils framework. Additional testing for
end-to-end integration tests will follow in aosp/941021 using packet
reflection via the TUN.
Bug: 72950854
Test: This; passing
Change-Id: Ic4181fc857fa880db5553314efa914f870dbe87c
Merged-In: Ic4181fc857fa880db5553314efa914f870dbe87c
(cherry picked from commit d708a4c217f13c9028427d98031394f0933482bf)</t>
  </si>
  <si>
    <t>Remove CTS  multiuser testCantAddMoreThanOneGuestUser
Bug: 132443512
Test: atest CtsMultiUserHostTestCases
Change-Id: I2b8aa70d34a7f1bfec7ce9d7af3b61d76bb21794</t>
  </si>
  <si>
    <t>Test: Apps can go isolated -&gt; non-isolated storage
But not the other way round.
Test: atest RestrictedPermissionsTest
Fixes: 131747080
Change-Id: I5747777dd88a43a2bf5c92ab43f9107bac3fc744</t>
  </si>
  <si>
    <t>Remove testDirectBootAwareAppIsEncryptionAware().
Fixes: 132908356
Test: atest ApplicationInfoTest
Change-Id: I9731553d7df2ba97a2106399cf9847c5dff6ef6b</t>
  </si>
  <si>
    <t>Remove testInstallUpdate_failWrongVersion
Remove InstallUpdateTest#testInstallUpdate_failWrongVersion since we
can't reliably test that we'll get the exact error specified in this
test on all OEM devices, since the file provided in the test won't match
the OEM signature, which could cause other errors to occur first.
Fixes: 132827080
Test: atest com.android.cts.devicepolicy.DeviceOwnerTest#testInstallUpdate
Change-Id: I03fdb1b68ef7d3a51e97390d4b306fbe5ab85493</t>
  </si>
  <si>
    <t>Remove tests that require background activity starts.
These tests relied on starting an activity from the background, which
is blocked in Q.
Bug: 132596844
Test: atest android.appsecurity.cts.AppSecurityTests#testPermissionDiffCert
Change-Id: I1c52f554a3ea5556158a549910624f7f3653c325</t>
  </si>
  <si>
    <t>Remove android-support-test dependent packages
They are all unused now in favor of their androidx.test counterparts.
Test: m cts; TH
Bug: 133505246
Change-Id: I7a861bb4be948592abfc544a113bae1a2e21ad00</t>
  </si>
  <si>
    <t>Can't grant !whitelisted storage perms to &lt;29 apps
Also: Factor out PermissionUtils into a lib and use in
CtsPermissionTestCases and CtsPermission2TestCases.
Bug: 131188778
Test: atest CtsPermission2TestCases:android.permission2.cts.RestrictedPermissionsTest
Change-Id: If5d701a3954ddc9dd4ae387d7c392eff5fa046c6</t>
  </si>
  <si>
    <t>Improve and extend Uri granting tests.
Dozens of tests have flowed into AccessPermissionWithDiffSigTest over
the years, so this change starts by splitting out the Uri permission
grant specific tests into separate classes to make them clearer.  We
also expand the robustness of all the tests by exercising the same
set of GRANTABLE and NOT_GRANTABLE Uris.
Add new test coverage in UriGrantsResultTest to cover Uri permission
grants that are issued through Activity.setResult().
Bug: 115619667
Test: atest android.appsecurity.cts.AppSecurityTests#testPermissionDiffCert
Change-Id: I6e92a5607715f69fa38862f8458e6a851de3beb2</t>
  </si>
  <si>
    <t>Do not allow adding custom Parcelable in Bundles
This CL prevents the API users from passing any Bundles with
custom Parcelable to following APIs:
 - MediaSession2.Builder#setExtras()
 - MediaController2.Builder#setConnectionHints()
 - MediaSession constructor
Bug: 135572812
Test: Passed followings tests
  atest CtsMediaTestCases:android.media.cts.MediaSessionTest;
  atest CtsMediaTestCases:android.media.cts.MediaControllerTest;
  atest CtsMediaTestCases:android.media.cts.MediaBrowserTest;
  atest CtsMediaTestCases:android.media.cts.MediaSessionManagerTest;
  atest CtsMediaTestCases:android.media.cts.MediaSession2Test;
  atest CtsMediaTestCases:android.media.cts.MediaController2Test;
  atest CtsMediaTestCases:android.media.cts.MediaSession2ServiceTest;
Change-Id: I45bd75fb2f553767ccd8b6bf77b22ee944ad6f91</t>
  </si>
  <si>
    <t>Fix regression tests for SSLCertificateSocketFactoryTest hostname verification.
No longer relies on a server with a known bad TLS certificate, instead
connects to a known good server but installs a HostnameVerifier which
rejects all hostnames in order to test that verification is taking place
where expected.
Bug: 2807618
Bug: 134532880
Test: atest CtsNetTestCases
Test: atest CtsNetTestCases --instant
Change-Id: I7608047a75555296153459a45747ee83ec87db4b</t>
  </si>
  <si>
    <t>Disable testVoiceMailNumber for now.
The test fails on CDMA due to a bug in the code. Will re-enable
the test once the bug is fixed.
Test: none. Just disabling a test.
Bug: 137515951
Change-Id: I51749d730de5aff335a69ba6a9d4fe8ac3bb1695</t>
  </si>
  <si>
    <t>move locktask from DeviceOwner to DeviceAndProfileOwner
Bug: 133249781
Test: atest "com.android.cts.devicepolicy.MixedProfileOwnerTest#testLockTask"
Test: atest "com.android.cts.devicepolicy.MixedProfileOwnerTest#testLockTaskAfterReboot"
Test: atest "com.android.cts.devicepolicy.MixedProfileOwnerTest#testLockTaskAfterReboot_tryOpeningSettings"
Test: atest "com.android.cts.devicepolicy.MixedDeviceOwnerTest#testLockTask_unaffiliatedUser"
Test: atest "com.android.cts.devicepolicy.MixedDeviceOwnerTest#testLockTask_affiliatedSecondaryUser"
Change-Id: If0a9aa992712c50410a926eb22fcc90dd2ea81c3</t>
  </si>
  <si>
    <t>move locktask from DeviceOwner to DeviceAndProfileOwner
Change-Id: Ifb445002531600bd87b0fe60a90d549e1c7069ef
Merged-In: If0a9aa992712c50410a926eb22fcc90dd2ea81c3
Bug: 133249781
Test: atest "com.android.cts.devicepolicy.MixedProfileOwnerTest#testLockTask"
Test: atest "com.android.cts.devicepolicy.MixedProfileOwnerTest#testLockTaskAfterReboot"
Test: atest "com.android.cts.devicepolicy.MixedProfileOwnerTest#testLockTaskAfterReboot_tryOpeningSettings"
Test: atest "com.android.cts.devicepolicy.MixedDeviceOwnerTest#testLockTask_unaffiliatedUser"
Test: atest "com.android.cts.devicepolicy.MixedDeviceOwnerTest#testLockTask_affiliatedSecondaryUser"</t>
  </si>
  <si>
    <t>Revert "[RESTRICT AUTOMERGE] CTS test for Android Security b/68320413"
This reverts commit dc5509b3ab6fc59ffe470dff4ea8be22c61ba6f0.
Reason for revert: Contains copywrite from Ittiam
Bug: 68320413
Change-Id: I6059593304d0ed7e88439d1f5940679206566629</t>
  </si>
  <si>
    <t>Revert "Disable failing tests in presubmit."
This reverts commit a35f8169ababb9f61ba44527e19f9d19917a4559.
Reason for revert: The test has been fixed by ag/9146866
Fixes: 138772432
Test: presubmit
Change-Id: Ief2c814338bbd96b49c8514a8322a6741d11a335</t>
  </si>
  <si>
    <t>Remove tests asserting the titles of the Panels
We shouldn't be asserting the title of the panels.
This conveniently fixes the waiver requests.
Bug: 139353752
Fixes: 139182607
Test: atest SettingsPanelTest
Change-Id: If35e4c1ef56b90905a3fdef20fdc93eca05b1874</t>
  </si>
  <si>
    <t>Revert "Revert "[RESTRICT AUTOMERGE] Revert "CTS test for Android Security b/37710346"""
Bug: 72379138
Test: sts-tradefed
This reverts commit e405144243856ba6310682b960e19232144da05f.</t>
  </si>
  <si>
    <t>Revert "Revert "[RESTRICT AUTOMERGE] Revert "CTS test for Android Security b/37710346"""
This reverts commit 6c4d758fa27ef7c46d0ad37a0a118a84782100b2.
Bug: 72379138
Test: sts-tradefed</t>
  </si>
  <si>
    <t>Revert "Move default MimeMap implementation to frameworks."
This reverts commit 4811ae9c9d63dd5ecae1a00938bd22d00ef84d41.
Reason for revert: Caused slower app startup (I don't know why).
Change-Id: I468c763c8da7467f244dd03c99e87232d3524aed</t>
  </si>
  <si>
    <t>Remove flaky test from deprecated cross profile calendar feature.
Test: atest com.android.cts.devicepolicy.ManagedProfileCrossProfileTest#testCrossProfileCalendar
Fixes: 137670909
Change-Id: I4e0201901ff03c4b4a7ca3c371c6a4a8bb85d1c3</t>
  </si>
  <si>
    <t>Prepare for Android 10 Test Suite R2.</t>
  </si>
  <si>
    <t>Remove embedded &amp; document launch always restrictions from a bubble
* No longer need the embedded flag as of ag/9341444
* Instead of requiring the app to specify documentLaunchMode=always we'll
  apply the relevant intent flags to force that behaviour; this CL
  updates bubble related tests to no longer specify documentLaunchMode or
  embedded
* Adds CTS to ensure that an activity in a bubble has the appropriate
  flags on the intent
Test: atest NotificationManagerTest
Test: manual - check that CTSVerifierApp still produces bubbles &amp; runs
      through the steps correctly
Bug: 138325285
Change-Id: I87ac01139e19e05b6c8caaee166c7ea954ee2592</t>
  </si>
  <si>
    <t>Revert "Add CTS of Outgoing Call Emergency Numbers for PhoneStateListener"
This reverts commit e25f8e3565b5c35044a2eea265fedc8fc294b9e5.
Reason for revert: &lt;Break the errorprone build&gt;
Change-Id: I74b9db0e373b5584473dbad7c586af31856c51b5</t>
  </si>
  <si>
    <t>Added cts test for Calls.FEATURE_VOLTE in call log.
Test: CTS test
Bug: 141264508
Change-Id: I76d262be0654b5c8c8dd35205bec852ecf73904b</t>
  </si>
  <si>
    <t>[DO NOT MERGE] Trigger lockNow() via a broadcast
At the moment when we need to lock the work profile, we execute a dummy test
case which calls lockNow(). This leads to problems because lockNow() will
result in all work apps including the test process being killed, which is
interpreted by tradefed as a test failure "Process crashed". To fix this
issue, we switch to sending a broadcast to  invoke lockNow().
Bug: 93278874
Bug: 142081203
Test: atest com.android.cts.devicepolicy.ManagedProfileTest#testResetPasswordWithTokenBeforeUnlock
Test: atest com.android.cts.devicepolicy.ManagedProfileTest#testResetPasswordTokenUsableAfterClearingLock
Test: atest com.android.cts.devicepolicy.ManagedProfileTest#testLockNowWithKeyEviction
Change-Id: Ib380fde4cb6376cacfd589a254398e1688868e54
Merged-In: Ib380fde4cb6376cacfd589a254398e1688868e54</t>
  </si>
  <si>
    <t>Update location CTS tests
-Add new classes to capture results from LocationListener,
PendingIntent, and GetCurrentLocation APIs
-Add new tests for a variety of untested LM methods
-Simplify GNSS tests which don't test much except that there isn't a
crash when invoked.
-Add tests around edge cases with null arguments.
-Add tests for new getCurrentLocation API
-Rewrite tests for requestLocationUpdates APIs to cover a larger segment
of use cases
-Add tests for minTime and minDistance paramters in location request
APIs
-Add more tests for getProvider* APIs
-Make CTS test less flaky by properly setting up and tearing down test
providers.
-Added more tests for Criteria APIs.
Test: LocationManagerTest
Change-Id: I9227d0bb3c5af17bc060b7eaf6bd95b362618f4d</t>
  </si>
  <si>
    <t>Refactor LocationManager2Test
-Rename to make clear what test this is
-Move to standard CTS test location
-Create common library for use in location CTS tests
-Remove out of date tests
-Rewrite existing tests + add new tests
Test: atest LocationManagerCoarseTest
Change-Id: Ib254b781b4e194ac6d9680ef5bd207194a37c857</t>
  </si>
  <si>
    <t>Revert "Add CTS to verify CellInfoNr method"
This reverts commit c76f6af0f8fbba617bffb9a653c815fe09e6c072.
Reason for revert: Instead of adding the test here, we'll add the test libcore api evolution test.
Change-Id: Id2391c70a1dfab9e68beaaa9e7ecedf9809e46a8</t>
  </si>
  <si>
    <t>DO NOT MERGE Remove MediaPlayer2-related CTS tests
Test: m -j32 cts
Bug: 142495541
Change-Id: Ibaada9da63fb669247eba2bd6839d953865a6205</t>
  </si>
  <si>
    <t>Deprecates PipActivityTest
What's tested in PipActivityTest
- Enter PiP mode from fullscreen
- Verify PiP callbacks including onMultiWindowModeChanged and
onPictureInPictureModeChanged
- Leave PiP mode to fullscreen
All above have decent coverage in PinnedStackTests
- Multiple tests enter PiP mode under different conditions
- PiP callbacks are validated via
assertValidPictureInPictureCallbackOrder
- Leave PiP mode to fullscreen is validated in
waitForExitPipToFullscreen
Bug: 140749949
Test: N/A
Change-Id: I9e5b68d155c620b5170c8cc9011abbd3737482b3
Test
Change-Id: I31600e98507ee02f8ce1e9429d9840581320ac75</t>
  </si>
  <si>
    <t>Revert "RESTRICT AUTOMERGE"
This reverts commit 40e93f5ebd523b7523661cd55e4f991357026d45.
Reason for revert: reverting main change
Change-Id: I3311e8f35ee6e745a0b968086f66e388dffeb2a9
Test: atest CtsTextTestCases:android.text.cts.StaticLayoutTest
Test: manual verification using Maps app
Bug: 142134328</t>
  </si>
  <si>
    <t>Force icons into adaptive shape instead of restricting them
Test: atest NotificationTest
Bug: 138943209
Change-Id: Id640ad8bd13f81d204e88739c79dec3cc68ea0ef</t>
  </si>
  <si>
    <t>Reorganize CtsLocationTestCases into fine and gnss
Test: atest CtsLocationGnssTestCases, atest CtsLocationFineTestCases,
atest CtsLocationCoarseTestCases
Change-Id: I6afd96ab14ba5bc77cad10830880c9abba131696</t>
  </si>
  <si>
    <t>Convert tests to JUnit4 tests
Bug: 141606867
Test: None
Change-Id: I7e97965c923359384d9fccf49bc8083347d37bef</t>
  </si>
  <si>
    <t>Skip test if there's no accelerator and remove TFLite CPU test.
Bug: 141353636
Bug: 137150012
Test: CtsNNAPIBenchmarkTestCases
Change-Id: Ia4c543cbb7e4eeeba3febef6af1bcdb9f233ec4f</t>
  </si>
  <si>
    <t>Skip test if there's no accelerator and remove TFLite CPU test.
Bug: 141353636
Bug: 137150012
Test: CtsNNAPIBenchmarkTestCases
Change-Id: Ia4c543cbb7e4eeeba3febef6af1bcdb9f233ec4f
Merged-In: Ia4c543cbb7e4eeeba3febef6af1bcdb9f233ec4f
(cherry picked from commit fef7584fa028047d5aa222adb3f3c7d3e1916c57)</t>
  </si>
  <si>
    <t>Add ExternalResource rules to existing tests
Bug: 141606867
Test: None
Change-Id: I62502d90b0b634b3639b0f71ca18e0feb083d15a</t>
  </si>
  <si>
    <t>Remove testAddingSync from ApiComplianceCheckerTest.
API txt files do not track synchronized keyword since http://aosp/859429.
Bug: 124445655
Test: atest signature-host-tests
Change-Id: I058609b0c401ca18b2d2043d5009b97e53608fa5</t>
  </si>
  <si>
    <t>Revert "Revert "Reorganize CtsLocationTestCases into fine and gnss""
This reverts commit 3e59c4f14b8a2f6a30546b12d70ad1594e995162.
Reason for revert: Fixed failure.
Change-Id: If662a9c30969257ccf7947bd5c070180b32590f6</t>
  </si>
  <si>
    <t>Overhaul some location CTS tests
Move manual tests into gnss directory so CTS verifier only depends on
gnss. This allows us to use modern dependencies in the other directories
without breaking CTS verifier.
Delete some tests that are illegally testing SystemApi. Filed bugs to
move these to GTS.
Assorted test cleanup and adding some new tests.
Bug: 143985450
Test: atest CtsLocationFineTestCases CtsLocationCoarseTestCases
CtsLocationNoneTestCases
Change-Id: I1f5168bc5277af9a0aaf25a096c36c17105e8a98</t>
  </si>
  <si>
    <t>Revert "Tests for multiple splits installation/removal."
Reason for revert: b/144167554
Change-Id: I2b9856336e5eae3c0ac7115919627fe0279742e1</t>
  </si>
  <si>
    <t>Revert "DO NOT MERGE Add more CTS tests for the security fix"
This reverts commit a90feddf8960947e26694eaaa5e40abb296b52cf.</t>
  </si>
  <si>
    <t>Revert "DO NOT MERGE Add CTS for sort field checks"
This reverts commit 51c14c70c39a2ca39bf9214a27c1dbeae559bf6c.</t>
  </si>
  <si>
    <t>Revert "DO NOT MERGE Add CTS test for the security fix backport"
This reverts commit 69798a0bbe8c28a9fb9286560f000fa7fe522e42.</t>
  </si>
  <si>
    <t>Tests for multiple splits installation/removal.
Using existing APIs.
Test: atest PackageManagerShellCommandTest
Change-Id: I7c3aa95b1c020b8535ca3c43013c8409801182e4</t>
  </si>
  <si>
    <t>Remove openAppDetailsAndSetDefaultAppThenIsDefaultApp test.
The default app details page is already covered by other tests, so
this test is more like testing Settings, but Settings already has its
own unit test verifying the default app details page is launched from
app details page. Meanwhile, this test is causing a lot of test
flakiness because of UI hierarchy instability in app details setting
page, probably because it is loading part of its data async which is
nondeterministic, so the best solution here is to simply remove this
test.
Test: presubmit
Change-Id: I4282436b12efa6cf31796185c8b59c77c6b8e0e9</t>
  </si>
  <si>
    <t>Renable MixedProfileOwnerTest#testLockTask_defaultDialer.
Bug: 138721077
Test: atest --generate-new-metrics 10 'CtsDevicePolicyManagerTestCases:com.android.cts.devicepolicy.MixedProfileOwnerTest#testLockTask_defaultDialer' -- --abi x86
Change-Id: I880d6a92f7e893a4a4e10f948901f50a024b2db6</t>
  </si>
  <si>
    <t>Add tests for staging multiple session with non-overlapping packages
Bug: 141843321
Test: atest StagedInstallTest#testAllowNonOverlappingMultipleStagedInstall_BothSinglePackage_Apk
Test: atest StagedInstallTest#testFailOverlappingMultipleStagedInstall_BothSinglePackage_Apk
Test: atest StagedInstallTest#testFailOverlappingMultipleStagedInstall_BothSinglePackage_Apex
Test: atest StagedInstallTest#testAllowNonOverlappingMultipleStagedInstall_MultiPackageSinglePackage
Test: atest StagedInstallTest#testFailOverlappingMultipleStagedInstall_BothMultiPackage
Test: atest StagedInstallTest#testMultipleStagedInstall_ApkOnly
Test: atest RollbackManagerHostTest#testApkOnlyMultipleStagedRollback
Test: atest RollbackManagerHostTest#testApkOnlyMultipleStagedPartialRollback
Change-Id: Id2ce942bba52f728f4a254f7439dad905b25a000</t>
  </si>
  <si>
    <t>Remove location dependencies from CtsVerifier, delete manual location tests
Test: make and install CtsVerifier, atest CtsLocationGnssTests
Change-Id: I2da747d5cb1e5e6a515d697d361fca49f0903dd3</t>
  </si>
  <si>
    <t>Remove obsolete key rotation test
Bug: 136002636
Test: atest StagedInstallTest
Change-Id: Ic8d79b02611849e39655c7dea9c6beff3619451a</t>
  </si>
  <si>
    <t>Add test where trusted old key can continue to update package
When a key is rotated by a new key, the new key may continue trusting
the old key. In such case, the old key should be able to update the
package.
Bug: 136002636
Test: atest StagedInstallTest#testTrustedOldKeyIsAccepted
Test: atest CtsStagedInstallHostTestCases
Test: atest CtsRollbackManagerHostTestCases
Change-Id: I134ad44d5928a408f81e4d82a776f9a3497b8140</t>
  </si>
  <si>
    <t>Overhaul location CTS tests
-remove deprecated dependencies
-move gnss specific dependencies to gnss folder
-move common classes into common folder
-fix LocationManagerFineTest behavior on pre-R devices
Test: atest CtsLocationFineTestCases CtsLocationGnssTestCases
Change-Id: Ief2259e63406db14154838baaeb84b416a425e6e</t>
  </si>
  <si>
    <t>Deprecate DPM.resetPassword()
Remove positive CTS tests of DPM.resetPassword. Add tests to verify
deprecation behaviour of DPM.resetPassword
Bug: 137939224
Test: atest MixedManagedProfileOwnerTestApi25#testResetPasswordDeprecated
Test: atest MixedProfileOwnerTestApi25#testResetPasswordDeprecated
Test: atest MixedDeviceOwnerTestApi25#testResetPasswordDeprecated
Test: atest MixedManagedProfileOwnerTest#testResetPasswordDeprecated
Test: atest MixedProfileOwnerTest#testResetPasswordDeprecated
Test: atest MixedDeviceOwnerTest#testResetPasswordDeprecated
Test: atest DeviceAdminHostSideTestApi23
Test: atest DeviceAdminHostSideTestApi24
Test: atest DeviceAdminHostSideTestApi29
Change-Id: Ic74f731c46ef5b6fd7df706713f167156675a8c8</t>
  </si>
  <si>
    <t>Update accessibility shortcut CTS tests
Bug: 136293963
Test: atest AccessibilityShortcutTest
Change-Id: I9c08e55c27e24a7060abaae1064d96720c696579</t>
  </si>
  <si>
    <t>Remove flakiness of testTargetDeviceAdminServiceBound.
Instead of checking if the service has started on the
app side, we now check it on the server side with an
adb shell command.
Test: atest com.android.cts.devicepolicy.DevicePlusProfileOwnerHostSideTransferTest#testTargetDeviceAdminServiceBound
Bug: 143126346
Bug: 142843403
Change-Id: I90665a680f688d505e3594d40671ebaf09cc1f79</t>
  </si>
  <si>
    <t>Harden the compatibility tests for extensions
No extension versions yet -- implementations must return 0.
This test will change as new versions are released.
Bug: 143937446
Test: treehugger
Change-Id: Ia07f306098cd02ec3aec253bddeb2def9da297ae</t>
  </si>
  <si>
    <t>Remove testMkvWithoutCueSeek test
The test file has key frames at 0, 1.92 and 5.96 seconds, and the test
does 3 seeks to 3000 ms, with flags SEEK_CLOSEST, SEEK_PREVIOUS_SYNC and
SEEK_NEXT_SYNC.
The SEEK_PREVIOUS_SYNC test expects a position greater than or equal to
5960 ms, which is wrong because the previous sync would be 1920 ms.
In addition, the SEEK_PREVIOUS_SYNC test is exactly the same as the
SEEK_NEXT_SYNC test, which doesn't make sense.
Bug: 143618626
Bug: 143347340
Bug: 141833958
Bug: 142298430
Test: build
Change-Id: If9161682824a8e6611167acb9dfdc405cc69d39b</t>
  </si>
  <si>
    <t>Verify that empty crop Rects throw an Exception
Bug: 135133301
Test: This
In addition, merge animated and non-animated versions of the crop tests.
Change-Id: Idf64474f28c0bf3f77616a31d843d84fbfd570ab</t>
  </si>
  <si>
    <t>[DO NOT MERGE] Remove flakiness of testTargetDeviceAdminServiceBound.
Instead of checking if the service has started on the
app side, we now check it on the server side with an
adb shell command.
Test: atest com.android.cts.devicepolicy.DevicePlusProfileOwnerHostSideTransferTest#testTargetDeviceAdminServiceBound
Bug: 143126346
Bug: 142843403
Change-Id: I90665a680f688d505e3594d40671ebaf09cc1f79
(cherry picked from commit f6afa8b2808f1642fb6a053057d797e3f93211aa)</t>
  </si>
  <si>
    <t>Fix CTS tests for inclusion in MTS
- Ignore the testRevokePermission test in CarrierConfigManagerTest due to
an appops issue
- Remove an obsolete SMS financial app test
- Add proper packages for telephony's permission policy test
Bug: 145232009
Bug: 146007053
Fixes: 142755182
Test: atest CtsTelephonyTestCases
Change-Id: If23f0929119554e641ceda3080c22bd2041c894b</t>
  </si>
  <si>
    <t>Revert submission
Reason for revert: Causes regressions tracked in:
b/145900622
b/145864909
b/145948923
Change-Id: Ie3ca9b31b2a32389e83cb41d9e77988bb7c2c7ed</t>
  </si>
  <si>
    <t>Revert "[RESTRICT AUTOMERGE] CTS test for Android Security b/120644655"
This reverts commit 0019895272bf9405e7f99f696fe7bedb1b7c07cb.
Bug: 120644655
Bug: 128930802
Test: none
Reason for revert: doesn't compile on lunch 2
Change-Id: Ie1033bdcd3c6242fe7a8d0ed75dfe8bbff990926</t>
  </si>
  <si>
    <t>Shuffling to prepare for MediaProvider APEX.
An upcoming change will move MediaStore to be within the recently
created MediaProvider APEX.  This means that MediaStore will need to
be fully built against @SystemApi, and so this CL adjusts APIs to
support a clean transition:
-- Listing of "recent" storage volumes and scan paths for "internal"
storage is now handled by StorageManager directly, so that partners
retain control over what is deemed recent.
-- StorageVolume now returns the MediaStore volume name and the
filesystem directory where its contents are presented to apps.
-- Conversion of legacy thumbnail "kind" values to dimensions now
happens directly inside MediaStore.
-- PendingParams and PendingSession are completely removed.
-- Contributed media APIs are completely removed.
-- Media for demo users is now surfaced as a unique StorageVolume.
-- Migrate most MediaStore APIs to accept ContentResolver, which
supports easy usage of ContentResolver.wrap().
Bug: 144247087, 137890034
Test: atest --test-mapping packages/providers/MediaProvider
Change-Id: Ic034f30bbc59507289df58f0b86ed60ff36a9a4b</t>
  </si>
  <si>
    <t>Revert "CTS test for Android Security b/120644655"
This reverts commit 9ea8759fff3286615970ae895e29e4faa22a60f4.
Bug: 120644655
Bug: 128930802
Test: none
Reason for revert: doesn't compile on lunch 2
Change-Id: Ie1033bdcd3c6242fe7a8d0ed75dfe8bbff990926
Merged-In: Ie1033bdcd3c6242fe7a8d0ed75dfe8bbff990926</t>
  </si>
  <si>
    <t>Remove testing for default user restrictions in DO
Do not test for default user restrictions in Device Owner mode as there
are none.
Note these tests will need further work once the restriction on adding a
managed profile is permanently set on Device Owners.
Bug: 138709492
Test: atest CtsDevicePolicyManagerTestCases:com.android.cts.devicepolicy.DeviceOwnerPlusProfileOwnerTest
Test: atest CtsDevicePolicyManagerTestCases:com.android.cts.devicepolicy.UserRestrictionsTest
Test: atest CtsDevicePolicyManagerTestCases:com.android.cts.devicepolicy.DeviceAndProfileOwnerHostSideTransferTest
Change-Id: Ieec2ef30305e247d464a8f976f0fbe9b09ec67a1</t>
  </si>
  <si>
    <t>Set set-force-adoptable to run AdoptableHostTest correctly
AdoptableHostTest requires PROP_ADOPTABLE system property to be set for
all the tests to run. All the tests in AdoptableHostTest need to run in
the same boot time except for the testFeatureConsistency test. It
checks if the value of PROP_ADOPTABLE at boot time is consistent with
the current value. Therefore, it needs reboot.
Separated the tests that need to run in the same boot sequence and the
one that needs reboot by creating a new test class.
Bug: 144683017
Test: atest AdoptableHostTest
Test: atest AdoptableFeatureConsistentTest
Test: atest --test-mapping packages/providers/MediaProvider | grep "AdoptableHostTest"
Test: atest --test-mapping packages/providers/MediaProvider | grep "AdoptableFeatureConsistentTest"
Change-Id: I21f15ec19ab5fc10246876575d8f9635adcaf3ee</t>
  </si>
  <si>
    <t>Move MediaStore.java inside APEX boundary.
Recent work has paved the way to get MediaStore.java building against
"core_platform", and this change is actually shifting MediaStore.java
inside the MediaProvider APEX boundary.
This involves defining a new "updatable-mediaprovider" library JAR
and ensuring that it's spliced into classpaths where needed to keep
everything building and working.
Note that the MediaProvider APK itself is still bundled, so we're
manually including the MediaStore.java when building that APK so that
we can continue referencing @hide symbols, but there's a STOPSHIP
comment to remove that once we get the APK building against
"system_current".
Bug: 144247087
Test: atest --test-mapping packages/providers/MediaProvider
Change-Id: I409d7dc0783aa2d17b5798558961750d133b03f6</t>
  </si>
  <si>
    <t>Remove ProfileOwnerTest#testWifi
Test has been moved to DeviceAndProfileOwnerTest by ag/9853376.
Test: atest com.android.cts.devicepolicy.ProfileOwnerTest
Bug: 146368919
Change-Id: If4fe686ee265359075fff281b834463c05cd214e</t>
  </si>
  <si>
    <t>Remove CTS tests for hidden apis
Bug: 146662742
Test: atest  android.car.cts.CarUxRestrictionsManagerTest
Change-Id: If503550f306dfb0d7d9d99a141f06542824fff6e</t>
  </si>
  <si>
    <t>Revert submission 9996524-restrict_legacy_appop
Reason for revert: Potential culprit for Bug 147134548 - verifying through Forrest before revert submission
Reverted Changes:
I63a26fd59: Verify scoped storage policy for R
I86dfaec89: Prevent apps that target &gt;= R from opting out of s...
Change-Id: I86fe7418c7e03f4540bdfae7b6649046bc781226</t>
  </si>
  <si>
    <t>cts: Remove testImageCapture from MediaStoreUiTest
Remove the test since the way it capture image and confirm result is
fragile. These checks logic would be moved to CTS verifier instead.
Bug: 143191192, 143260675
Test: cts-tradefed run cts -m CtsProviderTestCases
Change-Id: I4dcded8188285d9f4a267a27b577beab5f7d3fd8</t>
  </si>
  <si>
    <t>CTS bubble policy: remove non-communication bubbles when app is foreground
We're no longer allowing any notification to be a bubble if the app is
foreground; it must always fulfill the communication policy.
- removed foreground tests
- added test to ensure that it's not a bubble just because app is
  foreground
- added additional test to ensure that if the bubble fulfills messaging
  communication policy (person, inline reply), it doesn't get to bubble
  if it also has a foreground service but not category call
Test: atest NotificationManagerTest
Bug: 138116133
Bug: 144352570
Change-Id: I967587c40595049a3808967178b978f9ad5a8c99</t>
  </si>
  <si>
    <t>Revert "Test AndroidBitmap_getDataSpace"
Revert submission 9940762-_getDataSpace
Reason for revert: Breaks build: http://screen/kBMYHusKiOV.png
Reverted Changes:
Ie05a45da3: Implement AndroidBitmap_getDataSpace
I7a5fcb726: Test AndroidBitmap_getDataSpace
Ia46dfb39d: Add AndroidBitmap_getDataSpace
Change-Id: Ie8eeb6e2d0942dbd0e56ff15adff90a70ffd2edc</t>
  </si>
  <si>
    <t>CTS tests for additional listeners on NotificationAssistantService
Checks methods onNotificationVisibilityChanged, onPanelHidden,
onPanelRevealed exist.
Test: this
Bug: 147149509
Change-Id: I0e88627a0593720f2a6662f5c97a690b4fd519d4</t>
  </si>
  <si>
    <t>Remove WifiManager CTS test using TxPacketCountListener
TxPacketCountListener is @hide and only used for
CTS. Remove the test using this altogether.
Bug: 144036594
Test: atest android.net.wifi.cts.WifiManagerTest
Change-Id: Iac42c7dca4ca5cbbae6c464530319975e8d1571e</t>
  </si>
  <si>
    <t>Test COMP mode is disabled
Test that a device can no longer enter into COMP mode by having a device
owner and a profile owner.
Tests associated with this mode have either been removed or converted to
negative tests to verify this mode cannot be set.
Test: atest CtsDevicePolicyManagerTestCases:com.android.cts.devicepolicy
Bug: 145271440
Change-Id: I1532cf1c7c3dd21cc491c870c8b7f4c926776417</t>
  </si>
  <si>
    <t>Bubble CTS: BubbleMetadata#setShortcutId
* Tests the builder &amp; parcel methods
* Tests throwing / not throwing depending on what data is filled in
* Tests overwriting icon / intent after shortcut is set and vice versa
* Tests that FLAG_BUBBLE only gets applied if the shortcut exists, tests
  for manifest (dont allow) &amp; dynamic (allow) defined shortcuts.
* Tests that FLAG_BUBBLE is removed if the shortcut is removed
  while the bubble is active.
Test: atest NotificationTest NotificationManagerTest
Bug: 138116133
Bug: 144352570
Change-Id: I5651b5d4d74fc3602d11e17d2a13e35676532ae0</t>
  </si>
  <si>
    <t>Change car CTS to use only test APIs and disable offending tests
- All tests should be updated to use only public or test APIs
- Use of hidden / system API will generate build error
- Disable problematic tests which uses hidden or system API. Those tests should
  be fixed with separate CLs.
  CarBluetoothTest disabled.
  CarTrustedDeviceTest removed as the test is not relevant for CTS.
Bug: 146596417
Test: atest CtsCarTestCases
Change-Id: I0bf44d8b799514ba4c1d85b57aabe3b67b096cd9</t>
  </si>
  <si>
    <t>Disable testDecodeResourceSampled
Bug: 147749998
Test: This
It's failing CTS. Unblock CTS while I investigate.
Change-Id: I9e42f15ef9db2770a9e4173be9e731e321e91759</t>
  </si>
  <si>
    <t>AudioRecordTest: add test for privileged capture sources
Extend testVoiceCallAudioSourcePermissions to check all
audio sources requiring a privileged permission.
Bug: 135717621
Test: AudioRecordTest#testRestrictedAudioSourcePermissions
Change-Id: Iad40b793cdfdef3c428c79ad5261d55558354807</t>
  </si>
  <si>
    <t>Add CTS for BlobStoreManager APIs.
This change verifies the following APIs:
- BlobStoreManager.{create,open,delete}Sesison()
- BlobStoreManager.Session.{openWrite,openRead,close,abandon}()
- BlobStoreManager.Session.allow*Access()
- BlobStoreManager.Session.commit()
- BlobStoreManager.openBlob()
- BlobStoreManager.{acquire,release}Lease()
More tests will be added in follow-up cls.
Bug: 143559646
Test: atest cts/tests/BlobStore/src/com/android/cts/blob/BlobStoreManagerTest.java
Change-Id: I056f201ef3bd8edaf69148637243f2065bf6c567</t>
  </si>
  <si>
    <t>Revert "selinux: test that bind() fails on netlink route sockets"
This reverts commit 2fb3ed9386d70f0616da751eadae2823b02d4121.
Reason for revert: Droidcop-triggered revert due to breakage https://android-build.googleplex.com/builds/quarterdeck?testMethod=testNoNetlinkRouteBind&amp;testClass=android.security.SELinuxTargetSdkTest&amp;atpConfigName=cts%2Fcts_presubmit_pilot_4-cloud-tf&amp;testModule=CtsSelinuxTargetSdkCurrentTestCases&amp;fkbb=6150168&amp;lkbb=6150294&amp;lkgb=6150165&amp;testResults=true&amp;badBuildCount=6&amp;branch=aosp-master&amp;target=aosp_cf_x86_phone-userdebug, bug b/148049462
Change-Id: I95b3f0dc21e35fa15219ad5370701a7ca43cdeed</t>
  </si>
  <si>
    <t>Remove CheckpointHostTest
This test was only introduced to ensure all devices were patched against
b/138952436, which was necessary because the patches were introduced
after q had shipped. There is no need to retain this test in R,
especially since looking for log lines is a very flaky kind of test.
Bug: 143231532
Bug: 145161092
Test: CTS compiles
Change-Id: I849d995eda962e5c93b324430cd91580d4c79a2f</t>
  </si>
  <si>
    <t>cts: Remove testImageCapture from MediaStoreUiTest
Remove the test since the way it capture image and confirm result is
fragile. These checks logic would be moved to CTS verifier instead.
Bug: 143191192, 143260675
Test: cts-tradefed run cts -m CtsProviderTestCases
Merged-In: I4dcded8188285d9f4a267a27b577beab5f7d3fd8
Change-Id: I4dcded8188285d9f4a267a27b577beab5f7d3fd8</t>
  </si>
  <si>
    <t>CTS tests for corp-owned profile owner calling  OTA APIs
Restructure existing system update related APIs for device owners
to also run by corp-owned profile owners.
Test: atest com.android.cts.devicepolicy.OrgOwnedProfileOwnerTest#testSystemUpdatePolicy
Test: atest com.android.cts.devicepolicy.OrgOwnedProfileOwnerTest#testInstallUpdate
Test: atest com.android.cts.devicepolicy.MixedDeviceOwnerTest#testSystemUpdatePolicy
Test: atest com.android.cts.devicepolicy.MixedDeviceOwnerTest#testInstallUpdate
Test: atest com.android.cts.devicepolicy.MixedDeviceOwnerTest#testInstallUpdateLogged
Bug: 147414327
Change-Id: I808285ab5435b95f3e1b3272b9bbabbafbf11d30</t>
  </si>
  <si>
    <t>Verify that ColorSpace is unchanged by encode
Bug: 147877556
Test: this
We no longer force F16 to be encoded to P3. Verify that we retain the
original ColorSpace when encoding.
Change-Id: I72b5f28903a67445bc205cdad8848384ad675b31</t>
  </si>
  <si>
    <t>Delete RCS related tests for now.
The tests were anyway disabled, and the corresponding source code
has been deleted as well now.
Test: basic sanity
Bug: 140908357
Change-Id: I1b61d14083b60819ea5256d52f91260f40218778</t>
  </si>
  <si>
    <t>Update CTS test
The CellBroadcastIntents API is being modified to be less lenient,
so this CL updates the CTS test.
Bug: 144108192
Test: atest CellBroadcastIntentsTest
Change-Id: I045d0faa0bef6265158a555c8a64bf5347fe48a0</t>
  </si>
  <si>
    <t>Revert "CTS test for Android Security b/137879783"
This reverts commit 1f63f1e069eb54e261ed351aac6d6837b7ebfd36.
Reason for revert: Android can't open this file without additional work.
Bug: 137879783
Bug: 147236855
Test: sts-tradefed run sts-engbuild-no-spl-lock -m CtsSecurityTestCases -t android.security.cts.StagefrightTest#testStagefright_cve_2019_10488 # test doesn't run
Change-Id: I6f35851e0365f46da07bce0751a7c339547e70c2</t>
  </si>
  <si>
    <t>Revert "Add CTS tests for AppSearch.getDocuments APIs."
Revert submission 10081469-060-get-impl
Reason for revert: Breaks build due to collision with ag/10111175
Reverted Changes:
I013ac2f01: Implement getDocuments() support in AppSearchImpl....
Ia518a91fe: Add CTS tests for AppSearch.getDocuments APIs.
Change-Id: I98a5d3c81a5f0612e68b349392798e86c6e392d7</t>
  </si>
  <si>
    <t>Revert "CTS test for Android Security b/113527481"
Bug: 147236855
Test: sts-tradefed
This reverts commit 64c28a70bdec38beabbe078458a67997aeba4ed1.</t>
  </si>
  <si>
    <t>Added cts test for Calls.FEATURE_VOLTE in call log.
Test: CTS test
Bug: 141264508
Change-Id: I76d262be0654b5c8c8dd35205bec852ecf73904b
Merged-In: I76d262be0654b5c8c8dd35205bec852ecf73904b</t>
  </si>
  <si>
    <t>Remove MediaRouterManagerTest
MediaRouterManager is a @hide API, so this should not be tested in CTS.
It is tested under frameworks/base/tests/MediaRouter.
Bug: 148582813
Test: atest android.media.cts.MediaRoute2InfoTest
      atest android.media.cts.MediaRouter2Test
      atest android.media.cts.RouteDiscoveryPreferenceTest
      atest android.media.cts.RoutingSessionInfoTest
Change-Id: Ie040c284f10f4a79179035ae7f5edc605744b19c</t>
  </si>
  <si>
    <t>Adjust CTS for setDecorFitsSystemWindows
Test: self
Bug: 143556682
Bug: 118118435
Change-Id: I51b2c6566fae81f2d4610cf01168377057bd12ea</t>
  </si>
  <si>
    <t>media: add audio use cases to MediaCodecBlockModelTest
Bug: 148410627
Test: atest CtsMediaTestCases:MediaCodecBlockModelTest
Change-Id: I6000e83d8bdeac1f167dcf43161d30186fc15c22</t>
  </si>
  <si>
    <t>Remove testPrimaryNoAccess testing no access to external storage directory.
Before R, app without storage permission didn't have access to external
storage directory, in R, apps can contribute to media and will have
access permissions to its files in external storage directory. This test
is no more applicable for R.
Test: N.A.
Change-Id: I82a9d200c21f3268871d8d00d1db1cf48e998bbc</t>
  </si>
  <si>
    <t>Resolve previous suggestions in MediaRouter2Test
Test: atest android.media.cts.MediaRouter2Test
Change-Id: Id2ac8332861d65b66f1356bcb77edf37181ba39a</t>
  </si>
  <si>
    <t>media: parameterize rotation test
Refactor EncodeVirtualDisplayWithCompositionTest and parameterize
rotation test, separated out as VideoDecoderRotationTest.
Bug: 23709311
Test: atest CtsMediaTestCases:VideoDecoderRotationTest
Test: atest CtsMediaTestCases:EncodeVirtualDisplayWithCompositionTest
Change-Id: Ibcc59c706cfcb05e0658deed25d131d910d2f39d</t>
  </si>
  <si>
    <t>Revert "DO NOT MERGE Verify Parcel object list does not get double freed after a setDataSize"
This reverts commit 6287fd1e561993b4fe8e74b0b232a86ae1899c00.
Reason for revert: b/148087431
Bug: 148087431
Change-Id: Ibcf751937dcda7ba8770b2c90c7ef446e044bdee</t>
  </si>
  <si>
    <t>Revert "DO NOT MERGE Verify that remote exceptions will not cause object leaks"
This reverts commit 8cf68d6acf969eaaefade44a719a2f938f1fc5b4.
Reason for revert: b/148087431
Bug: 148087431
Change-Id: Iad01610157f507ffdc648e2b237b1fe7617ba775</t>
  </si>
  <si>
    <t>Revert "DO NOT MERGE Verify Parcel object list does not get double freed after a setDataSize"
This reverts commit 04d920d475744600250cc8d5f899251c3235eb8c.
Reason for revert: b/148087431
Bug: 148087431
Change-Id: I56c449f8d62ae872a72a7d9bc2ff62584bb3689e</t>
  </si>
  <si>
    <t>Revert "DO NOT MERGE Verify that remote exceptions will not cause object leaks"
This reverts commit edce354f47821b287d5a56f3019487b326bf7544.
Reason for revert: b/148087431
Bug: 148087431
Change-Id: I384301ca3ac04228b9293257db4cf455d5a6fb7a</t>
  </si>
  <si>
    <t>Modify test cases for takeScreenshot() API
1. Remove old test cases for testing the API,
takeScreenshot(), due to the return type of the
method, takeScreenshot(), at the AccessibilityService
class, isn't the Bitmap.
2. Add new test cases to test all payloads of
ScreenshotResult are correct.
Bug: 10931661 and 148169867 and 148171895
Test: atest AccessibilityTakeScreenshotTest
Change-Id: Ic1fc5a9fe46ccb0c72557b8d1e2d1b3192bf8dff</t>
  </si>
  <si>
    <t>Remove tests checking other app's cache directory access.
Before R apps with WRITE_EXTERNAL_STORAGE permission had read/write
access to other app's cache directory. This behaviour has changed in
R and apps will not have access to other app's cache directories.
Removed tests from testExternalStorageWrite that assume legacy
behaviour.
Test: atest ExternalStorageHostTest#testExternalStorageWrite
Bug: 147091021
Bug: 148918640
Change-Id: Ic733da54b5dccdf8c9051844905bea13bc536b1e</t>
  </si>
  <si>
    <t>Remove tests checking other app's cache directory access.
Before R apps with REQUEST_INSTALL_PACKAGES permission had read/write
access to other app's cache directory. This behaviour has changed in
R and apps will not have access to other app's cache directories.
Removed tests from testMultiViewConsistencyTest that assume legacy
behaviour.
Test: atest ExternalStorageHostTest#testMultiViewMoveConsistency
Bug: 147083279
Bug: 148918640
Change-Id: I54d4d0fa78b0a1fac4d2166c2e0941a07796b475</t>
  </si>
  <si>
    <t>Remove testNoOpClassifier, and just run all the tests against NO_OP TC
So that we test every APIs against NO_OP TC
BUG: 149012454
Test: atest TextClassificationManagerTest
Change-Id: Ie1e5cfc95e123251127b57ef77cda8ba6e1f9ad0</t>
  </si>
  <si>
    <t>Remove Duplicate Permission Tests
-Remove negative permissions tests for:
 onImsCallDisconnectCauseChanged
 onCallDisconnectCauseChanged
 onPreciseDataConnectionStateChanged
-Tests are migrated to Permissions tests as part of
 Ica56ebb81a3f3ea9b5c238a0e7d3a2d9c30e27f2
Bug: 148646258
Test: make (remove-only)
Change-Id: I40c74966beaf6aaaf4af5b220716cca825c3488d</t>
  </si>
  <si>
    <t>Revert "Tests for not granting location permissions automatically"
This reverts commit 3dd28fa0c5fb11bc671256f673f785240e68801d.
Test: atest CtsDevicePolicyManagerTestCases:com.android.cts.devicepolicy.MixedManagedProfileOwnerTest#testPermissionGrant
Bug: 147650798
Bug: 148631522
Change-Id: Icba8b902077bff30801ff790c1b8dc493baf0767</t>
  </si>
  <si>
    <t>Fix failures in OrgOwnedProfileOwnerTest
* These tests failures were caused by wipeData running as
  a normal test case. They were resulting in a test failure
  because the test process was being killed.
* To fix this issue, a broadcast is used instead to trigger
  the call wipeData.
Bug: 147633626
Test: atest com.android.cts.devicepolicy.OrgOwnedProfileOwnerTest
Change-Id: I414fa912b77b0d086f04404052749da4237bb0f1</t>
  </si>
  <si>
    <t>DO NOT MERGE Revert "Strict SQLiteQueryBuilder needs to be stricter."
This reverts commit d4d523686429f0bbe2484d8d24652f671c53f310.
Reason for revert: b/148087431
Bug: 148087431
Change-Id: I469133e058d9f6a272d7340740ba1c369ba60030</t>
  </si>
  <si>
    <t>Revert "DO NOT MERGE fixes a security vulnerability in slice provider"
This reverts commit 991fabbc0e03d888f43cda232fa3ec6cb9ec587b.
Reason for revert: b/148087431
Bug: 148087431
Change-Id: I6bb8f7b12f8c422d1c58dca4412598422ab2fd79</t>
  </si>
  <si>
    <t>Revert "CTS test for Android Security b/135207252"
This reverts commit 08bcc80af350c1e2c88cb77510f857dc7cfd4424.
Reason for revert: test crashes
Bug: 13520725
Bug: 148540357
Change-Id: I0174d488c0a0feef8ea7cd268a2ab643c8898442</t>
  </si>
  <si>
    <t>Revert "RESTRICT AUTOMERGE Strict SQLiteQueryBuilder needs to be stricter."
This reverts commit 6be026441473468658fe33367e1cfea99432be4b.
Reason for revert: b/148087431
Bug: 148087431
Change-Id: If2e30f4123f5add54265158bf7eb9c733041fac4</t>
  </si>
  <si>
    <t>Revert "Add GnssAntennaInfo tests"
Revert submission 10111057-pco_pcv
Reason for revert: Build breakage
Reverted Changes:
I70e4014dd:Add GnssAntennaInfo framework APIs
I072958ecb:Add GnssAntennaInfo tests
Ia63a1f502:Add GnssAntennaInfo to HAL
Change-Id: I2a866067658e37218c6406d9eec6c7b1bd6af772</t>
  </si>
  <si>
    <t>Revert "CTS test for Android Security b/135207252"
This reverts commit 08bcc80af350c1e2c88cb77510f857dc7cfd4424.
Reason for revert: test crashes
Bug: 13520725
Bug: 148540357
Change-Id: I0174d488c0a0feef8ea7cd268a2ab643c8898442
Merged-In: I0174d488c0a0feef8ea7cd268a2ab643c8898442</t>
  </si>
  <si>
    <t>Remove testMkvWithoutCueSeek test
The test file has key frames at 0, 1.92 and 5.96 seconds, and the test
does 3 seeks to 3000 ms, with flags SEEK_CLOSEST, SEEK_PREVIOUS_SYNC and
SEEK_NEXT_SYNC.
The SEEK_PREVIOUS_SYNC test expects a position greater than or equal to
5960 ms, which is wrong because the previous sync would be 1920 ms.
In addition, the SEEK_PREVIOUS_SYNC test is exactly the same as the
SEEK_NEXT_SYNC test, which doesn't make sense.
test does.
Bug: 143618626
Bug: 143347340
Bug: 141833958
Bug: 142298430
Test: build
Change-Id: If9161682824a8e6611167acb9dfdc405cc69d39b
Merged-In: If9161682824a8e6611167acb9dfdc405cc69d39b</t>
  </si>
  <si>
    <t>Modify testExternalStorageGifts to test only for obb directories
Before R apps with REQUEST_INSTALL_PACKAGES permission had read/write
access to other app's cache directory. Also, apps with
READ_EXTERNAL_STORAGE had read permission for other app's obb directory.
This behaviour has changed in R and apps will not have access to other
app's cache directories, only apps with REQUEST_INSTALL_PACKAGES
permission will have access to other app's obb directory.
Modified testExternalStorageGifts to test that app without
REQUEST_INSTALL_PACKAGE permission doesn't have read/write access to
obb directories belonging to other app. Renamed testExternalStorageGifts
to testCantAccessOtherObbDirs.
testExternalStorageObbGifts tests that apps with REQUEST_INSTALL_PACKAGES
permission has RW access to obb directories belonging to other app.
Renamed testExternalStorageObbGifts to testCanAccessOtherObbDirs.
Test: atest ExternalStorageHostTest#testCantAccessOtherObbDirs
Test: atest ExternalStorageHostTest#testCanAccessOtherObbDirs
Bug: 147083279
Bug: 148918640
Change-Id: Ie7bd358f8a2b1bd20bff19ddc1c136b4a8faf42e</t>
  </si>
  <si>
    <t>Add CTS tests for QuickAccessWalletClient
Bug: b/149575358
Test: atest CtsQuickAccessWalletTestCases
Change-Id: I06e45c56d53cbc942d6d4c38ffe56e0093755a9b</t>
  </si>
  <si>
    <t>Remove user id based audio captured API.
Removed recently added user id based routing for audio playback capture.
The original goal of the user id based routing was for the routing to be
controlled by audio policy and to controll where audio from a user
could play. The audio playback capture was added to match similar API
provided for audio playback capture based on application's uid.
Currently, there is no appropiate use case for capturing based on user
id. While this could prove useful in the future the appropiate use case
research must be completed.
Bug: 149419551
Test: atest
com.google.android.gts.audio.AudioHostTest#testUserIdDeviceAffinity
Change-Id: I26d8b0ef9ba1be26c3896c6b4a061346724a2d14</t>
  </si>
  <si>
    <t>MediaRouter2: Clean up APIs
Rename APIS related to RoutingController.
Specifically,
- requestCreateController is changed to transferTo, which is the only
way to "transfer" that may or may not create a controller.
- ControllerCallback is split into TransferCallback and
(new) ControllerCallback.
- onControllerCreated and onControllerReleased is merged into
onTransferred(old, new)
CTS is changed according to API changes as well.
Bug: 149185558
Test: atest android.media.cts.MediaRoute2InfoTest
  &amp;&amp; atest android.media.cts.MediaRouter2Test
  &amp;&amp; atest android.media.cts.RouteDiscoveryPreferenceTest
  &amp;&amp; atest android.media.cts.RoutingSessionInfoTest
  &amp;&amp; atest android.media.cts.MediaRoute2ProviderServiceTest
  &amp;&amp; atest mediaroutertest
Change-Id: I4f5813f28ba7febdfdcaf81b9988a6ec9e9cde9f</t>
  </si>
  <si>
    <t>Revert "Assert no execute-only segments for targetSdkVersion&lt;Q"
This reverts commit 9712816484bf3d3d0a1fb04e92d7b71fe3a13b99.
Bug: 147300048
Reason for revert: Execute-only memory is no longer supported in the build system, so these CTS tests no longer serve a purpose.
Change-Id: I4e513e12261862e87a435caa593d0470552b9895</t>
  </si>
  <si>
    <t>Add tests for setFrameRate() compatibility param
- Added new cts tests to verify behavior of the compatibility param.
- Added new cts tests to verify invalid params are handled correctly.
- Reorganized the code for the existing tests to reduce code duplication
when testing the same behavior across each of the api surfaces.
Bug: 137287430
Test: cts-tradefed run commandAndExit cts-dev --module CtsGraphicsTestCases --test android.graphics.cts.SetFrameRateTest
Change-Id: Ibb7be1a03ba7c1de6a842b4d84ac0b6f96700ac5</t>
  </si>
  <si>
    <t>Remove CTS tests for removed API
Bug: 144955780
Test: presubmits
Change-Id: I764432066148116537d10423798e3a6e9fa96e7a
Exempt-From-Owner-Approval: approvers are all in london and this is a pure revert</t>
  </si>
  <si>
    <t>fix incremental installation test
1) Removed property test because CTS tests does not have permission to
reset properties or permission to read IncFs_Enabled via jni.
2) Use system property to check if incfs is available.
3) Updated the test files.
BUG: 133435829
Test: atest PackageManagerShellCommandIncrementalTest
Change-Id: Ic2a1d2ce7565eb7fa4bd4327d021551ba26dd110</t>
  </si>
  <si>
    <t>Remove the public APIs for allow rich content.
1. Marked @hide for "Drawable loadAnimatedImage(Context)" and "String loadHtmlDescription(PackageManager)".
2. Move common function into util.
Bug: 149516547
Bug: 142532186
Test: maunal test &amp; atest AccessibilityServiceInfoTest -c
Change-Id: I06e8d69b6f78eb1af4f024e239e0837b95285bbc</t>
  </si>
  <si>
    <t>Revert "Add tests for AppCompat gated changes."
This is a partial revert for Icf3cefe11d6ad44ab06fc637278b64127f754c2a
Reason for revert: &lt;These AppCompat flags are a no-op, replaced by new Compat
flags in ag/10363515. Will add separate tests for new flags b/149977252&gt;
Bug: 132649864
Test: atest RestrictedPermissionsTest
Test: atest RestrictedStoragePermissionSharedUidTest
Test: atest RestrictedStoragePermissionTest
Change-Id: I230e54d193d39a80ff21a3abedac292e2a6d82bf</t>
  </si>
  <si>
    <t>Delete RCS related tests for now.
The tests were anyway disabled, and the corresponding source code
has been deleted as well now.
Test: basic sanity
Bug: 140908357
Merged-in: I1b61d14083b60819ea5256d52f91260f40218778
Change-Id: I1b61d14083b60819ea5256d52f91260f40218778
(cherry picked from commit 54caf9c435735cb654b74119cb44fe706e9bf515)</t>
  </si>
  <si>
    <t>DO NOT MERGE: Remove AppSearch from Android R.
Test: presubmit
Bug: 150249538
Change-Id: Ice24cf6fc7470cf79722bff49260cc32dfcaa91c</t>
  </si>
  <si>
    <t>Remove CtsVendorJniTestCases
The test was not included in the CTS package because it required manual
copying of apks to the vendor partition. Removing the obsolete test.
Bug: 113303472
Test: m
Change-Id: Iba3af43246f26a398cbfcd8a5408987444e142eb</t>
  </si>
  <si>
    <t>Remove the public APIs for allow rich content.
1. Marked @hide for "Drawable loadAnimatedImage(Context)" and "String loadHtmlDescription(PackageManager)".
2. Move common function into util.
Bug: 149516547
Bug: 142532186
Test: maunal test &amp; atest AccessibilityServiceInfoTest -c
Change-Id: I06e8d69b6f78eb1af4f024e239e0837b95285bbc
Merged-In: I06e8d69b6f78eb1af4f024e239e0837b95285bbc
(cherry picked from commit 4c367c7abf65bf844bce8ecb65275636e35887f8)</t>
  </si>
  <si>
    <t>Revert "Add tests for AppCompat gated changes."
This is a partial revert for Icf3cefe11d6ad44ab06fc637278b64127f754c2a
Reason for revert: &lt;These AppCompat flags are a no-op, replaced by new Compat
flags in ag/10363515. Will add separate tests for new flags b/149977252&gt;
Bug: 132649864
Test: atest RestrictedPermissionsTest
Test: atest RestrictedStoragePermissionSharedUidTest
Test: atest RestrictedStoragePermissionTest
Merged-In: I230e54d193d39a80ff21a3abedac292e2a6d82bf
Change-Id: I230e54d193d39a80ff21a3abedac292e2a6d82bf
(cherry picked from commit 2a735485806d9a21180e8df0a7a561b4487f2700)</t>
  </si>
  <si>
    <t>Hide setPolicyDataEnabled
Removing setPolicyDataEnabled from cts because
we set it to hide.
Bug: 148165897
Bug: 146654731
Test: make \ flash
Change-Id: Ibb06d22c2a3fbfab0e1b3ac2ef5240906a5393b5</t>
  </si>
  <si>
    <t>Remove CtsVendorJniTestCases
The test was not included in the CTS package because it required manual
copying of apks to the vendor partition. Removing the obsolete test.
Bug: 113303472
Test: m
Merged-In: Iba3af43246f26a398cbfcd8a5408987444e142eb
(cherry picked from commit 74c2210ef071f2d4158e5e5acccb51102fb392c4)
Change-Id: Iba3af43246f26a398cbfcd8a5408987444e142eb</t>
  </si>
  <si>
    <t>fix incremental installation test
1) Removed property test because CTS tests does not have permission to
reset properties or permission to read IncFs_Enabled via jni.
2) Use system property to check if incfs is available.
3) Updated the test files.
BUG: 150476123
Test: atest PackageManagerShellCommandIncrementalTest
Change-Id: Ic2a1d2ce7565eb7fa4bd4327d021551ba26dd110
(cherry picked from commit 71a57b7c6c8abec55c2b287d690dc93f68db5c7f)</t>
  </si>
  <si>
    <t>Modernize PermissionsHostTest.
This change converts PermissionsHostTest into a device side test, so
that we can get coverage data from it.
Since one of the tests was already written in Kotlin, and this
conversion isn't likely to preserve git history, this change converts
the other tests into Kotlin as well to improve code health.
Changes to the original tests include:
- Tests that were in different test apps are moved into different
classes
- Tests that were shared between different test apps are moved into
separate new classes.
- Two base classes are created for all the new test classes above.
- Build files are simplified and all test apps now share one file
group for code.
- Code is converted into Kotlin and then rewrote to use Kotlin idioms,
while keeping the same effects.
- StartForFutureActivity is used for starting an activity and get its
result data in test app, which is one-shot and finishes itself upon
receiving result so that it won't interfere with other (e.g. Settings)
activities started during test.
- UiAutomator is used in place of raw accessibility if possible.
- Fixed some obvious bugs likely due to typo.
Due to a significant amount of interdependency among these tests and
possible build target name collision, it's not very easy to split this
change into several smaller ones without introducing more chaos into
the current situation.
Bug: 150150742
Bug: 147904761
Test: atest CtsPermission3TestCases
Change-Id: If0eb35e1d35f19e7db0bb05f5ea64f5022a1a36d</t>
  </si>
  <si>
    <t>Remove MediaRoute2Info.getDeviceType
The hidden method getType() should be used instead.
Bug: 150925607
Test: run cts test
Change-Id: I053b87be9d2ccb550e65d7925fc6bd1583903f4f</t>
  </si>
  <si>
    <t>Clean up wipeData() usage in CTS
Device-side test should not be calling wipeData() directly as it
will kill the test process, leading the test infrastructure to
believe that the test has crashed. Fix those direction invocations
by either moving them to other test classes where cleanup is already
implemented, or converting invocation to an asynchronous broadcast.
Bug: 148556107
Test: OrgOwnedProfileOwnerTest#testDelegatedCertInstallerDeviceIdAttestation
Test: MixedManagedProfileOwnerTest#testDelegatedCertInstallerDeviceIdAttestation
Test: OrgOwnedProfileOwnerTest#testDeviceIdAttestationForProfileOwner
Test: MixedManagedProfileOwnerTest#testDeviceIdAttestationForProfileOwner
Test: DeviceOwnerPlusProfileOwnerTest#testWipeData_secondaryUser
Test: DeviceOwnerPlusProfileOwnerTest#testWipeData_secondaryUserLogged
Change-Id: I62b79b3b4b62df25b2709d12df57adffb5e3a48f</t>
  </si>
  <si>
    <t>Remove obsolete key rotation test
Bug: 136002636
Test: atest StagedInstallTest
Change-Id: Ic8d79b02611849e39655c7dea9c6beff3619451a
Merged-In: Ic8d79b02611849e39655c7dea9c6beff3619451a</t>
  </si>
  <si>
    <t>Revert "add a new CTS to check expected system telephony apks"
This reverts commit a31bc6a24287b2a89a1e9ab6afe375fffe1c5786.
Reason for revert: b/148482594
Bug: 148482594
Change-Id: I065f2eda03d192104b47653fe9d1cf7a6794d942</t>
  </si>
  <si>
    <t>Add test where trusted old key can continue to update package
When a key is rotated by a new key, the new key may continue trusting
the old key. In such case, the old key should be able to update the
package.
Bug: 136002636
Test: atest StagedInstallTest#testTrustedOldKeyIsAccepted
Test: atest CtsStagedInstallHostTestCases
Test: atest CtsRollbackManagerHostTestCases
Change-Id: I134ad44d5928a408f81e4d82a776f9a3497b8140
Merged-In: I134ad44d5928a408f81e4d82a776f9a3497b8140</t>
  </si>
  <si>
    <t>Undo isDataCapable as Public API
Test: make
Bug: 146206136
Change-Id: Ie8caab9843332579f92072775cef46f8b5533527</t>
  </si>
  <si>
    <t>WifiMigrationTest: Remove all usage of WifiMigration.loadFromStore
In preparation of moving away from this API surface to a different
mechanism.
Bug: 149418926
Test: atest android.net.wifi.cts
Change-Id: I5805d9dc27a248b633d514356f603f63af799429</t>
  </si>
  <si>
    <t>Hide several CTS due to hidden API
Test: atest
Bug: 151241308
Change-Id: I2b6dc5db384384cc0c358661b5fee1872efb0260</t>
  </si>
  <si>
    <t>Revert "Initialize linkerconfig tests"
This reverts commit c09f046a08ac7e71f927aab69a6c33443ae8358f.
Reason for revert: Remove this test from CTS for now as CDD is not added for R release.
Change-Id: Ica396e545358d1f9c8c6288ba295b155dbafc3dd</t>
  </si>
  <si>
    <t>Updates CTS to use non-deprecated methods; updated tests for constructors
Bug: 149911930
Test: atest NotificationTest NotificationManagerTet
Change-Id: I9acf2d3894ec0d49c18174f674ea3b4788d40f47</t>
  </si>
  <si>
    <t>Add new Sharesheet CTS tests
Not every Sharesheet API is testable in an automated way.
Main constraints: UiAutomator can only tests what's visible and,
because of possible partner variations, we can't assume a scrolling
direction or point of origin. Can only test what appears after
launch without any user interaction. Minimum reasonable assumptions
were made in order to practically build the automated tests.
These tests do not give 100% coverage to API and API behaviors. To
reach full coverage CTS Verifier tests will need to be added.
atest run times on a Pixel 4 device are appx 2.8s and 2s respectively.
Bug: 148800975
Test: cts-tradefed run singleCommand cts -m CtsSharesheetTestCase
Test: atest CtsSharesheetTestCases
Change-Id: I3ed8401f9644a5c26278abea8a65fc3415651b7b</t>
  </si>
  <si>
    <t>Remove unneeded test cases
Test: atest CtsUserspaceRebootHostSideTestCases
Bug: 149020865
Change-Id: I466d83e04a05fdd7ecdfc0bee7d6bf7e90bf3c47</t>
  </si>
  <si>
    <t>Fix testResolveInCallIntent.
This text existing in a separate cts test module for some reason;
so I'm moving it to the main Telecom module because having a full module
for a single test is just silly.
I also modified the test itself to better enforce what its trying to;
that is that there is an InCallService on the device which can potentially
show an InCall UI.
Test: Run CtsTelecomTestcts-tradefed run cts-dev -m CtsTelecomTestCases -t android.telecom.cts.BasicInCallServiceTest#testResolveInCallIntent
Fixes: 151112367
Change-Id: I4066b129b79b477340e486210e87b764a95fdbca</t>
  </si>
  <si>
    <t>RESTRICT AUTOMERGE: Camera: Remove tests for ROTATE_AND_CROP
Feature did not get fully completed for Android 11.
Test: Adjusted camera CTS continues to pass
Bug: 150036107
Change-Id: I6f048b3b874ce6c475aee32c555b4f2a5ca472e5</t>
  </si>
  <si>
    <t>Remove unneeded test cases
Test: atest CtsUserspaceRebootHostSideTestCases
Bug: 149020865
Change-Id: I466d83e04a05fdd7ecdfc0bee7d6bf7e90bf3c47
Merged-In: I466d83e04a05fdd7ecdfc0bee7d6bf7e90bf3c47
(cherry picked from commit f912225e90b6a2b605c0ee284575859fb800fb4e)</t>
  </si>
  <si>
    <t>Change dynamic MIME tests according to API changes
PackageManager#clearMimeGroup was removed. This CL modifies test to use
PackageManager#setMimeGroup instead, removes test cases that are no
longer relevant and reflects that get/set methods on undefined MIME
groups should throw.
Bug: 151101912
Test: atest CtsDynamicMimeHostTestCases
Change-Id: I0af773523c84ac5aeccfcba3851da5fb36607b0e</t>
  </si>
  <si>
    <t>Revert "[RESTRICT AUTOMERGE]: CTS test for Android Security b/33139050"
Bug: 151764674
Bug: 33139050
Bug: 72461495
Test: sts-tradefed
This reverts commit 84f784655b48aff5416af94020b224e680d8805f.
Change-Id: Ie00da129f00d698312aab5a79818be9bac013a92</t>
  </si>
  <si>
    <t>Revert "[RESTRICT AUTOMERGE] CTS test for Android Security b/34897036"
Bug: 151764674
Bug: 34897036
Bug: 72459887
Test: sts-tradefed
This reverts commit 7fa2fcb73c6f3432c5dae247fe329d71846ab43a.
Change-Id: Ibcdaa562a027692a3e90b0ec5a0cdfc50b35453a</t>
  </si>
  <si>
    <t>Add tests for staging multiple session with non-overlapping packages
Bug: 141843321
Test: atest StagedInstallTest#testAllowNonOverlappingMultipleStagedInstall_BothSinglePackage_Apk
Test: atest StagedInstallTest#testFailOverlappingMultipleStagedInstall_BothSinglePackage_Apk
Test: atest StagedInstallTest#testFailOverlappingMultipleStagedInstall_BothSinglePackage_Apex
Test: atest StagedInstallTest#testAllowNonOverlappingMultipleStagedInstall_MultiPackageSinglePackage
Test: atest StagedInstallTest#testFailOverlappingMultipleStagedInstall_BothMultiPackage
Test: atest StagedInstallTest#testMultipleStagedInstall_ApkOnly
Test: atest RollbackManagerHostTest#testApkOnlyMultipleStagedRollback
Test: atest RollbackManagerHostTest#testApkOnlyMultipleStagedPartialRollback
Change-Id: Id2ce942bba52f728f4a254f7439dad905b25a000
Merged-In: Id2ce942bba52f728f4a254f7439dad905b25a000</t>
  </si>
  <si>
    <t>Fix CTS tests for inclusion in MTS
- Ignore the testRevokePermission test in CarrierConfigManagerTest due to
an appops issue
- Remove an obsolete SMS financial app test
- Add proper packages for telephony's permission policy test
Bug: 145232009
Bug: 146007053
Fixes: 142755182
Test: atest CtsTelephonyTestCases
Change-Id: If23f0929119554e641ceda3080c22bd2041c894b
Merged-In: If23f0929119554e641ceda3080c22bd2041c894b</t>
  </si>
  <si>
    <t>Adding test cases for takeScreenshot()
Adding the test cases for taking screenshot of virtual display.
Bug: 145893483
Test: atest AccessibilityTakeScreenshotTest
Change-Id: I2fe7a99af57418c4994471ce57df7eb91f692b2e</t>
  </si>
  <si>
    <t>CTS: Bubbles Policy: remove phone calls
Test: atest NotificationManagerTest / this is the test
Bug: 138116133
Change-Id: I74adbfc7fb78e47f6ca414ea87cc1b0e3db20184</t>
  </si>
  <si>
    <t>Rewrite NetworkInfo CTS tests to Kotlin
Bug: 152356365
Test: atest CtsNetTestCasesLatestSdk:android.net.cts.NetworkInfoTest
      on both Q and R devices
Change-Id: I44ffdc4b4a9ba8fcc1fda895b9d7f8f551fd6bb3</t>
  </si>
  <si>
    <t>Rewrite NetworkInfo CTS tests to Kotlin
Bug: 152356365
Test: atest CtsNetTestCasesLatestSdk:android.net.cts.NetworkInfoTest
      on both Q and R devices
Change-Id: I44ffdc4b4a9ba8fcc1fda895b9d7f8f551fd6bb3
Merged-In: I44ffdc4b4a9ba8fcc1fda895b9d7f8f551fd6bb3
(cherry picked from aosp/1256248)</t>
  </si>
  <si>
    <t>Remove Duplicate Permission Tests
-Remove negative permissions tests for:
 onImsCallDisconnectCauseChanged
 onCallDisconnectCauseChanged
 onPreciseDataConnectionStateChanged
-Tests are migrated to Permissions tests as part of
 Ica56ebb81a3f3ea9b5c238a0e7d3a2d9c30e27f2
Bug: 148646258
Test: make (remove-only)
Merged-In: I40c74966beaf6aaaf4af5b220716cca825c3488d
Change-Id: I40c74966beaf6aaaf4af5b220716cca825c3488d
(cherry picked from commit ab20fd90d03d5a788dc2b3d1f2a8612a80f90cf7)
Change-Id: I05e3c1729434b6d8cfbf7a68911ed10036176731</t>
  </si>
  <si>
    <t>Remove unnecessary DownloadManagerLegacyTest
With I277120b2e2236a1c6fafa3d8447d5f7393daf9df, DownloadManager
behavior is dependent on legacy appops instead of target SDK and
DownloadManagerLegacyTest is effectively duplicating tests in
DownloadManagerApi28Test.
Additionally, DownloadManagerLegacyTest was not tareting current sdk
meaning it wasn't actually testing legacy behavior as a Q app.
Since we already have DownloadManagerTest targeting current sdk and
verifying behavior of an R app (without legacy appop). We now remove
the unnecessary DownloadManagerLegacyTest.
Test: atest DownloadManagerApi28Test
Bug: 152267937
Change-Id: I4d260aeb43b65e3ddc889e255b695aa946995820</t>
  </si>
  <si>
    <t>Hide several CTS due to hidden API
Test: atest
Bug: 151241308
Change-Id: I2b6dc5db384384cc0c358661b5fee1872efb0260
Merged-In: I2b6dc5db384384cc0c358661b5fee1872efb0260
(cherry picked from commit 742d846d447c0cbe14b7ec23ef9a6b4a1937c2db</t>
  </si>
  <si>
    <t>Remove DO/PO identifier access checks that revoke READ_PHONE_STATE
When the new device identifier access requirements went into Android 10
device / profile owner apps were only allowed access to identifiers if
they had been granted the READ_PHONE_STATE permission. Now that this
permission is a normal permission these tests are no longer necessary.
Fixes: 152246534
Test: atest DeviceOwnerTest#testDeviceOwnerCanGetDeviceIdentifiers
Test: atest DeviceOwnerTest#testDeviceOwnerCannotGetDeviceIdentifiersWithoutPermission
Test: atest ManagedProfileTest#testProfileOwnerOnPersonalDeviceCannotGetDeviceIdentifiers
Test: atest CtsDevicePolicyManagerTestCases:com.android.cts.devicepolicy.OrgOwnedProfileOwnerTest#testProfileOwnerCannotGetDeviceIdentifiersWithoutPermission
Test: atest CtsDevicePolicyManagerTestCases:com.android.cts.devicepolicy.OrgOwnedProfileOwnerTest#testProfileOwnerCanGetDeviceIdentifiers
Change-Id: I92a3fcef89c5c4592e9151cca8dc60621419a3d3</t>
  </si>
  <si>
    <t>[cts content tests] use v4 flag instead of prebuilt APKs
Cleaning up prebuilt APKs/idsig files.
Will move v2/v3 tests to cts/appsecurity. Will merge
PackageManagerShellCommand*Test in a follow-up CL.
BUG: 149354175
Test: atest PackageManagerShellCommandIncrementalTest
Test: atest PackageManagerShellCommandTest
Change-Id: I0363c9c1d89a6ee540d0bc6fe6e4918ad4fcde5e</t>
  </si>
  <si>
    <t>Make ExtractedTextRequestTest reusable for other tests
This is a preparation to improve CTS coverage of InputConnection.
When testing InputConnection#getExtractedText(), it would be
convenient if we can share the method to create a test instance of
ExtractedTextRequest then verify it.
This CL rewrites ExtractedTextTest to do so. Following methods will
be used from other files in subsequent CLs.
 * createForTest()
 * assertTestInstance()
Bug: 36897707
Bug: 129012881
Test: ExtractedTextRequestTest
Change-Id: I40983bc0df126ff681fd5ca8915a7ff4d92b8e6b</t>
  </si>
  <si>
    <t>Refactoring and improving suspend related tests
This refactoring is targeted to make the module more reliable
and maintainable in the longer run. This should also eventually enable
adding these some of these tests to presubmit. No new tests are added but
some of them have been moved to different classes for better logical
separation:
 - UI related tests are moved to DialogTests
 - Tests verifying interaction of two different suspending apps, one of
 which is an admin, are moved to DualSuspendTests
Much of the communication between the instrumentation and the helper app
using broadcasts is now changed to use a bound service and any
in-process communication is changed to use static data structures.
The general expectation is that this will be more reliable and faster,
reducing any potential flakiness on slower form factors.
This is also helpful in enabling all possible tests in a secondary
user, as there is a lot of broadcast congestion immediately post
user-switch.
UI related tests are still not enabled on secondary user, as
they are still flaky or unreliable. To keep this change manageable,
they will be addressed in a follow-up.
Test: atest CtsSuspendAppsTestCases
Bug: 150741315
Bug: 140579306
Change-Id: I479c30aec39539c6b31e0fd567c23293c43abf3f</t>
  </si>
  <si>
    <t>Revert "sonivox: fix hang caused by bad meta-event (cts)"
This reverts commit 7144f3ff11b13432954752f4cd471f418f0e793f.
Bug: 69804002
Bug: 68953854
Bug: 68664359
Bug: 151764674
Test: cts-tradefed run cts --class android.security.cts.StagefrightTest --method testStagefright_bug_68953854
Change-Id: I5be99cfe1a9effc24b9c17db6e8763fb70c876ce</t>
  </si>
  <si>
    <t>RESTRICT AUTOMERGE
Revert submission 10446362-type-presentation-p
Reason for revert: Breaks apps using Presentation in combination with private virtual displays
Reverted Changes:
I2aaab1903:RESTRICT AUTOMERGE Block TYPE_PRESENTATION windows...
Ib5a24f8be:RESTRICT AUTOMERGE Add test for Presentation
Bug: 141745510
Change-Id: Iabb838c6a280e3cb4f41e4972921ec09a5aba287</t>
  </si>
  <si>
    <t>RESTRICT AUTOMERGE
Revert submission 10383599-type-presentation-q
Reason for revert: Breaks apps using Presentation in combination with private virtual displays
Reverted Changes:
I2aaab1903:RESTRICT AUTOMERGE Block TYPE_PRESENTATION windows...
Ib5a24f8be:RESTRICT AUTOMERGE Add test for Presentation
Bug: 141745510
Change-Id: Iccc9125e2c866de6b06586d67e02cf20535c356a</t>
  </si>
  <si>
    <t>Undo isDataCapable as Public API
Test: make
Bug: 146206136
Change-Id: Ie8caab9843332579f92072775cef46f8b5533527
Merged-In: Ie8caab9843332579f92072775cef46f8b5533527</t>
  </si>
  <si>
    <t>Revert "Dark Theme doesnt forget car changes"
This reverts commit 339dfb440f4a686b34ec2167669292de0738dd43.
Reason for revert: BUG: 151187299
Change-Id: I1399d6ca22bf505cad10232c6129ae6a3ebab520
Merged-In: I2bfd68ffaa3f15c422c8b494ff5b2df2de1d31c6</t>
  </si>
  <si>
    <t>Cts - test custom equals method for bundles in the inline APIs
Test: atest InlineSuggestionsRequest
Bug: 152811052
Change-Id: Ia8d660cfac144cd3dc11b2f93fbd7504a37e6dc2</t>
  </si>
  <si>
    <t>Revert "Revert "Revert "Dark Theme doesnt forget car changes"" - DO NOT MERGE"
This reverts commit 5bd5ac6f7e4179bbd548f0372f743b3f74f1692c.
Reason for revert: BUG: 153016166
Change-Id: I27fad1db7b6f4db69b42dfcc3565869f62cf0266</t>
  </si>
  <si>
    <t>Removing obsolete tests
Bug: 153021761
Test: Removing tests
Change-Id: I5854adf416800402cb936f09e2adb56916cbad1d</t>
  </si>
  <si>
    <t>RESTRICT AUTOMERGE
Revert submission 10383599-type-presentation-q
Reason for revert: Breaks apps using Presentation in combination with private virtual displays
Reverted Changes:
I2aaab1903:RESTRICT AUTOMERGE Block TYPE_PRESENTATION windows...
Ib5a24f8be:RESTRICT AUTOMERGE Add test for Presentation
Bug: 141745510
Bug: 152342138
Merged-In: Iccc9125e2c866de6b06586d67e02cf20535c356a
Change-Id: Iccc9125e2c866de6b06586d67e02cf20535c356a
(cherry picked from commit 668291193b0cf7726c9cb163d3331b6102337314)</t>
  </si>
  <si>
    <t>Revert "Sonivox: add CTS test."
This reverts commit cb8b10820baecb4f73c9054434f158bc76ee47b8.
Test: none
Bug: 26366256
Bug: 72509001
Change-Id: I51a4f5ee5776e07ba2e2ee0ca9b2ff6c0c2e292b</t>
  </si>
  <si>
    <t>Revert "CTS Tests for sonivox bugs b/68664359 and b/110435401"
This reverts commit 1426647e0bed7ea3bfa8b7c2a188ab2f1ce10268.
Test: none
Bug: 68664359
Bug: 110435401
Bug: 79774719
Change-Id: I39880b589184d5cbf7a70c323cf2141368489a94</t>
  </si>
  <si>
    <t>[RESTRICT AUTOMERGE]: Revert "Sonivox: add CTS test."
This reverts commit cb8b10820baecb4f73c9054434f158bc76ee47b8.
Test: none
Bug: 26366256
Bug: 72509001
Change-Id: I51a4f5ee5776e07ba2e2ee0ca9b2ff6c0c2e292b</t>
  </si>
  <si>
    <t>[RESTRICT AUTOMERGE]: Revert "CTS Tests for sonivox bugs b/68664359 and b/110435401"
This reverts commit 1426647e0bed7ea3bfa8b7c2a188ab2f1ce10268.
Test: none
Bug: 68664359
Bug: 110435401
Bug: 79774719
Change-Id: I39880b589184d5cbf7a70c323cf2141368489a94</t>
  </si>
  <si>
    <t>Revert "sonivox: fix hang caused by bad meta-event (cts)"
This reverts commit 7144f3ff11b13432954752f4cd471f418f0e793f.
Bug: 69804002
Bug: 68953854
Bug: 68664359
Bug: 151764674
Test: cts-tradefed run cts --class android.security.cts.StagefrightTest --method testStagefright_bug_68953854
Change-Id: I5be99cfe1a9effc24b9c17db6e8763fb70c876ce
Merged-In: I5be99cfe1a9effc24b9c17db6e8763fb70c876ce</t>
  </si>
  <si>
    <t>Revert "Sonivox: add CTS test."
This reverts commit cb8b10820baecb4f73c9054434f158bc76ee47b8.
Test: none
Bug: 26366256
Bug: 72509001
Change-Id: I51a4f5ee5776e07ba2e2ee0ca9b2ff6c0c2e292b
Merged-In: I51a4f5ee5776e07ba2e2ee0ca9b2ff6c0c2e292b</t>
  </si>
  <si>
    <t>Revert "CTS Tests for sonivox bugs b/68664359 and b/110435401"
This reverts commit 1426647e0bed7ea3bfa8b7c2a188ab2f1ce10268.
Test: none
Bug: 68664359
Bug: 110435401
Bug: 79774719
Change-Id: I39880b589184d5cbf7a70c323cf2141368489a94
Merged-In: I39880b589184d5cbf7a70c323cf2141368489a94</t>
  </si>
  <si>
    <t>Update CTS tests for screen capture disabled
Background
* Historically, when the screen capture disabled
  policy was set on the personal profile, screen
  capture was disabled for the whole device
  (per-device).
* This should be changed to only be disabled in
  the personal profile (per-profile).
Changes
* Remove the check that checks whether the existing
  screen can be captured or not. Instead, start a
  simple test activity and verify whether the screen
  of that activity can be captured or not.
Bug: 148453838
Test: atest com.android.cts.devicepolicy.MixedDeviceOwnerTest#testScreenCaptureDisabled
      atest com.android.cts.devicepolicy.MixedProfileOwnerTest#testScreenCaptureDisabled
      atest com.android.cts.devicepolicy.MixedManagedProfileOwnerTest#testScreenCaptureDisabled
      atest com.android.cts.devicepolicy.MixedDeviceOwnerTest#testScreenCaptureDisabled_assist
      atest com.android.cts.devicepolicy.MixedProfileOwnerTest#testScreenCaptureDisabled_assist
      atest com.android.cts.devicepolicy.OrgOwnedProfileOwnerTest#testScreenCaptureDisabled
Change-Id: Iec0778a2c96bede8acea01cd8a613d1ffa4db047</t>
  </si>
  <si>
    <t>Move RCS Intent check to GTS testing
Bug: 153117038
Test: atest CtsTelephonyTestCases GtsTelephonyTestCases
Change-Id: I342bf448c848ceae52486f33c5f071b2ca955ab7</t>
  </si>
  <si>
    <t>Updates tests to a11y button
A new test case for the legacy service which is requesting a11y button,
and also create a new test rule for common utilities of accessibility
button and shortcut.
Bug: 150587818
Test: atest AccessibilityButtonSdk29Test
Test: atest AccessibilityShortcutTest
Change-Id: Ic2fadc375f3912260da76d0e93105c81a2375d06</t>
  </si>
  <si>
    <t>Add CTS coverage for getManagedProfileMaximumTimeOff.
Bug: 152616169
Test: atest
OrgOwnedProfileOwnerTest#testSetManagedProfileMaximumTimeOffLogged
Change-Id: Iec9c348c46befdfebfe81fbcdf7badb014865e9d</t>
  </si>
  <si>
    <t>Revert "[RESTRICT AUTOMERGE]: STS test for Android Security CVE-2018-9471"
This reverts commit 1545e4f908662a78e31601eed17afc5c8c009ee0.
Bug: 153751318
Bug: 113527124
Test: sts-tradefed
Change-Id: I4bedfbdacdfc2037159ac5331610f9ecd47682a9</t>
  </si>
  <si>
    <t>Add CTS for building IKE and Child SaProposal
Bug: 148689509
Test: atest CtsIkeTestCases
Change-Id: Ic50d70f35216a065ff398c38262f2de0b370c5ef</t>
  </si>
  <si>
    <t>Update ExoPlayer version
Also add a few tests and make a few renames.
Bug: 153662231
Test: atest CtsMediaParserTestCases
Change-Id: I0e9a2f29c7f9f1cef066b0f9426cd8126fc26641</t>
  </si>
  <si>
    <t>Revert "Add CTS tests for direct channel UID idle"
Bug: 74395023
Test: Revert
This reverts commit 9a7d62adc73ed23b499065704e7c5f2a8525089f.
Change-Id: Ia3e556b0af92ccce6aa8304f65fcc8c79ba46e64</t>
  </si>
  <si>
    <t>Add CTS for building IKE and Child SaProposal
Bug: 148689509
Test: atest CtsIkeTestCases
Change-Id: Ic50d70f35216a065ff398c38262f2de0b370c5ef
Merged-In: Ic50d70f35216a065ff398c38262f2de0b370c5ef
(cherry picked from commit 7f95e39c2534b370a28e4d6cf08ebb8b74950fcb)</t>
  </si>
  <si>
    <t>Move DhcpInfoTest to FrameworksNetCommonTests
Move to frameworks/base/tests/net/common so that it can
be run in cts test and presubmit test.
Bug: 154299158
Test: atest CtsNetTestCasesLatestSdk:android.net.DhcpInfoTest
Change-Id: I8d70565fe3388fd8351002f2ed87c43343879e57</t>
  </si>
  <si>
    <t>Revert "Add CTS coverage for new BiometricPrompt getters"
This reverts commit 9e2b08c2eefe8451af1f3c4760e524f0dbaf2074.
Reason for revert: This breaks the cts-kernel-presubmit-aosp_kernel-common-android-4.19
See sponge/target?id=b8514476-ed9d-4d0e-8ac8-53c48fd3efaa&amp;target=x86+CtsHardwareTestCases&amp;searchFor&amp;show=FAILED&amp;sortBy=STATUS&amp;view=TREE
The build to reproduce this is ab/6401995
Change-Id: I7e5f27fd8bf28fd48e991961e1a1fb0b8da355c8
Bug: 154297628</t>
  </si>
  <si>
    <t>Move DhcpInfoTest to FrameworksNetCommonTests
Move to frameworks/base/tests/net/common so that it can
be run in cts test and presubmit test.
Bug: 154299158
Test: atest CtsNetTestCasesLatestSdk:android.net.DhcpInfoTest
Change-Id: I1052c2b46ce427102429c3c7d8cf25f3e79f2789
Merged-In: I8d70565fe3388fd8351002f2ed87c43343879e57</t>
  </si>
  <si>
    <t>Revert "[RESTRICT AUTOMERGE] CTS test for Android Security b/112662184"
Test: sts-tradefed
Bug: 153751318
Bug: 112662184
Change-Id: Id92e743f12494a7b04ad49eb8b2f36cafe077b68
This reverts commit 61fc8dc549a2da8858ae7b6d97703bba56dfbdf0.
Change-Id: I74b5b585a3146dbd758470dd5b5ba03031fbd194</t>
  </si>
  <si>
    <t>[RESTRICT AUTOMERGE]: Revert "[RESTRICT AUTOMERGE]: Add missing @Test annotations for JUnit4 tests."
This reverts commit ae621cb53ea14e430ec4a768e6bf9b4363931ccc.
Bug: 153694007
Reason for revert: Mistakenly added test
Change-Id: If14bd64be26a3bb3cf632ac5c025fcca9fc53377</t>
  </si>
  <si>
    <t>Fix testResolveInCallIntent.
This text existing in a separate cts test module for some reason;
so I'm moving it to the main Telecom module because having a full module
for a single test is just silly.
I also modified the test itself to better enforce what its trying to;
that is that there is an InCallService on the device which can potentially
show an InCall UI.
Test: Run CtsTelecomTestcts-tradefed run cts-dev -m CtsTelecomTestCases -t android.telecom.cts.BasicInCallServiceTest#testResolveInCallIntent
Bug: 151112367
Fixes: 153376628
Merged-In: Ieacf002c0d3c76a046a0ad5281708df6efa694e1
Change-Id: I4066b129b79b477340e486210e87b764a95fdbca</t>
  </si>
  <si>
    <t>Revert "CTS test for Android Security b/112662184"
Test: sts-tradefed
Bug: 153751318
Change-Id: Id92e743f12494a7b04ad49eb8b2f36cafe077b68
This reverts commit 4b3bdf8df2bf22930bedcfb7a11c00f3a5ffc8d5.
Change-Id: If4b23d5a0cef620b1eac7ba641867168b709ab18</t>
  </si>
  <si>
    <t>Revert "[RESTRICT AUTOMERGE] CTS test for Android Security b/34749571"
This reverts commit 9c2d138656168373746f4deeba0e51d92464bfc4.
Bug: 34749571
Bug: 72459536
Test: build compiles again
Change-Id: Ia5205f03f6ef35f6cabfe9bfab2443e9e2cda99b</t>
  </si>
  <si>
    <t>Revert "Revert "Revert "Sonivox: add CTS test."""
Test: sts-tradefed
Bug: 153751318
Bug: 26366256
Bug: 72509001
This reverts commit 2e16d22295703c58b78aac83328f867de8630631.
Change-Id: I9fc7e0b80488619cca662127463687bb2e5e48c5</t>
  </si>
  <si>
    <t>Revert "Revert "[RESTRICT AUTOMERGE]: Revert "Sonivox: add CTS test."""
Test: sts-tradefed
Bug: 153751318
Bug: 26366256
Bug: 72509001
This reverts commit 287d416bfaddcf63b21655bb14599af1574fdac9.
Change-Id: I2ff38544757831c8289a22639a371b6b431e1e2f</t>
  </si>
  <si>
    <t>Revert "[RESTRICT AUTOMERGE] CTS test for Android Security b/120789744"
Test: sts-tradefed
Bug: 153751318
Bug: 120789744
Bug: 126802825
This reverts commit 0d4ca50ff1540c7ace328b2213cb1f62b8d055d9.
Change-Id: I9ed3f339bcbc63ad841cb913ef045b6f226b69ce</t>
  </si>
  <si>
    <t>Revert "Tests for non-config instance map"
Revert submission 11077952-non-config-map
Reason for revert: API council would like to go straight to Jetpack
Reverted Changes:
Ib2484d433:Add Activity non-config instance map-like API
Ibc3daf82f:Tests for non-config instance map
Bug: 155401916
Exempt-From-Owner-Approval: revert
Change-Id: I5cac1d070b38e9e02170fbc1f4d14b783b23b19c</t>
  </si>
  <si>
    <t>Moved CarUserManager API tests from CTS to AndroidCarApiTest.
Test: atest CtsCarTestCases
Bug: 155323398
Bug: 154769656
Change-Id: I252e1e4b1c2171e4d08ef674734314fcc57f2615</t>
  </si>
  <si>
    <t>Revert "CTS test for api to control data by thermal service"
Revert "Support api to control data by thermal service"
Revert "Support api to control data by thermal service"
Revert submission 11171206-setDataEnabled
Bug: 155765311
Reason for revert: wembley gets into boot loop on reboot due to this code
Reverted Changes:
I3cdab9b04:Support api to control data by thermal service
I716cf6c45:CTS test for api to control data by thermal servic...
Ic5634e6f7:Support api to control data by thermal service
I763c422ba:Support api to control data by thermal service
Change-Id: I22d06a933b87f50650aa92cdcdebc73b4f49f019</t>
  </si>
  <si>
    <t>Restrict creation of secondary users CTS tests
Background
* Secondary users should be disabled
  when the device is an organization-owned
  managed profile device.
* This is because supporting secondary
  users would complicate the semantics of
  user restrictions.
Changes
* Add CTS test to ensure secondary user
  cannot be added.
* Modify CTS tests that previously created
  secondary users.
* Remove CTS tests that applied the
  DISALLOW_ADD_USER restriction.
Manual Testing Steps
* Provision an organization-owned managed
  profile device.
* Check Settings &gt; System &gt; Multiple users
  and verify that a user cannot be added.
* Check WP TestDPC 'Set user restrictions
  on parent' and verify 'Disallow add user'
  is not present.
Bug: 155281701
Test: Manual testing
      atest com.android.cts.devicepolicy.OrgOwnedProfileOwnerTest#testCannotAddSecondaryUser
      atest com.android.cts.devicepolicy.OrgOwnedProfileOwnerTest#testUserRestrictionsSetOnParentAreNotPersisted
      atest com.android.cts.devicepolicy.OrgOwnedProfileOwnerTest#testDevicePolicyManagerParentSupport
Change-Id: Ib17f0b87c989f84bdacd9cffa5b10d81dae6e033</t>
  </si>
  <si>
    <t>Remove BatteryStatsValidationTest#testGpsUpdates
Bug: 153844216
Test: m cts
Change-Id: Ibd321fdcbc5fb49de0abda2e10dbb6a18f7a1b60</t>
  </si>
  <si>
    <t>Remove NetStatsIncidentTest#testSanityCheck
Test: atest com.android.server.cts.PackageIncidentTest
Test: atest com.android.server.cts.IncidentdTest
Bug: 145953251
Change-Id: Ia79b2a4c0c67ae9da4a0bad94f563921aac9a5b2</t>
  </si>
  <si>
    <t>Update targetSdk R test apps for PkgSigVerify to use SDK version 30
Android 11 requires that apps targeting R must be signed with at least
the V2 signature scheme. Since the SDK version was not finalized at the
time test apps were created to verify this behavior that targeted SDK
version 'R'. Now that the SDK version is finalized this commit updates
these apps to set the targetSdkVersion to 30 using the build system
where possible.
Fixes: 155946651
Test: atest PkgInstallSignatureVerificationTest
Change-Id: I1a66cc0d3af043137a9a7406e0553e30f0c16201</t>
  </si>
  <si>
    <t>Add more role manager tests.
Bug: 152055112
Test: atest RoleManagerTest
Change-Id: I5befa62f2b2ccaac9c109e95edae11a746cd26ee</t>
  </si>
  <si>
    <t>Verify the package name of shim packages
Bug: 152609043
Test: atest ApexShimValidationTest
Change-Id: Iffa9105b771ab4971d3781ea5fbd354c3b6c8c65</t>
  </si>
  <si>
    <t>Revert "Set set-force-adoptable to run AdoptableHostTest correctly"
This reverts commit 60ff6571a54ada05cd62d9884cf43fda61e75ef0.
A CTS test should not enforce adoptable storage on a device that does
not have a physical SD card. This was previously enforced for quick
testing only to be reverted before the beta release.
Bug: 156226427
Test: atest AdoptableHostTest
Change-Id: Ied0e8f8d0a5ba468a149bca80f15af9c30043e18</t>
  </si>
  <si>
    <t>Set volume to different levels in &lt;Report Audio Status&gt; test
Set the volume to 0%, 50%, 100% and mute the volume and check for the
&lt;Report Audio Status&gt; in the Test 11.2.15-9.
Bug: 147274676
Test: atest
HdmiCecSystemAudioModeTest#cect_11_2_15_9_ReportAudioStatus_0_unmuted
atest
HdmiCecSystemAudioModeTest#cect_11_2_15_9_ReportAudioStatus_50_unmuted
atest
HdmiCecSystemAudioModeTest#cect_11_2_15_9_ReportAudioStatus_100_unmuted
atest HdmiCecSystemAudioModeTest#cect_11_2_15_9_ReportAudioStatusMuted
Change-Id: Ib6421f1d0e8ac23dad798b9ac3453567bf0a8fee</t>
  </si>
  <si>
    <t>[RESTRICT AUTOMERGE] CTS in infeasible for bugs 62133227, 24346430 and 35430570.
Reason: These bugs have an OOB read of less than 16 bytes, which cannot be detected with the updated scheme of 16 byte alignment.
Bug: 62133227
Bug: 24346430
Bug: 35430570
Test: sts-tradefed
Change-Id: Ia776548f3cb1b25456bf85f8962a2a996be859b6</t>
  </si>
  <si>
    <t>Remove TelephonyHostTest#testWithChangeDisabled
Remove this test that no longer works on R. It's no longer needed
because the compat change is no longer overrideable in R.
Fixes: 156048307
Test: atest TelephonyHostTest
Change-Id: I20e72839389833c745670c291d1895559674b62a</t>
  </si>
  <si>
    <t>[RESTRICT AUTOMERGE] CTS in infeasible for bugs 62133227, 24346430 and 35430570.
Reason: These bugs have an OOB read of less than 16 bytes, which cannot be detected with the updated scheme of 16 byte alignment.
Bug: 35430570
Bug: 24346430
Bug: 62133227
Test: sts-tradefed
Change-Id: Ia776548f3cb1b25456bf85f8962a2a996be859b6
Merged-In: Ia776548f3cb1b25456bf85f8962a2a996be859b6</t>
  </si>
  <si>
    <t>Revert "[RESTRICT AUTOMERGE] Updated CTS for Android Security b/71375536"
Bug: 157267059
Test: sts-tradefed
This reverts commit 90f000a04b84399725fd9d5c0a55d5b5e97a6068.
Change-Id: I4b031dd0169205dda6d403a120edc68936893c36</t>
  </si>
  <si>
    <t>Revert "[RESTRICT AUTOMERGE] CTS test for Android Security b/36389123"
This reverts commit 64a5be6660f1b9b8c1f368275f950906fff099ca.
Test: sts-tradefed
Bug: 36389123
Bug: 72379466
Bug: 157267059
Bug: 157385164
Reason for revert: b/157385164
Change-Id: I3f22f03a9e1db8b5e70ab5bb1044b5144401b857</t>
  </si>
  <si>
    <t>Tuner CTS: TimeFilter
And filter -&gt; 95% coverage
Fix: 156685805
Test: atest android.media.tv.tuner.cts.TunerTest
Change-Id: I41edcbfd4c2f34696da6d5688dff5051a61e2cbb</t>
  </si>
  <si>
    <t>Tuner CTS: Tuner, DemuxCapabilities, Lnb, etc.
Bug: 157428792
Test: android.media.tv.tuner.cts.TunerTest
Change-Id: Ie7bde07eb799014ebe9aad1731546a0d8e065496</t>
  </si>
  <si>
    <t>Per-profile user restrictions in org-owned managed profile CTS tests
Background
* Some user restrictions should be per-profile
  instead of per-device to allow for more
  granularity.
* For this reason, the profile owner of an
  organization-owned managed profile should
  apply user restrictions the same way as the
  profile owner on the personal user
  (instead of the device owner).
Changes
* Add per-profile and per-device user
  restriction tests to OrgOwnedProfileOwnerTest
* Update and enhance other user restriction tests
  in OrgOwnedProfileOwnerTest
Bug: 148453838
Test: atest com.android.cts.devicepolicy.OrgOwnedProfileOwnerTest#testDevicePolicyManagerParentSupport
      atest com.android.cts.devicepolicy.OrgOwnedProfileOwnerTest#testUserRestrictionSetOnParentLogged
      atest com.android.cts.devicepolicy.OrgOwnedProfileOwnerTest#testUserRestrictionsSetOnParentAreNotPersisted
      atest com.android.cts.devicepolicy.OrgOwnedProfileOwnerTest#testPerProfileUserRestrictionOnParent
      atest com.android.cts.devicepolicy.OrgOwnedProfileOwnerTest#testPerDeviceUserRestrictionOnParent
      atest com.android.cts.devicepolicy.OrgOwnedProfileOwnerTest#testCameraDisabledOnParentIsEnforced
      atest com.android.cts.devicepolicy.OrgOwnedProfileOwnerTest#testCameraDisabledOnParentLogged
Change-Id: If7664dd0ebc884c5088b435f2660b5c6900c915b</t>
  </si>
  <si>
    <t>Revert "[RESTRICT AUTOMERGE] CTS test for Android Security b/24346430"
Bug: 72510124
Bug: 24346430
Bug: 157267059
Bug: 157593549
Test: sts-tradefed
This reverts commit 9cdd277a6cd25748516593a9184d2ea1100695f0.
Change-Id: I124f40532c69878baf024a2120347e9c0ea82135</t>
  </si>
  <si>
    <t>Revert "[RESTRICT AUTOMERGE] CTS test for Android Security b/62133227"
Bug: 62133227
Bug: 72443087
Bug: 157267059
Test: sts-tradefed
This reverts commit 62b9a5240830a91939e1c9fa1d7bb92c36ab6fe8.
Change-Id: I4e4a1e56e878ad969a843b8551d6d8172d716c9d</t>
  </si>
  <si>
    <t>Revert "[RESTRICT AUTOMERGE] CTS test for Android Security b/112005441"
Test: sts-tradefed
Bug: 157267059
Bug: 112005441
Bug: 137950491
This reverts commit 6c39ecf25fb3b679aa7ee7877f738c34d6606b45.
Change-Id: Ie37d52cf9e332ddf2b139604cdfd4d24ff31557e</t>
  </si>
  <si>
    <t>Revert "[RESTRICT AUTOMERGE] CTS test for Android Security b/127702368"
Test: sts-tradefed
Bug: 157267059
Bug: 127702368
Bug: 135207514
This reverts commit b571c49e8af8e7e85cda872473cda556031d01e1.
Change-Id: I480658e368f59017613d82e219d3caff49a93ac9</t>
  </si>
  <si>
    <t>Revert "[RESTRICT AUTOMERGE] CTS test for Android Security b/37239013"
Bug: 157595121
Bug: 157267059
Bug: 37239013
Bug: 72456628
Test: sts-tradefed
This reverts commit 60bd05232f4169796f7964a0184ca0ce7deb6b82.
Change-Id: I711d6ad536e917eec6393b408b60c51684d8342e</t>
  </si>
  <si>
    <t>Revert "[RESTRICT AUTOMERGE] CTS test for Android Security b/109891727"
Test: sts-tradefed
Bug: 109891727
Bug: 137951065
Bug: 157267059
This reverts commit 29f3a8e2fbc1b806f1b95155e839dcd07a176b68.
Change-Id: Idb2b8f8404d4e1836cfac8262860b09091d0deb7</t>
  </si>
  <si>
    <t>Remove randomized Wifi MAC address test from CTS
MAC address randomization is only a GMS requirement for devices
launching with Q. So it shouldn't be tested in CTS.
Test: atest
com.android.cts.devicepolicy.MixedDeviceOwnerTest#testSetMeteredDataDisabledPackages
Bug: 136997801
Change-Id: Id38c988cf9abe3d639f016c172655783989f43b9</t>
  </si>
  <si>
    <t>Remove tests in BatteryStatsValidationTest
Test: m -j
Bug: 153520666
Change-Id: Ib76415e6a669e1857c287d5748a531106ec40dfb</t>
  </si>
  <si>
    <t>Allow ManagedUsers on low_ram devices
Also fix repohooks requirements for uploading.
Test: atest FeatureTest passes on low_ram device w/managed user
Bug: 153016458
Change-Id: I6cc783d1afadc65ca712876ad80458e95b82fe68</t>
  </si>
  <si>
    <t>Allow managed profiles without lockscreen
 Remove CTS test that checks for lockscreen feature if managed profiles
  are enabled.
 This reflects a CDD change for 3.9.2 Managed Profile Support [C-1-10]
Test: atest com.android.cts.devicepolicy.ManagedProfileTest
Bug: 149827369
Bug: 152830725
Change-Id: I1cff0f0d93b69bf19bb730dcbaa56e39c5488d32</t>
  </si>
  <si>
    <t>Separate ModifyInstallerPackageTest cross package installer takeover test
The INSTALL_PACKAGES permission is now required to change the
installer package for an app, but this isn't normally grantable.
But it is available when running an instrumentation test by
adopting shell permissions.
To allow this specific test to work, it was separated out into the
2 component packages, where the host will instrument both in
alternating fashion to allow A to verify data and attempt takeover,
and B to set its own installer in isolation.
A more ideal solution would be if A could instrument B, removing the
need to split the test cases into steps, but that doesn't seem
possible.
The original test class and its remaining cases were also migrated
to adopt the INSTALL_PACKAGES permission.
Bug: 158158242
Test: atest android.appsecurity.cts.AppSecurityTests
Change-Id: Iae070fa225e011f053b9cf61ee4c451e09171e9e</t>
  </si>
  <si>
    <t>Skip the testGetAudioPresentations if the device does not support AC4
Support for AC4 is not mandated by CDD. Allow the test to pass if 
the device lacks it.
Bug: 158169446
Test: cts-tradefed run cts -m CtsMediaTestCases -t android.media.cts.MediaExtractorTest#testGetAudioPresentations
Signed-off-by: Raj Mamadgi &lt;r.mamadgi@samsung.com&gt;
Change-Id: If0fb6a62b760f091690de56f93f8c91f593d8266</t>
  </si>
  <si>
    <t>Separate ModifyInstallerPackageTest cross package installer takeover test
The INSTALL_PACKAGES permission is now required to change the
installer package for an app, but this isn't normally grantable.
But it is available when running an instrumentation test by
adopting shell permissions.
To allow this specific test to work, it was separated out into the
2 component packages, where the host will instrument both in
alternating fashion to allow A to verify data and attempt takeover,
and B to set its own installer in isolation.
A more ideal solution would be if A could instrument B, removing the
need to split the test cases into steps, but that doesn't seem
possible.
The original test class and its remaining cases were also migrated
to adopt the INSTALL_PACKAGES permission.
Bug: 158158242
Test: atest android.appsecurity.cts.AppSecurityTests
Merged-In: Iae070fa225e011f053b9cf61ee4c451e09171e9e
Change-Id: Iae070fa225e011f053b9cf61ee4c451e09171e9e</t>
  </si>
  <si>
    <t>Remove NativeEncoderTest
NativeEncoderTest has few issues
- assumes avc, vp8 and hevc encoder are present and doesn't handle
  cases where any of these isn't present
- bitrates chosen are too low for resolutions being tested
Tests in NativeEncoderTest are covered as part of the following tests
- CodecEncoderTest and SurfaceEncoderTest tests the native encoder
- VideoCodecTest does all the bitrate, sync frame rate tests
Bug: 152460572
Test: atest CtsMediaTestCases
Change-Id: If616c68671f33bccb009e0d107c2c3bd563552ee</t>
  </si>
  <si>
    <t>Remove dumpsys incidentd tests
Bug: 156883305
Bug: 157872536
Test: m cts
Change-Id: I9c59525b05548c027f61c7da591e01212c78a442</t>
  </si>
  <si>
    <t>Revert "Make sure that the LockTaskUtilityActivityIfWhitelisted was started."
This reverts commit 216ed1555b5f60ad048f503f985722fbf448a7f8.
Reason for revert: the added testLockTaskIsActive check does not
work as intended since starting a new instrumentation test case
kills the test package, which also kills the lock task activity
which belongs to the same package.
Bug: 146006729
Test: builds
Change-Id: I14aff75cdcda9657c80863aec0814527331007cd</t>
  </si>
  <si>
    <t>Revert "Make sure that the LockTaskUtilityActivityIfWhitelisted was started."
Original change: https://android-review.googlesource.com/c/platform/cts/+/1347425
This reverts commit 216ed1555b5f60ad048f503f985722fbf448a7f8.
Reason for revert: the added testLockTaskIsActive check does not
work as intended since starting a new instrumentation test case
kills the test package, which also kills the lock task activity
which belongs to the same package.
Bug: 159605606
Bug: 146006729
Test: builds
Merged-In: I2c346f0153f214b698f0780683198918cd14c3ee
Change-Id: I2c346f0153f214b698f0780683198918cd14c3ee
(cherry picked from commit bc65384dc006a38aaeeaf1c276dce2aa9eaea5fb)</t>
  </si>
  <si>
    <t>Rename and move CtsLibnativehelperTestCases
Tests are now MtsLibnativehelperTestCases and the sources located
under libnativehelper/tests_mts.
Bug: 151443957
Test: atest MtsLibnativehelperTestCases
Change-Id: I123f0abd21dc6db0effd5908bb4ca648529de17e</t>
  </si>
  <si>
    <t>Revert "[RESTRICT AUTOMERGE] CTS test for Android Security b/64550583"
Bug: 159227521
Bug: 64550583
Bug: 72323167
Test: Ran the new testcase and observed test fail on android-8.0.0_r11
      and pass on android-8.1.0_r39
This reverts commit 0c0796b4d56440b1f30f1b895de1d4c4539d7295.
Change-Id: I9182cf944dd7d65bbfb20391ca901d167d7959fe</t>
  </si>
  <si>
    <t>Revert "[RESTRICT AUTOMERGE] CTS test for Android Security b/64550583"
Bug: 159227521
Bug: 64550583
Bug: 72323167
Test: Ran the new testcase and observed test fail on android-8.0.0_r11
      and pass on android-8.1.0_r39
This reverts commit b9fefc7c629c48798fc76346ad45005384986c2c.
Merged-In: I9182cf944dd7d65bbfb20391ca901d167d7959fe
Change-Id: I887fe872b7d73f929e4906778556b884c267f6dd</t>
  </si>
  <si>
    <t>[DO NOT MERGE] TouchExplorerTest: remove test for long clicking using accessibility actions.
This got overlooked during the initial revert.
Bug: 159941636
Test: atest TouchExplorerTest
Change-Id: Id32ba72cd2c871f50fcfd361f9704ce1147d8b29
Change-Id: Id68974f5603a020936d04e907472f890a8041e4e</t>
  </si>
  <si>
    <t>Revert "Add test for permission checks for setattr."
Revert "Add permission checks for setattr"
Revert submission 11543644-setattr-perm-check
Reason for revert: This breaks some functionality that makes unexpected calls to setattr - b/159714862
Reverted Changes:
Idc32ca1de:Add test for permission checks for setattr.
I0db5346bf:Add permission checks for setattr
Bug: 159714862
Test: atest DocumentsUIGoogleTests:com.android.documentsui.FileCopyUiTest#testCopyDocuments_FromSdCard
Test: repro steps from b/159714862
Change-Id: I3cff7c2c24bac950aade436ec5a23a467941525b</t>
  </si>
  <si>
    <t>Remove ManagedProfileTest#testCrossProfileCalendar
Bug: 159179124
Test: compiled
Change-Id: I82cfd556af7e752207d6ace5b3e1ba62d9b65cf0</t>
  </si>
  <si>
    <t>Revert "Test for composer and other tags in mp4"
This reverts commit f7898a64351119ade7f24692264dcca05491028a.
Reason for revert: corresponding code change not yet included in module
Bug: 160449796
Change-Id: Ia0df01c37c8118ffc023f487e27a51fe741ad869</t>
  </si>
  <si>
    <t>[RESTRICT AUTOMERGE] Revert "CTS test for Android Security b/111603051"
Bug:Bug: 111603051
Bug: 114102795
Test: Ran the new testcase on android-8.0.0_r11 with/without patch
This reverts commit 66da812f2be4e005fe7830e3de8269ebee171e20.
Change-Id: I467169b1bf94e45b3c1a27a530ec6d5227a059a9</t>
  </si>
  <si>
    <t>[RESTRICT AUTOMERGE] Revert "CTS test for Android Security b/79662501"
Bug: 79662501
Bug: 113527084
Test: Ran the new testcase on android-8.1.0_r45 with/without patch
This reverts commit f8ff00185d10e6f5b3db38e05c9d176357f331c4.
Change-Id: Ibd60d1dd398708c15e7f6256c3ee134424477025</t>
  </si>
  <si>
    <t>[RESTRICT AUTOMERGE] Revert "CTS test for Android Security b/36554207"
Bug: 36554207
Bug: 72388983
Test: Ran the new testcase on android-8.0.0_r11 with/without patch
This reverts commit bb3fd25163473353a1eb888fdfd2cc5ee4846a22.
Change-Id: Iab72e8b2cedfee143ef3477d2b5da2bf1435f1a7</t>
  </si>
  <si>
    <t>[RESTRICT AUTOMERGE] Revert "CTS test for Android Security b/36554209"
Bug: 36554209
Bug: 72389095
Test: Ran the new testcase on android-8.0.0_r30 with/without patch
This reverts commit 3115615266e3fa2003cc569d5b5a6dffa812e766.
Change-Id: Ieb1b54bd0f2c92acfa3285b28ff98e3b33f1e893</t>
  </si>
  <si>
    <t>[RESTRICT AUTOMERGE] Revert "CTS test for Android Security b/62800140"
Bug: 62800140
Bug: 72441515
Test: Ran the new testcase on android-8.0.0_r11 with/without patch
This reverts commit f8e42e8c5169807130db21718740a55090a8acac.
Change-Id: Ife59bc923a695bec2fe6da82ee76a31c71b48c45</t>
  </si>
  <si>
    <t>[RESTRICT AUTOMERGE] Revert "CTS test for Android Security b/112005441"
Bug: 112005441
Bug: 137950491
Test: Ran the new testcase on android-10.0.0_r1 with/without patch
This reverts commit ec748b9b3ed71d6ed20ec7e7cc3f6e9006d7a321.
Change-Id: I04a60409de8b770446e65f34a65d4c12cb3209a0</t>
  </si>
  <si>
    <t>Bring back tests for double tap and double tap and hold that trigger touch events.
This CL includes all subsequent fixes that were caused by the original change.
Bug: 159168795
Test: atest TouchExplorerTest
Change-Id: I505e698bab9106cdf2dca81c2807c097efec6883
Change-Id: Icedfd719a5262c9b55360c126e035017f2e2ceda</t>
  </si>
  <si>
    <t>Rename setDataEnabledWithReason
1. Rename setDataEnabledWithReason to
setDataEnabledForReasn
2. Allow isDataConnectionAllowed to be accessed by
same apps as isDataEnabledForReason
3. Make these apis public
Bug: 156332911
Bug: 159073095
Test: cts and build
Change-Id: Ice9279c20e11afa7758cc4e4bf0e9351b4e8129d</t>
  </si>
  <si>
    <t>Remove ManagedProfileTest#testCrossProfileCalendar
This fixes merge conflicts in the stage-aosp-rvc-ts-dev branch.
Bug: 161735928
Test: compiled
Change-Id: I82cfd556af7e752207d6ace5b3e1ba62d9b65cf0</t>
  </si>
  <si>
    <t>Revert "Add tests for Razer Junglecat game controller."
This reverts commit bf799a6f4ec65a1ba747c45e2291f0a721fb8335.
Reason for revert: Breaking tests. See failure links in b/140958486.
Exempt-From-Owner-Approval: Android kernel cop reverting breaking tests.
Bug: 140958486
Change-Id: If52dfe1f151d60e0bf3cdc78946131ff507afb01</t>
  </si>
  <si>
    <t>Remove CTS test CarTrustedDeviceTest
Cherry pick ag/11427839 to Android10-tests-dev
Test: atest CtsCarTestCases
Bug: 162049651
Change-Id: I182a2c7841c3545f15b33e86cdfc7570d50e3017</t>
  </si>
  <si>
    <t>Add function for adding EXIF to WebP files
Code copied from aosp/1148409 and aosp/1236647 with some minor
changes.
Original commit message:
Added code and test for WebP files
1) with EXIF data
2) without EXIF data but with other extra data
Added code and test for saving EXIF to WebP files without EXIF data
1) and have lossy encoding
2) and have lossless encoding
Also refactored test method names for better readability.
Bug: 138786288
Test: atest CtsMediaTestCases:android.media.cts.ExifInterfaceTest
Change-Id: I72940df8e9b2a63599b6c6c17c54a8927ed2e08e</t>
  </si>
  <si>
    <t>[RESTRICT AUTOMERGE] Remove unnecessary tests
Bug: 159198369
Change-Id: I08dcc1214a18283f853b8c84da8d3c87e4603f74</t>
  </si>
  <si>
    <t>Revert "Add 2 cts tests for FocusFinder"
Revert submission 11830696-b/158492287-stage-aosp-rvc-ts-dev
Reason for revert: We reverted the framework change on
stage-aosp-rvc-ts-dev and merged it to rvc-qpr-dev. We should do the same
to the related cts tests too.
Reverted Changes:
Ie3d75abb1:Add 2 cts tests for FocusFinder
Fixes: 162229346
Change-Id: I207da9b74a2d92ac8be4b813a330744cfbbd99e4</t>
  </si>
  <si>
    <t>Refactor PermissionsTest
- Correct names in test
- Restructure tests to use
  ARRANGE/ACT/ASSERT format
- Add common methods into a
  PermissionUtils class
- Add stand-alone permission
  broadcast receiver
Bug: 148264893
Test: atest com.android.cts.devicepolicy.MixedDeviceOwnerTest#testPermissionGrant
      atest com.android.cts.devicepolicy.MixedDeviceOwnerTest#testPermissionPolicy
      atest com.android.cts.devicepolicy.MixedDeviceOwnerTest#testPermissionMixedPolicies
      atest com.android.cts.devicepolicy.MixedDeviceOwnerTest#testAutoGrantMultiplePermissionsInGroup
      atest com.android.cts.devicepolicy.MixedDeviceOwnerTest#testPermissionGrantOfDisallowedPermissionWhileOtherPermIsGranted
      atest com.android.cts.devicepolicy.MixedDeviceOwnerTest#testPermissionGrantPreMApp
      atest com.android.cts.devicepolicy.MixedDeviceOwnerTestApi25#testPermissionGrantPreMApp
      atest com.android.cts.devicepolicy.MixedDeviceOwnerTest#testPermissionGrant_developmentPermission
      atest com.android.cts.devicepolicy.MixedDeviceOwnerTest#testPermissionAppUpdate
      atest com.android.cts.devicepolicy.MixedDeviceOwnerTest#testPermissionPrompts
      atest com.android.cts.devicepolicy.MixedDeviceOwnerTest#testLocationPermissionGrantNotifies
Change-Id: I420dc470085fe38b6902549e68add1889437092b</t>
  </si>
  <si>
    <t>DecoderTest: Compare SDK and NDK outputs
Compute checksum over decoded output in both SDK and NDK side
and check for equality.
Bug: 162811108
Test: atest android.mediav2.cts.CodecDecoderTest
Test: atest android.mediav2.cts.CodecDecoderSurfaceTest
Change-Id: I4c806b2aba938a18cff461f203b1edc04f2aef3b</t>
  </si>
  <si>
    <t>Test InputMethodService#getDisplay before initialization
Also
1. consolidate the test logic of verifyGetDisplay to
InputMethodServiceTest#verifyGetDisplay because we actually
throw Exception instead of strict mode violation.
2. remove StrictMode#testIncorrectContextUse_GetDisplay because
we actually test the behaviors in ContextAccessTest
Bug: 161964893
Test: atest InputMethodServiceTest#testGetDisplay
Change-Id: I03e326109f5703f890e6936cbf55fbdcbf4efbbf</t>
  </si>
  <si>
    <t>SELinuxHostTest: remove binder_in_vendor_violators
This attribute no longer exists, so we no longer need to test it.
Bug: 131617943
Test: N/A
Change-Id: Id42a1459f10de54ce73cb542a9c3c0886a757b8d</t>
  </si>
  <si>
    <t>Remove ContactsMetadataProvider CTS test.
Test: removing a unused test.
Bug: 146447263
Change-Id: Id9d93664ade3ddc27a830e85501a1b0ef1dfdb61</t>
  </si>
  <si>
    <t>Adds CTS test case for UiAutomation flag, FLAG_DONT_USE_ACCESSIBILITY
Bug: 93087044
Test: atest UiAutomationTest
Change-Id: I769e3f47b3de759a73bcd1394f7dc94262385c87</t>
  </si>
  <si>
    <t>Revert "Tests for installer-provided checksums."
Revert submission 12538860-installer-digests
Reason for revert: Droidcop: Potential culprit for b/168445565
Reverted Changes:
I112ba8594:Tests for installer-provided checksums.
I69a787bde:Digest API: allow installer to provide digests for...
Bug: 168445565
Change-Id: I8e76cc1c536214a156724c20bbd3bf76aaad1791</t>
  </si>
  <si>
    <t>Add function for adding EXIF to WebP files
Code copied from aosp/1148409 and aosp/1236647 with some minor
changes.
Original commit message:
Added code and test for WebP files
1) with EXIF data
2) without EXIF data but with other extra data
Added code and test for saving EXIF to WebP files without EXIF data
1) and have lossy encoding
2) and have lossless encoding
Also refactored test method names for better readability.
Bug: 138786288
Test: atest CtsMediaTestCases:android.media.cts.ExifInterfaceTest
Change-Id: I72940df8e9b2a63599b6c6c17c54a8927ed2e08e
Merged-In: I72940df8e9b2a63599b6c6c17c54a8927ed2e08e</t>
  </si>
  <si>
    <t>Do not set incorrect SMSC address
SMSC address in a SIM card could be updated unexpectedly after
testSetSmscAddress("fake smsc").
Bug: 168666997
Test: atest SmsManagerTest
Signed-off-by: Taesu Lee &lt;taesu82.lee@samsung.com&gt;
Change-Id: I754ded005751de50d103200de5401ad143d21a30</t>
  </si>
  <si>
    <t>Do not set incorrect SMSC address
SMSC address in a SIM card could be updated unexpectedly after
testSetSmscAddress("fake smsc").
Bug: 168666997
Test: atest SmsManagerTest
Signed-off-by: Taesu Lee &lt;taesu82.lee@samsung.com&gt;
Merged-in: I754ded005751de50d103200de5401ad143d21a30
Change-Id: I754ded005751de50d103200de5401ad143d21a30
(cherry picked from commit 9e0978104b4068eaae059f743271a60d98ec8531)</t>
  </si>
  <si>
    <t>CtsMultiUserHostTestCases improvements:
- Removed unused imports.
- Replaced JUnit assertions by Truth.
- Added checkstyle hook.
- Replaced getDevice() by mDevice.
- Removed splitUserSystem support.
- Removed redundant logs to commands and outputs (they're already
  loged by ITestDevice)
- Created SupportMultiUsersRule
- Spun SetUsersRestrictionsTest from CreateUsersPermissionTest so the
  latter can use SupportMultiUsersRule.
- Changed how test cases are automatically removed.
- Removed dead code.
- Used String pattern formatting on CLog calls.
Test: atest CtsMultiUserHostTestCases # on flame_car and aosp_coral
Bug: 168919650
Bug: 165406498
Bug: 137101239
Change-Id: Ieeeef55f8fbf3d04a137a2d1047af85b53ea215f</t>
  </si>
  <si>
    <t>Refactor IncorrectContext test to context based
fixes: 166538303
Test: atest StrictModeTest
Change-Id: I5d0e00382f7181f7966bf1ced4efa0a2606b847f</t>
  </si>
  <si>
    <t>Remove unused Android Q sandbox references
Bug: 145653577
Test: presubmit
Change-Id: I5cdc2435876de59125d56266152bba3aacec4d3d</t>
  </si>
  <si>
    <t>Make TV mic indicator tests intrumentation
Turning the hostside tests for TV Mic Indicator feature into
intrumentation tests.
Bug: 168067865
Test: atest CtsSystemUiTestCases:MicIndicatorTest
Change-Id: I1aa9d6c28b09ead018752dd1be1ee5a33b592d96</t>
  </si>
  <si>
    <t>More Keyboard visibility tests after unlocked
Add more tests in KeyboardVisibilityControlTest to verify
CL1[1] when same window focused with SOFT_INPUT_STATE_* flag
without valid editor after unlocked will end up to hide soft-keyboard:
- testImeState_Unspecified_EditorDialogLostFocusAfterUnlocked
- testImeState_Visible_EditorDialogLostFocusAfterUnlocked
- testImeState_AlwaysVisible_EditorDialogLostFocusAfterUnlocked
- testImeState_Hidden_EditorDialogLostFocusAfterUnlocked
- testImeState_AlwaysHidden_EditorDialogLostFocusAfterUnlocked
[1]: I2b1193f541933380fc97d83aee2da1e9d5f0faa9
Bug: 161506356
Test: atest KeyboardVisibilityControlTest
Change-Id: If1b914ffb305ac1c342033ede20d9f519e28f9ba</t>
  </si>
  <si>
    <t>Remove LocaleListTest#testRepeatedArguments
Bug: 152410253
Bug: 168854184
Test: N/A
Change-Id: I3287c94dd61ad82f5de84896c011b3942e1d2fa9</t>
  </si>
  <si>
    <t>Remove LocaleListTest#testRepeatedArguments
Bug: 152410253
Bug: 168854184
Test: N/A
Change-Id: I3287c94dd61ad82f5de84896c011b3942e1d2fa9
Merged-In: I8aef447f0c584b0a710d7f139710d40723621544</t>
  </si>
  <si>
    <t>Add core scoped storage host test.
Splitting this set of core test casess in a separate test rule in order to include it as
smoke test for MediaProvider (which has a time limit).
Bug: 161990628
Test: atest CtsScopedStorageCoreHostTest
Change-Id: I0bf0be68ab78079968d04d17a3aa7c4b3ecd04f3</t>
  </si>
  <si>
    <t>[CTS] [Tagged Pointers] Fix `user` builds.
User builds aren't allowed to **disable** compat features (they're still
allowed to enable them). When we see a user build, we need to special
case the test as disabling the compat feature is a nop.
Remove some of the nop feature-disabled tests as well, where the
manifest or sdk level isn't enough to trigger tagged pointers anyway.
Bug: 169452143
Test: atest CtsTaggingHostTestCases on {flame-user, flame-userdebug,
blueline-userdebug, aosp_cf_x86_phone-user}
Change-Id: Icde4cebfa51161b803046697b2009b518b61e432</t>
  </si>
  <si>
    <t>Rewrite battery saver location tests and add bypass tests
The location service now takes all responsibility for responding to
battery saver mode changes. Rewrite the CTS tests into location
directory, which also let's us get rid of the
getTestProviderLocationRequests() API which no longer has a reason for
existing. Also add CTS tests for the setLocationSettingsIgnored()
SystemApi which previously only existed in GTS.
Bug: 170054615
Test: manual + presubmits
Change-Id: Id47303dccfd82b26f1ad4d49af392148032767f7</t>
  </si>
  <si>
    <t>Revert "Add and improve CTS tests to increase Telecom Conference public API"
This reverts commit 24224c0e36b7e6f202dfb477d875a768cc5605c8.
Reason for revert: Probable culprit of b/170609195
Change-Id: I3f3f137ed9c7662335ffc802d6be712e82af0dd2</t>
  </si>
  <si>
    <t>[RESTRICT AUTOMERGE] Revert "CTS test for Android Security b/63522430"
This reverts commit 7d2c4454dd24309f7a8049c27ab852113600027e.
Test: sts-tradefed
Bug: 68653237
Merged-In: I22f22bf8314d2e79909a6127e9cfbc980cb100a1
Change-Id: I8e8f37e47b4d6f1995563908add2e196803bb126</t>
  </si>
  <si>
    <t>[RESTRICT AUTOMERGE] Revert "CTS test for Android Security b/36104177"
This reverts commit 48184f73d7f303b25544061c2964fa64aef62f30.
Test: sts-tradefed
Bug: 72333921
Merged-In: I7a9dd6792a7344fb4447bc6b2df7ee78348dbbe4
Change-Id: Ief210bfef84f7c44b6df592a257010757ee84c2a</t>
  </si>
  <si>
    <t>[RESTRICT AUTOMERGE] Revert "CTS test for Android Security b/68159767"
This reverts commit ad5cf1b8f4353548043a2777856460c2602978b0.
Test: sts-tradefed
Bug: 72396811
Merged-In: I3f13b811063b21d9086a9fc5a02fd9c0b3e985e4
Change-Id: I1e4c092df2df48964119e8d1cbf1004f06349b68</t>
  </si>
  <si>
    <t>Check windowing mode instead of divider window to verify split screen
AccessibilityWindowQueryTest#testWindowDockAndUndock_dividerWindowAppearsAndDisappears
checks the existence of a divider window to know if it's in split
screen or not. However, the divider is an implementation detail of
system ui, and some system UI doesn't have it.
This CL replaces a check of divider window presence with activity's
windowing mode to verify it.
This change also renames the corresponding test because now that the
test is not related to divider window.
Bug: 170064014
Bug: 170320826
Test: AccessibilityWindowQueryTest#testToggleSplitScreen on eve and crosshatch
Change-Id: Iffed2a449cb4e21a488e8b45565bb0945dce2754</t>
  </si>
  <si>
    <t>[RESTRICT AUTOMERGE] Check windowing mode instead of divider window to verify split screen
AccessibilityWindowQueryTest#testWindowDockAndUndock_dividerWindowAppearsAndDisappears
checks the existence of a divider window to know if it's in split
screen or not. However, the divider is an implementation detail of
system ui, and some system UI doesn't have it.
This CL replaces a check of divider window presence with activity's
windowing mode to verify it.
This change also renames the corresponding test because now that the
test is not related to divider window.
Bug: 170064014
Bug: 170320826
Test: AccessibilityWindowQueryTest#testToggleSplitScreen on eve and crosshatch
Change-Id: Iffed2a449cb4e21a488e8b45565bb0945dce2754
Merged-In: Iffed2a449cb4e21a488e8b45565bb0945dce2754</t>
  </si>
  <si>
    <t>Check windowing mode instead of divider window to verify split screen
AccessibilityWindowQueryTest#testWindowDockAndUndock_dividerWindowAppearsAndDisappears
checks the existence of a divider window to know if it's in split
screen or not. However, the divider is an implementation detail of
system ui, and some system UI doesn't have it.
This CL replaces a check of divider window presence with activity's
windowing mode to verify it.
This change also renames the corresponding test because now that the
test is not related to divider window.
Bug: 170064014
Test: AccessibilityWindowQueryTest#testToggleSplitScreen on eve and crosshatch
Change-Id: Iffed2a449cb4e21a488e8b45565bb0945dce2754</t>
  </si>
  <si>
    <t>Revert "Add CTS for HomeVisibilityListener"
Revert submission 12775890-home-vis-listener
Reason for revert: broke build, b/170776449
Reverted Changes:
I8e6de3267:Add CTS for HomeVisibilityListener
I33d943603:Follow rename of HomeVisibilityObserver
I5d99f2bad:Expose the HomeVisibilityListener API
Change-Id: Ib13147a7493f596467bf8c35ad1c3f2243fc6d55</t>
  </si>
  <si>
    <t>Update TextShaper API changes in framework
Bug: 170255480
Test: atest TextShaperRunTest GlyphStyleTest TextShaperTest
Change-Id: I567c1529a479e28a595fea0059b34d946647dd93</t>
  </si>
  <si>
    <t>Remove ManagedProfileTest#testCrossProfileCalendar
Bug: 161735928
Test: compiled
Merged-In: I82cfd556af7e752207d6ace5b3e1ba62d9b65cf0
Change-Id: I82cfd556af7e752207d6ace5b3e1ba62d9b65cf0</t>
  </si>
  <si>
    <t>wifi: add cts for new WPA3 Enterprise APIs
Two APIs are introduced to create WPA3 Enterprise standard
mode and 192-bit mode configurations.
Bug: 170311014
Test: atest android.net.wifi.cts.WifiNetworkSpecifierTest \
            android.net.wifi.cts.WifiNetworkSuggestionTest
Change-Id: I94c423184c5d2f5dd02cffc70f46ff4ea468cc5a</t>
  </si>
  <si>
    <t>Update CTS tests for the updated onReceiveContent() API
Bug: 170191676
Bug: 152068298
Test: atest CtsViewTestCases:ViewTest
Test: atest CtsViewTestCases:ViewOnReceiveContentTest
Test: atest CtsWidgetTestCases:TextViewOnReceiveContentCallbackTest
Test: atest FrameworksCoreTests:TextViewOnReceiveContentCallbackTest
Test: atest FrameworksCoreTests:AutofillValueTest
Change-Id: I7b3b3732e7d6f45be231db95d61f9329d386e0e1</t>
  </si>
  <si>
    <t>Removed the test
Will add behavioral tests to ensure every OEM supports
IWLAN AP-assisted mode in S.
Fix: 171269762
Test: CtsTelephonyTestCases
Change-Id: I6be42e0bbd541f105c4b6c300b18c4d190b7bb1e</t>
  </si>
  <si>
    <t>Removed the test
Will add behavioral tests to ensure every OEM supports
IWLAN AP-assisted mode in S.
Fix: 171269762
Test: CtsTelephonyTestCases
Change-Id: I6be42e0bbd541f105c4b6c300b18c4d190b7bb1e
(cherry picked from commit 40bc18f8dcaa8c5d15a4283fbebd2832253b1ba4)</t>
  </si>
  <si>
    <t>Revert "[CTS] Add test for AwareResources API."
Revert submission 12903772-awareResources
Reason for revert: b/171991392
Reverted Changes:
I74949effc:[CTS] Add test for AwareResources API.
I8ed29471b:[AWARE] Add API to get available aware resources
Ie207af078:[AWARE] API to get available aware resources
Change-Id: Ifa7c6f02707bd44ebb6209b5e2bb8617cbd581f9</t>
  </si>
  <si>
    <t>Rename setDataEnabledWithReason
1. Rename setDataEnabledWithReason to
setDataEnabledForReasn
2. Allow isDataConnectionAllowed to be accessed by
same apps as isDataEnabledForReason
3. Make these apis public
Bug: 156332911
Bug: 159073095
Test: cts and build
Change-Id: Ice9279c20e11afa7758cc4e4bf0e9351b4e8129d
Merged-In: Ice9279c20e11afa7758cc4e4bf0e9351b4e8129d</t>
  </si>
  <si>
    <t>Delete deprecated deleteByType test, will add it back after deleteByQuery is ready in platform.
Bug: 162450968
Test: AppSearchManagerTest
Change-Id: Ic1dae1f5bf3b151e46143de5b48c69f4e6392ea3</t>
  </si>
  <si>
    <t>Merge history of CTS to packages/modules/Connectivity
BUG: 167962976
Test: TH
Merged-In: I19b6b09febeb62867cd3d26246b2b3b46b9422c6
Change-Id: I19b6b09febeb62867cd3d26246b2b3b46b9422c6</t>
  </si>
  <si>
    <t>Merge history of CTS to packages/modules/Connectivity
BUG: 167962976
Test: TH
Exempt-From-Owner-Approval: merging history
Merged-In: I1c395dc229aa83c0f3932ee9117efad4eb95cd32
Change-Id: I108894451496ac85aea4b963e5cd5aa4770ac40c</t>
  </si>
  <si>
    <t>Merge history of CTS to packages/modules/Connectivity
BUG: 167962976
Test: TH
Merged-In: I19b6b09febeb62867cd3d26246b2b3b46b9422c6
Change-Id: I89d4791fddb419342e9bd026d96fa37c4273c62e</t>
  </si>
  <si>
    <t>Add maxTargetSDK to MediaController#controlsSameSession
Bug: 172313468
Test: cts media
Change-Id: I10df1c5f7b56b6252899358b0c0be7205940f3a3</t>
  </si>
  <si>
    <t>Revert "Implement PacProcessor tests."
This reverts commit 2cdb98fc16e2f854300adaa7a3b776a41ed40b77.
Reason for revert: b/172352584 (createInstance() is not implemented by WebView for some reason)
Bug: 172352584
Test: N/A
Change-Id: I140ea57872ded1f205bd91fc12593e6984e14046</t>
  </si>
  <si>
    <t>Merge history of CTS to packages/modules/Connectivity
BUG: 167962976
Test: TH
Exempt-From-Owner-Approval: Cleanup
Merged-In: I19b6b09febeb62867cd3d26246b2b3b46b9422c6
Change-Id: If8c54ca1e51eb6b587c70e8d218f9b90c7ad4c8e</t>
  </si>
  <si>
    <t>Remove MediaOutputPanel test for SettingsPanels
-Revert ag/10642015
Bug: 155822415
Test: atest SettingsPanelTest
Change-Id: Ica518af86fe22b95a326f33404ef69d6bfc7f0ff</t>
  </si>
  <si>
    <t>Merge history of CTS to packages/modules/Connectivity
BUG: 167962976
Test: TH
Merged-In: I89d4791fddb419342e9bd026d96fa37c4273c62e
Change-Id: Iacc33d5eb7b70b4f2984ff073c3f7003951af6e6
Exempt-From-Owner-Approval: Cleanup CL</t>
  </si>
  <si>
    <t>Merge history of CTS to packages/modules/Connectivity
BUG: 167962976
Test: TH
Merged-In: Iacc33d5eb7b70b4f2984ff073c3f7003951af6e6
Change-Id: I81a9f86acf87c36441e20a1f028ed120b201bf16
Exempt-From-Owner-Approval: Cleanup CL</t>
  </si>
  <si>
    <t>Increase CTS coverage of MediaBrowser class
This CL increases the test line coverage of following methods of
MediaBrowser:
- getExtras
- getRoot
- getServiceComponent
- getSessionToken
- getItem
Bug: 172634219
Test: Passes CTS
Change-Id: Ie7c7c6ffd2364b6fff39fadec1c7a1676451d955</t>
  </si>
  <si>
    <t>Update IdleConstraintTest and BatterySaverTest CTS tests to consider automotive projection instead of car mode.
Bug: 134997071
Bug: 172283966
Test: These are tests :)
Change-Id: I8efc863cac811aa6476a4d7216b3298e2fff3b98</t>
  </si>
  <si>
    <t>Remove MediaOutputPanel test for SettingsPanels
-Revert ag/10642015
Bug: 155822415
Test: atest SettingsPanelTest
Change-Id: Ica518af86fe22b95a326f33404ef69d6bfc7f0ff
(cherry picked from commit 1e7db08346f5634967f8328fd48a265c6d7b001b)</t>
  </si>
  <si>
    <t>Remove MediaOutputPanel test for SettingsPanels
Bug: 155822415
Test: atest SettingsPanelTest
Merged-In: Ica518af86fe22b95a326f33404ef69d6bfc7f0ff
Change-Id: Ica518af86fe22b95a326f33404ef69d6bfc7f0ff</t>
  </si>
  <si>
    <t>Migrate tests/tests/ipsec to packages/modules/IPsec
BUG: 171427558
Test: TH
Change-Id: Id5cfafdd491701c96f3d1c59f274f0ea56324278</t>
  </si>
  <si>
    <t>Add CTS tests for APN type conversions
Add tests for the methods that convert between string APN types and int
APN types.
Bug: 173133122
Test: atest ApnSettingTest
Change-Id: Iea70123d768a2e5a6d4bc2e75a0d63260974c03d</t>
  </si>
  <si>
    <t>Migrate tests/tests/ipsec to packages/modules/IPsec
BUG: 171427558
Test: TH
Merged-In: Id5cfafdd491701c96f3d1c59f274f0ea56324278
Change-Id: I2d4de93fd9be8058fb6ea20b6f69d9dbb4fdedf7</t>
  </si>
  <si>
    <t>Add StorageEscalation tests
Bug: 171430330
Test: Atest StorageEscalationTest
Change-Id: If1d0f3ed837b2ae1b97eba6837cf3902b3e1fffa</t>
  </si>
  <si>
    <t>Revert "[Telephony] PhoneStateListener redesign - cts test in Ph..."
Revert "[Telephony] PhoneStateListener redesign"
Revert submission 12947610-PhoneStateListener_Redesign
Reason for revert: Multiple test failures: b/173726360, b/173724464, b/173722831
Reverted Changes:
Id69d2b2e7:[Telephony] PhoneStateListener redesign - remove L...
I210f371ed:[Telephony] PhoneStateListener redesign - cts test...
I97e93707f:[Telephony] PhoneStateListener redesign - cts test...
Ibdbaa7d65:[Telephony] PhoneStateListener redesign - cts test...
I5ed16d700:[Telephony] PhoneStateListener redesign - cts test...
I40cc4c234:[Telephony] PhoneStateListener redesign for new ev...
Idd69f5e48:[Telephony] PhoneStateListener redesign
I827471472:[Telephony] PhoneStateListener redesign - cts test...
Change-Id: If1dcd4aab301f67829064567fc1dad0c97e733c7</t>
  </si>
  <si>
    <t>Revert "[Telephony] PhoneStateListener redesign - cts test in Ph..."
Revert "[Telephony] PhoneStateListener redesign"
Revert submission 12947610-PhoneStateListener_Redesign
Reason for revert: Multiple test failures: b/173726360, b/173724464, b/173722831
Reverted Changes:
Id69d2b2e7:[Telephony] PhoneStateListener redesign - remove L...
I210f371ed:[Telephony] PhoneStateListener redesign - cts test...
I97e93707f:[Telephony] PhoneStateListener redesign - cts test...
Ibdbaa7d65:[Telephony] PhoneStateListener redesign - cts test...
I5ed16d700:[Telephony] PhoneStateListener redesign - cts test...
I40cc4c234:[Telephony] PhoneStateListener redesign for new ev...
Idd69f5e48:[Telephony] PhoneStateListener redesign
I827471472:[Telephony] PhoneStateListener redesign - cts test...
Change-Id: I4ad025a693ead055b7562e932a20ae90a69d1e09</t>
  </si>
  <si>
    <t>Revert "[Telephony] PhoneStateListener redesign - cts test in Ph..."
Revert "[Telephony] PhoneStateListener redesign"
Revert submission 12947610-PhoneStateListener_Redesign
Reason for revert: Multiple test failures: b/173726360, b/173724464, b/173722831
Reverted Changes:
Id69d2b2e7:[Telephony] PhoneStateListener redesign - remove L...
I210f371ed:[Telephony] PhoneStateListener redesign - cts test...
I97e93707f:[Telephony] PhoneStateListener redesign - cts test...
Ibdbaa7d65:[Telephony] PhoneStateListener redesign - cts test...
I5ed16d700:[Telephony] PhoneStateListener redesign - cts test...
I40cc4c234:[Telephony] PhoneStateListener redesign for new ev...
Idd69f5e48:[Telephony] PhoneStateListener redesign
I827471472:[Telephony] PhoneStateListener redesign - cts test...
Change-Id: I2e9fdad223a9465efb82f4bd2fb2edbeafd90544</t>
  </si>
  <si>
    <t>Revert "[Telephony] PhoneStateListener redesign - cts test in Ph..."
Revert "[Telephony] PhoneStateListener redesign"
Revert submission 12947610-PhoneStateListener_Redesign
Reason for revert: Multiple test failures: b/173726360, b/173724464, b/173722831
Reverted Changes:
Id69d2b2e7:[Telephony] PhoneStateListener redesign - remove L...
I210f371ed:[Telephony] PhoneStateListener redesign - cts test...
I97e93707f:[Telephony] PhoneStateListener redesign - cts test...
Ibdbaa7d65:[Telephony] PhoneStateListener redesign - cts test...
I5ed16d700:[Telephony] PhoneStateListener redesign - cts test...
I40cc4c234:[Telephony] PhoneStateListener redesign for new ev...
Idd69f5e48:[Telephony] PhoneStateListener redesign
I827471472:[Telephony] PhoneStateListener redesign - cts test...
Change-Id: I590ce5ae9a022609f23992f0997f7ada1e46392d</t>
  </si>
  <si>
    <t>Revert "[Telephony] PhoneStateListener redesign - cts test"
Revert "[Telephony] PhoneStateListener redesign"
Revert submission 12947610-PhoneStateListener_Redesign
Reason for revert: Multiple test failures: b/173726360, b/173724464, b/173722831
Reverted Changes:
Id69d2b2e7:[Telephony] PhoneStateListener redesign - remove L...
I210f371ed:[Telephony] PhoneStateListener redesign - cts test...
I97e93707f:[Telephony] PhoneStateListener redesign - cts test...
Ibdbaa7d65:[Telephony] PhoneStateListener redesign - cts test...
I5ed16d700:[Telephony] PhoneStateListener redesign - cts test...
I40cc4c234:[Telephony] PhoneStateListener redesign for new ev...
Idd69f5e48:[Telephony] PhoneStateListener redesign
I827471472:[Telephony] PhoneStateListener redesign - cts test...
Change-Id: Ifbc6329d24c3de82931583d7ce07e532645dc95b</t>
  </si>
  <si>
    <t>Add test for getThumbnailBitmap
Cases tested:
1) Doesn't have thumbnail
2) Has thumbnail but needs to be retrieved from file
3) Thumbnail is compressed
4) Thumbnail is uncompressed
Bug: 172547490
Test: atest CtsMediaTestCases:android.media.cts.ExifInterfaceTest
Change-Id: I1ec974b052daf67c181303b024247c7479123bc7</t>
  </si>
  <si>
    <t>Move CtsSdkExtensions into SdkExtension repository
These tests should live with the module they are testing.
Bug: 174123164
Test: presubmit (verify CtsSdkExtensions is running)
Merged-In: I93a7982ee1aa8c8a850d2b565a2f944c0afa4172
Change-Id: I93a7982ee1aa8c8a850d2b565a2f944c0afa4172</t>
  </si>
  <si>
    <t>Move CtsSdkExtensions into SdkExtension repository
These tests should live with the module they are testing.
Bug: 174123164
Test: presubmit (verify CtsSdkExtensions is running)
Change-Id: I93a7982ee1aa8c8a850d2b565a2f944c0afa4172
(cherry picked from commit 58ab0d7a7b08a3f67e864b17502bef9a6a012d4d)</t>
  </si>
  <si>
    <t>Test that password quality does not apply to parent
Test that the admin cannot apply password quality requirements to the
parent profile:
* That setPasswordQuality cannot be called on the parent profile DPM
  instance.
* That if setPasswordQuality is called on the regular DPM instance,
  the quality is ignored for the primary profile.
Convert tests relying on password quality to using password complexity
for testing cross-profile effect of password restrictions.
Bug: 165573442
Test: atest com.android.cts.devicepolicy.MixedManagedProfileOwnerTest#testResetPasswordWithToken com.android.cts.devicepolicy.MixedManagedProfileOwnerTest#testGetPasswordExpiration FrameworksServicesTests:DevicePolicyManagerTest com.android.cts.devicepolicy.ManagedProfileTest
Change-Id: I86638ae86d90787ecd5fd8814c77a7f10c132d06</t>
  </si>
  <si>
    <t>Remove dead isolated storage code from StorageManagerService
Isolated storage was added in Q (and enabled by default) and has been
replaced by FUSE in R
Additionally, we can remove the ExternalStorageMountPolicy concept
which is only required if isolated storage is false
Cleanup in preparation to introduce DeviceConfig changes for
transcoding
Bug: 169327180
Test: Builds
Change-Id: Id99011414e335dce211d81f11090168f68ed2912</t>
  </si>
  <si>
    <t>Move permission-less tests to device side
The only tests remaining on host side are tests that need the tradefed
contentprovider, need a runtime permission or --no-isolated-storage
instrumentation flag.
BUG: 159593019
Test: atest ScopedStorageDeviceOnlyTest
Change-Id: I611c4753aa8e272ed81614126a524d55d613b4d6</t>
  </si>
  <si>
    <t>Convert TvInputServiceTest to junit 4
Change-Id: Iba732ecf5fdc00879dfdebb33d562db719cb8105
Test: atest TvInputServiceTest</t>
  </si>
  <si>
    <t>Add StorageEscalation tests
Bug: 171430330
Test: Atest StorageEscalationTest
Merged-In: If1d0f3ed837b2ae1b97eba6837cf3902b3e1fffa
Change-Id: If1d0f3ed837b2ae1b97eba6837cf3902b3e1fffa</t>
  </si>
  <si>
    <t>Move permission-less tests to device side
The only tests remaining on host side are tests that need the tradefed
contentprovider, need a runtime permission or --no-isolated-storage
instrumentation flag.
BUG: 159593019
Test: atest ScopedStorageDeviceOnlyTest
Change-Id: I611c4753aa8e272ed81614126a524d55d613b4d6
Merged-In: I611c4753aa8e272ed81614126a524d55d613b4d6
(cherry picked from commit 0138863190bbcf9572442132b155155dce02a367)</t>
  </si>
  <si>
    <t>Revert "Cherrypick from: https://android-review.googlesource.com..."
Revert "Rebase to master@ 6976336"
Revert "Rebase to master@ 6976336 and copy the change in ag/12999372"
Revert "Cherrypick from: https://android-review.googlesource.com..."
Revert "Rebase to master@ 6976336"
Revert "Cherrypicked from https://android-review.git.corp.google..."
Revert "Cherrypicked from https://android-review.googlesource.co..."
Revert "Rebase to master@ 6976336"
Revert "Rebase to master@ 6976336"
Revert "Cherrypicked from https://android-review.googlesource.co..."
Revert "Rebase to master@ 6976336"
Revert submission 13068802-rebase_tf_173451928
Reason for revert: It leads to test flakiness and the coverage tests are not executed at all: https://b.corp.google.com/issues/173451928#comment47
Reverted Changes:
I249714c9e:Cherrypick from aosp/1478357.
I572e5c2ad:Cherrypick from https://android-review.googlesourc...
I56119259a:Cherrypicked from https://android-review.git.corp....
Id204d5385:Update build api library.
I9693182b7:Cherrypicked from https://android-review.googlesou...
I270764875:Cherrypicked from https://android-review.googlesou...
Iccd4e0e52:Cherrypick from: https://googleplex-android-review...
I69ef44a39:Cherrypick from: https://android-review.googlesour...
Ia9303dd1f:Cherrypick from: https://android-review.googlesour...
I569229605:Rebase to master@ 6976336
I58902ca81:Rebase to master@ 6976336 and copy the change in a...
I32e150372:Rebase to master@ 6976336
I3460d928c:Rebase to master@ 6976336
I63e2bedb6:Rebase to master@ 6976336
I82c2f9159:Rebase to master@ 6976336
Change-Id: Ic276b04dc617e144c14df24c221e2685ace355a0
Merged-In: I69ef44a3927f1fdc3763b933328592dfa73d8bf4</t>
  </si>
  <si>
    <t>Add BG-FGS-launch restriction test cases for temp AllowList types and retail demo mode.
1. Add test case testTempAllowListType to test temp allowlist.
2. Add test case testFgsStartRetailDemoMode.
3. Rename the test testFgsStartTempAllowList to testFgsStartAllowList,
it test DeviceIdleController allowlist.
Bug: 171305836
Test: atest cts/tests/app/src/android/app/cts/ActivityManagerFgsBgStartTest.java#testTempAllowListType
Test: atest cts/tests/app/src/android/app/cts/ActivityManagerFgsBgStartTest.java#testFgsStartRetailDemoMode
Test: atest cts/tests/app/src/android/app/cts/ActivityManagerFgsBgStartTest.java#testFgsStartAllowList
Change-Id: I56457428caa47ea2faa32cdafed737ebd4897d16</t>
  </si>
  <si>
    <t>Migrate cts/hostsidetests/statsd to packages/modules/StatsD
Bug: 167962588
Test: m -j60 dist (crosshatch-userdebug)
Test: TH
Change-Id: If9619cb6ab2ae9c83cbfd0fcc1a6a19b9967c136</t>
  </si>
  <si>
    <t>Revert "Reland "Implement PacProcessor tests."""
This reverts commit 1d23325c7c40ba1953c0e9a144760cc71bc5466c.
Reason for revert: b/175301082
Change-Id: Ia6df31f258c6710d8d379837eeb97a5c635e5182</t>
  </si>
  <si>
    <t>Merge history of cts/hostsidetests/statsd
BUG: 167962588
Test: TH
Merged-In: I172e85e2246089839d2f29cb589999d636c01136
Change-Id: I339548456ae51a61fca9b4ff353e429514628f3f
Exempt-From-Owner-Approval:Cleanup CL</t>
  </si>
  <si>
    <t>Remove BIND_SLICE permission and execute sts test
This permission is no longer present in platform.
Replace Test with SecurityTest Annotation in SliceProviderTest
Test: Manual
Bug: 174447213
Change-Id: Ieb9238890c545fa5c26991c060be23637f94d70f</t>
  </si>
  <si>
    <t>remove duplicate test
SliceProviderTest.kt already contains all test cases in
SliceProviderTest.java, so removing the later to avoid code duplication.
Bug: 174447213
Test: manual
Change-Id: I860b0a237e33d37d1f78cd8c7dc51b3370515011</t>
  </si>
  <si>
    <t>Remove DeviceAdminWorkProfileTest
This is apparently causing instrumentation failures in other modules.
This is not currently needed, so can be removed for now. The cause of
the failing instrumentation needs to be more fully investigated.
Test: Removed test...
Fixes: 175351209
Change-Id: I4d83b0f7e14c906cf7d913438e5e2f524fe5081d</t>
  </si>
  <si>
    <t>Merge history of cts/hostsidetests/statsd
BUG: 167962588
Test: TH
Merged-In: I18cb97920d88c7af3701f5f85a78d26b87996685
Change-Id: I0a20d8311761aee024585b8196829ed3c613d315
Exempt-From-Owner-Approval: Code cleanup</t>
  </si>
  <si>
    <t>Merge history of cts/hostsidetests/statsd
BUG: 167962588
Test: TH
Merged-In: If9619cb6ab2ae9c83cbfd0fcc1a6a19b9967c136
Change-Id: I587aefd8ab26a052b428e0aceeb4195776f2535e
Exempt-From-Owner-Approval: Code cleanup</t>
  </si>
  <si>
    <t>Merge history of cts/hostsidetests/statsd
BUG: 167962588
Test: TH
Merged-In: I587aefd8ab26a052b428e0aceeb4195776f2535e
Change-Id: Id94c466e3fd46c0bcca8e47aa73a204695946c4a
Exempt-From-Owner-Approval: cleanup CL</t>
  </si>
  <si>
    <t>transcoding: Disable testHevcTranscoding1080PVideo1FrameWithAudio
Transcoding video with one frame and audio is failing.
Disable the test until the bug is fixed.
Test: none as disable test.
Bug: 175641397
Change-Id: I7e6db7df7fa5b3e9c7b6465a36c21083b980b326</t>
  </si>
  <si>
    <t>Remove MediaOutputPanel test for SettingsPanels
Bug: 155822415
Test: atest SettingsPanelTest
Merged-In: Ica518af86fe22b95a326f33404ef69d6bfc7f0ff
Change-Id: Ica518af86fe22b95a326f33404ef69d6bfc7f0ff
(cherry picked from commit 45ea237dd937067be1233d14c2527bd893a4cfea)</t>
  </si>
  <si>
    <t>RCS Provisioning APIs for Single Registration
Bug: 154864150
Test: atest FrameworksTelephonyTests:com.telephony.ims.RcsConfigTest
Test: atest TeleServiceTests:com.android.phone.RcsProvisioningMonitorTest
Test: atest CtsTelephonyTestCases:android.telephony.ims.cts.ImsServiceTest
Change-Id: I92d498950f066a8070d43e571e9f5c7c155c3f21</t>
  </si>
  <si>
    <t>HDMICEC: Move 10.2.3-1 logical address to common
Bug: 173183889
Test: atest HdmiCecLogicalAddressTest#cect_RebootLogicalAddress
Change-Id: I4ddaff2b5807cb897eeea7931d2782be1cc00311</t>
  </si>
  <si>
    <t>Port AppSearch CTS tests to the CTS tree.
Tests are moved from coretests and ported to the AppSearch test
utils/shims.
These tests are ported semi-manually for now, but work is ongoing to
improve the export script so the required changes are made
automatically.
GlobalSearchSessionCtsTest is not yet supported.
Bug: 170997047
Bug: 162450968
Bug: 175661706
Test: CtsAppSearchTestCases
Change-Id: I5ed00b7aea6f75479ff1c8198ac3a851db4227a1</t>
  </si>
  <si>
    <t>Faster tests: move tests, install once, stop waiting
* Move more tests from host side (ScopedStorageTest) to device only. To
do this, got rid of the tradefed contentprovider,
which was used only to do file operations in favor of a legacy helper
app.
* Got rid of 2 second waiting after granting permissions.
* Made test apps installed at test set up time for the host tests under
CtsScopedStorageHostTest. This is done via target preparer. Moved test
app installations for CtsScopedStorageDeviceOnlyTest also to target
preparer. Since this grants all runtime permissions, renamed the test
app package names to be more explicit in the permissions they hold.
This makes main host + core host + device tests together twice as fast
as before.
BUG: 159593019
Test: atest CtsScopedStorageDeviceOnlyTest
Test: atest CtsScopedStorageHostTest
Test: atest CtsScopedStorageCoreHostTest
Change-Id: I80c99ce0fe6053d59184990918406588feab4b2f</t>
  </si>
  <si>
    <t>Modify the test cases
Resets the focus indicator to the default value when the test case
is finished because the changed focus indicator would not be reset
when the service is disable.
Bug: 175732114
Test: atest AccessibilityFocusAndInputFocusSyncTest
Change-Id: I91cf0d42d2493e845802cdf0ba81f46ac2d8a5e7</t>
  </si>
  <si>
    <t>Faster tests: move tests, install once, stop waiting
* Move more tests from host side (ScopedStorageTest) to device only. To
do this, got rid of the tradefed contentprovider,
which was used only to do file operations in favor of a legacy helper
app.
* Got rid of 2 second waiting after granting permissions.
* Made test apps installed at test set up time for the host tests under
CtsScopedStorageHostTest. This is done via target preparer. Moved test
app installations for CtsScopedStorageDeviceOnlyTest also to target
preparer. Since this grants all runtime permissions, renamed the test
app package names to be more explicit in the permissions they hold.
This makes main host + core host + device tests together twice as fast
as before.
BUG: 159593019
Test: atest CtsScopedStorageDeviceOnlyTest
Test: atest CtsScopedStorageHostTest
Test: atest CtsScopedStorageCoreHostTest
Change-Id: I80c99ce0fe6053d59184990918406588feab4b2f
Merged-In: I80c99ce0fe6053d59184990918406588feab4b2f
(cherry picked from commit 6ef52f01f25ae198973721b31b1513b525f4e356)</t>
  </si>
  <si>
    <t>RCS Provisioning APIs for Single Registration
Bug: 154864150
Test: atest FrameworksTelephonyTests:com.telephony.ims.RcsConfigTest
Test: atest TeleServiceTests:com.android.phone.RcsProvisioningMonitorTest
Test: atest CtsTelephonyTestCases:android.telephony.ims.cts.ImsServiceTest
Merged-In: I92d498950f066a8070d43e571e9f5c7c155c3f21
Change-Id: I92d498950f066a8070d43e571e9f5c7c155c3f21</t>
  </si>
  <si>
    <t>[RESTRICT AUTOMERGE] Remove unnecessary tests
BUG: 156260178
BUG: 175532471
BUG: 175667905
Test: atest CtsAppTestCases
Test: atest CtsProviderTestCases
Change-Id: I61fbf914028879d750650850253e615354ad34ac</t>
  </si>
  <si>
    <t>Revert "Added audio playback configuration CTS test"
Revert submission 13138779-device_id_push_work
Reason for revert: Breaking device tests, see b/176043355
Reverted Changes:
I859d33a4a:Added update device info playback configuration
Icbd1d430b:Added audio playback configuration CTS test
I4a8409d95:Added device info playback config for Open SL ES
I365bafc95:Added update device info playback configuration
I802269fea:Added device info playback config for native playe...
Change-Id: Iee7275801802e2ee8d2331d5e083e55598644f40</t>
  </si>
  <si>
    <t>Modify CTS tests to work with extended PermissionState puller
Test: atest PermissionState
Bug: 154373877
Change-Id: Iad915b78b5531979db652662b6f278d09bf72cb9</t>
  </si>
  <si>
    <t>Add CTS tests
For deprecated status behavior, for antenna info changes, etc.
Bug: 153129152
Test: atest LocationManagerFineTest
Change-Id: Id9f9c6a9b053638adb93dc832ac08e69f45f288a</t>
  </si>
  <si>
    <t>Remove AUTOFILL_TYPE_RICH_CONTENT and related code
Bug: 168837034
Test: atest CtsWidgetTestCases:TextViewOnReceiveContentTest
Change-Id: I8c7811455746526d487106dfad0440da6412ca45</t>
  </si>
  <si>
    <t>Move password-related test to older API level
Move the PasswordMinimumRestrictionsTest to a test
that targets API level 25.
This is a temporary change until a new test is created that
targets API level 30 (R) and at least one other test can be added
to it.
Bug: 176436445
Test: atest com.android.cts.devicepolicy.MixedManagedProfileOwnerTestApi25#testPasswordMinimumRestrictions
Change-Id: Ie9de5016229860281386372dbc917269daba4f5a</t>
  </si>
  <si>
    <t>Remove setEffectStrength from VibrationEffect.Prebaked
VibrationEffect are now all immutable, and the strength should be set in
the constructor instead.
Test: atest android.os.cts.VibrationEffectTest
Bug: 131311651
Change-Id: Ie1b0096a2e5c8356adfb7908b9b2002212e0a5c3</t>
  </si>
  <si>
    <t>Wifi CTS: move NsdManagerTest to Net CTS
NsdManagerTest is not owned by Wifi, so it doesn't
belong in Wifi CTS.
Bug: 176902925
Test: atest CtsWifiTestCases
Change-Id: I074ee7a5a5570a0e3775cd436ee363c73f6e30d1</t>
  </si>
  <si>
    <t>Revert "[sts] security test for invalid font size scales"
This reverts commit 4082124096862b4d0fdd891f9aab2e9ee8e949b7.
Reason for revert: per discussion with Manjae, these tests share the same coverage of existing cts tests such as ag/13170098. We will just add @SecurityTest annotation in that test and make sure that is included in the STS modules.
Change-Id: Ica47b05b28a04a8fa111cd2a3d5dad07b7d81644</t>
  </si>
  <si>
    <t>Adds a feature split for the SplitTests
- Renames feature split to feature_warm split, and also renames the
  Theme_Feature to Theme_Warm basing on its color style.
- Adds a feature split named feature_rose and creates a custom theme
  `Theme_Rose` which inherites from the `Theme_Base` and inside
  the base split. Test that the context of two feature splits could
  read and apply the themes each other correctly.
Bug: 173762276
Test: atest android.appsecurity.cts.SplitTests
Change-Id: I422f960796afbffba09bf74a044f01422938a916</t>
  </si>
  <si>
    <t>Revert "WifiLocationTest: Add test for Wifi TransportInfo"
Revert "WifiInfo: Embed location sensitive TransportInfo"
Revert submission 13274595
Reason for revert: DroidMonitor: Potential culprit for Bug 177390648 - verifying through Forrest before revert submission. This is part of the standard investigation process, and does not mean your CL will be reverted.
Reverted Changes:
Ibcf0c6711:WifiInfo: Embed location sensitive TransportInfo
Ic68546e2a:WifiService: Use WifiInfo for masking
Ie522d8c75:NetworkCapabilities: Embed location senstive Trans...
Iaf0fef999:WifiLocationTest: Add test for Wifi TransportInfo
I017de6d4c:ClientModeImpl: Fill info elements for connected b...
I384c9321e:WifiInfo: Add info elements for connected bssid
Change-Id: Ib3bef2a09eb2dbb5f46c785a2647c8b94018a6ef</t>
  </si>
  <si>
    <t>Test DPC on BYOD cannot read hardware identifiers
Test that a Device Policy Controller of a work profile on a personal
device cannot read hardware identifiers (serial number, IMEI, MAC
address, etc).
Bug: 168627890
Test: com.android.cts.devicepolicy.ManagedProfileTest#testProfileOwnerOnPersonalDeviceCannotGetDeviceIdentifiers
Change-Id: I23f87c3dd41d71b45dc82f58c8448bd1bf2fa49a</t>
  </si>
  <si>
    <t>Do now throw exception when activation code is empty
Bug: 169276772
Test: atest android.telephony.euicc.cts.DownloadableSubscriptionTest
Change-Id: Ie74565c93cf5750cab8b699d6748c2b0713e89ef</t>
  </si>
  <si>
    <t>Keystore CTS: Remove Entropy consumed test.
Test: N/A
Change-Id: I255f48fa54ca83b3ce5e358cb4a87beee83302f6</t>
  </si>
  <si>
    <t>transcoding: Remove test for SlowMotion in ApplicationMediaCapabilities.
SlowMotion will not be exposed in Android S. So remove all the test
for now.
Bug: 178001803
Test: atest  CtsMediaTranscodingTestCases:ApplicationMediaCapabilitiesTest
Change-Id: I19adfe7ef0814b6ca442e1eda52dc2ce6be0b456</t>
  </si>
  <si>
    <t>Improving CtsDevicePolicyManagerTestCases by using assumeTrue().
Also removed some split user checks and tests.
To be continued...
Test: atest CtsDevicePolicyManagerTestCases:DeviceOwnerTest
Test: atest CtsDevicePolicyManagerTestCases:HeadlessSystemUserDeviceOwnerTest
Bug: 177547285
Bug: 177965931
Bug: 137101239
Change-Id: Ia664e02ad930eec5bf7fcc21354d7852d5846cef</t>
  </si>
  <si>
    <t>Revert "[cts] tests for settings readable fields"
Revert submission 13355582-settings_readable
Reason for revert: b/178340718
Reverted Changes:
Id1f133d52:[cts] tests for settings readable fields
I8a2733580:[SettingsProvider] @Readable annotation to restric...
Change-Id: I9770bab89d39c52424fb5ad8f99524a27de13e8f</t>
  </si>
  <si>
    <t>Revert "[cts] tests for settings readable fields"
Revert submission 13355582-settings_readable
Reason for revert: b/178340718
Reverted Changes:
Id1f133d52:[cts] tests for settings readable fields
I8a2733580:[SettingsProvider] @Readable annotation to restric...
Change-Id: I9770bab89d39c52424fb5ad8f99524a27de13e8f
(cherry picked from commit 1ca518c1ec75b8307126991ae2d253911b2be10c)</t>
  </si>
  <si>
    <t>Comment out testGrantForegroundRuntimePermission22
JUnit 3 tests don't support @Ignore.
Test: test is ignored.
Bug: 177967885
Change-Id: Id22d480c35e02a989731f2075d99d101e3adcd8e</t>
  </si>
  <si>
    <t>Do now throw exception when activation code is empty
Bug: 169276772
Test: atest android.telephony.euicc.cts.DownloadableSubscriptionTest
Change-Id: Ie74565c93cf5750cab8b699d6748c2b0713e89ef
Merged-In: Ie74565c93cf5750cab8b699d6748c2b0713e89ef</t>
  </si>
  <si>
    <t>Add Nene APIs to create and remove users.
Test: atest NeneTest
Bug: 167945074
Change-Id: Ie6c5507c30b446248afa30fbff56f31d9e956590</t>
  </si>
  <si>
    <t>Comment out testGrantForegroundRuntimePermission22
JUnit 3 tests don't support @Ignore.
Test: test is ignored.
Bug: 177967885
Change-Id: Id22d480c35e02a989731f2075d99d101e3adcd8e
(cherry picked from commit fa59f3619cb53ca6dc028257425bf9fd732b80c5)</t>
  </si>
  <si>
    <t>Add Nene APIs to create and remove users.
Test: atest NeneTest
Bug: 167945074
Change-Id: Ie6c5507c30b446248afa30fbff56f31d9e956590
(cherry picked from commit e61862fbf2ee482f7c6bf12c796e242f7292a544)</t>
  </si>
  <si>
    <t>Refactor query interface.
This removes the responsibility of each individual event type to define
all query options. Previously for example every event logged about an
Activity lifecycle would need to repeat the querying logic to query an
Activity. With this change they just return an ActivityQueryHelper and
then we can modify those options and have it apply to everything.
Test: atest EventLibTest
Bug: 170458200
Change-Id: I6b081d236996e0e15e61cc31b41c2ffa81eb40b8</t>
  </si>
  <si>
    <t>Fix test with API changes
Bug: 177877098
Test: atest WifiManagerTest CtsVerifier
Change-Id: I6ac0bb1a3676392c4dbc755d6f137782240f74eb</t>
  </si>
  <si>
    <t>Refactor query interface.
This removes the responsibility of each individual event type to define
all query options. Previously for example every event logged about an
Activity lifecycle would need to repeat the querying logic to query an
Activity. With this change they just return an ActivityQueryHelper and
then we can modify those options and have it apply to everything.
Test: atest EventLibTest
Bug: 170458200
Change-Id: I6b081d236996e0e15e61cc31b41c2ffa81eb40b8
(cherry picked from commit 9c45f4205f7275431f35df51dbf72fee53c5c43f)</t>
  </si>
  <si>
    <t>Remove HdmiControlManagerHostTest
These tests have been moved to instrumentation tests.
Bug: 174345748
Test: atest HdmiControlManagerTest
Change-Id: Ic59cee53810dcd8e03b67db31a74e8088f15af56</t>
  </si>
  <si>
    <t>CTS: remove VulkanSurfaceSupportTest
The api implementation is wrong, and it no longer needs a cts.
Bug: 77853189
Test: build
Change-Id: I6d78e9fa34c35f6c43b5400a281dd997a8275fda</t>
  </si>
  <si>
    <t>Removing TrustedVoice tests since trustlet_voiceunlock was removed from GMSCore a few months ago.
Change-Id: I70c351c088cef44af34bad57acbae18b16d598fe
Bug: 179442452
Change-Id: I70c351c088cef44af34bad57acbae18b16d598fe</t>
  </si>
  <si>
    <t>[RESTRICT AUTOMERGE] Remove unnecessary tests
BUG: 156260178
BUG: 175532471
BUG: 175667905
BUG: 179476904
Test: atest CtsAppTestCases
Test: atest CtsProviderTestCases
Change-Id: I61fbf914028879d750650850253e615354ad34ac
Merged-In: I02c8a47364f9a2e6cabb65d47a394efcdf1f8812</t>
  </si>
  <si>
    <t>Allow RESTRICTED bucket to be on by default.
Bug: 155670438
Test: atest AppStandbyControllerTests
Test: atest CtsJobSchedulerTestCases
Test: atest CtsUsageStatsTestCases:UsageStatsTest
Change-Id: Id1104fe0e25bf94ecae513b12e17da753150e14a</t>
  </si>
  <si>
    <t>Add .start() and .stop() user APIs.
Test: atest NeneTest
Change-Id: I8e004c75cfed77d640644947cc7d5348c36083cd</t>
  </si>
  <si>
    <t>Revert "Add test to ensure enforceCrossUserPermission of getPackagesForUid"
This reverts commit 03104aae3963e395ab9681f2b540b7168fa52849.
Reason for revert: Test not reverted when behavior change was
Fixes: 179791281
Change-Id: Ia5da17234f63d63ea8031efa3370fe8009a79a58</t>
  </si>
  <si>
    <t>Temporary fix for SimPhonebook continuous test failures
The ATP cts/release/special-sim test is failing because the SIMs used
for the devices don't appear to support SDN. Also the PIN2 for FDN is
wrong. Temporarily ignoring some of the tests and updating others to
make only validate the FDN and SDN behavior when they are supported.
Bug: 170114185
Bug: 179710618
Test: atest CtsSimPhonebookProviderTestCases
Change-Id: Ib84fe752657a2f8c54cafcc38cc6b2fd80f13b4f</t>
  </si>
  <si>
    <t>Updating SimPhonebook CTS tests for UCS-2 support
Test: atest CtsSimPhonebookProviderNoSimTestCases CtsSimPhonebookProviderTestCases
Bug: 154363919
Change-Id: I8ae4955649f4a2f9e7030cda34c8c124ffd24719</t>
  </si>
  <si>
    <t>Update updateFontFile signature in tests.
Bug: 179103383
Test: atest CtsGraphicsTestCases:FontManagerTest
Change-Id: I81dc4294d10c01ab4b741ac7800757a607360c51</t>
  </si>
  <si>
    <t>Add .packages() to Nene.
The API is similar to .users() - Every method relating to packages must
specify the user it applies to. I also experimented with an alternative
api which looks like `testApis.forUser(user).packages()....` but it
becomes a lot more complex, as we need to maintain a set of APIs which
apply to all users and one which applies to individual users.
Bug: 180293870
Test: atest NeneTest
Change-Id: I61515f8bd0299fdd2459f97f5018b77cd97fb651</t>
  </si>
  <si>
    <t>Delete incidentd related alarm proto tests
These tests are for proto dumps that are no longer used or have plans
for active development.
Test: atest CtsIncidentHostTestCases
Fixes: 178823023
Change-Id: I66d74f2fa988f7c2c8f97b714ee761c374f1d620</t>
  </si>
  <si>
    <t>Revert "Add CTS tests for TextToSpeech connection related functi..."
Revert submission 13547465-ttsproxy
Reason for revert: Setup wizard crashes due to "Service not registered: android.speech.tts.TextToSpeech$SystemConnection"
Reverted Changes:
Id4059e460:Add CTS tests for TextToSpeech connection related ...
Ie17800bae:Add a system TextToSpeech implementation that init...
Bug: 180519958
Change-Id: I2f927b3a01a716d7e0cdde1a157c758ee9da4938
Test: Locally reverted this change and no longer see the exception in SUW we saw before.</t>
  </si>
  <si>
    <t>Update tests to require .fsv_sig for .dm on supported devices
Bug: 180414192
Test: run on a device that supports fs-verity, with feature flag enabled
      and disabled
Test: run on a device that does not support fs-verity
Change-Id: Ia35ab103f5b3af928b4530d135fad4e01535080e</t>
  </si>
  <si>
    <t>Remove unnecessary permission check.
There's no reason for getPowerSaveModeTrigger to require the POWER_SAVER
permission. The API is only marked as a SystemApi because it was designed
for a specific use case and 3rd party apps don't need to know the
information, but there's no problem if they get the value. All the value
tells you is whether the device will turn on battery saver automatically
based on the percentage level or if it'll turn on automatically based on
a different dynamic signal.
Bug: 174241855
Test: atest android.os.cts.PowerManagerTest
Test: atest android.permission.cts.PowerManagerServicePermissionTest
Test: atest CtsPermission2TestCases
Test: atest SettingsProviderTest
Change-Id: I3336a87f4210f871d01d2e64d309828a63c09bc8</t>
  </si>
  <si>
    <t>transcoding: Grant android.permission.WRITE_MEDIA_STORAGE to transcoding
test.
Also disable the foreward PID/UID test given we only allow MediaProvider
to access the
Bug: 179496636
Test: atest  CtsMediaTranscodingTestCases:MediaTranscodeManagerTest
Change-Id: Icfe6f039284e74867b7bddb30d310508a48c5b9f</t>
  </si>
  <si>
    <t>Extract common utils for testing stretch EdgeEffect.
Many classes will need to test the stretch EdgeEffect in
a similar way, so this CL extracts the common test behavior
into a utility.
Bug: 178807038
Test: Ran ScrollViewTest and HorizontalScrollViewTest
Change-Id: I11f086d5aa0eff389cfd0c3e2e8fafcbec978712</t>
  </si>
  <si>
    <t>Add tests to validate MTE on non-MTE HW, and fix release -user builds.
This patch does a couple of things:
 1. Adds tests to validate the behaviour of the MTE compat feature
 on non-MTE HW, which should be a no-op. Devices that
 don't have MTE support should get TBI if MTE was requested (it's easy
 to make a mistake and make it fall back to 'none').
 2. Collapse the permutations of -userdebug, -eng, -user (preview), and
 -user (release) builds. We now force the tests to run under the most
 restrictive mode, which is the -user (release) option. This is not only
 the most feasible option (you can become more restrictive, but not more
 permissive), but it's also the option that our users will most likely
 be using, as these flags are for app developers using shipped devices.
 3. Some minor cleanup and reformatting here and there.
Bug: 180647159
Test: atest com.android.cts.tagging;
Test: ... on:
Test: - Pixel 3 -user build, no kernel TBI support.
Test: - Pixel 4 -user build, full pointer tagging feature support.
Test: - MTE QEMU simulator -userdebug.
Test: - x86_64 cuttlefish -userdebug, no aarch64 TBI support.
Change-Id: I7131ee49b162e4de5f03d89fba8fe4f7b25b7ff5</t>
  </si>
  <si>
    <t>Add tests to validate MTE on non-MTE HW, and fix release -user builds.
This patch does a couple of things:
 1. Adds tests to validate the behaviour of the MTE compat feature
 on non-MTE HW, which should be a no-op. Devices that
 don't have MTE support should get TBI if MTE was requested (it's easy
 to make a mistake and make it fall back to 'none').
 2. Collapse the permutations of -userdebug, -eng, -user (preview), and
 -user (release) builds. We now force the tests to run under the most
 restrictive mode, which is the -user (release) option. This is not only
 the most feasible option (you can become more restrictive, but not more
 permissive), but it's also the option that our users will most likely
 be using, as these flags are for app developers using shipped devices.
 3. Some minor cleanup and reformatting here and there.
Bug: 180647159
Test: atest com.android.cts.tagging;
Test: ... on:
Test: - Pixel 3 -user build, no kernel TBI support.
Test: - Pixel 4 -user build, full pointer tagging feature support.
Test: - MTE QEMU simulator -userdebug.
Test: - x86_64 cuttlefish -userdebug, no aarch64 TBI support.
Change-Id: I7131ee49b162e4de5f03d89fba8fe4f7b25b7ff5
Merged-In: I7131ee49b162e4de5f03d89fba8fe4f7b25b7ff5</t>
  </si>
  <si>
    <t>Remove the BatteryStatsDump test
Bug: 173141593
Test: TH
Change-Id: I6ba09796c4b9a80580c714b4bd3bd3e6b15b7d4a</t>
  </si>
  <si>
    <t>All DeviceState calls now go through Nene.
Test: atest NeneTest
Test: atest CtsDevicePolicyTestCases
Change-Id: I438247b37a8a96e8df722340876592b60dcd06ba</t>
  </si>
  <si>
    <t>Revert "Adding new CTS test for the API display#getDeviceProductInfo"
Revert submission 13552775-expose DisplayInfo.deviceProductInfo
Reason for revert: broken test android.compat.sjp.cts.StrictJavaPackagesTest#testBootClassPathAndSystemServerClasspath_nonDuplicateClasses
    on git_sc-dev on cf_x86_64_phone-userdebug at 7162420
Bug: 181021245
Reverted Changes:
Id6767127f:Adding aidl file to share deviceProductInfo consta...
I6959d2829:Adding public API to expose DisplayInfo.deviceProd...
I720dbfe84:Adding new CTS test for the API display#getDeviceP...
I6c726e12c:Changes in tvsystem/ DeviceProductInfo to mirror c...
Change-Id: I0fdbca2d934cd76002831ab2f3133eb2a18b7acc</t>
  </si>
  <si>
    <t>Update UWB tests due to API changes
Updates the UWB tests due to changes in the AngleOfArrivalMeasurement
and AngleMeasurement objects.
Bug: 180395817
Test: atest UwbManagerTests CtsUwbTestCases
Change-Id: Ifb992449448541a552d7d544824f18f36bdc3e35</t>
  </si>
  <si>
    <t>Convert StartProfilesTest to use newest infrastructure.
Bug: 180700120
Test: atest NeneTest
Test: atest CtsDevicePolicyTestCases
Change-Id: Ib8a4cd8e85898cbbd2680db454bc51ffefae250f</t>
  </si>
  <si>
    <t>Add backwards compatible support for UserTypes to Nene.
This will be followe with adding the ability to create profiles, which
can then be used in Harrier.
Test: atest NeneTest
Bug: 180307892
Change-Id: I139c2cb25874ac036f0a944822564e6ccfa43401</t>
  </si>
  <si>
    <t>CTS: Remove redundant test for ".ota" extension
This test was redundant with the
containsAllStockAndroidMappings_mimeToExt() test which is
already testing this, since this mapping is in
frameworks/base/mime/java-res/android.mime.types
We remove this to remove potential confusion for the reader, and
also so if the ".ota" mapping is changed in the android.mime.types
file in the future, this test suite will remain consistent
without modification.
Bug: 136096979
Test: TreeHugger
Change-Id: I754dce421bd172bc271607537d0625bb5f435629</t>
  </si>
  <si>
    <t>Remove the BatteryStatsDump test
Bug: 173141593
Test: TH
Change-Id: I6ba09796c4b9a80580c714b4bd3bd3e6b15b7d4a
Merged-In: I6ba09796c4b9a80580c714b4bd3bd3e6b15b7d4a
(cherry picked from commit 83d6781e60e445f82d7d46f2fe5177466bfa9889)</t>
  </si>
  <si>
    <t>DO NOT MERGE Remove test cases related to SampleRate
In Android R, there is no CDD for sampleRate. In this case, remove
all test cases which are related to the sampleRate.
Bug: 170673231
Test: atest CtsCarTestCases:CarPropertyManagerTest
Change-Id: If1b7bdb2ae5ed43df0e7bb5792a1b74dd33abfc3</t>
  </si>
  <si>
    <t>Revert "Add test for new exposed getNrState API"
This reverts commit e25704d8305e8f7a556987f20a2bb869adb86e49.
Reason for revert: &lt;API is reverted&gt;
Change-Id: I0c71bdfe5387432cde25f7ed897c1d78da45017e</t>
  </si>
  <si>
    <t>Hiding back AudioAttributes#usageToString(int)
Bug: 181015046
Test: atest CtsMediaTestCases:android.media.cts.AudioAttributesTest
Test: atest com.android.mediaframeworktest.unit.AudioAttributesUnitTest
Test: atest com.android.car.custominput.sample.unittest.CustomInputEventListenerTest
Change-Id: Ifd9b2ff4fcd19509bf6cf573553d660c6d6c02b8</t>
  </si>
  <si>
    <t>Add CTS tests for android:dataExtractionRules
Verify that:
* include / exclude rules are parsed correctly
* include / exclude rules are applied only to the relevant operation
  (i.e. backup or transfer)
* android:dataExtractionRules has priority over
  android:fullBackupContent
Bug: 180522596
Test: atest FullBackupRulesHostSideTest
Change-Id: I2b249314ed5c0847c279aba4197edd9abeaa4ab8</t>
  </si>
  <si>
    <t>[Media ML] Let MCS manage MediaSession2
This CL adds
- MediaCommunicationManager#notifySession2Created
- MediaCommunicationManager#getSession2Tokens
, which replaces the same methods in MediaSessionManager
to let MediacommunicationService manage MediaSession2.
MediaSessionService gets notified of created MediaSession2 instances
by adding a callback to MCM.
Bug: 180417011
Test: atest MediaSessionManagerTest MediaCommunicationManagerTest
Change-Id: Ib59c0e62ca9c6814213a73c31dc286d796eae14e</t>
  </si>
  <si>
    <t>Remove the SimsPowerRule in SimPhonebookProvider tests
There were only 2 tests that required the SIM to be off. One of them was
low value and so was removed and so it made sense to inline the stuff
in the rule in the one remaining test.
Test: atest CtsSimPhonebookProviderTestCases \
CtsSimPhonebookProviderNoSimTestCases
Change-Id: Ifff8345c965c15ac8c84a2b13c682a93294991d0</t>
  </si>
  <si>
    <t>Revert "Add cts for InputMethodService configChanges"
Revert submission 13417792-b/167948419
Reason for revert: Causes bugs like b/181195100
Reverted Changes:
Iff88b768c:Avoid IME restart for configChanges
Ib7ce13340:Add cts for InputMethodService configChanges
Bug: 167948419
Fix: 181195100
Change-Id: I737b1af4773008045b293e49f24e7e7e17e6d7d1</t>
  </si>
  <si>
    <t>Revert "Adding tests for AudioManager CarVolumeCallbacks"
This reverts commit 9f49a7164a4f4ba8bc6c01bb7875425941f01e7a.
Reason for revert: Breaking presubmit tests
Change-Id: I7f5a952353709c17a47279939b46d8291f39bca4</t>
  </si>
  <si>
    <t>Add CTS tests for APN type conversions
Add tests for the methods that convert between string APN types and int
APN types.
Bug: 173133122
Test: atest ApnSettingTest
Change-Id: Iea70123d768a2e5a6d4bc2e75a0d63260974c03d
Merged-In: Iea70123d768a2e5a6d4bc2e75a0d63260974c03d</t>
  </si>
  <si>
    <t>[PhoneStateListener] Revert the test to R version and add new test
Bug: 167684594
Test: make and atest TelephonyCallbackTest
Change-Id: I9fd195882f8131914263f57678ff5ea4ca7db5c2</t>
  </si>
  <si>
    <t>Add DeviceAdminApp.
This is a dependency which replaces the boilerplate to be set as
DeviceAdmin.
This also modifies EventLib so it correctly gets the needed permissions
before binding cross user, and CtsDevicePolicyTestCases to use
DeviceAdminApp.
Test: atest EventLibTest
Test: atest DeviceAdminAppTest
Test: CtsDevicePolicyTestCases
Bug: 177657337
Change-Id: Ifc616a19190b88aee2899cf40c33e998f7edbdde</t>
  </si>
  <si>
    <t>Remove startUser_userIsStopping_noBroadcastIsReceived test.
This is intrinsically flaky because it depends on running the startUser
before the user has finished stopping. Sometimes the stopping happens
too fast so it just flakes.
Test: atest CtsDevicePolicyTestCases
Bug: 181207615
Change-Id: Ieec602174b4f981480b49fbdce54894f7b108354</t>
  </si>
  <si>
    <t>STS remove test for CVE-2017-13279
Causes lots of flakiness on low-memory devices.
This CVE would be classified as moderate under the latest severity
matrix.
Bug: 74612220
Test: none
Change-Id: Ie7465c704fedb8d0226036eadfc41aa9a6089c0d</t>
  </si>
  <si>
    <t>STS remove test for CVE-2017-13279
Causes lots of flakiness on low-memory devices.
This CVE would be classified as moderate under the latest severity
matrix.
Bug: 74612220
Test: none
Change-Id: Ie7465c704fedb8d0226036eadfc41aa9a6089c0d
Merged-In: Ie7465c704fedb8d0226036eadfc41aa9a6089c0d</t>
  </si>
  <si>
    <t>Keystore 2.0: Remove testBuilder_Encrypted_Success
Deprecated flag under test no longer has an effect.
Test: N/A
Change-Id: I87adfc64a05ae36640ad98558c827d4c1b9ad540</t>
  </si>
  <si>
    <t>[PhoneStateListener] Revert the test to R version and add new test
Bug: 167684594
Test: make and atest TelephonyCallbackTest
Change-Id: I9fd195882f8131914263f57678ff5ea4ca7db5c2
Merged-In: I9fd195882f8131914263f57678ff5ea4ca7db5c2</t>
  </si>
  <si>
    <t>Delete incidentd related alarm proto tests
These tests are for proto dumps that are no longer used or have plans
for active development.
Test: atest CtsIncidentHostTestCases
Bug: 179058756
Change-Id: I66d74f2fa988f7c2c8f97b714ee761c374f1d620
Merged-In: I66d74f2fa988f7c2c8f97b714ee761c374f1d620</t>
  </si>
  <si>
    <t>Revert "Add test case that loading font files in another package"
This reverts commit c9239353f9b933687cdfcfafc7b61d45cf94593e.
Reason for revert: test failure on instant apps
Bug: 182175479
Change-Id: Ia930291b8faaa540ade0b6fbc3d21a76c071d7a3</t>
  </si>
  <si>
    <t>Updated unittests for refactored classes.
Bug: 176208267
Bug: 177371091
Test: atest CtsTranslationTestCases
Change-Id: I21b34713b3dd4aacabb56e83ee1e68797b9cba09</t>
  </si>
  <si>
    <t>Update UWB tests due to API changes
Updates the UWB tests due to changes in the AngleOfArrivalMeasurement
and AngleMeasurement objects.
Bug: 180395817
Test: atest UwbManagerTests CtsUwbTestCases
Change-Id: Ifb992449448541a552d7d544824f18f36bdc3e35
Merged-In: Ifb992449448541a552d7d544824f18f36bdc3e35</t>
  </si>
  <si>
    <t>Revert "CTS tests for Ripple drawable material next"
This reverts commit d472e426a7e093dae9172360c4e2ed0a5540fd5a.
Reason for revert: hiding API
Change-Id: Iec62cff453571a625161cb110537a348dd54f5e3</t>
  </si>
  <si>
    <t>Add test cases for passing the model data to the trusted process
Bug: 176938619
Test: atest CtsVoiceInteractionTestCases
Change-Id: I22dc91ce422c0e45d3540cc59679f7d33ac1985a</t>
  </si>
  <si>
    <t>Revert "Add cts for InputMethodService configChanges"
Revert submission 13727407-167948419
Reason for revert:
Possible root cause of Bug 182604598.
Reverted Changes:
Ib94fddadb:Avoid IME restart for configChanges
Ieca327b2e:Add cts for InputMethodService configChanges
Bug: 167948419
Bug: 182604598
Test: presubmit
Change-Id: I4818492b465fcbcb09f68825ccad8055521f3fe5</t>
  </si>
  <si>
    <t>Add CTS test for onLinkCapacityEstimateChanged
Add CTS test for the new LinkCapacityEstimateChangedListener of
PhoneStateListener.
Remove CTS test for getCarrierBandwidth().
Bug: 176814680
Test: atest -c TelephonyCallbackTest
Change-Id: I1998c7e4906cf426204ce0260b9e2bfa92fe8725</t>
  </si>
  <si>
    <t>Revert "Add CTS test for onLinkCapacityEstimateChanged"
Revert "[Telephony] Notify onLinkCapacityEstimateChanged"
Revert "Remove the system API of getCarrierBandwidth()"
Revert submission 13662828-LceApi
Reason for revert: b/182869926, breaks errorprone
Reverted Changes:
I1998c7e49:Add CTS test for onLinkCapacityEstimateChanged
Id69fa8b7a:Integrate New LCE Api
I0cc020ba3:Remove the system API of getCarrierBandwidth()
Id613dc152:Add the LCE system API
If7cede0f4:[Telephony] Notify onLinkCapacityEstimateChanged
Change-Id: I9383bee816015b64f3eab60065d3bbd333f46dd1</t>
  </si>
  <si>
    <t>Add CTS test for onLinkCapacityEstimateChanged
Add CTS test for the new LinkCapacityEstimateChangedListener of
PhoneStateListener.
Remove CTS test for getCarrierBandwidth().
Bug: 176814680
Test: atest -c TelephonyCallbackTest
Change-Id: I34e27d407e4e1ff50fe10154c62f005f5df7b946</t>
  </si>
  <si>
    <t>Changing DEVICE_NR_CAPABILITY type and renaming getMaxActiveInternetData
DEVICE_NR_CAPABILITY_*: Using int array instead of bitmask
Rename getMaxActiveInternetData and remove SystemAPI
Rename getMaxActivePacketSwitchedVoiceCalls
Bug: 180419672
Test: atest CtsTelephonyTestCases:android.telephony.cts.TelephonyManagerTest#testGetPhoneCapabilityAndVerify
atest CellularNetworkValidatorTest
atest PhoneCapabilityTest
atest PhoneSwitcherTest
atest TelephonyRegistryTest
Change-Id: I54f8d2d733e9e501ca643cbf5d98e18e2d1afaa7</t>
  </si>
  <si>
    <t>Remove SplitPermissionTest#inheritGrantedPermissionStateStorage
Change-Id: I1b1e30904313c21cdb7ecc869638b2f42a61c4bd
Fixes: 182231510
Test: atest SplitPermissionTest</t>
  </si>
  <si>
    <t>Add CTS test for onLinkCapacityEstimateChanged
Add CTS test for the new LinkCapacityEstimateChangedListener of
PhoneStateListener.
Remove CTS test for getCarrierBandwidth().
Bug: 176814680
Test: atest -c TelephonyCallbackTest
Merged-In: I34e27d407e4e1ff50fe10154c62f005f5df7b946
Change-Id: I34e27d407e4e1ff50fe10154c62f005f5df7b946</t>
  </si>
  <si>
    <t>Remove SplitPermissionTest#inheritGrantedPermissionStateStorage
Change-Id: I1b1e30904313c21cdb7ecc869638b2f42a61c4bd
Bug: 182231510
Test: atest SplitPermissionTest</t>
  </si>
  <si>
    <t>Fix Content Capture Whitelist CTS Test Failures
Separate packages were not allowed when temporary service is set in a user build.
Updated to use in-package different-process service. Since SystemServiceRegistery caches after first success, reduced test scope to specifically enabling whitelist.
Test: atest WhitelistTest
Bug: 181971946
Change-Id: I2d9d01e0360e33df4a4bd24696475e8caf75a539</t>
  </si>
  <si>
    <t>Revert "Adding CTS tests for the recycling correction"
This reverts commit f434814f57377be51c27b67485ffc92706250095.
Bug: 183104573
Test: Install from Play Store with the screen off on wembley, and the device doesn't crash when the screen turns back on.
Change-Id: Ie49a3a8f7bac88df49aadfbadc15b08408ac52d9</t>
  </si>
  <si>
    <t>Cts tests for TranslationContext/Config and new related APIs
Bug: 178651514
Test: atest CtsTranslationTestCases
Change-Id: I46e42e1a559008028e51d6f59c97f1e5f9701593</t>
  </si>
  <si>
    <t>Remove silent provisioning tests.
These tests are replaced with device tests that
rely on the framework provisioning APIs.
Test: N/A
Bug: 177502490
Change-Id: Ib6b3d6e1bd163a52b9ebc922f7441ee4ce1cc57e</t>
  </si>
  <si>
    <t>Shortcut integration with AppSearch (CTS for number of shortcuts)
Modified CTS tests in comply with the removal of limitaion on number of
shortcuts.
Bug: 151359749
Test: atest CtsShortcutManagerTestCases
Change-Id: Ief09d3877a57699114532adcd87daf2db7ad863f</t>
  </si>
  <si>
    <t>Block properly for package installation.
Test: atest NeneTest
Bug: 180293870
Change-Id: I943e2db789cd4cf6736df141afee276bacbd4c4e</t>
  </si>
  <si>
    <t>Remove CTS tests related to resampling.
These tests are not needed anymore because we remove the resampler from
the SensorEventConnection class (ag/13953425). See discussion at b/179649922.
Test: atest CtsSensorRatePermissionTestCases
Bug: 136069189
Bug: 183098367
Change-Id: I5dae0e54ce790b704437c2d8cccd8825d0023028</t>
  </si>
  <si>
    <t>Remove CTS tests related to resampling.
These tests are not needed anymore because we remove the resampler from
the SensorEventConnection class. See discussion at b/179649922.
Test: atest CtsSensorRatePermissionTestCases
Bug: 136069189
Bug: 183098367
Change-Id: I5dae0e54ce790b704437c2d8cccd8825d0023028
Merged-In: I5dae0e54ce790b704437c2d8cccd8825d0023028</t>
  </si>
  <si>
    <t>Update framework from jetpack.
Changes included:
* 4d36ab: Rename AppSearchSession in test message to avoid export bug.
* 0b2126: Update AppSearch to be in sync google3 update ag/13878956.
* e79e74: Add getRankingSignal method to SearchResult.
* 2c2383: Add a getNamespaces() API.
* 712009: Add getStorageInfo API.
* 81e601: Add resut grouping flags and limits.
* f23105: Support usage reporting by the system in AppSearchImpl.
* 05b7d3: Change schema version from per AppSearchSchema to overall.
* effe02: Support schema migration to another type.
* a0db44: Some minor fix for GetSchemaResponse
* 66a1c3: Support AppSearchResult to convert a failure result to another type.
Bug: 177266929
Bug: 182620003
Bug: 183031844
Bug: 180429302
Bug: 182909475
Bug: 179160886
Bug: 183042276
Bug: 181179404
Test: Presubmit
Change-Id: Ica7e8491c912dba05308c1b68b7a076fc51ed44c</t>
  </si>
  <si>
    <t>Revert "MediaAppender+MediaMuxer:AppendFunction, new APIs"
This reverts commit bfb199d5bec35cdee8dc05efccbcc3739ab15672.
Reason for revert:  Broken test: com.android.server.wm.flicker.monitor.ScreenRecorderTest#videoCanBeSaved
Change-Id: I3b2ee104d134ecb0e8c497e25811be90592dbf8b</t>
  </si>
  <si>
    <t>Revert "[RESTRICT AUTOMERGE] CTS test for Android Security b/72323107"
Test is Infeasible
This reverts commit 9ff04eba393a0ccb76e59f730e1827c40a141d5e.
Bug: 72323107
Bug: 182189037
Test: sts-tradefed
Change-Id: I8ffc7a43461e61866433412cd744b3cbd493597c</t>
  </si>
  <si>
    <t>Remove test requesting empty role.
We already have testing for requesting an invalid role name, whereas
RoleManager.createRoleRequestIntent() has been throwing IAE for empty
role name so this could never have reached RequestRoleFragment or
contributed any coverage. The local crash has been surfaced recently so
remove this invalid test.
Bug: 183503956
Test: presubmit
Change-Id: I0d1acd1e3118fafdf33e9766dbcee907ccc538c4</t>
  </si>
  <si>
    <t>Revert "Add PermissionIndicatorAppOpUsageTest"
This reverts commit 5dd49e680a905b6fb0acd556f892c47f08f3c34e.
Reason for revert: b/183811257 - Adding the camera permission to this test package breaks other existing tests.
Fixes: 183812177
Fixes: 183811257
Change-Id: I9912678be32759de6ef747b411be20fc36d4f127</t>
  </si>
  <si>
    <t>Update PostScript CTS
The file name requirement will be removed.
Instead, adding requirement that the PostScript can identify
the font file in the system.
Bug: 184003133
Test: atest android.graphics.fonts.SystemFontsUniqueNameTest
Change-Id: Ib1a75c6d0e0a448518aee7809bb17c05679e5ef6</t>
  </si>
  <si>
    <t>Delete testUidForegroundDuration
Bug: 183447310
Test: TH
Change-Id: I6b3d455c753ff7500beee19839c076a1ad965f49</t>
  </si>
  <si>
    <t>mediapc: abstract out version checking
This is repeated information in every test.
Also add AndroidTest.xml so atest finds this.
Bug: 184201129
Change-Id: I6892bcc869f016b65b860c4979ca96430df6fde1</t>
  </si>
  <si>
    <t>Revert "Shortcut integration with AppSearch (CTS Test)"
Revert submission 13554951-shortcut-appsearch
Reason for revert: affecting multiuser and perf test
Reverted Changes:
I7ae7ec50a:Shortcut integration with AppSearch (Part 5)
I726e3777c:Shortcut integration with AppSearch (CTS Test)
Bug: 183982287, 183949746
Test: atest ShortcutManagerClientApiTest
Change-Id: If5d7e66672d67812ea433cf37bc10ba73e78b5a4</t>
  </si>
  <si>
    <t>Hookup renounced permissions - CTS
Propagate renounced permissions from context params
to the context attribution source. Throw if one
tries to request at runtime a renounced permission.
Also make the AttributionSource take null for the
setters to ease usage, otherwise folks should always
check for null before calling a builder method.
bug: 158792096
Test: atest CtsPermission5TestCases
Change-Id: I86f92211285c9c6035975dcb6280afa470cd9a49</t>
  </si>
  <si>
    <t>Make sure bg connectivity jobs don't start when data saver is on.
Make sure we don't start background jobs that require connectivity when
data saver is on and the network is metered.
Bug: 171305774
Test: atest frameworks/base/services/tests/servicestests/src/com/android/server/job
Test: atest frameworks/base/services/tests/mockingservicestests/src/com/android/server/job
Test: atest CtsHostsideNetworkTests:HostsideRestrictBackgroundNetworkTests
Test: atest CtsJobSchedulerTestCases
Change-Id: I6a32208f57fa8b1e25357ef4e1963f3c6a3c8e09</t>
  </si>
  <si>
    <t>Update CTS tests removing setViewId
Fix: 182824754
Test: atest CtsWidgetTestCases:RemoteViewsTest
Test: atest CtsWidgetTestCases:RemoteViewsRecyclingTest
Change-Id: I440dc35ac21903615571eb8c9e234bd40f3f2b2d</t>
  </si>
  <si>
    <t>Move some tests into CTS
Some directory changes and move some tests from coretests and make them
CTS-friendly (i.e. using only system/public APIs).
This also removes tests from TimeManagerTest which should now be covered
by ExternalTimeSuggestionTest.
Bug: 184947690
Test: atest CtsTimeTestCases
Change-Id: I620c6fd9e82a943267870e70366266f29ee6cf6b</t>
  </si>
  <si>
    <t>Update coex cts tests to reflect API council changes
Update CoexUnsafeChannelTest and WifiManagerTest to reflect API council
changes to the coex APIS:
- Replaced CoexUnsafeChannel#isPowerCapAvailable with sentinel value
- Removed WifiManager#getCoexUnsafeChannels/Restrictions and rely on
  CoexCallback#onCoexUnsafeChannelsChanged for current values.
Bug: 184018103
Test: atest CoexUnsafeChannelTest WifiManagerTest
Change-Id: I84fc60d6cd10e8ebe6d4974feaabde64d92543be</t>
  </si>
  <si>
    <t>Re-land ACCESS_MTP mount mode storage access test
Test app with certificate: platform and ACCESS_MTP permission behaves as
intended locally, but is not able to pass presubmit.
adoptShellPermissionIdentity(ACCESS_MTP) is unable to give the caller
test app ACCESS_MTP granted.
Since the presubmit test failure is not repro-able locally, add a basic
test for mount modes.
Bug: 183377919
Test: atest CtsScopedStorageHostTest
Test: atest CtsScopedStorageDeviceOnlyTest
Change-Id: I5def928f2354e3b3b2f5f3582ee8716f0e19be3f</t>
  </si>
  <si>
    <t>Revert "Change PlaybackState#isActiveState to isActive"
Revert submission 14124578-playbackstate_isactive
Reason for revert: b/185343312
Reverted Changes:
I4757038d6:Change PlaybackState#isActiveState to isActive
If7753e8e9:Change PlaybackState#isActiveState to isActive
Change-Id: I568a1de7e452e420affb07aba9c07738f66b5a7e</t>
  </si>
  <si>
    <t>Revert "Added package-remove test to AppSearch host test"
Revert submission 14095007-appsearch-package-remove
Reason for revert: b/185306078 - creates appSearch directory before user is unlocked
Reverted Changes:
Iaae64c4ec:Added package-remove test to AppSearch host test
I81a1f5cae:Register PackageChangedReceiver to AppSearchManage...
Change-Id: Ia6849fcf5fdd52d07aedd6347591009a49298593</t>
  </si>
  <si>
    <t>Remove test method from NearbyDevicesPermissionTest
This test method has been obsoleted by PermissionTest30WithBluetooth.
Bug: 183962420
Test: NearbyDevicesPermissionTest
Change-Id: I8a35cbd1cc1e86fc7517c42120ef30017ec89e09</t>
  </si>
  <si>
    <t>revert cts test in comply with device flag
Bug: 185828535
Test: atest CtsShortcutManagerTestCases
Change-Id: I3174d648fdfe89604d4aa059c8c19492ac8022da</t>
  </si>
  <si>
    <t>Update framework from jetpack.
Included changes:
* b7122be: Update Builders to comply with API council requirements.
* 60b34cd: Changes to AppSearchSchema builders to comply with API requirements.
* c6f7eee: Support property paths in GenericDocument.
* cbee331: Update documentation to distinguish between AppSearchSession and GlobalSearchSession
* cbdd3b9: Rename ReportUsage#usageTimeMillis to #usageTimestampMillis.
* cc09d3a: Implement value indices in GenericDocument.
* e7faa03: Rename isIndexNestedProperties to shouldIndexNestedProperties.
* aaa6e81: Support @CurrentTimeMillisLong in export.
* 388c2b4: Rename GenericDocument's "uri" to "id" everywhere.
Bug: 184576792
Bug: 184576806
Bug: 184174844
Bug: 180481315
Bug: 179797058
Bug: 175146044
Bug: 184175636
Bug: 185492298
Test: Presubmit
Change-Id: I94118a36e27b8a7c95852a7efc1f893fc46b2ad9</t>
  </si>
  <si>
    <t>Modify tests to test SipDelegateConfiguration
Bug: 181764849
Test: atest CtsTelephonyTestCases
Change-Id: Icc89fea5cecbc4be6bc3fd11064ab1d7d0e5609a</t>
  </si>
  <si>
    <t>UwbManagerTest: Add permission enforcement related tests
1. Tests for the permission enforcement for the various APIs.
2. Test for verification of bad params handling for openRangingSession
API.
3.  Remove the manifest permissions since we need to anyway use the shell
identity to get the privileged permissions needed for invoking all
platform system APIs.
Note: Some of the positive tests are failing currently because of errors
from the vendor implementation. Will be filing bugs against the vendors
for these failures.
Bug: 183904955
Test: atest UwbManagerTest
Change-Id: I5a57e02cf99140170acbd72265d8ad783e7d508e</t>
  </si>
  <si>
    <t>Remove obsolete DupFileTest
Not needed anymore
Test: presubmit
Bug: 181994359
Change-Id: I37e1dcbc198b384bce75558b611aad48007858a2</t>
  </si>
  <si>
    <t>Update tests for carrier privilege
Test: atest TelephonyManagerTest
Bug: 171982472
Change-Id: I72393074b0a7ec912af85a1b6bb3a559493bf5ab</t>
  </si>
  <si>
    <t>Delete dumpsys incidentd tests
Bug: 186713425
Bug: 186713063
Bug: 186487815
Test: TH
Change-Id: I60b85fd5be8f05bbc6e476f73e85fce3d31a8bbc</t>
  </si>
  <si>
    <t>Remove ActivityViewTest#testInputMethod()
This CL logically reverts our previous CLs[1][2], which added
ActivityViewTest#testInputMethod() to make sure that basic
functionality of IME is still supported on ActivityView.
As we are going to remove ActivityView, there is no need to keep this
requirement in CTS.
 [1]: I5ac975273c8d596a30c4c2685bd9bf648c9a4314
      a78358891cbcf5ad7860ed58c3d4509b12c3b770
 [2]: Ia031a24bc31cbd0774a50562afa7d07933feebb7
      44f3b998033d8725a537d2a098b854386a27b5eb
Bug: 115693908
Bug: 179161778
Test: atest CtsWindowManagerDeviceTestCases:ActivityViewTest
Change-Id: I35f527c38102566296f12cc429cfe26d6330b8de</t>
  </si>
  <si>
    <t>Remove edge effect type from API
Bug: 186758538
Remove edge effect type from the API, so tests must be altered.
Since only stretch edge effect type is supported, some tests
had to be modified to test for stretch instead of edge glow.
Test: ran affected tests
Change-Id: I54ec19ecf4f879de9b527b2146ba8e29f5902aa1</t>
  </si>
  <si>
    <t>Enable Power Policy Silent Mode Test
1. Use shell command to put the target into forced silent mode
2. Use dumpsys shell commands to retrieve the Cpms (Car Power Management
   Service) state information
3. Parse the Cpms and check the power policy state and behavior
4. Changed val attribute in PowerComponent to value
5. Removed SilentModeInfo.TestDataSets utility class
6. Made the assertion msgs nouns according to the guideline
7. Made CpmsFrameworkLayerStateInfo immutable
8. Optimized the CpmsFrameworkLayerStateInfo parser
9. Added more debugging message into the PowerPolicyDef class
10. Made the change in the parsers to accommondate the latest change in
the dumpsys
11. Parameterized the PowerPolicyTestFilter class based on Eric's
review feedback
12. Fixed some common coding style issues with IDE
13. Improved the CpmsFrameworkLayerStateInfo parser stability based on
Keunyoung's feedback.
Bug: 178720718
Test: atest CtsCarHostTestCases:PowerPolicyHostTest
Change-Id: I040681b1ca49a65d5825fea8895dc852b642c0a9</t>
  </si>
  <si>
    <t>Revert "Restore file truncation where expected."
Revert submission 14173486-rwt
Reason for revert: b/186862362 - breaks ContentResolverWrapTest
Reverted Changes:
I41bc298af:Restore file truncation where expected.
Iacec49164:Restore file truncation where expected.
Bug: 186862362
Change-Id: If1d78436cd28d1df3604b949a560d4cc30f5739b</t>
  </si>
  <si>
    <t>Changed WifiConfigLockdownTest to use DpmWrapper.
Also improved logging and replaced JUnit assertions by Truth.
Fixes: 185268523
Test: atest com.android.cts.devicepolicy.DeviceOwnerTest#testWifiConfigLockdown # on automotive and phone
Change-Id: Iad0d7e3f4c43469d9751c1cf38abd85276d75905</t>
  </si>
  <si>
    <t>Update tests for the AppWidget dimensions.
Fix: 187326256
Fix: 187385550
Test: atest AppWidgetDimensionsTest
Change-Id: Ie23807c80b22d41f872bad4cf69a256edc6bbe17</t>
  </si>
  <si>
    <t>Revert "Verify behavior when FGS uses existing notification"
Revert submission 14414063-fgs-defer-fixes
Reason for revert: b/187373264
Reverted Changes:
I081a3cc88:Don't defer FGS notification if it's already shown...
I083583550:Verify behavior when FGS uses existing notificatio...
Bug: 187373264
Change-Id: Ic8dd1e149115a1375a5a7814b65450fb75f5917e</t>
  </si>
  <si>
    <t>Revert "Verify behavior when FGS uses existing notification"
Revert submission 14414063-fgs-defer-fixes
Reason for revert: b/187373264
Reverted Changes:
I081a3cc88:Don't defer FGS notification if it's already shown...
I083583550:Verify behavior when FGS uses existing notificatio...
Bug: 187373264
Change-Id: Ic8dd1e149115a1375a5a7814b65450fb75f5917e
(cherry picked from commit 4cfcf23543adcf3f4d6a792e393d0ce5b100da80)</t>
  </si>
  <si>
    <t>Revert "Ensure we check the installed state when getting UID/GID"
Revert submission 14348452-b186180067_master
Reason for revert: b/187309425
Reverted Changes:
I48d085560:Ensure we check the installed state when getting U...
I7ff9a6e8d:Add the checking of the package installed state
Change-Id: I8084d55ad39d2b428b922357fa6aa6e5fcc37e0d</t>
  </si>
  <si>
    <t>Removing and updating tests that depend on ActivityView
This CL is part of the effort to delete ActivityView.
Test: atest CtsAccessibilityServiceTestCases:AccessibilityWindowQueryTest
Test: atest CtsAccessibilityServiceTestCases:AccessibilityWindowReportingTest
Test: atest CtsAccessibilityServiceTestCases
Bug: 179161778
Change-Id: I16172b48f2a3cf7c4c10fb737a21b8d0efe142ec</t>
  </si>
  <si>
    <t>Update DeviceState for GTS fixes.
Test: atest NeneTest
Test: atest HarrierTest
Bug: 186495104
Change-Id: I290c4fa8b53aea93eff14d96b36d502cafb8616e</t>
  </si>
  <si>
    <t>WiFi: Expose country code APIs to Android R Sdk
1. Removed test to check UnsupportedOperationException for
Country code APIs called in Android R Sdk.
2. Added WifiBuildCompat.isPlatformOrWifiModuleAtLeastS() check
in country code API test.
Bug: 181358771
Test: atest android.net.wifi.cts.WifiManagerTest
Change-Id: I59a6711349d9a5cf2387215ecb4d23ce8231b493</t>
  </si>
  <si>
    <t>Deleting ActivityViewTest (CTS test)
Test: atest CtsWindowManagerDeviceTestCases
Bug: 179161778
Change-Id: Ic3da2c3ef817b8aec52c50b62ddaa04ce7a88455</t>
  </si>
  <si>
    <t>Remove tests for String16::remove.
This function, ironically, has been removed.
(Even more amusing, it was never "remove" anyway --- it literally did
the opposite, and removed everything *except* the range you passed to
it, and should probably have been called "keep"!)
Test: treehugger
Change-Id: I2ac1c5bbb4c39a9b4f548a66eb1655f548afad3f
Merged-In: I2ac1c5bbb4c39a9b4f548a66eb1655f548afad3f</t>
  </si>
  <si>
    <t>Remove tests for String16::remove.
This function, ironically, has been removed.
(Even more amusing, it was never "remove" anyway --- it literally did
the opposite, and removed everything *except* the range you passed to
it, and should probably have been called "keep"!)
Test: treehugger
Bug: http://b/156999009
Change-Id: I2ac1c5bbb4c39a9b4f548a66eb1655f548afad3f</t>
  </si>
  <si>
    <t>Remove test requesting empty role.
We already have testing for requesting an invalid role name, whereas
RoleManager.createRoleRequestIntent() has been throwing IAE for empty
role name so this could never have reached RequestRoleFragment or
contributed any coverage. The local crash has been surfaced recently so
remove this invalid test.
Bug: 183503956
Bug: 187930918
Test: presubmit
Change-Id: I0d1acd1e3118fafdf33e9766dbcee907ccc538c4</t>
  </si>
  <si>
    <t>Test combinations of fs-verity and inc-fs.
Bug: 181242243
Test: atest ApkVerityInstallTest
Change-Id: I41bda6a89349390afb45f7c57c327b107f9faa8b</t>
  </si>
  <si>
    <t>Use DevicePolicyManager.setDeviceOwner on S+.
This allows us to enter the state of running on a secondary user on a
device with a device owner - except that currently
forceUpdateUserSetupComplete doesn't allow calling from secondary users.
Test: atest HarrierTest
Test: atest NeneTest
Bug: 177663307
Change-Id: Ib69f55906ff31c326510c9c15214fbec367a54f1</t>
  </si>
  <si>
    <t>Update CTS tests for setProtectedPackages() DPM API
Add another CTS test that tests the API when there are multiple users on
the device and verify that the protected package does not get stopped.
Bug: 178500150
Test: Ran the CTS tests that were added
Change-Id: Ic32b7a0eac3069e38d7bc11d4379a3be41bab1a1</t>
  </si>
  <si>
    <t>Changed tests to stop using removed apis.
Bug: 186475868
Test: atest CtsTranslationTestCases
Change-Id: I6393614186b270dec06c1d0ac6f4ff5978ed1554</t>
  </si>
  <si>
    <t>[DO NOT MERGE] Remove Client Suggestions tests
Bug: 188618287
Test: atest CtsAutoFillServiceTestCases
Change-Id: I8d36c98798f2cbf121cdda03684845913889c4b1</t>
  </si>
  <si>
    <t>Migrate com.android.cts.devicepolicy.MixedDeviceOwnerTest#testIsLockTaskPermitted_includesPolicyExemptApps
Migrated: com.android.cts.devicepolicy.MixedDeviceOwnerTest#testIsLockTaskPermitted_includesPolicyExemptApps
Migrated: com.android.cts.devicepolicy.DeviceAndProfileOwnerTest#testLockTask com.android.cts.deviceandprofileowner.LockTaskTest#testIsLockTaskPermittedIncludesPolicyExemptApps
Migrated: com.android.cts.devicepolicy.MixedDeviceOwnerTest#testLockTask com.android.cts.deviceandprofileowner.LockTaskTest#testIsLockTaskPermittedIncludesPolicyExemptApps
Migrated: com.android.cts.devicepolicy.DeviceAndProfileOwnerTestApi25#testLockTask com.android.cts.deviceandprofileowner.LockTaskTest#testIsLockTaskPermittedIncludesPolicyExemptApps
Migrated: com.android.cts.devicepolicy.MixedDeviceOwnerTestApi25#testLockTask com.android.cts.deviceandprofileowner.LockTaskTest#testIsLockTaskPermittedIncludesPolicyExemptApps
Test: atest android.devicepolicy.cts.LockTaskTest
Bug: 175377361
Change-Id: Ibd3fb7c1bbe0323dd961b4386879fdb013038ac6</t>
  </si>
  <si>
    <t>Migrate testLockTask_policyExemptApps
Migrated: com.android.cts.devicepolicy.MixedDeviceOwnerTest#testLockTask_policyExemptApps
Migrated: com.android.cts.devicepolicy.DeviceAndProfileOwnerTest#testLockTask com.android.cts.deviceandprofileowner.LockTaskTest#testLockTask_policyExemptApps
Migrated: com.android.cts.devicepolicy.MixedDeviceOwnerTest#testLockTask com.android.cts.deviceandprofileowner.LockTaskTest#testLockTask_policyExemptApps
Migrated: com.android.cts.devicepolicy.DeviceAndProfileOwnerTestApi25#testLockTask com.android.cts.deviceandprofileowner.LockTaskTest#testLockTask_policyExemptApps
Migrated: com.android.cts.devicepolicy.MixedDeviceOwnerTestApi25#testLockTask com.android.cts.deviceandprofileowner.LockTaskTest#testLockTask_policyExemptApps
Test: atest android.devicepolicy.cts.LockTaskTest
Bug: 175377361
Change-Id: I86ac4ce4d880cfff62c81ea5e37715506897eb81</t>
  </si>
  <si>
    <t>Fix delegated security logging tests.
com.google.android.apps.work.oobconfig is generating some keys
which interfered with events verification. This CL makes the test
ignore events for other uids.
+ some refactoring:
* deduplicate delegated tests for COPE and DO since they are essentially
  the same
* moved security logging related functionality from DelegateUtils to the
  test itself - it isn't needed anywhere else.
Bug: 185004808
Test: atest MixedDeviceOwnerTest#testSecurityLoggingDelegate
Test: atest OrgOwnedProfileOwnerTest#testSecurityLoggingDelegate
Change-Id: I5d924c168e6ac154312f0b36caee074942e22131</t>
  </si>
  <si>
    <t>Add test case to check "BIND_HOTWORD_DETECTION_SERVICE" permission before binding HotwordDetectionService
Bug: 187914415
Test: atest CtsVoiceInteractionTestCases
Test: atest CtsVoiceInteractionTestCases --instant
Change-Id: I8147b6608f42bb71b79f32a441aeffa273314171</t>
  </si>
  <si>
    <t>Fix for: flaky test.
Bug: 188056028
Fixes: 188056028
Test: atest PackageManagerShellCommandIncrementalTest
Change-Id: Id1dcb368f88adb7a39220274e9b4dbee13d93acb
Merged-In: Id1dcb368f88adb7a39220274e9b4dbee13d93acb</t>
  </si>
  <si>
    <t>Change tests to stop using removed add apis.
Bug: 186475868
Test: atest CtsTranslationTestCases
Change-Id: I9e565576806e5f05e3178bb7da939838bf7b4e16</t>
  </si>
  <si>
    <t>Remove references to SipDelegateImsConfiguration in CTS
Bug: 186118835
Test: atest CtsTelephonyTestCases
Change-Id: I6d65ab35dd6782bfddf94eecea4ad63e014bf6ac</t>
  </si>
  <si>
    <t>[DO NOT MERGE] Remove Client Suggestions tests
Bug: 188618287
Test: atest CtsAutoFillServiceTestCases
Change-Id: I8d36c98798f2cbf121cdda03684845913889c4b1
(cherry picked from commit eaed0cdeee06f358e16ef7365ccc9616da08dc19)</t>
  </si>
  <si>
    <t>Revert "Ensure getting UID/GID checks the installed state"
Revert submission 14700843-b186180067_main
Reason for revert: Break WM presubmit (b/189728752)
Reverted Changes:
I3d7c35dc2:Add the checking of the package installed state
I035eeca76:Ensure getting UID/GID checks the installed state
Iaac8e56f3:Use userId to query the package uid instead of 0.
I0c452d880:Add MATCH_ANY_USER flag when get valid package uid...
Change-Id: I8ce90bf4dd11a9d20a5286b1a43721cac7f8b8db</t>
  </si>
  <si>
    <t>[cts/SettingsProvider] revert readable tests for mobile_data
BUG: 189872797
Test: atest android.appsecurity.cts.ReadableSettingsFieldsTest
Change-Id: I37a18ca3e9fbe096aa6b674ce0d12fbd1c375b07</t>
  </si>
  <si>
    <t>Remove testNfcSetControllerAlwaysOnPermission
There are more than one features requires NFCC always on.
Allow more than one app holds this permisson.
Bug: 189811833
Test: atest android.permission.cts.NfcPermissionTest
Change-Id: Ie21d8d1af5e2235db3e9aa6349d14b158b402ad8</t>
  </si>
  <si>
    <t>Remove testNfcSetControllerAlwaysOnPermission
There are more than one features requires NFCC always on.
Allow more than one app holds this permisson.
Bug: 189811833
Test: atest android.permission.cts.NfcPermissionTest
Merged-In: Ie21d8d1af5e2235db3e9aa6349d14b158b402ad8
Change-Id: Ie21d8d1af5e2235db3e9aa6349d14b158b402ad8</t>
  </si>
  <si>
    <t>Revert "Update CTS for PANS atom"
This reverts commit e161bbff7b5a27f96b78805eb9ca1e9e9802105d.
Reason for revert: testOemManagedBytesTransfer is infeasible for S because ag/14420907 (correctly) marks networks created with wifi network suggestions as restricted. The CTS test can't bindProcessToNetwork for restricted networks, and so the test fails.
I've created b/188938167 to track the progress of creating a workaround/alternative for T.
Ideally, we'll be able to get an api added to wifi network suggestions to allow for unrestricted oem managed networks for the sake of testing. If that's not possible, we'll have to fall back to making it a GTS test.
Bug: 188938167
Test: atest BytesTransferredTest
Change-Id: I68b97c7aab8c9a40a7f4862e4aba73e0476add72</t>
  </si>
  <si>
    <t>App links work profile tests
Verifies cross profile app links behavior when started as both the
personal and work user. And using general allow_parent_profile_app_linking
and specific cross profile intent filters.
MODULE_NOT_SECONDARY_USER_REASON = Device admin/owner requires being
    run in system user
Bug: 180897272
Test: CtsDomainVerificationDeviceMultiUserTestCases
Change-Id: I3166df1c07b03f976f08f8ea4a2cd970df9e5d6d</t>
  </si>
  <si>
    <t>Remove interfaceAddress test for ephemeral target
The ephemeral test case does not have access to the device's network
interfaces. Remove a test that requires this access.
Bug: 191072598
Test: atest CtsSelinuxEphemeralTestCases
Change-Id: I3a21113db615bf80970c7edab7253499a82dce96</t>
  </si>
  <si>
    <t>Verify isUiContext in InputMethodServiceTest
After migrating InputMethodService to WindowProviderService, the API
isUiContext is implemented by its base context vs hardcoded to true.
Therefore, the test testIsUiContextOnInputMethodService, which only
verify the InputMethodService ctr, will fail
because we don't attach the base context and it's not possible to
obtain the real InputMethodService instance in test.
Switch to verify isUiContext on InputMethodServiceTest.
Test: atest ContextIsUiContextTest
Test: atest InputMethodServiceTest
Bug: 159767464
Change-Id: I4adc955329eab7a00519d22cc859e98a3e402892</t>
  </si>
  <si>
    <t>Temporarily removed @TemporaryIgnoreOnHeadlessSystemUserMode.
Test: m CtsDevicePolicyManagerTestCases
Bug: 189246976
Change-Id: I92dc048029e47eb05c93c080a40f6ad1f33d44da</t>
  </si>
  <si>
    <t>Remove digesting test from CTS. It was moved to GTS.
Bug: 189452608
Fixes: 189452608
Test: atest PackageManagerShellCommandIncrementalTest
Change-Id: Ib97c5b0b7d31eb9b99b44141212ba86edd2cc933</t>
  </si>
  <si>
    <t>Remove CTS tests that test hidden APIs.
Bug: 146218515
Test: Build; presubmit of affected tests
Change-Id: I1828f7d757c471f96662179b08dc02ff2f94220b</t>
  </si>
  <si>
    <t>Pass ActivityInfo into all Activity events.
Test: atest EventLibTest
Test: atest BedsteadQueryableTest
Bug: 175377361
Change-Id: I247ad030554cd3adcc25ea8a4c83484444f6a5d0</t>
  </si>
  <si>
    <t>Add Set queries.
Test: atest BedsteadQueryableTest
Bug: 175377361
Change-Id: Ie1633fb74742d16a270650d4205e6ed46c8969ef</t>
  </si>
  <si>
    <t>Migrate testManifestArgument_updateAllowlist
Migrated: com.android.cts.devicepolicy.DeviceAndProfileOwnerTest#testLockTask com.android.cts.deviceandprofileowner.LockTaskTest#testManifestArgument_updateAllowList
Migrated: com.android.cts.devicepolicy.MixedDeviceOwnerTest#testLockTask com.android.cts.deviceandprofileowner.LockTaskTest#testManifestArgument_updateAllowList
Migrated: com.android.cts.devicepolicy.DeviceAndProfileOwnerTestApi25#testLockTask com.android.cts.deviceandprofileowner.LockTaskTest#testManifestArgument_updateAllowList
Migrated: com.android.cts.devicepolicy.MixedDeviceOwnerTestApi25#testLockTask com.android.cts.deviceandprofileowner.LockTaskTest#testManifestArgument_updateAllowList
Bug: 175377361
Test: atest android.devicepolicy.cts.LockTaskTest
Change-Id: I461ab58d837ad7723ee897aef8fefb73264c61dc</t>
  </si>
  <si>
    <t>Remove the "See more" button test case in Internet panel
- There is no more "see more" button in the Internet panel for the new
provider model design.
Bug: 189912933
Bug: 191055897
Test: manual test
atest android.provider.cts.SettingsPanelTest
Change-Id: I185b3b1d7f6553c3b1b92bf42a6da988f4109802</t>
  </si>
  <si>
    <t>Revert "Increase CTS coverage of video peek"
This reverts commit bd81f2228d771aac9808212899a600effc59ffc6.
Reason for revert: Breaks build
Bug: 191861426
Change-Id: Idc3152f0f03d9458a7422c12be13ce007306c623</t>
  </si>
  <si>
    <t>Fix CtsAngleDeveloperOptionHostTest due to ANGLE updates
CtsAngleDeveloperOptionHostTest has several tests for features that the
ANGLE APK no longer supports:
1.) Settings GUI
2.) JSON rules file
CtsAngleDeveloperOptionHostTest is being updated to no longer test these
features so it can be enabled for P21 devices.
Bug: 187342779
Bug: 184757175
Test: CtsAngleDeveloperOptionHostTest
Change-Id: Ia8be8636d37e7543a821643476d475059d70f446</t>
  </si>
  <si>
    <t>mediapc CTS: MediaPerformance class tests updates
Bug: 179084926
Test: atest android.mediapc.cts
Change-Id: I8a0b7f255e76491d2ca9926b79e62618fb3b3f02</t>
  </si>
  <si>
    <t>[cts] remove reboot in incremental partial loading progress test
After ag/14293407 the app will get uninstalled when it's installed over
adb and the adb connection gets interrupted before the app is fully
loaded. Therefore, the old test that checks app loading progress after
reboot will no longer work because the app is installed over adb. We
will need to move this test to a gts test that uses a non-adb data
loader.
BUG: 190793258
Test: atest com.android.tests.loadingprogress.host.IncrementalLoadingProgressTest
Change-Id: I32982a38e717e3b68203a6c85cf1e44741c69822</t>
  </si>
  <si>
    <t>Revert "Ensure that apps don't provide negative estimated byte u..."
Revert submission 15068553-js_lockdown
Reason for revert: 192016730
Reverted Changes:
I66485040d:Reject invalid input.
Ic35ee95bf:Ensure that apps don't provide negative estimated ...
Change-Id: Ib9925d1a7ba9c9f8870b2aa91ae60c8255a861ad</t>
  </si>
  <si>
    <t>Improve RemoteDPC and EventLib stability.
This disables the capability of maintaining logs beyond the app
lifespan, and removes .get() and .next(). None of these features are
required by current tests and they contribute to instability. They can
be restored in a more stable way later.
Test: atest EventLibTest
Test: atest RemoteDPCTest
Test: atest CtsDevicePolicyTestCases
Fixes: 192055515
Fixes: 192052511
Fixes: 192051740
Change-Id: Ifa341925161f306c93f46290f1411e58d2ff4694</t>
  </si>
  <si>
    <t>Add MetricsRecorder and metrics tests.
The API is not as strong as I'd like - but it can be refactored later.
Also missing tests for MetricsRecorder, and support for non-enterprise
metrics.
Test: atest CtsDevicePolicyTestCases
Test: atest BedsteadQueryableTest
Bug: 190048457
Change-Id: I491db150f2a17a1a594ca7a80f27892125b14502</t>
  </si>
  <si>
    <t>Move BootTest out of CTS
Relocate this BootTest to the internal test.
Fix: 188635265
Test: build
Change-Id: I1a645c76b3fc8061c31559adc3fe591115d4446e</t>
  </si>
  <si>
    <t>Remove GlVboPerfTest
This test no longer seems to be useful.
Bug: b/71845445
Change-Id: I3e3e380acb348c523efead34272e3cbee69e970b</t>
  </si>
  <si>
    <t>testResetPasswordWithTokenLogged test failure
* If ResetPasswordWithTokenTest is executed in the
  managed profile first, password reset token is disabled
  for the primary user and will cause MixedDeviceOwnerTest
  and MixedProfileOwnerTest to fail.
* Therefore, we will allow for failures in MixedDeviceOwnerTest
  and MixedProfileOwnerTest, but we won't allow for failures
  in MixedManagedProfileOwnerTest.
Bug: 189598472
Test: atest com.android.cts.devicepolicy.MixedDeviceOwnerTest#testResetPasswordWithToken
      atest com.android.cts.devicepolicy.MixedProfileOwnerTest#testResetPasswordWithToken
      atest com.android.cts.devicepolicy.MixedManagedProfileOwnerTest#testResetPasswordWithToken
Change-Id: I2d591db0892015517ae0216b7ac467887814269d</t>
  </si>
  <si>
    <t>Migrate testLockTask_defaultDialer
Test: atest CtsDevicePolicyTestCases
Bug: 175377361
Change-Id: I8b59798c6e9a3c0b1c998adf20607747063860f4</t>
  </si>
  <si>
    <t>Migrate testLockTaskCanLaunchEmergencyDialer
Test: atest android.devicepolicy.cts.LockTaskTest
Bug: 175377361
Change-Id: I64d026ee8e6950f89cd9e03e8a10e8cbff18583d</t>
  </si>
  <si>
    <t>Remove testLockTaskIsExitedIfNotAllowed
Already covered by setLockTaskPackages_removingCurrentlyLockedTask_taskFinishes
Test: N/A
Bug: 175377361
Change-Id: I926481ebb91df932d8db24590398ace62f1fa4e4</t>
  </si>
  <si>
    <t>RESTRICT AUTOMERGE: Remove testLockTaskAfterReboot and remove testLockTaskAfterReboot_tryOpeningSettings
testLockTaskAfterReboot isn't actually testing anything because it has a
fallback to relaunch the activity in case instrumentation kills it - and
all other functionality is already covered in device-side tests. This
will be restored with b/192468113
testLockTaskAfterReboot_tryOpeningSettings is already covered by other
tests.
Test: N/A
Bug: 175377361
Change-Id: Ifaab633f2494e2e1d390ea4469b5ae18d3ca1f76</t>
  </si>
  <si>
    <t>mediapc CTS: MediaPerformance class tests updates
Bug: 179084926
Test: atest android.mediapc.cts
Change-Id: I8a0b7f255e76491d2ca9926b79e62618fb3b3f02
Merged-In: I8a0b7f255e76491d2ca9926b79e62618fb3b3f02
(cherry picked from commit 92236ff8b2cb5085333a6847e97fde12c2ed32d1)</t>
  </si>
  <si>
    <t>Initial port of ApplicationRestrictionsTest to new infra.
Also, added CtsDevicePolicyTestCases to repohook
Test: atest CtsDevicePolicyTestCases:android.devicepolicy.cts.ApplicationRestrictionsTest
Bug: 193563511
Bug: 189268544
Bug: 192395248
Change-Id: I8853de0c10f595282bd11b48cb71b7247c5713e1</t>
  </si>
  <si>
    <t>Update CTS sample tests: remove Junit3 style
* Give an example of metric logging via annotation
Test: presubmit
Bug: 193813114
Change-Id: I8453cad96b8c6a8d78e43171f5bde6863aa20b0d</t>
  </si>
  <si>
    <t>Remove test case for stoppd user.
If the user is stopped, there's no way we can create a session in it
without using INTERACT_ACROSS_USERS. AppSearch doesn't support
cross-user requests anymore, so this will get a different
SecurityException back than what we're expecting.
Bug: 193903221
Test:  atest -m -c --rebuild-module-info
CtsAppSearchHostTestCases
Test: presubmit
Change-Id: I884127003b5327b5b7f957f0f89ef88166da653d</t>
  </si>
  <si>
    <t>Changing DEVICE_NR_CAPABILITY type and renaming getMaxActiveInternetData
DEVICE_NR_CAPABILITY_*: Using int array instead of bitmask
Rename getMaxActiveInternetData and remove SystemAPI
Rename getMaxActivePacketSwitchedVoiceCalls
Bug: 180419672
Test: atest CtsTelephonyTestCases:android.telephony.cts.TelephonyManagerTest#testGetPhoneCapabilityAndVerify
atest CellularNetworkValidatorTest
atest PhoneCapabilityTest
atest PhoneSwitcherTest
atest TelephonyRegistryTest
Change-Id: I54f8d2d733e9e501ca643cbf5d98e18e2d1afaa7
Merged-In: I54f8d2d733e9e501ca643cbf5d98e18e2d1afaa7</t>
  </si>
  <si>
    <t>Remove test case for stoppd user.
If the user is stopped, there's no way we can create a session in it
without using INTERACT_ACROSS_USERS. AppSearch doesn't support
cross-user requests anymore, so this will get a different
SecurityException back than what we're expecting.
Bug: 193903221
Test:  atest -m -c --rebuild-module-info
CtsAppSearchHostTestCases
Test: presubmit
Change-Id: I884127003b5327b5b7f957f0f89ef88166da653d
(cherry picked from commit 641e7af30ebe486915a2bfe2c2f5016712e92833)</t>
  </si>
  <si>
    <t>Remove isSeparateProfileChallengeAllowed API related tests.
Removing these tests and project, as part of removing the
isSeparateProfileChallengeAllowed API(which these tests are testing).
Bug: 189502721
Test: NA
Change-Id: I4315a144fbce3791ad530b095a652f9928c21be0</t>
  </si>
  <si>
    <t>Migrate ManagedProfileRingtoneTest.
Test: atest NeneTest
Test: atest CtsDevicePolicyTestCases
Bug: 194670131
Change-Id: I5434d7f46fcffb18f02f9639ae6ea2b8a128db9f</t>
  </si>
  <si>
    <t>Optimize RestoreSessionHostSideTest
Bug: 194367965
Test: atest RestoreSessionHostSideTest
Remove one of the test apps used by the test to bring the execution time
under 30s. The test currently runs backup / restore of 3 packages.
Removing one of them won't reduce coverage.
Change-Id: If3710a3296930a59af9c5605a1460284f9ffe654</t>
  </si>
  <si>
    <t>Remove CTS test on bad enterprise config
There is an overlay that allows the wifi module to accept bad enterprise
configs. Therefore remove a CTS test that enforces adding a bad
enterprise must fail.
Bug: 195442487
Test: None
Change-Id: I06b4717e58c0e956a288e59b34aab5b098cdd740</t>
  </si>
  <si>
    <t>Revert "Add test to crop TextureView and verify if outer edge ha..."
Revert submission 15339442-1texelcrop
Reason for revert: Bisection identified these CLs as the likely cause of Droidfood blocking bugs b/195620803 and b/195637414
Bug: 195637414
Bug: 195620803
Reverted Changes:
If1f448a94:Added crop rect to LayerDrawable to not crop Textu...
Iefde6bdf7:Add test to crop TextureView and verify if outer e...
Icf0ee20e8:Adds out parameters for crop rectangle and transfo...
Change-Id: Ib3a570d1e138841a4b62a1a09c00130ff8a091f7
(cherry picked from commit d377b2acf14b1a5dec90f4b8890a2c76dff3b41e)</t>
  </si>
  <si>
    <t>Revert "Add test to crop TextureView and verify if outer edge ha..."
Revert submission 15339442-1texelcrop
Reason for revert: Bisection identified these CLs as the likely cause of Droidfood blocking bugs b/195620803 and b/195637414
Bug: 195637414
Bug: 195620803
Reverted Changes:
If1f448a94:Added crop rect to LayerDrawable to not crop Textu...
Iefde6bdf7:Add test to crop TextureView and verify if outer e...
Icf0ee20e8:Adds out parameters for crop rectangle and transfo...
Change-Id: Ib3a570d1e138841a4b62a1a09c00130ff8a091f7</t>
  </si>
  <si>
    <t>Remove CTS test on bad enterprise config
There is an overlay that allows the wifi module to accept bad enterprise
configs. Therefore remove a CTS test that enforces adding a bad
enterprise must fail.
Bug: 195442487
Test: None
Change-Id: I06b4717e58c0e956a288e59b34aab5b098cdd740
Merged-In: I06b4717e58c0e956a288e59b34aab5b098cdd740
(cherry picked from commit 7c5d2bc90886f36f7941698d2a4c766af1f07792)</t>
  </si>
  <si>
    <t>Revert "Add CTS for rollback data policy"
This reverts commit 785f64789bf862a64d0ccab46a79e809e7ea5515.
Reason for revert: regression on b/196517638
Change-Id: I4b11291ab9767eae703ff56b039e74febc1ea522</t>
  </si>
  <si>
    <t>Allow multiple different flag sets for @EnterprisePolicy - and
automatically generate states rather than manually listing.
This also tidies ApplicationRestrictionsTest because it's configuration
was previously incorrect.
Bug: 196780453
Test: atest CtsDevicePolicyTestCases
Change-Id: I04a8e6f0548406bf73582d444507ef319782b974</t>
  </si>
  <si>
    <t>Test migration for short and long support messages
Migrated com.android.cts.devicepolicy.DeviceAndProfileOwnerTest#testSupportMessage
Fixes: 195927170
Test: atest android.devicepolicy.cts.SupportMessageTest
Change-Id: Ia302d570e54bfd063882e17b8e312ad272f13d49</t>
  </si>
  <si>
    <t>Use resource device id instead of InputManager one
In the previous CL ag/15474054 we used the wrong device id. The one we
are supposed to use should come from the resource file, not from the
inputmanager.
Fix that in this CL.
In addition, add a few small fixes:
1) Move the InputEventTest to CtsInputTestCases. This will help it run
in presubmit automatically.
2) Make the tests in android/view/cts/input actually use that package
name. This makes it more convenient to run. These tests should also move
to CtsInputTestCases at some point.
3) Update Kotlin code to use non-prefixed instance variable names
Fixes: 197129201
Fixes: 197129788
Test: atest CtsInputTestCases android.view.cts.input
Note: the above command for testing does not work. The test hangs after
3rd test, after passing InputDeviceKeyLayoutTest. For those tests, I had
to run them individually in order to get them to work.
Change-Id: I27ca61416e8eca5750d0c3ea636c127fe3f0668e</t>
  </si>
  <si>
    <t>Test app compat overrides added/removed following package update
We're adding a 1 sec wait time after install/uninstall to be on the safe
side even though the test passes without it.
Fix: 194177015
Test: atest com.android.cts.appcompat.AppCompatOverridesServiceTest
Change-Id: Ib771c7eed6d1f1dd969a8c98ad1eaa254952063e</t>
  </si>
  <si>
    <t>Move drm tests to its own package.
As part of bug b/171226061 to separate DRM test
classes to enable better tracking of test failures
through the OWNERs files.
The drm tests now reside in android.mediadrm.cts package.
The following tests are moved:
  DrmInitDataTest, MediaDrmClearkeyTest, MediaDrmMetricsTest,
  MediaDrmMockTest, MediaPlayerDrmTest and NativeMediaDrmClearkeyTest
Drm tests that are moved from MediaCodecBlockModelTest, MediaCodecTest
and MediaExtractorTest into new android.mediadrm.cts classes are:
MediaDrmCodecBlockModelTest, MediaDrmCodecTest and MediaDrmExtractorTest
MediaCodecBlockModelHelper class is created to share common methods that
are used by MediaCodecBlockModelTest and MediaDrmCodecBlockModelTest
classes.
Test: atest CtsMediaDrmTestCases
Test: atest CtsMediaTestCases
Bug: 190625926
Change-Id: I694170dd7dc6bddd3e06b5dec733ba3652679c45</t>
  </si>
  <si>
    <t>Refactor LocationTest
Bug: 187142700
Test: atest LocationTest
Change-Id: Ieeef09016a486190126ed56c3b9bdb78cb939387</t>
  </si>
  <si>
    <t>Revert "Add test cases for background startForeground() improvement."
Revert submission 15081873-cherrypick-security_backport_183147114-an8dvy98fv
Reason for revert: https://b.corp.google.com/issues/197066403#comment15
After the app calls Service.startForeground() to put the app into foreground service mode, the service has mAllowWhileInUsePermissionInFgs set, if it is true, the app/service can access location/camera/micophone.
Some apps may call Service.startForeground() again (for any reason, could be a app's unintentional redundant call, could be that app want to update the notification of the foreground service), but at this moment the app has went into background mode, although the foreground service is still running. The second or later Service.startForeground() call may set mAllowWhileInUsePermissionInFgs to false and the app may lose location/camera/micophone access. This is incorrect because the foreground service is still running and we expect location/camera/micophone access to continue.
The Samsung Voice Recorder app has run into this situation.
Reverted Changes:
I0aca484e5:BG-FGS-start while-in-use permission restriction i...
I4988dbba1:Add test cases for background startForeground() im...
Change-Id: I03de845bb78b2d217d66fa53aa4d65aac3143150
Merged-In: I98a163e0a4304eebee6226e887f2509f79e8ba65
Bug: 183147114
Bug: 197066403</t>
  </si>
  <si>
    <t>Remove AudioTrackSurroundTest.testIEC61937_Errors.
The test checks if the AudioTrack creation fails when the channel mask
is not MONO. This is not true since Android S. In that case, remove the
test here.
Test: atest AudioTrackSurroundTest
Bug: 197850830
Change-Id: I3a435051cdb081ec0cc31e21be03307080348d90</t>
  </si>
  <si>
    <t>Remove AudioTrackSurroundTest.testIEC61937_Errors.
The test checks if the AudioTrack creation fails when the channel mask
is not MONO. This is not true since Android S. In that case, remove the
test here.
Test: atest AudioTrackSurroundTest
Bug: 197850830
Change-Id: I3a435051cdb081ec0cc31e21be03307080348d90
Merged-In: I3a435051cdb081ec0cc31e21be03307080348d90
(cherry picked from commit 3d2df9c448bea6fd762f047d9e86a5e32d2ee1c6)</t>
  </si>
  <si>
    <t>Add photo picker tests
Test: atest PhotoPickerTest
Bug: 186089715
Change-Id: I8d5426c47d0d23fcf85155f9aa725d62c0dbf3c6</t>
  </si>
  <si>
    <t>Migrate DevicePolicyManager#setDefaultSmsApplication CTS tests
Migrated com.android.cts.devicepolicy.DeviceOwnerTest#testDefaultSmsApplication
Fixes: 197906642
Test: atest DefaultSmsApplicationTest
Change-Id: Ib124ca8613002682ac3e93385d76df143ff1e5a0</t>
  </si>
  <si>
    <t>Add metric log verification CTS test for UserControlDisabledPackages DPM API
Now that Bedstead provides support for verifying that a metric gets
logged, migrate the CTS test that tests this behavior.
Bug: 191385514
Test: atest android.devicepolicy.cts.UserControlDisabledPackagesTest
Change-Id: Icb786108e4b9637589f70313acd673a002ecb5aa</t>
  </si>
  <si>
    <t>Migrate data sharing into profile test.
The test checks how Android handles user requests to apen a
file or a document across profile and ensures that
DISALLOW_SHARE_INTO_MANAGED_PROFILE restriction is respected.
Bug: 197767033
Test: atest android.devicepolicy.cts.CrossProfileSharingTest
Change-Id: I04eeeb6b504f80e0f4fc927624601e9ae51aa090</t>
  </si>
  <si>
    <t>Migrate the rest of ResetPasswordTokenTest
Background
* Use new CTS testing infra
* go/migrating-enterprise-tests
* go/bedstead
Changes
* Migrate tests for DPM.setPasswordQuality
* Migrate all the different restrictions for
  PASSWORD_QUALITY_COMPLEX e.g. minLength, minLetters
* Migrate tests for DPM.setRequiredPasswordComplexity
* Remove old class ResetPasswordTokenTest
Bug: 197760890
Test: atest android.devicepolicy.cts.ResetPasswordWithTokenTest
      atest com.android.cts.devicepolicy.MixedDeviceOwnerTest#testResetPasswordWithToken
      atest com.android.cts.devicepolicy.MixedProfileOwnerTest#testResetPasswordWithToken
      atest com.android.cts.devicepolicy.MixedManagedProfileOwnerTest#testResetPasswordWithToken
Change-Id: I82743e01e994aa938f4388a19ba0d0e056b0ad20</t>
  </si>
  <si>
    <t>Migrate createAndManageUser and introduce global settings
Background
* Use new CTS testing infra
* go/migrating-enterprise-tests
* go/bedstead
Changes
* Add GlobalSetting in Nene
* Migrate first two createAndManageUser
  test cases
Bug: 197760611
Test: atest NeneTest
      atest android.devicepolicy.cts.CreateAndManageUserTest
Change-Id: I3f262637acace1cfd26fcdef3f06ea6e9bc7a9b9</t>
  </si>
  <si>
    <t>Remove CTS tests in DeviceOwnerTest now that secondary users can start activities in Bedstead
setUserControlDisabledPackages_launchActivity_verifyPackageNotStopped
CTS test in UserControlDisabledPackagesTest was annotated with Ignore
because secondary users could not start activities. Now that Bedstead
provides support for this, migration for these CTS tests should be
complete now.
Bug: 191385514
Test: atest android.devicepolicy.cts.UserControlDisabledPackagesTest
Change-Id: Icaa23fc728797b7bd08fc8c046de5eebc335b241</t>
  </si>
  <si>
    <t>Fix CtsAngleDeveloperOptionHostTest due to ANGLE updates
CtsAngleDeveloperOptionHostTest has several tests for features that the
ANGLE APK no longer supports:
1.) Settings GUI
2.) JSON rules file
CtsAngleDeveloperOptionHostTest is being updated to no longer test these
features so it can be enabled for P21 devices.
Bug: 187342779
Bug: 184757175
Bug: 198390495
Test: CtsAngleDeveloperOptionHostTest
Change-Id: Ia8be8636d37e7543a821643476d475059d70f446
(cherry picked from commit f22c02928c1dbd70085f31d59da32d1f928a6469)
Merged-In: Ia8be8636d37e7543a821643476d475059d70f446</t>
  </si>
  <si>
    <t>Test migration for setScreenCaptureDisabled
Migrated com.android.cts.devicepolicy.DeviceAndProfileOwnerTest#testScreenCaptureDisabled
Bug: 197766622
Test: atest android.devicepolicy.cts.ScreenCaptureDisabledTest
Change-Id: If75f4d70ea331fbc6d33be9b3990b91a12197353</t>
  </si>
  <si>
    <t>Migrate EnrollmentSpecificIdTest to new infra
ALso fixes a bug of not truncating serial number as intended.
Bug: 197760250
Bug: 196524718
Test: atest android.devicepolicy.cts.EnrollmentSpecificIdTest
Change-Id: I3082c0abc6d64fad501040bb6c8127c75fc0c581</t>
  </si>
  <si>
    <t>Migrate account management tests
Migrated com.android.cts.devicepolicy.DeviceAndProfileOwnerTest#testAccountManagement_deviceAndProfileOwnerAlwaysAllowed
Migrated com.android.cts.devicepolicy.DeviceAndProfileOwnerTest#testAccountManagement_userRestrictionAddAccount
Migrated com.android.cts.devicepolicy.DeviceAndProfileOwnerTest#testAccountManagement_userRestrictionRemoveAccount
Migrated com.android.cts.devicepolicy.DeviceAndProfileOwnerTest#testAccountManagement_disabledAddAccount
Migrated com.android.cts.devicepolicy.DeviceAndProfileOwnerTest#testAccountManagement_disabledRemoveAccount
Test: atest AccountManagementTest
Fixes: 197909954
Change-Id: I7d7a19a407843af3e59f4ce28aefebe6a5cc8a2f</t>
  </si>
  <si>
    <t>Remove UserControlDisabledPackages CTS tests that throw a
SecurityException
setUserControlDisabledPackages_notAllowedToSetProtectedPackages_throwsException() and
getUserControlDisabledPackages_notAllowedToRetrieveProtectedPackages_throwsException() CTS tests that use the Bedstead test infra in
UserControlDisabledPackagesTest already test the behavior of
throwing a SecurityException when setting/retrieving the protected
packages are not permitted
Bug: 191385514
Test: atest android.devicepolicy.cts.UserControlDisabledPackagesTest
Change-Id: I7a57f9064546a2518ac15c87f75f1c0b325bf78a</t>
  </si>
  <si>
    <t>Migrate testDisallowSharingIntoProfileFromPersonal
Bug: 198766258
Test: atest android.devicepolicy.cts.CrossProfileSharingTest
Change-Id: I6ac2e278cb3dd54ecea13e5d1c781486f2c4f1ae</t>
  </si>
  <si>
    <t>Migrate DevicePolicyManager#setDefaultSmsApplication CTS tests
Migrated com.android.cts.devicepolicy.DeviceOwnerTest#testDefaultSmsApplication
Fixes: 197906642
Test: atest DefaultSmsApplicationTest
Change-Id: Ib124ca8613002682ac3e93385d76df143ff1e5a0
Merged-In: Ib124ca8613002682ac3e93385d76df143ff1e5a0
(cherry picked from commit 6c7a7c6f6199628b1d95b8789fb234bf4b1b319d)</t>
  </si>
  <si>
    <t>Add metric log verification CTS test for UserControlDisabledPackages DPM API
Now that Bedstead provides support for verifying that a metric gets
logged, migrate the CTS test that tests this behavior.
Bug: 191385514
Test: atest android.devicepolicy.cts.UserControlDisabledPackagesTest
Change-Id: Icb786108e4b9637589f70313acd673a002ecb5aa
Merged-In: Icb786108e4b9637589f70313acd673a002ecb5aa
(cherry picked from commit 34b6954075b3d1f4486f031ad82bbb9972638903)</t>
  </si>
  <si>
    <t>Remove UserControlDisabledPackages CTS tests that throw a
SecurityException
setUserControlDisabledPackages_notAllowedToSetProtectedPackages_throwsException() and
getUserControlDisabledPackages_notAllowedToRetrieveProtectedPackages_throwsException() CTS tests that use the Bedstead test infra in
UserControlDisabledPackagesTest already test the behavior of
throwing a SecurityException when setting/retrieving the protected
packages are not permitted
Bug: 191385514
Test: atest android.devicepolicy.cts.UserControlDisabledPackagesTest
Change-Id: I7a57f9064546a2518ac15c87f75f1c0b325bf78a
Merged-In: I7a57f9064546a2518ac15c87f75f1c0b325bf78a
(cherry picked from commit 5bdafc5dd23e9793aaed1a56d1806eb0205408a3)</t>
  </si>
  <si>
    <t>Migrate data sharing into profile test.
The test checks how Android handles user requests to apen a
file or a document across profile and ensures that
DISALLOW_SHARE_INTO_MANAGED_PROFILE restriction is respected.
Bug: 197767033
Test: atest android.devicepolicy.cts.CrossProfileSharingTest
Change-Id: I04eeeb6b504f80e0f4fc927624601e9ae51aa090
Merged-In: I04eeeb6b504f80e0f4fc927624601e9ae51aa090
(cherry picked from commit 333d93e6992584bc81f43c4ce1dcb338244abdff)</t>
  </si>
  <si>
    <t>Migrate createAndManageUser and introduce global settings
Background
* Use new CTS testing infra
* go/migrating-enterprise-tests
* go/bedstead
Changes
* Add GlobalSetting in Nene
* Migrate first two createAndManageUser
  test cases
Bug: 197760611
Test: atest NeneTest
      atest android.devicepolicy.cts.CreateAndManageUserTest
Change-Id: I3f262637acace1cfd26fcdef3f06ea6e9bc7a9b9
Merged-In: I3f262637acace1cfd26fcdef3f06ea6e9bc7a9b9
(cherry picked from commit a63c7ddc934b566430c6054099aae0abaf8f47fb)</t>
  </si>
  <si>
    <t>Test migration for setScreenCaptureDisabled
Migrated com.android.cts.devicepolicy.DeviceAndProfileOwnerTest#testScreenCaptureDisabled
Bug: 197766622
Test: atest android.devicepolicy.cts.ScreenCaptureDisabledTest
Change-Id: If75f4d70ea331fbc6d33be9b3990b91a12197353
Merged-In: If75f4d70ea331fbc6d33be9b3990b91a12197353
(cherry picked from commit d7e31245820ee86f49afa885098d7ab422201a1f)</t>
  </si>
  <si>
    <t>Migrate EnrollmentSpecificIdTest to new infra
ALso fixes a bug of not truncating serial number as intended.
Bug: 197760250
Bug: 196524718
Test: atest android.devicepolicy.cts.EnrollmentSpecificIdTest
Change-Id: I3082c0abc6d64fad501040bb6c8127c75fc0c581
Merged-In: I3082c0abc6d64fad501040bb6c8127c75fc0c581</t>
  </si>
  <si>
    <t>Migrate the rest of ResetPasswordTokenTest
Background
* Use new CTS testing infra
* go/migrating-enterprise-tests
* go/bedstead
Changes
* Migrate tests for DPM.setPasswordQuality
* Migrate all the different restrictions for
  PASSWORD_QUALITY_COMPLEX e.g. minLength, minLetters
* Migrate tests for DPM.setRequiredPasswordComplexity
* Remove old class ResetPasswordTokenTest
Bug: 197760890
Test: atest android.devicepolicy.cts.ResetPasswordWithTokenTest
      atest com.android.cts.devicepolicy.MixedDeviceOwnerTest#testResetPasswordWithToken
      atest com.android.cts.devicepolicy.MixedProfileOwnerTest#testResetPasswordWithToken
      atest com.android.cts.devicepolicy.MixedManagedProfileOwnerTest#testResetPasswordWithToken
Change-Id: I82743e01e994aa938f4388a19ba0d0e056b0ad20
Merged-In: I82743e01e994aa938f4388a19ba0d0e056b0ad20
(cherry picked from commit bb0aa86013029d702e36ca359368fc22d0902a35)</t>
  </si>
  <si>
    <t>Remove CTS tests in DeviceOwnerTest now that secondary users can start activities in Bedstead
setUserControlDisabledPackages_launchActivity_verifyPackageNotStopped
CTS test in UserControlDisabledPackagesTest was annotated with Ignore
because secondary users could not start activities. Now that Bedstead
provides support for this, migration for these CTS tests should be
complete now.
Bug: 191385514
Test: atest android.devicepolicy.cts.UserControlDisabledPackagesTest
Change-Id: Icaa23fc728797b7bd08fc8c046de5eebc335b241
Merged-In: Icaa23fc728797b7bd08fc8c046de5eebc335b241
(cherry picked from commit f3e93d9f4eedff735ad6b8c576c33bf858528d10)</t>
  </si>
  <si>
    <t>Migrate account management tests
Migrated com.android.cts.devicepolicy.DeviceAndProfileOwnerTest#testAccountManagement_deviceAndProfileOwnerAlwaysAllowed
Migrated com.android.cts.devicepolicy.DeviceAndProfileOwnerTest#testAccountManagement_userRestrictionAddAccount
Migrated com.android.cts.devicepolicy.DeviceAndProfileOwnerTest#testAccountManagement_userRestrictionRemoveAccount
Migrated com.android.cts.devicepolicy.DeviceAndProfileOwnerTest#testAccountManagement_disabledAddAccount
Migrated com.android.cts.devicepolicy.DeviceAndProfileOwnerTest#testAccountManagement_disabledRemoveAccount
Test: atest AccountManagementTest
Fixes: 197909954
Change-Id: I7d7a19a407843af3e59f4ce28aefebe6a5cc8a2f
Merged-In: I7d7a19a407843af3e59f4ce28aefebe6a5cc8a2f
(cherry picked from commit a3570f7505395d5be9f9b4177396ff4118614026)</t>
  </si>
  <si>
    <t>Migrate testDisallowSharingIntoProfileFromPersonal
Bug: 198766258
Test: atest android.devicepolicy.cts.CrossProfileSharingTest
Change-Id: I6ac2e278cb3dd54ecea13e5d1c781486f2c4f1ae
Merged-In: I6ac2e278cb3dd54ecea13e5d1c781486f2c4f1ae
(cherry picked from commit e99f8553bce8be74bd22516725ebb72c379e6c65)</t>
  </si>
  <si>
    <t>Remove userspace reboot CTS tests
Bug: 199411347
Test: presubmit
Change-Id: I407c163a43de441dfb47d37ab56e9f0b985f8453</t>
  </si>
  <si>
    <t>Remove userspace reboot CTS tests
Bug: 199411347
Test: presubmit
Change-Id: I407c163a43de441dfb47d37ab56e9f0b985f8453
Merged-In: I407c163a43de441dfb47d37ab56e9f0b985f8453</t>
  </si>
  <si>
    <t>Remove userspace reboot CTS tests
Bug: 199411347
Test: presubmit
Change-Id: I407c163a43de441dfb47d37ab56e9f0b985f8453
Merged-In: I407c163a43de441dfb47d37ab56e9f0b985f8453
(cherry picked from commit d72f1a1a6f977a7e05fc96e24b4ecc6029e735f2)</t>
  </si>
  <si>
    <t>Remove ineligible CTS test that doens't have CDD
I didn't apply the changes to cts-known-failures.xml because I examined
the file, it doesn't seem this one belong to the failure cases. So out
of precaution, I decided to just remove the test. We can easily revive
later, if it's needed.
Test: not needed because it's removing test.
Change-Id: Ied79f203c46cd3297c1df3fd265643465a76ce19
Bug: 199965154</t>
  </si>
  <si>
    <t>Remove AnimationFrameStats CTS tests
AnimationFrames are no-longer used, so the test isn't valid
anymore
Bug: 183993924
Test: atest UiAutomationTest
Change-Id: Ia8220d1cfae7b3dbef8a3d42773880ca95c38404</t>
  </si>
  <si>
    <t>Updated CTS test for Android Security b/74122779
Bug: 74122779
Bug: 111211643
Test: Ran the new testcase on android-11.0.0_r1 to test with/without patch
Change-Id: I9611d6a0bc173ea07fc86f915aa0fc4d2530bbdb</t>
  </si>
  <si>
    <t>Migrate CustomDeviceOwnerTest#testCannotSetDeviceOwnerWhenAccountPresent
Migrated com.android.cts.devicepolicy.CustomDeviceOwnerTest#testCannotSetDeviceOwnerWhenAccountPresent
Fixes: 199157598
Test: atest android.devicepolicy.cts.DeviceOwnerPrerequisitesTest
Change-Id: I919cfd2cf40d40d6151f460e18e1a4329f36c6cd</t>
  </si>
  <si>
    <t>Remove AnimationFrameStats CTS tests
AnimationFrames are no-longer used, so the test isn't valid
anymore
Bug: 183993924
Test: atest UiAutomationTest
Change-Id: Ia8220d1cfae7b3dbef8a3d42773880ca95c38404
Merged-In: Ia8220d1cfae7b3dbef8a3d42773880ca95c38404</t>
  </si>
  <si>
    <t>Fix CtsAngleDeveloperOptionHostTest due to ANGLE updates
CtsAngleDeveloperOptionHostTest has several tests for features that the
ANGLE APK no longer supports:
1.) Settings GUI
2.) JSON rules file
CtsAngleDeveloperOptionHostTest is being updated to no longer test these
features.
Bug: 187342779
Bug: 184757175
Bug: 198390495
Test: CtsAngleDeveloperOptionHostTest
Change-Id: Ia8be8636d37e7543a821643476d475059d70f446
(cherry picked from commit f22c02928c1dbd70085f31d59da32d1f928a6469)
Merged-In: Ia8be8636d37e7543a821643476d475059d70f446</t>
  </si>
  <si>
    <t>Migrate CustomDeviceOwnerTest#testCannotSetDeviceOwnerWhenAccountPresent
Migrated com.android.cts.devicepolicy.CustomDeviceOwnerTest#testCannotSetDeviceOwnerWhenAccountPresent
Fixes: 199157598
Test: atest android.devicepolicy.cts.DeviceOwnerPrerequisitesTest
Change-Id: I919cfd2cf40d40d6151f460e18e1a4329f36c6cd
Merged-In: I919cfd2cf40d40d6151f460e18e1a4329f36c6cd</t>
  </si>
  <si>
    <t>Move shared library code from EDI
The code that extracts all the shared libraries available on device is
also required by the StrictJavaPackages test, so move it to the
compat-classpaths-testing host side library.
Test: atest CtsEdiHostTestCases
Bug: 199532111
Change-Id: I7d4eb99a0dc88844df73b89d43890783eb8f8b2d</t>
  </si>
  <si>
    <t>RESTRICT AUTOMERGE: Do not use @Ignore on JUnit3 code
We needed to disable a number of CTS tests on Android S. We used the
@Ignore annotation that is supported in JUnit4 and forward but the
impacted module is still under JUnit3. This breaks builds further down
the automerger path.
This patch removes the tests instead.
Bug: 200647825
Test: atest android.media.cts.DecoderTest
Change-Id: I6fc7dec92cf3593afbcfd659d49da640fec470cb</t>
  </si>
  <si>
    <t>Remove redundant test
Everything that is tested here, is tested in common/HdmiCecStartupTest as well.
Bug: 149519706
Test: none
Change-Id: I69994763bb1b336abf67eb2192577c2ee3ee8e85</t>
  </si>
  <si>
    <t>Move utility code to a new package
Allow the old Util.java methods to be reused outside of the scope of CTS
tests.
The few remaining, test-only methods have been moved to TestUtil.java
Test: CtsIdentityTestCases
Change-Id: I33c804f8f654cd307dd5b6028e763aef9e68e9b8</t>
  </si>
  <si>
    <t>Revert "Add CTS tests for AccessibilityManager.isAudioDescriptio..."
Revert submission 15617076-AudioDescriptionPublicAPI
Reason for revert: Raise Memorytest failures: b/200728759, b/200746876.
Reverted Changes:
Ic11e0bc4f:Add CTS tests for AccessibilityManager.isAudioDesc...
I8f3908513:Update AudioDescription read/write from Settings.S...
Iecf006bc8:Create Public API in AccessibilityManager to expos...
Change-Id: Id41298b10fd54c11ce4f3594b6dcfd4e9e39e497</t>
  </si>
  <si>
    <t>Make TestApis static.
Currently we create a TestApis in every test class but we don't actually
make use of the state so it's wasteful and makes our APIs more complex.
This is a big change but it should have no functional change.
Test: atest NeneTest
Test: atest TestAppTest
Test: atest HarrierTest
Test: atest RemoteDpcTest
Test: atest CtsDevicePolicyTestCases
Fixes: 200779840
Change-Id: I8f839d411e1bcd1b18fdd61c650a65fc37fc47fd</t>
  </si>
  <si>
    <t>Fix Bedstead infra tests for Auto
This actually makes a number of changes at once as I had to keep fixing
things to get these to pass:
* Simplify setDeviceOwner to always refer to user 0 (it does in practice
anyway)
* Update a bunch of tests of the infra to use the infra themselves (it
wasn't ready when they were written) - this takes advantage of the infra
managing the users
* Sort annotations in a deterministic (but mostly arbitrary) way - this
avoids situations where we e.g. manage a profile owner and later try to
set a device owner which breaks
* Add support for stopBgUsersOnSwitch
* Add support for an "initial" user
* Deal with complexities around setting a po at the same time as a do
(cleaning up - removing existing pos first, additional permissions,
etc.)
* Hard-code the system user in some tests which previously assumed it
* Mark a bunch of tests which create work profiles so they'll be skipped
Test: atest EventLibTest
Test: atest HarrierTest
Test: atest NeneTest
Test: atest TestAppTest
Test: atest RemoteDpcTest
Bug: 193814739
Change-Id: I164ec7c6d4671c2a9d57da5e250f4d0cb7d7837e</t>
  </si>
  <si>
    <t>Move shared library code from EDI
The code that extracts all the shared libraries available on device is
also required by the StrictJavaPackages test, so move it to the
compat-classpaths-testing host side library.
Test: atest CtsEdiHostTestCases
Bug: 199532111
Change-Id: I7d4eb99a0dc88844df73b89d43890783eb8f8b2d
Merged-In: I7d4eb99a0dc88844df73b89d43890783eb8f8b2d</t>
  </si>
  <si>
    <t>Move shared library code from EDI
The code that extracts all the shared libraries available on device is
also required by the StrictJavaPackages test, so move it to the
compat-classpaths-testing host side library.
Test: atest CtsEdiHostTestCases
Bug: 199532111
Change-Id: I7d4eb99a0dc88844df73b89d43890783eb8f8b2d
Merged-In: I7d4eb99a0dc88844df73b89d43890783eb8f8b2d
(cherry picked from commit 519db55088c7ef993a9e86e1d906637f7bcdc7b9)</t>
  </si>
  <si>
    <t>Add test for contacts local account
In Android T to reduce fragmentation the CDD is being updated to
require that the local account follow AOSP convention of using null
for the name and type.
Bug: 197121288
Bug: 188347648
Test: atest CtsContactsProviderTestCases
Change-Id: I2b87c396f2eec8000664b26a32e281dd19303ad9</t>
  </si>
  <si>
    <t>Fix CtsAngleDeveloperOptionHostTest due to ANGLE updates
CtsAngleDeveloperOptionHostTest has several tests for features that the
ANGLE APK no longer supports:
1.) Settings GUI
2.) JSON rules file
CtsAngleDeveloperOptionHostTest is being updated to no longer test these
features so it can be enabled for P21 devices.
Bug: 187342779
Bug: 184757175
Test: CtsAngleDeveloperOptionHostTest
Change-Id: Ia8be8636d37e7543a821643476d475059d70f446
(cherry picked from commit f22c02928c1dbd70085f31d59da32d1f928a6469)</t>
  </si>
  <si>
    <t>Remove removeUnsafeExtras() test
Plus test around putAll(), similar to deepCopy().
Test: atest -d android.os.cts.ParcelTest android.os.cts.BundleTest android.os.BundleTest android.os.ParcelTest
Test: atest -d android.content.cts.IntentTest
Bug: 195622897
Change-Id: I40fb3e5e9f35b9d52970144341ce6f49ed3933d9</t>
  </si>
  <si>
    <t>Migrate CameraPolicyTest to bedstead infra
Migrate com.android.cts.devicepolicy.ManagedProfileTest#testCameraPolicy
and associated device tests into new bedstead infrastructure.
go/bedstead
go/migrating-enterprise-tests
Bug: 199487650
Test: atest android.devicepolicy.cts.CameraPolicyTest
Change-Id: I4ea1e72ab41be665336c7ebd05d5be2af083280c</t>
  </si>
  <si>
    <t>Revert "CEC: Test OTP on wakeup after quiescent boot"
This reverts commit a5b1318612630ac196503a94d9c5148e4d6fcf3a.
Reason for revert: Accidental cherry-pick of unreviewed CL
Change-Id: I2c64269082098946043a8ab5673f2f3631b7db24</t>
  </si>
  <si>
    <t>Add photo picker tests
Test: atest PhotoPickerTest
Bug: 186089715
Change-Id: I8d5426c47d0d23fcf85155f9aa725d62c0dbf3c6
Merged-In: I8d5426c47d0d23fcf85155f9aa725d62c0dbf3c6
(cherry picked from commit 58456bfeea410d2dcc44e9bdf96e0645b54d35fc)</t>
  </si>
  <si>
    <t>Split large RSA keygen test up
Instead of testing all key sizes in one test, split up the test so we
instead test each key size and provider separately. This gives us better
granularity for the tests.
Fixes: 201844061
Test: CtsKeystorePerformanceTestCases
Change-Id: I1fc64c75b49f350a3ff963d58b2030cc1ccb2d03</t>
  </si>
  <si>
    <t>DO NOT MERGE: Revert "Re-enable cross-user test case."
Revert submission 15463074-enable-cross-user
Reason for revert: ShortManager has bumped their integration from sc-v2-dev to master, so there is no request for AppSearch to support multi-user in sc-v2-dev. Will revert this change and re-enable multi-user back in Android T.
Reverted Changes:
I93c083d83:Enable cross-user requests.
I5f61ae416:Re-enable cross-user test case.
Change-Id: Ib4876413961681a117e94077845d7adc53403f3b</t>
  </si>
  <si>
    <t>DO NOT MERGE: Revert "Re-enable cross-user test case."
Revert submission 15463074-enable-cross-user
Reason for revert: ShortManager has bumped their integration from sc-v2-dev to master, so there is no request for AppSearch to support multi-user in sc-v2-dev. Will revert this change and re-enable multi-user back in Android T.
Reverted Changes:
I93c083d83:Enable cross-user requests.
I5f61ae416:Re-enable cross-user test case.
Change-Id: Ib4876413961681a117e94077845d7adc53403f3b
Merged-In: Ib4876413961681a117e94077845d7adc53403f3b</t>
  </si>
  <si>
    <t>Refactor packages access to remove ADB + caching.
This causes a bunch of flakiness because permission checks are now
faster, which is fixed on a case-by-cases basis.
This CL kept growing as I fixed these issues. Now it:
- fixes validation error when installing apps (disabling the unknown
sources check).
- replaces PollingCheck with Poll.
- Adds support for AppOp into Nene
Test: atest NeneTest
Test: atest CtsDevicePolicyTestCases
Test: atest GtsDevicePolicyTestCases
Fixes: 199174169
Bug: 197208798
Change-Id: Ia9bbd721c62de175a92eb291fee12906ba5882a1</t>
  </si>
  <si>
    <t>Remove tests that require SIM to support FDN or SDN
Most of these tests are already ignored because running them requires
use of a SIM that supports all the EFs which is onerous because these
EFs are less common than ADN. Also validating this aspect of the API is
lower-value since these EFs don't typically contain user-data and are
much more limited in their capabilities.
Bug: 201385523
Test: atest CtsSimPhonebookProviderTestCases
Change-Id: I9aed930bf066c22b018c3289ef915cba74afedbb</t>
  </si>
  <si>
    <t>Update CTS to use the New Window Extensions Interface
1. Update the tests to use the new Window Extensions Interface
2. Remove compat wrappers that abstract away whether sidecar
   or extensions are used and separate the sidecar tests from
   the extension tests. This change is helpful because the API
   surface in extensions has changed significantly making a
   compat wrapper more difficult to manage moving forward,
   especially considering that sidecar is deprecated whereas
   extensions will be actively developed
3. Only use public APIs in the tests so that they can be copied
   into Jetpack as well
Note: all of the original tests in ExtensionTest are now in
SidecarTest mostly as is, and ExtensionLayoutTest has similar tests
however based on the new Extensions interface.
Bug: b/199312407 b/158876142 b/155343832 b/185151233
Test: atest CtsWindowManagerJetpackTestCases:SidecarTest
Test: atest CtsWindowManagerJetpackTestCases:ExtensionWindowLayoutComponentTest
Change-Id: I75f7090ed865a38dce1da2c3882f757758500d68</t>
  </si>
  <si>
    <t>Move drm tests to its own package.
As part of bug b/171226061 to separate DRM test
classes to enable better tracking of test failures
through the OWNERs files.
The drm tests now reside in android.mediadrm.cts package.
The following tests are moved:
  DrmInitDataTest, MediaDrmClearkeyTest, MediaDrmMetricsTest,
  MediaDrmMockTest, MediaPlayerDrmTest and NativeMediaDrmClearkeyTest
Drm tests that are moved from MediaCodecBlockModelTest, MediaCodecTest
and MediaExtractorTest into new android.mediadrm.cts classes are:
MediaDrmCodecBlockModelTest, MediaDrmCodecTest and MediaDrmExtractorTest
MediaCodecBlockModelHelper class is created to share common methods that
are used by MediaCodecBlockModelTest and MediaDrmCodecBlockModelTest
classes.
Test: atest CtsMediaDrmTestCases
Test: atest CtsMediaTestCases
Bug: 191504968
Bug: 190625926
Change-Id: I694170dd7dc6bddd3e06b5dec733ba3652679c45
(cherry picked from commit aafedb0bd34b07854d8a84e9a3d35478cbf920f9)
Merged-In: I694170dd7dc6bddd3e06b5dec733ba3652679c45</t>
  </si>
  <si>
    <t>Revert "Add cts test to verify 2 AssetFileDescriptors work indep..."
Revert submission 15961171-168310122
Reason for revert: breaks presubmit tests
Reverted Changes:
I6c9f9d1de:Have AssetFileDescriptor.AutoCloseInputStream use ...
I061bf9ab4:Add cts test to verify 2 AssetFileDescriptors work...
Change-Id: I19715aff7880d11240b96ec02f8d032f15c81277</t>
  </si>
  <si>
    <t>Remove redundant test
Everything that is tested here, is tested in common/HdmiCecStartupTest as well.
Bug: 149519706
Test: none
Change-Id: I69994763bb1b336abf67eb2192577c2ee3ee8e85
(cherry picked from commit e7e9836fe6538337de4030fd65924158da6e6e62)</t>
  </si>
  <si>
    <t>Revert "CTS for PendingIntent BroadcastOptions BAL improvement"
Revert submission 15879527-component_options
Reason for revert: DroidMonitor: Potential culprit for Bug 203407624 - verifying through Forrest before revert submission. This is part of the standard investigation process, and does not mean your CL will be reverted
Reverted Changes:
I256115361:CTS for PendingIntent BroadcastOptions BAL improve...
Ic47b9fcd3:Merge BroadcastOptions and ActivityOptions Pending...
Change-Id: Ic267de772e14fa7798f90c0d19a4189f0ca27fb4</t>
  </si>
  <si>
    <t>Remove ADB from user resolving on S+.
Test: atest CtsDevicePolicyTestCases
Test: atest GtsDevicePolicyTestCases
Test: atest NeneTest
Bug: 181993922
Change-Id: I0708c33c0df88704b0aa04bb90912de4fb000f32</t>
  </si>
  <si>
    <t>Migrate PermissionGrantTest.
Migrated com.android.cts.devicepolicy.MixedDeviceOwnerTest#testLocationPermissionGrantNotifies
Migrated com.android.cts.devicepolicy.MixedDeviceOwnerTest#testPermissionGrant
Migrated com.android.cts.devicepolicy.MixedManagedProfileOwnerTest#testPermissionGrant
Migrated com.android.cts.devicepolicy.MixedProfileOwnerTest#testPermissionGrant
Migrated com.android.cts.devicepolicy.MixedDeviceOwnerTest#testPermissionGrant_developmentPermission
Migrated com.android.cts.devicepolicy.MixedManagedProfileOwnerTest#testPermissionGrant_developmentPermission
Migrated com.android.cts.devicepolicy.MixedProfileOwnerTest#testPermissionGrant_developmentPermission
Migrated com.android.cts.devicepolicy.MixedDeviceOwnerTest#testGrantOfSensorsRelatedPermissions
Migrated com.android.cts.devicepolicy.MixedManagedProfileOwnerTest#testGrantOfSensorsRelatedPermissions
Migrated com.android.cts.devicepolicy.MixedProfileOwnerTest#testGrantOfSensorsRelatedPermissions
Migrated com.android.cts.devicepolicy.MixedDeviceOwnerTest#testDenyOfSensorsRelatedPermissions
Migrated com.android.cts.devicepolicy.MixedManagedProfileOwnerTest#testDenyOfSensorsRelatedPermissions
Migrated com.android.cts.devicepolicy.MixedProfileOwnerTest#testDenyOfSensorsRelatedPermissions
Migrated com.android.cts.devicepolicy.MixedDeviceOwnerTest#testStateOfSensorsRelatedPermissionsCannotBeRead
Migrated com.android.cts.devicepolicy.MixedManagedProfileOwnerTest#testStateOfSensorsRelatedPermissionsCannotBeRead
Migrated com.android.cts.devicepolicy.MixedProfileOwnerTest#testStateOfSensorsRelatedPermissionsCannotBeRead
Test: atest android.devicepolicy.cts.PermissionGrantTest
Bug: 197906636
Bug: 197867832
Bug: 195469779
Change-Id: I9917b49b93b794a6a1d6f843af63148a3527dfa9</t>
  </si>
  <si>
    <t>Revert "Test permissions for matchesCallFilter in NotificationMa..."
Revert submission 16077951-yl-mcfperm
Reason for revert: Droidfood Blocking Bug: b/204523343
Reverted Changes:
I8e7c8b699:Enforce that callers to matchesCallFilter have eit...
I8a05ffa89:Test permissions for matchesCallFilter in Notifica...
Change-Id: Ie93693688cbbbd4bcd55ec188596686a0159d55d</t>
  </si>
  <si>
    <t>RESTRICT AUTOMERGE Remove hostsidetests/userspacereboot tests
Unclean cherry-pick of I407c163a43de441dfb47d37ab56e9f0b985f8453
Bug: 191231722
Bug: 199411347
Test: presubmit
Change-Id: Iaab9bc0b59427c42b88403114a845bd9dec06e2b</t>
  </si>
  <si>
    <t>Fix CaCertManagementTest.
Migrated: DeviceAndProfileOwnerTest#testInstallCaCertLogged
Migrated: DeviceAndProfileOwnerTest#testCaCertManagement
Migrate: MixedProfileOwnerTest#testCaCertManagement
Migrate: MixedProfileOwnerTest#testInstallCaCertLogged
Migrate: MixedDeviceOwnerTest#testCaCertManagement
Migrate: MixedDeviceOwnerTest#testInstallCaCertLogged
Migrate: MixedManagedProfileOwnerTest#testCaCertManagement
Migrate: MixedManagedProfileOwnerTest#testInstallCaCertLogged
Test: atest android.devicepolicy.cts.CaCertManagementTest
Fixes: 197907379
Fixes: 198641824
Change-Id: I792394a513f2a2bf5764817a9b4821b4ae1efaac</t>
  </si>
  <si>
    <t>Revert "Add test checking view recycling is always tested"
Revert submission 16149646-betterRecycling
Reason for revert: Droidfood Blocking Bug: 205503898
Reverted Changes:
Ib01c511e4:Always check if the view can be recycled.
If11dcd323:Add test checking view recycling is always tested
Change-Id: I733a222dd06afa6853193348764151c27f70b067</t>
  </si>
  <si>
    <t>Revert "Add test checking view recycling is always tested"
Revert submission 16149646-betterRecycling
Reason for revert: Droidfood Blocking Bug: 205503898
Reverted Changes:
Ib01c511e4:Always check if the view can be recycled.
If11dcd323:Add test checking view recycling is always tested
Change-Id: I733a222dd06afa6853193348764151c27f70b067
(cherry picked from commit 97f1e988c0958ac3fa878d980da3a1d62fdb2772)</t>
  </si>
  <si>
    <t>Update CTS CarWatchdogHostTest to verify recurring I/O overuse kill.
- Watchdog service performs I/O overuse kill/disable only on recurring
disk I/O overuse and after the display is turned off. Update the CTS
test to verify the app kill after these conditions are met.
- Update CarWatchdogHostTest to capture and verify the metrics uploaded
on exceeding disk I/O thresholds and on killing/disaling app on recurring
disk I/O overuse.
- Update device side app to delete files as soon as the write completes.
This helps to reclaim the storage space quickly. Otherwise, testing
recurring overuse might fill-up disk storage on low storage capacity
devices.
Test: run cts -m CtsCarHostTestCases -t \
android.car.cts.CarWatchdogHostTest
Fix: 204207264
Bug: 184310189
Fix: 197650622
Change-Id: If997498c7560eb6224c6b49db3263347bcaa40ac</t>
  </si>
  <si>
    <t>Migrate more ApplicationRestrictions tests.
This marks the tests as suitable for delegation but does not implement
those states. That'll come in the next CL.
Migrated: com.android.cts.devicepolicy.DeviceAndProfileOwnerTest#testApplicationRestrictions
Migrated: com.android.cts.devicepolicy.MixedDeviceOwnerTest#testApplicationRestrictions
Bug: 193792462
Test: atest android.devicepolicy.cts.ApplicationRestrictionsTest
Change-Id: I9bb038fbcd5cd0a5ab99f0e7f756a01647280a49</t>
  </si>
  <si>
    <t>Migrate testManagedProvisioningPreInstalled
Test: atest android.devicepolicy.cts.ManagedProvisioningTest
Bug: 205178429
Change-Id: I1bab8583fb571bab244c153ef38c912bd805e96a</t>
  </si>
  <si>
    <t>Remove ProcessTest
It's under cts/tests, but it doesn't have AndroidTest.xml and not tagged as CTS.
Bug: 205880049
Test: treehugger
Change-Id: Id58670b3274314a14ba903678077cf222eddfc78</t>
  </si>
  <si>
    <t>Refine SharedFilter cases
Bind to SharedFilterTestService while tuner tests. This change will make
the test much faster and it enables to verify the server side status.
Remove the SharedFilter reopen case because while the close, frameworks
cleans the FilterClient handle. It will cause problem if reuse it.
Bug: 205624778
Bug: 205763272
Test: atest android.media.tv.tuner.cts
Change-Id: I05ae045efd944d25d2d9ab631f54639430598e9c</t>
  </si>
  <si>
    <t>Migrated DelegationTest to Bedstead.
Migrated
com.android.cts.devicepolicy.DeviceAndProfileOwnerTest#testDelegation in
part, by migrating the DelegationTest device-side test class and adding
some missing coverage.
Removed DelegationTest and the corresponding test app.
Also includes some minor Bedstead tweaks that scottjonathan@ will follow
up on, and which are covered by TODOs.
Test: atest "android.devicepolicy.cts.DelegationScopesTest"
Fixes: 197907392
Change-Id: Ib8c029a3b2f1e1b8af649b8784c4ab11ec26c49a</t>
  </si>
  <si>
    <t>Migrated DelegationTest to Bedstead.
Migrated
com.android.cts.devicepolicy.DeviceAndProfileOwnerTest#testDelegation in
part, by migrating the DelegationTest device-side test class and adding
some missing coverage.
Removed DelegationTest and the corresponding test app.
Also includes some minor Bedstead tweaks that scottjonathan@ will follow
up on, and which are covered by TODOs.
Test: atest "android.devicepolicy.cts.DelegationScopesTest"
Fixes: 197907392
Change-Id: Ib8c029a3b2f1e1b8af649b8784c4ab11ec26c49a
(cherry picked from commit 662f7f4f2bb0af0eb2bcea218c496779489875dd)</t>
  </si>
  <si>
    <t>Migrate more ApplicationRestrictions tests.
This marks the tests as suitable for delegation but does not implement
those states. That'll come in the next CL.
Migrated: com.android.cts.devicepolicy.DeviceAndProfileOwnerTest#testApplicationRestrictions
Migrated: com.android.cts.devicepolicy.MixedDeviceOwnerTest#testApplicationRestrictions
Bug: 193792462
Test: atest android.devicepolicy.cts.ApplicationRestrictionsTest
Change-Id: I9bb038fbcd5cd0a5ab99f0e7f756a01647280a49
Merged-In: I9bb038fbcd5cd0a5ab99f0e7f756a01647280a49</t>
  </si>
  <si>
    <t>WV CTS: Port packageName tests from DeviceSideStartupTest
Create a new CTS test class WebViewStartupTest that is equivalent to
WebViewDeviceSideStartupTest and move testGetCurrentWebViewPackage
tests to the new class. Other tests will be moved in subsequent CLs.
The new WebViewStartupTest uses the framework written by torne to run
each test case in a freshly created process.
Also modify the framework to:
- The interface for TestRunnables to throw throwable.
- Run tests on a thread other than the main thread by default which
  make testing model clearer and similar to android test runner.
- Introduce UiThreadTestRunnable for tests that want to run on the UI
  thread.
Bug: 72376996
Test: atest CtsWebkitTestCases:WebViewStartupTest
Change-Id: I38e8558c8f7ef595079dbf4ea6fc284297386de4</t>
  </si>
  <si>
    <t>Revert "Add test for isDeviceOwnerApp"
Revert submission 15660377-ayushsha_185896465
Reason for revert: DroidMonitor-triggered revert due to breakage bug http://b/207143396
BUG: 207143396
Reverted Changes:
I774ec2a09:Add test for isDeviceOwnerApp
Ibd611bfe2:Require QUERY_ALL_PACKAGES getDeviceOwnerComponent...
Change-Id: I2ec0741c5d3371270f4111c311633aaafffa6121</t>
  </si>
  <si>
    <t>WV CTS: Move testGetWebViewLooper* from DeviceSideStartupTest
Moving more tests from WebView{HostSide,DeviceSide}StartupTest class to
the new WebViewStartupTest class that uses service process framework to
launch tests in a new process.
Bug: 72376996
Test: atest CtsWebkitTestCases:WebViewStartupTest
Change-Id: I1de67fd0f855974474726db83733a782e4d10937</t>
  </si>
  <si>
    <t>Fix remaining issues with CtsDevicePolicyTestCases on S_V2.
Test: atest CtsDevicePolicyTestCases
Test: atest TestAppTest
Bug: 207695680
Bug: 207804008
Bug: 207811628
Bug: 205919949
Bug: 197909954
Bug: 193792462
Bug: 204961642
Change-Id: Ic1cd440154d40ffc9ee14a5ecec412bc8cecf9db</t>
  </si>
  <si>
    <t>Fix remaining issues with CtsDevicePolicyTestCases on S_V2.
Test: atest CtsDevicePolicyTestCases
Test: atest TestAppTest
Fixes: 207695680
Fixes: 207804008
Fixes: 207811628
Fixes: 205919949
Fixes: 197909954
Fixes: 193792462
Fixes: 204961642
Change-Id: Ic1cd440154d40ffc9ee14a5ecec412bc8cecf9db
Merged-In: Ic1cd440154d40ffc9ee14a5ecec412bc8cecf9db</t>
  </si>
  <si>
    <t>Remove VibrationAttributes tests for touch feedback heuristic
The logic has been moved to VibratorManagerService, and is no longer
applied by this client parcelable.
Bug: 185351540
Test: VibrationAttributesTest
Change-Id: If3d3aeddea7be2dff02e08731991b14f3aabc64a</t>
  </si>
  <si>
    <t>Revert "Create EventlibService."
This reverts commit 93c0427f66b8918067e8f45f0ad62dcd21da52d0.
Reason for revert: Looks like this breaks all the bedstead post-submit tests.
https://android-build.googleplex.com/builds/tests/view?invocationId=I97100009998707966&amp;redirect=https%3A%2F%2Fsponge2.corp.google.com%2Ffbabc879-fe3e-41d2-83ac-3db8080f71f7&amp;testResultId=TR36027809017128826
https://android-build.googleplex.com/builds/tests/view?invocationId=I51000009998703654&amp;redirect=https%3A%2F%2Fsponge2.corp.google.com%2F249fdb04-0daa-41c3-99e1-e4df829f1321&amp;testResultId=TR02227809018471680
https://android-build.googleplex.com/builds/tests/view?invocationId=I37600009998164552&amp;redirect=https%3A%2F%2Fsponge2.corp.google.com%2Faa2820d5-3fb3-47d7-af5a-af807aeabede&amp;testResultId=TR44527809031048467
https://android-build.googleplex.com/builds/7952162/branches/git_master/targets/cf_x86_64_phone-userdebug/cls?end=7952146
Change-Id: Ia6f643229e91c5fa2f3a5462d71efbea8fe7fb35</t>
  </si>
  <si>
    <t>Remove CTS test testNotifyChange_VerifyUserId
The new onChange(boolean, Collection&lt;Uri&gt; uris, int flags, UserHandle user) will only be called if
1) the observer is in system_server.
Or
2) ADD_CONTENT_OBSERVER_FLAGS is not set.
So the current testNotifyChange_VerifyUserId won't work. And actually no
new tests are needed since the code path is covered by existing
tests.
Bug: 203606981
Bug: 206812516
Test: atest
CtsContentTestCases: android.content.cts.ContentResolverTest#testNotifyChange_VerifyUserId
Change-Id: I21fcc0f7f024834c757c461244c6119c8b6df2b8</t>
  </si>
  <si>
    <t>Add CTS tests for new UWB getChipId, getDefaultChipId, and openRanging APIs with chipId argument.
Bug: 205618645
Bug: 205614701
Bug: 205605632
Test: atest CtsUwbTestCases
Change-Id: I165771651a79bb96f76adc6c582da83918465016</t>
  </si>
  <si>
    <t>Removing TrustedVoice tests since trustlet_voiceunlock was removed from GMSCore a few months ago.
Bug: 179442452
Fixes: 204902104
Change-Id: I70c351c088cef44af34bad57acbae18b16d598fe
Merged-In: I70c351c088cef44af34bad57acbae18b16d598fe
(cherry picked from commit e591a3a7fab090e387741a7a6a898d79a784adf0)</t>
  </si>
  <si>
    <t>Remove split-screen test
Split-screen behavior is changed from sc-v2, it doesn't
allow single Activity enter mutli-window mode anymore.
We remove it to avoid the cts failure
Bug: 207056257
Test: presbumit test pass
Change-Id: I835e77fd2e98a2a759c733d4b3e5522ba9293cf3</t>
  </si>
  <si>
    <t>Revert "Add test for contacts local account"
This reverts commit 88a268b3acbe34a3bfe13a61d73e01fa984b6f52.
Reverting because partners are concerned about backwards compatibility.
Test: atest CtsContactsProviderTestCases
Bug: 188347648
Change-Id: Ida3eb1d7848207ea15ff2f9d16710fa1f13df96b</t>
  </si>
  <si>
    <t>Add support for null AccountManagerCallback, Activity, Handler, and
DevicePolicyManager.
Test: atest android.devicepolicy.cts.AccountManagementTest
Bug: 197909954
Change-Id: I51196ac5c1c4308cb24ddbda343057aefa44a683</t>
  </si>
  <si>
    <t>Migrate more LockNow tests.
Test: atest CtsDevicePolicyTestCases
Test: atest GtsDevicePolicyTestCases
Bug: 204572377
Change-Id: I80057cf885a7cc195003d7573a032187826a653f</t>
  </si>
  <si>
    <t>Delete PackageIncidentTest
Bug: 209994870
Test: TH
Change-Id: I535b374f33d5286613066c3503c060ac7088b7b3</t>
  </si>
  <si>
    <t>Migrate tests of deprecated ResetPassword method.
Test: atest CtsDevicePolicyTestCases
Test: atest GtsDevicePolicyTestCases
Bug: 204572377
Change-Id: Ic8799248ccc07afcf8922ed44764d191ec5e85c7</t>
  </si>
  <si>
    <t>Improve test coverage of IMM#invalidateInput()
This CL adds several test scenarios for
  InputMethodManager#invalidateInput(View)
regarding when it uses native implementation and when it falls back to
  InputMethodManager#restartInput(View).
Some newly added cases work as regression test for Bug 208941904,
which should never happen again with the corresponding fix [1].
 [1]: I109e0c26d8249fc2e01323e3e1cb36395fa7cc97
Bug: 203086369
Bug: 208941904
Bug: 209008342
Test: atest CtsInputMethodTestCases:InputMethodStartInputLifecycleTest
Change-Id: Ifb80015ab0f0c32c917a80c4e5f60e836648e7b4</t>
  </si>
  <si>
    <t>Revert "Test that system role doesn't override user revoked permission."
This reverts commit 2613cd0bf3ad9cebd8bdfb1bd7adb664410ea150.
Reason for revert: Test moved to CtsSecurityTestCases
Bug: 202312327
Test: presubmit
Change-Id: I991fb2383e3067f7355e6b5232643bfc6195f890</t>
  </si>
  <si>
    <t>Revert "Add tests for AdvertisingSet and AdvertisingSetCallback"
This reverts commit 17e848e89df07027c6a718bb33f24d06d2d15366.
Reason for revert: CTS-on-GSI failure
Change-Id: I7113f9d700f86b0e851ad3126b3ea3e4bef8a9e6</t>
  </si>
  <si>
    <t>Update cts to depend on new ExoPlayer version
Bug: 201541781
Test: atest CtsMediaParserTestCases
Test: atest CtsMediaParserHostTestCases
Change-Id: I231cf35122121dd3d27ab1fa108e3d95d137852c</t>
  </si>
  <si>
    <t>Removing tests pertaining to Accessibility recycling.
Test: Removes obsolete tests
Change-Id: I0f95939b62469292a7361ce3269d9bc03aea4c12</t>
  </si>
  <si>
    <t>RESTRICT AUTOMERGE [cts] remove maxTargeSdk related Readable tests in S
There was no field using @Readable with maxTargeSdk in S branch. The
current tests only pass in master because of the newly added annotations
there.
BUG: 211711793
Test: atest android.appsecurity.cts.ReadableSettingsFieldsTest
Change-Id: Ifbcdea469c74b2dfcf9ef1c6cb0b45810c7b4f5d</t>
  </si>
  <si>
    <t>AudioPlaybackCaptureTest: Split testCaptureMatchingAllowedUsage
Split testCaptureMatchingAllowedUsage into
testCaptureMatchingAllowedUsageUnknown
testCaptureMatchingAllowedUsageGame
testCaptureMatchingAllowedUsageMedia
The max duration is ~25s.
Test: atest AudioPlaybackCaptureTest#testCaptureMatchingAllowedUsageMedia
Test: atest AudioPlaybackCaptureTest#testCaptureMatchingAllowedUsageUnknown
Test: atest AudioPlaybackCaptureTest#testCaptureMatchingAllowedUsageGame
Bug: 212194234
Change-Id: Ic166264bf619bd8742084b34c13c12b74a4ec4be</t>
  </si>
  <si>
    <t>AudioTrackTest: Split testPlayStaticData
Avoid exceeding a test duration of 30s, split testPlayStaticData into
testPlayStaticByteArray()
testPlayStaticShortArray()
testPlayStaticFloatArray()
Now each test is about 15s.
Test: atest AudioTrackTest
Test: atest AudioTrackTest#testPlayStaticByteArray
Test: atest AudioTrackTest#testPlayStaticShortArray
Test: atest AudioTrackTest#testPlayStaticFloatArray
Bug: 212168787
Change-Id: Iaa147326de172ec78ef700538cbeca1c99c9b33a</t>
  </si>
  <si>
    <t>AudioTrackTest: Split testPlayStreamData
Avoid exceeding a test duration of 30s, split testPlayStreamData into
testPlayStreamByteArray()
testPlayStreamShortArray()
testPlayStreamFloatArray()
Tweak some timing to result in 20s tests.
Test: atest AudioTrackTest#testPlayStreamByteArray
Test: atest AudioTrackTest#testPlayStreamShortArray
Test: atest AudioTrackTest#testPlayStreamFloatArray
Bug: 212171824
Change-Id: Iaece8f7f378d8da57018d2939d49d9a30d1c69c2</t>
  </si>
  <si>
    <t>Clean up CTS tests for the Communal Manager READ_COMMUNAL_STATE APIs.
These APIs are not yet used, and are obsolete now because We will no
longer be shipping SLS in T.
Test: atest FrameworksMockingServicesTests:CommunalManagerServiceTest
Bug: 206054365
Change-Id: Ia112417a375b348618d35d36c4978c46475c0090</t>
  </si>
  <si>
    <t>Clean the sample wifi aware
- remove old examples
- update names and configs
Test: presubmit
Bug: 211047610
Change-Id: I0f9fed31a5ddc5723d697b70b8e792fb410f26fc</t>
  </si>
  <si>
    <t>Revert "Add test case for fallback line spacing"
Revert submission 16486662-fallback_line_spacing
Reason for revert: Investigate test failures on master
BugID: b/213826416
BugID: b/213829920
Reverted Changes:
I06cd7ab71:Add font extent calculation
I6214d52cd:Implement fallback line spacing for BoringLayout
Ia5825c474:Add test case for fallback line spacing
Change-Id: Iba522f1d1b02d41e032b8a1b8f251ae12a4e42ea</t>
  </si>
  <si>
    <t>Revert "Add test case for fallback line spacing"
Revert submission 16486662-fallback_line_spacing
Reason for revert: Investigate test failures on master
BugID: b/213826416
BugID: b/213829920
Reverted Changes:
I06cd7ab71:Add font extent calculation
I6214d52cd:Implement fallback line spacing for BoringLayout
Ia5825c474:Add test case for fallback line spacing
Change-Id: Iba522f1d1b02d41e032b8a1b8f251ae12a4e42ea
(cherry picked from commit ed92b5d220fe0c2f4fcd34734e073c3fe9b48be8)
Merged-In:Iba522f1d1b02d41e032b8a1b8f251ae12a4e42ea</t>
  </si>
  <si>
    <t>Theme variants CTS
More restrictive tests that instead of checking if hues are similar,
loop through all possible theme styles, set them, and assert that the
generated colors are exactly the ones on the theme spec.
Test: atest SystemPaletteTest
Bug: 195969565
Change-Id: Ibd1361651bac525a662c335a1d638b6e886ce5c1</t>
  </si>
  <si>
    <t>Revert "CTS for Stylus Handwriting lifecycle"
Revert submission 16281467-stylus-handwriting-lifecycle
Reason for revert: b/213976598
Reverted Changes:
I7b066c284:Scribe in IMF: startStylusHandwriting &amp; lifecycle ...
I7d672b150:CTS for Stylus Handwriting lifecycle
Change-Id: Ice3d6319c326448d09974d263400a2f083f087ec</t>
  </si>
  <si>
    <t>Remove invalid test
Apps cannot create blocked notification groups
Bug: 209966086
Test: this
Change-Id: Ie19b2cfb4559d363632349b7779c827e0a2954cc</t>
  </si>
  <si>
    <t>Add CTS tests for Geocoder
Refactor existing tests and add tests for the new async APIs.
Bug: 213083886
Test: atest GeocoderTest
Change-Id: I935730219b44ce8dbaacb7dae74787c0cddeaf86</t>
  </si>
  <si>
    <t>[DO NOT MERGE] Rework AccessibilityEventTest to use UIAutomation instead of sleeping.
Bug: 199101293
Test: atest AccessibilityEventTest
Change-Id: Id3fda53f4dd17ad9029a6d8d487ad9a166f34513
(cherry picked from commit ba05217fc12909c72174fa440a18ce70eeaef992)</t>
  </si>
  <si>
    <t>Update WindowUntrustedTouchTest
.. to work with touch opaque activites.
Test: atest CtsWindowManagerDeviceTestCases:WindowUntrustedTouchTest
Bug: 194480991
Bug: 213305140
Change-Id: I889014b4dd271c105a157b00395ed492b3da3fe6</t>
  </si>
  <si>
    <t>Parameterize ImageReaderDecoderTest
Tests in ImageReaderDecoderTest are now Parameterized
Bug: 212603321
Test: atest CtsMediaDecoderTestCases:ImageReaderDecoderTest
Change-Id: I99f45884f86ec7cc245873c1223a70e090d82786</t>
  </si>
  <si>
    <t>Revert "CTS for Java Choreographer frame timeline API."
Revert submission 16569180-javachoreo
Reason for revert: Droidfood blocking bug: 215299245
Reverted Changes:
I822782874:Implement Java Choreographer multi frame timeline....
I80eb378e6:Use FrameData for Choreographer upgrade.
I561845761:CTS for Java Choreographer frame timeline API.
Change-Id: Ied09fc028a325c5ea2527f5896f26ec301eb5cac
(cherry picked from commit 662d794726a4d5eca57437c040d24fe029bf3524)
Merged-In:Ied09fc028a325c5ea2527f5896f26ec301eb5cac</t>
  </si>
  <si>
    <t>Revert "Update WindowUntrustedTouchTest"
Revert submission 16532816-activity-touch-opaque-on
Reason for revert: This commit caused build break, please refer to b/215427711
Reverted Changes:
I7b709ebfd:ENABLE_TOUCH_OPAQUE_ACTIVITIES to default enabled
I889014b4d:Update WindowUntrustedTouchTest
Change-Id: I5c65fa593555c51cedd43cbf6f3320700b213ef4</t>
  </si>
  <si>
    <t>Update WindowUntrustedTouchTest
.. to work with touch opaque activites.
Test: atest CtsWindowManagerDeviceTestCases:WindowUntrustedTouchTest
Bug: 194480991
Bug: 213305140
Bug: 215427711
Change-Id: I341cd0304d2df7f26e2e954cad570ef66dc95f88</t>
  </si>
  <si>
    <t>Addition of CTS test related to Media Content Provider Redirection
New host-side CTS test related to Media Content Provider Redirection has been added as a part of this CL. This newly added CTS test ensures the cross user media access along with adding media files in shared storage using MediaStore API. Clone user profile is meant to exist only alongside a real system user. It does not exist for a headless system user, or a secondary user. So, MODULE_NOT_SECONDARY_USER_REASON=app cloning not supported on secondary user
Bug: 205817813
Test: atest CtsAppCloningHostTest
Change-Id: I0a6bbd80f1af798eb2232ad7702ac59585b22779</t>
  </si>
  <si>
    <t>Remove invalid test
Apps cannot create blocked notification groups
Bug: 209966086
Test: this
Change-Id: Ie19b2cfb4559d363632349b7779c827e0a2954cc
Merged-In: Ie19b2cfb4559d363632349b7779c827e0a2954cc</t>
  </si>
  <si>
    <t>WebView: Remove the testForceDark_rendersDark
Remove the test for deprecated API setForceDark(), otherwise it
will be failed once WebView that deprecates the API drop to
Android T.
We have the same or similar test in androix and chromium.
Test: CTS
Bug: 214742132
Change-Id: I85d636ad006c5e33291f70b726a61b6d8977d0fc</t>
  </si>
  <si>
    <t>Remove @hide WifiSsid methods from CTS tests
WifiSsid methods that have been moved from public -&gt; @hide should be
removed from the CTS tests.
Bug: 213467530
Test: atest ScanResultTest WifiManagerTest WifiSsidTest
Change-Id: I4beb481573fc77bc9f708e74067f684f4b64d683</t>
  </si>
  <si>
    <t>Add CTS tests for WaveformBuilder
Add tests for VibrationEffect created with the WaveformBuilder APIs and
also introduce Vibrator/VibratorManager tests for playing effects with
frequency changes.
Bug: 211750173
Test: VibrationEffectTest
Change-Id: I6b82bb27aba68bcc080389061190d9a1228b7bdb</t>
  </si>
  <si>
    <t>Delete PackageIncidentTest
Bug: 209994870
Bug: 215462556
Test: TH
Change-Id: I535b374f33d5286613066c3503c060ac7088b7b3
Merged-In: I535b374f33d5286613066c3503c060ac7088b7b3</t>
  </si>
  <si>
    <t>Remove outdated ringtone tests and parameterize remaining ones.
Test: atest CtsDevicePolicyTestCases
Fixes: 206732342
Change-Id: I520a16c620b53e2df750c5ac07fcbec8f6ecd14d</t>
  </si>
  <si>
    <t>Migrate Nearby policy to bedstead infra
Migrate NearbyAppStreamingPolicy and NearbyNotificationStreamingPolicy
to bedstead infrastructure.
Bug: 184175078
Test: atest android.devicepolicy.cts.NearbyAppStreamingPolicyTest and atest android.devicepolicy.cts.NearbyNotificationStreamingPolicyTest
Change-Id: I212df90b1edcad52d75d7723929282fbeddc3339</t>
  </si>
  <si>
    <t>BT: Update HAP profile test with new APIs
Bug: 150670922
Test: run cts test
Change-Id: I75d43148977caa9ae2c8f8bf1d0ee2a800347b8a</t>
  </si>
  <si>
    <t>Refactor UID migration test to Kotlin
Refactoring Java to Kotlin in preparation for future tests. A lot of
functionality in Kotlin's stdlib could be used in those scenarios.
Test: atest SharedUserMigrationTest
Change-Id: I5f2e430f5fc794fc5ac09578288ac3f823a7f9f7</t>
  </si>
  <si>
    <t>Move NetworkUsageStatsTest to networking CTS tests.
NetworkUsageStatsTest is the CTS test for the NetworkStatsManager
public APIs. NetworkStatsManager is being mainlined in T, so move
this test to networking CTS tests, where it will be run in
presubmit on every supported Android version, and can access
hidden networking APIs.
Bug: 204830222
Test: atest CtsNetTestCases:NetworkStatsManagerTest
Change-Id: Ie0fd267aa8bf94594fcc939a8493bef8ab14d3fe</t>
  </si>
  <si>
    <t>Remove CTS tests checking that &lt;Set Menu Language&gt; is ignored
isLanguageEditable should use CEC Settings cmdline api.
Test: atest HdmiCecSystemInformationTest
Bug: 190810909
Change-Id: I3015c3ef11858a0da171b8a73cbd8474f7cf66aa</t>
  </si>
  <si>
    <t>Update Cts for OnBackDispatcherTest
Remove the test related to View.getOnBackDispatcher
Update to use ActicityScenarioRule
cts for: ag/I01528a22ea4a6583a56ade4eab69136d727855d0
Test: atest FrameworksCoreTests:BackNavigationTest
Bug: 131727607
Change-Id: I2247667d47a9af7c8723b5a142aae03ab6bd44d3</t>
  </si>
  <si>
    <t>TIAF CTS: add test cases for BroadcastInfo subclasses
Bug: 216872580
Test: atest android.media.tv.interactive.cts.TvInteractiveAppServiceTest#testTsRequest
Test: atest android.media.tv.interactive.cts.TvInteractiveAppServiceTest#testTsResponse
Change-Id: Ia11937556ff1258e3dd62cbd69257deec87e93a2</t>
  </si>
  <si>
    <t>Added more CTS test for UserManagerHelper
Bug: 204193196
Test: atest CtsCarBuiltinApiTestCases:android.car.cts.builtin.os.UserManagerHelperTest
Change-Id: I56d76a2ed64b583b60d2d0f46baa7922df341c66</t>
  </si>
  <si>
    <t>Migrate all CrossProfileAppsHostSideTests.
Test: atest CtsDevicePolicyTestCases
Test: atest NeneTest
Test: atest EventLibTest
Fixes: 203758521
Fixes: 216590338
Change-Id: I1d7dd4713c2d247d3bbda8f35ff5c3e23e213fc3</t>
  </si>
  <si>
    <t>BT: Update HAP profile test with new APIs
Bug: 150670922
Test: run cts test
Change-Id: I75d43148977caa9ae2c8f8bf1d0ee2a800347b8a
Merged-In: I75d43148977caa9ae2c8f8bf1d0ee2a800347b8a
(cherry picked from commit 3588aa80da491ff2ab097421e43f9802e97b139e)</t>
  </si>
  <si>
    <t>Migrate CrossProfileAppsPermissionHostSideTest
Test: atest CrossProfileAppsTest
Bug: 216590338
Change-Id: I2768fcdb388da4322d1ec6d0f442f40a72fda708</t>
  </si>
  <si>
    <t>Add @UserTest and @CrossUserTest to parameterize.
Test: atest CtsDevicePolicyTestCases
Bug: 216590338
Change-Id: I4aa01dc38495065e6adb9e84848e3bef23905182</t>
  </si>
  <si>
    <t>Revert "speech: Allow long speech sessions"
Revert submission 16691164-os-long-form
Reason for revert: Breaking OnDeviceRecognitionServiceTest
BUG:218303318
Reverted Changes:
I348fbcd70:speech: Allow long speech sessions
I62adfa7ac:speech: Allow long speech sessions
Change-Id: I96ba4d4cd8d7fa3ec0394bb823e3854ef5d078e5</t>
  </si>
  <si>
    <t>Revert "Add cts tests for new cross device calling api"
Revert submission 16308056-cross-api
Reason for revert: Don't want to launch this in T now
Reverted Changes:
I731226c0b:Add cts tests for new cross device calling api
I1a3aa6c1a:Add API for cross device calling.
I40f78925b:Implement new TelecomManager API for cross device ...
Change-Id: I812e3374d4fc98b8c45ab2dbba7c5a964669fab6</t>
  </si>
  <si>
    <t>BT: Remove HAP CTS tests that use non system APIs
Bug: 218403147
Fixes: 218403147
Tag: cts
Test: make and cts test
Change-Id: Iea712c4efcf08c28fd4cb91789b311f919abc42b</t>
  </si>
  <si>
    <t>Delete PackageIncidentTest
Bug: 209994870
Test: TH
Change-Id: I535b374f33d5286613066c3503c060ac7088b7b3
Merged-In: I535b374f33d5286613066c3503c060ac7088b7b3</t>
  </si>
  <si>
    <t>Add missing tests for filtering routes
To test package orders, host side tests are added.
AllowedPackages is tested as well.
Adding tests, some bugs are found and fixed.
Test: atest MediaRouter2HostTest android.media.cts.MediaRouter2Test
MediaRouter2ManagerTest
Bug: 193631822
Change-Id: Ib09956aaeb44978fdbe32a2359a6616783a1fce7</t>
  </si>
  <si>
    <t>Move DeviceOwner tests into CTS.
Test: atest CtsDevicePolicyTestCases
Bug: 204572377
Change-Id: Icd4c360a960b56eaeef6a91743d35420532713d3</t>
  </si>
  <si>
    <t>Revert "Merge "Add test cases for background startForeground() i..."
Revert submission 16823812-am-d28c94b9fe6445eba259ecb421887d7e
Reason for revert: It cause down stream automerge problem into sv-dev. 
Reverted Changes:
I0f8fb6de7:Merge "BG-FGS-start while-in-use permission restri...
I6305f8e37:Merge "Add test cases for background startForegrou...
Change-Id: I7f9fc6e09191f66297b7e9949f68a7298b44e76e</t>
  </si>
  <si>
    <t>Add more test coverage for GameManager
Bug: b/199920928
Test: atest CtsGameManagerTestCases
Test: atest CtsGameManagerTestCases --user-type secondary_user
Change-Id: I239a24c914d8c8abf6a834a532a9d88f712b91cc</t>
  </si>
  <si>
    <t>Switch all RoR CTS tests to server based
In android S, we updated CDD to deprecate the HAL based RoR. And
in android T, Pixels remove the RoR HAL. So it's time to switch
all RoR tests to server based in T faced test suites.
Bug: 216485436
Test: atest CtsAppSecurityHostTestCases:android.appsecurity.cts.ResumeOnRebootHostTest
Change-Id: I60f6d7efe5398578bfcf6864fdbec4f4a4ec8c9d</t>
  </si>
  <si>
    <t>Remove &lt;Set Menu Language&gt; CTS
This test is no longer relevant: the user needs to interact with the pop-up UI, before the language will change. This cannot be simulated in CTS and needs to be verified manually.
The tests that check that a &lt;Set Menu Language&gt; with an invalid language or an unexpected source are ignored, can remain. Even with the UI, these should never result in a language change.
Test: atest
Fixes: 218500277
Change-Id: Ia85382d87b710cef4317bf5c64a804c66fbd6c08</t>
  </si>
  <si>
    <t>CtsMediaEncoderTestCases: parameterize EncoderTest
1. Parameterized EncoderTest
2. Added provision to filter/select codecs based on codec-prefix
Bug: 216832785
Test: atest CtsMediaEncoderTestCases:EncoderTest
Test: atest CtsMediaEncoderTestCases:EncoderTest -- \
 --module-arg CtsMediaEncoderTestCases:instrumentation-arg:\
 codec-prefix:=c2.android.aac.encoder
Change-Id: Ie5271568d1313397a30f2f1cb587c8920d8002f6</t>
  </si>
  <si>
    <t>media CTS: Parameterize EncodeDecodeTest
Bug: 216834101
Test: atest CtsMediaCodecTestCases:EncodeDecodeTest
Change-Id: Ibe9e57db3bda4fd24caab3527c06932520300b5e</t>
  </si>
  <si>
    <t>CtsMediaEncoderTestCases: Parameterize VideoEncoderTest
- Parameterized VideoEncoderTest
- Added ability to filter specific codecs based on codec-prefix
- Modified some of the resolutions and bitrate combinations tested by
   vp8 encoders and made them identical to avc encoder
Bug: 216821057
Test: atest CtsMediaEncoderTestCases:VideoEncoderTest
Test: atest CtsMediaEncoderTestCases:VideoEncoderTest -- \
 --module-arg CtsMediaEncoderTestCases:instrumentation-arg:\
 codec-prefix:=c2.android.vp9.encoder
Change-Id: Ia7f937c6b27ed6d63bb826bea4b03a2c0bbb47db</t>
  </si>
  <si>
    <t>Modify the Smartspace UI templates API tests.
Fixes: 217554855
Test: atest CtsSmartspaceServiceTestCases
Change-Id: Ide15f4ea73e127b0c8138d47a5f21e15de032a1a</t>
  </si>
  <si>
    <t>hap: Adjust tests to match the API
Adjusts tests to match the @SystemApi annotated API.
Bug: 150670922
Bug: 218403147
Fixes: 218403147
Tag: #feature
Test: atest CtsBluetoothTestCases:android.bluetooth.cts.BluetoothHapClientTest
Sponsor: jpawlowski@
Change-Id: Icbaa5a16a877d9f9255023891687bc0a858b1a69</t>
  </si>
  <si>
    <t>Migrate Bluetooth tests to new infra.
Fixes: 216590592
Test: atest android.devicepolicy.cts.BluetoothTest
Change-Id: If6d6b3a04593054c09bb7a88b8a2153465099ec4</t>
  </si>
  <si>
    <t>Migrate GeneralDeleageTest.
Test: atest android.devicepolicy.cts.DelegationScopesTest
Bug: 213348113
Change-Id: Ie83fa236e9b3090cfb169d40e2d654ea3caddc17</t>
  </si>
  <si>
    <t>Migrate CertInstallDelegateTest.
Test: atest android.devicepolicy.cts
Bug: 213348113
Change-Id: If6b3a68d35cf269b17d614418c65d98fd0159bf0</t>
  </si>
  <si>
    <t>media CTS: Parameterize VideoCodecTest
This change migrates test runner from JUnit3 to JUnit4.
The tests are parameterized and first component that support a given
mime is used in the test to be consistent with current code.
Bug: 219525345
Test: atest android.media.codec.cts.VideoCodecTest
Change-Id: Ibfd33bd57cab89f234fc752df19c678645aa9f02</t>
  </si>
  <si>
    <t>A fix to a previous issue: Update the test to use androidx testing libraries.
Also, updated the OWNERS file and added a README file as a guidance to create CTS tests.
Fix: 211678773
Test: Step 1: make the updated CTS (e.g. `make cts -j32 WITH_DEXPREOPT=false TARGET_PRODUCT=aosp_arm64` for `arm64` version.);
      Step 2: run the updated CTS (should be `cts-tradefed run cts --compatibility:include-filter CtsSampleDeviceTestCases`), all the original CTS tests should still pass after this fix.
Change-Id: Id293defbb270ee12327847ec9f76f44446a9fcb0</t>
  </si>
  <si>
    <t>Add an API to bulk query broadcast response stats for all pkgs.
Bug: 217567456
Test: atest tests/tests/app.usage/src/android/app/usage/cts/UsageStatsTest.java
Change-Id: I196303fde26ab3aae0eff5fe3b1b4a59f578520b</t>
  </si>
  <si>
    <t>media CTS: Parameterize VideoDecoderPerfTest
1. Parameterized VideoDecoderPerfTest
2. Added provision to select codecs
Bug: 219617710
Test: atest android.media.decoder.cts.VideoDecoderPerfTest
Test: atest android.media.decoder.cts.VideoDecoderPerfTest -- \
--module-arg CtsMediaDecoderTestCases:instrumentation-arg:\
codec-prefix:=c2.android.avc.
Change-Id: I3ef29d9bbd1d21f99860913906295cfde61a4660</t>
  </si>
  <si>
    <t>Update framework from Jetpack.
Changes included:
* db12ce6: Add Visibility migrator to handle version bump from 1 to 2.
* 8e973b2: Address API feedback for set Permission and Role Visibility.
Bug: 181908338
Bug: 202194495
Test: VisibilitytStoreMigrationHelperFromV1Test
Test: AppSearchSessionCtsTest
Test: SetSchemaResquestCtsTest
Change-Id: I1ab2ddebbf0323b250b713a75c1fc084802929da</t>
  </si>
  <si>
    <t>Update the Smartspace UI template APIs tests.
Fixes: 218860086
Test: atest CtsSmartspaceServiceTestCases
Change-Id: I451b3af6eafbe591114bd2763a787b8e23e55580</t>
  </si>
  <si>
    <t>Remove invalid test
Fixes: 219968696
Bug: 209966086
Test: this
Change-Id: I43fb3b9fc60f1a526648c59ed5b706709cfee737</t>
  </si>
  <si>
    <t>Remove invalid test
Bug: 209966086
Test: this
Change-Id: I2faaaa3ce9c3a55dbdcbc71e108b20e0cc5c431e</t>
  </si>
  <si>
    <t>Remove invalid test
Bug: 209966086
Test: this
Change-Id: I303b8a129bd2e73383ac1c0653033731dac7ef55</t>
  </si>
  <si>
    <t>Add CTS test for default personal to work profile behavior
By default, ACTION_PICK_IMAGES is only allowlisted to access personal
content from work profile, but not vice-a-versa.
Bug: 216475844
Test: atest testPersonalApp_canAccessWorkProfile_default
Change-Id: I735266546ab7ae0d57eb89d8757f9e8cdfaef1c6</t>
  </si>
  <si>
    <t>Revert "Add a test ActivityOptionsTest#testActivityOptionsBundle_fromBundle."
This reverts commit 5d78e0e3922a457efdb7765338cd02744452a907.
Reason for revert: API council decided not to expose it.
Bug: 202145402
Test: atest ActivityOptionsTest
Change-Id: I6ae31a7a3583735d4f596a90b8410f10a65450ba</t>
  </si>
  <si>
    <t>Update CTS test based on the API changes
- Remove the test for BluetoothLeAudioCodecConfig.getMaxCodecType since the function no longer exist
- Rename function getCodecsLocalCapabilities() to getCodecLocalCapabilities()
- Rename function getCodecsSelectableCapabilities() to getCodecSelectableCapabilities()
- Add cts test for getCodecStatus() and setCodecConfigPreference()
Tag: #refactor
Bug: 219875113
Test: atest android.bluetooth.cts.BluetoothLeAudioCodecStatusTest
Change-Id: Iaa8aec17af71ac15dc336b78d27f00418edb3f71</t>
  </si>
  <si>
    <t>Disables / re-enables some DPM tests for headless system user mode.
Test: atest com.android.cts.devicepolicy.MixedDeviceOwnerTest#testKeyManagement,testGenerateKeyPairLogged,testDelegatedCertInstallerDirectly,testSetKeyGrant,testSetKeyPairCertificateLogged,testDelegationCertSelection,testDelegation \
 com.android.cts.devicepolicy.MixedProfileOwnerTest#testKeyManagement,testGenerateKeyPairLogged,testDelegatedCertInstallerDirectly,testSetKeyGrant,testSetKeyPairCertificateLogged
Bug: 218408549
Bug: 220241349
Fixes: 213388897
Fixes: 213348113
Change-Id: I58623f5c1a1d60af7743f5a815a491ebbad9b9fe</t>
  </si>
  <si>
    <t>Revert "API coverage for BluetoothServiceManager"
This reverts commit c72b442cf7f9a6090d861fa2e40dfa06eaec46cf.
Reason for revert: &lt;breaks CTS test on BT apex, lets reland later &gt;
Change-Id: I2f61fa5e69697cc892eb7e37622127e66217db4e</t>
  </si>
  <si>
    <t>Add support for null AccountManagerCallback, Activity, Handler, and
DevicePolicyManager.
Test: atest android.devicepolicy.cts.AccountManagementTest
Bug: 197909954
Change-Id: I51196ac5c1c4308cb24ddbda343057aefa44a683
Merged-In: I51196ac5c1c4308cb24ddbda343057aefa44a683
(cherry picked from commit 9a30fca9f8f4c6da04af1c5a8895a18749acb094)</t>
  </si>
  <si>
    <t>Revert "Add CTS coverage for new external audio route API."
Revert submission 16308028-external-audio
Reason for revert: Don't want to launch this in T now
Reverted Changes:
I6634c752a:Add CTS coverage for new external audio route API....
Ibd1c2880e:Add API for external call audio route.
I3e262a913:Implement new external audio route.
Change-Id: I431e593a0de70657300106f3394eafdb5d9a7014</t>
  </si>
  <si>
    <t>media CTS: Parameterize DecodeEditEncodeTest
Bug: 216849187
Test: atest CtsMediaCodecTestCases:DecodeEditEncodeTest
Change-Id: I173285ae6a9bef94b3e05816bc7dddaac0a32c40</t>
  </si>
  <si>
    <t>Revert "Adding tests for multiple provider support in AbstractMa..."
Revert submission 17008428-cherrypick-multi-provider-cloudsearch-2yrjp5zxz1
Reason for revert: Broke TextToSpeech service
Reverted Changes:
If1d0ac733:Adding tests for multiple provider support in Abst...
I1da7f54bc:Adding multiple provider support in AbstractMaster...
Change-Id: I22cfed8847e4df885185fd5bb90cf691205e4dfb</t>
  </si>
  <si>
    <t>Revert "Adding tests for multiple provider support in AbstractMa..."
Revert submission 17008428-cherrypick-multi-provider-cloudsearch-2yrjp5zxz1
Reason for revert: Broke TextToSpeech service
Reverted Changes:
If1d0ac733:Adding tests for multiple provider support in Abst...
I1da7f54bc:Adding multiple provider support in AbstractMaster...
Change-Id: I22cfed8847e4df885185fd5bb90cf691205e4dfb
(cherry picked from commit c4e5c8930716902464f25f929177ce27b9840651)
Merged-In: I22cfed8847e4df885185fd5bb90cf691205e4dfb</t>
  </si>
  <si>
    <t>Remove the test ActivityManagerHelperTest#testGetInstance().
- The method ActivityManagerHelper#GetInstance() was removed.
Bug: 201301077
Test: atest ActivityManagerHelperTest
Change-Id: Ie6a661b5a9ec09d67a0eac0fe0d116f8bb408a02</t>
  </si>
  <si>
    <t>media CTS: Parameterize DecoderConformanceTest
The tests are parameterized for codecs.
Also added ability to filter codecs basing on prefix.
Bug: 222888492
Test: atest android.media.decoder.cts.DecoderConformanceTest
Test: atest android.media.decoder.cts.DecoderConformanceTest -- \
--module-arg \
CtsMediaDecoderTestCases:instrumentation-arg:codec-prefix:=c2.android.
Change-Id: I6775144a65dabd79ea224069b86208ab0acc34f0</t>
  </si>
  <si>
    <t>Speed up BackgroundDexOptimizationTest.
This change removes the need to reboot and wait for post boot
optimization to complete in test cases for idle optimization, which
gives the test more chance to finish within the time limit.
Also, this change migrates BackgroundDexOptimizationTest to using
BaseHostJUnit4Test.
Bug: 220924072
Test: CtsCompilationTestCases:BackgroundDexOptimizationTest (now takes
  ~11mins ab/I81800010023201694)
Change-Id: I85b14eb1d460da7f365b0c11e8e800d3d5fce751
Merged-In: I85b14eb1d460da7f365b0c11e8e800d3d5fce751
(cherry picked from commit 4ba16902be7cdad6c6615d01725cb407fae8b824)</t>
  </si>
  <si>
    <t>Remove subscriptionsChange_notifiesObserver SimPhonebook test
This test has been a frequent source of failures and isn't a validating
a very important behavior of the APIs. Hence, removing it to reduce
maintenance burden.
Bug: 222637041
Test: atest CtsSimPhonebookProviderTestCases
Change-Id: I82b7ffd92b543e081d7559e50b0bd4a024c916e6</t>
  </si>
  <si>
    <t>Add missing TC cts tests for API coverage
Bug: 220809692
Test: atest CtsTextClassifierTestCases
Change-Id: I8e2740aa9f854b39c66928c5e802ea712c59c45f</t>
  </si>
  <si>
    <t>Remove confusing setUserProvisioningState test
Fixes: 218788709
Test: N/A
Change-Id: I285d9e5902398da922b8d9da8252c064200579c1</t>
  </si>
  <si>
    <t>Remove the test that required privileged permission
Tag: #refactor
Bug: 223443154
Test: atest android.bluetooth.cts.BluetoothLeAudioTest
Change-Id: I96b1b3058ec0265848acafcf5553f4ff388de6f4</t>
  </si>
  <si>
    <t>Delete SipManagerTest.
SipService has been deleted and all operation in SipManager became
unavailable. Delete SipManagerTest to avoid cts tests failures.
Bug: 218651062
Test: CtsTelephonyTestCases
Change-Id: I2f547a4f30833dc196a8626da4ca3d37c7cb3c66</t>
  </si>
  <si>
    <t>Remove testLimitedAxesImuConfiguration in SensorTest.
PackageManager feature should be declared even for a virtual limited
axes accelerometer/gyroscope. As a result, this test is no longer
needed.
Bug: 219620276
Test: atest android.hardware.cts.SensorTest
Change-Id: If802cdb965b1b0c8f4284ad48b95cca81d2e468d</t>
  </si>
  <si>
    <t>Update CTS cases to fit the new CarrierPrivilegesCallback interface
Bug: 216549778
Test: atest TelephonyRegistryManagerTest CarrierServiceTest
Change-Id: I00283333fe3adc154015f9eea6195cfca036f330</t>
  </si>
  <si>
    <t>Remove unnecessary tests of activity embedding in separate task
Also enable one test that verifies embedded task is forbidden.
Bug: 211571939
Test: atest TaskFragmentOrganizerPolicyTest
Test: atest SplitActivityLifecycleTest
Test: atest TaskFragmentOrganizerTest
Change-Id: Iaedae3992aa7b72c2eb76924f7e5ffd0b260b2cb</t>
  </si>
  <si>
    <t>Update the test cases text wrapping.
Use the LineBreakConfig.Builder to crete the LineBreakConfig instance.
Bug: 216638444
Test: atest TextViewTest; atest PrecomputedTextTest
Merged-In: If9441a01db4ff28ad7c9cac0c5d8a23d7a1f3a9d
Change-Id: If9441a01db4ff28ad7c9cac0c5d8a23d7a1f3a9d</t>
  </si>
  <si>
    <t>API Review] Removed unnecessary SystemApi annotations
Bug: 223345163
Test: build
Tag: #feature
Change-Id: Ie5e321cc91375620b41dbef7a3a06781570135de</t>
  </si>
  <si>
    <t>Migrate BlockUninstall Delegate Tests.
Bug: 213348113
Test: atest android.devicepolicy.cts.BlockUninstallTest
Change-Id: Ia4c9307d171eaf2b9a3890cb45cde3fdfb91b7da</t>
  </si>
  <si>
    <t>Migrate PermissionGrantDelegateTest.
Test: atest android.devicepolicy.cts.PermissionGrantTest
Bug: 213348113
Change-Id: Icf59c5b74ddd6a4a2b21d3f68249c8bc189e357c</t>
  </si>
  <si>
    <t>Migrate Package Access Delegate Test.
Test: atest android.devicepolicy.cts.PackagesTest
Bug: 213348113
Change-Id: Ie0ac840ec02ec0fa1aaaa2448c6f94636675e780</t>
  </si>
  <si>
    <t>Migrate Enable System App Delegate Test.
Test: atest android.devicepolicy.cts.SystemAppTest
Bug: 213348113
Change-Id: Ibfd0227039a5164ba41599afaf77318b9cde7b37</t>
  </si>
  <si>
    <t>Migrate Network Logging Delegate Test.
This is the final delegate test using the old generic delegation infra.
There are still some specific delegate tests for e.g. certs - but they
don't need to be migrated yet.
Test: atest android.devicepolicy.cts.NetworkLoggingTest
Bug: 213348113
Change-Id: I6e4d8488974009b2f2e0a4f0b6be134c38f17675</t>
  </si>
  <si>
    <t>Fix ErrorProne Warnings.
Fixes: 221489375
Test: atest CtsDevicePolicyTestCases
Change-Id: Ia600b3b833460bfa1759c9fc49d5cf61a9f6fec8</t>
  </si>
  <si>
    <t>Migrate multi user PM shell tests to Bedstead
Bedstead offers a more structured framework for testing multiple
users and handles creation automatically.
This avoids timeout issues with handling users in infra.
Bug: 223847614
Test: atest PackageManagerShellCommandMultiUserTest
Change-Id: I69af2aa13b0108b7ebfba3abccc3a7af0726a682</t>
  </si>
  <si>
    <t>Move test to STS test directory
Bug: 182917454
Test: compiles
Change-Id: I73350f2b3c796d9d1750375632e12110cc12885c
Merged-In: I73350f2b3c796d9d1750375632e12110cc12885c</t>
  </si>
  <si>
    <t>Move test to STS test directory
Bug: 182917454
Test: compiles
Change-Id: I73350f2b3c796d9d1750375632e12110cc12885c</t>
  </si>
  <si>
    <t>Revert "Update CTS for the READ_CLIPBOARD_IN_BACKGROUND permission"
Revert submission 17145144-cc-clipboard-permission
Reason for revert: Breaks UnbundledChooserActivityTest#copyTextToClipboard
Reverted Changes:
I6f3fbe3fe:Update CTS for the READ_CLIPBOARD_IN_BACKGROUND pe...
Icba3763e6:Add READ_CLIPBOARD_IN_BACKGROUND to the SYSTEM_TEX...
I68abf8c20:Update READ_CLIPBOARD_IN_BACKGROUND to be grantabl...
Bug: 224845036
Change-Id: I00ea08731c8115dc6d11da4776f484a27deb27fa</t>
  </si>
  <si>
    <t>Remove automotive feature tests for enable/disable Network
The new expectation is that all apps holding MANAGE_ETHERNET_NETWORKS
can call these APIs, not just Automotive devices. These tests have also
been broken because they did not properly inherit the
MANAGE_ETHERNET_NETWORKS permission.
Test: builds
Change-Id: I7d0c0953ff599c766bcf1c7790095e2f513aff33</t>
  </si>
  <si>
    <t>[Settings CTS] The internet panel doesn't exist in the Settings package. Remove it from Settings CTS
Bug: 216845357
Test: atest SettingsPanelTest
Change-Id: I5b8c102ba98d960e9cc1b0e617fd20215b4a76a1</t>
  </si>
  <si>
    <t>[Settings CTS] The internet panel doesn't exist in the Settings package. Remove it from Settings CTS
Bug: 223528093
Test: atest SettingsPanelTest
Change-Id: I5b8c102ba98d960e9cc1b0e617fd20215b4a76a1</t>
  </si>
  <si>
    <t>[Settings CTS] The internet panel doesn't exist in the Settings package. Remove it from Settings CTS
Bug: 223528093
Test: atest SettingsPanelTest
Change-Id: I5b8c102ba98d960e9cc1b0e617fd20215b4a76a1
Merged-In: I5b8c102ba98d960e9cc1b0e617fd20215b4a76a1</t>
  </si>
  <si>
    <t>Stop AppSearch CTS tests from using its hidden APIs.
Without this change we would not be able to change/remove those APIs in
future mainline updates.
The one removed testcase was testing a hidden builder API which
is only used in Jetpack on older devices and is not used in framework.
The testcase is moved to a unit test in our mts suite.
Bug: 186717514
Test: AppSearchCtsTests
Change-Id: I068b047be1e5fed4f706060066c436a27f19a1f7</t>
  </si>
  <si>
    <t>Revert "Verify hierarchy change for cross-UID ActivityEmbedding"
Revert submission 17157035-cross-process-ae-hierarchy
Reason for revert: broken test b/225331448
Reverted Changes:
Ie102621bd:Verify hierarchy change for cross-UID ActivityEmbe...
I0c3c1d837:Verify hierarchy change for cross-UID ActivityEmbe...
Change-Id: I6da68fddcfc5848867db4222d5500dcc0f5c1a93</t>
  </si>
  <si>
    <t>Hide new route discovery preferences in T
Bug: 193631822
Test: atest CtsMediaMiscTestCases
Change-Id: I762dbaf10881f07281dbf8b9b1705106ece01d2c</t>
  </si>
  <si>
    <t>TIAF API review: remove prepare()
It's no longer necessary and can be confusing
Bug: 219501014
Test: mmm
Change-Id: I76c2123ed00ef9e226da20282bfffbbc6b39bc0c</t>
  </si>
  <si>
    <t>CtsMediaEncoderTestCases: Add video encoder capabilities tests
VideoEncoderTest.java also had some tests to verify encoder
capabilities as per CDD. These tests are now split out to
a separate test case and extended for all codecs listed in
the CDD.
Also VideoEncoder's support tests used wrong dimensions for
SD Low quality tests. New tests use the resolutions as
mentioned in CDD.
Bug: 224717826
Test: atest CtsMediaEncoderTestCases:VideoEncoderCapabilitiesTest
Change-Id: Ifa3207fe49123e843a7c1637fd6dc99389e90ddd</t>
  </si>
  <si>
    <t>[DO NOT MERGE] Remove Client Suggestions tests
Bug: 224871426
Test: atest CtsAutoFillServiceTestCases
Change-Id: I8d36c98798f2cbf121cdda03684845913889c4b1</t>
  </si>
  <si>
    <t>Revert^2 "Verify hierarchy change for cross-UID ActivityEmbedding"
Reland ag/17189649
Bug: 197364677
Change-Id: Ifaf9231b155c3ae931a9601bc8ec8f545e9252de</t>
  </si>
  <si>
    <t>Update CTS cases to fit the new CarrierPrivilegesCallback interface
Bug: 216549778
Test: atest TelephonyRegistryManagerTest CarrierServiceTest
Change-Id: I00283333fe3adc154015f9eea6195cfca036f330
Merged-In: I00283333fe3adc154015f9eea6195cfca036f330
(cherry picked from commit 87963bd9590b142e4f90bb0e3199f066e2d96308)</t>
  </si>
  <si>
    <t>Refactor DPM tests to use beadstead policy
Bug: 218714382
Test: cts
Ignore-AOSP-First: latest tests are in internal branch
Change-Id: I62df2cc119ac41c229ab74f086dde9a3d2c87534</t>
  </si>
  <si>
    <t>[API Coverage] BluetoothHidDeviceAppQosSettings
Bug: 222569391
Test: atest BluetoothHidDeviceAppQosSettingsTest
Change-Id: I525dc1625e9dbb282d5ac0b94f062c1f5c7f561d</t>
  </si>
  <si>
    <t>Add more CTS tests for VirtualAudioDevice APIs
Because more methods for capture and injection are added, add more CTS
tests to increase the coverage.
Bug: 218528439
Test: atest CtsVirtualDevicesTestCases
Change-Id: I4d82c088348eaf1ef6fbb90debb68dc0a737f34f</t>
  </si>
  <si>
    <t>Revert "[API Coverage] BluetoothLeAdvertiser"
This reverts commit f2c57f544dc83591e95d2938c59af93a3a837807.
Reason for revert: CTS Tests are failing b/226921616
Change-Id: I611d0ea3c76dcb3ceac95c4dee4e537fd91894f5</t>
  </si>
  <si>
    <t>Delete test for getUseTargetActivityForQuickAccess
Since we don't have the XML attr anymore, we don't need the getter
method.
Since we don't need the getter method, we don't need a test for it
either!
This also means we can clean up QuickAccessWalletClientTest, and remove
a bunch of duplicate services and their respective configurations
Test: atest QuickAccessWalletServiceTest
Bug: 218860062
Change-Id: I6a0ae22e870f98e27dd10e8ed1c8e2ccefd18196
Merged-In: I6a0ae22e870f98e27dd10e8ed1c8e2ccefd18196</t>
  </si>
  <si>
    <t>Remove test for automotive feature
In order to properly test that NetworkCapabilities can only be update
when FEATURE_AUTOMOTIVE is present, we would have to somehow adopt the
MANAGE_ETHERNET_NETWORKS permission which the shell does not have.
We could change the implementation to test for FEATURE_AUTOMOTIVE before
testing the permission, but that is quite brittle. Instead, this test
should just be removed.
Test: atest EthernetManagerPermissionTest
Bug: 227626922
Change-Id: Ib7a5e6187fb1a9d71570f83a87ad022a0ba4d986</t>
  </si>
  <si>
    <t>Complete testDefaultUserInitialization CTS
Completed testDefaultUserInitialization CTS test case to cover
following ActivityManagerHelper APIs
  1. startUserInForeground
  2. startUserInBackground
  3. unlockUser
Bug: 217971717
Test: atest CtsCarBuiltinApiHostTestCases:ActivityManagerHelperHostTest
Change-Id: Iec5ff092f6c3d1163674ea82374d887365ea67f9</t>
  </si>
  <si>
    <t>Split SensorTest testSensorOperations by sensor type.
Split test cases to make it easier/clearer when adding CddTest
requirement id annotations.
Bug: 219620276
Test: atest android.hardware.cts.SensorTest on Seahawk
Change-Id: Iac7092a68aec6603e0af2b36c8ad6a9f58509616</t>
  </si>
  <si>
    <t>Relax WindowUntrustedTouchTest on released CTS
Due to aosp/2006912, the released behavior changed. This means we can't
enforce the change here in released CTS, so relax the test to allow
versions with and without aforementioned change. Each branch still
enforces behavior of that branch.
Test: atest -d android.server.wm.WindowUntrustedTouchTest
Bug: 218777508
Merged-In: I072bdc628034abce81bc74cc4fb747b38cf5dc1f
Change-Id: I072bdc628034abce81bc74cc4fb747b38cf5dc1f</t>
  </si>
  <si>
    <t>Remove netpermission from cts and move to module
These two tests are used to verify PermissionMonitor relevant
permissions. Thus, they should put into module.
Bug: 228253498
Test: build and run test.
Change-Id: Icffbad5cfe6053a799dab007a93f76225858c2bb</t>
  </si>
  <si>
    <t>VideoEncoderTest: Parameterize by dimensions
Tests in VideoEncoderTest are now parameterized by dimensions and this
helps in reducing the runtime for each individual test.
Bug: 220339758
Bug: 220948587
Test: atest CtsMediaEncoderTestCases:VideoEncoderTest
Change-Id: Idd9531d3088df364577bbe2661d89db7574f0e37</t>
  </si>
  <si>
    <t>Tests for SCHEDULE_EXACT_ALARM denied by default
Updating existing tests to reflect the change in default state of the
permission.
Added few tests for pre-T behavior with SCHEDULE_EXACT_ALARM.
Refactored test app code to reuse across different APKs.
Test: atest CtsAlarmManagerTestCases
Bug: 226439802
Change-Id: Ie08324076e561f8f52269ae57620ca9190723bcf</t>
  </si>
  <si>
    <t>Remove netpermission from cts and move to module
These two tests are used to verify PermissionMonitor relevant
permissions. Thus, they should put into module.
Bug: 228253498
Test: build and run test.
Merged-In: Icffbad5cfe6053a799dab007a93f76225858c2bb
Change-Id: Icffbad5cfe6053a799dab007a93f76225858c2bb</t>
  </si>
  <si>
    <t>Temporarily remove TimeZoneDetectorStatsTest
Temporarily remove TimeZoneDetectorStatsTest since it is 50% flaky and
causing hundreds of presubmit failures a week.
Favoring removal over suppression, because it's not obvious how to
suppress the test. This test will need to be added back once the cause
of the flakiness is determined.
Bug: 228457046
Test: Treehugger
Change-Id: Ib8ec197ccab115f6a96ec32d66a4930a3a2eb5fd</t>
  </si>
  <si>
    <t>Remove NotificationListenerCheckTest CTS test
Bug: 228608819
Bug: 216365468
Test: atest CtsPermissionTestCases
Change-Id: Ib41ff5931aa3c925b4b146a8166d31ad665dadfa</t>
  </si>
  <si>
    <t>Disable highly flakey test blocking 2206 runs every week.
BUG: 228342764
Change-Id: I978d41f399005bb1fe958d743f5a6de8b5c2f834
Merged-In: I978d41f399005bb1fe958d743f5a6de8b5c2f834
(cherry picked from commit 11872bfe48fc2946b9e126cf646020ceea4790e2)</t>
  </si>
  <si>
    <t>Updating tests for exact alarms
For apps targeting T, SCHEDULE_EXACT_ALARM will be denied by default.
Changing instrumentation to use USE_EXACT_ALARM, which cannot be
revoked.
Refactored some code in helper apps.
Test: atest CtsAlarmManagerTestCases
Bug: 226439802
BYPASS_INCLUSIVE_LANGUAGE_REASON=existing method names
Change-Id: I26cd0045010fb7e28d8dd715648f055910779403</t>
  </si>
  <si>
    <t>Wait for the correct callbacks in ToolbarActionBarTest
Currently, the test injects a key event and then uses 'waitForIdleSync'
to pass. However, that's not the right callback to wait for.
Instead, use the correct callbacks:
1. After injecting key events, ensure activity receives the events
2. Instead of checking state immediately, use a PollingCheck. This way,
   changes are given the chance to propagate.
3. Stop using deprecated test classes
4. Switch to Kotlin
Bug: 229623669
Test: atest ToolbarActionBarTest
Change-Id: I60285d1350ecd5fac5cc2aab86467230a826c367</t>
  </si>
  <si>
    <t>Parameterize Vibrator CTS test.
Consolidate tests of the Vibrator interface into a single
Parameterized test, and run it on all the vibrators of the device.
Remove pure duplication from VibratorManagerTest, but it should
still have CombinedVibration-based tests.
While there, convert the tests to use truth assertThat, so that
test failures include more details about the failed condition.
And switch to ActivityScenarioRule rather than the deprecated
ActivityTestRule: this change saves ~5s per test due to a
stop-&gt;destroy delay (perhaps a flaw in ATR).
Test: atest
Bug: 228969274
Change-Id: I5fd8e2106e3bfb0648bee528514ea05c286df531</t>
  </si>
  <si>
    <t>Fix the RuntimeException failure
Used assertThrows to avoid to add a new shell command for the test.
Bug: 217972422
Test: atest CtsCarBuiltinApiTestCases:SystemPropertiesHelperTest
Change-Id: I9fe60b61369fe4daa5ce5a59b7d9927c3f7a2c85</t>
  </si>
  <si>
    <t>Fix failing DPM API tests
Fixed failing tests for shouldAllowBypassingDevicePolicyManagementRoleQualification and moved them to a different class
Fixes: 228596883
Test: atest android.devicepolicy.cts.DevicePolicyManagementRoleHolderTest
Test: atest android.devicepolicy.cts.DevicePolicyManagerTest
Change-Id: Ic50d0eef6ff8058923cc0fc47fc6d985e18f145a</t>
  </si>
  <si>
    <t>BT: Fix BluetoothLeBroadcastAssistantTest
* Implement correct test method and expectations
* Assert on correct exception types
Test: atest CtsBluetoothTestCases
Bug: 229790402
Fixes: 229790402
Change-Id: I12d4465c97a5df92bd6834d4d58164fd5911e0bc</t>
  </si>
  <si>
    <t>Changing Requirement#checkPerformanceClass to ignore if
given devicePerfClass is not handled by a required meausrement
Test: atest MediaPerformanceClassCommonTests
Bug: 228566023
Change-Id: I4e3775710d221a831bb5daef61ea400643d28e16</t>
  </si>
  <si>
    <t>BT: Fix BluetoothLeBroadcastAssistantTest
* Implement correct test method and expectations
* Assert on correct exception types
Test: atest CtsBluetoothTestCases
Bug: 229790402
Fixes: 229790402
Change-Id: I12d4465c97a5df92bd6834d4d58164fd5911e0bc
Merged-In: I12d4465c97a5df92bd6834d4d58164fd5911e0bc
(cherry picked from commit e98c2545ce2db68e37228f6c9a6b8f03790982c5)</t>
  </si>
  <si>
    <t>Revert "Add CTS tests to enforce PUSH_BLANK_BUFFERS_ON_STOP"
This reverts commit 03fa14e458a9bb85c1d3e23103b761691cde86af.
Codec2 IGBP#dequeueBuffer is non-blocking and happens on the codec
process. IGBP#dequeueBuffer on framework side could fail if there is no
ready buffer. Polling and waiting from framework side is not suitable by
design. Resolve this issue afterwards and re-land the CTS.
Bug: 230835807
Bug: 210587592
Change-Id: I7f73d5a3c615265b9775c035cd1dca627ab239af</t>
  </si>
  <si>
    <t>Remove unused test api
Test: this
Bug: 231344755
Change-Id: I75c8702c3c28a9412362f04815a23c2c79461635</t>
  </si>
  <si>
    <t>Remove wallpaper dimming CTS tests as they are going to be GTS tests.
Bug: 231582174
Test: atest WallpaperManagerTest
Change-Id: I386e81ce90fee5c523e8fd8bcfeb6c2242a4f410</t>
  </si>
  <si>
    <t>Merge "Changing Requirement#checkPerformanceClass to ignore if given devicePerfClass is not handled by a required meausrement" am: c8048b1933 am: 0a79c3ec4f
Bug: 228566023
Original change: https://android-review.googlesource.com/c/platform/cts/+/2076101
Change-Id: I977514205865ccae8c2cc41b93ed8951e1fe9dce
Signed-off-by: Automerger Merge Worker &lt;android-build-automerger-merge-worker@system.gserviceaccount.com&gt;
(cherry picked from commit cc5b9ff46c66484026c3c2a4e272625612c21099)</t>
  </si>
  <si>
    <t>Revert "Revert "Revert "Add cts test to verify 2 AssetFileDescri..."
Revert "Revert "Revert "Have AssetFileDescriptor.AutoCloseInputS..."
Revert submission 16087948-revert-16067235-revert-15961171-168310122-WKLKVKBBZJ-AAKZNKPXHH
Reason for revert: depends on cl that is being reverted also
Reverted Changes:
I470a777e0:Revert "Revert "Have AssetFileDescriptor.AutoClose...
Id3611826b:Revert "Revert "Add cts test to verify 2 AssetFile...
Fixes: 204612606
Test: manual
Change-Id: Iaff0703b9ed9b3457afbfe1161df40ec8e5d0423</t>
  </si>
  <si>
    <t>Revert "Update WindowUntrustedTouchTest"
This reverts commit 9f48672fe8aefafc2bb544a5db923a95cfee61cd.
Reason for revert: ActivityRecordInputSink now allows some touches to pass through
Bug: 231701903
Test: atest CtsWindowManagerDeviceTestCases:WindowUntrustedTouchTest
Change-Id: I7de60dd98af11dff870bcb936a60076b90dec873
Merged-In: I7de60dd98af11dff870bcb936a60076b90dec873</t>
  </si>
  <si>
    <t>Disable testImeAutofillDefaultSupportedLocalesIsEmpty_changeDisabled
The test tests on the test tool class, we cannot find the
reason before the deadline, so we disable this test first
and create another bug to find the root cause.
Bug: 232331214
Test: atest InlineSuggestionsRequestHostTest
Change-Id: I9c7710f62f6415039c45ff65d17a412fe5bdfb12</t>
  </si>
  <si>
    <t>Modify tests for SaveUi and FillDialogUi changed
The background of SaveUi and FillDialogUi become non-touchable. that
cause UiAutomator cannot search the component of the background
activity. Also cannot directly focus on the view of the activity.
So makes new structure to listen activity started on background and
new way to cancel the dialog.
Bug: 222619949
Test: atest CtsAutoFillServiceTestCases
Change-Id: Ib25b682fdbb575dc7e88dea3c398ec0d1693dfca</t>
  </si>
  <si>
    <t>mediapc: Combine concurrent tests that had mutually exclusive params
Concurrent tests for testing 1080p resolution were split into different
tests for regular codecs and secure codecs. These tests had arguments
that were mutually exclusive. These tests are now combined into a
single test. Having separate tests doesn't really help in any case.
Combining them reduces unnecessary assumption failures that are in
the report.
Bug: 228104072
Test: atest CtsMediaPerformanceClassTestCases:MultiDecoderPairPerfTest \
 CtsMediaPerformanceClassTestCases:MultiDecoderPerfTest
Change-Id: I0511619d968d97b97f23daf5898a18823a7f008e</t>
  </si>
  <si>
    <t>DirectBootHostTest: remove emulated FBE test
Due to the widespread adoption of native FBE, emulated FBE has outlived
its usefulness and is being removed.  Therefore, remove
testDirectBootEmulated() and simplify the remaining code.
Bug: 232458753
Change-Id: I2087aaba087590da5fbfa35ac7a6a5e04db234d6</t>
  </si>
  <si>
    <t>Consolidate some conflicting Bluetooth CTS tests that emerged after
migrating all Bluetooth GTS tests to CTS
Bug: 234690607
Bug: 234690739
Test: atest BluetoothAdapterTest BluetoothDeviceTest SystemBluetoothTest
Change-Id: Ia6d0552399e3245d39d925977b56aaadb52e3b3e</t>
  </si>
  <si>
    <t>mediapc: Combine concurrent tests that had mutually exclusive params
Concurrent tests for testing 1080p resolution were split into different
tests for regular codecs and secure codecs. These tests had arguments
that were mutually exclusive. These tests are now combined into a
single test. Having separate tests doesn't really help in any case.
Combining them reduces unnecessary assumption failures that are in
the report.
Bug: 228104072
Test: atest CtsMediaPerformanceClassTestCases:MultiDecoderPairPerfTest \
 CtsMediaPerformanceClassTestCases:MultiDecoderPerfTest
Change-Id: I0511619d968d97b97f23daf5898a18823a7f008e
(cherry picked from commit ba91da5cfc514a65eb4aeaf7b7e9219af5fb6d31)
Merged-In: I0511619d968d97b97f23daf5898a18823a7f008e</t>
  </si>
  <si>
    <t>mediapc: update secure decoder support tests
- Made the test more drm scheme agnostic.
- Some minor cleanup
Bug: 221374328
Bug: 228104072
Test: atest android.mediapc.cts.PerformanceClassTest
Change-Id: Ia0b7ea2627c4c25364428b3026bc32612c0b02e9</t>
  </si>
  <si>
    <t>mediapc: update secure decoder support tests
- Made the test more drm scheme agnostic.
- Some minor cleanup
Bug: 221374328
Bug: 228104072
Test: atest android.mediapc.cts.PerformanceClassTest
Change-Id: Ia0b7ea2627c4c25364428b3026bc32612c0b02e9
(cherry picked from commit 638f10f4bd2c764cf1fc7d9f5a39368b22eda899)
Merged-In: Ia0b7ea2627c4c25364428b3026bc32612c0b02e9</t>
  </si>
  <si>
    <t>[RESTRICT AUTOMERGE] Revert "CTS: Add regression test for getInputMethodWindowVisibleHeight"
This reverts commit 41095a79333dc8bc163b8ade2289fc913396b9a1.
Reason for revert: Test doesn't work with AOSP launcher.
Change-Id: Ia98d9087890bc0b3a11e65e5b301dff0010a1a0f
Fixes: 235320414</t>
  </si>
  <si>
    <t>Changes test behavior to not have to support blank property names
This removes a test that relied on GenericDocument allowing blank
property names names throws an error. This is because Icing Lib
does not allow blank property names, and we are updating
AppSearch to have the same behavior.
Test: GenericDocumentCtsTest.java
Bug: 232949857
Bug: 234888678
Change-Id: I93bfadc5c8ff348805cda551c7ef75ca9a47902a</t>
  </si>
  <si>
    <t>Revent mandatory ID attestation test
This test belongs in VSR-T and GTS, not CDD.
Reverts the following changes:
https://r.android.com/2018616
https://r.android.com/1993870
Bug: 203089832
Test: atest android.keystore.cts.KeyAttestationTest
Change-Id: I923660ef01e860f44566a6ee27db2ccdb9984c2a</t>
  </si>
  <si>
    <t>Update the prebuilts for the released platform SDK
Old versions were built before the finalization and won't
install anymore
Some of the APKs don't have any instructions for rebuilting,
disabling those with a separate bug to re-enable
Bug: 233398506
Test: presubmits
Change-Id: I046653f061816b66da183b1353ebf8c39b603014</t>
  </si>
  <si>
    <t>Remove TZUvA feature related tests.
The feature was superseded by tzdata mainline module(s).
Bug: 148144561
Test: see system/timezone
Change-Id: I5f67e34e9beb608d3cf3c4c072b268805865f6dd
Merged-In: I5f67e34e9beb608d3cf3c4c072b268805865f6dd</t>
  </si>
  <si>
    <t>Updated CTS test for Android Security b/143559931
Bug: 143559931
Bug: 202759784
Test: Ran the new testcase on android-10.0.0_r41 to test with/without patch
Change-Id: I7e261dbb566531e23cb46dc24f9986021219433b</t>
  </si>
  <si>
    <t>Revert "Update atrace host test to check stderr/stdout separately"
Revert submission 2120422-atrace_warn
Reason for revert: The atrace CLI tool will not be immediately deprecated, only the HAL.
Actually perfetto uses the atrace CLI tool and the warning message is reported as an error in captured traces.
Reverted Changes:
I9f054e6b0:Add a warning to the atrace binary for deprecating...
If91740d65:Update atrace host test to check stderr/stdout sep...
Bug: 204935495
Change-Id: If3d48f07391260e800497ee27b5943e59e455979</t>
  </si>
  <si>
    <t>DO NOT MERGE: Revert "Add appops testcase for location disabled"
This reverts commit 5e8b943e6fd6e79e43780694738dd738006b6d00.
Bug: 231496105
Change-Id: Iaa40f3f5148b55c679ecd9e1fd53f839e60ac1ff</t>
  </si>
  <si>
    <t>CTS: remove VulkanSurfaceSupportTest
The api implementation is wrong, and it no longer needs a cts.
Bug: 238955273
Test: build
Change-Id: I6d78e9fa34c35f6c43b5400a281dd997a8275fda
(cherry picked from commit 52523ea6f997e2e17c103f5a58a04c32903c5444)</t>
  </si>
  <si>
    <t>Rename and re-order tunnel mode tests
Rename the tests to better align with what the test is doing, also
update the comments and re-order them so all tunnel mode tests have the
same layout.
Also, no need for SDK version suppression, since the tests were
introduced in the release that the suppression is for.
Also, reference which APIs the tests add coverage for.
Bug: 220266381
Test: build all tests
Change-Id: I672d60d7b7b97165b045774e3e00e1128c9a9c5f</t>
  </si>
  <si>
    <t>[Output switcher] Delete strongly recommended test as suggested
Bug: 220392055
Test: N/A
Change-Id: I8a35d5882061135562f02a786d55d6b5dc8d9bf9</t>
  </si>
  <si>
    <t>HDRDecoderTest: Parameterize the tests
Test in HDRDecoderTest  are parameterized to make it easier to
parameterize based on codecs later
Bug: 218001885
Test: atest CtsMediaDecoderTestCases:HDRDecoderTest
Change-Id: I4e5dc98b844b73c3fa7e71061d15e14c373f249a</t>
  </si>
  <si>
    <t>mediav2 CTS: Rework hdr info tests and add decoder dynamic info tests
- Create helper classes that handle/validate HDR info for encoding
  and decoding. With this all HDR info queueing and validating code
  is now moved to these two helper classes.
- Adds tests to validate for HDR dynamic info handling in decoders
- Uses same hdr info in both encoder and decoder tests
Bug: 206153517
Bug: 232199421
Test: atest CtsMediaV2TestCases:DecoderHDRInfoTest \
 CtsMediaV2TestCases:EncoderHDRInfoTest
Change-Id: I40af4c5c2f8d4006d64a8f220e5088a072dcb40b</t>
  </si>
  <si>
    <t>Revert "Add java SeamendcHostTest in cts"
Revert submission 2111065-seamendc
Reason for revert: Just to confirm if it fixes b/240731742
Reverted Changes:
I3ce2845f2:Move parts of sdk_sandbox from private to apex pol...
I0c10106e2:Add java SeamendcHostTest in cts
Test: revert CL
Change-Id: I20a67e5557573c309af75bc649f293b2ffd6e241</t>
  </si>
  <si>
    <t>Disable testOnlyAllowedlistedChangesAreOverridable
We need to disable the test because after the introduction of
a new changeId.
Test: Manual
Fixes: 242570254
Change-Id: I993074e3407280e7ff04ea56c97d05b8b4778eb8
Merged-In: I2af438d26d1db226780624e4bd7640ddb2df1ea7</t>
  </si>
  <si>
    <t>[DO NOT MERGE] Disable testOnlyAllowedlistedChangesAreOverridable
We need to disable the test after the introduction of
a new changeId.
Test: Manual
Fixes: 242570254, 243322087
Change-Id: I993074e3407280e7ff04ea56c97d05b8b4778eb8
Merged-In: I2af438d26d1db226780624e4bd7640ddb2df1ea7</t>
  </si>
  <si>
    <t>uwb(cts): Rework tests using SessionHandle
Remove |SessionHandleTest| from CTS since SessionHandle is @hide.
Bug: 241298182
Bug: 243490785
Test: atest CtsUwbTestCases
Merged-In: I1557da9f69ce8bd37c6c8dfb4e9c5addb0cf2016
Change-Id: I1557da9f69ce8bd37c6c8dfb4e9c5addb0cf2016
(cherry picked from commit 924641be64ec2ebb66e7c7529408e7c0a6b80cc9)</t>
  </si>
  <si>
    <t>Remove precompiled policy test and expand secilc vs seamendc test
Testing seamendc using the precompiled policy on a device is too
unpredictable and it has resulted in several breakages (see b/242588354
for the latest example).
This CL removes the
SeamendcHostTest#testSeamendcAgainstPrecompiledPolicies test. Instead, I
expanded the SeamendcHostTest#testSeamendcAgainstSecilc test to
replicate as closely as possible the selinux.cpp logic when it decides
to compile the SELinux policy
https://cs.android.com/android/platform/superproject/+/master:system/core/init/selinux.cpp;l=48-53;drc=2d579af880afae96239c80765b11c7dbc2c1b264
Bug: 242588354
Bug: 238394904
Test: atest SeamendcHostTest
Change-Id: Id31e5d7a25574ac69deb5e0ed5b175a8be6fb528</t>
  </si>
  <si>
    <t>Remove one of two *AllChecksums tests.
The execution time depends on CtsContentTestCase.apk size and can be too long on low end devices.
testFixedAllChecksums provides the required coverage.
Bug: 241029979
Fixes: 241029979
Test: atest ChecksumsTest
Change-Id: I9994367d585929c318d1ed8820f0c40769f540eb</t>
  </si>
  <si>
    <t>Rename and re-order tunnel mode tests
Rename the tests to better align with what the test is doing, also
update the comments and re-order them so all tunnel mode tests have the
same layout.
Also, no need for SDK version suppression, since the tests were
introduced in the release that the suppression is for.
Also, reference which APIs the tests add coverage for.
Bug: 220266381
Test: build all tests
Merged-In: I672d60d7b7b97165b045774e3e00e1128c9a9c5f
Change-Id: I672d60d7b7b97165b045774e3e00e1128c9a9c5f</t>
  </si>
  <si>
    <t>Revert "Add test for BluetoothAdapter.getProfileProxy"
Reverts due to belog bug
Bug: 243847810
Test: atest BluetoothInstrumentationTests
Tag: #feature
This reverts commit acbc97b98e8b40cdd60239283979966e2380a115.
Change-Id: I61f9a02210fdf342ebaacd3bdfc8cef9054becbd</t>
  </si>
  <si>
    <t>uwb(cts): Rework tests using SessionHandle
Remove |SessionHandleTest| &amp; |RangingSessionTest| from CTS since SessionHandle is @hide.
Bug: 241298182
Bug: 243490785
Bug: 243878233
Bug: 244133659
Test: atest CtsUwbTestCases
Merged-In: I1557da9f69ce8bd37c6c8dfb4e9c5addb0cf2016
Change-Id: I1557da9f69ce8bd37c6c8dfb4e9c5addb0cf2016
(cherry picked from commit 924641be64ec2ebb66e7c7529408e7c0a6b80cc9)</t>
  </si>
  <si>
    <t>uwb(cts): Rework tests using SessionHandle
Remove |SessionHandleTest| &amp; |RangingSessionTest| from CTS since SessionHandle is @hide.
Bug: 241298182
Bug: 243490785
Bug: 243878233
Bug: 244133659
Test: atest CtsUwbTestCases
Merged-In: I1557da9f69ce8bd37c6c8dfb4e9c5addb0cf2016
Change-Id: I1557da9f69ce8bd37c6c8dfb4e9c5addb0cf2016
(cherry picked from commit 924641be64ec2ebb66e7c7529408e7c0a6b80cc9)
(cherry picked from commit 1442dfde53b38baf9e07a443ffcee51cd0df5c63)</t>
  </si>
  <si>
    <t>Revert "Add test to enforce component name belongs to caller app"
This reverts commit af39c40ee5199c1eeb3dd94fcdb727d4ce2fcf45.
Reason for revert: b/241798893. Note: this fix is not the root cause of the breakage. It just exposes a previously unknown bug. See linked bug.
Change-Id: I26b811a2c6833b9da48c3b1a1c27ed888485d731
Merged-In: Ic48badd6dc8efd876f09158e9e8549395ccc141d</t>
  </si>
  <si>
    <t>Skip CTS test for OnDevicePersonalizationManager.
This module is not currently available.
Bug: 241053331
Test: atest CtsOnDevicePersonalizationTestCases
Change-Id: Ic7c11177a89744ae22fcaaa56560088acf3199a6</t>
  </si>
  <si>
    <t>Moved CarServiceHelperServiceUpdatable dump test to Car API Test
It was moved as cmd command for testing is not available in user build.
Bug: 230356253
Test: atest CarServiceHelperServiceUpdatableTest
Change-Id: I8828e5fae7c4572bc3a61ad2edb8c921f66f4820
Merged-In: I8828e5fae7c4572bc3a61ad2edb8c921f66f4820
(cherry picked from commit c8fbeb8647a2fa7c8d7e7fe5fcada9d605ab3111)</t>
  </si>
  <si>
    <t>Keystore: KeyGeneration test for Device Owner
Removed hostside test and supporting application for testing key
generation and device id attestation through DevicePolicyManger.
Instead of hostside test and application single device side test is
added with Bedstead annotations, which provides same functionality with
improved speed and reliability.
Bug: 225139985
Test: atest CtsKeystoreTestCases:DeviceOwnerKeyManagementTest#testAllVariationsOfDeviceIdAttestation
Change-Id: I1f3b2cd615f8010d3e68cb413f17a9639e57af56</t>
  </si>
  <si>
    <t>Remove LEGACY_MIFARE_READER
cleanup dead code
remove CVE_2019_2133
remove CVE_2019_2134
remove CVE_2019_2135
remove CVE-2021-0596
remove CVE-2022-20123
Bug: 246483838
Test: R/W MFC
Change-Id: Ib85042bb8c485f843839f62d3c53f63c63102e61</t>
  </si>
  <si>
    <t>Remove cloudsearch api cts
Bug: 246376638
Test: Manually tested
Change-Id: I0d7fe6759d1aaff53cc526d1f97588d044f62ebf</t>
  </si>
  <si>
    <t>Revert "add unit test for max height of scrollview in save dialog"
This reverts commit 4b57f8d6f02f05585c414285308144f52286a239.
Reason for revert: per rossyeh@google.com's comments in https://buganizer.corp.google.com/issues/232835792
Change-Id: If2cd84e6fcb0dace2b9383aad07aaa3c6b596038</t>
  </si>
  <si>
    <t>Remove CTS tests for CloudSearch API
Bug: 250475989
Test: Manually tested
Change-Id: Iba112d34e77f8ff3fd911afc63520d617a4ade31</t>
  </si>
  <si>
    <t>Remove unused SELinux tests
testNoExemptionsForSocketsBetweenCoreAndVendorBan and
testNoExemptionsForVendorExecutingCore have been disabled by default in
the CTS configuration. Both tests now belong to GTS.
testNoExemptionsForBinderInVendorBan does not exist anymore.
Bug: 64127136
Test: cts-tradefed run cts --collect-tests-only --skip-connectivity-check \
        --skip-device-info --module=CtsSecurityHostTestCases
Change-Id: I66a125e1eb4601f87ff768b7f186d2953f8c0182</t>
  </si>
  <si>
    <t>Revert "Add test for report[Mobile|Wifi]RadioPowerState APIs"
This reverts commit ad15d78d2462c8f3423cf6a34c929ab013215998.
The available way to verify report[Mobile|Wifi]RadioPowerState is
to verify what is dumped in the dumpsys. These calls are intended to notify cellular/wifi network switch stats. If BatteryStats is no
longer actively support dumpsys, there is no way to verify the result
and is less useful to verify this.
Reason for revert: &lt;no longer actively support dumpsys&gt;
Fix: 253767052
Change-Id: I1f4e577796b41463f5560508d4863b8e57ad9c89</t>
  </si>
  <si>
    <t>Revert "Add tests for BluetoothProfile.close"
Revert submission 19938469-BluetoothProfile_close
Reason for revert: Creating a revert CL only for QPR1
Reverted Changes:
I51ad4e0ec:Make onServiceDisconnected be called
Ic5188c62e:Add tests for BluetoothProfile.close
Bug: 249213217
Change-Id: I083ca9eb695de67f4c8e875a2fc90197e32baa29
(cherry picked from commit 7db0bcf701425ba33ee5236c5c0f68c35f2b574e)
Merged-In: I083ca9eb695de67f4c8e875a2fc90197e32baa29</t>
  </si>
  <si>
    <t>Remove useless and broken CTS test
Bug: 255479130
Change-Id: Iaba4cd6bf90ba5df968f1a2218559851b5daba61
Test: atest GeocoderTest</t>
  </si>
  <si>
    <t>Remove useless and broken CTS test
Bug: 255479130
Test: atest GeocoderTest
(cherry picked from commit cb7a8edc9b545489b8e7ebeb895d857e2b1a267a)
Merged-In: Iaba4cd6bf90ba5df968f1a2218559851b5daba61
Change-Id: I8924d1c0b24e5bb554068d700fe56e2d2f82ef39</t>
  </si>
  <si>
    <t>Remove useless and broken CTS test
Bug: 255479130
Test: atest GeocoderTest
(cherry picked from commit cb7a8edc9b545489b8e7ebeb895d857e2b1a267a)
Merged-In: Iaba4cd6bf90ba5df968f1a2218559851b5daba61
Change-Id: I54269a7257e860bde1370bb39972370b7e7ff30a</t>
  </si>
  <si>
    <t>Switch all RoR CTS tests to server based
In android S, we updated CDD to deprecate the HAL based RoR. And
in android T, Pixels remove the RoR HAL. So it's time to switch
all RoR tests to server based in T faced test suites.
Bug: 216485436
Test: atest CtsAppSecurityHostTestCases:android.appsecurity.cts.ResumeOnRebootHostTest
Change-Id: I60f6d7efe5398578bfcf6864fdbec4f4a4ec8c9d
(cherry picked from commit ea932a560c115735da9fea197c7ef0dbf63bef3b)</t>
  </si>
  <si>
    <t>Revert "Add test for report[Mobile|Wifi]RadioPowerState APIs"
This reverts commit ad15d78d2462c8f3423cf6a34c929ab013215998.
The available way to verify report[Mobile|Wifi]RadioPowerState is
to verify what is dumped in the dumpsys. These calls are intended to notify cellular/wifi network switch stats. If BatteryStats is no
longer actively support dumpsys, there is no way to verify the result
and is less useful to verify this.
Reason for revert: &lt;no longer actively support dumpsys&gt;
Fix: 253767052
Bug: 256099514
Change-Id: I1f4e577796b41463f5560508d4863b8e57ad9c89
Merged-In: I1f4e577796b41463f5560508d4863b8e57ad9c89</t>
  </si>
  <si>
    <t>mediav2 CTS: Deprecate encoder flush tests
Going back to flushed state is only supported
for decoders and for encoders the behaviour is undefined.
Bug: 148651699
Test: atest android.mediav2.cts.CodecEncoderTest
Change-Id: I1c65a1ce6d1d60d15418e80a6ae628ce20a68369</t>
  </si>
  <si>
    <t>Parameterize VideoEncoderDecoderTest
Bug: 249908119
Test: atest android.video.cts.VideoEncoderDecoderTest
Change-Id: I57b680a7ff2e703ff18dfc0259359e12d576ac29</t>
  </si>
  <si>
    <t>Remove cts/tests/uwb and cts/hostsidetests/*/uwb
These projects are migrated to packages/modules/Uwb/tests/...
BUG: 244347268
Test: TH
Merged-In: If24e07780f545627497ad91ec07ed25b0c83a272
Change-Id: I9284703facb043ee9c427004fed30f1cc4896557</t>
  </si>
  <si>
    <t>[DO NOT MERGE] Update bedstead in AOSP.
Test: btest CtsDevicePolicyTestCases
Bug: 217904700
Change-Id: I81b1734fe18af858967b638427af9b439e7b8239
Merged-In: I81b1734fe18af858967b638427af9b439e7b8239</t>
  </si>
  <si>
    <t>Migrate com.android.cts.devicepolicy.ManagedProfileCrossProfileTest#testCrossProfileIntentFilters
Test: btest android.devicepolicy.cts.CrossProfileIntentFiltersTest
Test: btest android.devicepolicy.cts.CrossProfileIntentFiltersTest -nbi -ssw
Change-Id: I0d0f59c66bc746db009e904343ab2918d8f6c4ea
Merged-In: I0d0f59c66bc746db009e904343ab2918d8f6c4ea</t>
  </si>
  <si>
    <t>Test migration: 231911451,231911427 - Replace com.android.cts.devicepolicy.MixedProfileOwnerTest#testPermissionMixedPolicies,#testAutoGrantMultiplePermissionsInGroup
fixes: 231911451,231911427
Test: atest CtsDevicePolicyTestCases:PermissionGrantTest
Change-Id: I89a3abc1259814fb3ec107407d3558ebf45ab373</t>
  </si>
  <si>
    <t>CtsMedia: Delete spurious file created by automerger
https://r.android.com/2308769 created AudioManagerTest.java in
tests/tests/media/src, but that file is now in
tests/tests/media/audio.
https://r.android.com/2216622 is the change in android12-tests-dev and
https://r.android.com/2290134 is the corresponding change in master
The required change is present in correct files already.
Bug: 263122446
Test: Builds
Change-Id: Ib7bc2a31e0003958ba6c2cded05baf26fa6df312</t>
  </si>
  <si>
    <t>Revert "Add CTS tests for DualSense Edge gamepad"
Revert submission 2363669-dualsense-edge-support
Reason for revert: b/263648934
Reverted changes: /q/submissionid:2363669-dualsense-edge-support
Change-Id: Ib06d327ebe9a16d22da1bda8ffb93057504d6f94</t>
  </si>
  <si>
    <t>DO NOT MERGE: Remove useless and broken CTS test
Bug: 263707427
Bug: 255479130
Test: atest GeocoderTest
Change-Id: I54269a7257e860bde1370bb39972370b7e7ff30a
(cherry picked from commit 09ecd6a4f7e7b3fbcfb59a1b298766ad41987ac1)</t>
  </si>
  <si>
    <t>tests/tests/os/src/android/os/cts/BundleTest.java</t>
  </si>
  <si>
    <t>tests/tests/permission/src/android/permission/cts/NoLocationPermissionTest.java</t>
  </si>
  <si>
    <t>tests/tests/net/src/android/net/cts/NetworkInfoTest.java</t>
  </si>
  <si>
    <t>tests/tests/text/src/android/text/cts/TextUtilsTest.java</t>
  </si>
  <si>
    <t>tests/tests/graphics/src/android/graphics/cts/PaintTest.java</t>
  </si>
  <si>
    <t>tests/tests/app/src/android/app/cts/DatePickerDialogTest.java</t>
  </si>
  <si>
    <t>tests/tests/content/src/android/content/cts/ContentProviderTest.java</t>
  </si>
  <si>
    <t>tests/tests/graphics/src/android/graphics/cts/PathMeasureTest.java</t>
  </si>
  <si>
    <t>tests/tests/content/src/android/content/pm/cts/PackageManagerTest.java</t>
  </si>
  <si>
    <t>tests/tests/permission/src/android/permission/cts/PackageManagerRequiringPermissionsTest.java</t>
  </si>
  <si>
    <t>tests/tests/widget/src/android/widget/cts/ChronometerTest.java</t>
  </si>
  <si>
    <t>tests/tests/permission/src/android/permission/cts/NoReadWritePermissionTest.java</t>
  </si>
  <si>
    <t>tests/tests/graphics/src/android/graphics/cts/BitmapTest.java</t>
  </si>
  <si>
    <t>tests/tests/graphics/src/android/graphics/cts/CameraTest.java</t>
  </si>
  <si>
    <t>tests/tests/graphics/src/android/graphics/cts/CanvasTest.java</t>
  </si>
  <si>
    <t>tests/tests/graphics/src/android/graphics/cts/InterpolatorTest.java</t>
  </si>
  <si>
    <t>tests/tests/graphics/src/android/graphics/cts/PathEffectTest.java</t>
  </si>
  <si>
    <t>tests/tests/graphics/src/android/graphics/cts/PathTest.java</t>
  </si>
  <si>
    <t>tests/tests/graphics/src/android/graphics/cts/RegionTest.java</t>
  </si>
  <si>
    <t>tests/tests/location/src/android/location/cts/LocationManagerTest.java</t>
  </si>
  <si>
    <t>tests/tests/graphics/src/android/graphics/drawable/cts/DrawableTest.java</t>
  </si>
  <si>
    <t>tests/tests/graphics/src/android/graphics/drawable/cts/GradientDrawableTest.java</t>
  </si>
  <si>
    <t>tests/tests/graphics/src/android/graphics/drawable/cts/ShapeDrawableTest.java</t>
  </si>
  <si>
    <t>tests/tests/permission/src/android/permission/cts/NoAudioPermissionTest.java</t>
  </si>
  <si>
    <t>tests/tests/content/src/android/content/cts/IntentTest.java</t>
  </si>
  <si>
    <t>tests/tests/content/src/android/content/cts/SyncContextTest.java</t>
  </si>
  <si>
    <t>tests/tests/content/src/android/content/cts/SyncResultTest.java</t>
  </si>
  <si>
    <t>tests/tests/content/src/android/content/cts/SyncStatsTest.java</t>
  </si>
  <si>
    <t>tests/tests/widget/src/android/widget/cts/TimePickerTest.java</t>
  </si>
  <si>
    <t>tests/tests/content/src/android/content/res/cts/ResourcesTest.java</t>
  </si>
  <si>
    <t>tests/tests/util/src/android/util/cts/EventLogTagsTest.java</t>
  </si>
  <si>
    <t>tests/tests/webkit/src/android/webkit/cts/WebViewClientTest.java</t>
  </si>
  <si>
    <t>tests/tests/view/src/android/view/cts/KeyEventTest.java</t>
  </si>
  <si>
    <t>tests/tests/database/src/android/database/sqlite/cts/SQLiteProgramTest.java</t>
  </si>
  <si>
    <t>tests/tests/app/src/android/app/cts/SearchManagerTest.java</t>
  </si>
  <si>
    <t>tests/tests/view/src/android/view/cts/ViewStubTest.java</t>
  </si>
  <si>
    <t>tests/tests/widget/src/android/widget/cts/RatingBarTest.java</t>
  </si>
  <si>
    <t>tests/tests/widget/src/android/widget/cts/GalleryTest.java</t>
  </si>
  <si>
    <t>tests/tests/widget/src/android/widget/cts/AutoCompleteTextViewTest.java</t>
  </si>
  <si>
    <t>tests/tests/app/src/android/app/cts/AlertDialog_BuilderTest.java</t>
  </si>
  <si>
    <t>tests/tests/graphics/src/android/graphics/drawable/cts/MipmapDrawableTest.java</t>
  </si>
  <si>
    <t>tests/tests/hardware/src/android/hardware/cts/CameraTest.java</t>
  </si>
  <si>
    <t>tests/tests/database/src/android/database/cts/DatabaseCursorTest.java</t>
  </si>
  <si>
    <t>tests/tests/app/src/android/app/cts/ActivityGroupTest.java</t>
  </si>
  <si>
    <t>tests/tests/app/src/android/app/cts/LifecycleTest.java</t>
  </si>
  <si>
    <t>tests/tests/database/src/android/database/sqlite/cts/SQLiteCursorTest.java</t>
  </si>
  <si>
    <t>tests/tests/database/src/android/database/sqlite/cts/SQLiteDatabaseTest.java</t>
  </si>
  <si>
    <t>tests/tests/util/src/android/util/cts/TimeUtilsTest.java</t>
  </si>
  <si>
    <t>apps/CtsVerifier/tests/src/com/android/cts/verifier/TestListActivityTest.java</t>
  </si>
  <si>
    <t>tests/appsecurity-tests/test-apps/UsePermissionDiffCert/src/com/android/cts/usespermissiondiffcertapp/AccessPermissionWithDiffSigTest.java</t>
  </si>
  <si>
    <t>tests/tests/permission/src/android/permission/cts/NoActivityRelatedPermissionTest.java</t>
  </si>
  <si>
    <t>tests/tests/permission/src/android/permission/cts/DevicePowerPermissionTest.java</t>
  </si>
  <si>
    <t>tests/tests/webkit/src/android/webkit/cts/WebViewTest.java</t>
  </si>
  <si>
    <t>tests/tests/app/src/android/app/cts/DialogTest.java</t>
  </si>
  <si>
    <t>tests/tests/view/src/android/view/cts/ViewTest.java</t>
  </si>
  <si>
    <t>tests/tests/net/src/android/net/cts/ConnectivityManagerTest.java</t>
  </si>
  <si>
    <t>tools/vm-tests/src/dot/junit/opcodes/invoke_interface/Test_invoke_interface.java</t>
  </si>
  <si>
    <t>tools/vm-tests/src/dot/junit/opcodes/invoke_interface_range/Test_invoke_interface_range.java</t>
  </si>
  <si>
    <t>tools/vm-tests/src/dot/junit/opcodes/invoke_super/Test_invoke_super.java</t>
  </si>
  <si>
    <t>tools/vm-tests/src/dot/junit/opcodes/invoke_super_range/Test_invoke_super_range.java</t>
  </si>
  <si>
    <t>tools/vm-tests/src/dot/junit/opcodes/invoke_virtual/Test_invoke_virtual.java</t>
  </si>
  <si>
    <t>tools/vm-tests/src/dot/junit/opcodes/invoke_virtual_range/Test_invoke_virtual_range.java</t>
  </si>
  <si>
    <t>tests/tests/app/src/android/app/cts/ProfileFeaturesTest.java</t>
  </si>
  <si>
    <t>tests/tests/content/src/android/content/cts/BroadcastReceiverTest.java</t>
  </si>
  <si>
    <t>tests/tests/graphics/src/android/graphics/cts/PorterDuff_ModeTest.java</t>
  </si>
  <si>
    <t>tests/tests/hardware/src/android/hardware/cts/SensorManagerTest.java</t>
  </si>
  <si>
    <t>tests/tests/content/src/android/content/res/cts/AssetFileDescriptor_AutoCloseInputStreamTest.java</t>
  </si>
  <si>
    <t>tests/tests/provider/src/android/provider/cts/Settings_SecureTest.java</t>
  </si>
  <si>
    <t>tests/tests/view/src/android/view/cts/SurfaceTest.java</t>
  </si>
  <si>
    <t>tests/tests/content/src/android/content/cts/ContextWrapperTest.java</t>
  </si>
  <si>
    <t>tests/tests/text/src/android/text/method/cts/MultiTapKeyListenerTest.java</t>
  </si>
  <si>
    <t>tests/tests/text/src/android/text/method/cts/QwertyKeyListenerTest.java</t>
  </si>
  <si>
    <t>tests/tests/webkit/src/android/webkit/cts/CacheManagerTest.java</t>
  </si>
  <si>
    <t>tests/tests/text/src/android/text/cts/LayoutTest.java</t>
  </si>
  <si>
    <t>tests/tests/net/src/android/net/cts/ListeningPortsTest.java</t>
  </si>
  <si>
    <t>tests/tests/telephony/src/android/telephony/cts/PhoneNumberUtilsTest.java</t>
  </si>
  <si>
    <t>tests/tests/webkit/src/android/webkit/cts/WebChromeClientTest.java</t>
  </si>
  <si>
    <t>tests/tests/widget/src/android/widget/cts/GridViewTest.java</t>
  </si>
  <si>
    <t>tests/tests/net/src/android/net/cts/TrafficStatsTest.java</t>
  </si>
  <si>
    <t>tests/tests/graphics/src/android/graphics/drawable/cts/InsetDrawableTest.java</t>
  </si>
  <si>
    <t>tests/tests/webkit/src/android/webkit/cts/WebHistoryItemTest.java</t>
  </si>
  <si>
    <t>tests/tests/widget/src/android/widget/cts/AbsListViewTest.java</t>
  </si>
  <si>
    <t>tests/tests/text/src/android/text/method/cts/ArrowKeyMovementMethodTest.java</t>
  </si>
  <si>
    <t>tests/tests/widget/src/android/widget/cts/ProgressBarTest.java</t>
  </si>
  <si>
    <t>tests/tests/app/src/android/app/cts/AlarmManagerTest.java</t>
  </si>
  <si>
    <t>tests/tests/app/src/android/app/cts/ServiceTest.java</t>
  </si>
  <si>
    <t>tests/tests/app/src/android/app/cts/InstrumentationTest.java</t>
  </si>
  <si>
    <t>tests/tests/view/src/android/view/cts/ViewGroupTest.java</t>
  </si>
  <si>
    <t>tests/tests/view/src/android/view/cts/WindowTest.java</t>
  </si>
  <si>
    <t>tests/tests/dpi/src/android/dpi/cts/ConfigurationTest.java</t>
  </si>
  <si>
    <t>tests/tests/permission/src/android/permission/cts/NoCallPermissionTest.java</t>
  </si>
  <si>
    <t>tests/tests/media/src/android/media/cts/AudioManagerTest.java</t>
  </si>
  <si>
    <t>tools/tradefed-host/tests/src/com/android/cts/tradefed/targetprep/CtsSetupTest.java</t>
  </si>
  <si>
    <t>tests/tests/app/src/android/app/cts/ListActivityTest.java</t>
  </si>
  <si>
    <t>tests/tests/graphics/src/android/graphics/cts/RadialGradientTest.java</t>
  </si>
  <si>
    <t>tests/tests/renderscript/src/android/renderscript/cts/FontTest.java</t>
  </si>
  <si>
    <t>tests/tests/view/src/android/view/cts/TouchDelegateTest.java</t>
  </si>
  <si>
    <t>tests/tests/widget/src/android/widget/cts/MediaControllerTest.java</t>
  </si>
  <si>
    <t>tests/tests/webkit/src/android/webkit/cts/WebIconDatabaseTest.java</t>
  </si>
  <si>
    <t>tests/tests/widget/src/android/widget/cts/TableLayoutTest.java</t>
  </si>
  <si>
    <t>tests/tests/widget/src/android/widget/cts/VideoViewTest.java</t>
  </si>
  <si>
    <t>tools/annotation-helper/src/spechelper/Test.java</t>
  </si>
  <si>
    <t>tests/tests/view/src/android/view/cts/GestureDetector_SimpleOnGestureListenerTest.java</t>
  </si>
  <si>
    <t>apps/CtsVerifier/tests/src/com/android/cts/verifier/CtsVerifierActivityTest.java</t>
  </si>
  <si>
    <t>apps/CtsVerifier/tests/src/com/android/cts/verifier/TestResultsProviderTest.java</t>
  </si>
  <si>
    <t>apps/CtsVerifier/tests/src/com/android/cts/verifier/features/FeatureSummaryActivityTest.java</t>
  </si>
  <si>
    <t>tests/tests/renderscript/src/android/renderscript/cts/FieldPackerTest.java</t>
  </si>
  <si>
    <t>tests/tests/webkit/src/android/webkit/cts/WebView_HitTestResultTest.java</t>
  </si>
  <si>
    <t>tests/tests/speech/src/android/speech/tts/cts/TextToSpeechServiceTest.java</t>
  </si>
  <si>
    <t>tests/tests/app/src/android/app/cts/SystemFeaturesTest.java</t>
  </si>
  <si>
    <t>tests/tests/graphics/src/android/graphics/cts/Shader_TileModeTest.java</t>
  </si>
  <si>
    <t>tests/tests/theme/src/android/theme/cts/ThemeTest.java</t>
  </si>
  <si>
    <t>tests/tests/webkit/src/android/webkit/cts/WebDriverTest.java</t>
  </si>
  <si>
    <t>tests/tests/media/src/android/media/cts/MediaPlayerTest.java</t>
  </si>
  <si>
    <t>tests/tests/webkit/src/android/webkit/cts/SslErrorHandlerTest.java</t>
  </si>
  <si>
    <t>tools/vm-tests-tf/src/dot/junit/opcodes/add_double/Test_add_double.java</t>
  </si>
  <si>
    <t>tools/vm-tests-tf/src/dot/junit/opcodes/add_double_2addr/Test_add_double_2addr.java</t>
  </si>
  <si>
    <t>tools/vm-tests-tf/src/dot/junit/opcodes/add_float/Test_add_float.java</t>
  </si>
  <si>
    <t>tools/vm-tests-tf/src/dot/junit/opcodes/add_float_2addr/Test_add_float_2addr.java</t>
  </si>
  <si>
    <t>tools/vm-tests-tf/src/dot/junit/opcodes/add_int/Test_add_int.java</t>
  </si>
  <si>
    <t>tools/vm-tests-tf/src/dot/junit/opcodes/add_int_2addr/Test_add_int_2addr.java</t>
  </si>
  <si>
    <t>tools/vm-tests-tf/src/dot/junit/opcodes/add_int_lit16/Test_add_int_lit16.java</t>
  </si>
  <si>
    <t>tools/vm-tests-tf/src/dot/junit/opcodes/add_int_lit8/Test_add_int_lit8.java</t>
  </si>
  <si>
    <t>tools/vm-tests-tf/src/dot/junit/opcodes/add_long/Test_add_long.java</t>
  </si>
  <si>
    <t>tools/vm-tests-tf/src/dot/junit/opcodes/add_long_2addr/Test_add_long_2addr.java</t>
  </si>
  <si>
    <t>tools/vm-tests-tf/src/dot/junit/opcodes/aget/Test_aget.java</t>
  </si>
  <si>
    <t>tools/vm-tests-tf/src/dot/junit/opcodes/aget_boolean/Test_aget_boolean.java</t>
  </si>
  <si>
    <t>tools/vm-tests-tf/src/dot/junit/opcodes/aget_byte/Test_aget_byte.java</t>
  </si>
  <si>
    <t>tools/vm-tests-tf/src/dot/junit/opcodes/aget_char/Test_aget_char.java</t>
  </si>
  <si>
    <t>tools/vm-tests-tf/src/dot/junit/opcodes/aget_object/Test_aget_object.java</t>
  </si>
  <si>
    <t>tools/vm-tests-tf/src/dot/junit/opcodes/aget_short/Test_aget_short.java</t>
  </si>
  <si>
    <t>tools/vm-tests-tf/src/dot/junit/opcodes/aget_wide/Test_aget_wide.java</t>
  </si>
  <si>
    <t>tools/vm-tests-tf/src/dot/junit/opcodes/and_int/Test_and_int.java</t>
  </si>
  <si>
    <t>tools/vm-tests-tf/src/dot/junit/opcodes/and_int_2addr/Test_and_int_2addr.java</t>
  </si>
  <si>
    <t>tools/vm-tests-tf/src/dot/junit/opcodes/and_int_lit16/Test_and_int_lit16.java</t>
  </si>
  <si>
    <t>tools/vm-tests-tf/src/dot/junit/opcodes/and_int_lit8/Test_and_int_lit8.java</t>
  </si>
  <si>
    <t>tools/vm-tests-tf/src/dot/junit/opcodes/and_long/Test_and_long.java</t>
  </si>
  <si>
    <t>tools/vm-tests-tf/src/dot/junit/opcodes/and_long_2addr/Test_and_long_2addr.java</t>
  </si>
  <si>
    <t>tools/vm-tests-tf/src/dot/junit/opcodes/aput/Test_aput.java</t>
  </si>
  <si>
    <t>tools/vm-tests-tf/src/dot/junit/opcodes/aput_boolean/Test_aput_boolean.java</t>
  </si>
  <si>
    <t>tools/vm-tests-tf/src/dot/junit/opcodes/aput_byte/Test_aput_byte.java</t>
  </si>
  <si>
    <t>tools/vm-tests-tf/src/dot/junit/opcodes/aput_char/Test_aput_char.java</t>
  </si>
  <si>
    <t>tools/vm-tests-tf/src/dot/junit/opcodes/aput_object/Test_aput_object.java</t>
  </si>
  <si>
    <t>tools/vm-tests-tf/src/dot/junit/opcodes/aput_short/Test_aput_short.java</t>
  </si>
  <si>
    <t>tools/vm-tests-tf/src/dot/junit/opcodes/aput_wide/Test_aput_wide.java</t>
  </si>
  <si>
    <t>tools/vm-tests-tf/src/dot/junit/opcodes/cmp_long/Test_cmp_long.java</t>
  </si>
  <si>
    <t>tools/vm-tests-tf/src/dot/junit/opcodes/cmpg_double/Test_cmpg_double.java</t>
  </si>
  <si>
    <t>tools/vm-tests-tf/src/dot/junit/opcodes/cmpg_float/Test_cmpg_float.java</t>
  </si>
  <si>
    <t>tools/vm-tests-tf/src/dot/junit/opcodes/cmpl_double/Test_cmpl_double.java</t>
  </si>
  <si>
    <t>tools/vm-tests-tf/src/dot/junit/opcodes/cmpl_float/Test_cmpl_float.java</t>
  </si>
  <si>
    <t>tools/vm-tests-tf/src/dot/junit/opcodes/div_double/Test_div_double.java</t>
  </si>
  <si>
    <t>tools/vm-tests-tf/src/dot/junit/opcodes/div_double_2addr/Test_div_double_2addr.java</t>
  </si>
  <si>
    <t>tools/vm-tests-tf/src/dot/junit/opcodes/div_float/Test_div_float.java</t>
  </si>
  <si>
    <t>tools/vm-tests-tf/src/dot/junit/opcodes/div_float_2addr/Test_div_float_2addr.java</t>
  </si>
  <si>
    <t>tools/vm-tests-tf/src/dot/junit/opcodes/div_int/Test_div_int.java</t>
  </si>
  <si>
    <t>tools/vm-tests-tf/src/dot/junit/opcodes/div_int_2addr/Test_div_int_2addr.java</t>
  </si>
  <si>
    <t>tools/vm-tests-tf/src/dot/junit/opcodes/div_int_lit16/Test_div_int_lit16.java</t>
  </si>
  <si>
    <t>tools/vm-tests-tf/src/dot/junit/opcodes/div_int_lit8/Test_div_int_lit8.java</t>
  </si>
  <si>
    <t>tools/vm-tests-tf/src/dot/junit/opcodes/div_long/Test_div_long.java</t>
  </si>
  <si>
    <t>tools/vm-tests-tf/src/dot/junit/opcodes/div_long_2addr/Test_div_long_2addr.java</t>
  </si>
  <si>
    <t>tools/vm-tests-tf/src/dot/junit/opcodes/double_to_float/Test_double_to_float.java</t>
  </si>
  <si>
    <t>tools/vm-tests-tf/src/dot/junit/opcodes/double_to_int/Test_double_to_int.java</t>
  </si>
  <si>
    <t>tools/vm-tests-tf/src/dot/junit/opcodes/double_to_long/Test_double_to_long.java</t>
  </si>
  <si>
    <t>tools/vm-tests-tf/src/dot/junit/opcodes/float_to_double/Test_float_to_double.java</t>
  </si>
  <si>
    <t>tools/vm-tests-tf/src/dot/junit/opcodes/float_to_int/Test_float_to_int.java</t>
  </si>
  <si>
    <t>tools/vm-tests-tf/src/dot/junit/opcodes/float_to_long/Test_float_to_long.java</t>
  </si>
  <si>
    <t>tools/vm-tests-tf/src/dot/junit/opcodes/if_eq/Test_if_eq.java</t>
  </si>
  <si>
    <t>tools/vm-tests-tf/src/dot/junit/opcodes/if_eqz/Test_if_eqz.java</t>
  </si>
  <si>
    <t>tools/vm-tests-tf/src/dot/junit/opcodes/if_ge/Test_if_ge.java</t>
  </si>
  <si>
    <t>tools/vm-tests-tf/src/dot/junit/opcodes/if_gez/Test_if_gez.java</t>
  </si>
  <si>
    <t>tools/vm-tests-tf/src/dot/junit/opcodes/if_gt/Test_if_gt.java</t>
  </si>
  <si>
    <t>tools/vm-tests-tf/src/dot/junit/opcodes/if_gtz/Test_if_gtz.java</t>
  </si>
  <si>
    <t>tools/vm-tests-tf/src/dot/junit/opcodes/if_le/Test_if_le.java</t>
  </si>
  <si>
    <t>tools/vm-tests-tf/src/dot/junit/opcodes/if_lez/Test_if_lez.java</t>
  </si>
  <si>
    <t>tools/vm-tests-tf/src/dot/junit/opcodes/if_lt/Test_if_lt.java</t>
  </si>
  <si>
    <t>tools/vm-tests-tf/src/dot/junit/opcodes/if_ltz/Test_if_ltz.java</t>
  </si>
  <si>
    <t>tools/vm-tests-tf/src/dot/junit/opcodes/if_ne/Test_if_ne.java</t>
  </si>
  <si>
    <t>tools/vm-tests-tf/src/dot/junit/opcodes/if_nez/Test_if_nez.java</t>
  </si>
  <si>
    <t>tools/vm-tests-tf/src/dot/junit/opcodes/int_to_byte/Test_int_to_byte.java</t>
  </si>
  <si>
    <t>tools/vm-tests-tf/src/dot/junit/opcodes/int_to_char/Test_int_to_char.java</t>
  </si>
  <si>
    <t>tools/vm-tests-tf/src/dot/junit/opcodes/int_to_double/Test_int_to_double.java</t>
  </si>
  <si>
    <t>tools/vm-tests-tf/src/dot/junit/opcodes/int_to_float/Test_int_to_float.java</t>
  </si>
  <si>
    <t>tools/vm-tests-tf/src/dot/junit/opcodes/int_to_long/Test_int_to_long.java</t>
  </si>
  <si>
    <t>tools/vm-tests-tf/src/dot/junit/opcodes/int_to_short/Test_int_to_short.java</t>
  </si>
  <si>
    <t>tools/vm-tests-tf/src/dot/junit/opcodes/iput/Test_iput.java</t>
  </si>
  <si>
    <t>tools/vm-tests-tf/src/dot/junit/opcodes/long_to_double/Test_long_to_double.java</t>
  </si>
  <si>
    <t>tools/vm-tests-tf/src/dot/junit/opcodes/long_to_float/Test_long_to_float.java</t>
  </si>
  <si>
    <t>tools/vm-tests-tf/src/dot/junit/opcodes/long_to_int/Test_long_to_int.java</t>
  </si>
  <si>
    <t>tools/vm-tests-tf/src/dot/junit/opcodes/mul_double/Test_mul_double.java</t>
  </si>
  <si>
    <t>tools/vm-tests-tf/src/dot/junit/opcodes/mul_double_2addr/Test_mul_double_2addr.java</t>
  </si>
  <si>
    <t>tools/vm-tests-tf/src/dot/junit/opcodes/mul_float/Test_mul_float.java</t>
  </si>
  <si>
    <t>tools/vm-tests-tf/src/dot/junit/opcodes/mul_float_2addr/Test_mul_float_2addr.java</t>
  </si>
  <si>
    <t>tools/vm-tests-tf/src/dot/junit/opcodes/mul_int/Test_mul_int.java</t>
  </si>
  <si>
    <t>tools/vm-tests-tf/src/dot/junit/opcodes/mul_int_2addr/Test_mul_int_2addr.java</t>
  </si>
  <si>
    <t>tools/vm-tests-tf/src/dot/junit/opcodes/mul_int_lit16/Test_mul_int_lit16.java</t>
  </si>
  <si>
    <t>tools/vm-tests-tf/src/dot/junit/opcodes/mul_int_lit8/Test_mul_int_lit8.java</t>
  </si>
  <si>
    <t>tools/vm-tests-tf/src/dot/junit/opcodes/mul_long/Test_mul_long.java</t>
  </si>
  <si>
    <t>tools/vm-tests-tf/src/dot/junit/opcodes/mul_long_2addr/Test_mul_long_2addr.java</t>
  </si>
  <si>
    <t>tools/vm-tests-tf/src/dot/junit/opcodes/neg_double/Test_neg_double.java</t>
  </si>
  <si>
    <t>tools/vm-tests-tf/src/dot/junit/opcodes/neg_float/Test_neg_float.java</t>
  </si>
  <si>
    <t>tools/vm-tests-tf/src/dot/junit/opcodes/neg_int/Test_neg_int.java</t>
  </si>
  <si>
    <t>tools/vm-tests-tf/src/dot/junit/opcodes/neg_long/Test_neg_long.java</t>
  </si>
  <si>
    <t>tools/vm-tests-tf/src/dot/junit/opcodes/not_int/Test_not_int.java</t>
  </si>
  <si>
    <t>tools/vm-tests-tf/src/dot/junit/opcodes/not_long/Test_not_long.java</t>
  </si>
  <si>
    <t>tools/vm-tests-tf/src/dot/junit/opcodes/or_int/Test_or_int.java</t>
  </si>
  <si>
    <t>tools/vm-tests-tf/src/dot/junit/opcodes/or_int_2addr/Test_or_int_2addr.java</t>
  </si>
  <si>
    <t>tools/vm-tests-tf/src/dot/junit/opcodes/or_int_lit16/Test_or_int_lit16.java</t>
  </si>
  <si>
    <t>tools/vm-tests-tf/src/dot/junit/opcodes/or_int_lit8/Test_or_int_lit8.java</t>
  </si>
  <si>
    <t>tools/vm-tests-tf/src/dot/junit/opcodes/or_long/Test_or_long.java</t>
  </si>
  <si>
    <t>tools/vm-tests-tf/src/dot/junit/opcodes/or_long_2addr/Test_or_long_2addr.java</t>
  </si>
  <si>
    <t>tools/vm-tests-tf/src/dot/junit/opcodes/packed_switch/Test_packed_switch.java</t>
  </si>
  <si>
    <t>tools/vm-tests-tf/src/dot/junit/opcodes/rem_double/Test_rem_double.java</t>
  </si>
  <si>
    <t>tools/vm-tests-tf/src/dot/junit/opcodes/rem_double_2addr/Test_rem_double_2addr.java</t>
  </si>
  <si>
    <t>tools/vm-tests-tf/src/dot/junit/opcodes/rem_float/Test_rem_float.java</t>
  </si>
  <si>
    <t>tools/vm-tests-tf/src/dot/junit/opcodes/rem_float_2addr/Test_rem_float_2addr.java</t>
  </si>
  <si>
    <t>tools/vm-tests-tf/src/dot/junit/opcodes/rem_int/Test_rem_int.java</t>
  </si>
  <si>
    <t>tools/vm-tests-tf/src/dot/junit/opcodes/rem_int_2addr/Test_rem_int_2addr.java</t>
  </si>
  <si>
    <t>tools/vm-tests-tf/src/dot/junit/opcodes/rem_int_lit16/Test_rem_int_lit16.java</t>
  </si>
  <si>
    <t>tools/vm-tests-tf/src/dot/junit/opcodes/rem_int_lit8/Test_rem_int_lit8.java</t>
  </si>
  <si>
    <t>tools/vm-tests-tf/src/dot/junit/opcodes/rem_long/Test_rem_long.java</t>
  </si>
  <si>
    <t>tools/vm-tests-tf/src/dot/junit/opcodes/rem_long_2addr/Test_rem_long_2addr.java</t>
  </si>
  <si>
    <t>tools/vm-tests-tf/src/dot/junit/opcodes/rsub_int/Test_rsub_int.java</t>
  </si>
  <si>
    <t>tools/vm-tests-tf/src/dot/junit/opcodes/rsub_int_lit8/Test_rsub_int_lit8.java</t>
  </si>
  <si>
    <t>tools/vm-tests-tf/src/dot/junit/opcodes/shl_int/Test_shl_int.java</t>
  </si>
  <si>
    <t>tools/vm-tests-tf/src/dot/junit/opcodes/shl_int_2addr/Test_shl_int_2addr.java</t>
  </si>
  <si>
    <t>tools/vm-tests-tf/src/dot/junit/opcodes/shl_int_lit8/Test_shl_int_lit8.java</t>
  </si>
  <si>
    <t>tools/vm-tests-tf/src/dot/junit/opcodes/shl_long/Test_shl_long.java</t>
  </si>
  <si>
    <t>tools/vm-tests-tf/src/dot/junit/opcodes/shl_long_2addr/Test_shl_long_2addr.java</t>
  </si>
  <si>
    <t>tools/vm-tests-tf/src/dot/junit/opcodes/shr_int/Test_shr_int.java</t>
  </si>
  <si>
    <t>tools/vm-tests-tf/src/dot/junit/opcodes/shr_int_2addr/Test_shr_int_2addr.java</t>
  </si>
  <si>
    <t>tools/vm-tests-tf/src/dot/junit/opcodes/shr_int_lit8/Test_shr_int_lit8.java</t>
  </si>
  <si>
    <t>tools/vm-tests-tf/src/dot/junit/opcodes/shr_long/Test_shr_long.java</t>
  </si>
  <si>
    <t>tools/vm-tests-tf/src/dot/junit/opcodes/shr_long_2addr/Test_shr_long_2addr.java</t>
  </si>
  <si>
    <t>tools/vm-tests-tf/src/dot/junit/opcodes/sparse_switch/Test_sparse_switch.java</t>
  </si>
  <si>
    <t>tools/vm-tests-tf/src/dot/junit/opcodes/sput/Test_sput.java</t>
  </si>
  <si>
    <t>tools/vm-tests-tf/src/dot/junit/opcodes/sub_double/Test_sub_double.java</t>
  </si>
  <si>
    <t>tools/vm-tests-tf/src/dot/junit/opcodes/sub_double_2addr/Test_sub_double_2addr.java</t>
  </si>
  <si>
    <t>tools/vm-tests-tf/src/dot/junit/opcodes/sub_float/Test_sub_float.java</t>
  </si>
  <si>
    <t>tools/vm-tests-tf/src/dot/junit/opcodes/sub_float_2addr/Test_sub_float_2addr.java</t>
  </si>
  <si>
    <t>tools/vm-tests-tf/src/dot/junit/opcodes/sub_int/Test_sub_int.java</t>
  </si>
  <si>
    <t>tools/vm-tests-tf/src/dot/junit/opcodes/sub_int_2addr/Test_sub_int_2addr.java</t>
  </si>
  <si>
    <t>tools/vm-tests-tf/src/dot/junit/opcodes/sub_long/Test_sub_long.java</t>
  </si>
  <si>
    <t>tools/vm-tests-tf/src/dot/junit/opcodes/sub_long_2addr/Test_sub_long_2addr.java</t>
  </si>
  <si>
    <t>tools/vm-tests-tf/src/dot/junit/opcodes/ushr_int/Test_ushr_int.java</t>
  </si>
  <si>
    <t>tools/vm-tests-tf/src/dot/junit/opcodes/ushr_int_2addr/Test_ushr_int_2addr.java</t>
  </si>
  <si>
    <t>tools/vm-tests-tf/src/dot/junit/opcodes/ushr_int_lit8/Test_ushr_int_lit8.java</t>
  </si>
  <si>
    <t>tools/vm-tests-tf/src/dot/junit/opcodes/ushr_long/Test_ushr_long.java</t>
  </si>
  <si>
    <t>tools/vm-tests-tf/src/dot/junit/opcodes/ushr_long_2addr/Test_ushr_long_2addr.java</t>
  </si>
  <si>
    <t>tools/vm-tests-tf/src/dot/junit/opcodes/xor_int/Test_xor_int.java</t>
  </si>
  <si>
    <t>tools/vm-tests-tf/src/dot/junit/opcodes/xor_int_2addr/Test_xor_int_2addr.java</t>
  </si>
  <si>
    <t>tools/vm-tests-tf/src/dot/junit/opcodes/xor_int_lit16/Test_xor_int_lit16.java</t>
  </si>
  <si>
    <t>tools/vm-tests-tf/src/dot/junit/opcodes/xor_int_lit8/Test_xor_int_lit8.java</t>
  </si>
  <si>
    <t>tools/vm-tests-tf/src/dot/junit/opcodes/xor_long/Test_xor_long.java</t>
  </si>
  <si>
    <t>tools/vm-tests-tf/src/dot/junit/opcodes/xor_long_2addr/Test_xor_long_2addr.java</t>
  </si>
  <si>
    <t>tests/tests/content/src/android/content/cts/AvailableIntentsTest.java</t>
  </si>
  <si>
    <t>tests/tests/database/src/android/database/cts/AbstractCursorTest.java</t>
  </si>
  <si>
    <t>tests/tests/performance/src/android/performance/cts/MultiAppStartupTest.java</t>
  </si>
  <si>
    <t>tools/host/test/com/android/cts/CommandParserTest.java</t>
  </si>
  <si>
    <t>tools/host/test/com/android/cts/TestPlanBuilderTests.java</t>
  </si>
  <si>
    <t>tools/host/test/com/android/cts/TestSessionBuilderTests.java</t>
  </si>
  <si>
    <t>tools/host/test/com/android/cts/TestSessionLogBuilderTests.java</t>
  </si>
  <si>
    <t>tools/dx-tests/src/dxc/junit/argsreturns/pargsreturn/Test_pargsreturn.java</t>
  </si>
  <si>
    <t>tools/dx-tests/src/dxc/junit/opcodes/aaload/Test_aaload.java</t>
  </si>
  <si>
    <t>tools/dx-tests/src/dxc/junit/opcodes/aastore/Test_aastore.java</t>
  </si>
  <si>
    <t>tools/dx-tests/src/dxc/junit/opcodes/aconst_null/Test_aconst_null.java</t>
  </si>
  <si>
    <t>tools/dx-tests/src/dxc/junit/opcodes/aload/Test_aload.java</t>
  </si>
  <si>
    <t>tools/dx-tests/src/dxc/junit/opcodes/aload_0/Test_aload_0.java</t>
  </si>
  <si>
    <t>tools/dx-tests/src/dxc/junit/opcodes/aload_1/Test_aload_1.java</t>
  </si>
  <si>
    <t>tools/dx-tests/src/dxc/junit/opcodes/aload_2/Test_aload_2.java</t>
  </si>
  <si>
    <t>tools/dx-tests/src/dxc/junit/opcodes/aload_3/Test_aload_3.java</t>
  </si>
  <si>
    <t>tools/dx-tests/src/dxc/junit/opcodes/anewarray/Test_anewarray.java</t>
  </si>
  <si>
    <t>tools/dx-tests/src/dxc/junit/opcodes/areturn/Test_areturn.java</t>
  </si>
  <si>
    <t>tools/dx-tests/src/dxc/junit/opcodes/arraylength/Test_arraylength.java</t>
  </si>
  <si>
    <t>tools/dx-tests/src/dxc/junit/opcodes/astore/Test_astore.java</t>
  </si>
  <si>
    <t>tools/dx-tests/src/dxc/junit/opcodes/astore_0/Test_astore_0.java</t>
  </si>
  <si>
    <t>tools/dx-tests/src/dxc/junit/opcodes/astore_1/Test_astore_1.java</t>
  </si>
  <si>
    <t>tools/dx-tests/src/dxc/junit/opcodes/astore_2/Test_astore_2.java</t>
  </si>
  <si>
    <t>tools/dx-tests/src/dxc/junit/opcodes/astore_3/Test_astore_3.java</t>
  </si>
  <si>
    <t>tools/dx-tests/src/dxc/junit/opcodes/athrow/Test_athrow.java</t>
  </si>
  <si>
    <t>tools/dx-tests/src/dxc/junit/opcodes/baload/Test_baload.java</t>
  </si>
  <si>
    <t>tools/dx-tests/src/dxc/junit/opcodes/bastore/Test_bastore.java</t>
  </si>
  <si>
    <t>tools/dx-tests/src/dxc/junit/opcodes/bipush/Test_bipush.java</t>
  </si>
  <si>
    <t>tools/dx-tests/src/dxc/junit/opcodes/caload/Test_caload.java</t>
  </si>
  <si>
    <t>tools/dx-tests/src/dxc/junit/opcodes/castore/Test_castore.java</t>
  </si>
  <si>
    <t>tools/dx-tests/src/dxc/junit/opcodes/checkcast/Test_checkcast.java</t>
  </si>
  <si>
    <t>tools/dx-tests/src/dxc/junit/opcodes/d2f/Test_d2f.java</t>
  </si>
  <si>
    <t>tools/dx-tests/src/dxc/junit/opcodes/d2i/Test_d2i.java</t>
  </si>
  <si>
    <t>tools/dx-tests/src/dxc/junit/opcodes/d2l/Test_d2l.java</t>
  </si>
  <si>
    <t>tools/dx-tests/src/dxc/junit/opcodes/dadd/Test_dadd.java</t>
  </si>
  <si>
    <t>tools/dx-tests/src/dxc/junit/opcodes/daload/Test_daload.java</t>
  </si>
  <si>
    <t>tools/dx-tests/src/dxc/junit/opcodes/dastore/Test_dastore.java</t>
  </si>
  <si>
    <t>tools/dx-tests/src/dxc/junit/opcodes/dcmpg/Test_dcmpg.java</t>
  </si>
  <si>
    <t>tools/dx-tests/src/dxc/junit/opcodes/dcmpl/Test_dcmpl.java</t>
  </si>
  <si>
    <t>tools/dx-tests/src/dxc/junit/opcodes/dconst_0/Test_dconst_0.java</t>
  </si>
  <si>
    <t>tools/dx-tests/src/dxc/junit/opcodes/dconst_1/Test_dconst_1.java</t>
  </si>
  <si>
    <t>tools/dx-tests/src/dxc/junit/opcodes/ddiv/Test_ddiv.java</t>
  </si>
  <si>
    <t>tools/dx-tests/src/dxc/junit/opcodes/dload/Test_dload.java</t>
  </si>
  <si>
    <t>tools/dx-tests/src/dxc/junit/opcodes/dload_0/Test_dload_0.java</t>
  </si>
  <si>
    <t>tools/dx-tests/src/dxc/junit/opcodes/dload_1/Test_dload_1.java</t>
  </si>
  <si>
    <t>tools/dx-tests/src/dxc/junit/opcodes/dload_2/Test_dload_2.java</t>
  </si>
  <si>
    <t>tools/dx-tests/src/dxc/junit/opcodes/dload_3/Test_dload_3.java</t>
  </si>
  <si>
    <t>tools/dx-tests/src/dxc/junit/opcodes/dmul/Test_dmul.java</t>
  </si>
  <si>
    <t>tools/dx-tests/src/dxc/junit/opcodes/dneg/Test_dneg.java</t>
  </si>
  <si>
    <t>tools/dx-tests/src/dxc/junit/opcodes/drem/Test_drem.java</t>
  </si>
  <si>
    <t>tools/dx-tests/src/dxc/junit/opcodes/dreturn/Test_dreturn.java</t>
  </si>
  <si>
    <t>tools/dx-tests/src/dxc/junit/opcodes/dstore/Test_dstore.java</t>
  </si>
  <si>
    <t>tools/dx-tests/src/dxc/junit/opcodes/dstore_0/Test_dstore_0.java</t>
  </si>
  <si>
    <t>tools/dx-tests/src/dxc/junit/opcodes/dstore_1/Test_dstore_1.java</t>
  </si>
  <si>
    <t>tools/dx-tests/src/dxc/junit/opcodes/dstore_2/Test_dstore_2.java</t>
  </si>
  <si>
    <t>tools/dx-tests/src/dxc/junit/opcodes/dstore_3/Test_dstore_3.java</t>
  </si>
  <si>
    <t>tools/dx-tests/src/dxc/junit/opcodes/dsub/Test_dsub.java</t>
  </si>
  <si>
    <t>tools/dx-tests/src/dxc/junit/opcodes/dup/Test_dup.java</t>
  </si>
  <si>
    <t>tools/dx-tests/src/dxc/junit/opcodes/dup2/Test_dup2.java</t>
  </si>
  <si>
    <t>tools/dx-tests/src/dxc/junit/opcodes/dup2_x1/Test_dup2_x1.java</t>
  </si>
  <si>
    <t>tools/dx-tests/src/dxc/junit/opcodes/dup2_x2/Test_dup2_x2.java</t>
  </si>
  <si>
    <t>tools/dx-tests/src/dxc/junit/opcodes/dup_x1/Test_dup_x1.java</t>
  </si>
  <si>
    <t>tools/dx-tests/src/dxc/junit/opcodes/dup_x2/Test_dup_x2.java</t>
  </si>
  <si>
    <t>tools/dx-tests/src/dxc/junit/opcodes/f2d/Test_f2d.java</t>
  </si>
  <si>
    <t>tools/dx-tests/src/dxc/junit/opcodes/f2i/Test_f2i.java</t>
  </si>
  <si>
    <t>tools/dx-tests/src/dxc/junit/opcodes/f2l/Test_f2l.java</t>
  </si>
  <si>
    <t>tools/dx-tests/src/dxc/junit/opcodes/fadd/Test_fadd.java</t>
  </si>
  <si>
    <t>tools/dx-tests/src/dxc/junit/opcodes/faload/Test_faload.java</t>
  </si>
  <si>
    <t>tools/dx-tests/src/dxc/junit/opcodes/fastore/Test_fastore.java</t>
  </si>
  <si>
    <t>tools/dx-tests/src/dxc/junit/opcodes/fcmpg/Test_fcmpg.java</t>
  </si>
  <si>
    <t>tools/dx-tests/src/dxc/junit/opcodes/fcmpl/Test_fcmpl.java</t>
  </si>
  <si>
    <t>tools/dx-tests/src/dxc/junit/opcodes/fconst_0/Test_fconst_0.java</t>
  </si>
  <si>
    <t>tools/dx-tests/src/dxc/junit/opcodes/fconst_1/Test_fconst_1.java</t>
  </si>
  <si>
    <t>tools/dx-tests/src/dxc/junit/opcodes/fconst_2/Test_fconst_2.java</t>
  </si>
  <si>
    <t>tools/dx-tests/src/dxc/junit/opcodes/fdiv/Test_fdiv.java</t>
  </si>
  <si>
    <t>tools/dx-tests/src/dxc/junit/opcodes/fload/Test_fload.java</t>
  </si>
  <si>
    <t>tools/dx-tests/src/dxc/junit/opcodes/fload_0/Test_fload_0.java</t>
  </si>
  <si>
    <t>tools/dx-tests/src/dxc/junit/opcodes/fload_1/Test_fload_1.java</t>
  </si>
  <si>
    <t>tools/dx-tests/src/dxc/junit/opcodes/fload_2/Test_fload_2.java</t>
  </si>
  <si>
    <t>tools/dx-tests/src/dxc/junit/opcodes/fload_3/Test_fload_3.java</t>
  </si>
  <si>
    <t>tools/dx-tests/src/dxc/junit/opcodes/fmul/Test_fmul.java</t>
  </si>
  <si>
    <t>tools/dx-tests/src/dxc/junit/opcodes/fneg/Test_fneg.java</t>
  </si>
  <si>
    <t>tools/dx-tests/src/dxc/junit/opcodes/frem/Test_frem.java</t>
  </si>
  <si>
    <t>tools/dx-tests/src/dxc/junit/opcodes/freturn/Test_freturn.java</t>
  </si>
  <si>
    <t>tools/dx-tests/src/dxc/junit/opcodes/fstore/Test_fstore.java</t>
  </si>
  <si>
    <t>tools/dx-tests/src/dxc/junit/opcodes/fstore_0/Test_fstore_0.java</t>
  </si>
  <si>
    <t>tools/dx-tests/src/dxc/junit/opcodes/fstore_1/Test_fstore_1.java</t>
  </si>
  <si>
    <t>tools/dx-tests/src/dxc/junit/opcodes/fstore_2/Test_fstore_2.java</t>
  </si>
  <si>
    <t>tools/dx-tests/src/dxc/junit/opcodes/fstore_3/Test_fstore_3.java</t>
  </si>
  <si>
    <t>tools/dx-tests/src/dxc/junit/opcodes/fsub/Test_fsub.java</t>
  </si>
  <si>
    <t>tools/dx-tests/src/dxc/junit/opcodes/getfield/Test_getfield.java</t>
  </si>
  <si>
    <t>tools/dx-tests/src/dxc/junit/opcodes/getstatic/Test_getstatic.java</t>
  </si>
  <si>
    <t>tools/dx-tests/src/dxc/junit/opcodes/goto_w/Test_goto_w.java</t>
  </si>
  <si>
    <t>tools/dx-tests/src/dxc/junit/opcodes/i2b/Test_i2b.java</t>
  </si>
  <si>
    <t>tools/dx-tests/src/dxc/junit/opcodes/i2c/Test_i2c.java</t>
  </si>
  <si>
    <t>tools/dx-tests/src/dxc/junit/opcodes/i2d/Test_i2d.java</t>
  </si>
  <si>
    <t>tools/dx-tests/src/dxc/junit/opcodes/i2f/Test_i2f.java</t>
  </si>
  <si>
    <t>tools/dx-tests/src/dxc/junit/opcodes/i2l/Test_i2l.java</t>
  </si>
  <si>
    <t>tools/dx-tests/src/dxc/junit/opcodes/i2s/Test_i2s.java</t>
  </si>
  <si>
    <t>tools/dx-tests/src/dxc/junit/opcodes/iadd/Test_iadd.java</t>
  </si>
  <si>
    <t>tools/dx-tests/src/dxc/junit/opcodes/iaload/Test_iaload.java</t>
  </si>
  <si>
    <t>tools/dx-tests/src/dxc/junit/opcodes/iand/Test_iand.java</t>
  </si>
  <si>
    <t>tools/dx-tests/src/dxc/junit/opcodes/iastore/Test_iastore.java</t>
  </si>
  <si>
    <t>tools/dx-tests/src/dxc/junit/opcodes/iconst_0/Test_iconst_0.java</t>
  </si>
  <si>
    <t>tools/dx-tests/src/dxc/junit/opcodes/iconst_1/Test_iconst_1.java</t>
  </si>
  <si>
    <t>tools/dx-tests/src/dxc/junit/opcodes/iconst_2/Test_iconst_2.java</t>
  </si>
  <si>
    <t>tools/dx-tests/src/dxc/junit/opcodes/iconst_3/Test_iconst_3.java</t>
  </si>
  <si>
    <t>tools/dx-tests/src/dxc/junit/opcodes/iconst_4/Test_iconst_4.java</t>
  </si>
  <si>
    <t>tools/dx-tests/src/dxc/junit/opcodes/iconst_5/Test_iconst_5.java</t>
  </si>
  <si>
    <t>tools/dx-tests/src/dxc/junit/opcodes/iconst_m1/Test_iconst_m1.java</t>
  </si>
  <si>
    <t>tools/dx-tests/src/dxc/junit/opcodes/idiv/Test_idiv.java</t>
  </si>
  <si>
    <t>tools/dx-tests/src/dxc/junit/opcodes/if_acmpeq/Test_if_acmpeq.java</t>
  </si>
  <si>
    <t>tools/dx-tests/src/dxc/junit/opcodes/if_acmpne/Test_if_acmpne.java</t>
  </si>
  <si>
    <t>tools/dx-tests/src/dxc/junit/opcodes/if_icmpeq/Test_if_icmpeq.java</t>
  </si>
  <si>
    <t>tools/dx-tests/src/dxc/junit/opcodes/if_icmpge/Test_if_icmpge.java</t>
  </si>
  <si>
    <t>tools/dx-tests/src/dxc/junit/opcodes/if_icmpgt/Test_if_icmpgt.java</t>
  </si>
  <si>
    <t>tools/dx-tests/src/dxc/junit/opcodes/if_icmple/Test_if_icmple.java</t>
  </si>
  <si>
    <t>tools/dx-tests/src/dxc/junit/opcodes/if_icmplt/Test_if_icmplt.java</t>
  </si>
  <si>
    <t>tools/dx-tests/src/dxc/junit/opcodes/if_icmpne/Test_if_icmpne.java</t>
  </si>
  <si>
    <t>tools/dx-tests/src/dxc/junit/opcodes/ifeq/Test_ifeq.java</t>
  </si>
  <si>
    <t>tools/dx-tests/src/dxc/junit/opcodes/ifge/Test_ifge.java</t>
  </si>
  <si>
    <t>tools/dx-tests/src/dxc/junit/opcodes/ifgt/Test_ifgt.java</t>
  </si>
  <si>
    <t>tools/dx-tests/src/dxc/junit/opcodes/ifle/Test_ifle.java</t>
  </si>
  <si>
    <t>tools/dx-tests/src/dxc/junit/opcodes/iflt/Test_iflt.java</t>
  </si>
  <si>
    <t>tools/dx-tests/src/dxc/junit/opcodes/ifne/Test_ifne.java</t>
  </si>
  <si>
    <t>tools/dx-tests/src/dxc/junit/opcodes/ifnonnull/Test_ifnonnull.java</t>
  </si>
  <si>
    <t>tools/dx-tests/src/dxc/junit/opcodes/ifnull/Test_ifnull.java</t>
  </si>
  <si>
    <t>tools/dx-tests/src/dxc/junit/opcodes/iinc/Test_iinc.java</t>
  </si>
  <si>
    <t>tools/dx-tests/src/dxc/junit/opcodes/iload/Test_iload.java</t>
  </si>
  <si>
    <t>tools/dx-tests/src/dxc/junit/opcodes/iload_0/Test_iload_0.java</t>
  </si>
  <si>
    <t>tools/dx-tests/src/dxc/junit/opcodes/iload_1/Test_iload_1.java</t>
  </si>
  <si>
    <t>tools/dx-tests/src/dxc/junit/opcodes/iload_2/Test_iload_2.java</t>
  </si>
  <si>
    <t>tools/dx-tests/src/dxc/junit/opcodes/iload_3/Test_iload_3.java</t>
  </si>
  <si>
    <t>tools/dx-tests/src/dxc/junit/opcodes/imul/Test_imul.java</t>
  </si>
  <si>
    <t>tools/dx-tests/src/dxc/junit/opcodes/ineg/Test_ineg.java</t>
  </si>
  <si>
    <t>tools/dx-tests/src/dxc/junit/opcodes/invokeinterface/Test_invokeinterface.java</t>
  </si>
  <si>
    <t>tools/dx-tests/src/dxc/junit/opcodes/invokespecial/Test_invokespecial.java</t>
  </si>
  <si>
    <t>tools/dx-tests/src/dxc/junit/opcodes/invokestatic/Test_invokestatic.java</t>
  </si>
  <si>
    <t>tools/dx-tests/src/dxc/junit/opcodes/invokevirtual/Test_invokevirtual.java</t>
  </si>
  <si>
    <t>tools/dx-tests/src/dxc/junit/opcodes/ior/Test_ior.java</t>
  </si>
  <si>
    <t>tools/dx-tests/src/dxc/junit/opcodes/irem/Test_irem.java</t>
  </si>
  <si>
    <t>tools/dx-tests/src/dxc/junit/opcodes/ireturn/Test_ireturn.java</t>
  </si>
  <si>
    <t>tools/dx-tests/src/dxc/junit/opcodes/ishl/Test_ishl.java</t>
  </si>
  <si>
    <t>tools/dx-tests/src/dxc/junit/opcodes/ishr/Test_ishr.java</t>
  </si>
  <si>
    <t>tools/dx-tests/src/dxc/junit/opcodes/istore/Test_istore.java</t>
  </si>
  <si>
    <t>tools/dx-tests/src/dxc/junit/opcodes/istore_0/Test_istore_0.java</t>
  </si>
  <si>
    <t>tools/dx-tests/src/dxc/junit/opcodes/istore_1/Test_istore_1.java</t>
  </si>
  <si>
    <t>tools/dx-tests/src/dxc/junit/opcodes/istore_2/Test_istore_2.java</t>
  </si>
  <si>
    <t>tools/dx-tests/src/dxc/junit/opcodes/istore_3/Test_istore_3.java</t>
  </si>
  <si>
    <t>tools/dx-tests/src/dxc/junit/opcodes/isub/Test_isub.java</t>
  </si>
  <si>
    <t>tools/dx-tests/src/dxc/junit/opcodes/iushr/Test_iushr.java</t>
  </si>
  <si>
    <t>tools/dx-tests/src/dxc/junit/opcodes/ixor/Test_ixor.java</t>
  </si>
  <si>
    <t>tools/dx-tests/src/dxc/junit/opcodes/jsr/Test_jsr.java</t>
  </si>
  <si>
    <t>tools/dx-tests/src/dxc/junit/opcodes/jsr_w/Test_jsr_w.java</t>
  </si>
  <si>
    <t>tools/dx-tests/src/dxc/junit/opcodes/l2d/Test_l2d.java</t>
  </si>
  <si>
    <t>tools/dx-tests/src/dxc/junit/opcodes/l2f/Test_l2f.java</t>
  </si>
  <si>
    <t>tools/dx-tests/src/dxc/junit/opcodes/l2i/Test_l2i.java</t>
  </si>
  <si>
    <t>tools/dx-tests/src/dxc/junit/opcodes/ladd/Test_ladd.java</t>
  </si>
  <si>
    <t>tools/dx-tests/src/dxc/junit/opcodes/laload/Test_laload.java</t>
  </si>
  <si>
    <t>tools/dx-tests/src/dxc/junit/opcodes/land/Test_land.java</t>
  </si>
  <si>
    <t>tools/dx-tests/src/dxc/junit/opcodes/lastore/Test_lastore.java</t>
  </si>
  <si>
    <t>tools/dx-tests/src/dxc/junit/opcodes/lcmp/Test_lcmp.java</t>
  </si>
  <si>
    <t>tools/dx-tests/src/dxc/junit/opcodes/lconst_0/Test_lconst_0.java</t>
  </si>
  <si>
    <t>tools/dx-tests/src/dxc/junit/opcodes/lconst_1/Test_lconst_1.java</t>
  </si>
  <si>
    <t>tools/dx-tests/src/dxc/junit/opcodes/ldc/Test_ldc.java</t>
  </si>
  <si>
    <t>tools/dx-tests/src/dxc/junit/opcodes/ldc2_w/Test_ldc2_w.java</t>
  </si>
  <si>
    <t>tools/dx-tests/src/dxc/junit/opcodes/ldc_w/Test_ldc_w.java</t>
  </si>
  <si>
    <t>tools/dx-tests/src/dxc/junit/opcodes/ldiv/Test_ldiv.java</t>
  </si>
  <si>
    <t>tools/dx-tests/src/dxc/junit/opcodes/lload/Test_lload.java</t>
  </si>
  <si>
    <t>tools/dx-tests/src/dxc/junit/opcodes/lload_0/Test_lload_0.java</t>
  </si>
  <si>
    <t>tools/dx-tests/src/dxc/junit/opcodes/lload_1/Test_lload_1.java</t>
  </si>
  <si>
    <t>tools/dx-tests/src/dxc/junit/opcodes/lload_2/Test_lload_2.java</t>
  </si>
  <si>
    <t>tools/dx-tests/src/dxc/junit/opcodes/lload_3/Test_lload_3.java</t>
  </si>
  <si>
    <t>tools/dx-tests/src/dxc/junit/opcodes/lmul/Test_lmul.java</t>
  </si>
  <si>
    <t>tools/dx-tests/src/dxc/junit/opcodes/lneg/Test_lneg.java</t>
  </si>
  <si>
    <t>tools/dx-tests/src/dxc/junit/opcodes/lookupswitch/Test_lookupswitch.java</t>
  </si>
  <si>
    <t>tools/dx-tests/src/dxc/junit/opcodes/lor/Test_lor.java</t>
  </si>
  <si>
    <t>tools/dx-tests/src/dxc/junit/opcodes/lrem/Test_lrem.java</t>
  </si>
  <si>
    <t>tools/dx-tests/src/dxc/junit/opcodes/lreturn/Test_lreturn.java</t>
  </si>
  <si>
    <t>tools/dx-tests/src/dxc/junit/opcodes/lshl/Test_lshl.java</t>
  </si>
  <si>
    <t>tools/dx-tests/src/dxc/junit/opcodes/lshr/Test_lshr.java</t>
  </si>
  <si>
    <t>tools/dx-tests/src/dxc/junit/opcodes/lstore/Test_lstore.java</t>
  </si>
  <si>
    <t>tools/dx-tests/src/dxc/junit/opcodes/lstore_0/Test_lstore_0.java</t>
  </si>
  <si>
    <t>tools/dx-tests/src/dxc/junit/opcodes/lstore_1/Test_lstore_1.java</t>
  </si>
  <si>
    <t>tools/dx-tests/src/dxc/junit/opcodes/lstore_2/Test_lstore_2.java</t>
  </si>
  <si>
    <t>tools/dx-tests/src/dxc/junit/opcodes/lstore_3/Test_lstore_3.java</t>
  </si>
  <si>
    <t>tools/dx-tests/src/dxc/junit/opcodes/lsub/Test_lsub.java</t>
  </si>
  <si>
    <t>tools/dx-tests/src/dxc/junit/opcodes/lushr/Test_lushr.java</t>
  </si>
  <si>
    <t>tools/dx-tests/src/dxc/junit/opcodes/lxor/Test_lxor.java</t>
  </si>
  <si>
    <t>tools/dx-tests/src/dxc/junit/opcodes/monitorenter/Test_monitorenter.java</t>
  </si>
  <si>
    <t>tools/dx-tests/src/dxc/junit/opcodes/monitorexit/Test_monitorexit.java</t>
  </si>
  <si>
    <t>tools/dx-tests/src/dxc/junit/opcodes/multianewarray/Test_multianewarray.java</t>
  </si>
  <si>
    <t>tools/dx-tests/src/dxc/junit/opcodes/newarray/Test_newarray.java</t>
  </si>
  <si>
    <t>tools/dx-tests/src/dxc/junit/opcodes/nop/Test_nop.java</t>
  </si>
  <si>
    <t>tools/dx-tests/src/dxc/junit/opcodes/opc_goto/Test_opc_goto.java</t>
  </si>
  <si>
    <t>tools/dx-tests/src/dxc/junit/opcodes/opc_instanceof/Test_opc_instanceof.java</t>
  </si>
  <si>
    <t>tools/dx-tests/src/dxc/junit/opcodes/opc_new/Test_opc_new.java</t>
  </si>
  <si>
    <t>tools/dx-tests/src/dxc/junit/opcodes/opc_return/Test_opc_return.java</t>
  </si>
  <si>
    <t>tools/dx-tests/src/dxc/junit/opcodes/pop/Test_pop.java</t>
  </si>
  <si>
    <t>tools/dx-tests/src/dxc/junit/opcodes/pop2/Test_pop2.java</t>
  </si>
  <si>
    <t>tools/dx-tests/src/dxc/junit/opcodes/putfield/Test_putfield.java</t>
  </si>
  <si>
    <t>tools/dx-tests/src/dxc/junit/opcodes/putstatic/Test_putstatic.java</t>
  </si>
  <si>
    <t>tools/dx-tests/src/dxc/junit/opcodes/ret/Test_ret.java</t>
  </si>
  <si>
    <t>tools/dx-tests/src/dxc/junit/opcodes/saload/Test_saload.java</t>
  </si>
  <si>
    <t>tools/dx-tests/src/dxc/junit/opcodes/sastore/Test_sastore.java</t>
  </si>
  <si>
    <t>tools/dx-tests/src/dxc/junit/opcodes/sipush/Test_sipush.java</t>
  </si>
  <si>
    <t>tools/dx-tests/src/dxc/junit/opcodes/swap/Test_swap.java</t>
  </si>
  <si>
    <t>tools/dx-tests/src/dxc/junit/opcodes/tableswitch/Test_tableswitch.java</t>
  </si>
  <si>
    <t>tools/dx-tests/src/dxc/junit/opcodes/wide/Test_wide.java</t>
  </si>
  <si>
    <t>tools/dx-tests/src/dxc/junit/verify/t481_1/Test_t481_1.java</t>
  </si>
  <si>
    <t>tools/dx-tests/src/dxc/junit/verify/t481_2/Test_t481_2.java</t>
  </si>
  <si>
    <t>tools/dx-tests/src/dxc/junit/verify/t481_3/Test_t481_3.java</t>
  </si>
  <si>
    <t>tools/dx-tests/src/dxc/junit/verify/t481_4/Test_t481_4.java</t>
  </si>
  <si>
    <t>tools/dx-tests/src/dxc/junit/verify/t481_6/Test_t481_6.java</t>
  </si>
  <si>
    <t>tools/dx-tests/src/dxc/junit/verify/t482_10/Test_t482_10.java</t>
  </si>
  <si>
    <t>tools/dx-tests/src/dxc/junit/verify/t482_11/Test_t482_11.java</t>
  </si>
  <si>
    <t>tools/dx-tests/src/dxc/junit/verify/t482_14/Test_t482_14.java</t>
  </si>
  <si>
    <t>tools/dx-tests/src/dxc/junit/verify/t482_2/Test_t482_2.java</t>
  </si>
  <si>
    <t>tools/dx-tests/src/dxc/junit/verify/t482_20/Test_t482_20.java</t>
  </si>
  <si>
    <t>tools/dx-tests/src/dxc/junit/verify/t482_3/Test_t482_3.java</t>
  </si>
  <si>
    <t>tools/dx-tests/src/dxc/junit/verify/t482_4/Test_t482_4.java</t>
  </si>
  <si>
    <t>tools/dx-tests/src/dxc/junit/verify/t482_8/Test_t482_8.java</t>
  </si>
  <si>
    <t>tools/dx-tests/src/dxc/junit/verify/t482_9/Test_t482_9.java</t>
  </si>
  <si>
    <t>tests/tests/mediastress/src/android/mediastress/cts/MediaPlayerStressTest.java</t>
  </si>
  <si>
    <t>tests/tests/mediastress/src/android/mediastress/cts/MediaRecorderStressTest.java</t>
  </si>
  <si>
    <t>tests/tests/os/src/android/os/cts/DebugTest.java</t>
  </si>
  <si>
    <t>tools/vm-tests/src/dot/junit/format/f1/Test_f1.java</t>
  </si>
  <si>
    <t>tools/vm-tests/src/dot/junit/opcodes/add_double/Test_add_double.java</t>
  </si>
  <si>
    <t>tools/vm-tests/src/dot/junit/opcodes/add_double_2addr/Test_add_double_2addr.java</t>
  </si>
  <si>
    <t>tools/vm-tests/src/dot/junit/opcodes/add_float/Test_add_float.java</t>
  </si>
  <si>
    <t>tools/vm-tests/src/dot/junit/opcodes/add_float_2addr/Test_add_float_2addr.java</t>
  </si>
  <si>
    <t>tools/vm-tests/src/dot/junit/opcodes/add_int/Test_add_int.java</t>
  </si>
  <si>
    <t>tools/vm-tests/src/dot/junit/opcodes/add_int_2addr/Test_add_int_2addr.java</t>
  </si>
  <si>
    <t>tools/vm-tests/src/dot/junit/opcodes/add_int_lit16/Test_add_int_lit16.java</t>
  </si>
  <si>
    <t>tools/vm-tests/src/dot/junit/opcodes/add_int_lit8/Test_add_int_lit8.java</t>
  </si>
  <si>
    <t>tools/vm-tests/src/dot/junit/opcodes/add_long/Test_add_long.java</t>
  </si>
  <si>
    <t>tools/vm-tests/src/dot/junit/opcodes/add_long_2addr/Test_add_long_2addr.java</t>
  </si>
  <si>
    <t>tools/vm-tests/src/dot/junit/opcodes/aget/Test_aget.java</t>
  </si>
  <si>
    <t>tools/vm-tests/src/dot/junit/opcodes/aget_boolean/Test_aget_boolean.java</t>
  </si>
  <si>
    <t>tools/vm-tests/src/dot/junit/opcodes/aget_byte/Test_aget_byte.java</t>
  </si>
  <si>
    <t>tools/vm-tests/src/dot/junit/opcodes/aget_char/Test_aget_char.java</t>
  </si>
  <si>
    <t>tools/vm-tests/src/dot/junit/opcodes/aget_object/Test_aget_object.java</t>
  </si>
  <si>
    <t>tools/vm-tests/src/dot/junit/opcodes/aget_short/Test_aget_short.java</t>
  </si>
  <si>
    <t>tools/vm-tests/src/dot/junit/opcodes/aget_wide/Test_aget_wide.java</t>
  </si>
  <si>
    <t>tools/vm-tests/src/dot/junit/opcodes/and_int/Test_and_int.java</t>
  </si>
  <si>
    <t>tools/vm-tests/src/dot/junit/opcodes/and_int_2addr/Test_and_int_2addr.java</t>
  </si>
  <si>
    <t>tools/vm-tests/src/dot/junit/opcodes/and_int_lit16/Test_and_int_lit16.java</t>
  </si>
  <si>
    <t>tools/vm-tests/src/dot/junit/opcodes/and_int_lit8/Test_and_int_lit8.java</t>
  </si>
  <si>
    <t>tools/vm-tests/src/dot/junit/opcodes/and_long/Test_and_long.java</t>
  </si>
  <si>
    <t>tools/vm-tests/src/dot/junit/opcodes/and_long_2addr/Test_and_long_2addr.java</t>
  </si>
  <si>
    <t>tools/vm-tests/src/dot/junit/opcodes/aput/Test_aput.java</t>
  </si>
  <si>
    <t>tools/vm-tests/src/dot/junit/opcodes/aput_boolean/Test_aput_boolean.java</t>
  </si>
  <si>
    <t>tools/vm-tests/src/dot/junit/opcodes/aput_byte/Test_aput_byte.java</t>
  </si>
  <si>
    <t>tools/vm-tests/src/dot/junit/opcodes/aput_char/Test_aput_char.java</t>
  </si>
  <si>
    <t>tools/vm-tests/src/dot/junit/opcodes/aput_object/Test_aput_object.java</t>
  </si>
  <si>
    <t>tools/vm-tests/src/dot/junit/opcodes/aput_short/Test_aput_short.java</t>
  </si>
  <si>
    <t>tools/vm-tests/src/dot/junit/opcodes/aput_wide/Test_aput_wide.java</t>
  </si>
  <si>
    <t>tools/vm-tests/src/dot/junit/opcodes/array_length/Test_array_length.java</t>
  </si>
  <si>
    <t>tools/vm-tests/src/dot/junit/opcodes/check_cast/Test_check_cast.java</t>
  </si>
  <si>
    <t>tools/vm-tests/src/dot/junit/opcodes/cmp_long/Test_cmp_long.java</t>
  </si>
  <si>
    <t>tools/vm-tests/src/dot/junit/opcodes/cmpg_double/Test_cmpg_double.java</t>
  </si>
  <si>
    <t>tools/vm-tests/src/dot/junit/opcodes/cmpg_float/Test_cmpg_float.java</t>
  </si>
  <si>
    <t>tools/vm-tests/src/dot/junit/opcodes/cmpl_double/Test_cmpl_double.java</t>
  </si>
  <si>
    <t>tools/vm-tests/src/dot/junit/opcodes/cmpl_float/Test_cmpl_float.java</t>
  </si>
  <si>
    <t>tools/vm-tests/src/dot/junit/opcodes/const_16/Test_const_16.java</t>
  </si>
  <si>
    <t>tools/vm-tests/src/dot/junit/opcodes/const_4/Test_const_4.java</t>
  </si>
  <si>
    <t>tools/vm-tests/src/dot/junit/opcodes/const_class/Test_const_class.java</t>
  </si>
  <si>
    <t>tools/vm-tests/src/dot/junit/opcodes/const_high16/Test_const_high16.java</t>
  </si>
  <si>
    <t>tools/vm-tests/src/dot/junit/opcodes/const_string/Test_const_string.java</t>
  </si>
  <si>
    <t>tools/vm-tests/src/dot/junit/opcodes/const_string_jumbo/Test_const_string_jumbo.java</t>
  </si>
  <si>
    <t>tools/vm-tests/src/dot/junit/opcodes/const_wide/Test_const_wide.java</t>
  </si>
  <si>
    <t>tools/vm-tests/src/dot/junit/opcodes/const_wide_16/Test_const_wide_16.java</t>
  </si>
  <si>
    <t>tools/vm-tests/src/dot/junit/opcodes/const_wide_32/Test_const_wide_32.java</t>
  </si>
  <si>
    <t>tools/vm-tests/src/dot/junit/opcodes/const_wide_high16/Test_const_wide_high16.java</t>
  </si>
  <si>
    <t>tools/vm-tests/src/dot/junit/opcodes/div_double/Test_div_double.java</t>
  </si>
  <si>
    <t>tools/vm-tests/src/dot/junit/opcodes/div_double_2addr/Test_div_double_2addr.java</t>
  </si>
  <si>
    <t>tools/vm-tests/src/dot/junit/opcodes/div_float/Test_div_float.java</t>
  </si>
  <si>
    <t>tools/vm-tests/src/dot/junit/opcodes/div_float_2addr/Test_div_float_2addr.java</t>
  </si>
  <si>
    <t>tools/vm-tests/src/dot/junit/opcodes/div_int/Test_div_int.java</t>
  </si>
  <si>
    <t>tools/vm-tests/src/dot/junit/opcodes/div_int_2addr/Test_div_int_2addr.java</t>
  </si>
  <si>
    <t>tools/vm-tests/src/dot/junit/opcodes/div_int_lit16/Test_div_int_lit16.java</t>
  </si>
  <si>
    <t>tools/vm-tests/src/dot/junit/opcodes/div_int_lit8/Test_div_int_lit8.java</t>
  </si>
  <si>
    <t>tools/vm-tests/src/dot/junit/opcodes/div_long/Test_div_long.java</t>
  </si>
  <si>
    <t>tools/vm-tests/src/dot/junit/opcodes/div_long_2addr/Test_div_long_2addr.java</t>
  </si>
  <si>
    <t>tools/vm-tests/src/dot/junit/opcodes/double_to_float/Test_double_to_float.java</t>
  </si>
  <si>
    <t>tools/vm-tests/src/dot/junit/opcodes/double_to_int/Test_double_to_int.java</t>
  </si>
  <si>
    <t>tools/vm-tests/src/dot/junit/opcodes/double_to_long/Test_double_to_long.java</t>
  </si>
  <si>
    <t>tools/vm-tests/src/dot/junit/opcodes/fill_array_data/Test_fill_array_data.java</t>
  </si>
  <si>
    <t>tools/vm-tests/src/dot/junit/opcodes/filled_new_array/Test_filled_new_array.java</t>
  </si>
  <si>
    <t>tools/vm-tests/src/dot/junit/opcodes/filled_new_array_range/Test_filled_new_array_range.java</t>
  </si>
  <si>
    <t>tools/vm-tests/src/dot/junit/opcodes/float_to_double/Test_float_to_double.java</t>
  </si>
  <si>
    <t>tools/vm-tests/src/dot/junit/opcodes/float_to_int/Test_float_to_int.java</t>
  </si>
  <si>
    <t>tools/vm-tests/src/dot/junit/opcodes/float_to_long/Test_float_to_long.java</t>
  </si>
  <si>
    <t>tools/vm-tests/src/dot/junit/opcodes/goto_16/Test_goto_16.java</t>
  </si>
  <si>
    <t>tools/vm-tests/src/dot/junit/opcodes/goto_32/Test_goto_32.java</t>
  </si>
  <si>
    <t>tools/vm-tests/src/dot/junit/opcodes/if_eq/Test_if_eq.java</t>
  </si>
  <si>
    <t>tools/vm-tests/src/dot/junit/opcodes/if_eqz/Test_if_eqz.java</t>
  </si>
  <si>
    <t>tools/vm-tests/src/dot/junit/opcodes/if_ge/Test_if_ge.java</t>
  </si>
  <si>
    <t>tools/vm-tests/src/dot/junit/opcodes/if_gez/Test_if_gez.java</t>
  </si>
  <si>
    <t>tools/vm-tests/src/dot/junit/opcodes/if_gt/Test_if_gt.java</t>
  </si>
  <si>
    <t>tools/vm-tests/src/dot/junit/opcodes/if_gtz/Test_if_gtz.java</t>
  </si>
  <si>
    <t>tools/vm-tests/src/dot/junit/opcodes/if_le/Test_if_le.java</t>
  </si>
  <si>
    <t>tools/vm-tests/src/dot/junit/opcodes/if_lez/Test_if_lez.java</t>
  </si>
  <si>
    <t>tools/vm-tests/src/dot/junit/opcodes/if_lt/Test_if_lt.java</t>
  </si>
  <si>
    <t>tools/vm-tests/src/dot/junit/opcodes/if_ltz/Test_if_ltz.java</t>
  </si>
  <si>
    <t>tools/vm-tests/src/dot/junit/opcodes/if_ne/Test_if_ne.java</t>
  </si>
  <si>
    <t>tools/vm-tests/src/dot/junit/opcodes/if_nez/Test_if_nez.java</t>
  </si>
  <si>
    <t>tools/vm-tests/src/dot/junit/opcodes/iget/Test_iget.java</t>
  </si>
  <si>
    <t>tools/vm-tests/src/dot/junit/opcodes/iget_boolean/Test_iget_boolean.java</t>
  </si>
  <si>
    <t>tools/vm-tests/src/dot/junit/opcodes/iget_byte/Test_iget_byte.java</t>
  </si>
  <si>
    <t>tools/vm-tests/src/dot/junit/opcodes/iget_char/Test_iget_char.java</t>
  </si>
  <si>
    <t>tools/vm-tests/src/dot/junit/opcodes/iget_object/Test_iget_object.java</t>
  </si>
  <si>
    <t>tools/vm-tests/src/dot/junit/opcodes/iget_short/Test_iget_short.java</t>
  </si>
  <si>
    <t>tools/vm-tests/src/dot/junit/opcodes/iget_wide/Test_iget_wide.java</t>
  </si>
  <si>
    <t>tools/vm-tests/src/dot/junit/opcodes/instance_of/Test_instance_of.java</t>
  </si>
  <si>
    <t>tools/vm-tests/src/dot/junit/opcodes/int_to_byte/Test_int_to_byte.java</t>
  </si>
  <si>
    <t>tools/vm-tests/src/dot/junit/opcodes/int_to_char/Test_int_to_char.java</t>
  </si>
  <si>
    <t>tools/vm-tests/src/dot/junit/opcodes/int_to_double/Test_int_to_double.java</t>
  </si>
  <si>
    <t>tools/vm-tests/src/dot/junit/opcodes/int_to_float/Test_int_to_float.java</t>
  </si>
  <si>
    <t>tools/vm-tests/src/dot/junit/opcodes/int_to_long/Test_int_to_long.java</t>
  </si>
  <si>
    <t>tools/vm-tests/src/dot/junit/opcodes/int_to_short/Test_int_to_short.java</t>
  </si>
  <si>
    <t>tools/vm-tests/src/dot/junit/opcodes/invoke_direct/Test_invoke_direct.java</t>
  </si>
  <si>
    <t>tools/vm-tests/src/dot/junit/opcodes/invoke_direct_range/Test_invoke_direct_range.java</t>
  </si>
  <si>
    <t>tools/vm-tests/src/dot/junit/opcodes/invoke_static/Test_invoke_static.java</t>
  </si>
  <si>
    <t>tools/vm-tests/src/dot/junit/opcodes/invoke_static_range/Test_invoke_static_range.java</t>
  </si>
  <si>
    <t>tools/vm-tests/src/dot/junit/opcodes/iput/Test_iput.java</t>
  </si>
  <si>
    <t>tools/vm-tests/src/dot/junit/opcodes/iput_boolean/Test_iput_boolean.java</t>
  </si>
  <si>
    <t>tools/vm-tests/src/dot/junit/opcodes/iput_byte/Test_iput_byte.java</t>
  </si>
  <si>
    <t>tools/vm-tests/src/dot/junit/opcodes/iput_char/Test_iput_char.java</t>
  </si>
  <si>
    <t>tools/vm-tests/src/dot/junit/opcodes/iput_object/Test_iput_object.java</t>
  </si>
  <si>
    <t>tools/vm-tests/src/dot/junit/opcodes/iput_short/Test_iput_short.java</t>
  </si>
  <si>
    <t>tools/vm-tests/src/dot/junit/opcodes/iput_wide/Test_iput_wide.java</t>
  </si>
  <si>
    <t>tools/vm-tests/src/dot/junit/opcodes/long_to_double/Test_long_to_double.java</t>
  </si>
  <si>
    <t>tools/vm-tests/src/dot/junit/opcodes/long_to_float/Test_long_to_float.java</t>
  </si>
  <si>
    <t>tools/vm-tests/src/dot/junit/opcodes/long_to_int/Test_long_to_int.java</t>
  </si>
  <si>
    <t>tools/vm-tests/src/dot/junit/opcodes/monitor_enter/Test_monitor_enter.java</t>
  </si>
  <si>
    <t>tools/vm-tests/src/dot/junit/opcodes/monitor_exit/Test_monitor_exit.java</t>
  </si>
  <si>
    <t>tools/vm-tests/src/dot/junit/opcodes/move/Test_move.java</t>
  </si>
  <si>
    <t>tools/vm-tests/src/dot/junit/opcodes/move_16/Test_move_16.java</t>
  </si>
  <si>
    <t>tools/vm-tests/src/dot/junit/opcodes/move_exception/Test_move_exception.java</t>
  </si>
  <si>
    <t>tools/vm-tests/src/dot/junit/opcodes/move_from16/Test_move_from16.java</t>
  </si>
  <si>
    <t>tools/vm-tests/src/dot/junit/opcodes/move_object/Test_move_object.java</t>
  </si>
  <si>
    <t>tools/vm-tests/src/dot/junit/opcodes/move_object_16/Test_move_object_16.java</t>
  </si>
  <si>
    <t>tools/vm-tests/src/dot/junit/opcodes/move_object_from16/Test_move_object_from16.java</t>
  </si>
  <si>
    <t>tools/vm-tests/src/dot/junit/opcodes/move_result/Test_move_result.java</t>
  </si>
  <si>
    <t>tools/vm-tests/src/dot/junit/opcodes/move_result_object/Test_move_result_object.java</t>
  </si>
  <si>
    <t>tools/vm-tests/src/dot/junit/opcodes/move_result_wide/Test_move_result_wide.java</t>
  </si>
  <si>
    <t>tools/vm-tests/src/dot/junit/opcodes/move_wide/Test_move_wide.java</t>
  </si>
  <si>
    <t>tools/vm-tests/src/dot/junit/opcodes/move_wide_16/Test_move_wide_16.java</t>
  </si>
  <si>
    <t>tools/vm-tests/src/dot/junit/opcodes/move_wide_from16/Test_move_wide_from16.java</t>
  </si>
  <si>
    <t>tools/vm-tests/src/dot/junit/opcodes/mul_double/Test_mul_double.java</t>
  </si>
  <si>
    <t>tools/vm-tests/src/dot/junit/opcodes/mul_double_2addr/Test_mul_double_2addr.java</t>
  </si>
  <si>
    <t>tools/vm-tests/src/dot/junit/opcodes/mul_float/Test_mul_float.java</t>
  </si>
  <si>
    <t>tools/vm-tests/src/dot/junit/opcodes/mul_float_2addr/Test_mul_float_2addr.java</t>
  </si>
  <si>
    <t>tools/vm-tests/src/dot/junit/opcodes/mul_int/Test_mul_int.java</t>
  </si>
  <si>
    <t>tools/vm-tests/src/dot/junit/opcodes/mul_int_2addr/Test_mul_int_2addr.java</t>
  </si>
  <si>
    <t>tools/vm-tests/src/dot/junit/opcodes/mul_int_lit16/Test_mul_int_lit16.java</t>
  </si>
  <si>
    <t>tools/vm-tests/src/dot/junit/opcodes/mul_int_lit8/Test_mul_int_lit8.java</t>
  </si>
  <si>
    <t>tools/vm-tests/src/dot/junit/opcodes/mul_long/Test_mul_long.java</t>
  </si>
  <si>
    <t>tools/vm-tests/src/dot/junit/opcodes/mul_long_2addr/Test_mul_long_2addr.java</t>
  </si>
  <si>
    <t>tools/vm-tests/src/dot/junit/opcodes/neg_double/Test_neg_double.java</t>
  </si>
  <si>
    <t>tools/vm-tests/src/dot/junit/opcodes/neg_float/Test_neg_float.java</t>
  </si>
  <si>
    <t>tools/vm-tests/src/dot/junit/opcodes/neg_int/Test_neg_int.java</t>
  </si>
  <si>
    <t>tools/vm-tests/src/dot/junit/opcodes/neg_long/Test_neg_long.java</t>
  </si>
  <si>
    <t>tools/vm-tests/src/dot/junit/opcodes/new_array/Test_new_array.java</t>
  </si>
  <si>
    <t>tools/vm-tests/src/dot/junit/opcodes/new_instance/Test_new_instance.java</t>
  </si>
  <si>
    <t>tools/vm-tests/src/dot/junit/opcodes/nop/Test_nop.java</t>
  </si>
  <si>
    <t>tools/vm-tests/src/dot/junit/opcodes/not_int/Test_not_int.java</t>
  </si>
  <si>
    <t>tools/vm-tests/src/dot/junit/opcodes/not_long/Test_not_long.java</t>
  </si>
  <si>
    <t>tools/vm-tests/src/dot/junit/opcodes/opc_const/Test_opc_const.java</t>
  </si>
  <si>
    <t>tools/vm-tests/src/dot/junit/opcodes/opc_goto/Test_opc_goto.java</t>
  </si>
  <si>
    <t>tools/vm-tests/src/dot/junit/opcodes/opc_return/Test_opc_return.java</t>
  </si>
  <si>
    <t>tools/vm-tests/src/dot/junit/opcodes/opc_throw/Test_opc_throw.java</t>
  </si>
  <si>
    <t>tools/vm-tests/src/dot/junit/opcodes/or_int/Test_or_int.java</t>
  </si>
  <si>
    <t>tools/vm-tests/src/dot/junit/opcodes/or_int_2addr/Test_or_int_2addr.java</t>
  </si>
  <si>
    <t>tools/vm-tests/src/dot/junit/opcodes/or_int_lit16/Test_or_int_lit16.java</t>
  </si>
  <si>
    <t>tools/vm-tests/src/dot/junit/opcodes/or_int_lit8/Test_or_int_lit8.java</t>
  </si>
  <si>
    <t>tools/vm-tests/src/dot/junit/opcodes/or_long/Test_or_long.java</t>
  </si>
  <si>
    <t>tools/vm-tests/src/dot/junit/opcodes/or_long_2addr/Test_or_long_2addr.java</t>
  </si>
  <si>
    <t>tools/vm-tests/src/dot/junit/opcodes/packed_switch/Test_packed_switch.java</t>
  </si>
  <si>
    <t>tools/vm-tests/src/dot/junit/opcodes/rem_double/Test_rem_double.java</t>
  </si>
  <si>
    <t>tools/vm-tests/src/dot/junit/opcodes/rem_double_2addr/Test_rem_double_2addr.java</t>
  </si>
  <si>
    <t>tools/vm-tests/src/dot/junit/opcodes/rem_float/Test_rem_float.java</t>
  </si>
  <si>
    <t>tools/vm-tests/src/dot/junit/opcodes/rem_float_2addr/Test_rem_float_2addr.java</t>
  </si>
  <si>
    <t>tools/vm-tests/src/dot/junit/opcodes/rem_int/Test_rem_int.java</t>
  </si>
  <si>
    <t>tools/vm-tests/src/dot/junit/opcodes/rem_int_2addr/Test_rem_int_2addr.java</t>
  </si>
  <si>
    <t>tools/vm-tests/src/dot/junit/opcodes/rem_int_lit16/Test_rem_int_lit16.java</t>
  </si>
  <si>
    <t>tools/vm-tests/src/dot/junit/opcodes/rem_int_lit8/Test_rem_int_lit8.java</t>
  </si>
  <si>
    <t>tools/vm-tests/src/dot/junit/opcodes/rem_long/Test_rem_long.java</t>
  </si>
  <si>
    <t>tools/vm-tests/src/dot/junit/opcodes/rem_long_2addr/Test_rem_long_2addr.java</t>
  </si>
  <si>
    <t>tools/vm-tests/src/dot/junit/opcodes/return_object/Test_return_object.java</t>
  </si>
  <si>
    <t>tools/vm-tests/src/dot/junit/opcodes/return_void/Test_return_void.java</t>
  </si>
  <si>
    <t>tools/vm-tests/src/dot/junit/opcodes/return_wide/Test_return_wide.java</t>
  </si>
  <si>
    <t>tools/vm-tests/src/dot/junit/opcodes/rsub_int/Test_rsub_int.java</t>
  </si>
  <si>
    <t>tools/vm-tests/src/dot/junit/opcodes/rsub_int_lit8/Test_rsub_int_lit8.java</t>
  </si>
  <si>
    <t>tools/vm-tests/src/dot/junit/opcodes/sget/Test_sget.java</t>
  </si>
  <si>
    <t>tools/vm-tests/src/dot/junit/opcodes/sget_boolean/Test_sget_boolean.java</t>
  </si>
  <si>
    <t>tools/vm-tests/src/dot/junit/opcodes/sget_byte/Test_sget_byte.java</t>
  </si>
  <si>
    <t>tools/vm-tests/src/dot/junit/opcodes/sget_char/Test_sget_char.java</t>
  </si>
  <si>
    <t>tools/vm-tests/src/dot/junit/opcodes/sget_object/Test_sget_object.java</t>
  </si>
  <si>
    <t>tools/vm-tests/src/dot/junit/opcodes/sget_short/Test_sget_short.java</t>
  </si>
  <si>
    <t>tools/vm-tests/src/dot/junit/opcodes/sget_wide/Test_sget_wide.java</t>
  </si>
  <si>
    <t>tools/vm-tests/src/dot/junit/opcodes/shl_int/Test_shl_int.java</t>
  </si>
  <si>
    <t>tools/vm-tests/src/dot/junit/opcodes/shl_int_2addr/Test_shl_int_2addr.java</t>
  </si>
  <si>
    <t>tools/vm-tests/src/dot/junit/opcodes/shl_int_lit8/Test_shl_int_lit8.java</t>
  </si>
  <si>
    <t>tools/vm-tests/src/dot/junit/opcodes/shl_long/Test_shl_long.java</t>
  </si>
  <si>
    <t>tools/vm-tests/src/dot/junit/opcodes/shl_long_2addr/Test_shl_long_2addr.java</t>
  </si>
  <si>
    <t>tools/vm-tests/src/dot/junit/opcodes/shr_int/Test_shr_int.java</t>
  </si>
  <si>
    <t>tools/vm-tests/src/dot/junit/opcodes/shr_int_2addr/Test_shr_int_2addr.java</t>
  </si>
  <si>
    <t>tools/vm-tests/src/dot/junit/opcodes/shr_int_lit8/Test_shr_int_lit8.java</t>
  </si>
  <si>
    <t>tools/vm-tests/src/dot/junit/opcodes/shr_long/Test_shr_long.java</t>
  </si>
  <si>
    <t>tools/vm-tests/src/dot/junit/opcodes/shr_long_2addr/Test_shr_long_2addr.java</t>
  </si>
  <si>
    <t>tools/vm-tests/src/dot/junit/opcodes/sparse_switch/Test_sparse_switch.java</t>
  </si>
  <si>
    <t>tools/vm-tests/src/dot/junit/opcodes/sput/Test_sput.java</t>
  </si>
  <si>
    <t>tools/vm-tests/src/dot/junit/opcodes/sput_boolean/Test_sput_boolean.java</t>
  </si>
  <si>
    <t>tools/vm-tests/src/dot/junit/opcodes/sput_byte/Test_sput_byte.java</t>
  </si>
  <si>
    <t>tools/vm-tests/src/dot/junit/opcodes/sput_char/Test_sput_char.java</t>
  </si>
  <si>
    <t>tools/vm-tests/src/dot/junit/opcodes/sput_object/Test_sput_object.java</t>
  </si>
  <si>
    <t>tools/vm-tests/src/dot/junit/opcodes/sput_short/Test_sput_short.java</t>
  </si>
  <si>
    <t>tools/vm-tests/src/dot/junit/opcodes/sput_wide/Test_sput_wide.java</t>
  </si>
  <si>
    <t>tools/vm-tests/src/dot/junit/opcodes/sub_double/Test_sub_double.java</t>
  </si>
  <si>
    <t>tools/vm-tests/src/dot/junit/opcodes/sub_double_2addr/Test_sub_double_2addr.java</t>
  </si>
  <si>
    <t>tools/vm-tests/src/dot/junit/opcodes/sub_float/Test_sub_float.java</t>
  </si>
  <si>
    <t>tools/vm-tests/src/dot/junit/opcodes/sub_float_2addr/Test_sub_float_2addr.java</t>
  </si>
  <si>
    <t>tools/vm-tests/src/dot/junit/opcodes/sub_int/Test_sub_int.java</t>
  </si>
  <si>
    <t>tools/vm-tests/src/dot/junit/opcodes/sub_int_2addr/Test_sub_int_2addr.java</t>
  </si>
  <si>
    <t>tools/vm-tests/src/dot/junit/opcodes/sub_long/Test_sub_long.java</t>
  </si>
  <si>
    <t>tools/vm-tests/src/dot/junit/opcodes/sub_long_2addr/Test_sub_long_2addr.java</t>
  </si>
  <si>
    <t>tools/vm-tests/src/dot/junit/opcodes/ushr_int/Test_ushr_int.java</t>
  </si>
  <si>
    <t>tools/vm-tests/src/dot/junit/opcodes/ushr_int_2addr/Test_ushr_int_2addr.java</t>
  </si>
  <si>
    <t>tools/vm-tests/src/dot/junit/opcodes/ushr_int_lit8/Test_ushr_int_lit8.java</t>
  </si>
  <si>
    <t>tools/vm-tests/src/dot/junit/opcodes/ushr_long/Test_ushr_long.java</t>
  </si>
  <si>
    <t>tools/vm-tests/src/dot/junit/opcodes/ushr_long_2addr/Test_ushr_long_2addr.java</t>
  </si>
  <si>
    <t>tools/vm-tests/src/dot/junit/opcodes/xor_int/Test_xor_int.java</t>
  </si>
  <si>
    <t>tools/vm-tests/src/dot/junit/opcodes/xor_int_2addr/Test_xor_int_2addr.java</t>
  </si>
  <si>
    <t>tools/vm-tests/src/dot/junit/opcodes/xor_int_lit16/Test_xor_int_lit16.java</t>
  </si>
  <si>
    <t>tools/vm-tests/src/dot/junit/opcodes/xor_int_lit8/Test_xor_int_lit8.java</t>
  </si>
  <si>
    <t>tools/vm-tests/src/dot/junit/opcodes/xor_long/Test_xor_long.java</t>
  </si>
  <si>
    <t>tools/vm-tests/src/dot/junit/opcodes/xor_long_2addr/Test_xor_long_2addr.java</t>
  </si>
  <si>
    <t>tools/vm-tests/src/dot/junit/verify/a1/Test_a1.java</t>
  </si>
  <si>
    <t>tools/vm-tests/src/dot/junit/verify/a3/Test_a3.java</t>
  </si>
  <si>
    <t>tools/vm-tests/src/dot/junit/verify/a5/Test_a5.java</t>
  </si>
  <si>
    <t>tools/vm-tests/src/dot/junit/verify/b17/Test_b17.java</t>
  </si>
  <si>
    <t>tools/vm-tests/src/dot/junit/verify/b2/Test_b2.java</t>
  </si>
  <si>
    <t>tools/vm-tests/src/dot/junit/verify/b3/Test_b3.java</t>
  </si>
  <si>
    <t>tests/tests/ndef/src/android/ndef/cts/BasicNdefTest.java</t>
  </si>
  <si>
    <t>tests/tests/telephony/src/android/telephony/cts/PhoneNumberFormattingTextWatcherTest.java</t>
  </si>
  <si>
    <t>tests/ApiDemosReferenceTest/src/android/apidemos/cts/ApiDemosTest.java</t>
  </si>
  <si>
    <t>tools/tradefed-host/tests/src/com/android/cts/tradefed/result/DeviceInfoResultTest.java</t>
  </si>
  <si>
    <t>tests/tests/database/src/android/database/cts/CursorWrapperTest.java</t>
  </si>
  <si>
    <t>tests/tests/renderscript/src/android/renderscript/cts/ComputeTest.java</t>
  </si>
  <si>
    <t>tests/tests/view/src/android/view/cts/ChoreographerTest.java</t>
  </si>
  <si>
    <t>tests/tests/os/src/android/os/cts/MessageQueueTest.java</t>
  </si>
  <si>
    <t>tests/tests/webkit/src/android/webkit/cts/WebSettingsTest.java</t>
  </si>
  <si>
    <t>hostsidetests/accessibilityservice/src/android/accessibilityservice/cts/AccessibilityServiceTestsRunnerTest.java</t>
  </si>
  <si>
    <t>tests/tests/security/src/android/security/cts/PIILogTest.java</t>
  </si>
  <si>
    <t>tests/tests/util/src/android/util/cts/XmlTest.java</t>
  </si>
  <si>
    <t>tests/tests/accessibilityservice/src/android/accessibilityservice/cts/AccessibilityHierarchicalFocusTest.java</t>
  </si>
  <si>
    <t>tests/tests/widget/src/android/widget/cts/ImageViewTest.java</t>
  </si>
  <si>
    <t>tests/tests/permission/src/android/permission/cts/FileSystemPermissionTest.java</t>
  </si>
  <si>
    <t>tests/tests/view/src/android/view/cts/GravityTest.java</t>
  </si>
  <si>
    <t>tests/tests/view/src/android/view/cts/LocaleUtilTest.java</t>
  </si>
  <si>
    <t>tests/tests/widget/src/android/widget/cts/LayoutDirectionTest.java</t>
  </si>
  <si>
    <t>tests/tests/widget/src/android/widget/cts/TextViewTest.java</t>
  </si>
  <si>
    <t>tests/tests/security/src/android/security/cts/VoldExploitTest.java</t>
  </si>
  <si>
    <t>tests/tests/view/src/android/view/cts/ViewGroup_MarginLayoutParamsTest.java</t>
  </si>
  <si>
    <t>tests/tests/accessibilityservice/src/android/accessibilityservice/cts/AccessibilityFocusAndInputFocusSyncTest.java</t>
  </si>
  <si>
    <t>tests/tests/view/src/android/view/cts/GestureDetectorTest.java</t>
  </si>
  <si>
    <t>tests/tests/view/src/android/view/cts/VelocityTrackerTest.java</t>
  </si>
  <si>
    <t>tests/tests/animation/src/android/animation/cts/ObjectAnimatorTest.java</t>
  </si>
  <si>
    <t>tests/tests/mediastress/src/android/mediastress/cts/H264R720pAacShortPlayerTest.java</t>
  </si>
  <si>
    <t>tests/tests/admin/src/android/admin/cts/DevicePolicyManagerTest.java</t>
  </si>
  <si>
    <t>tests/tests/text/src/android/text/cts/StaticLayoutLineBreakingTest.java</t>
  </si>
  <si>
    <t>tests/tests/accessibilityservice/src/android/accessibilityservice/cts/AccessibilityDirectionalFocusTest.java</t>
  </si>
  <si>
    <t>tests/tests/net/src/android/net/wifi/cts/ScanResultTest.java</t>
  </si>
  <si>
    <t>tests/tests/webkit/src/android/webkit/cts/CookieTest.java</t>
  </si>
  <si>
    <t>suite/pts/deviceTests/filesystemperf/src/com/android/pts/filesystemperf/FullUpdateTest.java</t>
  </si>
  <si>
    <t>suite/pts/deviceTests/filesystemperf/src/com/android/pts/filesystemperf/RWTest.java</t>
  </si>
  <si>
    <t>suite/pts/deviceTests/filesystemperf/src/com/android/pts/filesystemperf/TestTest.java</t>
  </si>
  <si>
    <t>suite/pts/deviceTests/ui/src/com/android/pts/ui/ScrollingTest.java</t>
  </si>
  <si>
    <t>tests/tests/permission/src/android/permission/cts/NoWakeLockPermissionTest.java</t>
  </si>
  <si>
    <t>tests/tests/media/src/android/media/cts/AudioTrackTest.java</t>
  </si>
  <si>
    <t>tests/tests/webkitsecurity/src/android/webkitsecurity/cts/WebkitAbortCrashTest.java</t>
  </si>
  <si>
    <t>tests/tests/webkitsecurity/src/android/webkitsecurity/cts/WebkitAbsolutePositionForeignObjectChildCrashTest.java</t>
  </si>
  <si>
    <t>tests/tests/webkitsecurity/src/android/webkitsecurity/cts/WebkitAdoptNodeCrashTest.java</t>
  </si>
  <si>
    <t>tests/tests/webkitsecurity/src/android/webkitsecurity/cts/WebkitAfterDoesntCrashTest.java</t>
  </si>
  <si>
    <t>tests/tests/webkitsecurity/src/android/webkitsecurity/cts/WebkitAfterWithFirstLetterFloatCrashTest.java</t>
  </si>
  <si>
    <t>tests/tests/webkitsecurity/src/android/webkitsecurity/cts/WebkitAnchorLinkedAnonymousBlockCrashTest.java</t>
  </si>
  <si>
    <t>tests/tests/webkitsecurity/src/android/webkitsecurity/cts/WebkitAnimatedBackgroundImageCrashTest.java</t>
  </si>
  <si>
    <t>tests/tests/webkitsecurity/src/android/webkitsecurity/cts/WebkitAnimationOnInlineCrashTest.java</t>
  </si>
  <si>
    <t>tests/tests/webkitsecurity/src/android/webkitsecurity/cts/WebkitAnonymousBeforeChildParentCrashTest.java</t>
  </si>
  <si>
    <t>tests/tests/webkitsecurity/src/android/webkitsecurity/cts/WebkitAnonymousBlockCrashTest.java</t>
  </si>
  <si>
    <t>tests/tests/webkitsecurity/src/android/webkitsecurity/cts/WebkitAnonymousBlockMergeCrashTest.java</t>
  </si>
  <si>
    <t>tests/tests/webkitsecurity/src/android/webkitsecurity/cts/WebkitAnonymousRenderBlockInContinuationCausesCrashTest.java</t>
  </si>
  <si>
    <t>tests/tests/webkitsecurity/src/android/webkitsecurity/cts/WebkitAnonymousSplitBlockCrashTest.java</t>
  </si>
  <si>
    <t>tests/tests/webkitsecurity/src/android/webkitsecurity/cts/WebkitApplyStyleTextDecorationCrashTest.java</t>
  </si>
  <si>
    <t>tests/tests/webkitsecurity/src/android/webkitsecurity/cts/WebkitApplyblockelementVisiblepositionforindexCrashTest.java</t>
  </si>
  <si>
    <t>tests/tests/webkitsecurity/src/android/webkitsecurity/cts/WebkitArcCrashTest.java</t>
  </si>
  <si>
    <t>tests/tests/webkitsecurity/src/android/webkitsecurity/cts/WebkitAreaIslinkFocusNullPtrCrashTest.java</t>
  </si>
  <si>
    <t>tests/tests/webkitsecurity/src/android/webkitsecurity/cts/WebkitAriaActivedescendantCrashTest.java</t>
  </si>
  <si>
    <t>tests/tests/webkitsecurity/src/android/webkitsecurity/cts/WebkitAriaOptionsAndMenuitemsCrashTest.java</t>
  </si>
  <si>
    <t>tests/tests/webkitsecurity/src/android/webkitsecurity/cts/WebkitArrayBufferCrashTest.java</t>
  </si>
  <si>
    <t>tests/tests/webkitsecurity/src/android/webkitsecurity/cts/WebkitArrayBufferViewCrashTest.java</t>
  </si>
  <si>
    <t>tests/tests/webkitsecurity/src/android/webkitsecurity/cts/WebkitArrayBufferViewCrashWhenReassignedTest.java</t>
  </si>
  <si>
    <t>tests/tests/webkitsecurity/src/android/webkitsecurity/cts/WebkitAsteriskCounterUpdateAfterLayoutCrashTest.java</t>
  </si>
  <si>
    <t>tests/tests/webkitsecurity/src/android/webkitsecurity/cts/WebkitAvlCrashTest.java</t>
  </si>
  <si>
    <t>tests/tests/webkitsecurity/src/android/webkitsecurity/cts/WebkitBackcolorCrashTest.java</t>
  </si>
  <si>
    <t>tests/tests/webkitsecurity/src/android/webkitsecurity/cts/WebkitBackgroundFillZeroAreaCrashTest.java</t>
  </si>
  <si>
    <t>tests/tests/webkitsecurity/src/android/webkitsecurity/cts/WebkitBackgroundNorepeatCrashTest.java</t>
  </si>
  <si>
    <t>tests/tests/webkitsecurity/src/android/webkitsecurity/cts/WebkitBackwardTextiteratorFirstLetterCrashTest.java</t>
  </si>
  <si>
    <t>tests/tests/webkitsecurity/src/android/webkitsecurity/cts/WebkitBadHandshakeCrashTest.java</t>
  </si>
  <si>
    <t>tests/tests/webkitsecurity/src/android/webkitsecurity/cts/WebkitBadTransitionShorthandCrashTest.java</t>
  </si>
  <si>
    <t>tests/tests/webkitsecurity/src/android/webkitsecurity/cts/WebkitBasevalAnimvalCrashTest.java</t>
  </si>
  <si>
    <t>tests/tests/webkitsecurity/src/android/webkitsecurity/cts/WebkitBasevalAnimvalListCrashTest.java</t>
  </si>
  <si>
    <t>tests/tests/webkitsecurity/src/android/webkitsecurity/cts/WebkitBeforeBlockDoesntCrashTest.java</t>
  </si>
  <si>
    <t>tests/tests/webkitsecurity/src/android/webkitsecurity/cts/WebkitBeforeChildNonTableSectionAddTableCrashTest.java</t>
  </si>
  <si>
    <t>tests/tests/webkitsecurity/src/android/webkitsecurity/cts/WebkitBeforeContentWithListMarkerInAnonBlockCrashTest.java</t>
  </si>
  <si>
    <t>tests/tests/webkitsecurity/src/android/webkitsecurity/cts/WebkitBeforeDoesntCrashTest.java</t>
  </si>
  <si>
    <t>tests/tests/webkitsecurity/src/android/webkitsecurity/cts/WebkitBeforeTableDoesntCrashTest.java</t>
  </si>
  <si>
    <t>tests/tests/webkitsecurity/src/android/webkitsecurity/cts/WebkitBidiNeutralInMixedDirectionRunCrashTest.java</t>
  </si>
  <si>
    <t>tests/tests/webkitsecurity/src/android/webkitsecurity/cts/WebkitBindingsArrayApplyCrashTest.java</t>
  </si>
  <si>
    <t>tests/tests/webkitsecurity/src/android/webkitsecurity/cts/WebkitBlobBuilderCrashTest.java</t>
  </si>
  <si>
    <t>tests/tests/webkitsecurity/src/android/webkitsecurity/cts/WebkitBlockNotRemovedFromParentLineboxesCrashTest.java</t>
  </si>
  <si>
    <t>tests/tests/webkitsecurity/src/android/webkitsecurity/cts/WebkitBlockRemoveChildDeleteLineBoxCrashTest.java</t>
  </si>
  <si>
    <t>tests/tests/webkitsecurity/src/android/webkitsecurity/cts/WebkitBlockStyleProgressCrashTest.java</t>
  </si>
  <si>
    <t>tests/tests/webkitsecurity/src/android/webkitsecurity/cts/WebkitBlockquoteCrashTest.java</t>
  </si>
  <si>
    <t>tests/tests/webkitsecurity/src/android/webkitsecurity/cts/WebkitBodyCloneLinkDeclParentCrashTest.java</t>
  </si>
  <si>
    <t>tests/tests/webkitsecurity/src/android/webkitsecurity/cts/WebkitBodyRemovalCrashTest.java</t>
  </si>
  <si>
    <t>tests/tests/webkitsecurity/src/android/webkitsecurity/cts/WebkitBorderImageCrashTest.java</t>
  </si>
  <si>
    <t>tests/tests/webkitsecurity/src/android/webkitsecurity/cts/WebkitBorderImageNullImageCrashTest.java</t>
  </si>
  <si>
    <t>tests/tests/webkitsecurity/src/android/webkitsecurity/cts/WebkitCallApplyCrashTest.java</t>
  </si>
  <si>
    <t>tests/tests/webkitsecurity/src/android/webkitsecurity/cts/WebkitCanvasFontExUnitsCrashTest.java</t>
  </si>
  <si>
    <t>tests/tests/webkitsecurity/src/android/webkitsecurity/cts/WebkitCanvasGetimagedataLargeCrashTest.java</t>
  </si>
  <si>
    <t>tests/tests/webkitsecurity/src/android/webkitsecurity/cts/WebkitCanvasTodataurlCrashTest.java</t>
  </si>
  <si>
    <t>tests/tests/webkitsecurity/src/android/webkitsecurity/cts/WebkitCanvasTodataurlJpegCrashTest.java</t>
  </si>
  <si>
    <t>tests/tests/webkitsecurity/src/android/webkitsecurity/cts/WebkitCellInRowBeforeMisnestedTextCrashCssTest.java</t>
  </si>
  <si>
    <t>tests/tests/webkitsecurity/src/android/webkitsecurity/cts/WebkitChangeFormElementDocumentCrashTest.java</t>
  </si>
  <si>
    <t>tests/tests/webkitsecurity/src/android/webkitsecurity/cts/WebkitChangeVersionNoCrashOnPreflightFailureTest.java</t>
  </si>
  <si>
    <t>tests/tests/webkitsecurity/src/android/webkitsecurity/cts/WebkitChangeWidgetAndClickCrashTest.java</t>
  </si>
  <si>
    <t>tests/tests/webkitsecurity/src/android/webkitsecurity/cts/WebkitChangingAttrbutesCrashTest.java</t>
  </si>
  <si>
    <t>tests/tests/webkitsecurity/src/android/webkitsecurity/cts/WebkitCharacterDataMutationCrashTest.java</t>
  </si>
  <si>
    <t>tests/tests/webkitsecurity/src/android/webkitsecurity/cts/WebkitCheckboxSelectionCrashTest.java</t>
  </si>
  <si>
    <t>tests/tests/webkitsecurity/src/android/webkitsecurity/cts/WebkitChildNotRemovedFromParentLineboxesCrashTest.java</t>
  </si>
  <si>
    <t>tests/tests/webkitsecurity/src/android/webkitsecurity/cts/WebkitChromiumLinuxFallbackCrashTest.java</t>
  </si>
  <si>
    <t>tests/tests/webkitsecurity/src/android/webkitsecurity/cts/WebkitClearWatchInvalidIdCrashTest.java</t>
  </si>
  <si>
    <t>tests/tests/webkitsecurity/src/android/webkitsecurity/cts/WebkitClickSizeZeroNoCrashTest.java</t>
  </si>
  <si>
    <t>tests/tests/webkitsecurity/src/android/webkitsecurity/cts/WebkitCloneAnonymousBlockNonInlineChildCrashTest.java</t>
  </si>
  <si>
    <t>tests/tests/webkitsecurity/src/android/webkitsecurity/cts/WebkitCloneBeforeAfterContentCrashTest.java</t>
  </si>
  <si>
    <t>tests/tests/webkitsecurity/src/android/webkitsecurity/cts/WebkitCloneBlockChildrenInlineMismatchCrashTest.java</t>
  </si>
  <si>
    <t>tests/tests/webkitsecurity/src/android/webkitsecurity/cts/WebkitClonenodeAfterDeleteruleCrashTest.java</t>
  </si>
  <si>
    <t>tests/tests/webkitsecurity/src/android/webkitsecurity/cts/WebkitCloseInOnmessageCrashTest.java</t>
  </si>
  <si>
    <t>tests/tests/webkitsecurity/src/android/webkitsecurity/cts/WebkitColumnSpanParentContinuationCrashTest.java</t>
  </si>
  <si>
    <t>tests/tests/webkitsecurity/src/android/webkitsecurity/cts/WebkitCombiningCharacterSequenceFallbackCrashTest.java</t>
  </si>
  <si>
    <t>tests/tests/webkitsecurity/src/android/webkitsecurity/cts/WebkitConsoleLongEvalCrashTest.java</t>
  </si>
  <si>
    <t>tests/tests/webkitsecurity/src/android/webkitsecurity/cts/WebkitConstructorAsFunctionCrashTest.java</t>
  </si>
  <si>
    <t>tests/tests/webkitsecurity/src/android/webkitsecurity/cts/WebkitContainerTransformCrashTest.java</t>
  </si>
  <si>
    <t>tests/tests/webkitsecurity/src/android/webkitsecurity/cts/WebkitContentHeightZeroCrashTest.java</t>
  </si>
  <si>
    <t>tests/tests/webkitsecurity/src/android/webkitsecurity/cts/WebkitContextDestroyedCrashTest.java</t>
  </si>
  <si>
    <t>tests/tests/webkitsecurity/src/android/webkitsecurity/cts/WebkitContinuationcrashTest.java</t>
  </si>
  <si>
    <t>tests/tests/webkitsecurity/src/android/webkitsecurity/cts/WebkitCopyCrashTest.java</t>
  </si>
  <si>
    <t>tests/tests/webkitsecurity/src/android/webkitsecurity/cts/WebkitCopyCrashWithExtraneousAttributeTest.java</t>
  </si>
  <si>
    <t>tests/tests/webkitsecurity/src/android/webkitsecurity/cts/WebkitCopyStandaloneImageCrashTest.java</t>
  </si>
  <si>
    <t>tests/tests/webkitsecurity/src/android/webkitsecurity/cts/WebkitCopyWithoutCommonBlockCrashTest.java</t>
  </si>
  <si>
    <t>tests/tests/webkitsecurity/src/android/webkitsecurity/cts/WebkitCounterAfterStyleCrashTest.java</t>
  </si>
  <si>
    <t>tests/tests/webkitsecurity/src/android/webkitsecurity/cts/WebkitCounterBeforeSelectorCrashTest.java</t>
  </si>
  <si>
    <t>tests/tests/webkitsecurity/src/android/webkitsecurity/cts/WebkitCounterCrashFrameSrcTest.java</t>
  </si>
  <si>
    <t>tests/tests/webkitsecurity/src/android/webkitsecurity/cts/WebkitCounterCrashTest.java</t>
  </si>
  <si>
    <t>tests/tests/webkitsecurity/src/android/webkitsecurity/cts/WebkitCounterReparentTableChildrenCrashTest.java</t>
  </si>
  <si>
    <t>tests/tests/webkitsecurity/src/android/webkitsecurity/cts/WebkitCounterTraverseObjectCrashTest.java</t>
  </si>
  <si>
    <t>tests/tests/webkitsecurity/src/android/webkitsecurity/cts/WebkitCrashAccessingClipboarddataTypesTest.java</t>
  </si>
  <si>
    <t>tests/tests/webkitsecurity/src/android/webkitsecurity/cts/WebkitCrashAnonymousTableComputelogicalwidthTest.java</t>
  </si>
  <si>
    <t>tests/tests/webkitsecurity/src/android/webkitsecurity/cts/WebkitCrashAnonymousTableLayoutTest.java</t>
  </si>
  <si>
    <t>tests/tests/webkitsecurity/src/android/webkitsecurity/cts/WebkitCrashBeforeborderDirtySectionTest.java</t>
  </si>
  <si>
    <t>tests/tests/webkitsecurity/src/android/webkitsecurity/cts/WebkitCrashBreakingBlockquoteWithListTest.java</t>
  </si>
  <si>
    <t>tests/tests/webkitsecurity/src/android/webkitsecurity/cts/WebkitCrashButtonInputAutofocusTest.java</t>
  </si>
  <si>
    <t>tests/tests/webkitsecurity/src/android/webkitsecurity/cts/WebkitCrashButtonKeygenTest.java</t>
  </si>
  <si>
    <t>tests/tests/webkitsecurity/src/android/webkitsecurity/cts/WebkitCrashButtonRelayoutTest.java</t>
  </si>
  <si>
    <t>tests/tests/webkitsecurity/src/android/webkitsecurity/cts/WebkitCrashClosingPageWithMediaAsPluginFallbackTest.java</t>
  </si>
  <si>
    <t>tests/tests/webkitsecurity/src/android/webkitsecurity/cts/WebkitCrashCopyingBackforwardlistTest.java</t>
  </si>
  <si>
    <t>tests/tests/webkitsecurity/src/android/webkitsecurity/cts/WebkitCrashDeterminingAriaRoleWhenLabelPresentTest.java</t>
  </si>
  <si>
    <t>tests/tests/webkitsecurity/src/android/webkitsecurity/cts/WebkitCrashDisplayLocalDirectoryTest.java</t>
  </si>
  <si>
    <t>tests/tests/webkitsecurity/src/android/webkitsecurity/cts/WebkitCrashEmptySectionCalcborderTest.java</t>
  </si>
  <si>
    <t>tests/tests/webkitsecurity/src/android/webkitsecurity/cts/WebkitCrashEmptySectionFixedLayoutCalcarrayTest.java</t>
  </si>
  <si>
    <t>tests/tests/webkitsecurity/src/android/webkitsecurity/cts/WebkitCrashFilterChangeTest.java</t>
  </si>
  <si>
    <t>tests/tests/webkitsecurity/src/android/webkitsecurity/cts/WebkitCrashFlexboxNoLayoutChildTest.java</t>
  </si>
  <si>
    <t>tests/tests/webkitsecurity/src/android/webkitsecurity/cts/WebkitCrashFramesetCssContentPropertyTest.java</t>
  </si>
  <si>
    <t>tests/tests/webkitsecurity/src/android/webkitsecurity/cts/WebkitCrashGeneratedCounterTest.java</t>
  </si>
  <si>
    <t>tests/tests/webkitsecurity/src/android/webkitsecurity/cts/WebkitCrashGeneratedImageTest.java</t>
  </si>
  <si>
    <t>tests/tests/webkitsecurity/src/android/webkitsecurity/cts/WebkitCrashGeneratedQuoteTest.java</t>
  </si>
  <si>
    <t>tests/tests/webkitsecurity/src/android/webkitsecurity/cts/WebkitCrashGeneratedTextTest.java</t>
  </si>
  <si>
    <t>tests/tests/webkitsecurity/src/android/webkitsecurity/cts/WebkitCrashHtmlparserCreateheadTest.java</t>
  </si>
  <si>
    <t>tests/tests/webkitsecurity/src/android/webkitsecurity/cts/WebkitCrashHugeLayerTest.java</t>
  </si>
  <si>
    <t>tests/tests/webkitsecurity/src/android/webkitsecurity/cts/WebkitCrashHwSwSwitchTest.java</t>
  </si>
  <si>
    <t>tests/tests/webkitsecurity/src/android/webkitsecurity/cts/WebkitCrashInElementForTextMarkerTest.java</t>
  </si>
  <si>
    <t>tests/tests/webkitsecurity/src/android/webkitsecurity/cts/WebkitCrashIndentingListItemTest.java</t>
  </si>
  <si>
    <t>tests/tests/webkitsecurity/src/android/webkitsecurity/cts/WebkitCrashInlineContainerClientTest.java</t>
  </si>
  <si>
    <t>tests/tests/webkitsecurity/src/android/webkitsecurity/cts/WebkitCrashInvalidTextMarkerNodeTest.java</t>
  </si>
  <si>
    <t>tests/tests/webkitsecurity/src/android/webkitsecurity/cts/WebkitCrashLineBreakAfterOutdentTest.java</t>
  </si>
  <si>
    <t>tests/tests/webkitsecurity/src/android/webkitsecurity/cts/WebkitCrashMultipleFamilyFontfaceTest.java</t>
  </si>
  <si>
    <t>tests/tests/webkitsecurity/src/android/webkitsecurity/cts/WebkitCrashOnAbsolutePositioningTest.java</t>
  </si>
  <si>
    <t>tests/tests/webkitsecurity/src/android/webkitsecurity/cts/WebkitCrashOnClearSelectionTest.java</t>
  </si>
  <si>
    <t>tests/tests/webkitsecurity/src/android/webkitsecurity/cts/WebkitCrashOnCustomCursorWhenLoadingTest.java</t>
  </si>
  <si>
    <t>tests/tests/webkitsecurity/src/android/webkitsecurity/cts/WebkitCrashOnDegenerateGradientTest.java</t>
  </si>
  <si>
    <t>tests/tests/webkitsecurity/src/android/webkitsecurity/cts/WebkitCrashOnDragWithMutationEventsTest.java</t>
  </si>
  <si>
    <t>tests/tests/webkitsecurity/src/android/webkitsecurity/cts/WebkitCrashOnEnterInContenteditableListTest.java</t>
  </si>
  <si>
    <t>tests/tests/webkitsecurity/src/android/webkitsecurity/cts/WebkitCrashOnMutateDuringDropTest.java</t>
  </si>
  <si>
    <t>tests/tests/webkitsecurity/src/android/webkitsecurity/cts/WebkitCrashOnOnepxBorderTest.java</t>
  </si>
  <si>
    <t>tests/tests/webkitsecurity/src/android/webkitsecurity/cts/WebkitCrashOnRemoveTest.java</t>
  </si>
  <si>
    <t>tests/tests/webkitsecurity/src/android/webkitsecurity/cts/WebkitCrashOnTrTest.java</t>
  </si>
  <si>
    <t>tests/tests/webkitsecurity/src/android/webkitsecurity/cts/WebkitCrashOnZeroRadiusTest.java</t>
  </si>
  <si>
    <t>tests/tests/webkitsecurity/src/android/webkitsecurity/cts/WebkitCrashOneTest.java</t>
  </si>
  <si>
    <t>tests/tests/webkitsecurity/src/android/webkitsecurity/cts/WebkitCrashRemovedIframeTest.java</t>
  </si>
  <si>
    <t>tests/tests/webkitsecurity/src/android/webkitsecurity/cts/WebkitCrashReparentTiledLayerTest.java</t>
  </si>
  <si>
    <t>tests/tests/webkitsecurity/src/android/webkitsecurity/cts/WebkitCrashReplacedDisplayBlockTest.java</t>
  </si>
  <si>
    <t>tests/tests/webkitsecurity/src/android/webkitsecurity/cts/WebkitCrashReplacingLocationBeforeLoadTest.java</t>
  </si>
  <si>
    <t>tests/tests/webkitsecurity/src/android/webkitsecurity/cts/WebkitCrashRestoringPluginPageFromPageCacheTest.java</t>
  </si>
  <si>
    <t>tests/tests/webkitsecurity/src/android/webkitsecurity/cts/WebkitCrashSectionLogicalHeightChangedNeedscellrecalcTest.java</t>
  </si>
  <si>
    <t>tests/tests/webkitsecurity/src/android/webkitsecurity/cts/WebkitCrashSetFontTest.java</t>
  </si>
  <si>
    <t>tests/tests/webkitsecurity/src/android/webkitsecurity/cts/WebkitCrashSplitcolumnTest.java</t>
  </si>
  <si>
    <t>tests/tests/webkitsecurity/src/android/webkitsecurity/cts/WebkitCrashSplitcolumnThreeTest.java</t>
  </si>
  <si>
    <t>tests/tests/webkitsecurity/src/android/webkitsecurity/cts/WebkitCrashSplitcolumnTwoTest.java</t>
  </si>
  <si>
    <t>tests/tests/webkitsecurity/src/android/webkitsecurity/cts/WebkitCrashStyleFirstLetterTest.java</t>
  </si>
  <si>
    <t>tests/tests/webkitsecurity/src/android/webkitsecurity/cts/WebkitCrashSvgDocumentTest.java</t>
  </si>
  <si>
    <t>tests/tests/webkitsecurity/src/android/webkitsecurity/cts/WebkitCrashTableCellChangeHeightTest.java</t>
  </si>
  <si>
    <t>tests/tests/webkitsecurity/src/android/webkitsecurity/cts/WebkitCrashTextpathAttributesTest.java</t>
  </si>
  <si>
    <t>tests/tests/webkitsecurity/src/android/webkitsecurity/cts/WebkitCrashTwoTest.java</t>
  </si>
  <si>
    <t>tests/tests/webkitsecurity/src/android/webkitsecurity/cts/WebkitCrashWhenNavigatingAwayThenBackTest.java</t>
  </si>
  <si>
    <t>tests/tests/webkitsecurity/src/android/webkitsecurity/cts/WebkitCrashWhenReparentSiblingTest.java</t>
  </si>
  <si>
    <t>tests/tests/webkitsecurity/src/android/webkitsecurity/cts/WebkitCrashWhileLoadingTagWithPauseTest.java</t>
  </si>
  <si>
    <t>tests/tests/webkitsecurity/src/android/webkitsecurity/cts/WebkitCrashWithNoelementSelectboxTest.java</t>
  </si>
  <si>
    <t>tests/tests/webkitsecurity/src/android/webkitsecurity/cts/WebkitCrashingATagInMapTest.java</t>
  </si>
  <si>
    <t>tests/tests/webkitsecurity/src/android/webkitsecurity/cts/WebkitCreateBlobUrlCrashTest.java</t>
  </si>
  <si>
    <t>tests/tests/webkitsecurity/src/android/webkitsecurity/cts/WebkitCreateDocumentCrashOnAttachEventTest.java</t>
  </si>
  <si>
    <t>tests/tests/webkitsecurity/src/android/webkitsecurity/cts/WebkitCreatePatternDoesNotCrashTest.java</t>
  </si>
  <si>
    <t>tests/tests/webkitsecurity/src/android/webkitsecurity/cts/WebkitCrossOriginStylesheetCrashTest.java</t>
  </si>
  <si>
    <t>tests/tests/webkitsecurity/src/android/webkitsecurity/cts/WebkitCssContentAndWebkitMaskBoxImageCrashTest.java</t>
  </si>
  <si>
    <t>tests/tests/webkitsecurity/src/android/webkitsecurity/cts/WebkitCssFontfaceRuleCrashTest.java</t>
  </si>
  <si>
    <t>tests/tests/webkitsecurity/src/android/webkitsecurity/cts/WebkitCssInlineStyleDeclarationCrashTest.java</t>
  </si>
  <si>
    <t>tests/tests/webkitsecurity/src/android/webkitsecurity/cts/WebkitCssKeyframeStyleCrashTest.java</t>
  </si>
  <si>
    <t>tests/tests/webkitsecurity/src/android/webkitsecurity/cts/WebkitCsstargetCrashTest.java</t>
  </si>
  <si>
    <t>tests/tests/webkitsecurity/src/android/webkitsecurity/cts/WebkitCssthreeRadialGradientCrashTest.java</t>
  </si>
  <si>
    <t>tests/tests/webkitsecurity/src/android/webkitsecurity/cts/WebkitCustomFontDataCrashTest.java</t>
  </si>
  <si>
    <t>tests/tests/webkitsecurity/src/android/webkitsecurity/cts/WebkitCustomFontDataCrashtwoTest.java</t>
  </si>
  <si>
    <t>tests/tests/webkitsecurity/src/android/webkitsecurity/cts/WebkitDanglingFormElementCrashTest.java</t>
  </si>
  <si>
    <t>tests/tests/webkitsecurity/src/android/webkitsecurity/cts/WebkitDashboardRegionsAttrCrashTest.java</t>
  </si>
  <si>
    <t>tests/tests/webkitsecurity/src/android/webkitsecurity/cts/WebkitDataViewCrashTest.java</t>
  </si>
  <si>
    <t>tests/tests/webkitsecurity/src/android/webkitsecurity/cts/WebkitDebuggerActivationCrashTest.java</t>
  </si>
  <si>
    <t>tests/tests/webkitsecurity/src/android/webkitsecurity/cts/WebkitDebuggerActivationCrashtwoTest.java</t>
  </si>
  <si>
    <t>tests/tests/webkitsecurity/src/android/webkitsecurity/cts/WebkitDelayedStyleMutationEventCrashTest.java</t>
  </si>
  <si>
    <t>tests/tests/webkitsecurity/src/android/webkitsecurity/cts/WebkitDeleteInsignificantTextCrashTest.java</t>
  </si>
  <si>
    <t>tests/tests/webkitsecurity/src/android/webkitsecurity/cts/WebkitDestroyCellWithSelectionCrashTest.java</t>
  </si>
  <si>
    <t>tests/tests/webkitsecurity/src/android/webkitsecurity/cts/WebkitDestroyCounterCrashTest.java</t>
  </si>
  <si>
    <t>tests/tests/webkitsecurity/src/android/webkitsecurity/cts/WebkitDestroySelectedRadioButtonCrashTest.java</t>
  </si>
  <si>
    <t>tests/tests/webkitsecurity/src/android/webkitsecurity/cts/WebkitDetachedObjectNotificationCrashTest.java</t>
  </si>
  <si>
    <t>tests/tests/webkitsecurity/src/android/webkitsecurity/cts/WebkitDetachedOutermostSvgCrashTest.java</t>
  </si>
  <si>
    <t>tests/tests/webkitsecurity/src/android/webkitsecurity/cts/WebkitDetailsChildrenMergeCrashTest.java</t>
  </si>
  <si>
    <t>tests/tests/webkitsecurity/src/android/webkitsecurity/cts/WebkitDetailsElementRenderInlineCrashTest.java</t>
  </si>
  <si>
    <t>tests/tests/webkitsecurity/src/android/webkitsecurity/cts/WebkitDeviceOrientationCrashTest.java</t>
  </si>
  <si>
    <t>tests/tests/webkitsecurity/src/android/webkitsecurity/cts/WebkitDirtyInlineTextboxCrashTest.java</t>
  </si>
  <si>
    <t>tests/tests/webkitsecurity/src/android/webkitsecurity/cts/WebkitDispatcheventCrashTest.java</t>
  </si>
  <si>
    <t>tests/tests/webkitsecurity/src/android/webkitsecurity/cts/WebkitDisplayNoneInlineStyleChangeCrashTest.java</t>
  </si>
  <si>
    <t>tests/tests/webkitsecurity/src/android/webkitsecurity/cts/WebkitDivWithinAnchorsCausesCrashTest.java</t>
  </si>
  <si>
    <t>tests/tests/webkitsecurity/src/android/webkitsecurity/cts/WebkitDoctypeEventListenerCrashTest.java</t>
  </si>
  <si>
    <t>tests/tests/webkitsecurity/src/android/webkitsecurity/cts/WebkitDocumentDeactivationCallbackCrashTest.java</t>
  </si>
  <si>
    <t>tests/tests/webkitsecurity/src/android/webkitsecurity/cts/WebkitDomstringReplaceCrashTest.java</t>
  </si>
  <si>
    <t>tests/tests/webkitsecurity/src/android/webkitsecurity/cts/WebkitDomurlScriptExecutionContextCrashTest.java</t>
  </si>
  <si>
    <t>tests/tests/webkitsecurity/src/android/webkitsecurity/cts/WebkitDontCrashWithNullGifFramesTest.java</t>
  </si>
  <si>
    <t>tests/tests/webkitsecurity/src/android/webkitsecurity/cts/WebkitDoubleMergeAnonymousBlockCrashTest.java</t>
  </si>
  <si>
    <t>tests/tests/webkitsecurity/src/android/webkitsecurity/cts/WebkitDoubleclickCrashTest.java</t>
  </si>
  <si>
    <t>tests/tests/webkitsecurity/src/android/webkitsecurity/cts/WebkitDoubleclickWhitespaceCrashTest.java</t>
  </si>
  <si>
    <t>tests/tests/webkitsecurity/src/android/webkitsecurity/cts/WebkitDoubleclickWhitespaceImgCrashTest.java</t>
  </si>
  <si>
    <t>tests/tests/webkitsecurity/src/android/webkitsecurity/cts/WebkitDragAndDropDatatransferTypesNocrashTest.java</t>
  </si>
  <si>
    <t>tests/tests/webkitsecurity/src/android/webkitsecurity/cts/WebkitDragDropIframeRefreshCrashTest.java</t>
  </si>
  <si>
    <t>tests/tests/webkitsecurity/src/android/webkitsecurity/cts/WebkitDragFileCrashTest.java</t>
  </si>
  <si>
    <t>tests/tests/webkitsecurity/src/android/webkitsecurity/cts/WebkitDragOverIframeInvalidSourceCrashTest.java</t>
  </si>
  <si>
    <t>tests/tests/webkitsecurity/src/android/webkitsecurity/cts/WebkitDuplicateHtmlElementCrashTest.java</t>
  </si>
  <si>
    <t>tests/tests/webkitsecurity/src/android/webkitsecurity/cts/WebkitDuplicateParamCrashTest.java</t>
  </si>
  <si>
    <t>tests/tests/webkitsecurity/src/android/webkitsecurity/cts/WebkitDuplicateParamGcCrashTest.java</t>
  </si>
  <si>
    <t>tests/tests/webkitsecurity/src/android/webkitsecurity/cts/WebkitDynamicMarkerCrashTest.java</t>
  </si>
  <si>
    <t>tests/tests/webkitsecurity/src/android/webkitsecurity/cts/WebkitEditableNonEditableCrashTest.java</t>
  </si>
  <si>
    <t>tests/tests/webkitsecurity/src/android/webkitsecurity/cts/WebkitEditingCommandWhileExecutingTypingCommandCrashTest.java</t>
  </si>
  <si>
    <t>tests/tests/webkitsecurity/src/android/webkitsecurity/cts/WebkitEmbedBidiStyleInIsolateCrashTest.java</t>
  </si>
  <si>
    <t>tests/tests/webkitsecurity/src/android/webkitsecurity/cts/WebkitEmbedcrasherTest.java</t>
  </si>
  <si>
    <t>tests/tests/webkitsecurity/src/android/webkitsecurity/cts/WebkitEmptyAnonymousBlockRemoveCrashTest.java</t>
  </si>
  <si>
    <t>tests/tests/webkitsecurity/src/android/webkitsecurity/cts/WebkitEmptyBdiCrashTest.java</t>
  </si>
  <si>
    <t>tests/tests/webkitsecurity/src/android/webkitsecurity/cts/WebkitEmptyContentWithFloatCrashTest.java</t>
  </si>
  <si>
    <t>tests/tests/webkitsecurity/src/android/webkitsecurity/cts/WebkitEmptyFirstLineCrashTest.java</t>
  </si>
  <si>
    <t>tests/tests/webkitsecurity/src/android/webkitsecurity/cts/WebkitEmptyMsubsupCrashTest.java</t>
  </si>
  <si>
    <t>tests/tests/webkitsecurity/src/android/webkitsecurity/cts/WebkitEmptyRenderSurfaceCrasherTest.java</t>
  </si>
  <si>
    <t>tests/tests/webkitsecurity/src/android/webkitsecurity/cts/WebkitEmptyRowCrashTest.java</t>
  </si>
  <si>
    <t>tests/tests/webkitsecurity/src/android/webkitsecurity/cts/WebkitEmptySectionCrashTest.java</t>
  </si>
  <si>
    <t>tests/tests/webkitsecurity/src/android/webkitsecurity/cts/WebkitEmptyTransformPreservethreedCrashTest.java</t>
  </si>
  <si>
    <t>tests/tests/webkitsecurity/src/android/webkitsecurity/cts/WebkitEmptyWebkitMaskCrashTest.java</t>
  </si>
  <si>
    <t>tests/tests/webkitsecurity/src/android/webkitsecurity/cts/WebkitEmptyWorkerNocrashTest.java</t>
  </si>
  <si>
    <t>tests/tests/webkitsecurity/src/android/webkitsecurity/cts/WebkitEndOfBufferCrashTest.java</t>
  </si>
  <si>
    <t>tests/tests/webkitsecurity/src/android/webkitsecurity/cts/WebkitEvalCacheCrashTest.java</t>
  </si>
  <si>
    <t>tests/tests/webkitsecurity/src/android/webkitsecurity/cts/WebkitEventListenerMapRehashCrashTest.java</t>
  </si>
  <si>
    <t>tests/tests/webkitsecurity/src/android/webkitsecurity/cts/WebkitEventsourceReconnectDuringNavigateCrashTest.java</t>
  </si>
  <si>
    <t>tests/tests/webkitsecurity/src/android/webkitsecurity/cts/WebkitExceptionCodegenCrashTest.java</t>
  </si>
  <si>
    <t>tests/tests/webkitsecurity/src/android/webkitsecurity/cts/WebkitExceptionNoFrameInlineScriptCrashIframeTest.java</t>
  </si>
  <si>
    <t>tests/tests/webkitsecurity/src/android/webkitsecurity/cts/WebkitExceptionNoFrameInlineScriptCrashTest.java</t>
  </si>
  <si>
    <t>tests/tests/webkitsecurity/src/android/webkitsecurity/cts/WebkitExceptionNoFrameTimeoutCrashIframeTest.java</t>
  </si>
  <si>
    <t>tests/tests/webkitsecurity/src/android/webkitsecurity/cts/WebkitExceptionNoFrameTimeoutCrashTest.java</t>
  </si>
  <si>
    <t>tests/tests/webkitsecurity/src/android/webkitsecurity/cts/WebkitExistentEventsourceStatusErrorIframeCrashTest.java</t>
  </si>
  <si>
    <t>tests/tests/webkitsecurity/src/android/webkitsecurity/cts/WebkitExtendByLineAnonymousContentCrashTest.java</t>
  </si>
  <si>
    <t>tests/tests/webkitsecurity/src/android/webkitsecurity/cts/WebkitExtendOverFileInputByDragCrashTest.java</t>
  </si>
  <si>
    <t>tests/tests/webkitsecurity/src/android/webkitsecurity/cts/WebkitFencedWhitespaceSeparatorsCrashTest.java</t>
  </si>
  <si>
    <t>tests/tests/webkitsecurity/src/android/webkitsecurity/cts/WebkitFileReaderDirectoryCrashTest.java</t>
  </si>
  <si>
    <t>tests/tests/webkitsecurity/src/android/webkitsecurity/cts/WebkitFilesystemNoCallbackNullPtrCrashTest.java</t>
  </si>
  <si>
    <t>tests/tests/webkitsecurity/src/android/webkitsecurity/cts/WebkitFillLayerCrashTest.java</t>
  </si>
  <si>
    <t>tests/tests/webkitsecurity/src/android/webkitsecurity/cts/WebkitFilterEmptyElementCrashTest.java</t>
  </si>
  <si>
    <t>tests/tests/webkitsecurity/src/android/webkitsecurity/cts/WebkitFindLayoutCrashTest.java</t>
  </si>
  <si>
    <t>tests/tests/webkitsecurity/src/android/webkitsecurity/cts/WebkitFirstLetterAnonymousBlockCrashTest.java</t>
  </si>
  <si>
    <t>tests/tests/webkitsecurity/src/android/webkitsecurity/cts/WebkitFirstLetterBlockFormControlsCrashTest.java</t>
  </si>
  <si>
    <t>tests/tests/webkitsecurity/src/android/webkitsecurity/cts/WebkitFirstLetterInlineFlowSplitCrashTest.java</t>
  </si>
  <si>
    <t>tests/tests/webkitsecurity/src/android/webkitsecurity/cts/WebkitFirstLetterInlineFlowSplitTableCrashTest.java</t>
  </si>
  <si>
    <t>tests/tests/webkitsecurity/src/android/webkitsecurity/cts/WebkitFirstLetterRtlCrashTest.java</t>
  </si>
  <si>
    <t>tests/tests/webkitsecurity/src/android/webkitsecurity/cts/WebkitFirstLetterTextFragmentCrashTest.java</t>
  </si>
  <si>
    <t>tests/tests/webkitsecurity/src/android/webkitsecurity/cts/WebkitFirstLetterTextTransformCausesCrashTest.java</t>
  </si>
  <si>
    <t>tests/tests/webkitsecurity/src/android/webkitsecurity/cts/WebkitFirstletterTablecellCrashTest.java</t>
  </si>
  <si>
    <t>tests/tests/webkitsecurity/src/android/webkitsecurity/cts/WebkitFirstlineFixedCrashTest.java</t>
  </si>
  <si>
    <t>tests/tests/webkitsecurity/src/android/webkitsecurity/cts/WebkitFirstrectCrashTest.java</t>
  </si>
  <si>
    <t>tests/tests/webkitsecurity/src/android/webkitsecurity/cts/WebkitFiveseventwofivezerofiveeightCrashScenarioOneTest.java</t>
  </si>
  <si>
    <t>tests/tests/webkitsecurity/src/android/webkitsecurity/cts/WebkitFiveseventwofivezerofiveeightCrashScenarioThreeTest.java</t>
  </si>
  <si>
    <t>tests/tests/webkitsecurity/src/android/webkitsecurity/cts/WebkitFiveseventwofivezerofiveeightCrashScenarioTwoTest.java</t>
  </si>
  <si>
    <t>tests/tests/webkitsecurity/src/android/webkitsecurity/cts/WebkitFixRangeFromRootEditableCrashTest.java</t>
  </si>
  <si>
    <t>tests/tests/webkitsecurity/src/android/webkitsecurity/cts/WebkitFixedTableLayoutLargeColspanCrashTest.java</t>
  </si>
  <si>
    <t>tests/tests/webkitsecurity/src/android/webkitsecurity/cts/WebkitFlexboxInRegionCrashTest.java</t>
  </si>
  <si>
    <t>tests/tests/webkitsecurity/src/android/webkitsecurity/cts/WebkitFloatNotRemovedCrashTest.java</t>
  </si>
  <si>
    <t>tests/tests/webkitsecurity/src/android/webkitsecurity/cts/WebkitFloatNotRemovedFromNextSiblingCrashTest.java</t>
  </si>
  <si>
    <t>tests/tests/webkitsecurity/src/android/webkitsecurity/cts/WebkitFloatOriginatingLineDeletedCrashTest.java</t>
  </si>
  <si>
    <t>tests/tests/webkitsecurity/src/android/webkitsecurity/cts/WebkitFloatingBeforeContentWithListMarkerCrashTest.java</t>
  </si>
  <si>
    <t>tests/tests/webkitsecurity/src/android/webkitsecurity/cts/WebkitFloatsNotClearedCrashTest.java</t>
  </si>
  <si>
    <t>tests/tests/webkitsecurity/src/android/webkitsecurity/cts/WebkitFocusChangeCrashTest.java</t>
  </si>
  <si>
    <t>tests/tests/webkitsecurity/src/android/webkitsecurity/cts/WebkitFocusChangeCrashtwoTest.java</t>
  </si>
  <si>
    <t>tests/tests/webkitsecurity/src/android/webkitsecurity/cts/WebkitFocusControllerCrashChangeEventTest.java</t>
  </si>
  <si>
    <t>tests/tests/webkitsecurity/src/android/webkitsecurity/cts/WebkitFocusCrashTest.java</t>
  </si>
  <si>
    <t>tests/tests/webkitsecurity/src/android/webkitsecurity/cts/WebkitFontmetricBorderRadiusNullCrashTest.java</t>
  </si>
  <si>
    <t>tests/tests/webkitsecurity/src/android/webkitsecurity/cts/WebkitFontmetricWebkitBorderEndWidthNullCrashTest.java</t>
  </si>
  <si>
    <t>tests/tests/webkitsecurity/src/android/webkitsecurity/cts/WebkitFontsizeUnitRemsCrashTest.java</t>
  </si>
  <si>
    <t>tests/tests/webkitsecurity/src/android/webkitsecurity/cts/WebkitForeignContentCrashTest.java</t>
  </si>
  <si>
    <t>tests/tests/webkitsecurity/src/android/webkitsecurity/cts/WebkitFormAssociatedElementCrashTest.java</t>
  </si>
  <si>
    <t>tests/tests/webkitsecurity/src/android/webkitsecurity/cts/WebkitFormAssociatedElementCrashthreeTest.java</t>
  </si>
  <si>
    <t>tests/tests/webkitsecurity/src/android/webkitsecurity/cts/WebkitFormAssociatedElementCrashtwoTest.java</t>
  </si>
  <si>
    <t>tests/tests/webkitsecurity/src/android/webkitsecurity/cts/WebkitFormIframeTargetBeforeLoadCrashTest.java</t>
  </si>
  <si>
    <t>tests/tests/webkitsecurity/src/android/webkitsecurity/cts/WebkitFormIframeTargetBeforeLoadCrashtwoTest.java</t>
  </si>
  <si>
    <t>tests/tests/webkitsecurity/src/android/webkitsecurity/cts/WebkitFormInRowBeforeMisnestedTextCrashCssTest.java</t>
  </si>
  <si>
    <t>tests/tests/webkitsecurity/src/android/webkitsecurity/cts/WebkitFormInTableBeforeMisnestedTextCrashCssTest.java</t>
  </si>
  <si>
    <t>tests/tests/webkitsecurity/src/android/webkitsecurity/cts/WebkitFormInTbodyBeforeMisnestedTextCrashCssTest.java</t>
  </si>
  <si>
    <t>tests/tests/webkitsecurity/src/android/webkitsecurity/cts/WebkitFouronefourfivefivethreefivecrashTest.java</t>
  </si>
  <si>
    <t>tests/tests/webkitsecurity/src/android/webkitsecurity/cts/WebkitFrameContentwindowCrashTest.java</t>
  </si>
  <si>
    <t>tests/tests/webkitsecurity/src/android/webkitsecurity/cts/WebkitFrameCrashWithPageCacheTest.java</t>
  </si>
  <si>
    <t>tests/tests/webkitsecurity/src/android/webkitsecurity/cts/WebkitFrameUnloadAbortCrashTest.java</t>
  </si>
  <si>
    <t>tests/tests/webkitsecurity/src/android/webkitsecurity/cts/WebkitFrameUnloadCrashOneTest.java</t>
  </si>
  <si>
    <t>tests/tests/webkitsecurity/src/android/webkitsecurity/cts/WebkitFrameUnloadCrashTest.java</t>
  </si>
  <si>
    <t>tests/tests/webkitsecurity/src/android/webkitsecurity/cts/WebkitFrameUnloadCrashThreeTest.java</t>
  </si>
  <si>
    <t>tests/tests/webkitsecurity/src/android/webkitsecurity/cts/WebkitFrameUnloadCrashTwoTest.java</t>
  </si>
  <si>
    <t>tests/tests/webkitsecurity/src/android/webkitsecurity/cts/WebkitFramelessMediaElementCrashTest.java</t>
  </si>
  <si>
    <t>tests/tests/webkitsecurity/src/android/webkitsecurity/cts/WebkitGeneratedBeforeCounterDoesntCrashTest.java</t>
  </si>
  <si>
    <t>tests/tests/webkitsecurity/src/android/webkitsecurity/cts/WebkitGeneratedChildSplitFlowCrashTest.java</t>
  </si>
  <si>
    <t>tests/tests/webkitsecurity/src/android/webkitsecurity/cts/WebkitGeneratedContentCrashTest.java</t>
  </si>
  <si>
    <t>tests/tests/webkitsecurity/src/android/webkitsecurity/cts/WebkitGeneratedLayerScrollbarCrashTest.java</t>
  </si>
  <si>
    <t>tests/tests/webkitsecurity/src/android/webkitsecurity/cts/WebkitGetUrlWithIframeTargetNoCrashTest.java</t>
  </si>
  <si>
    <t>tests/tests/webkitsecurity/src/android/webkitsecurity/cts/WebkitGetmatchedcssrulesNullCrashTest.java</t>
  </si>
  <si>
    <t>tests/tests/webkitsecurity/src/android/webkitsecurity/cts/WebkitGiantStylesheetCrashTest.java</t>
  </si>
  <si>
    <t>tests/tests/webkitsecurity/src/android/webkitsecurity/cts/WebkitGlyphrefRendererCreateCrashTest.java</t>
  </si>
  <si>
    <t>tests/tests/webkitsecurity/src/android/webkitsecurity/cts/WebkitGradientOnPseudoelementCrashTest.java</t>
  </si>
  <si>
    <t>tests/tests/webkitsecurity/src/android/webkitsecurity/cts/WebkitHasfocusFramelessCrashTest.java</t>
  </si>
  <si>
    <t>tests/tests/webkitsecurity/src/android/webkitsecurity/cts/WebkitHiddenIframeScrollbarCrashTest.java</t>
  </si>
  <si>
    <t>tests/tests/webkitsecurity/src/android/webkitsecurity/cts/WebkitHiddenIframeScrollbarCrashtwoTest.java</t>
  </si>
  <si>
    <t>tests/tests/webkitsecurity/src/android/webkitsecurity/cts/WebkitHorizontalBoxFloatCrashTest.java</t>
  </si>
  <si>
    <t>tests/tests/webkitsecurity/src/android/webkitsecurity/cts/WebkitHoverStyleRecalcCrashTest.java</t>
  </si>
  <si>
    <t>tests/tests/webkitsecurity/src/android/webkitsecurity/cts/WebkitHoverTimerCrashTest.java</t>
  </si>
  <si>
    <t>tests/tests/webkitsecurity/src/android/webkitsecurity/cts/WebkitHugeColumnGapCrashTest.java</t>
  </si>
  <si>
    <t>tests/tests/webkitsecurity/src/android/webkitsecurity/cts/WebkitIdAttributeWithNamespaceCrashTest.java</t>
  </si>
  <si>
    <t>tests/tests/webkitsecurity/src/android/webkitsecurity/cts/WebkitIdentCrashesTopnodeIsTextTest.java</t>
  </si>
  <si>
    <t>tests/tests/webkitsecurity/src/android/webkitsecurity/cts/WebkitIframeContentwindowCrashTest.java</t>
  </si>
  <si>
    <t>tests/tests/webkitsecurity/src/android/webkitsecurity/cts/WebkitIframeFlatteningCrashTest.java</t>
  </si>
  <si>
    <t>tests/tests/webkitsecurity/src/android/webkitsecurity/cts/WebkitIframeFlatteningSelectionCrashTest.java</t>
  </si>
  <si>
    <t>tests/tests/webkitsecurity/src/android/webkitsecurity/cts/WebkitIframeInvalidSourceCrashTest.java</t>
  </si>
  <si>
    <t>tests/tests/webkitsecurity/src/android/webkitsecurity/cts/WebkitIframeOnloadCrashMacTest.java</t>
  </si>
  <si>
    <t>tests/tests/webkitsecurity/src/android/webkitsecurity/cts/WebkitIframeOnloadCrashUnixTest.java</t>
  </si>
  <si>
    <t>tests/tests/webkitsecurity/src/android/webkitsecurity/cts/WebkitIframeOnloadCrashWinTest.java</t>
  </si>
  <si>
    <t>tests/tests/webkitsecurity/src/android/webkitsecurity/cts/WebkitIframeOnloadRemoveSelfNoCrashChildTest.java</t>
  </si>
  <si>
    <t>tests/tests/webkitsecurity/src/android/webkitsecurity/cts/WebkitIframeOnloadRemoveSelfNoCrashTest.java</t>
  </si>
  <si>
    <t>tests/tests/webkitsecurity/src/android/webkitsecurity/cts/WebkitIframePluginLoadRemoveDocumentCrashTest.java</t>
  </si>
  <si>
    <t>tests/tests/webkitsecurity/src/android/webkitsecurity/cts/WebkitIgnoredResultNullComparisonCrashTest.java</t>
  </si>
  <si>
    <t>tests/tests/webkitsecurity/src/android/webkitsecurity/cts/WebkitIgnoredResultRefCrashTest.java</t>
  </si>
  <si>
    <t>tests/tests/webkitsecurity/src/android/webkitsecurity/cts/WebkitImageEmptyCrashTest.java</t>
  </si>
  <si>
    <t>tests/tests/webkitsecurity/src/android/webkitsecurity/cts/WebkitImageMapTitleCausesCrashTest.java</t>
  </si>
  <si>
    <t>tests/tests/webkitsecurity/src/android/webkitsecurity/cts/WebkitImageMapUpdateParentCrashTest.java</t>
  </si>
  <si>
    <t>tests/tests/webkitsecurity/src/android/webkitsecurity/cts/WebkitImagemapNorenderCrashTest.java</t>
  </si>
  <si>
    <t>tests/tests/webkitsecurity/src/android/webkitsecurity/cts/WebkitImbricatedFlowThreadsCrashTest.java</t>
  </si>
  <si>
    <t>tests/tests/webkitsecurity/src/android/webkitsecurity/cts/WebkitImplicitHeadInFragmentCrashTest.java</t>
  </si>
  <si>
    <t>tests/tests/webkitsecurity/src/android/webkitsecurity/cts/WebkitImportCrashTest.java</t>
  </si>
  <si>
    <t>tests/tests/webkitsecurity/src/android/webkitsecurity/cts/WebkitIndentNodeToSplitToCrashTest.java</t>
  </si>
  <si>
    <t>tests/tests/webkitsecurity/src/android/webkitsecurity/cts/WebkitIndexValidationCrashWithBufferSubDataTest.java</t>
  </si>
  <si>
    <t>tests/tests/webkitsecurity/src/android/webkitsecurity/cts/WebkitInitkeyboardeventCrashTest.java</t>
  </si>
  <si>
    <t>tests/tests/webkitsecurity/src/android/webkitsecurity/cts/WebkitInlineBodyCrashTest.java</t>
  </si>
  <si>
    <t>tests/tests/webkitsecurity/src/android/webkitsecurity/cts/WebkitInlineBodyWithScrollbarCrashTest.java</t>
  </si>
  <si>
    <t>tests/tests/webkitsecurity/src/android/webkitsecurity/cts/WebkitInlineBoxAdjustPositionCrashTest.java</t>
  </si>
  <si>
    <t>tests/tests/webkitsecurity/src/android/webkitsecurity/cts/WebkitInlineBoxAdjustPositionCrashtwoTest.java</t>
  </si>
  <si>
    <t>tests/tests/webkitsecurity/src/android/webkitsecurity/cts/WebkitInlineBoxWrapperCrashTest.java</t>
  </si>
  <si>
    <t>tests/tests/webkitsecurity/src/android/webkitsecurity/cts/WebkitInlineChildHeightWidthCalcCrashTest.java</t>
  </si>
  <si>
    <t>tests/tests/webkitsecurity/src/android/webkitsecurity/cts/WebkitInlineChildrenCrashTest.java</t>
  </si>
  <si>
    <t>tests/tests/webkitsecurity/src/android/webkitsecurity/cts/WebkitInlineCrashTest.java</t>
  </si>
  <si>
    <t>tests/tests/webkitsecurity/src/android/webkitsecurity/cts/WebkitInlineDestroyDirtyLinesCrashTest.java</t>
  </si>
  <si>
    <t>tests/tests/webkitsecurity/src/android/webkitsecurity/cts/WebkitInlineMarqueeCrashTest.java</t>
  </si>
  <si>
    <t>tests/tests/webkitsecurity/src/android/webkitsecurity/cts/WebkitInlineSplittingWithAfterFloatCrashTest.java</t>
  </si>
  <si>
    <t>tests/tests/webkitsecurity/src/android/webkitsecurity/cts/WebkitInlineToBlockCrashTest.java</t>
  </si>
  <si>
    <t>tests/tests/webkitsecurity/src/android/webkitsecurity/cts/WebkitInnerhtmlSelectionCrashTest.java</t>
  </si>
  <si>
    <t>tests/tests/webkitsecurity/src/android/webkitsecurity/cts/WebkitInputBoxTextFragmentCombineTextCrashTest.java</t>
  </si>
  <si>
    <t>tests/tests/webkitsecurity/src/android/webkitsecurity/cts/WebkitInputElementAttachCrashTest.java</t>
  </si>
  <si>
    <t>tests/tests/webkitsecurity/src/android/webkitsecurity/cts/WebkitInputElementPageCacheCrashTest.java</t>
  </si>
  <si>
    <t>tests/tests/webkitsecurity/src/android/webkitsecurity/cts/WebkitInputNumberCrashTest.java</t>
  </si>
  <si>
    <t>tests/tests/webkitsecurity/src/android/webkitsecurity/cts/WebkitInputNumberSpinbuttonCrashTest.java</t>
  </si>
  <si>
    <t>tests/tests/webkitsecurity/src/android/webkitsecurity/cts/WebkitInputSearchTableColumnCrashTest.java</t>
  </si>
  <si>
    <t>tests/tests/webkitsecurity/src/android/webkitsecurity/cts/WebkitInsertImagesInPreXCrashTest.java</t>
  </si>
  <si>
    <t>tests/tests/webkitsecurity/src/android/webkitsecurity/cts/WebkitInsertTextCrashTest.java</t>
  </si>
  <si>
    <t>tests/tests/webkitsecurity/src/android/webkitsecurity/cts/WebkitInsertTextIntoEmptyFramesetCrashTest.java</t>
  </si>
  <si>
    <t>tests/tests/webkitsecurity/src/android/webkitsecurity/cts/WebkitInsertadjacenthtmlDocumentfragmentCrashTest.java</t>
  </si>
  <si>
    <t>tests/tests/webkitsecurity/src/android/webkitsecurity/cts/WebkitInserthtmlMutationCrashTest.java</t>
  </si>
  <si>
    <t>tests/tests/webkitsecurity/src/android/webkitsecurity/cts/WebkitInsertionPointLineNumberOnPasswordCrashesTest.java</t>
  </si>
  <si>
    <t>tests/tests/webkitsecurity/src/android/webkitsecurity/cts/WebkitInsertnodeEmptyFragmentCrashTest.java</t>
  </si>
  <si>
    <t>tests/tests/webkitsecurity/src/android/webkitsecurity/cts/WebkitInteractiveValidationCrashByStyleOverrideTest.java</t>
  </si>
  <si>
    <t>tests/tests/webkitsecurity/src/android/webkitsecurity/cts/WebkitInteractiveValidationSelectCrashTest.java</t>
  </si>
  <si>
    <t>tests/tests/webkitsecurity/src/android/webkitsecurity/cts/WebkitInvalidCharsetOnScriptCrashesLoaderTest.java</t>
  </si>
  <si>
    <t>tests/tests/webkitsecurity/src/android/webkitsecurity/cts/WebkitInvalidCursorPropertyCrashTest.java</t>
  </si>
  <si>
    <t>tests/tests/webkitsecurity/src/android/webkitsecurity/cts/WebkitInvalidFontFamilyInFontFaceCrashTest.java</t>
  </si>
  <si>
    <t>tests/tests/webkitsecurity/src/android/webkitsecurity/cts/WebkitInvalidMediaUrlCrashTest.java</t>
  </si>
  <si>
    <t>tests/tests/webkitsecurity/src/android/webkitsecurity/cts/WebkitInvalidSetFontCrashTest.java</t>
  </si>
  <si>
    <t>tests/tests/webkitsecurity/src/android/webkitsecurity/cts/WebkitJavascriptUrlAsFramesrcCrashTest.java</t>
  </si>
  <si>
    <t>tests/tests/webkitsecurity/src/android/webkitsecurity/cts/WebkitJavascriptUrlCrashFunctionIframeTest.java</t>
  </si>
  <si>
    <t>tests/tests/webkitsecurity/src/android/webkitsecurity/cts/WebkitJavascriptUrlCrashFunctionTest.java</t>
  </si>
  <si>
    <t>tests/tests/webkitsecurity/src/android/webkitsecurity/cts/WebkitJavascriptUrlIframeCrashTest.java</t>
  </si>
  <si>
    <t>tests/tests/webkitsecurity/src/android/webkitsecurity/cts/WebkitJqueryAnimationCrashTest.java</t>
  </si>
  <si>
    <t>tests/tests/webkitsecurity/src/android/webkitsecurity/cts/WebkitKeyboardeventMousedownCrashTest.java</t>
  </si>
  <si>
    <t>tests/tests/webkitsecurity/src/android/webkitsecurity/cts/WebkitKeyeventIframeRemovedCrashTest.java</t>
  </si>
  <si>
    <t>tests/tests/webkitsecurity/src/android/webkitsecurity/cts/WebkitKeyframesCrashTest.java</t>
  </si>
  <si>
    <t>tests/tests/webkitsecurity/src/android/webkitsecurity/cts/WebkitKhmerCrashTest.java</t>
  </si>
  <si>
    <t>tests/tests/webkitsecurity/src/android/webkitsecurity/cts/WebkitLargeListOfRulesCrashTest.java</t>
  </si>
  <si>
    <t>tests/tests/webkitsecurity/src/android/webkitsecurity/cts/WebkitLargeRowspanCrashTest.java</t>
  </si>
  <si>
    <t>tests/tests/webkitsecurity/src/android/webkitsecurity/cts/WebkitLargeSizeImageCrashTest.java</t>
  </si>
  <si>
    <t>tests/tests/webkitsecurity/src/android/webkitsecurity/cts/WebkitLayerHitTestCrashTest.java</t>
  </si>
  <si>
    <t>tests/tests/webkitsecurity/src/android/webkitsecurity/cts/WebkitLayerzordercrashTest.java</t>
  </si>
  <si>
    <t>tests/tests/webkitsecurity/src/android/webkitsecurity/cts/WebkitLayouthorizontalboxCrashTest.java</t>
  </si>
  <si>
    <t>tests/tests/webkitsecurity/src/android/webkitsecurity/cts/WebkitLiStyleAlphaHugeValueCrashTest.java</t>
  </si>
  <si>
    <t>tests/tests/webkitsecurity/src/android/webkitsecurity/cts/WebkitLineClampCrashTest.java</t>
  </si>
  <si>
    <t>tests/tests/webkitsecurity/src/android/webkitsecurity/cts/WebkitListItemPseudoNocrashTest.java</t>
  </si>
  <si>
    <t>tests/tests/webkitsecurity/src/android/webkitsecurity/cts/WebkitListStyleNoneCrashTest.java</t>
  </si>
  <si>
    <t>tests/tests/webkitsecurity/src/android/webkitsecurity/cts/WebkitListWrappingImageCrashTest.java</t>
  </si>
  <si>
    <t>tests/tests/webkitsecurity/src/android/webkitsecurity/cts/WebkitLoadDeferResumeCrashTest.java</t>
  </si>
  <si>
    <t>tests/tests/webkitsecurity/src/android/webkitsecurity/cts/WebkitLocationNewWindowNoCrashTest.java</t>
  </si>
  <si>
    <t>tests/tests/webkitsecurity/src/android/webkitsecurity/cts/WebkitMainresourceNullMimetypeCrashTest.java</t>
  </si>
  <si>
    <t>tests/tests/webkitsecurity/src/android/webkitsecurity/cts/WebkitMarqueeAnonymousNodeCrashTest.java</t>
  </si>
  <si>
    <t>tests/tests/webkitsecurity/src/android/webkitsecurity/cts/WebkitMaskCrashFieldsetLegendTest.java</t>
  </si>
  <si>
    <t>tests/tests/webkitsecurity/src/android/webkitsecurity/cts/WebkitMaskCrashFigureTest.java</t>
  </si>
  <si>
    <t>tests/tests/webkitsecurity/src/android/webkitsecurity/cts/WebkitMaskCrashTableTest.java</t>
  </si>
  <si>
    <t>tests/tests/webkitsecurity/src/android/webkitsecurity/cts/WebkitMaskCrashTdTest.java</t>
  </si>
  <si>
    <t>tests/tests/webkitsecurity/src/android/webkitsecurity/cts/WebkitMaskCrashTdTwoTest.java</t>
  </si>
  <si>
    <t>tests/tests/webkitsecurity/src/android/webkitsecurity/cts/WebkitMaskMissingImageCrashTest.java</t>
  </si>
  <si>
    <t>tests/tests/webkitsecurity/src/android/webkitsecurity/cts/WebkitMathOptionsCrashTest.java</t>
  </si>
  <si>
    <t>tests/tests/webkitsecurity/src/android/webkitsecurity/cts/WebkitMatrixAsFunctionCrashTest.java</t>
  </si>
  <si>
    <t>tests/tests/webkitsecurity/src/android/webkitsecurity/cts/WebkitMediaControlsCloneCrashTest.java</t>
  </si>
  <si>
    <t>tests/tests/webkitsecurity/src/android/webkitsecurity/cts/WebkitMediaQueryEvaluatorCrashTest.java</t>
  </si>
  <si>
    <t>tests/tests/webkitsecurity/src/android/webkitsecurity/cts/WebkitMediaSvgCrashTest.java</t>
  </si>
  <si>
    <t>tests/tests/webkitsecurity/src/android/webkitsecurity/cts/WebkitMenulistPopupCrashTest.java</t>
  </si>
  <si>
    <t>tests/tests/webkitsecurity/src/android/webkitsecurity/cts/WebkitMergeAnonymousBlockRemoveChildCrashTest.java</t>
  </si>
  <si>
    <t>tests/tests/webkitsecurity/src/android/webkitsecurity/cts/WebkitMergeAnonymousBlockRemoveChildCrashtwoTest.java</t>
  </si>
  <si>
    <t>tests/tests/webkitsecurity/src/android/webkitsecurity/cts/WebkitMeterElementCrashTest.java</t>
  </si>
  <si>
    <t>tests/tests/webkitsecurity/src/android/webkitsecurity/cts/WebkitMeterElementWithChildCrashTest.java</t>
  </si>
  <si>
    <t>tests/tests/webkitsecurity/src/android/webkitsecurity/cts/WebkitModCrashTest.java</t>
  </si>
  <si>
    <t>tests/tests/webkitsecurity/src/android/webkitsecurity/cts/WebkitMouseMovedRemoveFrameCrashTest.java</t>
  </si>
  <si>
    <t>tests/tests/webkitsecurity/src/android/webkitsecurity/cts/WebkitMoveByWordVisuallyCrashTestFourTest.java</t>
  </si>
  <si>
    <t>tests/tests/webkitsecurity/src/android/webkitsecurity/cts/WebkitMoveByWordVisuallyCrashTestOneTest.java</t>
  </si>
  <si>
    <t>tests/tests/webkitsecurity/src/android/webkitsecurity/cts/WebkitMoveByWordVisuallyCrashTestTextareaTest.java</t>
  </si>
  <si>
    <t>tests/tests/webkitsecurity/src/android/webkitsecurity/cts/WebkitMoveByWordVisuallyCrashTestThreeTest.java</t>
  </si>
  <si>
    <t>tests/tests/webkitsecurity/src/android/webkitsecurity/cts/WebkitMoveByWordVisuallyCrashTestTwoTest.java</t>
  </si>
  <si>
    <t>tests/tests/webkitsecurity/src/android/webkitsecurity/cts/WebkitMsubAnonymousChildRenderCrashTest.java</t>
  </si>
  <si>
    <t>tests/tests/webkitsecurity/src/android/webkitsecurity/cts/WebkitMultilineAndObjectInsideIsolateCrashTest.java</t>
  </si>
  <si>
    <t>tests/tests/webkitsecurity/src/android/webkitsecurity/cts/WebkitMultipleCaptionsCrashfiveExpectedTest.java</t>
  </si>
  <si>
    <t>tests/tests/webkitsecurity/src/android/webkitsecurity/cts/WebkitMultipleCaptionsCrashfiveTest.java</t>
  </si>
  <si>
    <t>tests/tests/webkitsecurity/src/android/webkitsecurity/cts/WebkitMultipleCaptionsCrashfourExpectedTest.java</t>
  </si>
  <si>
    <t>tests/tests/webkitsecurity/src/android/webkitsecurity/cts/WebkitMultipleCaptionsCrashfourTest.java</t>
  </si>
  <si>
    <t>tests/tests/webkitsecurity/src/android/webkitsecurity/cts/WebkitMultipleCaptionsCrashthreeExpectedTest.java</t>
  </si>
  <si>
    <t>tests/tests/webkitsecurity/src/android/webkitsecurity/cts/WebkitMultipleCaptionsCrashthreeTest.java</t>
  </si>
  <si>
    <t>tests/tests/webkitsecurity/src/android/webkitsecurity/cts/WebkitMultipleCursorsCrashTest.java</t>
  </si>
  <si>
    <t>tests/tests/webkitsecurity/src/android/webkitsecurity/cts/WebkitMutationCallbackNonElementCrashTest.java</t>
  </si>
  <si>
    <t>tests/tests/webkitsecurity/src/android/webkitsecurity/cts/WebkitNamednodemapSetnameditemCrashTest.java</t>
  </si>
  <si>
    <t>tests/tests/webkitsecurity/src/android/webkitsecurity/cts/WebkitNavigationRedirectScheduleCrashTest.java</t>
  </si>
  <si>
    <t>tests/tests/webkitsecurity/src/android/webkitsecurity/cts/WebkitNavigatorCookieenabledNoCrashTest.java</t>
  </si>
  <si>
    <t>tests/tests/webkitsecurity/src/android/webkitsecurity/cts/WebkitNavigatorDetachedNoCrashTest.java</t>
  </si>
  <si>
    <t>tests/tests/webkitsecurity/src/android/webkitsecurity/cts/WebkitNavigatorPluginsCrashTest.java</t>
  </si>
  <si>
    <t>tests/tests/webkitsecurity/src/android/webkitsecurity/cts/WebkitNegativeRemainingLengthCrashTest.java</t>
  </si>
  <si>
    <t>tests/tests/webkitsecurity/src/android/webkitsecurity/cts/WebkitNestedBidiIsolateCrashTest.java</t>
  </si>
  <si>
    <t>tests/tests/webkitsecurity/src/android/webkitsecurity/cts/WebkitNestedEventRemoveNodeCrashTest.java</t>
  </si>
  <si>
    <t>tests/tests/webkitsecurity/src/android/webkitsecurity/cts/WebkitNestedFirstLetterWithFloatCrashTest.java</t>
  </si>
  <si>
    <t>tests/tests/webkitsecurity/src/android/webkitsecurity/cts/WebkitNestedFragmentParserCrashTest.java</t>
  </si>
  <si>
    <t>tests/tests/webkitsecurity/src/android/webkitsecurity/cts/WebkitNestedLayoutCrashTest.java</t>
  </si>
  <si>
    <t>tests/tests/webkitsecurity/src/android/webkitsecurity/cts/WebkitNestedTablesWithBeforeAfterContentCrashTest.java</t>
  </si>
  <si>
    <t>tests/tests/webkitsecurity/src/android/webkitsecurity/cts/WebkitNoOverhangingFloatCrashTest.java</t>
  </si>
  <si>
    <t>tests/tests/webkitsecurity/src/android/webkitsecurity/cts/WebkitNodeFilterDetachedIframeCrashTest.java</t>
  </si>
  <si>
    <t>tests/tests/webkitsecurity/src/android/webkitsecurity/cts/WebkitNodeIteratorDocumentMovedCrashTest.java</t>
  </si>
  <si>
    <t>tests/tests/webkitsecurity/src/android/webkitsecurity/cts/WebkitNodeIteratorReferenceNodeMovedCrashTest.java</t>
  </si>
  <si>
    <t>tests/tests/webkitsecurity/src/android/webkitsecurity/cts/WebkitNodeMoveToNewDocumentCrashMainTest.java</t>
  </si>
  <si>
    <t>tests/tests/webkitsecurity/src/android/webkitsecurity/cts/WebkitNonExistentEventsourceStatusErrorIframeCrashTest.java</t>
  </si>
  <si>
    <t>tests/tests/webkitsecurity/src/android/webkitsecurity/cts/WebkitNonNativeImageCrashTest.java</t>
  </si>
  <si>
    <t>tests/tests/webkitsecurity/src/android/webkitsecurity/cts/WebkitNonStyledElementIdCrashTest.java</t>
  </si>
  <si>
    <t>tests/tests/webkitsecurity/src/android/webkitsecurity/cts/WebkitNormalizeCrashTest.java</t>
  </si>
  <si>
    <t>tests/tests/webkitsecurity/src/android/webkitsecurity/cts/WebkitNotificationsDocumentCloseCrashTest.java</t>
  </si>
  <si>
    <t>tests/tests/webkitsecurity/src/android/webkitsecurity/cts/WebkitNotificationsWindowCloseCrashTest.java</t>
  </si>
  <si>
    <t>tests/tests/webkitsecurity/src/android/webkitsecurity/cts/WebkitNullChardataCrashTest.java</t>
  </si>
  <si>
    <t>tests/tests/webkitsecurity/src/android/webkitsecurity/cts/WebkitNullDocumentLocationAssignCrashTest.java</t>
  </si>
  <si>
    <t>tests/tests/webkitsecurity/src/android/webkitsecurity/cts/WebkitNullDocumentLocationHrefPutCrashTest.java</t>
  </si>
  <si>
    <t>tests/tests/webkitsecurity/src/android/webkitsecurity/cts/WebkitNullDocumentLocationPutCrashTest.java</t>
  </si>
  <si>
    <t>tests/tests/webkitsecurity/src/android/webkitsecurity/cts/WebkitNullDocumentLocationReplaceCrashTest.java</t>
  </si>
  <si>
    <t>tests/tests/webkitsecurity/src/android/webkitsecurity/cts/WebkitNullDocumentWindowOpenCrashTest.java</t>
  </si>
  <si>
    <t>tests/tests/webkitsecurity/src/android/webkitsecurity/cts/WebkitNullPageShowModalDialogCrashTest.java</t>
  </si>
  <si>
    <t>tests/tests/webkitsecurity/src/android/webkitsecurity/cts/WebkitNumberParsingCrashTest.java</t>
  </si>
  <si>
    <t>tests/tests/webkitsecurity/src/android/webkitsecurity/cts/WebkitNumberParsingCrashTwoTest.java</t>
  </si>
  <si>
    <t>tests/tests/webkitsecurity/src/android/webkitsecurity/cts/WebkitOneLetterTransformCrashTest.java</t>
  </si>
  <si>
    <t>tests/tests/webkitsecurity/src/android/webkitsecurity/cts/WebkitOnloadRemoveIframeCrashTest.java</t>
  </si>
  <si>
    <t>tests/tests/webkitsecurity/src/android/webkitsecurity/cts/WebkitOnloadRemoveIframeCrashTwoTest.java</t>
  </si>
  <si>
    <t>tests/tests/webkitsecurity/src/android/webkitsecurity/cts/WebkitOnloadframecrashTest.java</t>
  </si>
  <si>
    <t>tests/tests/webkitsecurity/src/android/webkitsecurity/cts/WebkitOnunloadFormSubmitCrashTest.java</t>
  </si>
  <si>
    <t>tests/tests/webkitsecurity/src/android/webkitsecurity/cts/WebkitOnunloadFormSubmitCrashTwoTest.java</t>
  </si>
  <si>
    <t>tests/tests/webkitsecurity/src/android/webkitsecurity/cts/WebkitOrphanedSelectionCrashBugthreetwoeighttwothreeFourTest.java</t>
  </si>
  <si>
    <t>tests/tests/webkitsecurity/src/android/webkitsecurity/cts/WebkitOrphanedSelectionCrashBugthreetwoeighttwothreeOneTest.java</t>
  </si>
  <si>
    <t>tests/tests/webkitsecurity/src/android/webkitsecurity/cts/WebkitOrphanedSelectionCrashBugthreetwoeighttwothreeThreeTest.java</t>
  </si>
  <si>
    <t>tests/tests/webkitsecurity/src/android/webkitsecurity/cts/WebkitOrphanedSelectionCrashBugthreetwoeighttwothreeTwoTest.java</t>
  </si>
  <si>
    <t>tests/tests/webkitsecurity/src/android/webkitsecurity/cts/WebkitOrphanedUnitsCrashTest.java</t>
  </si>
  <si>
    <t>tests/tests/webkitsecurity/src/android/webkitsecurity/cts/WebkitOverflowCustomScrollbarCrashTest.java</t>
  </si>
  <si>
    <t>tests/tests/webkitsecurity/src/android/webkitsecurity/cts/WebkitOverflowHeightFloatNotRemovedCrashTest.java</t>
  </si>
  <si>
    <t>tests/tests/webkitsecurity/src/android/webkitsecurity/cts/WebkitOverflowHeightFloatNotRemovedCrashthreeTest.java</t>
  </si>
  <si>
    <t>tests/tests/webkitsecurity/src/android/webkitsecurity/cts/WebkitOverflowHeightFloatNotRemovedCrashtwoTest.java</t>
  </si>
  <si>
    <t>tests/tests/webkitsecurity/src/android/webkitsecurity/cts/WebkitOverhangingFloatLegendCrashTest.java</t>
  </si>
  <si>
    <t>tests/tests/webkitsecurity/src/android/webkitsecurity/cts/WebkitOverhangingFloatsNotRemovedCrashTest.java</t>
  </si>
  <si>
    <t>tests/tests/webkitsecurity/src/android/webkitsecurity/cts/WebkitOverrideTransitionCrashTest.java</t>
  </si>
  <si>
    <t>tests/tests/webkitsecurity/src/android/webkitsecurity/cts/WebkitPageCacheCrashOnDataUrlsTest.java</t>
  </si>
  <si>
    <t>tests/tests/webkitsecurity/src/android/webkitsecurity/cts/WebkitPaginatedLayerCrashTest.java</t>
  </si>
  <si>
    <t>tests/tests/webkitsecurity/src/android/webkitsecurity/cts/WebkitParentBoxNotBoxCrashTest.java</t>
  </si>
  <si>
    <t>tests/tests/webkitsecurity/src/android/webkitsecurity/cts/WebkitParentViewLayoutCrashTest.java</t>
  </si>
  <si>
    <t>tests/tests/webkitsecurity/src/android/webkitsecurity/cts/WebkitParseColorIntOrPercentCrashTest.java</t>
  </si>
  <si>
    <t>tests/tests/webkitsecurity/src/android/webkitsecurity/cts/WebkitParseTimingFunctionCrashTest.java</t>
  </si>
  <si>
    <t>tests/tests/webkitsecurity/src/android/webkitsecurity/cts/WebkitPathGetpresentationattributeCrashTest.java</t>
  </si>
  <si>
    <t>tests/tests/webkitsecurity/src/android/webkitsecurity/cts/WebkitPauseCrashTest.java</t>
  </si>
  <si>
    <t>tests/tests/webkitsecurity/src/android/webkitsecurity/cts/WebkitPendingImagesCrashTest.java</t>
  </si>
  <si>
    <t>tests/tests/webkitsecurity/src/android/webkitsecurity/cts/WebkitPendingReflectionMaskCrashTest.java</t>
  </si>
  <si>
    <t>tests/tests/webkitsecurity/src/android/webkitsecurity/cts/WebkitPercentHeightDescendantNotRemovedCrashTest.java</t>
  </si>
  <si>
    <t>tests/tests/webkitsecurity/src/android/webkitsecurity/cts/WebkitPlaceholderCrashWithScrollbarCornerTest.java</t>
  </si>
  <si>
    <t>tests/tests/webkitsecurity/src/android/webkitsecurity/cts/WebkitPngExtraRowCrashTest.java</t>
  </si>
  <si>
    <t>tests/tests/webkitsecurity/src/android/webkitsecurity/cts/WebkitPolylinePointsCrashTest.java</t>
  </si>
  <si>
    <t>tests/tests/webkitsecurity/src/android/webkitsecurity/cts/WebkitPositionAbsoluteToFixedCrashTest.java</t>
  </si>
  <si>
    <t>tests/tests/webkitsecurity/src/android/webkitsecurity/cts/WebkitPositionedBackgroundHitTestCrashTest.java</t>
  </si>
  <si>
    <t>tests/tests/webkitsecurity/src/android/webkitsecurity/cts/WebkitPositionedChildNotRemovedCrashTest.java</t>
  </si>
  <si>
    <t>tests/tests/webkitsecurity/src/android/webkitsecurity/cts/WebkitPositionedCountCrashTest.java</t>
  </si>
  <si>
    <t>tests/tests/webkitsecurity/src/android/webkitsecurity/cts/WebkitPositionedDivWithFloatingAfterContentCrashFrameoneTest.java</t>
  </si>
  <si>
    <t>tests/tests/webkitsecurity/src/android/webkitsecurity/cts/WebkitPositionedDivWithFloatingAfterContentCrashFrametwoTest.java</t>
  </si>
  <si>
    <t>tests/tests/webkitsecurity/src/android/webkitsecurity/cts/WebkitPositionedDivWithFloatingAfterContentCrashTest.java</t>
  </si>
  <si>
    <t>tests/tests/webkitsecurity/src/android/webkitsecurity/cts/WebkitPositionedGeneratedContentUnderRunInCrashTest.java</t>
  </si>
  <si>
    <t>tests/tests/webkitsecurity/src/android/webkitsecurity/cts/WebkitPositionedInRelativePositionInlineCrashTest.java</t>
  </si>
  <si>
    <t>tests/tests/webkitsecurity/src/android/webkitsecurity/cts/WebkitPrintCloseCrashTest.java</t>
  </si>
  <si>
    <t>tests/tests/webkitsecurity/src/android/webkitsecurity/cts/WebkitProcessEndTagForInbodyCrashTest.java</t>
  </si>
  <si>
    <t>tests/tests/webkitsecurity/src/android/webkitsecurity/cts/WebkitProgressElementWithChildCrashTest.java</t>
  </si>
  <si>
    <t>tests/tests/webkitsecurity/src/android/webkitsecurity/cts/WebkitProgressElementWithStyleCrashTest.java</t>
  </si>
  <si>
    <t>tests/tests/webkitsecurity/src/android/webkitsecurity/cts/WebkitRangeDeleteContentsEventFireCrashTest.java</t>
  </si>
  <si>
    <t>tests/tests/webkitsecurity/src/android/webkitsecurity/cts/WebkitRangeExtractContentsEventFireCrashTest.java</t>
  </si>
  <si>
    <t>tests/tests/webkitsecurity/src/android/webkitsecurity/cts/WebkitRangeExtractContentsEventFireCrashtwoTest.java</t>
  </si>
  <si>
    <t>tests/tests/webkitsecurity/src/android/webkitsecurity/cts/WebkitRangeInsertnodeCrashTest.java</t>
  </si>
  <si>
    <t>tests/tests/webkitsecurity/src/android/webkitsecurity/cts/WebkitRangeSelectionAcrossDocumentsCrashTest.java</t>
  </si>
  <si>
    <t>tests/tests/webkitsecurity/src/android/webkitsecurity/cts/WebkitReEnterAndCrashTest.java</t>
  </si>
  <si>
    <t>tests/tests/webkitsecurity/src/android/webkitsecurity/cts/WebkitRecalcSectionFirstBodyCrashMainTest.java</t>
  </si>
  <si>
    <t>tests/tests/webkitsecurity/src/android/webkitsecurity/cts/WebkitRecalcSectionFirstBodyCrashTest.java</t>
  </si>
  <si>
    <t>tests/tests/webkitsecurity/src/android/webkitsecurity/cts/WebkitRecursiveBeforeUnloadCrashTest.java</t>
  </si>
  <si>
    <t>tests/tests/webkitsecurity/src/android/webkitsecurity/cts/WebkitRedirectWithNoLocationCrashTest.java</t>
  </si>
  <si>
    <t>tests/tests/webkitsecurity/src/android/webkitsecurity/cts/WebkitReflectedImgCrashTest.java</t>
  </si>
  <si>
    <t>tests/tests/webkitsecurity/src/android/webkitsecurity/cts/WebkitRegexpCharclassCrashTest.java</t>
  </si>
  <si>
    <t>tests/tests/webkitsecurity/src/android/webkitsecurity/cts/WebkitRegexpCompileCrashTest.java</t>
  </si>
  <si>
    <t>tests/tests/webkitsecurity/src/android/webkitsecurity/cts/WebkitRegexpExtendedCharactersCrashTest.java</t>
  </si>
  <si>
    <t>tests/tests/webkitsecurity/src/android/webkitsecurity/cts/WebkitRegionRangeForBoxCrashTest.java</t>
  </si>
  <si>
    <t>tests/tests/webkitsecurity/src/android/webkitsecurity/cts/WebkitRelativePositionReplacedInTableDisplayCrashTest.java</t>
  </si>
  <si>
    <t>tests/tests/webkitsecurity/src/android/webkitsecurity/cts/WebkitRelativePositionedRtlCrashTest.java</t>
  </si>
  <si>
    <t>tests/tests/webkitsecurity/src/android/webkitsecurity/cts/WebkitRelayoutNestedPositionedElementsCrashTest.java</t>
  </si>
  <si>
    <t>tests/tests/webkitsecurity/src/android/webkitsecurity/cts/WebkitReloadCrashIframeTest.java</t>
  </si>
  <si>
    <t>tests/tests/webkitsecurity/src/android/webkitsecurity/cts/WebkitReloadCrashTest.java</t>
  </si>
  <si>
    <t>tests/tests/webkitsecurity/src/android/webkitsecurity/cts/WebkitRemovalBeforeAttachCrashTest.java</t>
  </si>
  <si>
    <t>tests/tests/webkitsecurity/src/android/webkitsecurity/cts/WebkitRemovalOfMulticolSpanCrashTest.java</t>
  </si>
  <si>
    <t>tests/tests/webkitsecurity/src/android/webkitsecurity/cts/WebkitRemoveAllChildrenCrashTest.java</t>
  </si>
  <si>
    <t>tests/tests/webkitsecurity/src/android/webkitsecurity/cts/WebkitRemoveDivFromFlexibleBoxWithFloatingAfterContentCrashTest.java</t>
  </si>
  <si>
    <t>tests/tests/webkitsecurity/src/android/webkitsecurity/cts/WebkitRemoveElementFromWithinFocusHandlerCrashTest.java</t>
  </si>
  <si>
    <t>tests/tests/webkitsecurity/src/android/webkitsecurity/cts/WebkitRemoveFormatNonHtmlElementCrashTest.java</t>
  </si>
  <si>
    <t>tests/tests/webkitsecurity/src/android/webkitsecurity/cts/WebkitRemoveFrameWithScrollbarsCrashTest.java</t>
  </si>
  <si>
    <t>tests/tests/webkitsecurity/src/android/webkitsecurity/cts/WebkitRemoveIframeCrashTest.java</t>
  </si>
  <si>
    <t>tests/tests/webkitsecurity/src/android/webkitsecurity/cts/WebkitRemoveListmarkerFromAnonblockWithContinuationCrashTest.java</t>
  </si>
  <si>
    <t>tests/tests/webkitsecurity/src/android/webkitsecurity/cts/WebkitRemoveNamedAttributeCrashTest.java</t>
  </si>
  <si>
    <t>tests/tests/webkitsecurity/src/android/webkitsecurity/cts/WebkitRemoveReflectionCrashTest.java</t>
  </si>
  <si>
    <t>tests/tests/webkitsecurity/src/android/webkitsecurity/cts/WebkitRemoveRemoteContextInErrorCallbackCrashInnerTest.java</t>
  </si>
  <si>
    <t>tests/tests/webkitsecurity/src/android/webkitsecurity/cts/WebkitRemoveRemoteContextInErrorCallbackCrashTest.java</t>
  </si>
  <si>
    <t>tests/tests/webkitsecurity/src/android/webkitsecurity/cts/WebkitRemoveShadowHostCrashTest.java</t>
  </si>
  <si>
    <t>tests/tests/webkitsecurity/src/android/webkitsecurity/cts/WebkitRemoveTimeoutCrashTest.java</t>
  </si>
  <si>
    <t>tests/tests/webkitsecurity/src/android/webkitsecurity/cts/WebkitRemovedAnonymousBlockChildCausesCrashTest.java</t>
  </si>
  <si>
    <t>tests/tests/webkitsecurity/src/android/webkitsecurity/cts/WebkitRemovedContinuationElementCausesCrashTest.java</t>
  </si>
  <si>
    <t>tests/tests/webkitsecurity/src/android/webkitsecurity/cts/WebkitRemovedMediaRuleDeletedParentCrashTest.java</t>
  </si>
  <si>
    <t>tests/tests/webkitsecurity/src/android/webkitsecurity/cts/WebkitRemovedStylesheetRuleDeletedParentCrashTest.java</t>
  </si>
  <si>
    <t>tests/tests/webkitsecurity/src/android/webkitsecurity/cts/WebkitRemovingInsideRelpositionedInlineCrashTest.java</t>
  </si>
  <si>
    <t>tests/tests/webkitsecurity/src/android/webkitsecurity/cts/WebkitRemovingTextareaAfterEditCrashTest.java</t>
  </si>
  <si>
    <t>tests/tests/webkitsecurity/src/android/webkitsecurity/cts/WebkitRenderTextCrashTest.java</t>
  </si>
  <si>
    <t>tests/tests/webkitsecurity/src/android/webkitsecurity/cts/WebkitRenderTreeReorgCrashTest.java</t>
  </si>
  <si>
    <t>tests/tests/webkitsecurity/src/android/webkitsecurity/cts/WebkitRendererDestructionByInvalidateselectionCrashTest.java</t>
  </si>
  <si>
    <t>tests/tests/webkitsecurity/src/android/webkitsecurity/cts/WebkitRendererPositionedAssertCrashTest.java</t>
  </si>
  <si>
    <t>tests/tests/webkitsecurity/src/android/webkitsecurity/cts/WebkitRepaintDisplayNoneCrashTest.java</t>
  </si>
  <si>
    <t>tests/tests/webkitsecurity/src/android/webkitsecurity/cts/WebkitReparentTableChildrenWithCountersCrashTest.java</t>
  </si>
  <si>
    <t>tests/tests/webkitsecurity/src/android/webkitsecurity/cts/WebkitReplaceSelectionCrashTest.java</t>
  </si>
  <si>
    <t>tests/tests/webkitsecurity/src/android/webkitsecurity/cts/WebkitReplaceTextInNodePreservingMarkersCrashTest.java</t>
  </si>
  <si>
    <t>tests/tests/webkitsecurity/src/android/webkitsecurity/cts/WebkitReplacementFragmentRemoveUnrenderedNodeCrashTest.java</t>
  </si>
  <si>
    <t>tests/tests/webkitsecurity/src/android/webkitsecurity/cts/WebkitResizeLayerDeletionCrashTest.java</t>
  </si>
  <si>
    <t>tests/tests/webkitsecurity/src/android/webkitsecurity/cts/WebkitRootInlineboxSelectedChildrenCrashTest.java</t>
  </si>
  <si>
    <t>tests/tests/webkitsecurity/src/android/webkitsecurity/cts/WebkitRootObjectPrematureDeleteCrashTest.java</t>
  </si>
  <si>
    <t>tests/tests/webkitsecurity/src/android/webkitsecurity/cts/WebkitRowInTbodyBeforeMisnestedTextCrashCssTest.java</t>
  </si>
  <si>
    <t>tests/tests/webkitsecurity/src/android/webkitsecurity/cts/WebkitRtlFirstLetterTextIteratorCrashTest.java</t>
  </si>
  <si>
    <t>tests/tests/webkitsecurity/src/android/webkitsecurity/cts/WebkitRtlNthChildFirstLetterCrashTest.java</t>
  </si>
  <si>
    <t>tests/tests/webkitsecurity/src/android/webkitsecurity/cts/WebkitRtlSelectionCrashTest.java</t>
  </si>
  <si>
    <t>tests/tests/webkitsecurity/src/android/webkitsecurity/cts/WebkitRubyBaseMergeBlockChildrenCrashTest.java</t>
  </si>
  <si>
    <t>tests/tests/webkitsecurity/src/android/webkitsecurity/cts/WebkitRubyOverhangCrashTest.java</t>
  </si>
  <si>
    <t>tests/tests/webkitsecurity/src/android/webkitsecurity/cts/WebkitRunInCrashTest.java</t>
  </si>
  <si>
    <t>tests/tests/webkitsecurity/src/android/webkitsecurity/cts/WebkitRuninContinuationCrashTest.java</t>
  </si>
  <si>
    <t>tests/tests/webkitsecurity/src/android/webkitsecurity/cts/WebkitRuninReparentCrashTest.java</t>
  </si>
  <si>
    <t>tests/tests/webkitsecurity/src/android/webkitsecurity/cts/WebkitSandboxedPluginCrashTest.java</t>
  </si>
  <si>
    <t>tests/tests/webkitsecurity/src/android/webkitsecurity/cts/WebkitSavedStateAdoptnodeCrashTest.java</t>
  </si>
  <si>
    <t>tests/tests/webkitsecurity/src/android/webkitsecurity/cts/WebkitScriptElementWithoutFrameCrashTest.java</t>
  </si>
  <si>
    <t>tests/tests/webkitsecurity/src/android/webkitsecurity/cts/WebkitScrollableIframeRemoveCrashTest.java</t>
  </si>
  <si>
    <t>tests/tests/webkitsecurity/src/android/webkitsecurity/cts/WebkitScrollbarCrashOnRefreshTest.java</t>
  </si>
  <si>
    <t>tests/tests/webkitsecurity/src/android/webkitsecurity/cts/WebkitScrollbarGradientCrashTest.java</t>
  </si>
  <si>
    <t>tests/tests/webkitsecurity/src/android/webkitsecurity/cts/WebkitScrollbarPartCreatedWithNoParentCrashTest.java</t>
  </si>
  <si>
    <t>tests/tests/webkitsecurity/src/android/webkitsecurity/cts/WebkitSearchFieldCrashInDesignmodeTest.java</t>
  </si>
  <si>
    <t>tests/tests/webkitsecurity/src/android/webkitsecurity/cts/WebkitSearchPopupCrasherTest.java</t>
  </si>
  <si>
    <t>tests/tests/webkitsecurity/src/android/webkitsecurity/cts/WebkitSearchShadowHostCrashTest.java</t>
  </si>
  <si>
    <t>tests/tests/webkitsecurity/src/android/webkitsecurity/cts/WebkitSectionInTableBeforeMisnestedTextCrashCssTest.java</t>
  </si>
  <si>
    <t>tests/tests/webkitsecurity/src/android/webkitsecurity/cts/WebkitSelectCrashZerozerooneTest.java</t>
  </si>
  <si>
    <t>tests/tests/webkitsecurity/src/android/webkitsecurity/cts/WebkitSelectCrashZerozerotwoTest.java</t>
  </si>
  <si>
    <t>tests/tests/webkitsecurity/src/android/webkitsecurity/cts/WebkitSelectInRegionCrashTest.java</t>
  </si>
  <si>
    <t>tests/tests/webkitsecurity/src/android/webkitsecurity/cts/WebkitSelectOnchangeCrashTest.java</t>
  </si>
  <si>
    <t>tests/tests/webkitsecurity/src/android/webkitsecurity/cts/WebkitSelectOptionAccesskeyCrashTest.java</t>
  </si>
  <si>
    <t>tests/tests/webkitsecurity/src/android/webkitsecurity/cts/WebkitSelectStartRemoveRootCrashTest.java</t>
  </si>
  <si>
    <t>tests/tests/webkitsecurity/src/android/webkitsecurity/cts/WebkitSelectedTabCrashTest.java</t>
  </si>
  <si>
    <t>tests/tests/webkitsecurity/src/android/webkitsecurity/cts/WebkitSelectionGapClipOutTigerCrashTest.java</t>
  </si>
  <si>
    <t>tests/tests/webkitsecurity/src/android/webkitsecurity/cts/WebkitSelectionModifyCrashTest.java</t>
  </si>
  <si>
    <t>tests/tests/webkitsecurity/src/android/webkitsecurity/cts/WebkitSelectionPluginClearCrashTest.java</t>
  </si>
  <si>
    <t>tests/tests/webkitsecurity/src/android/webkitsecurity/cts/WebkitSetBoxStyleInRegionCrashTest.java</t>
  </si>
  <si>
    <t>tests/tests/webkitsecurity/src/android/webkitsecurity/cts/WebkitSetTypeToNullCrashTest.java</t>
  </si>
  <si>
    <t>tests/tests/webkitsecurity/src/android/webkitsecurity/cts/WebkitShorthandMismatchedListCrashTest.java</t>
  </si>
  <si>
    <t>tests/tests/webkitsecurity/src/android/webkitsecurity/cts/WebkitSliderCrashTest.java</t>
  </si>
  <si>
    <t>tests/tests/webkitsecurity/src/android/webkitsecurity/cts/WebkitSmallCapsCrashTest.java</t>
  </si>
  <si>
    <t>tests/tests/webkitsecurity/src/android/webkitsecurity/cts/WebkitSmilElementNotRemovedCrashTest.java</t>
  </si>
  <si>
    <t>tests/tests/webkitsecurity/src/android/webkitsecurity/cts/WebkitSortNoJitCodeCrashTest.java</t>
  </si>
  <si>
    <t>tests/tests/webkitsecurity/src/android/webkitsecurity/cts/WebkitSpellcheckApiCrashTest.java</t>
  </si>
  <si>
    <t>tests/tests/webkitsecurity/src/android/webkitsecurity/cts/WebkitSpellcheckInputSearchCrashTest.java</t>
  </si>
  <si>
    <t>tests/tests/webkitsecurity/src/android/webkitsecurity/cts/WebkitSplitFlowAnonymousWrapperCrashTest.java</t>
  </si>
  <si>
    <t>tests/tests/webkitsecurity/src/android/webkitsecurity/cts/WebkitSplitInlineWrongPostBlockCrashTest.java</t>
  </si>
  <si>
    <t>tests/tests/webkitsecurity/src/android/webkitsecurity/cts/WebkitStaleGridCrashTest.java</t>
  </si>
  <si>
    <t>tests/tests/webkitsecurity/src/android/webkitsecurity/cts/WebkitStaleStyleSelectorCrashOneTest.java</t>
  </si>
  <si>
    <t>tests/tests/webkitsecurity/src/android/webkitsecurity/cts/WebkitStaleStyleSelectorCrashTwoTest.java</t>
  </si>
  <si>
    <t>tests/tests/webkitsecurity/src/android/webkitsecurity/cts/WebkitStateApiOnDetachedFrameCrashTest.java</t>
  </si>
  <si>
    <t>tests/tests/webkitsecurity/src/android/webkitsecurity/cts/WebkitStatementListRegisterCrashTest.java</t>
  </si>
  <si>
    <t>tests/tests/webkitsecurity/src/android/webkitsecurity/cts/WebkitStopCrashTest.java</t>
  </si>
  <si>
    <t>tests/tests/webkitsecurity/src/android/webkitsecurity/cts/WebkitStringReplaceExceptionCrashTest.java</t>
  </si>
  <si>
    <t>tests/tests/webkitsecurity/src/android/webkitsecurity/cts/WebkitStyleAccessDuringImagechangedCrashTest.java</t>
  </si>
  <si>
    <t>tests/tests/webkitsecurity/src/android/webkitsecurity/cts/WebkitStyledCloneInlineStyleDeclParentCrashTest.java</t>
  </si>
  <si>
    <t>tests/tests/webkitsecurity/src/android/webkitsecurity/cts/WebkitStyledNotInDocumentCloneInlineStyleDeclParentCrashTest.java</t>
  </si>
  <si>
    <t>tests/tests/webkitsecurity/src/android/webkitsecurity/cts/WebkitStylesheetCandidateNodeCrashMainTest.java</t>
  </si>
  <si>
    <t>tests/tests/webkitsecurity/src/android/webkitsecurity/cts/WebkitSubframeLoadCrashMainTest.java</t>
  </si>
  <si>
    <t>tests/tests/webkitsecurity/src/android/webkitsecurity/cts/WebkitSubresourceLoadFailedCrashTest.java</t>
  </si>
  <si>
    <t>tests/tests/webkitsecurity/src/android/webkitsecurity/cts/WebkitSvgBackgroundCrashOnRefreshTest.java</t>
  </si>
  <si>
    <t>tests/tests/webkitsecurity/src/android/webkitsecurity/cts/WebkitSvgEllipseRenderCrashTest.java</t>
  </si>
  <si>
    <t>tests/tests/webkitsecurity/src/android/webkitsecurity/cts/WebkitSvgRtlTextCrashTest.java</t>
  </si>
  <si>
    <t>tests/tests/webkitsecurity/src/android/webkitsecurity/cts/WebkitSvglengthAnimationRetargetCrashTest.java</t>
  </si>
  <si>
    <t>tests/tests/webkitsecurity/src/android/webkitsecurity/cts/WebkitSvgpolygonelementBasevalListRemovalCrashTest.java</t>
  </si>
  <si>
    <t>tests/tests/webkitsecurity/src/android/webkitsecurity/cts/WebkitSvgstyledelementPendingresourceCrashTest.java</t>
  </si>
  <si>
    <t>tests/tests/webkitsecurity/src/android/webkitsecurity/cts/WebkitSwitchMultipleListItemsCrashTest.java</t>
  </si>
  <si>
    <t>tests/tests/webkitsecurity/src/android/webkitsecurity/cts/WebkitTabCrashWithImageMapTest.java</t>
  </si>
  <si>
    <t>tests/tests/webkitsecurity/src/android/webkitsecurity/cts/WebkitTableAnonymousBlockDestroyCrashTest.java</t>
  </si>
  <si>
    <t>tests/tests/webkitsecurity/src/android/webkitsecurity/cts/WebkitTableCaptionsChildVisibleCrashTest.java</t>
  </si>
  <si>
    <t>tests/tests/webkitsecurity/src/android/webkitsecurity/cts/WebkitTableColumnsBlocksCalcCrashTest.java</t>
  </si>
  <si>
    <t>tests/tests/webkitsecurity/src/android/webkitsecurity/cts/WebkitTableContinuationOutlinePaintCrashTest.java</t>
  </si>
  <si>
    <t>tests/tests/webkitsecurity/src/android/webkitsecurity/cts/WebkitTableModificationCrashTest.java</t>
  </si>
  <si>
    <t>tests/tests/webkitsecurity/src/android/webkitsecurity/cts/WebkitTableMultiColumnCrashTest.java</t>
  </si>
  <si>
    <t>tests/tests/webkitsecurity/src/android/webkitsecurity/cts/WebkitTableResidualStyleCrashTest.java</t>
  </si>
  <si>
    <t>tests/tests/webkitsecurity/src/android/webkitsecurity/cts/WebkitTableRowAfterNoCrashTest.java</t>
  </si>
  <si>
    <t>tests/tests/webkitsecurity/src/android/webkitsecurity/cts/WebkitTableRowCompositingRepaintCrashTest.java</t>
  </si>
  <si>
    <t>tests/tests/webkitsecurity/src/android/webkitsecurity/cts/WebkitTableSectionNodeAtPointCrashTest.java</t>
  </si>
  <si>
    <t>tests/tests/webkitsecurity/src/android/webkitsecurity/cts/WebkitTableWithEmptyTheadCausesCrashTest.java</t>
  </si>
  <si>
    <t>tests/tests/webkitsecurity/src/android/webkitsecurity/cts/WebkitTeardownCrashTest.java</t>
  </si>
  <si>
    <t>tests/tests/webkitsecurity/src/android/webkitsecurity/cts/WebkitTemporarySpanCrashTest.java</t>
  </si>
  <si>
    <t>tests/tests/webkitsecurity/src/android/webkitsecurity/cts/WebkitTextBeforeTableColCrashTest.java</t>
  </si>
  <si>
    <t>tests/tests/webkitsecurity/src/android/webkitsecurity/cts/WebkitTextContentCrashTest.java</t>
  </si>
  <si>
    <t>tests/tests/webkitsecurity/src/android/webkitsecurity/cts/WebkitTextContentCrashTwoTest.java</t>
  </si>
  <si>
    <t>tests/tests/webkitsecurity/src/android/webkitsecurity/cts/WebkitTextControlCrashOnSelectTest.java</t>
  </si>
  <si>
    <t>tests/tests/webkitsecurity/src/android/webkitsecurity/cts/WebkitTextControlSelectionCrashTest.java</t>
  </si>
  <si>
    <t>tests/tests/webkitsecurity/src/android/webkitsecurity/cts/WebkitTextFieldSetvalueCrashTest.java</t>
  </si>
  <si>
    <t>tests/tests/webkitsecurity/src/android/webkitsecurity/cts/WebkitTextNodeAppendDataRemoveCrashTest.java</t>
  </si>
  <si>
    <t>tests/tests/webkitsecurity/src/android/webkitsecurity/cts/WebkitTextSetValueCrashTest.java</t>
  </si>
  <si>
    <t>tests/tests/webkitsecurity/src/android/webkitsecurity/cts/WebkitTextStyleRecalcCrashTest.java</t>
  </si>
  <si>
    <t>tests/tests/webkitsecurity/src/android/webkitsecurity/cts/WebkitTextareaCheckvalidityCrashTest.java</t>
  </si>
  <si>
    <t>tests/tests/webkitsecurity/src/android/webkitsecurity/cts/WebkitTextareaNodeRemovedFromDocumentCrashTest.java</t>
  </si>
  <si>
    <t>tests/tests/webkitsecurity/src/android/webkitsecurity/cts/WebkitTextareaSubmitCrashTest.java</t>
  </si>
  <si>
    <t>tests/tests/webkitsecurity/src/android/webkitsecurity/cts/WebkitTextboxNotRemovedCrashTest.java</t>
  </si>
  <si>
    <t>tests/tests/webkitsecurity/src/android/webkitsecurity/cts/WebkitTextboxRoleOnContenteditableCrashTest.java</t>
  </si>
  <si>
    <t>tests/tests/webkitsecurity/src/android/webkitsecurity/cts/WebkitThumbsliderCrashTest.java</t>
  </si>
  <si>
    <t>tests/tests/webkitsecurity/src/android/webkitsecurity/cts/WebkitToggleReflectionCrashTest.java</t>
  </si>
  <si>
    <t>tests/tests/webkitsecurity/src/android/webkitsecurity/cts/WebkitTouchStaleNodeCrashTest.java</t>
  </si>
  <si>
    <t>tests/tests/webkitsecurity/src/android/webkitsecurity/cts/WebkitTrackTextTrackDestructorCrashTest.java</t>
  </si>
  <si>
    <t>tests/tests/webkitsecurity/src/android/webkitsecurity/cts/WebkitTransactionCallbackExceptionCrashTest.java</t>
  </si>
  <si>
    <t>tests/tests/webkitsecurity/src/android/webkitsecurity/cts/WebkitTransactionCrashOnAbortTest.java</t>
  </si>
  <si>
    <t>tests/tests/webkitsecurity/src/android/webkitsecurity/cts/WebkitTransformCrashTest.java</t>
  </si>
  <si>
    <t>tests/tests/webkitsecurity/src/android/webkitsecurity/cts/WebkitTransitionCacheDictionaryCrashTest.java</t>
  </si>
  <si>
    <t>tests/tests/webkitsecurity/src/android/webkitsecurity/cts/WebkitTransitionDurationClearedInTransitionendCrashTest.java</t>
  </si>
  <si>
    <t>tests/tests/webkitsecurity/src/android/webkitsecurity/cts/WebkitTreeScopeCrashTest.java</t>
  </si>
  <si>
    <t>tests/tests/webkitsecurity/src/android/webkitsecurity/cts/WebkitTrefCloneCrashTest.java</t>
  </si>
  <si>
    <t>tests/tests/webkitsecurity/src/android/webkitsecurity/cts/WebkitTryCatchCrashTest.java</t>
  </si>
  <si>
    <t>tests/tests/webkitsecurity/src/android/webkitsecurity/cts/WebkitTwodTest.java</t>
  </si>
  <si>
    <t>tests/tests/webkitsecurity/src/android/webkitsecurity/cts/WebkitTypeofCodegenCrashTest.java</t>
  </si>
  <si>
    <t>tests/tests/webkitsecurity/src/android/webkitsecurity/cts/WebkitUndefinedPropertyCrashTest.java</t>
  </si>
  <si>
    <t>tests/tests/webkitsecurity/src/android/webkitsecurity/cts/WebkitUndoCrashTest.java</t>
  </si>
  <si>
    <t>tests/tests/webkitsecurity/src/android/webkitsecurity/cts/WebkitUnexpectedConstantCrashTest.java</t>
  </si>
  <si>
    <t>tests/tests/webkitsecurity/src/android/webkitsecurity/cts/WebkitUniscribeItemBoundaryCrashTest.java</t>
  </si>
  <si>
    <t>tests/tests/webkitsecurity/src/android/webkitsecurity/cts/WebkitUnsupportedAttributeDoesNotCrashTest.java</t>
  </si>
  <si>
    <t>tests/tests/webkitsecurity/src/android/webkitsecurity/cts/WebkitUpdateAlwaysCreateLineBoxesFullLayoutCrashTest.java</t>
  </si>
  <si>
    <t>tests/tests/webkitsecurity/src/android/webkitsecurity/cts/WebkitUpdateFromElementDuringEditingCrashOneTest.java</t>
  </si>
  <si>
    <t>tests/tests/webkitsecurity/src/android/webkitsecurity/cts/WebkitUpdateFromElementDuringEditingCrashTwoTest.java</t>
  </si>
  <si>
    <t>tests/tests/webkitsecurity/src/android/webkitsecurity/cts/WebkitUpdateMidpointsForTrailingBoxesCrashTest.java</t>
  </si>
  <si>
    <t>tests/tests/webkitsecurity/src/android/webkitsecurity/cts/WebkitUpdateWidgetsCrashTest.java</t>
  </si>
  <si>
    <t>tests/tests/webkitsecurity/src/android/webkitsecurity/cts/WebkitUpdatingAttributeInTableCausesCrashTest.java</t>
  </si>
  <si>
    <t>tests/tests/webkitsecurity/src/android/webkitsecurity/cts/WebkitUpdatingAttributeInTableRowCrashTest.java</t>
  </si>
  <si>
    <t>tests/tests/webkitsecurity/src/android/webkitsecurity/cts/WebkitUseStyleRecalcScriptExecuteCrashTest.java</t>
  </si>
  <si>
    <t>tests/tests/webkitsecurity/src/android/webkitsecurity/cts/WebkitUserStylesheetCrashTest.java</t>
  </si>
  <si>
    <t>tests/tests/webkitsecurity/src/android/webkitsecurity/cts/WebkitValueListOutOfBoundsCrashTest.java</t>
  </si>
  <si>
    <t>tests/tests/webkitsecurity/src/android/webkitsecurity/cts/WebkitValueWithoutSelectionCrashTest.java</t>
  </si>
  <si>
    <t>tests/tests/webkitsecurity/src/android/webkitsecurity/cts/WebkitVarShadowsArgCrashTest.java</t>
  </si>
  <si>
    <t>tests/tests/webkitsecurity/src/android/webkitsecurity/cts/WebkitVarShadowsArgGcCrashTest.java</t>
  </si>
  <si>
    <t>tests/tests/webkitsecurity/src/android/webkitsecurity/cts/WebkitVideoDisplayNoneCrashTest.java</t>
  </si>
  <si>
    <t>tests/tests/webkitsecurity/src/android/webkitsecurity/cts/WebkitVideoElementOtherNamespaceCrashTest.java</t>
  </si>
  <si>
    <t>tests/tests/webkitsecurity/src/android/webkitsecurity/cts/WebkitVideoLayerCrashTest.java</t>
  </si>
  <si>
    <t>tests/tests/webkitsecurity/src/android/webkitsecurity/cts/WebkitVisiblePositionCrashForTextNodeTest.java</t>
  </si>
  <si>
    <t>tests/tests/webkitsecurity/src/android/webkitsecurity/cts/WebkitVkernElementCrashTest.java</t>
  </si>
  <si>
    <t>tests/tests/webkitsecurity/src/android/webkitsecurity/cts/WebkitWbrInMrootCrashTest.java</t>
  </si>
  <si>
    <t>tests/tests/webkitsecurity/src/android/webkitsecurity/cts/WebkitWbrInPreCrashTest.java</t>
  </si>
  <si>
    <t>tests/tests/webkitsecurity/src/android/webkitsecurity/cts/WebkitWindowCloseCrashTest.java</t>
  </si>
  <si>
    <t>tests/tests/webkitsecurity/src/android/webkitsecurity/cts/WebkitWindowClosedCrashTest.java</t>
  </si>
  <si>
    <t>tests/tests/webkitsecurity/src/android/webkitsecurity/cts/WebkitWindowCollectionLengthNoCrashTest.java</t>
  </si>
  <si>
    <t>tests/tests/webkitsecurity/src/android/webkitsecurity/cts/WebkitWindowCustomPrototypeCrashTest.java</t>
  </si>
  <si>
    <t>tests/tests/webkitsecurity/src/android/webkitsecurity/cts/WebkitWindowDomurlCrashTest.java</t>
  </si>
  <si>
    <t>tests/tests/webkitsecurity/src/android/webkitsecurity/cts/WebkitWindowEventOverrideNoCrashTest.java</t>
  </si>
  <si>
    <t>tests/tests/webkitsecurity/src/android/webkitsecurity/cts/WebkitWordBreakNextLineboxNotDirtyCrashMainTest.java</t>
  </si>
  <si>
    <t>tests/tests/webkitsecurity/src/android/webkitsecurity/cts/WebkitWordBreakNextLineboxNotDirtyCrashTest.java</t>
  </si>
  <si>
    <t>tests/tests/webkitsecurity/src/android/webkitsecurity/cts/WebkitWorkerCrashWithInvalidLocationTest.java</t>
  </si>
  <si>
    <t>tests/tests/webkitsecurity/src/android/webkitsecurity/cts/WebkitWorkerFinishCrashTest.java</t>
  </si>
  <si>
    <t>tests/tests/webkitsecurity/src/android/webkitsecurity/cts/WebkitXFrameOptionsDetachedDocumentCrashTest.java</t>
  </si>
  <si>
    <t>tests/tests/webkitsecurity/src/android/webkitsecurity/cts/WebkitXmlhttprequestPostCrashTest.java</t>
  </si>
  <si>
    <t>tests/tests/webkitsecurity/src/android/webkitsecurity/cts/WebkitXpathDetachedIframeResolverCrashTest.java</t>
  </si>
  <si>
    <t>tests/tests/webkitsecurity/src/android/webkitsecurity/cts/WebkitXpathResultEventlistenerCrashTest.java</t>
  </si>
  <si>
    <t>tests/tests/webkitsecurity/src/android/webkitsecurity/cts/WebkitXsltTransformToFragmentCrashTest.java</t>
  </si>
  <si>
    <t>tests/tests/webkitsecurity/src/android/webkitsecurity/cts/WebkitXssAuditorDoesntCrashOnPostSubmitTest.java</t>
  </si>
  <si>
    <t>tests/tests/webkitsecurity/src/android/webkitsecurity/cts/WebkitZeroColspanCrashTest.java</t>
  </si>
  <si>
    <t>tests/tests/opengl/src/android/opengl/cts/AttachShaderTest.java</t>
  </si>
  <si>
    <t>tests/tests/webkit/src/android/webkit/cts/CacheManager_CacheResultTest.java</t>
  </si>
  <si>
    <t>tests/tests/media/src/android/media/cts/MediaPlayerFlakyNetworkTest.java</t>
  </si>
  <si>
    <t>tests/tests/media/src/android/media/cts/StreamingMediaPlayerTest.java</t>
  </si>
  <si>
    <t>tests/tests/opengl/src/android/opengl/cts/NativeAttachShaderTest.java</t>
  </si>
  <si>
    <t>tests/tests/renderscript/src/android/renderscript/cts/AllocationTest.java</t>
  </si>
  <si>
    <t>tests/tests/renderscript/src/android/renderscript/cts/ForEachBoundsTest.java</t>
  </si>
  <si>
    <t>tests/tests/location2/src/android/location2/cts/LocationManagerTest.java</t>
  </si>
  <si>
    <t>tests/uiautomator/src/com/android/cts/uiautomatortest/CtsUiAutomatorTest.java</t>
  </si>
  <si>
    <t>suite/pts/hostTests/browser/browserlauncher/src/com/android/pts/browser/LaunchBrowserTest.java</t>
  </si>
  <si>
    <t>suite/pts/hostTests/browser/src/com/android/pts/browser/BrowserTest.java</t>
  </si>
  <si>
    <t>tests/tests/webkit/src/android/webkit/cts/HttpAuthHandlerTest.java</t>
  </si>
  <si>
    <t>tests/tests/hardware/src/android/hardware/cts/SensorTest.java</t>
  </si>
  <si>
    <t>tests/tests/os/src/android/os/cts/SeccompTest.java</t>
  </si>
  <si>
    <t>suite/pts/deviceTests/browserbench/src/com/android/pts/browser/BrowserBenchTest.java</t>
  </si>
  <si>
    <t>suite/pts/deviceTests/dram/src/com/android/pts/dram/BandwidthTest.java</t>
  </si>
  <si>
    <t>suite/pts/deviceTests/filesystemperf/src/com/android/pts/filesystemperf/AlmostFullTest.java</t>
  </si>
  <si>
    <t>suite/pts/deviceTests/filesystemperf/src/com/android/pts/filesystemperf/RandomRWTest.java</t>
  </si>
  <si>
    <t>suite/pts/deviceTests/filesystemperf/src/com/android/pts/filesystemperf/SequentialRWTest.java</t>
  </si>
  <si>
    <t>suite/pts/deviceTests/simplecpu/src/com/android/pts/simplecpu/SimpleCpuTest.java</t>
  </si>
  <si>
    <t>suite/pts/deviceTests/ui/src/com/android/pts/ui/FpsTest.java</t>
  </si>
  <si>
    <t>suite/pts/deviceTests/videoperf/src/com/android/pts/videoperf/VideoEncoderDecoderTest.java</t>
  </si>
  <si>
    <t>suite/pts/hostTests/bootup/src/com/android/pts/bootup/BootupTimeTest.java</t>
  </si>
  <si>
    <t>suite/pts/hostTests/uihost/control/src/com/android/pts/taskswitching/control/TaskswitchingDeviceTest.java</t>
  </si>
  <si>
    <t>suite/pts/hostTests/uihost/src/com/android/pts/uihost/InstallTimeTest.java</t>
  </si>
  <si>
    <t>suite/pts/hostTests/uihost/src/com/android/pts/uihost/TaskSwitchingTest.java</t>
  </si>
  <si>
    <t>tests/tests/net/src/android/net/cts/DnsTest.java</t>
  </si>
  <si>
    <t>suite/pts/hostTests/jank/src/com/android/pts/jank/PtsHostJankTest.java</t>
  </si>
  <si>
    <t>tests/tests/text/src/android/text/format/cts/DateUtilsTest.java</t>
  </si>
  <si>
    <t>tools/vm-tests-tf/src/dot/junit/opcodes/iput_boolean/Test_iput_boolean.java</t>
  </si>
  <si>
    <t>tools/vm-tests-tf/src/dot/junit/opcodes/iput_byte/Test_iput_byte.java</t>
  </si>
  <si>
    <t>tools/vm-tests-tf/src/dot/junit/opcodes/iput_char/Test_iput_char.java</t>
  </si>
  <si>
    <t>tools/vm-tests-tf/src/dot/junit/opcodes/iput_short/Test_iput_short.java</t>
  </si>
  <si>
    <t>tools/vm-tests-tf/src/dot/junit/opcodes/sput_boolean/Test_sput_boolean.java</t>
  </si>
  <si>
    <t>tools/vm-tests-tf/src/dot/junit/opcodes/sput_byte/Test_sput_byte.java</t>
  </si>
  <si>
    <t>tools/vm-tests-tf/src/dot/junit/opcodes/sput_char/Test_sput_char.java</t>
  </si>
  <si>
    <t>tools/vm-tests-tf/src/dot/junit/opcodes/sput_short/Test_sput_short.java</t>
  </si>
  <si>
    <t>tests/tests/security/src/android/security/cts/KernelSettingsTest.java</t>
  </si>
  <si>
    <t>tests/tests/renderscript/src/android/renderscript/cts/CrossTest.java</t>
  </si>
  <si>
    <t>hostsidetests/appsecurity/test-apps/ExternalStorageApp/src/com/android/cts/externalstorageapp/ExternalStorageTest.java</t>
  </si>
  <si>
    <t>tests/tests/hardware/src/android/hardware/camera2/cts/CameraDeviceTest.java</t>
  </si>
  <si>
    <t>tests/tests/permission/src/android/permission/cts/ContactsProviderTest.java</t>
  </si>
  <si>
    <t>tests/tests/provider/src/android/provider/cts/MediaStoreIntentsTest.java</t>
  </si>
  <si>
    <t>tests/tests/hardware/src/android/hardware/cts/SensorAccelerometerTest.java</t>
  </si>
  <si>
    <t>tests/tests/hardware/src/android/hardware/cts/SensorGyroscopeTest.java</t>
  </si>
  <si>
    <t>tests/tests/hardware/src/android/hardware/cts/SensorMagneticFieldTest.java</t>
  </si>
  <si>
    <t>tests/tests/webkit/src/android/webkit/cts/UrlInterceptRegistryTest.java</t>
  </si>
  <si>
    <t>hostsidetests/location/src/com/android/cts/location/LocationModeTest.java</t>
  </si>
  <si>
    <t>tests/tests/security/src/android/security/cts/CertificateTest.java</t>
  </si>
  <si>
    <t>tests/tests/example/src/android/example/cts/ExampleSecondaryTest.java</t>
  </si>
  <si>
    <t>tests/tests/example/src/android/example/cts/ExampleTest.java</t>
  </si>
  <si>
    <t>tests/tests/util/src/android/util/cts/TypedValueTest.java</t>
  </si>
  <si>
    <t>tests/tests/security/src/android/security/cts/ClonedSecureRandomTest.java</t>
  </si>
  <si>
    <t>tools/cts-native-scanner/tests/src/com/android/cts/nativescanner/TestScannerTest.java</t>
  </si>
  <si>
    <t>tests/tests/renderscript/src/android/renderscript/cts/AcosPiTest.java</t>
  </si>
  <si>
    <t>tests/tests/renderscript/src/android/renderscript/cts/AcosTest.java</t>
  </si>
  <si>
    <t>tests/tests/renderscript/src/android/renderscript/cts/AcoshTest.java</t>
  </si>
  <si>
    <t>tests/tests/renderscript/src/android/renderscript/cts/AsinPiTest.java</t>
  </si>
  <si>
    <t>tests/tests/renderscript/src/android/renderscript/cts/AsinTest.java</t>
  </si>
  <si>
    <t>tests/tests/renderscript/src/android/renderscript/cts/AsinhTest.java</t>
  </si>
  <si>
    <t>tests/tests/renderscript/src/android/renderscript/cts/Atan2PiTest.java</t>
  </si>
  <si>
    <t>tests/tests/renderscript/src/android/renderscript/cts/Atan2Test.java</t>
  </si>
  <si>
    <t>tests/tests/renderscript/src/android/renderscript/cts/AtanPiTest.java</t>
  </si>
  <si>
    <t>tests/tests/renderscript/src/android/renderscript/cts/AtanTest.java</t>
  </si>
  <si>
    <t>tests/tests/renderscript/src/android/renderscript/cts/AtanhTest.java</t>
  </si>
  <si>
    <t>tests/tests/renderscript/src/android/renderscript/cts/CbrtTest.java</t>
  </si>
  <si>
    <t>tests/tests/renderscript/src/android/renderscript/cts/CeilTest.java</t>
  </si>
  <si>
    <t>tests/tests/renderscript/src/android/renderscript/cts/CopysignTest.java</t>
  </si>
  <si>
    <t>tests/tests/renderscript/src/android/renderscript/cts/CosTest.java</t>
  </si>
  <si>
    <t>tests/tests/renderscript/src/android/renderscript/cts/CoshTest.java</t>
  </si>
  <si>
    <t>tests/tests/renderscript/src/android/renderscript/cts/DegreesTest.java</t>
  </si>
  <si>
    <t>tests/tests/renderscript/src/android/renderscript/cts/Exp10Test.java</t>
  </si>
  <si>
    <t>tests/tests/renderscript/src/android/renderscript/cts/Exp2Test.java</t>
  </si>
  <si>
    <t>tests/tests/renderscript/src/android/renderscript/cts/ExpTest.java</t>
  </si>
  <si>
    <t>tests/tests/renderscript/src/android/renderscript/cts/Expm1Test.java</t>
  </si>
  <si>
    <t>tests/tests/renderscript/src/android/renderscript/cts/FabsTest.java</t>
  </si>
  <si>
    <t>tests/tests/renderscript/src/android/renderscript/cts/FdimTest.java</t>
  </si>
  <si>
    <t>tests/tests/renderscript/src/android/renderscript/cts/FloorTest.java</t>
  </si>
  <si>
    <t>tests/tests/renderscript/src/android/renderscript/cts/FmaTest.java</t>
  </si>
  <si>
    <t>tests/tests/renderscript/src/android/renderscript/cts/FmaxTest.java</t>
  </si>
  <si>
    <t>tests/tests/renderscript/src/android/renderscript/cts/FminTest.java</t>
  </si>
  <si>
    <t>tests/tests/renderscript/src/android/renderscript/cts/FmodTest.java</t>
  </si>
  <si>
    <t>tests/tests/renderscript/src/android/renderscript/cts/HypotTest.java</t>
  </si>
  <si>
    <t>tests/tests/renderscript/src/android/renderscript/cts/Log10Test.java</t>
  </si>
  <si>
    <t>tests/tests/renderscript/src/android/renderscript/cts/Log1PTest.java</t>
  </si>
  <si>
    <t>tests/tests/renderscript/src/android/renderscript/cts/Log2Test.java</t>
  </si>
  <si>
    <t>tests/tests/renderscript/src/android/renderscript/cts/LogTest.java</t>
  </si>
  <si>
    <t>tests/tests/renderscript/src/android/renderscript/cts/LogbTest.java</t>
  </si>
  <si>
    <t>tests/tests/renderscript/src/android/renderscript/cts/MadTest.java</t>
  </si>
  <si>
    <t>tests/tests/renderscript/src/android/renderscript/cts/NextafterTest.java</t>
  </si>
  <si>
    <t>tests/tests/renderscript/src/android/renderscript/cts/PowTest.java</t>
  </si>
  <si>
    <t>tests/tests/renderscript/src/android/renderscript/cts/PownTest.java</t>
  </si>
  <si>
    <t>tests/tests/renderscript/src/android/renderscript/cts/PowrTest.java</t>
  </si>
  <si>
    <t>tests/tests/renderscript/src/android/renderscript/cts/RadiansTest.java</t>
  </si>
  <si>
    <t>tests/tests/renderscript/src/android/renderscript/cts/RemainderTest.java</t>
  </si>
  <si>
    <t>tests/tests/renderscript/src/android/renderscript/cts/RintTest.java</t>
  </si>
  <si>
    <t>tests/tests/renderscript/src/android/renderscript/cts/RootnTest.java</t>
  </si>
  <si>
    <t>tests/tests/renderscript/src/android/renderscript/cts/RoundTest.java</t>
  </si>
  <si>
    <t>tests/tests/renderscript/src/android/renderscript/cts/RsFracTest.java</t>
  </si>
  <si>
    <t>tests/tests/renderscript/src/android/renderscript/cts/RsqrtTest.java</t>
  </si>
  <si>
    <t>tests/tests/renderscript/src/android/renderscript/cts/SignTest.java</t>
  </si>
  <si>
    <t>tests/tests/renderscript/src/android/renderscript/cts/SinTest.java</t>
  </si>
  <si>
    <t>tests/tests/renderscript/src/android/renderscript/cts/SinhTest.java</t>
  </si>
  <si>
    <t>tests/tests/renderscript/src/android/renderscript/cts/SqrtTest.java</t>
  </si>
  <si>
    <t>tests/tests/renderscript/src/android/renderscript/cts/StepTest.java</t>
  </si>
  <si>
    <t>tests/tests/renderscript/src/android/renderscript/cts/TanTest.java</t>
  </si>
  <si>
    <t>tests/tests/renderscript/src/android/renderscript/cts/TanhTest.java</t>
  </si>
  <si>
    <t>tests/tests/renderscript/src/android/renderscript/cts/TruncTest.java</t>
  </si>
  <si>
    <t>tests/tests/media/src/android/media/cts/Vp8EncoderTest.java</t>
  </si>
  <si>
    <t>tests/tests/media/src/android/media/cts/EncodeVirtualDisplayWithCompositionTest.java</t>
  </si>
  <si>
    <t>tests/tests/hardware/src/android/hardware/cts/helpers/SensorCtsHelperTest.java</t>
  </si>
  <si>
    <t>tests/tests/hardware/src/android/hardware/cts/helpers/SensorVerificationHelperTest.java</t>
  </si>
  <si>
    <t>tests/tests/rscpp/src/android/cts/rscpp/RSInterPredTest.java</t>
  </si>
  <si>
    <t>tests/tests/accessibilityservice/src/android/accessibilityservice/cts/AccessibilityTextTraversalTest.java</t>
  </si>
  <si>
    <t>tests/tests/graphics/src/android/graphics/drawable/cts/VectorDrawableTest.java</t>
  </si>
  <si>
    <t>tests/tests/hardware/src/android/hardware/camera2/cts/CameraCharacteristicsTest.java</t>
  </si>
  <si>
    <t>tests/tests/hardware/src/android/hardware/camera2/cts/ImageReaderTest.java</t>
  </si>
  <si>
    <t>tests/tests/content/src/android/content/pm/cts/ResolveInfo_DisplayNameComparatorTest.java</t>
  </si>
  <si>
    <t>tests/tests/hardware/src/android/hardware/camera2/cts/RecordingTest.java</t>
  </si>
  <si>
    <t>tests/tests/graphics/src/android/graphics/drawable/cts/BitmapDrawableTest.java</t>
  </si>
  <si>
    <t>tests/tests/graphics/src/android/graphics/drawable/cts/ColorDrawableTest.java</t>
  </si>
  <si>
    <t>tests/tests/graphics/src/android/graphics/drawable/cts/DrawableContainerTest.java</t>
  </si>
  <si>
    <t>tests/tests/graphics/src/android/graphics/drawable/cts/NinePatchDrawableTest.java</t>
  </si>
  <si>
    <t>tests/tests/holo/src/android/holo/cts/HoloTest.java</t>
  </si>
  <si>
    <t>tests/tests/webkit/src/android/webkit/cts/CookieSyncManagerTest.java</t>
  </si>
  <si>
    <t>tests/tests/provider/src/android/provider/cts/ContactsContract_PinnedPositionsTest.java</t>
  </si>
  <si>
    <t>tests/tests/webkit/src/android/webkit/cts/CookieManagerTest.java</t>
  </si>
  <si>
    <t>tests/tests/security/src/android/security/cts/SELinuxTest.java</t>
  </si>
  <si>
    <t>tests/tests/text/src/android/text/format/cts/TimeTest.java</t>
  </si>
  <si>
    <t>tests/tests/appwidget/src/android/appwidget/cts/AppWidgetTest.java</t>
  </si>
  <si>
    <t>tests/tests/tv/src/android/tv/cts/TvInputManagerTest.java</t>
  </si>
  <si>
    <t>tests/tests/renderscript/src/android/renderscript/cts/ScriptCTest.java</t>
  </si>
  <si>
    <t>tests/tests/rsg/src/android/renderscriptgraphics/cts/BaseObjTest.java</t>
  </si>
  <si>
    <t>tests/tests/rsg/src/android/renderscriptgraphics/cts/ContextCreationTest.java</t>
  </si>
  <si>
    <t>tests/tests/rsg/src/android/renderscriptgraphics/cts/FileA3DTest.java</t>
  </si>
  <si>
    <t>tests/tests/rsg/src/android/renderscriptgraphics/cts/FontTest.java</t>
  </si>
  <si>
    <t>tests/tests/rsg/src/android/renderscriptgraphics/cts/MeshTest.java</t>
  </si>
  <si>
    <t>tests/tests/rsg/src/android/renderscriptgraphics/cts/ProgramFragmentFixedFunctionTest.java</t>
  </si>
  <si>
    <t>tests/tests/rsg/src/android/renderscriptgraphics/cts/ProgramFragmentTest.java</t>
  </si>
  <si>
    <t>tests/tests/rsg/src/android/renderscriptgraphics/cts/ProgramRasterTest.java</t>
  </si>
  <si>
    <t>tests/tests/rsg/src/android/renderscriptgraphics/cts/ProgramStoreTest.java</t>
  </si>
  <si>
    <t>tests/tests/rsg/src/android/renderscriptgraphics/cts/ProgramVertexFixedFunctionTest.java</t>
  </si>
  <si>
    <t>tests/tests/rsg/src/android/renderscriptgraphics/cts/ProgramVertexTest.java</t>
  </si>
  <si>
    <t>tests/tests/rsg/src/android/renderscriptgraphics/cts/RSSurfaceViewTest.java</t>
  </si>
  <si>
    <t>tests/tests/rsg/src/android/renderscriptgraphics/cts/SurfaceConfigTest.java</t>
  </si>
  <si>
    <t>tests/tests/telephony/src/android/telephony/cts/SimRestrictedApisTest.java</t>
  </si>
  <si>
    <t>tests/tests/security/src/android/security/cts/SqliteJournalLeakTest.java</t>
  </si>
  <si>
    <t>tests/tests/accessibilityservice/src/android/accessibilityservice/cts/AccessibilityWindowQueryTest.java</t>
  </si>
  <si>
    <t>tests/tests/telecomm/src/android/telecom/cts/ConnectionTest.java</t>
  </si>
  <si>
    <t>tests/tests/telecomm/src/android/telecom/cts/TelecomManagerTest.java</t>
  </si>
  <si>
    <t>tests/tests/permission/src/android/permission/cts/NoReadLogsPermissionTest.java</t>
  </si>
  <si>
    <t>tests/tests/permission/src/android/permission/cts/ConnectivityManagerPermissionTest.java</t>
  </si>
  <si>
    <t>tests/tests/permission/src/android/permission/cts/NoNetworkStatePermissionTest.java</t>
  </si>
  <si>
    <t>tests/tests/media/src/android/media/cts/AudioEffectTest.java</t>
  </si>
  <si>
    <t>tests/tests/hardware/src/android/hardware/cts/helpers/sensorverification/SigNumVerificationTest.java</t>
  </si>
  <si>
    <t>tests/tests/rscpp/src/android/cts/rscpp/RSLoopFilterTest.java</t>
  </si>
  <si>
    <t>hostsidetests/devicepolicy/app/ProfileOwner/src/com/android/cts/profileowner/ProfileOwnerSetupTest.java</t>
  </si>
  <si>
    <t>tests/tests/os/src/android/os/cts/NoExecutePermissionTest.java</t>
  </si>
  <si>
    <t>tests/tests/graphics/src/android/graphics/drawable/cts/AnimationDrawableTest.java</t>
  </si>
  <si>
    <t>hostsidetests/security/src/android/cts/security/SELinuxHostTest.java</t>
  </si>
  <si>
    <t>tests/tests/media/src/android/media/cts/MediaCodecListTest.java</t>
  </si>
  <si>
    <t>tests/tests/security/src/android/security/cts/NativeCodeTest.java</t>
  </si>
  <si>
    <t>tests/tests/security/src/android/security/cts/BannedFilesTest.java</t>
  </si>
  <si>
    <t>hostsidetests/devicepolicy/app/ManagedProfile/src/com/android/cts/managedprofile/SettingsIntentsTest.java</t>
  </si>
  <si>
    <t>hostsidetests/devicepolicy/src/com/android/cts/devicepolicy/ManagedProfileTest.java</t>
  </si>
  <si>
    <t>tests/tests/provider/src/android/provider/cts/SettingsTest.java</t>
  </si>
  <si>
    <t>tests/tests/renderscript/src/android/renderscript/cts/AllocationCopyToTest.java</t>
  </si>
  <si>
    <t>tests/tests/security/src/android/security/cts/KeystoreExploitTest.java</t>
  </si>
  <si>
    <t>tests/tests/rscpp/src/android/cts/rscpp/RSAllocationTest.java</t>
  </si>
  <si>
    <t>tests/tests/keystore/src/android/keystore/cts/AndroidKeyStoreTest.java</t>
  </si>
  <si>
    <t>tests/tests/media/src/android/media/cts/DecoderTest.java</t>
  </si>
  <si>
    <t>tests/tests/net/src/android/net/http/cts/HttpResponseCacheTest.java</t>
  </si>
  <si>
    <t>tests/tests/os/src/android/os/cts/HardwareNameTest.java</t>
  </si>
  <si>
    <t>tests/tests/renderscript/src/android/renderscript/cts/YuvTest.java</t>
  </si>
  <si>
    <t>tests/tests/security/src/android/security/cts/ARTBootASLRTest.java</t>
  </si>
  <si>
    <t>tests/tests/admin/src/android/admin/cts/NfcProvisioningSetupWizardConfigTest.java</t>
  </si>
  <si>
    <t>tests/tests/hardware/src/android/hardware/cts/LowRamDeviceTest.java</t>
  </si>
  <si>
    <t>tests/tests/keystore/src/android/keystore/cts/AndroidKeyPairGeneratorTest.java</t>
  </si>
  <si>
    <t>common/host-side/java-scanner/tests/src/com/android/compatibility/common/scanner/JavaScannerTest.java</t>
  </si>
  <si>
    <t>common/host-side/native-scanner/tests/src/com/android/compatibility/common/scanner/NativeScannerTest.java</t>
  </si>
  <si>
    <t>common/host-side/xml-plan-generator/tests/src/com/android/compatibility/common/xmlgenerator/XmlPlanGeneratorTest.java</t>
  </si>
  <si>
    <t>tests/tests/keystore/src/android/keystore/cts/KeyPairGeneratorSpecTest.java</t>
  </si>
  <si>
    <t>suite/cts/deviceTests/videoperf/src/com/android/cts/videoperf/VideoEncoderDecoderTest.java</t>
  </si>
  <si>
    <t>tests/tests/util/src/android/util/cts/FloatMathTest.java</t>
  </si>
  <si>
    <t>tests/tests/telephony/src/android/telephony/cts/SubscriptionManagerTest.java</t>
  </si>
  <si>
    <t>tests/tests/provider/src/android/provider/cts/ContactsContract_AuthorizationTest.java</t>
  </si>
  <si>
    <t>tests/webgl/src/android/webgl/cts/WebGLTest.java</t>
  </si>
  <si>
    <t>common/host-side/tradefed/tests/src/com/android/compatibility/common/tradefed/build/CompatibilityBuildProviderTest.java</t>
  </si>
  <si>
    <t>tests/tests/graphics/src/android/graphics/drawable/cts/AnimatedVectorDrawableTest.java</t>
  </si>
  <si>
    <t>tests/sample/src/android/sample/cts/SampleDeviceResultTest.java</t>
  </si>
  <si>
    <t>tests/tests/permission/src/android/permission/cts/ProviderPermissionTest.java</t>
  </si>
  <si>
    <t>tests/tests/security/src/android/security/cts/SeccompBpfTest.java</t>
  </si>
  <si>
    <t>tests/tests/provider/src/android/provider/cts/BrowserTest.java</t>
  </si>
  <si>
    <t>tests/tests/net/src/android/net/http/cts/ApacheHttpClientTest.java</t>
  </si>
  <si>
    <t>tests/tests/keystore/src/android/keystore/cts/KeyPairGeneratorTest.java</t>
  </si>
  <si>
    <t>common/host-side/tradefed/tests/src/com/android/compatibility/common/tradefed/build/BuildHelperTest.java</t>
  </si>
  <si>
    <t>tests/tests/permission2/src/android/permission2/cts/ReadSocialStreamPermissionTest.java</t>
  </si>
  <si>
    <t>tests/tests/permission2/src/android/permission2/cts/WriteSocialStreamPermissionTest.java</t>
  </si>
  <si>
    <t>tests/tests/graphics/src/android/graphics/drawable/cts/LayerDrawableTest.java</t>
  </si>
  <si>
    <t>tests/tests/accounts/src/android/accounts/cts/AccountManagerTest.java</t>
  </si>
  <si>
    <t>tests/tests/telecom/src/android/telecom/cts/CallDetailsTest.java</t>
  </si>
  <si>
    <t>tests/tests/widget/src/android/widget/cts/TextView_SaveStateTest.java</t>
  </si>
  <si>
    <t>tests/tests/permission/src/android/permission/cts/TvPermissionTest.java</t>
  </si>
  <si>
    <t>tests/tests/keystore/src/android/keystore/cts/KeyChainTest.java</t>
  </si>
  <si>
    <t>tests/tests/view/src/android/view/cts/ViewTreeObserverTest.java</t>
  </si>
  <si>
    <t>tests/tests/app/src/android/app/cts/NotificationTest.java</t>
  </si>
  <si>
    <t>tests/tests/app/src/android/app/cts/SearchDialogTest.java</t>
  </si>
  <si>
    <t>libs/commonutil/src/com/android/cts/util/StatisticsUtilsTest.java</t>
  </si>
  <si>
    <t>common/util/tests/src/com/android/compatibility/common/util/StatTest.java</t>
  </si>
  <si>
    <t>common/util/tests/src/com/android/compatibility/common/util/ReportLogTest.java</t>
  </si>
  <si>
    <t>tests/tests/keystore/src/android/keystore/cts/MacTest.java</t>
  </si>
  <si>
    <t>tests/tests/hardware/src/android/hardware/cts/helpers/sensorverification/EventOrderingVerificationTest.java</t>
  </si>
  <si>
    <t>common/host-side/tradefed/tests/src/com/android/compatibility/common/tradefed/testtype/ModuleDefTest.java</t>
  </si>
  <si>
    <t>common/util/tests/src/com/android/compatibility/common/util/TestFilterTest.java</t>
  </si>
  <si>
    <t>hostsidetests/devicepolicy/app/ManagedProfile/src/com/android/cts/managedprofile/WipeDataTest.java</t>
  </si>
  <si>
    <t>hostsidetests/devicepolicy/src/com/android/cts/devicepolicy/DeviceOwnerTest.java</t>
  </si>
  <si>
    <t>tools/tradefed-host/tests/src/com/android/cts/tradefed/testtype/DeqpTestRunnerTest.java</t>
  </si>
  <si>
    <t>tests/tests/provider/src/android/provider/cts/TelephonyProviderTest.java</t>
  </si>
  <si>
    <t>tests/tests/assist/src/android/assist/cts/DisableContextTest.java</t>
  </si>
  <si>
    <t>tools/signature-tools/test/signature/comparator/AnnotationCompareTest.java</t>
  </si>
  <si>
    <t>tools/signature-tools/test/signature/comparator/ClassCompareTest.java</t>
  </si>
  <si>
    <t>tools/signature-tools/test/signature/comparator/PackageCompareTest.java</t>
  </si>
  <si>
    <t>tools/signature-tools/test/signature/converter/ConvertAnnotationTest.java</t>
  </si>
  <si>
    <t>tools/signature-tools/test/signature/converter/ConvertClassTest.java</t>
  </si>
  <si>
    <t>tools/signature-tools/test/signature/converter/ConvertEnumTest.java</t>
  </si>
  <si>
    <t>tools/signature-tools/test/signature/converter/ConvertPackageTest.java</t>
  </si>
  <si>
    <t>tools/signature-tools/test/signature/converter/ConvertParameterizedTypeTest.java</t>
  </si>
  <si>
    <t>tools/signature-tools/test/signature/converter/ConvertVisibilityTest.java</t>
  </si>
  <si>
    <t>tools/signature-tools/test/signature/converter/ConvertWildcardTest.java</t>
  </si>
  <si>
    <t>tools/signature-tools/test/signature/converter/dex/DexExternalizerTest.java</t>
  </si>
  <si>
    <t>tools/signature-tools/test/signature/converter/dex/DexUtilTest.java</t>
  </si>
  <si>
    <t>tools/signature-tools/test/signature/converter/dex/GenericSignatureParserTest.java</t>
  </si>
  <si>
    <t>common/host-side/tradefed/tests/src/com/android/compatibility/common/tradefed/build/CompatibilityBuildInfoTest.java</t>
  </si>
  <si>
    <t>tests/tests/telecom/src/android/telecom/cts/OutgoingCallTest.java</t>
  </si>
  <si>
    <t>tests/tests/security/src/android/security/cts/AudioPolicyBinderTest.java</t>
  </si>
  <si>
    <t>tests/tests/security/src/android/security/cts/MediaPlayerInfoLeakTest.java</t>
  </si>
  <si>
    <t>tests/tests/telecom/src/android/telecom/cts/WiredHeadsetTest.java</t>
  </si>
  <si>
    <t>tests/tests/security/src/android/security/cts/MediaCryptoTest.java</t>
  </si>
  <si>
    <t>tests/tests/permission2/src/android/permission2/cts/ProtectedBroadcastsTest.java</t>
  </si>
  <si>
    <t>tests/tests/content/preconditions/src/android/content/preconditions/PreconditionsTest.java</t>
  </si>
  <si>
    <t>tests/tests/net/preconditions/src/android/net/preconditions/PreconditionsTest.java</t>
  </si>
  <si>
    <t>tests/tests/text/preconditions/src/android/text/preconditions/PreconditionsTest.java</t>
  </si>
  <si>
    <t>tests/tests/webkit/preconditions/src/android/webkit/preconditions/PreconditionsTest.java</t>
  </si>
  <si>
    <t>tests/tests/widget/preconditions/src/android/widget/preconditions/PreconditionsTest.java</t>
  </si>
  <si>
    <t>common/host-side/tradefed/tests/src/com/android/compatibility/common/tradefed/targetprep/LocaleCheckTest.java</t>
  </si>
  <si>
    <t>common/host-side/tradefed/tests/src/com/android/compatibility/common/tradefed/result/ResultReporterTest.java</t>
  </si>
  <si>
    <t>tools/tradefed-host/tests/src/com/android/cts/tradefed/targetprep/HostPreconditionPreparerTest.java</t>
  </si>
  <si>
    <t>tools/tradefed-host/preconditions/src/com/android/cts/preconditions/PreconditionsTest.java</t>
  </si>
  <si>
    <t>tests/tests/permission2/src/android/permission2/cts/PermissionPolicyTest.java</t>
  </si>
  <si>
    <t>tests/tests/media/src/android/media/cts/MediaMetadataRetrieverTest.java</t>
  </si>
  <si>
    <t>tests/app/src/android/app/cts/FragmentTransitionTest.java</t>
  </si>
  <si>
    <t>hostsidetests/sample/src/android/sample/cts/SampleHostTest.java</t>
  </si>
  <si>
    <t>tests/sample/src/android/sample/cts/SampleDeviceTest.java</t>
  </si>
  <si>
    <t>hostsidetests/devicepolicy/app/DeviceAndProfileOwner/src/com/android/cts/deviceandprofileowner/AccountUtilsTest.java</t>
  </si>
  <si>
    <t>hostsidetests/devicepolicy/src/com/android/cts/devicepolicy/DeviceAndProfileOwnerTest.java</t>
  </si>
  <si>
    <t>tests/tests/widget/src/android/widget/cts/AbsSeekBarTest.java</t>
  </si>
  <si>
    <t>tests/tests/graphics/src/android/graphics/cts/VulkanReservedTest.java</t>
  </si>
  <si>
    <t>hostsidetests/sysui/src/android/host/systemui/ActiveTileServiceTest.java</t>
  </si>
  <si>
    <t>hostsidetests/sysui/src/android/host/systemui/TileServiceTest.java</t>
  </si>
  <si>
    <t>tests/tests/security/src/android/security/cts/StagefrightFoundationTest.java</t>
  </si>
  <si>
    <t>hostsidetests/devicepolicy/src/com/android/cts/devicepolicy/BaseDeviceAdminHostSideTest.java</t>
  </si>
  <si>
    <t>tests/tests/tv/src/android/media/tv/cts/TvContractTest.java</t>
  </si>
  <si>
    <t>hostsidetests/devicepolicy/app/DeviceAdmin/src/com.android.cts.deviceadmin/ClearDeviceOwnerTest.java</t>
  </si>
  <si>
    <t>tests/admin/src/android/admin/cts/DevicePolicyManagerTest.java</t>
  </si>
  <si>
    <t>hostsidetests/appsecurity/test-apps/DocumentClient/src/com/android/cts/documentclient/DocumentsClientTest.java</t>
  </si>
  <si>
    <t>tests/app/src/android/app/cts/NotificationTest.java</t>
  </si>
  <si>
    <t>hostsidetests/net/app/src/com/android/cts/net/hostside/ConnectivityManagerTest.java</t>
  </si>
  <si>
    <t>hostsidetests/devicepolicy/src/com/android/cts/devicepolicy/MixedProfileOwnerTest.java</t>
  </si>
  <si>
    <t>tests/tests/renderscript/src/android/renderscript/cts/LinkTest.java</t>
  </si>
  <si>
    <t>tests/camera/src/android/hardware/camera2/cts/StaticMetadataCollectionTest.java</t>
  </si>
  <si>
    <t>tests/tests/automotive/src/android/car/cts/CarConnectionListenerTest.java</t>
  </si>
  <si>
    <t>tests/tests/animation/src/android/animation/cts/ArgbEvaluatorTest.java</t>
  </si>
  <si>
    <t>tests/tests/animation/src/android/animation/cts/IntEvaluatorTest.java</t>
  </si>
  <si>
    <t>tests/tests/graphics/src/android/graphics/cts/AvoidXfermodeTest.java</t>
  </si>
  <si>
    <t>tests/tests/graphics/src/android/graphics/cts/AvoidXfermode_ModeTest.java</t>
  </si>
  <si>
    <t>tests/tests/graphics/src/android/graphics/cts/PixelXorXfermodeTest.java</t>
  </si>
  <si>
    <t>tests/tests/graphics/src/android/graphics/drawable/cts/DrawableContainerStateTest.java</t>
  </si>
  <si>
    <t>tests/tests/graphics/src/android/graphics/drawable/cts/Drawable_ConstantStateTest.java</t>
  </si>
  <si>
    <t>tests/tests/text/src/android/text/method/cts/BackspaceTest.java</t>
  </si>
  <si>
    <t>tests/tests/text/src/android/text/method/cts/ForwardDeleteTest.java</t>
  </si>
  <si>
    <t>tests/tests/location/src/android/location/cts/GnssMeasurementTest.java</t>
  </si>
  <si>
    <t>tests/tests/content/src/android/content/res/cts/ColorStateListTest.java</t>
  </si>
  <si>
    <t>tests/tests/widget/src/android/widget/cts/PopupMenuTest.java</t>
  </si>
  <si>
    <t>tests/accessibilityservice/src/android/accessibilityservice/cts/GestureDescriptionTest.java</t>
  </si>
  <si>
    <t>tests/tests/security/src/android/security/cts/RestrictedInformationTest.java</t>
  </si>
  <si>
    <t>hostsidetests/appsecurity/src/android/appsecurity/cts/DocumentsTest.java</t>
  </si>
  <si>
    <t>tests/JobScheduler/src/android/jobscheduler/cts/TimingConstraintsTest.java</t>
  </si>
  <si>
    <t>hostsidetests/security/src/android/security/cts/SELinuxHostTest.java</t>
  </si>
  <si>
    <t>tests/uiautomator/src/com/android/uiautomator/cts/UiAutomatorTest.java</t>
  </si>
  <si>
    <t>tests/tests/uiautomation/src/android/app/uiautomation/cts/UiAutomationTest.java</t>
  </si>
  <si>
    <t>tests/tests/security/src/android/security/cts/AudioEffectBinderTest.java</t>
  </si>
  <si>
    <t>tests/tests/security/src/android/security/cts/AudioFlingerBinderTest.java</t>
  </si>
  <si>
    <t>tests/tests/security/src/android/security/cts/GraphicBufferInfoLeakTest.java</t>
  </si>
  <si>
    <t>tests/tests/security/src/android/security/cts/LoadEffectLibraryTest.java</t>
  </si>
  <si>
    <t>tests/tests/location/src/android/location/cts/GnssNavigationMessageEventTest.java</t>
  </si>
  <si>
    <t>tests/tests/widget/src/android/widget/cts/SpinnerTest.java</t>
  </si>
  <si>
    <t>tests/tests/text/src/android/text/util/cts/LinkifyTest.java</t>
  </si>
  <si>
    <t>tests/tests/print/src/android/print/cts/CustomPrintOptionsTest.java</t>
  </si>
  <si>
    <t>tests/tests/telecom/src/android/telecom/cts/ConferenceTest.java</t>
  </si>
  <si>
    <t>tests/tests/telecom/src/android/telecom/cts/ConnectionTest.java</t>
  </si>
  <si>
    <t>tests/tests/telecom/src/android/telecom/cts/ExternalCallTest.java</t>
  </si>
  <si>
    <t>tests/tests/telecom/src/android/telecom/cts/RemoteConferenceTest.java</t>
  </si>
  <si>
    <t>tests/tests/telecom/src/android/telecom/cts/RemoteConnectionTest.java</t>
  </si>
  <si>
    <t>tests/tests/net/src/android/net/http/cts/X509TrustManagerExtensionsTest.java</t>
  </si>
  <si>
    <t>tests/tests/widget/src/android/widget/cts/RadioButtonTest.java</t>
  </si>
  <si>
    <t>tests/tests/widget/src/android/widget/cts/ImageButtonTest.java</t>
  </si>
  <si>
    <t>hostsidetests/devicepolicy/app/DeviceOwner/src/com/android/cts/deviceowner/RemoteBugreportTest.java</t>
  </si>
  <si>
    <t>tests/tests/widget/src/android/widget/cts/CheckedTextViewTest.java</t>
  </si>
  <si>
    <t>tests/inputmethod/src/android/inputmethod/cts/InputMethodServiceTest.java</t>
  </si>
  <si>
    <t>hostsidetests/appsecurity/test-apps/UsePermissionApp/src/com/android/cts/usepermission/UsePermissionTest.java</t>
  </si>
  <si>
    <t>tests/tests/security/src/android/security/cts/AllocatePixelRefIntOverflowTest.java</t>
  </si>
  <si>
    <t>tests/tests/security/src/android/security/cts/SkiaICORecursiveDecodingTest.java</t>
  </si>
  <si>
    <t>hostsidetests/devicepolicy/app/DeviceAndProfileOwner/src/com/android/cts/deviceandprofileowner/ClearProfileOwnerTest.java</t>
  </si>
  <si>
    <t>hostsidetests/appsecurity/src/android/appsecurity/cts/PermissionsHostTest.java</t>
  </si>
  <si>
    <t>tests/browser/src/android/browser/cts/BrowserBenchTest.java</t>
  </si>
  <si>
    <t>tests/tests/shortcutmanager/src/android/content/pm/cts/ShortcutManagerDynamicCountTest.java</t>
  </si>
  <si>
    <t>tests/tests/shortcutmanager/src/android/content/pm/cts/ShortcutManagerNoThrottlingTest.java</t>
  </si>
  <si>
    <t>tests/tests/shortcutmanager/src/android/content/pm/cts/ShortcutManagerSpoofDetectionTest.java</t>
  </si>
  <si>
    <t>tests/tests/shortcutmanager/src/android/content/pm/cts/ShortcutManagerThrottlingTest.java</t>
  </si>
  <si>
    <t>hostsidetests/compilation/src/android/cts/compilation/CompilationTest.java</t>
  </si>
  <si>
    <t>tests/tests/libcorefileio/src/android/cts/FileChannelTryLockTest.java</t>
  </si>
  <si>
    <t>tests/tests/media/src/android/media/cts/DecodeAccuracyTest.java</t>
  </si>
  <si>
    <t>tests/app/src/android/app/cts/KeyguardManagerTest.java</t>
  </si>
  <si>
    <t>tests/app/src/android/app/cts/ActivityManagerTest.java</t>
  </si>
  <si>
    <t>hostsidetests/sustainedperf/src/android/SustainedPerformance/cts/SustainedPerformanceHostTest.java</t>
  </si>
  <si>
    <t>tests/tests/security/src/android/security/cts/DisplayDriverTest.java</t>
  </si>
  <si>
    <t>hostsidetests/devicepolicy/app/DeviceOwner/src/com/android/cts/deviceowner/CreateAndManageUserTest.java</t>
  </si>
  <si>
    <t>hostsidetests/largeapk/src/android/largeapk/cts/LargeApkTest.java</t>
  </si>
  <si>
    <t>hostsidetests/compilation/src/android/cts/compilation/AdbRootDependentCompilationTest.java</t>
  </si>
  <si>
    <t>tests/tests/draganddrop/src/android/dnd/cts/DragAndDropTest.java</t>
  </si>
  <si>
    <t>tests/tests/animation/src/android/animation/cts/ValueAnimatorTest.java</t>
  </si>
  <si>
    <t>tests/vr/src/android/vr/cts/VrSensorsTest.java</t>
  </si>
  <si>
    <t>tests/tests/media/src/android/media/cts/VideoDecoderPerfTest.java</t>
  </si>
  <si>
    <t>tests/video/src/android/video/cts/VideoEncoderDecoderTest.java</t>
  </si>
  <si>
    <t>tests/tests/graphics/src/android/graphics/cts/MatrixTest.java</t>
  </si>
  <si>
    <t>suite/cts/deviceTests/browserbench/src/com/android/cts/browser/BrowserBenchTest.java</t>
  </si>
  <si>
    <t>tests/tests/widget/src/android/widget/cts/ListViewTest.java</t>
  </si>
  <si>
    <t>common/host-side/util/tests/src/com/android/compatibility/common/util/MetricsStoreTest.java</t>
  </si>
  <si>
    <t>tests/tests/view/src/android/view/cts/AbsSavedStateTest.java</t>
  </si>
  <si>
    <t>tests/tests/animation/src/android/animation/cts/AnimatorListenerAdapterTest.java</t>
  </si>
  <si>
    <t>tests/tests/widget/src/android/widget/cts/RemoteViewsTest.java</t>
  </si>
  <si>
    <t>tests/tests/widget/src/android/widget/cts/AbsSpinnerTest.java</t>
  </si>
  <si>
    <t>tests/tests/widget/src/android/widget/cts/AbsoluteLayoutTest.java</t>
  </si>
  <si>
    <t>tests/tests/widget/src/android/widget/cts/AdapterViewTest.java</t>
  </si>
  <si>
    <t>tests/tests/widget/src/android/widget/cts/AnalogClockTest.java</t>
  </si>
  <si>
    <t>tests/tests/widget/src/android/widget/cts/ArrayAdapterTest.java</t>
  </si>
  <si>
    <t>tests/tests/widget/src/android/widget/cts/DialerFilterTest.java</t>
  </si>
  <si>
    <t>tests/tests/widget/src/android/widget/cts/ExpandableListViewTest.java</t>
  </si>
  <si>
    <t>tests/tests/widget/src/android/widget/cts/FrameLayoutTest.java</t>
  </si>
  <si>
    <t>tests/tests/widget/src/android/widget/cts/HorizontalScrollViewTest.java</t>
  </si>
  <si>
    <t>tests/tests/widget/src/android/widget/cts/RelativeLayoutTest.java</t>
  </si>
  <si>
    <t>tests/tests/widget/src/android/widget/cts/ScrollViewTest.java</t>
  </si>
  <si>
    <t>tests/tests/webkit/src/android/webkit/cts/WebViewStartupTest.java</t>
  </si>
  <si>
    <t>tests/tests/widget/src/android/widget/cts/SlidingDrawerTest.java</t>
  </si>
  <si>
    <t>tests/tests/widget/src/android/widget/cts/TabHostTest.java</t>
  </si>
  <si>
    <t>tests/tests/widget/src/android/widget/cts/TabWidgetTest.java</t>
  </si>
  <si>
    <t>tests/tests/widget/src/android/widget/cts/ToastTest.java</t>
  </si>
  <si>
    <t>tests/tests/widget/src/android/widget/cts/ZoomButtonTest.java</t>
  </si>
  <si>
    <t>tests/tests/widget/src/android/widget/cts/ZoomControlsTest.java</t>
  </si>
  <si>
    <t>tests/tests/view/src/android/view/inputmethod/cts/InputContentInfoTest.java</t>
  </si>
  <si>
    <t>tests/tests/view/src/android/view/cts/LayoutInflaterTest.java</t>
  </si>
  <si>
    <t>tests/tests/view/src/android/view/cts/MenuInflaterTest.java</t>
  </si>
  <si>
    <t>tests/tests/security/src/android/security/cts/AudioPolicyServiceTest.java</t>
  </si>
  <si>
    <t>tests/tests/media/src/android/media/cts/MediaRouterTest.java</t>
  </si>
  <si>
    <t>tests/tests/view/src/android/view/cts/KeyCharacterMapTest.java</t>
  </si>
  <si>
    <t>tests/tests/view/src/android/view/cts/View_MeasureSpecTest.java</t>
  </si>
  <si>
    <t>tests/tests/view/src/android/view/cts/WindowManager_LayoutParamsTest.java</t>
  </si>
  <si>
    <t>tests/tests/animation/src/android/animation/cts/AnimatorSetTest.java</t>
  </si>
  <si>
    <t>tests/tests/print/src/android/print/cts/PrintDocumentAdapterContractTest.java</t>
  </si>
  <si>
    <t>tests/tests/print/src/android/print/cts/PrintServicesTest.java</t>
  </si>
  <si>
    <t>tests/tests/print/src/android/print/cts/PrinterInfoTest.java</t>
  </si>
  <si>
    <t>tests/tests/util/src/android/util/cts/JsonReaderTest.java</t>
  </si>
  <si>
    <t>tests/tests/util/src/android/util/cts/RangeTest.java</t>
  </si>
  <si>
    <t>tests/tests/shortcutmanager/src/android/content/pm/cts/shortcutmanager/ShortcutManagerThrottlingTest.java</t>
  </si>
  <si>
    <t>tests/tests/text/src/android/text/method/cts/CharacterPickerDialogTest.java</t>
  </si>
  <si>
    <t>tests/tests/text/src/android/text/method/cts/ReplacementTransformationMethodTest.java</t>
  </si>
  <si>
    <t>tests/tests/text/src/android/text/style/cts/BulletSpanTest.java</t>
  </si>
  <si>
    <t>tests/tests/text/src/android/text/cts/SpannableStringBuilderTest.java</t>
  </si>
  <si>
    <t>tests/tests/graphics/src/android/graphics/drawable/cts/LevelListDrawableTest.java</t>
  </si>
  <si>
    <t>tests/tests/graphics/src/android/graphics/drawable/cts/RotateDrawableTest.java</t>
  </si>
  <si>
    <t>tests/tests/graphics/src/android/graphics/drawable/cts/StateListDrawableTest.java</t>
  </si>
  <si>
    <t>tests/tests/graphics/src/android/graphics/cts/ColorTest.java</t>
  </si>
  <si>
    <t>tests/tests/graphics/src/android/graphics/cts/TypefaceTest.java</t>
  </si>
  <si>
    <t>tests/tests/view/src/android/view/cts/PixelCopyTest.java</t>
  </si>
  <si>
    <t>tests/tests/view/src/android/view/cts/MotionEventTest.java</t>
  </si>
  <si>
    <t>common/util/tests/src/com/android/compatibility/common/util/AbiUtilsTest.java</t>
  </si>
  <si>
    <t>tests/tests/libcorefileio/src/android/cts/FileChannelInterProcessLockTest.java</t>
  </si>
  <si>
    <t>tests/tests/net/src/android/net/cts/LocalSocketTest.java</t>
  </si>
  <si>
    <t>tests/tests/security/src/android/security/cts/MediaServerCrashTest.java</t>
  </si>
  <si>
    <t>hostsidetests/devicepolicy/src/com/android/cts/devicepolicy/ProfileOwnerTest.java</t>
  </si>
  <si>
    <t>tools/tradefed-host/tests/src/com/android/cts/tradefed/device/DeviceInfoCollectorFuncTest.java</t>
  </si>
  <si>
    <t>tools/tradefed-host/tests/src/com/android/cts/tradefed/result/CtsXmlResultReporterTest.java</t>
  </si>
  <si>
    <t>tools/tradefed-host/tests/src/com/android/cts/tradefed/result/TestLogTest.java</t>
  </si>
  <si>
    <t>tools/tradefed-host/tests/src/com/android/cts/tradefed/result/TestPackageResultTest.java</t>
  </si>
  <si>
    <t>tools/tradefed-host/tests/src/com/android/cts/tradefed/result/TestResultsTest.java</t>
  </si>
  <si>
    <t>tools/tradefed-host/tests/src/com/android/cts/tradefed/result/TestSummaryXmlTest.java</t>
  </si>
  <si>
    <t>tools/tradefed-host/tests/src/com/android/cts/tradefed/result/TestTest.java</t>
  </si>
  <si>
    <t>tools/tradefed-host/tests/src/com/android/cts/tradefed/testtype/CtsTestTest.java</t>
  </si>
  <si>
    <t>tools/tradefed-host/tests/src/com/android/cts/tradefed/testtype/GeeTestTest.java</t>
  </si>
  <si>
    <t>tools/tradefed-host/tests/src/com/android/cts/tradefed/testtype/JarHostTestTest.java</t>
  </si>
  <si>
    <t>tools/tradefed-host/tests/src/com/android/cts/tradefed/testtype/TestFilterTest.java</t>
  </si>
  <si>
    <t>tools/tradefed-host/tests/src/com/android/cts/tradefed/testtype/TestPackageDefTest.java</t>
  </si>
  <si>
    <t>tools/tradefed-host/tests/src/com/android/cts/tradefed/testtype/TestPackageXmlParserTest.java</t>
  </si>
  <si>
    <t>tools/tradefed-host/tests/src/com/android/cts/tradefed/testtype/TestPlanTest.java</t>
  </si>
  <si>
    <t>tools/tradefed-host/tests/src/com/android/cts/tradefed/testtype/WrappedGTestResultParserTest.java</t>
  </si>
  <si>
    <t>tests/tests/car/src/android/car/cts/ExceptionsTest.java</t>
  </si>
  <si>
    <t>tests/tests/car/src/android/car/cts/CarInfoManagerTest.java</t>
  </si>
  <si>
    <t>tests/accessibilityservice/src/android/accessibilityservice/cts/AccessibilitySoftKeyboardModesTest.java</t>
  </si>
  <si>
    <t>hostsidetests/devicepolicy/src/com/android/cts/devicepolicy/MixedManagedProfileOwnerTest.java</t>
  </si>
  <si>
    <t>tests/tests/util/src/android/util/cts/HalfTest.java</t>
  </si>
  <si>
    <t>tests/app/src/android/app/cts/NotificationManagerTest.java</t>
  </si>
  <si>
    <t>tests/tests/security/src/android/security/cts/UsbDebuggingAuthWithoutUnlockTest.java</t>
  </si>
  <si>
    <t>tests/tests/display/src/android/display/cts/DisplayTest.java</t>
  </si>
  <si>
    <t>common/host-side/tradefed/tests/src/com/android/compatibility/common/tradefed/testtype/ModuleRepoTest.java</t>
  </si>
  <si>
    <t>hostsidetests/devicepolicy/app/DeviceOwner/src/com/android/cts/deviceowner/BluetoothRestrictionTest.java</t>
  </si>
  <si>
    <t>tests/tests/mediastress/preconditions/tests/src/android/mediastress/cts/preconditions/MediaPreparerTest.java</t>
  </si>
  <si>
    <t>common/host-side/tradefed/tests/src/com/android/compatibility/common/tradefed/command/CompatibilityConsoleTest.java</t>
  </si>
  <si>
    <t>tests/tests/graphics/src/android/graphics/cts/LayerRasterizerTest.java</t>
  </si>
  <si>
    <t>tests/tests/graphics/src/android/graphics/cts/RasterizerTest.java</t>
  </si>
  <si>
    <t>tests/tests/text/src/android/text/style/cts/RasterizerSpanTest.java</t>
  </si>
  <si>
    <t>tests/tests/app.usage/preconditions/app/src/android/app/usage/cts/preconditions/app/AppUsagePreparerAppTest.java</t>
  </si>
  <si>
    <t>hostsidetests/devicepolicy/app/CorpOwnedManagedProfile/src/com/android/cts/comp/DeviceOwnerBindDeviceAdminServiceTest.java</t>
  </si>
  <si>
    <t>hostsidetests/devicepolicy/app/CorpOwnedManagedProfile/src/com/android/cts/comp/ManagedProfileBindDeviceAdminServiceTest.java</t>
  </si>
  <si>
    <t>tests/tests/media/src/android/media/cts/MediaRecorderTest.java</t>
  </si>
  <si>
    <t>tests/app/src/android/app/cts/NotificationChannelTest.java</t>
  </si>
  <si>
    <t>tests/tests/security/src/android/security/cts/EncryptionTest.java</t>
  </si>
  <si>
    <t>hostsidetests/devicepolicy/app/ProfileOwner/src/com/android/cts/profileowner/ClearProfileOwnerTest.java</t>
  </si>
  <si>
    <t>hostsidetests/devicepolicy/app/CorpOwnedManagedProfile/src/com/android/cts/comp/DeviceOwnerCompTest.java</t>
  </si>
  <si>
    <t>hostsidetests/devicepolicy/src/com/android/cts/devicepolicy/DeviceOwnerPlusManagedProfileTest.java</t>
  </si>
  <si>
    <t>tests/admin/src/android/admin/cts/DeviceAdminReceiverTest.java</t>
  </si>
  <si>
    <t>tests/tests/provider/src/android/provider/cts/ContactsContract_AllUriTest.java</t>
  </si>
  <si>
    <t>hostsidetests/devicepolicy/app/DeviceOwner/src/com/android/cts/deviceowner/AdminActionBookkeepingTest.java</t>
  </si>
  <si>
    <t>hostsidetests/devicepolicy/app/DeviceOwner/src/com/android/cts/deviceowner/NetworkLoggingTest.java</t>
  </si>
  <si>
    <t>hostsidetests/devicepolicy/app/DeviceOwner/src/com/android/cts/deviceowner/SecurityLoggingTest.java</t>
  </si>
  <si>
    <t>hostsidetests/appsecurity/src/android/appsecurity/cts/SsaidTest.java</t>
  </si>
  <si>
    <t>hostsidetests/appsecurity/test-apps/SsaidTestApp/SsaidApp1/src/com/android/cts/ssaidapp1/ClientTest.java</t>
  </si>
  <si>
    <t>common/util/tests/src/com/android/compatibility/common/util/InvocationHistoryTest.java</t>
  </si>
  <si>
    <t>tests/tests/view/src/android/view/cts/FocusFinderTest.java</t>
  </si>
  <si>
    <t>hostsidetests/shortcuts/deviceside/multiuser/src/android/content/pm/cts/shortcut/multiuser/ShortcutManagerManagedUserTest.java</t>
  </si>
  <si>
    <t>tests/tests/view/src/android/view/inputmethod/cts/BaseInputConnectionTest.java</t>
  </si>
  <si>
    <t>tests/tests/view/src/android/view/inputmethod/cts/CompletionInfoTest.java</t>
  </si>
  <si>
    <t>tests/tests/view/src/android/view/inputmethod/cts/EditorInfoTest.java</t>
  </si>
  <si>
    <t>tests/tests/view/src/android/view/inputmethod/cts/ExtractedTextRequestTest.java</t>
  </si>
  <si>
    <t>tests/tests/view/src/android/view/inputmethod/cts/ExtractedTextTest.java</t>
  </si>
  <si>
    <t>tests/tests/view/src/android/view/inputmethod/cts/InputBindingTest.java</t>
  </si>
  <si>
    <t>tests/tests/view/src/android/view/inputmethod/cts/InputConnectionWrapperTest.java</t>
  </si>
  <si>
    <t>tests/tests/view/src/android/view/inputmethod/cts/InputMethodInfoTest.java</t>
  </si>
  <si>
    <t>tests/tests/view/src/android/view/inputmethod/cts/InputMethodManagerTest.java</t>
  </si>
  <si>
    <t>tests/tests/view/src/android/view/inputmethod/cts/KeyboardTest.java</t>
  </si>
  <si>
    <t>tests/tests/app/src/android/app/cts/ActivityCallbacksTest.java</t>
  </si>
  <si>
    <t>hostsidetests/devicepolicy/app/DeviceOwner/src/com/android/cts/deviceowner/AffiliationTest.java</t>
  </si>
  <si>
    <t>tests/app/src/android/app/cts/InstrumentationTest.java</t>
  </si>
  <si>
    <t>hostsidetests/devicepolicy/src/com/android/cts/devicepolicy/CustomDeviceOwnerTest.java</t>
  </si>
  <si>
    <t>tests/autofillservice/src/android/autofillservice/cts/LoginActivityTest.java</t>
  </si>
  <si>
    <t>tests/tests/telephony/src/android/telephony/cts/TelephonyManagerTest.java</t>
  </si>
  <si>
    <t>tests/tests/os/src/android/os/cts/SecurityFeaturesTest.java</t>
  </si>
  <si>
    <t>hostsidetests/retaildemo/src/android/host/retaildemo/DemoModeTest.java</t>
  </si>
  <si>
    <t>tests/admin/app/src/android/admin/app/DeactivationTest.java</t>
  </si>
  <si>
    <t>tests/tests/text/src/android/text/cts/SpannableStringTest.java</t>
  </si>
  <si>
    <t>tests/tests/text/src/android/text/cts/SpannedStringTest.java</t>
  </si>
  <si>
    <t>tests/tests/graphics/src/android/graphics/fonts/cts/FontRequestTest.java</t>
  </si>
  <si>
    <t>tests/tests/tv/src/android/media/tv/cts/TvInputInfoTest.java</t>
  </si>
  <si>
    <t>tests/app/src/android/app/cts/PipNotResizeableActivityTest.java</t>
  </si>
  <si>
    <t>hostsidetests/retaildemo/app/src/com/android/cts/retaildemo/DemoModeUiAutomationTest.java</t>
  </si>
  <si>
    <t>hostsidetests/retaildemo/app/src/com/android/cts/retaildemo/DemoUserTest.java</t>
  </si>
  <si>
    <t>hostsidetests/retaildemo/src/android/host/retaildemo/DemoModeUiAutomationHostTest.java</t>
  </si>
  <si>
    <t>tests/autofillservice/src/android/autofillservice/cts/ViewAttributesTest.java</t>
  </si>
  <si>
    <t>hostsidetests/appsecurity/src/android/appsecurity/cts/UsesLibraryHostTest.java</t>
  </si>
  <si>
    <t>hostsidetests/appsecurity/test-apps/UsesLibraryApp/src/com/android/cts/useslibrary/UsesLibraryTest.java</t>
  </si>
  <si>
    <t>hostsidetests/appsecurity/src/android/appsecurity/cts/StorageHostTest.java</t>
  </si>
  <si>
    <t>tests/tests/media/src/android/media/cts/EncodeDecodeTest.java</t>
  </si>
  <si>
    <t>tests/tests/util/src/android/util/cts/LongSparseArrayTest.java</t>
  </si>
  <si>
    <t>tests/tests/util/src/android/util/cts/SparseArrayTest.java</t>
  </si>
  <si>
    <t>tests/tests/dpi/src/android/dpi/cts/AspectRatioTest.java</t>
  </si>
  <si>
    <t>tests/tests/text/src/android/text/cts/FontManagerTest.java</t>
  </si>
  <si>
    <t>hostsidetests/backup/app2/src/android/backup/cts/app2/WallpaperRestoreTest.java</t>
  </si>
  <si>
    <t>hostsidetests/backup/src/android/backup/cts/WallpaperRestoreHostSideTest.java</t>
  </si>
  <si>
    <t>tests/tests/media/src/android/media/cts/AudioAttributesTest.java</t>
  </si>
  <si>
    <t>tests/fragment/src/android/fragment/cts/FragmentTransactionTest.java</t>
  </si>
  <si>
    <t>tests/app/src/android/app/cts/AdjustmentTest.java</t>
  </si>
  <si>
    <t>tests/app/src/android/app/cts/SnoozeCriterionTest.java</t>
  </si>
  <si>
    <t>tests/tests/shortcutmanager/src/android/content/pm/cts/shortcutmanager/ShortcutManagerClientApiTest.java</t>
  </si>
  <si>
    <t>tests/tests/shortcutmanager/src/android/content/pm/cts/shortcutmanager/ShortcutManagerLauncherApiTest.java</t>
  </si>
  <si>
    <t>tests/accessibility/src/android/view/accessibility/cts/AccessibilityManagerTest.java</t>
  </si>
  <si>
    <t>tests/tests/nativemidi/java/android/nativemidi/cts/NativeMidiEchoTest.java</t>
  </si>
  <si>
    <t>hostsidetests/jvmti/redefining/app/src/android/jvmti/cts/JvmtiRedefineClassesTest.java</t>
  </si>
  <si>
    <t>hostsidetests/jvmti/allocation-tracking/app/src/android/jvmti/cts/JvmtiTrackingTest.java</t>
  </si>
  <si>
    <t>hostsidetests/jvmti/tagging/app/src/android/jvmti/cts/JvmtiTaggingTest.java</t>
  </si>
  <si>
    <t>hostsidetests/jvmti/base/host/src/android/jvmti/cts/JvmtiHostTest.java</t>
  </si>
  <si>
    <t>hostsidetests/appsecurity/src/android/appsecurity/cts/EphemeralTest.java</t>
  </si>
  <si>
    <t>tests/tests/shortcutmanager/src/android/content/pm/cts/shortcutmanager/ShortcutManagerNegativeTest.java</t>
  </si>
  <si>
    <t>tests/deviceadmin/uninstalltest/src/android/devicepolicy/cts/uiautomatertest/DeviceAdminUninstallTest.java</t>
  </si>
  <si>
    <t>hostsidetests/security/src/android/cts/security/FileSystemPermissionTest.java</t>
  </si>
  <si>
    <t>hostsidetests/webkit/src/com/android/cts/webkit/RenderProcessCrashTest.java</t>
  </si>
  <si>
    <t>common/host-side/tradefed/tests/src/com/android/compatibility/common/tradefed/result/SubPlanHelperTest.java</t>
  </si>
  <si>
    <t>common/host-side/tradefed/tests/src/com/android/compatibility/common/tradefed/util/RetryFilterHelperTest.java</t>
  </si>
  <si>
    <t>tests/tests/content/src/android/content/cts/ContentResolverTest.java</t>
  </si>
  <si>
    <t>tests/tests/media/src/android/media/cts/AudioRecordConcurrencyTest.java</t>
  </si>
  <si>
    <t>tests/tests/media/src/android/media/cts/MediaBrowserServiceTest.java</t>
  </si>
  <si>
    <t>tests/tests/media/src/android/media/cts/MediaControllerTest.java</t>
  </si>
  <si>
    <t>tests/tests/view/src/android/view/textclassifier/cts/TextClassificationManagerTest.java</t>
  </si>
  <si>
    <t>tests/tests/graphics/src/android/graphics/cts/BitmapShaderTest.java</t>
  </si>
  <si>
    <t>tests/tests/graphics/src/android/graphics/cts/ColorMatrixColorFilterTest.java</t>
  </si>
  <si>
    <t>tests/tests/graphics/src/android/graphics/cts/ComposeShaderTest.java</t>
  </si>
  <si>
    <t>tests/tests/graphics/src/android/graphics/cts/LightingColorFilterTest.java</t>
  </si>
  <si>
    <t>tests/tests/graphics/src/android/graphics/cts/LinearGradientTest.java</t>
  </si>
  <si>
    <t>tests/tests/graphics/src/android/graphics/cts/PorterDuffColorFilterTest.java</t>
  </si>
  <si>
    <t>tests/tests/graphics/src/android/graphics/cts/SweepGradientTest.java</t>
  </si>
  <si>
    <t>tests/tests/toastlegacy/src/android/widget/toast/cts/legacy/ToastTest.java</t>
  </si>
  <si>
    <t>tests/tests/os/src/android/os/cts/BuildTest.java</t>
  </si>
  <si>
    <t>tests/tests/graphics/src/android/graphics/fonts/cts/FontResultTest.java</t>
  </si>
  <si>
    <t>tests/camera/src/android/hardware/camera2/cts/ImageWriterTest.java</t>
  </si>
  <si>
    <t>tests/tests/net/src/android/net/cts/IpSecManagerTest.java</t>
  </si>
  <si>
    <t>tests/tests/graphics/src/android/graphics/cts/ColorSpaceTest.java</t>
  </si>
  <si>
    <t>tests/accessibilityservice/src/android/accessibilityservice/cts/AccessibilityFingerprintGestureTest.java</t>
  </si>
  <si>
    <t>tests/tests/nativehardware/src/android/hardware/cts/AHardwareBufferNativeTest.java</t>
  </si>
  <si>
    <t>tests/tests/telephony/src/android/telephony/cts/VisualVoicemailServiceTest.java</t>
  </si>
  <si>
    <t>tests/tests/calllog/src/android/calllog/cts/CallLogBackupTest.java</t>
  </si>
  <si>
    <t>tests/tests/car/src/android/car/cts/CarUiProviderTest.java</t>
  </si>
  <si>
    <t>tests/tests/security/src/android/security/cts/StagefrightTest.java</t>
  </si>
  <si>
    <t>tests/tests/text/src/android/text/style/cts/UnderlineSpanTest.java</t>
  </si>
  <si>
    <t>tests/tests/text/src/android/text/cts/BidiFormatterTest.java</t>
  </si>
  <si>
    <t>tests/tests/text/src/android/text/cts/StaticLayoutTest.java</t>
  </si>
  <si>
    <t>tests/tests/text/src/android/text/method/cts/WordIteratorTest.java</t>
  </si>
  <si>
    <t>tests/tests/widget/src/android/widget/cts/CalendarViewTest.java</t>
  </si>
  <si>
    <t>hostsidetests/incident/src/com/android/server/cts/BatteryStatsValidationTest.java</t>
  </si>
  <si>
    <t>hostsidetests/media/bitstreams/src/android/media/cts/bitstreams/MediaBitstreamsTest.java</t>
  </si>
  <si>
    <t>hostsidetests/appsecurity/test-apps/EphemeralTestApp/EphemeralApp1/src/com/android/cts/ephemeralapp1/ClientTest.java</t>
  </si>
  <si>
    <t>hostsidetests/backup/src/android/cts/backup/BackupRestoreHostSideTest.java</t>
  </si>
  <si>
    <t>tests/vr/src/android/vr/cts/VrCpuTest.java</t>
  </si>
  <si>
    <t>hostsidetests/media/src/android/media/session/cts/MediaSessionManagerHostTest.java</t>
  </si>
  <si>
    <t>tests/app/src/android/app/cts/WallpaperColorsTest.java</t>
  </si>
  <si>
    <t>tests/tests/view/src/android/view/cts/View_FocusHandlingTest.java</t>
  </si>
  <si>
    <t>tests/autofillservice/src/android/autofillservice/cts/CharSequenceTransformationTest.java</t>
  </si>
  <si>
    <t>tests/autofillservice/src/android/autofillservice/cts/ImageTransformationTest.java</t>
  </si>
  <si>
    <t>tests/autofillservice/src/android/autofillservice/cts/SimpleRegexValidatorTest.java</t>
  </si>
  <si>
    <t>tests/tests/text/src/android/text/cts/BoringLayoutTest.java</t>
  </si>
  <si>
    <t>tests/tests/text/src/android/text/cts/DynamicLayoutTest.java</t>
  </si>
  <si>
    <t>tests/tests/debug/src/android/debug/cts/DebugTest.java</t>
  </si>
  <si>
    <t>tests/tests/content/src/android/content/pm/cts/InstallSessionParamsUnitTest.java</t>
  </si>
  <si>
    <t>tests/tests/content/src/android/content/pm/cts/InstallSessionTransferTest.java</t>
  </si>
  <si>
    <t>tests/tests/os/src/android/os/cts/SharedMemoryTest.java</t>
  </si>
  <si>
    <t>tests/autofillservice/src/android/autofillservice/cts/SimpleSaveActivityTest.java</t>
  </si>
  <si>
    <t>hostsidetests/media/bitstreams/src/android/media/cts/bitstreams/H264Yuv420_8bitBpBitstreamsFullTest.java</t>
  </si>
  <si>
    <t>hostsidetests/media/bitstreams/src/android/media/cts/bitstreams/H264Yuv420_8bitHpBitstreamsFullTest.java</t>
  </si>
  <si>
    <t>hostsidetests/media/bitstreams/src/android/media/cts/bitstreams/H264Yuv420_8bitMpBitstreamsFullTest.java</t>
  </si>
  <si>
    <t>hostsidetests/media/bitstreams/src/android/media/cts/bitstreams/HevcYuv400BitstreamsFullTest.java</t>
  </si>
  <si>
    <t>hostsidetests/media/bitstreams/src/android/media/cts/bitstreams/HevcYuv420BitstreamsFullTest.java</t>
  </si>
  <si>
    <t>hostsidetests/media/bitstreams/src/android/media/cts/bitstreams/HevcYuv422BitstreamsFullTest.java</t>
  </si>
  <si>
    <t>hostsidetests/media/bitstreams/src/android/media/cts/bitstreams/HevcYuv444BitstreamsFullTest.java</t>
  </si>
  <si>
    <t>hostsidetests/media/bitstreams/src/android/media/cts/bitstreams/Vp8BitstreamsFullTest.java</t>
  </si>
  <si>
    <t>hostsidetests/media/bitstreams/src/android/media/cts/bitstreams/Vp9Yuv420BitstreamsFullTest.java</t>
  </si>
  <si>
    <t>hostsidetests/media/bitstreams/src/android/media/cts/bitstreams/Vp9Yuv422BitstreamsFullTest.java</t>
  </si>
  <si>
    <t>hostsidetests/media/bitstreams/src/android/media/cts/bitstreams/Vp9Yuv444BitstreamsFullTest.java</t>
  </si>
  <si>
    <t>hostsidetests/devicepolicy/src/com/android/cts/devicepolicy/EphemeralUserTest.java</t>
  </si>
  <si>
    <t>hostsidetests/content/src/android/content/cts/InvalidSyncAuthoritiesHostTest.java</t>
  </si>
  <si>
    <t>hostsidetests/content/test-apps/CtsSyncInvalidAccountAuthorityTestCases/src/android/content/sync/cts/InvalidSyncAuthoritiesDeviceTest.java</t>
  </si>
  <si>
    <t>tests/tests/widget/src/android/widget/cts/EditTextTest.java</t>
  </si>
  <si>
    <t>tests/tests/security/src/android/security/cts/CryptoProviderWorkaroundTest.java</t>
  </si>
  <si>
    <t>tests/tests/security/src/android/security/cts/OpenSSLEarlyCCSTest.java</t>
  </si>
  <si>
    <t>tests/tests/security/src/android/security/cts/OpenSSLHeartbleedTest.java</t>
  </si>
  <si>
    <t>common/host-side/tradefed/tests/src/com/android/compatibility/common/tradefed/testtype/suite/CompatibilityTestSuiteTest.java</t>
  </si>
  <si>
    <t>common/host-side/tradefed/tests/src/com/android/compatibility/common/tradefed/testtype/suite/ModuleRepoSuiteTest.java</t>
  </si>
  <si>
    <t>hostsidetests/incident/src/com/android/server/cts/FingerprintIncidentTest.java</t>
  </si>
  <si>
    <t>common/host-side/tradefed/tests/src/com/android/compatibility/common/tradefed/testtype/CompatibilityHostTestBaseTest.java</t>
  </si>
  <si>
    <t>tests/vr/src/android/vr/cts/VrDisplayTest.java</t>
  </si>
  <si>
    <t>tests/autofillservice/src/android/autofillservice/cts/ValidatorTest.java</t>
  </si>
  <si>
    <t>hostsidetests/incident/src/com/android/server/cts/StatsdValidationTest.java</t>
  </si>
  <si>
    <t>tests/tests/media/src/android/media/cts/ClearKeySystemTest.java</t>
  </si>
  <si>
    <t>tests/autofillservice/src/android/autofillservice/cts/FillResponseTest.java</t>
  </si>
  <si>
    <t>tests/accessibilityservice/src/android/accessibilityservice/cts/AccessibilityEndToEndTest.java</t>
  </si>
  <si>
    <t>tests/inputmethod/src/android/view/inputmethod/cts/InputMethodInfoTest.java</t>
  </si>
  <si>
    <t>tests/inputmethod/src/android/view/inputmethod/cts/ColoredNavigationBarTest.java</t>
  </si>
  <si>
    <t>tests/tests/os/src/android/os/cts/WorkSourceTest.java</t>
  </si>
  <si>
    <t>tests/tests/view/src/android/view/cts/PanicPressBackTest.java</t>
  </si>
  <si>
    <t>hostsidetests/security/src/android/security/cts/EncryptionHostTest.java</t>
  </si>
  <si>
    <t>hostsidetests/inputmethodservice/deviceside/devicetest/src/android/inputmethodservice/cts/devicetest/InputMethodServiceDeviceTest.java</t>
  </si>
  <si>
    <t>hostsidetests/inputmethodservice/hostside/src/android/inputmethodservice/cts/hostside/InputMethodServiceLifecycleTest.java</t>
  </si>
  <si>
    <t>tests/tests/bluetooth/src/android/bluetooth/cts/BluetoothLeScanTest.java</t>
  </si>
  <si>
    <t>tests/accessibilityservice/src/android/accessibilityservice/cts/AccessibilityWindowQueryTest.java</t>
  </si>
  <si>
    <t>tests/accessibilityservice/src/android/accessibilityservice/cts/AccessibilityWindowReportingTest.java</t>
  </si>
  <si>
    <t>hostsidetests/devicepolicy/src/com/android/cts/devicepolicy/TransferProfileOwnerTest.java</t>
  </si>
  <si>
    <t>tests/autofillservice/src/android/autofillservice/cts/EditDistanceScorerTest.java</t>
  </si>
  <si>
    <t>hostsidetests/content/src/android/content/cts/SyncAdapterAccountAccessHostTest.java</t>
  </si>
  <si>
    <t>tests/tests/text/src/android/text/cts/MeasuredTextTest.java</t>
  </si>
  <si>
    <t>tests/dram/src/android/dram/cts/BandwidthTest.java</t>
  </si>
  <si>
    <t>tests/tests/selinux/selinuxTargetSdk2/src/android/selinuxtargetsdk2/cts/SELinuxTargetSdk2Test.java</t>
  </si>
  <si>
    <t>tests/tests/systemui/src/android/systemui/cts/LightBarThemeTest.java</t>
  </si>
  <si>
    <t>tests/tests/incident/src/android/os/cts/IncidentSettingFormatTest.java</t>
  </si>
  <si>
    <t>tests/tests/content/src/android/content/res/cts/AssetManager_AssetInputStreamTest.java</t>
  </si>
  <si>
    <t>tests/app/src/android/app/backup/cts/BackupManagerTest.java</t>
  </si>
  <si>
    <t>tests/tests/car/src/android/car/cts/CarAudioManagerTest.java</t>
  </si>
  <si>
    <t>tests/tests/net/src/android/net/wifi/aware/cts/SingleDeviceTest.java</t>
  </si>
  <si>
    <t>tests/autofillservice/src/android/autofillservice/cts/VirtualContainerActivityTest.java</t>
  </si>
  <si>
    <t>tests/tests/telecom/src/android/telecom/cts/SelfManagedConnectionServiceTest.java</t>
  </si>
  <si>
    <t>hostsidetests/devicepolicy/app/TransferOwnerIncomingApp/src/com/android/cts/transferowner/TransferDeviceOwnerIncomingTest.java</t>
  </si>
  <si>
    <t>tests/camera/src/android/hardware/camera2/cts/CameraDeviceTest.java</t>
  </si>
  <si>
    <t>tests/camera/src/android/hardware/camera2/cts/ExtendedCameraCharacteristicsTest.java</t>
  </si>
  <si>
    <t>hostsidetests/devicepolicy/app/DeviceOwner/src/com/android/cts/deviceowner/KeyManagementTest.java</t>
  </si>
  <si>
    <t>tests/tests/text/src/android/text/cts/PrecomputedTextTest.java</t>
  </si>
  <si>
    <t>tests/tests/webkit/src/android/webkit/cts/TracingControllerTest.java</t>
  </si>
  <si>
    <t>tests/autofillservice/src/android/autofillservice/cts/UserDataTest.java</t>
  </si>
  <si>
    <t>tests/inputmethod/src/android/view/inputmethod/cts/InputMethodManagerTest.java</t>
  </si>
  <si>
    <t>tests/tests/telecom/src/android/telecom/cts/TransformationInfoTest.java</t>
  </si>
  <si>
    <t>tests/tests/security/src/android/security/cts/BufferQueueProducerTest.java</t>
  </si>
  <si>
    <t>tests/tests/media/src/android/media/cts/MediaBrowser2Test.java</t>
  </si>
  <si>
    <t>tests/tests/media/src/android/media/cts/MediaController2Test.java</t>
  </si>
  <si>
    <t>tests/tests/media/src/android/media/cts/MediaMetadata2Test.java</t>
  </si>
  <si>
    <t>tests/tests/media/src/android/media/cts/MediaSession2Test.java</t>
  </si>
  <si>
    <t>tests/tests/media/src/android/media/cts/SessionToken2Test.java</t>
  </si>
  <si>
    <t>tests/tests/os/src/android/os/cts/VibrationEffectTest.java</t>
  </si>
  <si>
    <t>tests/inputmethod/src/android/view/inputmethod/cts/InputConnectionTest.java</t>
  </si>
  <si>
    <t>tests/tests/slice/src/android/slice/cts/SliceManagerTest.java</t>
  </si>
  <si>
    <t>tests/tests/permission/src/android/permission/cts/NoWifiStatePermissionTest.java</t>
  </si>
  <si>
    <t>tests/tests/media/src/android/media/cts/MediaSession2_PermissionTest.java</t>
  </si>
  <si>
    <t>tests/tests/security/src/android/security/cts/StagefrightCodecTest.java</t>
  </si>
  <si>
    <t>tests/tests/net/src/android/net/wifi/rtt/cts/WifiRttTest.java</t>
  </si>
  <si>
    <t>tests/tests/slice/src/android/slice/cts/SliceBuilderTest.java</t>
  </si>
  <si>
    <t>tests/inputmethod/src/android/view/inputmethod/cts/BaseInputConnectionTest.java</t>
  </si>
  <si>
    <t>tests/tests/graphics/src/android/graphics/cts/ImageDecoderTest.java</t>
  </si>
  <si>
    <t>tests/tests/view/src/android/view/textclassifier/cts/LoggerTest.java</t>
  </si>
  <si>
    <t>hostsidetests/devicepolicy/app/DeviceAndProfileOwner/src/com/android/cts/deviceandprofileowner/PasswordBlacklistTest.java</t>
  </si>
  <si>
    <t>tests/tests/view/src/android/view/textclassifier/cts/TextClassifierValueObjectsTest.java</t>
  </si>
  <si>
    <t>tests/inputmethod/src/android/view/inputmethod/cts/FocusHandlingTest.java</t>
  </si>
  <si>
    <t>tests/accessibility/src/android/view/accessibility/cts/AccessibilityEventTest.java</t>
  </si>
  <si>
    <t>tests/accessibility/src/android/view/accessibility/cts/AccessibilityRecordTest.java</t>
  </si>
  <si>
    <t>hostsidetests/aadb/src/android/aadb/cts/TestDeviceFuncTest.java</t>
  </si>
  <si>
    <t>hostsidetests/aadb/src/android/aadb/cts/TestDeviceStressTest.java</t>
  </si>
  <si>
    <t>tests/tests/net/src/android/net/cts/NetworkRequestTest.java</t>
  </si>
  <si>
    <t>hostsidetests/incident/src/com/android/server/cts/IncidentdTest.java</t>
  </si>
  <si>
    <t>hostsidetests/backup/DeviceOwnerApp/src/android/cts/backup/deviceownerapp/BackupDeviceOwnerTest.java</t>
  </si>
  <si>
    <t>hostsidetests/backup/src/android/cts/backup/BackupDeviceOwnerHostSideTest.java</t>
  </si>
  <si>
    <t>hostsidetests/devicepolicy/app/DeviceOwner/src/com/android/cts/deviceowner/BackupServicePoliciesTest.java</t>
  </si>
  <si>
    <t>tests/tests/preference2/src/android/preference2/cts/PreferenceActivityFlowLandscapeTest.java</t>
  </si>
  <si>
    <t>tests/tests/preference2/src/android/preference2/cts/PreferenceActivityFlowPortraitTest.java</t>
  </si>
  <si>
    <t>tests/tests/preference2/src/android/preference2/cts/PreferenceActivityLegacyFlowTest.java</t>
  </si>
  <si>
    <t>tests/JobScheduler/src/android/jobscheduler/cts/DeviceIdleJobsTest.java</t>
  </si>
  <si>
    <t>tests/autofillservice/src/android/autofillservice/cts/RetryRuleTest.java</t>
  </si>
  <si>
    <t>tests/tests/content/src/android/content/cts/ContextTest.java</t>
  </si>
  <si>
    <t>tests/tests/permission/src/android/permission/cts/ObserveAppUsagePermissionTest.java</t>
  </si>
  <si>
    <t>tests/tests/permission/src/android/permission/cts/SuspendAppsPermissionTest.java</t>
  </si>
  <si>
    <t>tests/tests/permission/src/android/permission/cts/TelephonyManagerPermissionTest.java</t>
  </si>
  <si>
    <t>hostsidetests/incident/src/com/android/server/cts/IncidentdIsolatedTest.java</t>
  </si>
  <si>
    <t>tests/tests/media/src/android/media/cts/MediaDrmClearkeyTest.java</t>
  </si>
  <si>
    <t>tests/tests/speech/src/android/speech/tts/cts/TextToSpeechTest.java</t>
  </si>
  <si>
    <t>harness/common/host-side/manifest-generator/tests/src/com/android/compatibility/common/generator/ManifestGeneratorTest.java</t>
  </si>
  <si>
    <t>harness/common/host-side/tradefed/src/com/android/compatibility/common/tradefed/testtype/JarHostTest.java</t>
  </si>
  <si>
    <t>harness/common/host-side/tradefed/tests/src/com/android/compatibility/common/tradefed/build/CompatibilityBuildHelperTest.java</t>
  </si>
  <si>
    <t>harness/common/host-side/tradefed/tests/src/com/android/compatibility/common/tradefed/build/CompatibilityBuildProviderTest.java</t>
  </si>
  <si>
    <t>harness/common/host-side/tradefed/tests/src/com/android/compatibility/common/tradefed/command/CompatibilityConsoleTest.java</t>
  </si>
  <si>
    <t>harness/common/host-side/tradefed/tests/src/com/android/compatibility/common/tradefed/config/ConfigurationFactoryTest.java</t>
  </si>
  <si>
    <t>harness/common/host-side/tradefed/tests/src/com/android/compatibility/common/tradefed/presubmit/CtsConfigLoadingTest.java</t>
  </si>
  <si>
    <t>harness/common/host-side/tradefed/tests/src/com/android/compatibility/common/tradefed/presubmit/IntegrationTest.java</t>
  </si>
  <si>
    <t>harness/common/host-side/tradefed/tests/src/com/android/compatibility/common/tradefed/result/ChecksumReporterTest.java</t>
  </si>
  <si>
    <t>harness/common/host-side/tradefed/tests/src/com/android/compatibility/common/tradefed/result/ConsoleReporterTest.java</t>
  </si>
  <si>
    <t>harness/common/host-side/tradefed/tests/src/com/android/compatibility/common/tradefed/result/MetadataReporterTest.java</t>
  </si>
  <si>
    <t>harness/common/host-side/tradefed/tests/src/com/android/compatibility/common/tradefed/result/ResultReporterBuildInfoTest.java</t>
  </si>
  <si>
    <t>harness/common/host-side/tradefed/tests/src/com/android/compatibility/common/tradefed/result/ResultReporterTest.java</t>
  </si>
  <si>
    <t>harness/common/host-side/tradefed/tests/src/com/android/compatibility/common/tradefed/result/SubPlanHelperTest.java</t>
  </si>
  <si>
    <t>harness/common/host-side/tradefed/tests/src/com/android/compatibility/common/tradefed/result/suite/CertificationChecksumHelperTest.java</t>
  </si>
  <si>
    <t>harness/common/host-side/tradefed/tests/src/com/android/compatibility/common/tradefed/targetprep/DynamicConfigPusherTest.java</t>
  </si>
  <si>
    <t>harness/common/host-side/tradefed/tests/src/com/android/compatibility/common/tradefed/targetprep/MediaPreparerTest.java</t>
  </si>
  <si>
    <t>harness/common/host-side/tradefed/tests/src/com/android/compatibility/common/tradefed/targetprep/PropertyCheckTest.java</t>
  </si>
  <si>
    <t>harness/common/host-side/tradefed/tests/src/com/android/compatibility/common/tradefed/targetprep/SettingsPreparerTest.java</t>
  </si>
  <si>
    <t>harness/common/host-side/tradefed/tests/src/com/android/compatibility/common/tradefed/testtype/CompatibilityTestTest.java</t>
  </si>
  <si>
    <t>harness/common/host-side/tradefed/tests/src/com/android/compatibility/common/tradefed/testtype/JarHostTestTest.java</t>
  </si>
  <si>
    <t>harness/common/host-side/tradefed/tests/src/com/android/compatibility/common/tradefed/testtype/ModuleDefTest.java</t>
  </si>
  <si>
    <t>harness/common/host-side/tradefed/tests/src/com/android/compatibility/common/tradefed/testtype/ModuleRepoTest.java</t>
  </si>
  <si>
    <t>harness/common/host-side/tradefed/tests/src/com/android/compatibility/common/tradefed/testtype/SubPlanTest.java</t>
  </si>
  <si>
    <t>harness/common/host-side/tradefed/tests/src/com/android/compatibility/common/tradefed/testtype/retry/RetryFactoryTestTest.java</t>
  </si>
  <si>
    <t>harness/common/host-side/tradefed/tests/src/com/android/compatibility/common/tradefed/util/CollectorUtilTest.java</t>
  </si>
  <si>
    <t>harness/common/host-side/tradefed/tests/src/com/android/compatibility/common/tradefed/util/DynamicConfigFileReaderTest.java</t>
  </si>
  <si>
    <t>harness/common/host-side/tradefed/tests/src/com/android/compatibility/common/tradefed/util/OptionHelperTest.java</t>
  </si>
  <si>
    <t>harness/common/host-side/tradefed/tests/src/com/android/compatibility/common/tradefed/util/RetryFilterHelperTest.java</t>
  </si>
  <si>
    <t>harness/common/host-side/tradefed/tests/src/com/android/compatibility/common/tradefed/util/UniqueModuleCountUtilTest.java</t>
  </si>
  <si>
    <t>harness/common/host-side/util/tests/src/com/android/compatibility/common/util/BusinessLogicHostExecutorTest.java</t>
  </si>
  <si>
    <t>harness/common/host-side/util/tests/src/com/android/compatibility/common/util/DynamicConfigHandlerTest.java</t>
  </si>
  <si>
    <t>harness/common/host-side/util/tests/src/com/android/compatibility/common/util/ModuleResultTest.java</t>
  </si>
  <si>
    <t>harness/common/host-side/util/tests/src/com/android/compatibility/common/util/TestFilterTest.java</t>
  </si>
  <si>
    <t>harness/common/util/tests/src/com/android/compatibility/common/util/BusinessLogicTest.java</t>
  </si>
  <si>
    <t>harness/common/util/tests/src/com/android/compatibility/common/util/CaseResultTest.java</t>
  </si>
  <si>
    <t>harness/common/util/tests/src/com/android/compatibility/common/util/DynamicConfigTest.java</t>
  </si>
  <si>
    <t>harness/common/util/tests/src/com/android/compatibility/common/util/LightInvocationResultTest.java</t>
  </si>
  <si>
    <t>harness/common/util/tests/src/com/android/compatibility/common/util/MetricsXmlSerializerTest.java</t>
  </si>
  <si>
    <t>harness/common/util/tests/src/com/android/compatibility/common/util/MultipartFormTest.java</t>
  </si>
  <si>
    <t>harness/common/util/tests/src/com/android/compatibility/common/util/ReportLogTest.java</t>
  </si>
  <si>
    <t>harness/common/util/tests/src/com/android/compatibility/common/util/ResultHandlerTest.java</t>
  </si>
  <si>
    <t>harness/common/util/tests/src/com/android/compatibility/common/util/StatTest.java</t>
  </si>
  <si>
    <t>harness/common/util/tests/src/com/android/compatibility/common/util/TestResultTest.java</t>
  </si>
  <si>
    <t>harness/tools/cts-tradefed/tests/src/com/android/compatibility/tradefed/CtsTradefedTest.java</t>
  </si>
  <si>
    <t>hostsidetests/devicepolicy/app/DeviceOwner/src/com/android/cts/deviceowner/ForceEphemeralUsersTest.java</t>
  </si>
  <si>
    <t>hostsidetests/backup/src/android/backup/cts/backup/BackupRestoreHostSideTest.java</t>
  </si>
  <si>
    <t>tests/tests/packageinstaller/externalsources/src/android/packageinstaller/externalsources/cts/ExternalSourcesInstantAppsTest.java</t>
  </si>
  <si>
    <t>tests/tests/packageinstaller/externalsources/src/android/packageinstaller/externalsources/cts/ExternalSourcesTest.java</t>
  </si>
  <si>
    <t>hostsidetests/devicepolicy/app/ManagedProfile/src/com/android/cts/managedprofile/LockNowTest.java</t>
  </si>
  <si>
    <t>hostsidetests/devicepolicy/app/ManagedProfile/src/com/android/cts/managedprofile/ResetPasswordWithTokenTest.java</t>
  </si>
  <si>
    <t>tests/tests/security/src/android/security/cts/ListeningPortsTest.java</t>
  </si>
  <si>
    <t>tests/tests/webkit/src/android/webkit/cts/WebBackForwardListTest.java</t>
  </si>
  <si>
    <t>tests/accessibilityservice/src/android/accessibilityservice/cts/AccessibilityTextTraversalTest.java</t>
  </si>
  <si>
    <t>tests/tests/os/src/android/os/cts/ParcelFileDescriptorTest.java</t>
  </si>
  <si>
    <t>tests/tests/os/src/android/os/cts/SecurityPatchTest.java</t>
  </si>
  <si>
    <t>tests/tests/database/src/android/database/sqlite/cts/SQLiteQueryBuilderTest.java</t>
  </si>
  <si>
    <t>hostsidetests/backup/OtherSoundsSettingsApp/src/android/cts/backup/othersoundssettingsapp/OtherSoundsSettingsTest.java</t>
  </si>
  <si>
    <t>hostsidetests/backup/src/android/cts/backup/OtherSoundsSettingsHostSideTest.java</t>
  </si>
  <si>
    <t>tests/tests/view/src/android/view/cts/KeyEventInterceptTest.java</t>
  </si>
  <si>
    <t>tests/vm/src/android/vm/cts/opcodes/add_double/AddDoubleTest.java</t>
  </si>
  <si>
    <t>tests/vm/src/android/vm/cts/opcodes/add_double_2addr/AddDouble2AddrTest.java</t>
  </si>
  <si>
    <t>tests/vm/src/android/vm/cts/opcodes/add_float/AddFloatTest.java</t>
  </si>
  <si>
    <t>tests/vm/src/android/vm/cts/opcodes/add_float_2addr/AddFloat2AddrTest.java</t>
  </si>
  <si>
    <t>tests/vm/src/android/vm/cts/opcodes/add_int/AddIntTest.java</t>
  </si>
  <si>
    <t>tests/vm/src/android/vm/cts/opcodes/add_int_2addr/AddInt2AddrTest.java</t>
  </si>
  <si>
    <t>tests/vm/src/android/vm/cts/opcodes/add_int_lit16/AddIntLit16Test.java</t>
  </si>
  <si>
    <t>tests/vm/src/android/vm/cts/opcodes/add_long/AddLongTest.java</t>
  </si>
  <si>
    <t>tests/vm/src/android/vm/cts/opcodes/add_long_2addr/AddLong2AddrTest.java</t>
  </si>
  <si>
    <t>tests/tests/permission/src/android/permission/cts/AppOpsTest.java</t>
  </si>
  <si>
    <t>tests/autofillservice/src/android/autofillservice/cts/MultiScreenLoginTest.java</t>
  </si>
  <si>
    <t>tests/tests/location/src/android/location/cts/EmergencyCallMessageTest.java</t>
  </si>
  <si>
    <t>tests/netlegacy22.permission/src/android/net/cts/legacy/api22/permission/QtaguidPermissionTest.java</t>
  </si>
  <si>
    <t>tests/tests/text/src/android/text/cts/MyanmarTest.java</t>
  </si>
  <si>
    <t>tests/tests/permission/src/android/permission/cts/RemovePermissionTest.java</t>
  </si>
  <si>
    <t>tests/tests/provider/src/android/provider/cts/contacts/ContactsContract_RawContactsTest.java</t>
  </si>
  <si>
    <t>hostsidetests/gputools/src/android/gputools/cts/CtsRootlessGpuDebugHostTest.java</t>
  </si>
  <si>
    <t>hostsidetests/devicepolicy/app/ManagedProfile/src/com/android/cts/managedprofile/CameraPolicyTest.java</t>
  </si>
  <si>
    <t>hostsidetests/devicepolicy/app/IntentSender/src/com/android/cts/intent/sender/CopyPasteTest.java</t>
  </si>
  <si>
    <t>tests/tests/carrierapi/src/android/carrierapi/cts/CarrierApiTest.java</t>
  </si>
  <si>
    <t>tests/tests/carrierapi2/src/android/carrierapi2/cts/CarrierApiTest.java</t>
  </si>
  <si>
    <t>tests/tests/provider/src/android/provider/cts/MediaStoreTest.java</t>
  </si>
  <si>
    <t>hostsidetests/appsecurity/src/android/appsecurity/cts/ScopedDirectoryAccessTest.java</t>
  </si>
  <si>
    <t>hostsidetests/appsecurity/test-apps/DocumentClient/src/com/android/cts/documentclient/ScopedDirectoryAccessClientTest.java</t>
  </si>
  <si>
    <t>tests/tests/security/src/android/security/cts/ActivityManagerTest.java</t>
  </si>
  <si>
    <t>hostsidetests/api/src/com/android/cts/api/UnofficialApisUsageTest.java</t>
  </si>
  <si>
    <t>tests/tests/net/src/android/net/wifi/cts/WifiManagerTest.java</t>
  </si>
  <si>
    <t>tests/tests/widget/src/android/widget/cts/VideoView2Test.java</t>
  </si>
  <si>
    <t>tests/tests/media/src/android/media/cts/MediaSessionManager_MediaSession2Test.java</t>
  </si>
  <si>
    <t>tests/tests/widget/src/android/widget/cts/MagnifierTest.java</t>
  </si>
  <si>
    <t>hostsidetests/angle/src/android/angle/cts/CtsAngleDebugOptionHostTest.java</t>
  </si>
  <si>
    <t>tests/app/src/android/app/cts/NotificationChannelGroupTest.java</t>
  </si>
  <si>
    <t>tests/tests/net/src/android/net/wifi/cts/WifiEnterpriseConfigTest.java</t>
  </si>
  <si>
    <t>tests/camera/src/android/hardware/cts/CameraTest.java</t>
  </si>
  <si>
    <t>tests/tests/provider/src/android/provider/cts/MediaStore_DownloadsTest.java</t>
  </si>
  <si>
    <t>tests/tests/permission2/src/android/permission2/cts/NoLocationPermissionTest.java</t>
  </si>
  <si>
    <t>tests/tests/view/src/android/view/inspector/cts/IntEnumMappingTest.java</t>
  </si>
  <si>
    <t>tests/tests/car/src/android/car/cts/CarPackageManagerTest.java</t>
  </si>
  <si>
    <t>tests/tests/provider/src/android/provider/cts/MediaStore_Audio_AlbumsTest.java</t>
  </si>
  <si>
    <t>tests/tests/provider/src/android/provider/cts/MediaStore_Audio_ArtistsTest.java</t>
  </si>
  <si>
    <t>tests/tests/provider/src/android/provider/cts/MediaStore_Audio_Artists_AlbumsTest.java</t>
  </si>
  <si>
    <t>tests/tests/provider/src/android/provider/cts/MediaStore_Audio_MediaTest.java</t>
  </si>
  <si>
    <t>tests/tests/hardware/src/android/hardware/fingerprint/cts/FingerprintFeatureCompatTest.java</t>
  </si>
  <si>
    <t>tests/tests/provider/src/android/provider/cts/MediaStore_Audio_PlaylistsTest.java</t>
  </si>
  <si>
    <t>tests/tests/provider/src/android/provider/cts/MediaStore_Audio_Playlists_MembersTest.java</t>
  </si>
  <si>
    <t>hostsidetests/devicepolicy/app/ProfileOwner/src/com/android/cts/profileowner/BackupServicePoliciesTest.java</t>
  </si>
  <si>
    <t>tests/tests/provider/src/android/provider/cts/contacts/ContactsContract_StreamItemPhotosTest.java</t>
  </si>
  <si>
    <t>tests/tests/provider/src/android/provider/cts/contacts/ContactsContract_StreamItemsTest.java</t>
  </si>
  <si>
    <t>tests/signature/api-check/src/java/android/signature/cts/api/SignatureMultiLibsTest.java</t>
  </si>
  <si>
    <t>tests/tests/simpleperf/CtsSimpleperfDebugApp/com/android/simpleperf/EmptyTest.java</t>
  </si>
  <si>
    <t>tests/tests/media/src/android/media/cts/MediaSessionManagerTest.java</t>
  </si>
  <si>
    <t>tests/contentcaptureservice/src/android/contentcaptureservice/cts/ChildlessActivityTest.java</t>
  </si>
  <si>
    <t>tests/contentcaptureservice/src/android/contentcaptureservice/cts/LoginActivityTest.java</t>
  </si>
  <si>
    <t>common/util/tests/src/com/android/compatibility/common/util/CrashUtilsTest.java</t>
  </si>
  <si>
    <t>tests/autofillservice/src/android/autofillservice/cts/OptionalSaveActivityTest.java</t>
  </si>
  <si>
    <t>tests/tests/permission/src/android/permission/cts/PermissionUsageTest.java</t>
  </si>
  <si>
    <t>tests/tests/telephony4/src/android/telephony4/cts/SimRestrictedApisTest.java</t>
  </si>
  <si>
    <t>tests/tests/provider/src/android/provider/cts/MediaStoreTrashTest.java</t>
  </si>
  <si>
    <t>tests/tests/view/src/android/view/animation/cts/AnimationTest.java</t>
  </si>
  <si>
    <t>tests/ui/src/android/ui/cts/ScrollingTest.java</t>
  </si>
  <si>
    <t>tests/tests/car/src/android/car/cts/CarBluetoothTest.java</t>
  </si>
  <si>
    <t>tests/contentcaptureservice/src/android/contentcaptureservice/cts/unit/ContentCaptureContextTest.java</t>
  </si>
  <si>
    <t>tests/tests/telephonyprovider/src/android/telephonyprovider/cts/MmsTest.java</t>
  </si>
  <si>
    <t>tests/tests/alarmclock/src/android/alarmclock/cts/DismissAlarmTest.java</t>
  </si>
  <si>
    <t>tests/tests/alarmclock/src/android/alarmclock/cts/DismissTimerTest.java</t>
  </si>
  <si>
    <t>tests/tests/alarmclock/src/android/alarmclock/cts/SetAlarmTest.java</t>
  </si>
  <si>
    <t>tests/tests/alarmclock/src/android/alarmclock/cts/SnoozeAlarmTest.java</t>
  </si>
  <si>
    <t>tests/tests/role/src/android/app/role/cts/RoleManagerTest.java</t>
  </si>
  <si>
    <t>tests/tests/permission/src/android/permission/cts/SplitPermissionTest.java</t>
  </si>
  <si>
    <t>tests/tests/location/src/android/location/cts/GpsSatelliteTest.java</t>
  </si>
  <si>
    <t>tests/tests/location/src/android/location/cts/GpsStatusTest.java</t>
  </si>
  <si>
    <t>tests/tests/location/src/android/location/cts/LocationTest.java</t>
  </si>
  <si>
    <t>tests/tests/notificationlegacy/notificationlegacy29/src/android/app/notification/legacy29/cts/NotificationAssistantServiceTest.java</t>
  </si>
  <si>
    <t>hostsidetests/devicepolicy/app/DeviceOwner/src/com/android/cts/deviceowner/PrivateDnsPolicyTest.java</t>
  </si>
  <si>
    <t>hostsidetests/devicepolicy/app/DeviceAndProfileOwner/src/com/android/cts/deviceandprofileowner/CustomizationRestrictionsTest.java</t>
  </si>
  <si>
    <t>tests/tests/provider/src/android/provider/cts/FontsContractTest.java</t>
  </si>
  <si>
    <t>tests/tests/net/src/android/net/cts/DnsResolverTest.java</t>
  </si>
  <si>
    <t>tests/tests/telephony/current/src/android/telephony/cts/SubscriptionManagerTest.java</t>
  </si>
  <si>
    <t>tests/tests/telephony/current/src/android/telephony/cts/ServiceStateTest.java</t>
  </si>
  <si>
    <t>tests/tests/media/src/android/media/cts/MediaTimestampTest.java</t>
  </si>
  <si>
    <t>tests/tests/media/src/android/media/cts/SubtitleDataTest.java</t>
  </si>
  <si>
    <t>tests/tests/media/src/android/media/cts/TimedMetaDataTest.java</t>
  </si>
  <si>
    <t>tests/tests/tools/processors/view_inspector/src/android/processor/view/inspector/cts/PlatformInspectableProcessorTest.java</t>
  </si>
  <si>
    <t>tests/tests/media/src/android/media/cts/MediaPlayer2Test.java</t>
  </si>
  <si>
    <t>tests/tests/provider/src/android/provider/cts/MediaStorePendingTest.java</t>
  </si>
  <si>
    <t>tests/tests/telephony/current/src/android/telephony/gsm/cts/SmsMessage_SubmitPduTest.java</t>
  </si>
  <si>
    <t>tests/tests/telephony/current/src/android/telephony/gsm/cts/SmsManagerTest.java</t>
  </si>
  <si>
    <t>tests/contentcaptureservice/src/android/contentcaptureservice/cts/CanaryTest.java</t>
  </si>
  <si>
    <t>tests/tests/telecom/src/android/telecom/cts/ThirdPartyCallScreeningServiceTest.java</t>
  </si>
  <si>
    <t>tests/tests/permission/src/android/permission/cts/DualStoragePermissionModelTest.java</t>
  </si>
  <si>
    <t>tests/app/src/android/app/cts/SystemFeaturesTest.java</t>
  </si>
  <si>
    <t>tests/camera/src/android/hardware/camera2/cts/RobustnessTest.java</t>
  </si>
  <si>
    <t>tests/sensor/src/android/hardware/cts/SensorParameterRangeTest.java</t>
  </si>
  <si>
    <t>hostsidetests/devicepolicy/src/com/android/cts/devicepolicy/MixedDeviceOwnerTest.java</t>
  </si>
  <si>
    <t>tests/tests/proto/src/android/util/proto/cts/ProtoInputStreamBoolTest.java</t>
  </si>
  <si>
    <t>tests/tests/proto/src/android/util/proto/cts/ProtoInputStreamBytesTest.java</t>
  </si>
  <si>
    <t>tests/tests/proto/src/android/util/proto/cts/ProtoInputStreamDoubleTest.java</t>
  </si>
  <si>
    <t>tests/tests/proto/src/android/util/proto/cts/ProtoInputStreamEnumTest.java</t>
  </si>
  <si>
    <t>tests/tests/proto/src/android/util/proto/cts/ProtoInputStreamFixed32Test.java</t>
  </si>
  <si>
    <t>tests/tests/proto/src/android/util/proto/cts/ProtoInputStreamFixed64Test.java</t>
  </si>
  <si>
    <t>tests/tests/proto/src/android/util/proto/cts/ProtoInputStreamFloatTest.java</t>
  </si>
  <si>
    <t>tests/tests/proto/src/android/util/proto/cts/ProtoInputStreamInt32Test.java</t>
  </si>
  <si>
    <t>tests/tests/proto/src/android/util/proto/cts/ProtoInputStreamInt64Test.java</t>
  </si>
  <si>
    <t>tests/tests/proto/src/android/util/proto/cts/ProtoInputStreamObjectTest.java</t>
  </si>
  <si>
    <t>tests/tests/proto/src/android/util/proto/cts/ProtoInputStreamSFixed32Test.java</t>
  </si>
  <si>
    <t>tests/tests/proto/src/android/util/proto/cts/ProtoInputStreamSFixed64Test.java</t>
  </si>
  <si>
    <t>tests/tests/proto/src/android/util/proto/cts/ProtoInputStreamSInt32Test.java</t>
  </si>
  <si>
    <t>tests/tests/proto/src/android/util/proto/cts/ProtoInputStreamSInt64Test.java</t>
  </si>
  <si>
    <t>tests/tests/proto/src/android/util/proto/cts/ProtoInputStreamStringTest.java</t>
  </si>
  <si>
    <t>tests/tests/proto/src/android/util/proto/cts/ProtoInputStreamUInt32Test.java</t>
  </si>
  <si>
    <t>tests/tests/proto/src/android/util/proto/cts/ProtoInputStreamUInt64Test.java</t>
  </si>
  <si>
    <t>tests/providerui/src/android/providerui/cts/MediaStoreUiTest.java</t>
  </si>
  <si>
    <t>tests/tests/permission/src/android/permission/cts/LocationAccessCheckTest.java</t>
  </si>
  <si>
    <t>tests/tests/provider/src/android/provider/cts/MediaStore_Audio_GenresTest.java</t>
  </si>
  <si>
    <t>tests/tests/provider/src/android/provider/cts/MediaStore_Audio_Genres_MembersTest.java</t>
  </si>
  <si>
    <t>tests/tests/provider/src/android/provider/cts/MediaStore_Images_MediaTest.java</t>
  </si>
  <si>
    <t>tests/tests/provider/src/android/provider/cts/MediaStore_Images_ThumbnailsTest.java</t>
  </si>
  <si>
    <t>tests/tests/provider/src/android/provider/cts/MediaStore_Video_MediaTest.java</t>
  </si>
  <si>
    <t>hostsidetests/backup/ProfileKeyValueApp/src/android.cts.backup.profilekeyvalueapp/ProfileKeyValueBackupRestoreTest.java</t>
  </si>
  <si>
    <t>tests/tests/media/src/android/media/cts/DataSourceDescTest.java</t>
  </si>
  <si>
    <t>tests/tests/media/src/android/media/cts/MediaPlayer2DrmTest.java</t>
  </si>
  <si>
    <t>tests/tests/media/src/android/media/cts/RoutingTest.java</t>
  </si>
  <si>
    <t>tests/tests/media/src/android/media/cts/StreamingMediaPlayer2Test.java</t>
  </si>
  <si>
    <t>tests/contentcaptureservice/src/android/contentcaptureservice/cts/BlankActivityTest.java</t>
  </si>
  <si>
    <t>tests/contentcaptureservice/src/android/contentcaptureservice/cts/BlankWithTitleActivityTest.java</t>
  </si>
  <si>
    <t>tests/tests/view/src/android/view/textclassifier/cts/TextClassifierEventTest.java</t>
  </si>
  <si>
    <t>tests/tests/media/src/android/media/cts/MediaItem2Test.java</t>
  </si>
  <si>
    <t>tests/tests/media/src/android/media/cts/ParamsTest.java</t>
  </si>
  <si>
    <t>hostsidetests/appsecurity/src/android/appsecurity/cts/ExternalStorageHostTest.java</t>
  </si>
  <si>
    <t>tests/tests/security/src/android/security/cts/BrowserTest.java</t>
  </si>
  <si>
    <t>tests/framework/base/windowmanager/dummyTests/dummySdk25/src/android/server/wm/DummySdk25Test.java</t>
  </si>
  <si>
    <t>tests/framework/base/windowmanager/dummyTests/dummySdk28/src/android/server/wm/DummySdk28Test.java</t>
  </si>
  <si>
    <t>tests/framework/base/windowmanager/dummyTests/src/android/server/am/DummyTest.java</t>
  </si>
  <si>
    <t>tests/tests/security/src/android/security/cts/CharDeviceTest.java</t>
  </si>
  <si>
    <t>tests/app/src/android/app/cts/DownloadManagerTest.java</t>
  </si>
  <si>
    <t>tests/tests/security/src/android/security/cts/SSLConscryptPlainTextExposureTest.java</t>
  </si>
  <si>
    <t>tests/tests/permission/src/android/permission/cts/SharedUidPermissionsTest.java</t>
  </si>
  <si>
    <t>tests/tests/permission2/src/android/permission2/cts/RestrictedPermissionsTest.java</t>
  </si>
  <si>
    <t>tests/accessibilityservice/src/android/accessibilityservice/cts/TouchExplorerTest.java</t>
  </si>
  <si>
    <t>tests/tests/telecom/src/android/telecom/cts/CallRedirectionServiceTest.java</t>
  </si>
  <si>
    <t>tests/tests/location/src/android/location/cts/GnssHardwareInfoTest.java</t>
  </si>
  <si>
    <t>tests/tests/net/src/android/net/cts/IpSecManagerTunnelTest.java</t>
  </si>
  <si>
    <t>hostsidetests/multiuser/src/android/host/multiuser/CreateUsersPermissionTest.java</t>
  </si>
  <si>
    <t>tests/tests/content/src/android/content/pm/cts/ApplicationInfoTest.java</t>
  </si>
  <si>
    <t>hostsidetests/devicepolicy/app/DeviceOwner/src/com/android/cts/deviceowner/InstallUpdateTest.java</t>
  </si>
  <si>
    <t>hostsidetests/appsecurity/test-apps/UsePermissionDiffCert/src/com/android/cts/usespermissiondiffcertapp/AccessPermissionWithDiffSigTest.java</t>
  </si>
  <si>
    <t>common/device-side/util/tests/src/com/android/compatibility/common/util/ApiLevelUtilTest.java</t>
  </si>
  <si>
    <t>common/device-side/util/tests/src/com/android/compatibility/common/util/BusinessLogicDeviceExecutorTest.java</t>
  </si>
  <si>
    <t>common/device-side/util/tests/src/com/android/compatibility/common/util/BusinessLogicTestCaseTest.java</t>
  </si>
  <si>
    <t>common/device-side/util/tests/src/com/android/compatibility/common/util/DeviceReportTest.java</t>
  </si>
  <si>
    <t>common/device-side/util/tests/src/com/android/compatibility/common/util/RetryRuleTest.java</t>
  </si>
  <si>
    <t>common/device-side/util/tests/src/com/android/compatibility/common/util/SafeCleanerRuleTest.java</t>
  </si>
  <si>
    <t>common/device-side/util/tests/src/com/android/compatibility/common/util/StateChangerRuleTest.java</t>
  </si>
  <si>
    <t>common/device-side/util/tests/src/com/android/compatibility/common/util/StateKeeperRuleTest.java</t>
  </si>
  <si>
    <t>common/device-side/util/tests/src/com/android/compatibility/common/util/TimeoutTest.java</t>
  </si>
  <si>
    <t>tests/tests/net/src/android/net/cts/SSLCertificateSocketFactoryTest.java</t>
  </si>
  <si>
    <t>hostsidetests/securitybulletin/src/android/security/cts/TestMediaCodec.java</t>
  </si>
  <si>
    <t>tests/tests/provider/src/android/provider/cts/SettingsPanelTest.java</t>
  </si>
  <si>
    <t>tests/tests/mimemap/src/android/content/type/cts/MimeMapTest.java</t>
  </si>
  <si>
    <t>hostsidetests/devicepolicy/app/ManagedProfile/src/com/android/cts/managedprofile/CrossProfileCalendarTest.java</t>
  </si>
  <si>
    <t>tests/tests/telephony/current/src/android/telephony/cts/PhoneStateListenerTest.java</t>
  </si>
  <si>
    <t>tests/tests/telephony/current/src/android/telephony/cts/CellInfoTest.java</t>
  </si>
  <si>
    <t>tests/app/src/android/app/cts/PipActivityTest.java</t>
  </si>
  <si>
    <t>tests/tests/location/src/android/location/cts/GnssMeasurementsEventCallbackTest.java</t>
  </si>
  <si>
    <t>tests/tests/location/src/android/location/cts/GnssNavigationMessageCallbackTest.java</t>
  </si>
  <si>
    <t>tests/tests/location/src/android/location/cts/GnssStatusCallbackTest.java</t>
  </si>
  <si>
    <t>hostsidetests/hdmicec/src/android/hdmicec/cts/HdmiCecSystemInformationTest.java</t>
  </si>
  <si>
    <t>tests/tests/neuralnetworks/benchmark/src/com/android/nn/benchmark/cts/NNAccuracyTest.java</t>
  </si>
  <si>
    <t>hostsidetests/hdmicec/src/android/hdmicec/cts/HdmiCecLogicalAddressTest.java</t>
  </si>
  <si>
    <t>hostsidetests/hdmicec/src/android/hdmicec/cts/HdmiCecOneTouchPlayTest.java</t>
  </si>
  <si>
    <t>hostsidetests/hdmicec/src/android/hdmicec/cts/HdmiCecPhysicalAddressTest.java</t>
  </si>
  <si>
    <t>hostsidetests/hdmicec/src/android/hdmicec/cts/HdmiCecPowerStatusTest.java</t>
  </si>
  <si>
    <t>hostsidetests/hdmicec/src/android/hdmicec/cts/HdmiCecRoutingControlTest.java</t>
  </si>
  <si>
    <t>tests/signature/tests/src/android/signature/cts/tests/ApiComplianceCheckerTest.java</t>
  </si>
  <si>
    <t>tests/location/location_fine/src/android/location/cts/fine/GnssHardwareInfoTest.java</t>
  </si>
  <si>
    <t>tests/location/location_fine/src/android/location/cts/fine/GnssMeasurementCorrectionsTest.java</t>
  </si>
  <si>
    <t>tests/location/location_fine/src/android/location/cts/fine/GnssReflectingPlaneTest.java</t>
  </si>
  <si>
    <t>tests/location/location_fine/src/android/location/cts/fine/GnssSingleSatCorrectionsTest.java</t>
  </si>
  <si>
    <t>tests/location/location_fine/src/android/location/cts/fine/LocationProviderTest.java</t>
  </si>
  <si>
    <t>tests/location/location_fine/src/android/location/cts/fine/LocationTest.java</t>
  </si>
  <si>
    <t>tests/tests/content/src/android/content/pm/cts/PackageManagerShellCommandTest.java</t>
  </si>
  <si>
    <t>tests/tests/telephonyprovider/src/android/telephonyprovider/cts/TelephonyProviderTest.java</t>
  </si>
  <si>
    <t>hostsidetests/stagedinstall/app/src/com/android/tests/stagedinstall/StagedInstallTest.java</t>
  </si>
  <si>
    <t>hostsidetests/stagedinstall/src/com/android/tests/stagedinstall/host/StagedInstallTest.java</t>
  </si>
  <si>
    <t>tests/location/location_gnss/src/android/location/cts/gnss/EmergencyCallMessageTest.java</t>
  </si>
  <si>
    <t>tests/location/location_gnss/src/android/location/cts/gnss/EmergencyCallWifiTest.java</t>
  </si>
  <si>
    <t>tests/location/location_fine/src/android/location/cts/fine/AddressTest.java</t>
  </si>
  <si>
    <t>tests/location/location_fine/src/android/location/cts/fine/GnssClockTest.java</t>
  </si>
  <si>
    <t>hostsidetests/devicepolicy/app/DeviceAdmin/src/com.android.cts.deviceadmin/ClearPasswordTest.java</t>
  </si>
  <si>
    <t>hostsidetests/devicepolicy/app/DeviceAdmin/src/com.android.cts.deviceadmin/DeviceAdminPasswordTest.java</t>
  </si>
  <si>
    <t>hostsidetests/devicepolicy/app/DeviceAdmin/src/com.android.cts.deviceadmin/DeviceOwnerPasswordTest.java</t>
  </si>
  <si>
    <t>hostsidetests/devicepolicy/app/DeviceAndProfileOwner/src/com/android/cts/deviceandprofileowner/ResetPasswordTest.java</t>
  </si>
  <si>
    <t>hostsidetests/devicepolicy/app/TransferOwnerIncomingApp/src/com/android/cts/transferowner/DeviceAndProfileOwnerTransferIncomingTest.java</t>
  </si>
  <si>
    <t>tests/tests/sdkext/src/android/os/ext/cts/SdkExtensionsTest.java</t>
  </si>
  <si>
    <t>tests/tests/telephony/current/src/android/telephony/cts/SmsManagerTest.java</t>
  </si>
  <si>
    <t>tests/tests/provider/src/android/provider/cts/media/MediaStoreTest.java</t>
  </si>
  <si>
    <t>hostsidetests/devicepolicy/app/CorpOwnedManagedProfile/src/com/android/cts/comp/provisioning/UserRestrictionTest.java</t>
  </si>
  <si>
    <t>hostsidetests/devicepolicy/app/TransferOwnerOutgoingApp/src/com/android/cts/transferowner/DeviceAndProfileOwnerTransferOutgoingTest.java</t>
  </si>
  <si>
    <t>hostsidetests/devicepolicy/src/com/android/cts/devicepolicy/DeviceOwnerPlusProfileOwnerTest.java</t>
  </si>
  <si>
    <t>hostsidetests/appsecurity/src/android/appsecurity/cts/AdoptableHostTest.java</t>
  </si>
  <si>
    <t>tests/tests/provider/src/android/provider/cts/media/MediaStoreTrashedTest.java</t>
  </si>
  <si>
    <t>tests/tests/car/src/android/car/cts/CarUxRestrictionsManagerTest.java</t>
  </si>
  <si>
    <t>hostsidetests/devicepolicy/app/CorpOwnedManagedProfile/src/com/android/cts/comp/ManagementTest.java</t>
  </si>
  <si>
    <t>hostsidetests/devicepolicy/app/CorpOwnedManagedProfile/src/com/android/cts/comp/provisioning/ManagedProfileProvisioningTest.java</t>
  </si>
  <si>
    <t>hostsidetests/devicepolicy/src/com/android/cts/devicepolicy/MixedDeviceOwnerHostSideTransferTest.java</t>
  </si>
  <si>
    <t>tests/tests/car/src/android/car/cts/CarTrustedDeviceTest.java</t>
  </si>
  <si>
    <t>tests/tests/graphics/src/android/graphics/cts/AImageDecoderTest.java</t>
  </si>
  <si>
    <t>tests/tests/media/src/android/media/cts/AudioRecordTest.java</t>
  </si>
  <si>
    <t>tests/BlobStore/src/com/android/cts/blob/BlobStoreManagerTest.java</t>
  </si>
  <si>
    <t>tests/tests/selinux/selinuxTargetSdkCurrent/src/android/security/SELinuxTargetSdkTest.java</t>
  </si>
  <si>
    <t>hostsidetests/checkpoint/src/android/checkpoint/cts/CheckpointHostTest.java</t>
  </si>
  <si>
    <t>tests/tests/provider/src/android/provider/cts/MediaStoreUiTest.java</t>
  </si>
  <si>
    <t>tests/tests/graphics/src/android/graphics/cts/BitmapColorSpaceTest.java</t>
  </si>
  <si>
    <t>tests/tests/rcs/src/android/telephony/ims/cts/Rcs1To1ThreadTest.java</t>
  </si>
  <si>
    <t>tests/tests/rcs/src/android/telephony/ims/cts/RcsEventTest.java</t>
  </si>
  <si>
    <t>tests/tests/rcs/src/android/telephony/ims/cts/RcsParticipantTest.java</t>
  </si>
  <si>
    <t>tests/tests/rcs/src/android/telephony/ims/cts/RcsProviderPermissionsTest.java</t>
  </si>
  <si>
    <t>tests/tests/telephony/current/src/android/telephony/cts/CellBroadcastIntentsTest.java</t>
  </si>
  <si>
    <t>tests/appsearch/src/com/android/cts/appsearch/AppSearchManagerTest.java</t>
  </si>
  <si>
    <t>tests/tests/media/src/android/media/cts/MediaRouterManagerTest.java</t>
  </si>
  <si>
    <t>tests/framework/base/windowmanager/src/android/server/wm/WindowTest.java</t>
  </si>
  <si>
    <t>tests/tests/media/src/android/media/cts/MediaCodecBlockModelTest.java</t>
  </si>
  <si>
    <t>tests/tests/media/src/android/media/cts/MediaRouter2Test.java</t>
  </si>
  <si>
    <t>tests/tests/os/src/android/os/cts/ParcelTest.java</t>
  </si>
  <si>
    <t>tests/accessibilityservice/src/android/accessibilityservice/cts/AccessibilityTakeScreenshotTest.java</t>
  </si>
  <si>
    <t>hostsidetests/appsecurity/test-apps/WriteExternalStorageApp/src/com/android/cts/writeexternalstorageapp/WriteExternalStorageTest.java</t>
  </si>
  <si>
    <t>hostsidetests/appsecurity/test-apps/ReadExternalStorageApp/src/com/android/cts/readexternalstorageapp/ReadMultiViewTest.java</t>
  </si>
  <si>
    <t>hostsidetests/appsecurity/test-apps/WriteExternalStorageApp/src/com/android/cts/writeexternalstorageapp/WriteMultiViewTest.java</t>
  </si>
  <si>
    <t>tests/tests/textclassifier/src/android/view/textclassifier/cts/TextClassificationManagerTest.java</t>
  </si>
  <si>
    <t>hostsidetests/devicepolicy/app/DeviceAndProfileOwner/src/com/android/cts/deviceandprofileowner/PermissionsTest.java</t>
  </si>
  <si>
    <t>hostsidetests/devicepolicy/app/DeviceAndProfileOwner/src/com/android/cts/deviceandprofileowner/RelinquishDeviceTest.java</t>
  </si>
  <si>
    <t>tests/tests/slice/src/android/slice/cts/SliceProviderTest.java</t>
  </si>
  <si>
    <t>tests/location/location_fine/src/android/location/cts/fine/GnssAntennaInfoRegistrationTest.java</t>
  </si>
  <si>
    <t>tests/location/location_fine/src/android/location/cts/fine/GnssAntennaInfoTest.java</t>
  </si>
  <si>
    <t>tests/location/location_fine/src/android/location/cts/fine/LocationManagerFineTest.java</t>
  </si>
  <si>
    <t>hostsidetests/appsecurity/test-apps/ExternalStorageApp/src/com/android/cts/externalstorageapp/GiftTest.java</t>
  </si>
  <si>
    <t>hostsidetests/appsecurity/test-apps/ReadExternalStorageApp/src/com/android/cts/readexternalstorageapp/ReadGiftTest.java</t>
  </si>
  <si>
    <t>hostsidetests/appsecurity/test-apps/WriteExternalStorageApp/src/com/android/cts/writeexternalstorageapp/WriteGiftTest.java</t>
  </si>
  <si>
    <t>tests/quickaccesswallet/src/android/quickaccesswallet/cts/PowerMenuTest.java</t>
  </si>
  <si>
    <t>tests/tests/media/src/android/media/cts/AudioPlaybackCaptureTest.java</t>
  </si>
  <si>
    <t>tests/tests/selinux/selinuxTargetSdk25/src/android/security/SELinuxTargetSdkTest.java</t>
  </si>
  <si>
    <t>tests/tests/selinux/selinuxTargetSdk27/src/android/security/SELinuxTargetSdkTest.java</t>
  </si>
  <si>
    <t>tests/tests/selinux/selinuxTargetSdk28/src/android/security/SELinuxTargetSdkTest.java</t>
  </si>
  <si>
    <t>tests/tests/graphics/src/android/graphics/cts/SetFrameRateTest.java</t>
  </si>
  <si>
    <t>hostsidetests/devicepolicy/app/DeviceOwner/src/com/android/cts/deviceowner/RequestSetLocationProviderAllowedTest.java</t>
  </si>
  <si>
    <t>tests/tests/content/src/android/content/pm/cts/PackageManagerShellCommandIncrementalTest.java</t>
  </si>
  <si>
    <t>tests/accessibility/src/android/view/accessibility/cts/AccessibilityServiceInfoTest.java</t>
  </si>
  <si>
    <t>tests/tests/permission2/src/android/permission2/cts/RestrictedStoragePermissionTest.java</t>
  </si>
  <si>
    <t>tests/tests/jni_vendor/src/android/jni/vendor/cts/VendorJniTest.java</t>
  </si>
  <si>
    <t>tests/tests/telephony/current/src/android/telephony/cts/TelephonyManagerTest.java</t>
  </si>
  <si>
    <t>hostsidetests/appsecurity/test-apps/EscalateToRuntimePermissions/src/com/android/cts/escalatepermission/PermissionEscalationTest.java</t>
  </si>
  <si>
    <t>tests/tests/media/src/android/media/cts/MediaRoute2InfoTest.java</t>
  </si>
  <si>
    <t>tests/tests/telephony/current/src/android/telephony/cts/TelephonyPermissionPolicyTest.java</t>
  </si>
  <si>
    <t>tests/tests/net/src/android/net/wifi/cts/WifiMigrationTest.java</t>
  </si>
  <si>
    <t>hostsidetests/linkerconfig/src/android/linkerconfig/cts/LinkerConfigTest.java</t>
  </si>
  <si>
    <t>tests/tests/sharesheet/src/android/sharesheet/cts/CtsSharesheetDeviceTest.java</t>
  </si>
  <si>
    <t>hostsidetests/userspacereboot/src/com/android/cts/userspacereboot/host/UserspaceRebootHostTest.java</t>
  </si>
  <si>
    <t>tests/tests/telecom4/src/android/telecom4/cts/InCallServiceImplTest.java</t>
  </si>
  <si>
    <t>hostsidetests/packagemanager/dynamicmime/test/src/android/dynamicmime/testapp/SingleAppTest.java</t>
  </si>
  <si>
    <t>tests/app/DownloadManagerLegacyTest/src/android/app/cts/DownloadManagerLegacyTest.java</t>
  </si>
  <si>
    <t>hostsidetests/devicepolicy/src/com/android/cts/devicepolicy/OrgOwnedProfileOwnerTest.java</t>
  </si>
  <si>
    <t>tests/inputmethod/src/android/view/inputmethod/cts/ExtractedTextRequestTest.java</t>
  </si>
  <si>
    <t>tests/suspendapps/tests/src/android/suspendapps/cts/SuspendPackagesTest.java</t>
  </si>
  <si>
    <t>tests/framework/base/activitymanager/src/android/server/am/PresentationTest.java</t>
  </si>
  <si>
    <t>tests/framework/base/windowmanager/src/android/server/wm/PresentationTest.java</t>
  </si>
  <si>
    <t>tests/app/src/android/app/cts/UiModeManagerTest.java</t>
  </si>
  <si>
    <t>tests/inputmethod/src/android/view/inputmethod/cts/InlineSuggestionsRequestTest.java</t>
  </si>
  <si>
    <t>tests/app/src/android/app/cts/ActivityManagerRecentTaskInfoTest.java</t>
  </si>
  <si>
    <t>tests/app/src/android/app/cts/ActivityManagerRunningTaskInfoTest.java</t>
  </si>
  <si>
    <t>hostsidetests/devicepolicy/app/DeviceAndProfileOwner/src/com/android/cts/deviceandprofileowner/ScreenCaptureDisabledTest.java</t>
  </si>
  <si>
    <t>tests/tests/telephony/current/src/android/telephony/ims/cts/RcsUceAdapterTest.java</t>
  </si>
  <si>
    <t>tests/accessibility/src/android/view/accessibility/cts/AccessibilityShortcutTest.java</t>
  </si>
  <si>
    <t>hostsidetests/devicepolicy/app/DeviceAndProfileOwner/src/com/android/cts/deviceandprofileowner/DevicePolicyLoggingTest.java</t>
  </si>
  <si>
    <t>tests/tests/security/src/android/security/cts/NanoAppBundleTest.java</t>
  </si>
  <si>
    <t>tests/tests/net/ipsec/src/android/net/ipsec/ike/cts/SaProposalTest.java</t>
  </si>
  <si>
    <t>tests/tests/mediaparser/src/android/media/mediaparser/cts/MediaParserTest.java</t>
  </si>
  <si>
    <t>tests/sensor/src/android/hardware/cts/SensorDirectReportTest.java</t>
  </si>
  <si>
    <t>tests/tests/net/src/android/net/cts/DhcpInfoTest.java</t>
  </si>
  <si>
    <t>tests/tests/hardware/src/android/hardware/biometrics/cts/BiometricPromptTest.java</t>
  </si>
  <si>
    <t>hostsidetests/securitybulletin/src/android/security/cts/TestMedia.java</t>
  </si>
  <si>
    <t>hostsidetests/seccomp/app/src/android/seccomp/cts/app/SeccompDeviceTest.java</t>
  </si>
  <si>
    <t>tests/app/src/android/app/cts/ActivityNonConfigInstanceTest.java</t>
  </si>
  <si>
    <t>tests/tests/car/src/android/car/cts/CarUserManagerTest.java</t>
  </si>
  <si>
    <t>hostsidetests/devicepolicy/app/DeviceAndProfileOwner/src/com/android/cts/deviceandprofileowner/UserRestrictionsParentTest.java</t>
  </si>
  <si>
    <t>hostsidetests/incident/apps/netstatsapp/src/com/android/server/cts/netstats/NetstatsDeviceTest.java</t>
  </si>
  <si>
    <t>hostsidetests/incident/src/com/android/server/cts/NetstatsIncidentTest.java</t>
  </si>
  <si>
    <t>hostsidetests/appsecurity/src/android/appsecurity/cts/PkgInstallSignatureVerificationTest.java</t>
  </si>
  <si>
    <t>hostsidetests/stagedinstall/src/com/android/tests/stagedinstall/host/ApexShimValidationTest.java</t>
  </si>
  <si>
    <t>hostsidetests/appsecurity/src/android/appsecurity/cts/AdoptableFeatureConsistentTest.java</t>
  </si>
  <si>
    <t>hostsidetests/hdmicec/src/android/hdmicec/cts/audio/HdmiCecSystemAudioModeTest.java</t>
  </si>
  <si>
    <t>hostsidetests/telephony/src/android/telephony/cts/TelephonyHostTest.java</t>
  </si>
  <si>
    <t>tests/tests/tv/src/android/media/tv/tuner/cts/TunerTest.java</t>
  </si>
  <si>
    <t>hostsidetests/devicepolicy/app/DeviceAndProfileOwner/src/com/android/cts/deviceandprofileowner/OrgOwnedProfileOwnerParentTest.java</t>
  </si>
  <si>
    <t>hostsidetests/devicepolicy/app/DeviceAndProfileOwner/src/com/android/cts/deviceandprofileowner/RandomizedWifiMacAddressTest.java</t>
  </si>
  <si>
    <t>tests/tests/content/src/android/content/pm/cts/FeatureTest.java</t>
  </si>
  <si>
    <t>hostsidetests/appsecurity/test-apps/UsePermissionDiffCert/src/com/android/cts/usespermissiondiffcertapp/ModifyInstallerPackageTest.java</t>
  </si>
  <si>
    <t>tests/tests/media/src/android/media/cts/MediaExtractorTest.java</t>
  </si>
  <si>
    <t>tests/tests/media/src/android/media/cts/NativeEncoderTest.java</t>
  </si>
  <si>
    <t>hostsidetests/incident/src/com/android/server/cts/MemInfoIncidentTest.java</t>
  </si>
  <si>
    <t>hostsidetests/devicepolicy/app/DeviceAndProfileOwner/src/com/android/cts/deviceandprofileowner/LockTaskHostDrivenTest.java</t>
  </si>
  <si>
    <t>tests/tests/libnativehelper/src/android/libnativehelper/cts/JniHelpTest.java</t>
  </si>
  <si>
    <t>hostsidetests/scopedstorage/host/src/android/scopedstorage/cts/host/ScopedStorageHostTest.java</t>
  </si>
  <si>
    <t>hostsidetests/scopedstorage/src/android/scopedstorage/cts/ScopedStorageTest.java</t>
  </si>
  <si>
    <t>tests/tests/permission/telephony/src/android/permission/cts/telephony/TelephonyManagerPermissionTest.java</t>
  </si>
  <si>
    <t>hostsidetests/devicepolicy/src/com/android/cts/devicepolicy/ManagedProfileCrossProfileTest.java</t>
  </si>
  <si>
    <t>tests/tests/hardware/src/android/hardware/input/cts/tests/RazerJunglecatBluetoothTest.java</t>
  </si>
  <si>
    <t>tests/tests/media/src/android/media/cts/ExifInterfaceTest.java</t>
  </si>
  <si>
    <t>tests/media/src/android/mediav2/cts/CodecDecoderTest.java</t>
  </si>
  <si>
    <t>tests/inputmethod/src/android/view/inputmethod/cts/InputMethodServiceStrictModeTest.java</t>
  </si>
  <si>
    <t>tests/tests/os/src/android/os/cts/StrictModeTest.java</t>
  </si>
  <si>
    <t>tests/tests/contactsprovider/src/android/provider/cts/contacts/ContactsMetadataProviderTest.java</t>
  </si>
  <si>
    <t>tests/tests/content/src/android/content/pm/cts/ChecksumsTest.java</t>
  </si>
  <si>
    <t>hostsidetests/appsecurity/test-apps/MediaStorageApp/src/com/android/cts/mediastorageapp/MediaStorageTest.java</t>
  </si>
  <si>
    <t>hostsidetests/systemui/src/android/host/systemui/TvMicrophoneCaptureIndicatorTest.java</t>
  </si>
  <si>
    <t>tests/inputmethod/src/android/view/inputmethod/cts/KeyboardVisibilityControlTest.java</t>
  </si>
  <si>
    <t>tests/tests/os/src/android/os/cts/LocaleListTest.java</t>
  </si>
  <si>
    <t>hostsidetests/tagging/src/com/android/cts/tagging/TaggingManifestEnabledSdk29Test.java</t>
  </si>
  <si>
    <t>hostsidetests/tagging/src/com/android/cts/tagging/TaggingSdk29Test.java</t>
  </si>
  <si>
    <t>tests/tests/batterysaving/src/android/os/cts/batterysaving/BatterySaverLocationTest.java</t>
  </si>
  <si>
    <t>tests/tests/telecom/src/android/telecom/cts/AdhocConferenceTest.java</t>
  </si>
  <si>
    <t>tests/tests/graphics/src/android/graphics/text/cts/GlyphStyleTest.java</t>
  </si>
  <si>
    <t>tests/tests/wifi/src/android/net/wifi/cts/WifiNetworkSuggestionTest.java</t>
  </si>
  <si>
    <t>tests/tests/widget/src/android/widget/cts/TextViewOnReceiveContentCallbackTest.java</t>
  </si>
  <si>
    <t>tests/tests/telephony/current/src/android/telephony/cts/IwlanModeTest.java</t>
  </si>
  <si>
    <t>tests/tests/wifi/src/android/net/wifi/aware/cts/SingleDeviceTest.java</t>
  </si>
  <si>
    <t>hostsidetests/net/app/src/com/android/cts/net/hostside/DataSaverModeTest.java</t>
  </si>
  <si>
    <t>hostsidetests/net/app/src/com/android/cts/net/hostside/MixedModesTest.java</t>
  </si>
  <si>
    <t>hostsidetests/net/app/src/com/android/cts/net/hostside/NetworkCallbackTest.java</t>
  </si>
  <si>
    <t>hostsidetests/net/app/src/com/android/cts/net/hostside/VpnTest.java</t>
  </si>
  <si>
    <t>hostsidetests/net/src/com/android/cts/net/ProcNetTest.java</t>
  </si>
  <si>
    <t>tests/tests/net/api23Test/src/android/net/cts/api23test/ConnectivityManagerApi23Test.java</t>
  </si>
  <si>
    <t>tests/tests/net/src/android/net/cts/AirplaneModeTest.java</t>
  </si>
  <si>
    <t>tests/tests/net/src/android/net/cts/ConnectivityDiagnosticsManagerTest.java</t>
  </si>
  <si>
    <t>tests/tests/net/src/android/net/cts/CredentialsTest.java</t>
  </si>
  <si>
    <t>tests/tests/net/src/android/net/cts/Ikev2VpnTest.java</t>
  </si>
  <si>
    <t>tests/tests/net/src/android/net/cts/InetAddressesTest.java</t>
  </si>
  <si>
    <t>tests/tests/net/src/android/net/cts/IpConfigurationTest.java</t>
  </si>
  <si>
    <t>tests/tests/net/src/android/net/cts/IpSecBaseTest.java</t>
  </si>
  <si>
    <t>tests/tests/net/src/android/net/cts/LocalServerSocketTest.java</t>
  </si>
  <si>
    <t>tests/tests/net/src/android/net/cts/LocalSocketAddressTest.java</t>
  </si>
  <si>
    <t>tests/tests/net/src/android/net/cts/LocalSocketAddress_NamespaceTest.java</t>
  </si>
  <si>
    <t>tests/tests/net/src/android/net/cts/MacAddressTest.java</t>
  </si>
  <si>
    <t>tests/tests/net/src/android/net/cts/MailToTest.java</t>
  </si>
  <si>
    <t>tests/tests/net/src/android/net/cts/MultinetworkApiTest.java</t>
  </si>
  <si>
    <t>tests/tests/net/src/android/net/cts/NetworkInfo_DetailedStateTest.java</t>
  </si>
  <si>
    <t>tests/tests/net/src/android/net/cts/NetworkInfo_StateTest.java</t>
  </si>
  <si>
    <t>tests/tests/net/src/android/net/cts/NetworkStatsBinderTest.java</t>
  </si>
  <si>
    <t>tests/tests/net/src/android/net/cts/NetworkWatchlistTest.java</t>
  </si>
  <si>
    <t>tests/tests/net/src/android/net/cts/ProxyInfoTest.java</t>
  </si>
  <si>
    <t>tests/tests/net/src/android/net/cts/ProxyTest.java</t>
  </si>
  <si>
    <t>tests/tests/net/src/android/net/cts/RssiCurveTest.java</t>
  </si>
  <si>
    <t>tests/tests/net/src/android/net/cts/TheaterModeTest.java</t>
  </si>
  <si>
    <t>tests/tests/net/src/android/net/cts/UriTest.java</t>
  </si>
  <si>
    <t>tests/tests/net/src/android/net/cts/Uri_BuilderTest.java</t>
  </si>
  <si>
    <t>tests/tests/net/src/android/net/cts/UrlQuerySanitizerTest.java</t>
  </si>
  <si>
    <t>tests/tests/net/src/android/net/cts/UrlQuerySanitizer_IllegalCharacterValueSanitizerTest.java</t>
  </si>
  <si>
    <t>tests/tests/net/src/android/net/cts/UrlQuerySanitizer_ParameterValuePairTest.java</t>
  </si>
  <si>
    <t>tests/tests/net/src/android/net/cts/VpnServiceTest.java</t>
  </si>
  <si>
    <t>tests/tests/net/src/android/net/ipv6/cts/PingTest.java</t>
  </si>
  <si>
    <t>tests/tests/net/src/android/net/rtp/cts/AudioCodecTest.java</t>
  </si>
  <si>
    <t>tests/tests/net/src/android/net/rtp/cts/AudioGroupTest.java</t>
  </si>
  <si>
    <t>tests/tests/net/src/android/net/rtp/cts/AudioStreamTest.java</t>
  </si>
  <si>
    <t>tests/tests/tethering/src/android/tethering/cts/TetheringManagerTest.java</t>
  </si>
  <si>
    <t>tests/tests/webkit/src/android/webkit/cts/PacProcessorTest.java</t>
  </si>
  <si>
    <t>tests/tests/media/src/android/media/cts/MediaBrowserTest.java</t>
  </si>
  <si>
    <t>tests/JobScheduler/src/android/jobscheduler/cts/IdleConstraintTest.java</t>
  </si>
  <si>
    <t>tests/tests/ipsec/src/android/eap/cts/EapSessionConfigTest.java</t>
  </si>
  <si>
    <t>tests/tests/ipsec/src/android/ipsec/ike/cts/ChildSessionParamsTest.java</t>
  </si>
  <si>
    <t>tests/tests/ipsec/src/android/ipsec/ike/cts/IkeIdentificationTest.java</t>
  </si>
  <si>
    <t>tests/tests/ipsec/src/android/ipsec/ike/cts/IkeSessionDigitalSignatureTest.java</t>
  </si>
  <si>
    <t>tests/tests/ipsec/src/android/ipsec/ike/cts/IkeSessionMschapV2Test.java</t>
  </si>
  <si>
    <t>tests/tests/ipsec/src/android/ipsec/ike/cts/IkeSessionParamsTest.java</t>
  </si>
  <si>
    <t>tests/tests/ipsec/src/android/ipsec/ike/cts/IkeSessionPskTest.java</t>
  </si>
  <si>
    <t>tests/tests/ipsec/src/android/ipsec/ike/cts/IkeSessionRekeyTest.java</t>
  </si>
  <si>
    <t>tests/tests/ipsec/src/android/ipsec/ike/cts/SaProposalTest.java</t>
  </si>
  <si>
    <t>tests/tests/telephony/current/src/android/telephony/cts/ApnSettingTest.java</t>
  </si>
  <si>
    <t>tests/tests/sdkextensions/src/android/os/ext/cts/SdkExtensionsTest.java</t>
  </si>
  <si>
    <t>hostsidetests/devicepolicy/app/ManagedProfile/src/com/android/cts/managedprofile/DevicePolicyManagerParentSupportTest.java</t>
  </si>
  <si>
    <t>tests/tests/permission/src/android/permission/cts/NoSdCardWritePermissionTest.java</t>
  </si>
  <si>
    <t>hostsidetests/scopedstorage/device/src/android/scopedstorage/cts/device/ScopedStorageDeviceTest.java</t>
  </si>
  <si>
    <t>hostsidetests/scopedstorage/host/src/android/scopedstorage/cts/host/ScopedStorageCoreHostTest.java</t>
  </si>
  <si>
    <t>tests/tests/tv/src/android/media/tv/cts/TvInputServiceTest.java</t>
  </si>
  <si>
    <t>tools/cts-tradefed/tests/src/com/android/compatibility/tradefed/CtsTradefedTest.java</t>
  </si>
  <si>
    <t>tools/manifest-generator/tests/src/com/android/compatibility/common/generator/ManifestGeneratorTest.java</t>
  </si>
  <si>
    <t>tests/app/src/android/app/cts/ActivityManagerFgsBgStartTest.java</t>
  </si>
  <si>
    <t>hostsidetests/statsd/src/android/cts/statsd/subscriber/ShellSubscriberTest.java</t>
  </si>
  <si>
    <t>hostsidetests/statsd/src/android/cts/statsd/validation/DirectoryValidationTest.java</t>
  </si>
  <si>
    <t>tests/admin/src/android/admin/cts/DeviceAdminTempTest.java</t>
  </si>
  <si>
    <t>tests/tests/mediatranscoding/src/android/media/mediatranscoding/cts/MediaTranscodeManagerTest.java</t>
  </si>
  <si>
    <t>tests/tests/telephony/current/src/android/telephony/ims/cts/ImsServiceTest.java</t>
  </si>
  <si>
    <t>hostsidetests/hdmicec/src/android/hdmicec/cts/playback/HdmiCecLogicalAddressTest.java</t>
  </si>
  <si>
    <t>tests/appsearch/src/com/android/cts/appsearch/AppSearchSessionTest.java</t>
  </si>
  <si>
    <t>tests/accessibilityservice/src/android/accessibilityservice/cts/AccessibilityFocusAndInputFocusSyncTest.java</t>
  </si>
  <si>
    <t>tests/app/src/android/app/cts/ApplicationTest.java</t>
  </si>
  <si>
    <t>tests/tests/media/src/android/media/cts/AudioPlaybackConfigurationTest.java</t>
  </si>
  <si>
    <t>hostsidetests/appsecurity/src/android/appsecurity/cts/StatsdAppSecurityAtomTest.java</t>
  </si>
  <si>
    <t>tests/location/location_none/src/android/location/cts/none/NoLocationPermissionTest.java</t>
  </si>
  <si>
    <t>tests/tests/widget/src/android/widget/cts/TextViewOnReceiveContentTest.java</t>
  </si>
  <si>
    <t>hostsidetests/devicepolicy/src/com/android/cts/devicepolicy/ManagedProfilePasswordTest.java</t>
  </si>
  <si>
    <t>tests/tests/wifi/src/android/net/wifi/cts/NsdManagerTest.java</t>
  </si>
  <si>
    <t>tests/tests/security/src/android/security/cts/FontScaleSettingsTest.java</t>
  </si>
  <si>
    <t>hostsidetests/appsecurity/test-apps/SplitApp/src/com/android/cts/splitapp/SplitAppTest.java</t>
  </si>
  <si>
    <t>tests/tests/wifi/src/android/net/wifi/cts/WifiLocationInfoTest.java</t>
  </si>
  <si>
    <t>tests/tests/telephony/current/src/android/telephony/euicc/cts/DownloadableSubscriptionTest.java</t>
  </si>
  <si>
    <t>tests/tests/keystore/src/android/keystore/cts/CipherTest.java</t>
  </si>
  <si>
    <t>tests/tests/keystore/src/android/keystore/cts/SignatureTest.java</t>
  </si>
  <si>
    <t>tests/tests/mediatranscoding/src/android/media/mediatranscoding/cts/ApplicationMediaCapabilitiesTest.java</t>
  </si>
  <si>
    <t>hostsidetests/appsecurity/src/android/appsecurity/cts/ReadableSettingsFieldsTest.java</t>
  </si>
  <si>
    <t>hostsidetests/appsecurity/test-apps/ReadSettingsFieldsApp/src/com/android/cts/readsettingsfieldsapp/ReadSettingsFieldsTest.java</t>
  </si>
  <si>
    <t>tests/backup/src/android/backup/cts/PermissionTest.java</t>
  </si>
  <si>
    <t>common/device-side/bedstead/nene/src/test/java/com/android/bedstead/nene/users/UserTest.java</t>
  </si>
  <si>
    <t>common/device-side/eventlib/src/test/java/com/android/eventlib/events/activities/ActivityCreatedEventTest.java</t>
  </si>
  <si>
    <t>tests/tests/wifi/src/android/net/wifi/cts/WifiManagerTest.java</t>
  </si>
  <si>
    <t>hostsidetests/hdmicec/app/src/android/hdmicec/app/HdmiControlManagerTest.java</t>
  </si>
  <si>
    <t>hostsidetests/hdmicec/src/android/hdmicec/cts/HdmiControlManagerHostTest.java</t>
  </si>
  <si>
    <t>tests/tests/graphics/src/android/graphics/cts/VulkanSurfaceSupportTest.java</t>
  </si>
  <si>
    <t>hostsidetests/trustedvoice/src/android/trustedvoice/cts/TrustedVoiceHostTest.java</t>
  </si>
  <si>
    <t>tests/tests/app.usage/src/android/app/usage/cts/UsageStatsTest.java</t>
  </si>
  <si>
    <t>hostsidetests/appsecurity/src/android/appsecurity/cts/ApplicationVisibilityTest.java</t>
  </si>
  <si>
    <t>hostsidetests/appsecurity/test-apps/ApplicationVisibilityCrossUserApp/src/com/android/cts/applicationvisibility/ApplicationVisibilityCrossUserTest.java</t>
  </si>
  <si>
    <t>tests/tests/simphonebookprovider/src/android/provider/cts/simphonebook/SimPhonebookContract_ElementaryFilesTest.java</t>
  </si>
  <si>
    <t>tests/tests/simphonebookprovider/src/android/provider/cts/simphonebook/SimPhonebookContract_SimRecordsTest.java</t>
  </si>
  <si>
    <t>tests/tests/graphics/src/android/graphics/fonts/FontManagerTest.java</t>
  </si>
  <si>
    <t>common/device-side/bedstead/nene/src/test/java/com/android/bedstead/nene/users/UsersTest.java</t>
  </si>
  <si>
    <t>hostsidetests/incident/src/com/android/server/cts/AlarmManagerIncidentTest.java</t>
  </si>
  <si>
    <t>tests/tests/speech/src/android/speech/tts/cts/TextToSpeechConnectionTest.java</t>
  </si>
  <si>
    <t>hostsidetests/appsecurity/src/android/appsecurity/cts/ApkVerityInstallTest.java</t>
  </si>
  <si>
    <t>tests/tests/permission/src/android/permission/cts/PowerManagerServicePermissionTest.java</t>
  </si>
  <si>
    <t>hostsidetests/tagging/src/com/android/cts/tagging/TaggingManifestEnabledSdk30Test.java</t>
  </si>
  <si>
    <t>hostsidetests/incident/src/com/android/server/cts/BatteryStatsIncidentTest.java</t>
  </si>
  <si>
    <t>common/device-side/bedstead/nene/src/test/java/com/android/bedstead/nene/packages/PackageReferenceTest.java</t>
  </si>
  <si>
    <t>tests/uwb/src/android/uwb/cts/AngleMeasurementTest.java</t>
  </si>
  <si>
    <t>tests/devicepolicy/src/android/devicepolicy/cts/StartProfilesTest.java</t>
  </si>
  <si>
    <t>tests/tests/car/src/android/car/cts/CarPropertyManagerTest.java</t>
  </si>
  <si>
    <t>tests/tests/telephony/current/src/android/telephony/cts/NetworkRegistrationInfoTest.java</t>
  </si>
  <si>
    <t>hostsidetests/backup/src/android/cts/backup/FullbackupRulesHostSideTest.java</t>
  </si>
  <si>
    <t>tests/tests/media/src/android/media/cts/MediaCommunicationManagerTest.java</t>
  </si>
  <si>
    <t>tests/tests/simphonebookprovider/nosim/src/android/provider/cts/simphonebook/SimPhonebookContract_ElementaryFilesNoSimTest.java</t>
  </si>
  <si>
    <t>tests/inputmethod/src/android/view/inputmethod/cts/InputMethodServiceTest.java</t>
  </si>
  <si>
    <t>common/device-side/bedstead/eventlib/src/test/java/com/android/eventlib/EventLogsTest.java</t>
  </si>
  <si>
    <t>tests/tests/text/src/android/text/cts/FontResourceTest.java</t>
  </si>
  <si>
    <t>tests/translation/src/android/translation/cts/unittests/InternalTranslationRequestTest.java</t>
  </si>
  <si>
    <t>tests/translation/src/android/translation/cts/unittests/TranslationResponseTest.java</t>
  </si>
  <si>
    <t>tests/tests/graphics/src/android/graphics/drawable/cts/RippleDrawableTest.java</t>
  </si>
  <si>
    <t>tests/tests/voiceinteraction/src/android/voiceinteraction/cts/HotwordDetectionServiceTest.java</t>
  </si>
  <si>
    <t>tests/tests/telephony/current/src/android/telephony/cts/TelephonyCallbackTest.java</t>
  </si>
  <si>
    <t>tests/contentcaptureservice/src/android/contentcaptureservice/cts/WhitelistTest.java</t>
  </si>
  <si>
    <t>tests/tests/widget/src/android/widget/cts/RemoteViewsRecyclingTest.java</t>
  </si>
  <si>
    <t>tests/translation/src/android/translation/cts/TranslationManagerTest.java</t>
  </si>
  <si>
    <t>hostsidetests/devicepolicy/app/DeviceOwner/src/com/android/cts/deviceowner/DeviceOwnerProvisioningTest.java</t>
  </si>
  <si>
    <t>hostsidetests/devicepolicy/app/ManagedProfile/src/com/android/cts/managedprofile/ProvisioningTest.java</t>
  </si>
  <si>
    <t>hostsidetests/devicepolicy/src/com/android/cts/devicepolicy/ManagedProfileProvisioningTest.java</t>
  </si>
  <si>
    <t>tests/tests/shortcutmanager/src/android/content/pm/cts/shortcutmanager/ShortcutManagerMaxCountTest.java</t>
  </si>
  <si>
    <t>tests/sensor/sensorratepermission/EventConnectionResampling/src/android/sensorratepermission/cts/resampling/ResamplingTest.java</t>
  </si>
  <si>
    <t>tests/appsearch/src/com/android/cts/appsearch/external/AppSearchSchemaCtsTest.java</t>
  </si>
  <si>
    <t>tests/media/src/android/mediav2/cts/ExtractorUnitTest.java</t>
  </si>
  <si>
    <t>tests/media/src/android/mediav2/cts/MuxerTest.java</t>
  </si>
  <si>
    <t>tests/tests/permission/src/android/permission/cts/PermissionIndicatorAppOpUsageTest.java</t>
  </si>
  <si>
    <t>tests/tests/graphics/src/android/graphics/fonts/SystemFontsCanonicalNameTest.java</t>
  </si>
  <si>
    <t>tests/mediapc/src/android/mediapc/cts/PerformanceClassTest.java</t>
  </si>
  <si>
    <t>tests/JobScheduler/src/android/jobscheduler/cts/ConnectivityConstraintTest.java</t>
  </si>
  <si>
    <t>tests/tests/time/src/android/time/cts/TimeManagerTest.java</t>
  </si>
  <si>
    <t>tests/tests/wifi/src/android/net/wifi/cts/CoexUnsafeChannelTest.java</t>
  </si>
  <si>
    <t>hostsidetests/scopedstorage/signature/src/android/scopedstorage/cts/signature/SignatureStorageTest.java</t>
  </si>
  <si>
    <t>tests/tests/media/src/android/media/cts/PlaybackStateTest.java</t>
  </si>
  <si>
    <t>hostsidetests/appsearch/test-apps/AppSearchHostTestHelperB/src/android/appsearch/app/b/AppSearchDeviceTest.java</t>
  </si>
  <si>
    <t>tests/tests/permission/src/android/permission/cts/NearbyDevicesPermissionTest.java</t>
  </si>
  <si>
    <t>tests/appsearch/src/com/android/cts/appsearch/external/SearchSpecCtsTest.java</t>
  </si>
  <si>
    <t>tests/tests/telephony/current/src/android/telephony/ims/cts/SipDelegateManagerTest.java</t>
  </si>
  <si>
    <t>tests/uwb/src/android/uwb/cts/UwbManagerTest.java</t>
  </si>
  <si>
    <t>tools/cts-tradefed/tests/src/com/android/compatibility/common/tradefed/presubmit/DupFileTest.java</t>
  </si>
  <si>
    <t>hostsidetests/incident/src/com/android/server/cts/JobSchedulerIncidentTest.java</t>
  </si>
  <si>
    <t>hostsidetests/incident/src/com/android/server/cts/NotificationIncidentTest.java</t>
  </si>
  <si>
    <t>tests/framework/base/windowmanager/src/android/server/wm/ActivityViewTest.java</t>
  </si>
  <si>
    <t>hostsidetests/car/src/android/car/cts/PowerPolicyHostTest.java</t>
  </si>
  <si>
    <t>hostsidetests/devicepolicy/app/DeviceOwner/src/com/android/cts/deviceowner/WifiConfigLockdownTest.java</t>
  </si>
  <si>
    <t>tests/tests/appwidget/src/android/appwidget/cts/AppWidgetDimensionsTest.java</t>
  </si>
  <si>
    <t>tests/app/src/android/app/cts/ServiceTest.java</t>
  </si>
  <si>
    <t>tests/accessibilityservice/src/android/accessibilityservice/cts/AccessibilityEmbeddedDisplayTest.java</t>
  </si>
  <si>
    <t>common/device-side/bedstead/nene/src/test/java/com/android/bedstead/nene/permissions/PermissionsTest.java</t>
  </si>
  <si>
    <t>common/device-side/bedstead/nene/src/test/java/com/android/bedstead/nene/devicepolicy/DevicePolicyTest.java</t>
  </si>
  <si>
    <t>tests/autofillservice/src/android/autofillservice/cts/client/ClientSuggestionsInlineTest.java</t>
  </si>
  <si>
    <t>tests/autofillservice/src/android/autofillservice/cts/inline/InlineLoginActivityTest.java</t>
  </si>
  <si>
    <t>hostsidetests/devicepolicy/app/DelegateApp/src/com/android/cts/delegate/WorkProfileSecurityLoggingDelegateTest.java</t>
  </si>
  <si>
    <t>tests/tests/voiceinteraction/src/android/voiceinteraction/cts/HotwordDetectionServiceBasicTest.java</t>
  </si>
  <si>
    <t>tests/translation/src/android/translation/cts/unittests/TranslationRequestTest.java</t>
  </si>
  <si>
    <t>tests/tests/permission/src/android/permission/cts/NfcPermissionTest.java</t>
  </si>
  <si>
    <t>hostsidetests/statsdatom/src/android/cts/statsdatom/net/BytesTransferredTest.java</t>
  </si>
  <si>
    <t>tests/tests/selinux/selinuxEphemeral/src/android/security/SELinuxTargetSdkTest.java</t>
  </si>
  <si>
    <t>tests/tests/content/src/android/content/wm/cts/ContextIsUiContextTest.java</t>
  </si>
  <si>
    <t>tests/appsearch/src/com/android/cts/appsearch/external/app/GenericDocumentCtsTest.java</t>
  </si>
  <si>
    <t>common/device-side/bedstead/eventlib/src/test/java/com/android/eventlib/events/activities/ActivityCreatedEventTest.java</t>
  </si>
  <si>
    <t>common/device-side/bedstead/eventlib/src/test/java/com/android/eventlib/events/activities/ActivityDestroyedEventTest.java</t>
  </si>
  <si>
    <t>common/device-side/bedstead/eventlib/src/test/java/com/android/eventlib/events/activities/ActivityPausedEventTest.java</t>
  </si>
  <si>
    <t>common/device-side/bedstead/eventlib/src/test/java/com/android/eventlib/events/activities/ActivityRestartedEventTest.java</t>
  </si>
  <si>
    <t>common/device-side/bedstead/eventlib/src/test/java/com/android/eventlib/events/activities/ActivityResumedEventTest.java</t>
  </si>
  <si>
    <t>common/device-side/bedstead/eventlib/src/test/java/com/android/eventlib/events/activities/ActivityStartedEventTest.java</t>
  </si>
  <si>
    <t>common/device-side/bedstead/eventlib/src/test/java/com/android/eventlib/events/activities/ActivityStoppedEventTest.java</t>
  </si>
  <si>
    <t>common/device-side/bedstead/queryable/src/test/java/com/android/queryable/queries/ActivityQueryHelperTest.java</t>
  </si>
  <si>
    <t>hostsidetests/angle/src/android/angle/cts/CtsAngleDeveloperOptionHostTest.java</t>
  </si>
  <si>
    <t>hostsidetests/angle/src/android/angle/cts/CtsAngleRulesFileTest.java</t>
  </si>
  <si>
    <t>tests/mediapc/src/android/mediapc/cts/MultiTranscoderPairPerfTest.java</t>
  </si>
  <si>
    <t>hostsidetests/packagemanager/installedloadingprogess/hostside/src/com/android/tests/loadingprogress/host/IncrementalLoadingProgressTest.java</t>
  </si>
  <si>
    <t>tests/JobScheduler/src/android/jobscheduler/cts/JobWorkItemTest.java</t>
  </si>
  <si>
    <t>hostsidetests/packagemanager/boottest/src/android/packagemanager/boot/cts/BootTest.java</t>
  </si>
  <si>
    <t>tests/tests/openglperf/src/android/openglperf/cts/GlVboPerfTest.java</t>
  </si>
  <si>
    <t>hostsidetests/sample/src/android/sample/cts/SampleHostResultTest.java</t>
  </si>
  <si>
    <t>hostsidetests/appsearch/src/android/appsearch/cts/AppSearchMultiUserTest.java</t>
  </si>
  <si>
    <t>hostsidetests/appsearch/test-apps/AppSearchHostTestHelperA/src/android/appsearch/app/a/AppSearchDeviceTest.java</t>
  </si>
  <si>
    <t>hostsidetests/devicepolicy/app/SeparateProfileChallenge/src/com/android/cts/separateprofilechallenge/SeparateProfileChallengePermissionsTest.java</t>
  </si>
  <si>
    <t>hostsidetests/devicepolicy/src/com/android/cts/devicepolicy/SeparateProfileChallengeTest.java</t>
  </si>
  <si>
    <t>hostsidetests/devicepolicy/app/ManagedProfile/src/com/android/cts/managedprofile/RingtoneSyncTest.java</t>
  </si>
  <si>
    <t>hostsidetests/devicepolicy/src/com/android/cts/devicepolicy/ManagedProfileRingtoneTest.java</t>
  </si>
  <si>
    <t>hostsidetests/backup/restoresessionapp3/src/android/cts/backup/restoresessionapp3/RestoreSessionAppTest.java</t>
  </si>
  <si>
    <t>tests/tests/view/src/android/view/cts/TextureViewTest.java</t>
  </si>
  <si>
    <t>tests/rollback/src/com/android/cts/rollback/RollbackManagerTest.java</t>
  </si>
  <si>
    <t>tests/devicepolicy/src/android/devicepolicy/cts/ApplicationRestrictionsTest.java</t>
  </si>
  <si>
    <t>tests/tests/view/src/android/view/cts/input/InputEventTest.java</t>
  </si>
  <si>
    <t>hostsidetests/appcompat/compatchanges/src/com/android/cts/appcompat/AppCompatOverridesServiceTest.java</t>
  </si>
  <si>
    <t>tests/location/location_none/src/android/location/cts/none/LocationTest.java</t>
  </si>
  <si>
    <t>tests/tests/media/src/android/media/cts/AudioTrackSurroundTest.java</t>
  </si>
  <si>
    <t>tests/PhotoPicker/src/android/photopicker/cts/PhotoPickerTest.java</t>
  </si>
  <si>
    <t>hostsidetests/devicepolicy/app/ManagedProfile/src/com/android/cts/managedprofile/DisallowSharingIntoProfileTest.java</t>
  </si>
  <si>
    <t>hostsidetests/devicepolicy/app/DeviceAndProfileOwner/src/com/android/cts/deviceandprofileowner/EnrollmentSpecificIdTest.java</t>
  </si>
  <si>
    <t>hostsidetests/devicepolicy/app/DeviceAndProfileOwner/src/com/android/cts/deviceandprofileowner/AllowedAccountManagementTest.java</t>
  </si>
  <si>
    <t>hostsidetests/userspacereboot/testapps/BasicTestApp/src/com/android/cts/userspacereboot/basic/BasicUserspaceRebootTest.java</t>
  </si>
  <si>
    <t>hostsidetests/userspacereboot/testapps/BootCompletedTestApp/src/com/android/cts/userspacereboot/bootcompleted/BootCompletedUserspaceRebootTest.java</t>
  </si>
  <si>
    <t>tests/tests/settings/src/android/settings/cts/SettingsHandlerTest.java</t>
  </si>
  <si>
    <t>hostsidetests/devicepolicy/app/AccountManagement/src/com/android/cts/devicepolicy/accountmanagement/AccountUtilsTest.java</t>
  </si>
  <si>
    <t>hostsidetests/edi/app/src/android/edi/cts/app/ClasspathDeviceTest.java</t>
  </si>
  <si>
    <t>hostsidetests/hdmicec/src/android/hdmicec/cts/playback/HdmiCecStartupTest.java</t>
  </si>
  <si>
    <t>tests/tests/identity/src/android/security/identity/cts/HkdfTest.java</t>
  </si>
  <si>
    <t>common/device-side/bedstead/nene/src/test/java/com/android/bedstead/nene/packages/PackagesTest.java</t>
  </si>
  <si>
    <t>common/device-side/bedstead/remotedpc/src/test/java/com/android/bedstead/remotedpc/RemoteDpcTest.java</t>
  </si>
  <si>
    <t>tests/tests/contactsprovider/src/android/provider/cts/contacts/ContactsContract_RawContactsTest.java</t>
  </si>
  <si>
    <t>hostsidetests/hdmicec/src/android/hdmicec/cts/playback/HdmiCecOneTouchPlayTest.java</t>
  </si>
  <si>
    <t>tests/tests/keystore/src/android/keystore/cts/performance/RsaKeyGenPerformanceTest.java</t>
  </si>
  <si>
    <t>common/device-side/bedstead/testapp/src/test/java/com/android/bedstead/testapp/TestAppTest.java</t>
  </si>
  <si>
    <t>tests/framework/base/windowmanager/jetpack/src/android/server/wm/jetpack/ExtensionTest.java</t>
  </si>
  <si>
    <t>tests/app/src/android/app/cts/ActivityOptionsTest.java</t>
  </si>
  <si>
    <t>tests/app/src/android/app/cts/BroadcastOptionsTest.java</t>
  </si>
  <si>
    <t>tests/framework/base/windowmanager/backgroundactivity/src/android/server/wm/BackgroundActivityLaunchTest.java</t>
  </si>
  <si>
    <t>common/device-side/bedstead/nene/src/test/java/com/android/bedstead/nene/users/UserReferenceTest.java</t>
  </si>
  <si>
    <t>hostsidetests/car/src/android/car/cts/CarWatchdogHostTest.java</t>
  </si>
  <si>
    <t>hostsidetests/devicepolicy/app/DelegateApp/src/com/android/cts/delegate/AppRestrictionsDelegateTest.java</t>
  </si>
  <si>
    <t>tests/ProcessTest/src/com/android/cts/process/ProcessTest.java</t>
  </si>
  <si>
    <t>hostsidetests/devicepolicy/app/DeviceAndProfileOwner/src/com/android/cts/deviceandprofileowner/DelegationTest.java</t>
  </si>
  <si>
    <t>hostsidetests/devicepolicy/app/DelegateApp/src/com/android/cts/delegate/GeneralDelegateTest.java</t>
  </si>
  <si>
    <t>hostsidetests/webkit/src/com/android/cts/webkit/WebViewHostSideStartupTest.java</t>
  </si>
  <si>
    <t>tests/devicepolicy/src/android/devicepolicy/cts/DevicePolicyManagerTest.java</t>
  </si>
  <si>
    <t>hostsidetests/webkit/app/src/com/android/cts/webkit/WebViewDeviceSideStartupTest.java</t>
  </si>
  <si>
    <t>tests/devicepolicy/src/android/devicepolicy/cts/DeprecatedPasswordAPIsTest.java</t>
  </si>
  <si>
    <t>tests/tests/os/src/android/os/cts/VibrationAttributesTest.java</t>
  </si>
  <si>
    <t>common/device-side/bedstead/eventlib/src/test/java/com/android/eventlib/premade/EventLibAppComponentFactoryTest.java</t>
  </si>
  <si>
    <t>common/device-side/bedstead/eventlib/src/test/java/com/android/eventlib/premade/EventLibServiceTest.java</t>
  </si>
  <si>
    <t>common/device-side/bedstead/testapp/src/test/java/com/android/bedstead/testapp/TestAppAppComponentFactoryTest.java</t>
  </si>
  <si>
    <t>hostsidetests/incident/src/com/android/server/cts/PackageIncidentTest.java</t>
  </si>
  <si>
    <t>tests/inputmethod/src/android/view/inputmethod/cts/InputMethodStartInputLifecycleTest.java</t>
  </si>
  <si>
    <t>tests/tests/bluetooth/src/android/bluetooth/cts/AdvertisingSetTest.java</t>
  </si>
  <si>
    <t>tests/accessibility/src/android/view/accessibility/cts/AccessibilityNodeInfoTest.java</t>
  </si>
  <si>
    <t>tests/tests/media/audio/src/android/media/audio/cts/AudioPlaybackCaptureTest.java</t>
  </si>
  <si>
    <t>tests/tests/media/audio/src/android/media/audio/cts/AudioTrackTest.java</t>
  </si>
  <si>
    <t>tests/app/src/android/app/communal/cts/CommunalManagerTest.java</t>
  </si>
  <si>
    <t>hostsidetests/multidevice/src/android/sample/cts/SampleMultiDeviceTest.java</t>
  </si>
  <si>
    <t>tests/tests/text/src/android/text/cts/BoringLayoutFallbackLineSpacingTest.java</t>
  </si>
  <si>
    <t>tests/tests/text/src/android/text/cts/FallbackLineSpacingTest.java</t>
  </si>
  <si>
    <t>tests/tests/graphics/src/android/graphics/cts/SystemPaletteTest.java</t>
  </si>
  <si>
    <t>tests/inputmethod/src/android/view/inputmethod/cts/StylusHandwritingTest.java</t>
  </si>
  <si>
    <t>tests/location/location_fine/src/android/location/cts/fine/GeocoderTest.java</t>
  </si>
  <si>
    <t>tests/framework/base/windowmanager/src/android/server/wm/WindowUntrustedTouchTest.java</t>
  </si>
  <si>
    <t>tests/tests/media/decoder/src/android/media/decoder/cts/ImageReaderDecoderTest.java</t>
  </si>
  <si>
    <t>hostsidetests/appcloning/hostside/src/com/android/cts/appcloning/AppCloningHostTest.java</t>
  </si>
  <si>
    <t>tests/tests/wifi/src/android/net/wifi/cts/WifiSsidTest.java</t>
  </si>
  <si>
    <t>tests/devicepolicy/src/android/devicepolicy/cts/RingtoneTest.java</t>
  </si>
  <si>
    <t>tests/tests/bluetooth/src/android/bluetooth/cts/BluetoothHapClientTest.java</t>
  </si>
  <si>
    <t>tests/tests/uidmigration/src/android/uidmigration/cts/SharedUserMigrationTest.java</t>
  </si>
  <si>
    <t>tests/tests/app.usage/src/android/app/usage/cts/NetworkUsageStatsTest.java</t>
  </si>
  <si>
    <t>hostsidetests/hdmicec/src/android/hdmicec/cts/playback/HdmiCecSystemInformationTest.java</t>
  </si>
  <si>
    <t>tests/tests/view/src/android/view/cts/OnBackInvokedDispatcherTest.java</t>
  </si>
  <si>
    <t>tests/tests/tv/src/android/media/tv/interactive/cts/TvInteractiveAppServiceTest.java</t>
  </si>
  <si>
    <t>tests/tests/car_builtin/src/android/car/cts/builtin/os/UserManagerHelperTest.java</t>
  </si>
  <si>
    <t>hostsidetests/devicepolicy/app/CrossProfileTestApps/CrossProfileAppsTest/src/com/android/cts/crossprofileappstest/CrossProfileAppsNonTargetUserTest.java</t>
  </si>
  <si>
    <t>hostsidetests/devicepolicy/app/CrossProfileTestApps/CrossProfileAppsTest/src/com/android/cts/crossprofileappstest/CrossProfileAppsStartActivityTest.java</t>
  </si>
  <si>
    <t>hostsidetests/devicepolicy/app/CrossProfileTestApps/CrossProfileAppsTest/src/com/android/cts/crossprofileappstest/CrossProfileAppsTargetUserTest.java</t>
  </si>
  <si>
    <t>hostsidetests/devicepolicy/src/com/android/cts/devicepolicy/CrossProfileAppsHostSideTest.java</t>
  </si>
  <si>
    <t>hostsidetests/devicepolicy/app/CrossProfileTestApps/CrossProfileAppsTest/src/com/android/cts/crossprofileappstest/CrossProfileAppsPermissionToInteractTest.java</t>
  </si>
  <si>
    <t>hostsidetests/devicepolicy/src/com/android/cts/devicepolicy/CrossProfileAppsPermissionHostSideTest.java</t>
  </si>
  <si>
    <t>tests/devicepolicy/src/android/devicepolicy/cts/CrossProfileAppsTest.java</t>
  </si>
  <si>
    <t>tests/tests/voiceRecognition/src/android/voicerecognition/cts/AbstractRecognitionServiceTest.java</t>
  </si>
  <si>
    <t>tests/tests/telecom/src/android/telecom/cts/CallEndpointSessionTest.java</t>
  </si>
  <si>
    <t>tests/tests/telecom/src/android/telecom/cts/TelecomManagerTest.java</t>
  </si>
  <si>
    <t>tests/tests/media/src/android/media/cts/RouteDiscoveryPreferenceTest.java</t>
  </si>
  <si>
    <t>hostsidetests/devicepolicy/app/DeviceOwner/src/com/android/cts/deviceowner/DeviceOwnerSetupTest.java</t>
  </si>
  <si>
    <t>tests/tests/gamemanager/src/android/gamemanager/cts/GameManagerTest.java</t>
  </si>
  <si>
    <t>hostsidetests/appsecurity/src/android/appsecurity/cts/ResumeOnRebootHostTest.java</t>
  </si>
  <si>
    <t>tests/tests/media/encoder/src/android/media/encoder/cts/EncoderTest.java</t>
  </si>
  <si>
    <t>tests/tests/media/codec/src/android/media/codec/cts/EncodeDecodeTest.java</t>
  </si>
  <si>
    <t>tests/tests/media/encoder/src/android/media/encoder/cts/VideoEncoderTest.java</t>
  </si>
  <si>
    <t>tests/smartspace/src/android/smartspace/cts/SmartspaceDefaultUiTemplateDataTest.java</t>
  </si>
  <si>
    <t>tests/smartspace/src/android/smartspace/cts/SmartspaceIconTest.java</t>
  </si>
  <si>
    <t>tests/smartspace/src/android/smartspace/cts/SmartspaceHeadToHeadUiTemplateDataTest.java</t>
  </si>
  <si>
    <t>tests/smartspace/src/android/smartspace/cts/SmartspaceSubCardUiTemplateDataTest.java</t>
  </si>
  <si>
    <t>tests/smartspace/src/android/smartspace/cts/SmartspaceSubImageUiTemplateDataTest.java</t>
  </si>
  <si>
    <t>tests/smartspace/src/android/smartspace/cts/SmartspaceSubListUiTemplateDataTest.java</t>
  </si>
  <si>
    <t>tests/smartspace/src/android/smartspace/cts/SmartspaceTapActionTest.java</t>
  </si>
  <si>
    <t>hostsidetests/devicepolicy/app/DelegateApp/src/com/android/cts/delegate/CertInstallDelegateTest.java</t>
  </si>
  <si>
    <t>tests/tests/media/codec/src/android/media/codec/cts/VideoCodecTest.java</t>
  </si>
  <si>
    <t>tests/sample/src/android/sample/cts/SampleJUnit4DeviceTest.java</t>
  </si>
  <si>
    <t>tests/tests/media/decoder/src/android/media/decoder/cts/VideoDecoderPerfTest.java</t>
  </si>
  <si>
    <t>tests/appsearch/src/com/android/cts/appsearch/external/app/SetSchemaRequestCtsTest.java</t>
  </si>
  <si>
    <t>tests/smartspace/src/android/smartspace/cts/TextTest.java</t>
  </si>
  <si>
    <t>tests/PhotoPicker/src/android/photopicker/cts/PhotoPickerCrossProfileTest.java</t>
  </si>
  <si>
    <t>tests/tests/bluetooth/src/android/bluetooth/cts/BluetoothLeAudioCodecTest.java</t>
  </si>
  <si>
    <t>tests/tests/bluetooth/src/android/bluetooth/cts/BluetoothServiceManagerTest.java</t>
  </si>
  <si>
    <t>tests/tests/telecom/src/android/telecom/cts/CallTest.java</t>
  </si>
  <si>
    <t>tests/tests/media/codec/src/android/media/codec/cts/DecodeEditEncodeTest.java</t>
  </si>
  <si>
    <t>tests/cloudsearch/src/android/cloudsearch/cts/CloudSearchManagerTest.java</t>
  </si>
  <si>
    <t>tests/tests/car_builtin/src/android/car/cts/builtin/app/ActivityManagerHelperTest.java</t>
  </si>
  <si>
    <t>tests/tests/media/decoder/src/android/media/decoder/cts/DecoderConformanceTest.java</t>
  </si>
  <si>
    <t>hostsidetests/compilation/src/android/compilation/cts/BackgroundDexOptimizationTest.java</t>
  </si>
  <si>
    <t>tests/tests/simphonebookprovider/src/android/provider/cts/simphonebook/SimPhonebookContract_ContentNotificationsTest.java</t>
  </si>
  <si>
    <t>tests/tests/textclassifier/src/android/view/textclassifier/cts/SelectionEventTest.java</t>
  </si>
  <si>
    <t>tests/tests/bluetooth/src/android/bluetooth/cts/BluetoothLeAudioTest.java</t>
  </si>
  <si>
    <t>tests/tests/telephony/current/src/android/telephony/cts/SipManagerTest.java</t>
  </si>
  <si>
    <t>tests/sensor/src/android/hardware/cts/SensorTest.java</t>
  </si>
  <si>
    <t>tests/tests/telephony/current/src/android/telephony/cts/TelephonyRegistryManagerTest.java</t>
  </si>
  <si>
    <t>tests/framework/base/windowmanager/src/android/server/wm/SplitActivityLifecycleTest.java</t>
  </si>
  <si>
    <t>tests/framework/base/windowmanager/src/android/server/wm/TaskFragmentOrganizerTest.java</t>
  </si>
  <si>
    <t>tests/tests/bluetooth/src/android/bluetooth/cts/BluetoothAdapterTest.java</t>
  </si>
  <si>
    <t>hostsidetests/devicepolicy/app/DelegateApp/src/com/android/cts/delegate/BlockUninstallDelegateTest.java</t>
  </si>
  <si>
    <t>hostsidetests/devicepolicy/app/DelegateApp/src/com/android/cts/delegate/PermissionGrantDelegateTest.java</t>
  </si>
  <si>
    <t>hostsidetests/devicepolicy/app/DelegateApp/src/com/android/cts/delegate/PackageAccessDelegateTest.java</t>
  </si>
  <si>
    <t>hostsidetests/devicepolicy/app/DelegateApp/src/com/android/cts/delegate/EnableSystemAppDelegateTest.java</t>
  </si>
  <si>
    <t>hostsidetests/devicepolicy/app/DelegateApp/src/com/android/cts/delegate/NetworkLoggingDelegateTest.java</t>
  </si>
  <si>
    <t>tests/devicepolicy/src/android/devicepolicy/cts/NegativeCallAuthorizationTest.java</t>
  </si>
  <si>
    <t>hostsidetests/securitybulletin/test-apps/CVE-2021-0481/src/android/security/cts/CVE_2021_0481/DeviceTest.java</t>
  </si>
  <si>
    <t>tests/tests/content/src/android/content/cts/ClipboardReadAccessTest.java</t>
  </si>
  <si>
    <t>tests/tests/permission/src/android/permission/cts/EthernetManagerPermissionTest.java</t>
  </si>
  <si>
    <t>tests/appsearch/src/com/android/cts/appsearch/external/app/GetSchemaResponseCtsTest.java</t>
  </si>
  <si>
    <t>tests/framework/base/windowmanager/src/android/server/wm/TaskFragmentTrustedModeTest.java</t>
  </si>
  <si>
    <t>hostsidetests/media/src/android/media/router/cts/MediaRouter2HostTest.java</t>
  </si>
  <si>
    <t>tests/tests/media/misc/src/android/media/misc/cts/RouteDiscoveryPreferenceTest.java</t>
  </si>
  <si>
    <t>tests/tests/tv/src/android/media/tv/interactive/cts/TvInteractiveAppManagerTest.java</t>
  </si>
  <si>
    <t>tests/tests/bluetooth/src/android/bluetooth/cts/BluetoothHidDeviceAppQosSettingsTest.java</t>
  </si>
  <si>
    <t>tests/tests/virtualdevice/src/android/virtualdevice/cts/VirtualAudioTest.java</t>
  </si>
  <si>
    <t>tests/tests/bluetooth/src/android/bluetooth/cts/BluetoothLeAdvertiserTest.java</t>
  </si>
  <si>
    <t>tests/quickaccesswallet/src/android/quickaccesswallet/cts/QuickAccessWalletClientTest.java</t>
  </si>
  <si>
    <t>hostsidetests/car_builtin/src/android/car/cts/builtin/ActivityManagerHelperHostTest.java</t>
  </si>
  <si>
    <t>tests/tests/netpermission/internetpermission/src/android/net/cts/network/permission/InternetPermissionTest.java</t>
  </si>
  <si>
    <t>tests/tests/netpermission/updatestatspermission/src/android/net/cts/network/permission/UpdateStatsPermissionTest.java</t>
  </si>
  <si>
    <t>tests/AlarmManager/src/android/alarmmanager/cts/ExactAlarmsTest.java</t>
  </si>
  <si>
    <t>hostsidetests/time/host/src/android/time/cts/host/TimeZoneDetectorStatsTest.java</t>
  </si>
  <si>
    <t>tests/tests/permission/src/android/permission/cts/NotificationListenerCheckTest.java</t>
  </si>
  <si>
    <t>tests/app/src/android/app/cts/ToolbarActionBarTest.java</t>
  </si>
  <si>
    <t>tests/tests/os/src/android/os/cts/VibratorManagerTest.java</t>
  </si>
  <si>
    <t>tests/tests/os/src/android/os/cts/VibratorTest.java</t>
  </si>
  <si>
    <t>tests/tests/car_builtin/src/android/car/cts/builtin/os/SystemPropertiesHelperTest.java</t>
  </si>
  <si>
    <t>tests/tests/bluetooth/src/android/bluetooth/cts/BluetoothLeBroadcastAssistantTest.java</t>
  </si>
  <si>
    <t>tests/mediapc/common/tests/src/android/mediapc/cts/common/RequirementTest.java</t>
  </si>
  <si>
    <t>tests/tests/media/decoder/src/android/media/decoder/cts/DecoderPushBlankBuffersOnStopTest.java</t>
  </si>
  <si>
    <t>tests/app/src/android/app/cts/WallpaperManagerTest.java</t>
  </si>
  <si>
    <t>hostsidetests/inputmethodservice/hostside/src/android/inputmethodservice/cts/hostside/InlineSuggestionsRequestHostTest.java</t>
  </si>
  <si>
    <t>tests/autofillservice/src/android/autofillservice/cts/saveui/SimpleSaveActivityTest.java</t>
  </si>
  <si>
    <t>tests/mediapc/src/android/mediapc/cts/MultiDecoderPairPerfTest.java</t>
  </si>
  <si>
    <t>tests/mediapc/src/android/mediapc/cts/MultiDecoderPerfTest.java</t>
  </si>
  <si>
    <t>hostsidetests/appsecurity/src/android/appsecurity/cts/DirectBootHostTest.java</t>
  </si>
  <si>
    <t>tests/tests/bluetooth/src/android/bluetooth/cts/BluetoothDeviceTest.java</t>
  </si>
  <si>
    <t>tests/tests/bluetooth/src/android/bluetooth/cts/SystemBluetoothTest.java</t>
  </si>
  <si>
    <t>tests/tests/keystore/src/android/keystore/cts/KeyAttestationTest.java</t>
  </si>
  <si>
    <t>hostsidetests/tzdata/src/com/android/cts/tzdata/TzDataCheckTest.java</t>
  </si>
  <si>
    <t>hostsidetests/securitybulletin/test-apps/CVE-2021-0954/src/android/security/cts/CVE_2021_0954/DeviceTest.java</t>
  </si>
  <si>
    <t>hostsidetests/atrace/src/android/atrace/cts/AtraceHostTest.java</t>
  </si>
  <si>
    <t>tests/location/location_none/src/android/location/cts/none/LocationDisabledAppOpsTest.java</t>
  </si>
  <si>
    <t>tests/tests/media/decoder/src/android/media/decoder/cts/DecoderTest.java</t>
  </si>
  <si>
    <t>tests/tests/systemui/src/android/systemui/cts/MediaOutputDialogTest.java</t>
  </si>
  <si>
    <t>tests/tests/media/decoder/src/android/media/decoder/cts/HDRDecoderTest.java</t>
  </si>
  <si>
    <t>tests/media/src/android/mediav2/cts/DecoderHDRInfoTest.java</t>
  </si>
  <si>
    <t>hostsidetests/security/src/android/security/cts/SeamendcHostTest.java</t>
  </si>
  <si>
    <t>hostsidetests/appcompat/compatchanges/src/com/android/cts/appcompat/CompatChangesValidConfigTest.java</t>
  </si>
  <si>
    <t>tests/uwb/src/android/uwb/cts/RangingSessionTest.java</t>
  </si>
  <si>
    <t>tests/uwb/src/android/uwb/cts/SessionHandleTest.java</t>
  </si>
  <si>
    <t>tests/tests/media/misc/src/android/media/misc/cts/MediaSessionTest.java</t>
  </si>
  <si>
    <t>tests/ondevicepersonalization/src/android/ondevicepersonalization/cts/OnDevicePersonalizationServiceTest.java</t>
  </si>
  <si>
    <t>tests/tests/car/src/android/car/cts/CarServiceHelperServiceUpdatableTest.java</t>
  </si>
  <si>
    <t>tests/tests/keystore/hostside/src/android/keystore/cts/devicepolicy/DeviceAndProfileOwnerTest.java</t>
  </si>
  <si>
    <t>tests/tests/keystore/hostside/src/android/keystore/cts/devicepolicy/MixedDeviceOwnerTest.java</t>
  </si>
  <si>
    <t>tests/cloudsearch/src/android/cloudsearch/cts/SearchRequestTest.java</t>
  </si>
  <si>
    <t>tests/cloudsearch/src/android/cloudsearch/cts/SearchResponseTest.java</t>
  </si>
  <si>
    <t>tests/cloudsearch/src/android/cloudsearch/cts/SearchResultTest.java</t>
  </si>
  <si>
    <t>tests/autofillservice/src/android/autofillservice/cts/saveui/AutofillSaveDialogHeightTest.java</t>
  </si>
  <si>
    <t>hostsidetests/incident/apps/batterystatsapp/src/com/android/server/cts/device/batterystats/BatteryStatsRadioPowerStateTest.java</t>
  </si>
  <si>
    <t>tests/tests/bluetooth/src/android/bluetooth/cts/BluetoothA2dpSinkTest.java</t>
  </si>
  <si>
    <t>tests/tests/bluetooth/src/android/bluetooth/cts/BluetoothA2dpTest.java</t>
  </si>
  <si>
    <t>tests/tests/bluetooth/src/android/bluetooth/cts/BluetoothCsipSetCoordinatorTest.java</t>
  </si>
  <si>
    <t>tests/tests/bluetooth/src/android/bluetooth/cts/BluetoothHeadsetClientTest.java</t>
  </si>
  <si>
    <t>tests/tests/bluetooth/src/android/bluetooth/cts/BluetoothHeadsetTest.java</t>
  </si>
  <si>
    <t>tests/tests/bluetooth/src/android/bluetooth/cts/BluetoothHidDeviceTest.java</t>
  </si>
  <si>
    <t>tests/tests/bluetooth/src/android/bluetooth/cts/BluetoothHidHostTest.java</t>
  </si>
  <si>
    <t>tests/tests/bluetooth/src/android/bluetooth/cts/BluetoothLeBroadcastTest.java</t>
  </si>
  <si>
    <t>tests/tests/bluetooth/src/android/bluetooth/cts/BluetoothMapClientTest.java</t>
  </si>
  <si>
    <t>tests/tests/bluetooth/src/android/bluetooth/cts/BluetoothMapTest.java</t>
  </si>
  <si>
    <t>tests/tests/bluetooth/src/android/bluetooth/cts/BluetoothPanTest.java</t>
  </si>
  <si>
    <t>tests/tests/bluetooth/src/android/bluetooth/cts/BluetoothPbapClientTest.java</t>
  </si>
  <si>
    <t>tests/tests/bluetooth/src/android/bluetooth/cts/BluetoothPbapTest.java</t>
  </si>
  <si>
    <t>tests/tests/bluetooth/src/android/bluetooth/cts/BluetoothSapTest.java</t>
  </si>
  <si>
    <t>tests/tests/bluetooth/src/android/bluetooth/cts/BluetoothVolumeControlTest.java</t>
  </si>
  <si>
    <t>tests/tests/bluetooth/src/android/bluetooth/cts/HearingAidProfileTest.java</t>
  </si>
  <si>
    <t>tests/media/src/android/mediav2/cts/CodecEncoderTest.java</t>
  </si>
  <si>
    <t>tests/uwb/src/android/uwb/cts/AngleOfArrivalMeasurementTest.java</t>
  </si>
  <si>
    <t>tests/uwb/src/android/uwb/cts/DistanceMeasurementTest.java</t>
  </si>
  <si>
    <t>tests/uwb/src/android/uwb/cts/RangingMeasurementTest.java</t>
  </si>
  <si>
    <t>tests/uwb/src/android/uwb/cts/RangingReportTest.java</t>
  </si>
  <si>
    <t>tests/uwb/src/android/uwb/cts/UwbAddressTest.java</t>
  </si>
  <si>
    <t>tests/uwb/src/android/uwb/cts/UwbFrameworkInitializerTest.java</t>
  </si>
  <si>
    <t>hostsidetests/devicepolicy/app/DeviceAndProfileOwner/src/com/android/cts/deviceandprofileowner/ApplicationHiddenParentTest.java</t>
  </si>
  <si>
    <t>hostsidetests/devicepolicy/app/DeviceAndProfileOwner/src/com/android/cts/deviceandprofileowner/TimeManagementTest.java</t>
  </si>
  <si>
    <t>hostsidetests/devicepolicy/app/ManagedProfile/src/com/android/cts/managedprofile/ParentProfileTest.java</t>
  </si>
  <si>
    <t>hostsidetests/devicepolicy/app/PasswordComplexity/src/com.android.cts.passwordcomplexity/GetPasswordComplexityTest.java</t>
  </si>
  <si>
    <t>hostsidetests/devicepolicy/src/com/android/cts/devicepolicy/LauncherAppsProfileTest.java</t>
  </si>
  <si>
    <t>hostsidetests/devicepolicy/src/com/android/cts/devicepolicy/LimitAppIconHidingTest.java</t>
  </si>
  <si>
    <t>hostsidetests/devicepolicy/app/ManagedProfile/src/com/android/cts/managedprofile/CrossProfileIntentFilterTest.java</t>
  </si>
  <si>
    <t>hostsidetests/devicepolicy/app/ManagedProfile/src/com/android/cts/managedprofile/PrimaryUserTest.java</t>
  </si>
  <si>
    <t>tests/tests/hardware/src/android/hardware/input/cts/tests/SonyDualSenseEdgeBluetoothTest.java</t>
  </si>
  <si>
    <t>tests/tests/hardware/src/android/hardware/input/cts/tests/SonyDualSenseEdgeUsbTest.java</t>
  </si>
  <si>
    <t>tests/tests/location/src/android/location/cts/GeocoderTest.java</t>
  </si>
  <si>
    <t>BundleTest.java</t>
  </si>
  <si>
    <t>NoLocationPermissionTest.java</t>
  </si>
  <si>
    <t>NetworkInfoTest.java</t>
  </si>
  <si>
    <t>TextUtilsTest.java</t>
  </si>
  <si>
    <t>PaintTest.java</t>
  </si>
  <si>
    <t>DatePickerDialogTest.java</t>
  </si>
  <si>
    <t>ContentProviderTest.java</t>
  </si>
  <si>
    <t>PathMeasureTest.java</t>
  </si>
  <si>
    <t>PackageManagerTest.java</t>
  </si>
  <si>
    <t>PackageManagerRequiringPermissionsTest.java</t>
  </si>
  <si>
    <t>ChronometerTest.java</t>
  </si>
  <si>
    <t>NoReadWritePermissionTest.java</t>
  </si>
  <si>
    <t>BitmapTest.java</t>
  </si>
  <si>
    <t>CameraTest.java</t>
  </si>
  <si>
    <t>CanvasTest.java</t>
  </si>
  <si>
    <t>PathEffectTest.java</t>
  </si>
  <si>
    <t>PathTest.java</t>
  </si>
  <si>
    <t>RegionTest.java</t>
  </si>
  <si>
    <t>LocationManagerTest.java</t>
  </si>
  <si>
    <t>DrawableTest.java</t>
  </si>
  <si>
    <t>GradientDrawableTest.java</t>
  </si>
  <si>
    <t>ShapeDrawableTest.java</t>
  </si>
  <si>
    <t>NoAudioPermissionTest.java</t>
  </si>
  <si>
    <t>IntentTest.java</t>
  </si>
  <si>
    <t>SyncContextTest.java</t>
  </si>
  <si>
    <t>SyncResultTest.java</t>
  </si>
  <si>
    <t>SyncStatsTest.java</t>
  </si>
  <si>
    <t>TimePickerTest.java</t>
  </si>
  <si>
    <t>ResourcesTest.java</t>
  </si>
  <si>
    <t>EventLogTagsTest.java</t>
  </si>
  <si>
    <t>WebViewClientTest.java</t>
  </si>
  <si>
    <t>KeyEventTest.java</t>
  </si>
  <si>
    <t>SQLiteProgramTest.java</t>
  </si>
  <si>
    <t>SearchManagerTest.java</t>
  </si>
  <si>
    <t>ViewStubTest.java</t>
  </si>
  <si>
    <t>RatingBarTest.java</t>
  </si>
  <si>
    <t>GalleryTest.java</t>
  </si>
  <si>
    <t>AutoCompleteTextViewTest.java</t>
  </si>
  <si>
    <t>AlertDialog_BuilderTest.java</t>
  </si>
  <si>
    <t>MipmapDrawableTest.java</t>
  </si>
  <si>
    <t>DatabaseCursorTest.java</t>
  </si>
  <si>
    <t>ActivityGroupTest.java</t>
  </si>
  <si>
    <t>LifecycleTest.java</t>
  </si>
  <si>
    <t>SQLiteCursorTest.java</t>
  </si>
  <si>
    <t>SQLiteDatabaseTest.java</t>
  </si>
  <si>
    <t>TimeUtilsTest.java</t>
  </si>
  <si>
    <t>TestListActivityTest.java</t>
  </si>
  <si>
    <t>AccessPermissionWithDiffSigTest.java</t>
  </si>
  <si>
    <t>NoActivityRelatedPermissionTest.java</t>
  </si>
  <si>
    <t>DevicePowerPermissionTest.java</t>
  </si>
  <si>
    <t>WebViewTest.java</t>
  </si>
  <si>
    <t>DialogTest.java</t>
  </si>
  <si>
    <t>ViewTest.java</t>
  </si>
  <si>
    <t>ConnectivityManagerTest.java</t>
  </si>
  <si>
    <t>Test_invoke_interface.java</t>
  </si>
  <si>
    <t>Test_invoke_interface_range.java</t>
  </si>
  <si>
    <t>Test_invoke_super.java</t>
  </si>
  <si>
    <t>Test_invoke_super_range.java</t>
  </si>
  <si>
    <t>Test_invoke_virtual.java</t>
  </si>
  <si>
    <t>Test_invoke_virtual_range.java</t>
  </si>
  <si>
    <t>ProfileFeaturesTest.java</t>
  </si>
  <si>
    <t>BroadcastReceiverTest.java</t>
  </si>
  <si>
    <t>PorterDuff_ModeTest.java</t>
  </si>
  <si>
    <t>SensorManagerTest.java</t>
  </si>
  <si>
    <t>AssetFileDescriptor_AutoCloseInputStreamTest.java</t>
  </si>
  <si>
    <t>Settings_SecureTest.java</t>
  </si>
  <si>
    <t>SurfaceTest.java</t>
  </si>
  <si>
    <t>ContextWrapperTest.java</t>
  </si>
  <si>
    <t>MultiTapKeyListenerTest.java</t>
  </si>
  <si>
    <t>QwertyKeyListenerTest.java</t>
  </si>
  <si>
    <t>CacheManagerTest.java</t>
  </si>
  <si>
    <t>LayoutTest.java</t>
  </si>
  <si>
    <t>ListeningPortsTest.java</t>
  </si>
  <si>
    <t>PhoneNumberUtilsTest.java</t>
  </si>
  <si>
    <t>WebChromeClientTest.java</t>
  </si>
  <si>
    <t>GridViewTest.java</t>
  </si>
  <si>
    <t>TrafficStatsTest.java</t>
  </si>
  <si>
    <t>InsetDrawableTest.java</t>
  </si>
  <si>
    <t>WebHistoryItemTest.java</t>
  </si>
  <si>
    <t>AbsListViewTest.java</t>
  </si>
  <si>
    <t>ArrowKeyMovementMethodTest.java</t>
  </si>
  <si>
    <t>ProgressBarTest.java</t>
  </si>
  <si>
    <t>AlarmManagerTest.java</t>
  </si>
  <si>
    <t>ServiceTest.java</t>
  </si>
  <si>
    <t>InstrumentationTest.java</t>
  </si>
  <si>
    <t>ViewGroupTest.java</t>
  </si>
  <si>
    <t>WindowTest.java</t>
  </si>
  <si>
    <t>NoCallPermissionTest.java</t>
  </si>
  <si>
    <t>AudioManagerTest.java</t>
  </si>
  <si>
    <t>CtsSetupTest.java</t>
  </si>
  <si>
    <t>ListActivityTest.java</t>
  </si>
  <si>
    <t>RadialGradientTest.java</t>
  </si>
  <si>
    <t>FontTest.java</t>
  </si>
  <si>
    <t>TouchDelegateTest.java</t>
  </si>
  <si>
    <t>MediaControllerTest.java</t>
  </si>
  <si>
    <t>WebIconDatabaseTest.java</t>
  </si>
  <si>
    <t>TableLayoutTest.java</t>
  </si>
  <si>
    <t>VideoViewTest.java</t>
  </si>
  <si>
    <t>Test.java</t>
  </si>
  <si>
    <t>GestureDetector_SimpleOnGestureListenerTest.java</t>
  </si>
  <si>
    <t>CtsVerifierActivityTest.java</t>
  </si>
  <si>
    <t>TestResultsProviderTest.java</t>
  </si>
  <si>
    <t>FeatureSummaryActivityTest.java</t>
  </si>
  <si>
    <t>FieldPackerTest.java</t>
  </si>
  <si>
    <t>WebView_HitTestResultTest.java</t>
  </si>
  <si>
    <t>TextToSpeechServiceTest.java</t>
  </si>
  <si>
    <t>SystemFeaturesTest.java</t>
  </si>
  <si>
    <t>Shader_TileModeTest.java</t>
  </si>
  <si>
    <t>ThemeTest.java</t>
  </si>
  <si>
    <t>WebDriverTest.java</t>
  </si>
  <si>
    <t>MediaPlayerTest.java</t>
  </si>
  <si>
    <t>SslErrorHandlerTest.java</t>
  </si>
  <si>
    <t>Test_add_double.java</t>
  </si>
  <si>
    <t>Test_add_double_2addr.java</t>
  </si>
  <si>
    <t>Test_add_float.java</t>
  </si>
  <si>
    <t>Test_add_float_2addr.java</t>
  </si>
  <si>
    <t>Test_add_int.java</t>
  </si>
  <si>
    <t>Test_add_int_2addr.java</t>
  </si>
  <si>
    <t>Test_add_int_lit16.java</t>
  </si>
  <si>
    <t>Test_add_int_lit8.java</t>
  </si>
  <si>
    <t>Test_add_long.java</t>
  </si>
  <si>
    <t>Test_add_long_2addr.java</t>
  </si>
  <si>
    <t>Test_aget.java</t>
  </si>
  <si>
    <t>Test_aget_boolean.java</t>
  </si>
  <si>
    <t>Test_aget_byte.java</t>
  </si>
  <si>
    <t>Test_aget_char.java</t>
  </si>
  <si>
    <t>Test_aget_object.java</t>
  </si>
  <si>
    <t>Test_aget_short.java</t>
  </si>
  <si>
    <t>Test_aget_wide.java</t>
  </si>
  <si>
    <t>Test_and_int.java</t>
  </si>
  <si>
    <t>Test_and_int_2addr.java</t>
  </si>
  <si>
    <t>Test_and_int_lit16.java</t>
  </si>
  <si>
    <t>Test_and_int_lit8.java</t>
  </si>
  <si>
    <t>Test_and_long.java</t>
  </si>
  <si>
    <t>Test_and_long_2addr.java</t>
  </si>
  <si>
    <t>Test_aput.java</t>
  </si>
  <si>
    <t>Test_aput_boolean.java</t>
  </si>
  <si>
    <t>Test_aput_byte.java</t>
  </si>
  <si>
    <t>Test_aput_char.java</t>
  </si>
  <si>
    <t>Test_aput_object.java</t>
  </si>
  <si>
    <t>Test_aput_short.java</t>
  </si>
  <si>
    <t>Test_aput_wide.java</t>
  </si>
  <si>
    <t>Test_cmp_long.java</t>
  </si>
  <si>
    <t>Test_cmpg_double.java</t>
  </si>
  <si>
    <t>Test_cmpg_float.java</t>
  </si>
  <si>
    <t>Test_cmpl_double.java</t>
  </si>
  <si>
    <t>Test_cmpl_float.java</t>
  </si>
  <si>
    <t>Test_div_double.java</t>
  </si>
  <si>
    <t>Test_div_double_2addr.java</t>
  </si>
  <si>
    <t>Test_div_float.java</t>
  </si>
  <si>
    <t>Test_div_float_2addr.java</t>
  </si>
  <si>
    <t>Test_div_int.java</t>
  </si>
  <si>
    <t>Test_div_int_2addr.java</t>
  </si>
  <si>
    <t>Test_div_int_lit16.java</t>
  </si>
  <si>
    <t>Test_div_int_lit8.java</t>
  </si>
  <si>
    <t>Test_div_long.java</t>
  </si>
  <si>
    <t>Test_div_long_2addr.java</t>
  </si>
  <si>
    <t>Test_double_to_float.java</t>
  </si>
  <si>
    <t>Test_double_to_int.java</t>
  </si>
  <si>
    <t>Test_double_to_long.java</t>
  </si>
  <si>
    <t>Test_float_to_double.java</t>
  </si>
  <si>
    <t>Test_float_to_int.java</t>
  </si>
  <si>
    <t>Test_float_to_long.java</t>
  </si>
  <si>
    <t>Test_if_eq.java</t>
  </si>
  <si>
    <t>Test_if_eqz.java</t>
  </si>
  <si>
    <t>Test_if_ge.java</t>
  </si>
  <si>
    <t>Test_if_gez.java</t>
  </si>
  <si>
    <t>Test_if_gt.java</t>
  </si>
  <si>
    <t>Test_if_gtz.java</t>
  </si>
  <si>
    <t>Test_if_le.java</t>
  </si>
  <si>
    <t>Test_if_lez.java</t>
  </si>
  <si>
    <t>Test_if_lt.java</t>
  </si>
  <si>
    <t>Test_if_ltz.java</t>
  </si>
  <si>
    <t>Test_if_ne.java</t>
  </si>
  <si>
    <t>Test_if_nez.java</t>
  </si>
  <si>
    <t>Test_int_to_byte.java</t>
  </si>
  <si>
    <t>Test_int_to_char.java</t>
  </si>
  <si>
    <t>Test_int_to_double.java</t>
  </si>
  <si>
    <t>Test_int_to_float.java</t>
  </si>
  <si>
    <t>Test_int_to_long.java</t>
  </si>
  <si>
    <t>Test_int_to_short.java</t>
  </si>
  <si>
    <t>Test_iput.java</t>
  </si>
  <si>
    <t>Test_long_to_double.java</t>
  </si>
  <si>
    <t>Test_long_to_float.java</t>
  </si>
  <si>
    <t>Test_long_to_int.java</t>
  </si>
  <si>
    <t>Test_mul_double.java</t>
  </si>
  <si>
    <t>Test_mul_double_2addr.java</t>
  </si>
  <si>
    <t>Test_mul_float.java</t>
  </si>
  <si>
    <t>Test_mul_float_2addr.java</t>
  </si>
  <si>
    <t>Test_mul_int.java</t>
  </si>
  <si>
    <t>Test_mul_int_2addr.java</t>
  </si>
  <si>
    <t>Test_mul_int_lit16.java</t>
  </si>
  <si>
    <t>Test_mul_int_lit8.java</t>
  </si>
  <si>
    <t>Test_mul_long.java</t>
  </si>
  <si>
    <t>Test_mul_long_2addr.java</t>
  </si>
  <si>
    <t>Test_neg_double.java</t>
  </si>
  <si>
    <t>Test_neg_float.java</t>
  </si>
  <si>
    <t>Test_neg_int.java</t>
  </si>
  <si>
    <t>Test_neg_long.java</t>
  </si>
  <si>
    <t>Test_not_int.java</t>
  </si>
  <si>
    <t>Test_not_long.java</t>
  </si>
  <si>
    <t>Test_or_int.java</t>
  </si>
  <si>
    <t>Test_or_int_2addr.java</t>
  </si>
  <si>
    <t>Test_or_int_lit16.java</t>
  </si>
  <si>
    <t>Test_or_int_lit8.java</t>
  </si>
  <si>
    <t>Test_or_long.java</t>
  </si>
  <si>
    <t>Test_or_long_2addr.java</t>
  </si>
  <si>
    <t>Test_packed_switch.java</t>
  </si>
  <si>
    <t>Test_rem_double.java</t>
  </si>
  <si>
    <t>Test_rem_double_2addr.java</t>
  </si>
  <si>
    <t>Test_rem_float.java</t>
  </si>
  <si>
    <t>Test_rem_float_2addr.java</t>
  </si>
  <si>
    <t>Test_rem_int.java</t>
  </si>
  <si>
    <t>Test_rem_int_2addr.java</t>
  </si>
  <si>
    <t>Test_rem_int_lit16.java</t>
  </si>
  <si>
    <t>Test_rem_int_lit8.java</t>
  </si>
  <si>
    <t>Test_rem_long.java</t>
  </si>
  <si>
    <t>Test_rem_long_2addr.java</t>
  </si>
  <si>
    <t>Test_rsub_int.java</t>
  </si>
  <si>
    <t>Test_rsub_int_lit8.java</t>
  </si>
  <si>
    <t>Test_shl_int.java</t>
  </si>
  <si>
    <t>Test_shl_int_2addr.java</t>
  </si>
  <si>
    <t>Test_shl_int_lit8.java</t>
  </si>
  <si>
    <t>Test_shl_long.java</t>
  </si>
  <si>
    <t>Test_shl_long_2addr.java</t>
  </si>
  <si>
    <t>Test_shr_int.java</t>
  </si>
  <si>
    <t>Test_shr_int_2addr.java</t>
  </si>
  <si>
    <t>Test_shr_int_lit8.java</t>
  </si>
  <si>
    <t>Test_shr_long.java</t>
  </si>
  <si>
    <t>Test_shr_long_2addr.java</t>
  </si>
  <si>
    <t>Test_sparse_switch.java</t>
  </si>
  <si>
    <t>Test_sput.java</t>
  </si>
  <si>
    <t>Test_sub_double.java</t>
  </si>
  <si>
    <t>Test_sub_double_2addr.java</t>
  </si>
  <si>
    <t>Test_sub_float.java</t>
  </si>
  <si>
    <t>Test_sub_float_2addr.java</t>
  </si>
  <si>
    <t>Test_sub_int.java</t>
  </si>
  <si>
    <t>Test_sub_int_2addr.java</t>
  </si>
  <si>
    <t>Test_sub_long.java</t>
  </si>
  <si>
    <t>Test_sub_long_2addr.java</t>
  </si>
  <si>
    <t>Test_ushr_int.java</t>
  </si>
  <si>
    <t>Test_ushr_int_2addr.java</t>
  </si>
  <si>
    <t>Test_ushr_int_lit8.java</t>
  </si>
  <si>
    <t>Test_ushr_long.java</t>
  </si>
  <si>
    <t>Test_ushr_long_2addr.java</t>
  </si>
  <si>
    <t>Test_xor_int.java</t>
  </si>
  <si>
    <t>Test_xor_int_2addr.java</t>
  </si>
  <si>
    <t>Test_xor_int_lit16.java</t>
  </si>
  <si>
    <t>Test_xor_int_lit8.java</t>
  </si>
  <si>
    <t>Test_xor_long.java</t>
  </si>
  <si>
    <t>Test_xor_long_2addr.java</t>
  </si>
  <si>
    <t>AvailableIntentsTest.java</t>
  </si>
  <si>
    <t>AbstractCursorTest.java</t>
  </si>
  <si>
    <t>MultiAppStartupTest.java</t>
  </si>
  <si>
    <t>CommandParserTest.java</t>
  </si>
  <si>
    <t>TestPlanBuilderTests.java</t>
  </si>
  <si>
    <t>TestSessionBuilderTests.java</t>
  </si>
  <si>
    <t>TestSessionLogBuilderTests.java</t>
  </si>
  <si>
    <t>Test_pargsreturn.java</t>
  </si>
  <si>
    <t>Test_aaload.java</t>
  </si>
  <si>
    <t>Test_aastore.java</t>
  </si>
  <si>
    <t>Test_aconst_null.java</t>
  </si>
  <si>
    <t>Test_aload.java</t>
  </si>
  <si>
    <t>Test_aload_0.java</t>
  </si>
  <si>
    <t>Test_aload_1.java</t>
  </si>
  <si>
    <t>Test_aload_2.java</t>
  </si>
  <si>
    <t>Test_aload_3.java</t>
  </si>
  <si>
    <t>Test_anewarray.java</t>
  </si>
  <si>
    <t>Test_areturn.java</t>
  </si>
  <si>
    <t>Test_arraylength.java</t>
  </si>
  <si>
    <t>Test_astore.java</t>
  </si>
  <si>
    <t>Test_astore_0.java</t>
  </si>
  <si>
    <t>Test_astore_1.java</t>
  </si>
  <si>
    <t>Test_astore_2.java</t>
  </si>
  <si>
    <t>Test_astore_3.java</t>
  </si>
  <si>
    <t>Test_athrow.java</t>
  </si>
  <si>
    <t>Test_baload.java</t>
  </si>
  <si>
    <t>Test_bastore.java</t>
  </si>
  <si>
    <t>Test_bipush.java</t>
  </si>
  <si>
    <t>Test_caload.java</t>
  </si>
  <si>
    <t>Test_castore.java</t>
  </si>
  <si>
    <t>Test_checkcast.java</t>
  </si>
  <si>
    <t>Test_d2f.java</t>
  </si>
  <si>
    <t>Test_d2i.java</t>
  </si>
  <si>
    <t>Test_d2l.java</t>
  </si>
  <si>
    <t>Test_dadd.java</t>
  </si>
  <si>
    <t>Test_daload.java</t>
  </si>
  <si>
    <t>Test_dastore.java</t>
  </si>
  <si>
    <t>Test_dcmpg.java</t>
  </si>
  <si>
    <t>Test_dcmpl.java</t>
  </si>
  <si>
    <t>Test_dconst_0.java</t>
  </si>
  <si>
    <t>Test_dconst_1.java</t>
  </si>
  <si>
    <t>Test_ddiv.java</t>
  </si>
  <si>
    <t>Test_dload.java</t>
  </si>
  <si>
    <t>Test_dload_0.java</t>
  </si>
  <si>
    <t>Test_dload_1.java</t>
  </si>
  <si>
    <t>Test_dload_2.java</t>
  </si>
  <si>
    <t>Test_dload_3.java</t>
  </si>
  <si>
    <t>Test_dmul.java</t>
  </si>
  <si>
    <t>Test_dneg.java</t>
  </si>
  <si>
    <t>Test_drem.java</t>
  </si>
  <si>
    <t>Test_dreturn.java</t>
  </si>
  <si>
    <t>Test_dstore.java</t>
  </si>
  <si>
    <t>Test_dstore_0.java</t>
  </si>
  <si>
    <t>Test_dstore_1.java</t>
  </si>
  <si>
    <t>Test_dstore_2.java</t>
  </si>
  <si>
    <t>Test_dstore_3.java</t>
  </si>
  <si>
    <t>Test_dsub.java</t>
  </si>
  <si>
    <t>Test_dup.java</t>
  </si>
  <si>
    <t>Test_dup2.java</t>
  </si>
  <si>
    <t>Test_dup2_x1.java</t>
  </si>
  <si>
    <t>Test_dup2_x2.java</t>
  </si>
  <si>
    <t>Test_dup_x1.java</t>
  </si>
  <si>
    <t>Test_dup_x2.java</t>
  </si>
  <si>
    <t>Test_f2d.java</t>
  </si>
  <si>
    <t>Test_f2i.java</t>
  </si>
  <si>
    <t>Test_f2l.java</t>
  </si>
  <si>
    <t>Test_fadd.java</t>
  </si>
  <si>
    <t>Test_faload.java</t>
  </si>
  <si>
    <t>Test_fastore.java</t>
  </si>
  <si>
    <t>Test_fcmpg.java</t>
  </si>
  <si>
    <t>Test_fcmpl.java</t>
  </si>
  <si>
    <t>Test_fconst_0.java</t>
  </si>
  <si>
    <t>Test_fconst_1.java</t>
  </si>
  <si>
    <t>Test_fconst_2.java</t>
  </si>
  <si>
    <t>Test_fdiv.java</t>
  </si>
  <si>
    <t>Test_fload.java</t>
  </si>
  <si>
    <t>Test_fload_0.java</t>
  </si>
  <si>
    <t>Test_fload_1.java</t>
  </si>
  <si>
    <t>Test_fload_2.java</t>
  </si>
  <si>
    <t>Test_fload_3.java</t>
  </si>
  <si>
    <t>Test_fmul.java</t>
  </si>
  <si>
    <t>Test_fneg.java</t>
  </si>
  <si>
    <t>Test_frem.java</t>
  </si>
  <si>
    <t>Test_freturn.java</t>
  </si>
  <si>
    <t>Test_fstore.java</t>
  </si>
  <si>
    <t>Test_fstore_0.java</t>
  </si>
  <si>
    <t>Test_fstore_1.java</t>
  </si>
  <si>
    <t>Test_fstore_2.java</t>
  </si>
  <si>
    <t>Test_fstore_3.java</t>
  </si>
  <si>
    <t>Test_fsub.java</t>
  </si>
  <si>
    <t>Test_getfield.java</t>
  </si>
  <si>
    <t>Test_getstatic.java</t>
  </si>
  <si>
    <t>Test_goto_w.java</t>
  </si>
  <si>
    <t>Test_i2b.java</t>
  </si>
  <si>
    <t>Test_i2c.java</t>
  </si>
  <si>
    <t>Test_i2d.java</t>
  </si>
  <si>
    <t>Test_i2f.java</t>
  </si>
  <si>
    <t>Test_i2l.java</t>
  </si>
  <si>
    <t>Test_i2s.java</t>
  </si>
  <si>
    <t>Test_iadd.java</t>
  </si>
  <si>
    <t>Test_iaload.java</t>
  </si>
  <si>
    <t>Test_iand.java</t>
  </si>
  <si>
    <t>Test_iastore.java</t>
  </si>
  <si>
    <t>Test_iconst_0.java</t>
  </si>
  <si>
    <t>Test_iconst_1.java</t>
  </si>
  <si>
    <t>Test_iconst_2.java</t>
  </si>
  <si>
    <t>Test_iconst_3.java</t>
  </si>
  <si>
    <t>Test_iconst_4.java</t>
  </si>
  <si>
    <t>Test_iconst_5.java</t>
  </si>
  <si>
    <t>Test_iconst_m1.java</t>
  </si>
  <si>
    <t>Test_idiv.java</t>
  </si>
  <si>
    <t>Test_if_acmpeq.java</t>
  </si>
  <si>
    <t>Test_if_acmpne.java</t>
  </si>
  <si>
    <t>Test_if_icmpeq.java</t>
  </si>
  <si>
    <t>Test_if_icmpge.java</t>
  </si>
  <si>
    <t>Test_if_icmpgt.java</t>
  </si>
  <si>
    <t>Test_if_icmple.java</t>
  </si>
  <si>
    <t>Test_if_icmplt.java</t>
  </si>
  <si>
    <t>Test_if_icmpne.java</t>
  </si>
  <si>
    <t>Test_ifeq.java</t>
  </si>
  <si>
    <t>Test_ifge.java</t>
  </si>
  <si>
    <t>Test_ifgt.java</t>
  </si>
  <si>
    <t>Test_ifle.java</t>
  </si>
  <si>
    <t>Test_iflt.java</t>
  </si>
  <si>
    <t>Test_ifne.java</t>
  </si>
  <si>
    <t>Test_ifnonnull.java</t>
  </si>
  <si>
    <t>Test_ifnull.java</t>
  </si>
  <si>
    <t>Test_iinc.java</t>
  </si>
  <si>
    <t>Test_iload.java</t>
  </si>
  <si>
    <t>Test_iload_0.java</t>
  </si>
  <si>
    <t>Test_iload_1.java</t>
  </si>
  <si>
    <t>Test_iload_2.java</t>
  </si>
  <si>
    <t>Test_iload_3.java</t>
  </si>
  <si>
    <t>Test_imul.java</t>
  </si>
  <si>
    <t>Test_ineg.java</t>
  </si>
  <si>
    <t>Test_invokeinterface.java</t>
  </si>
  <si>
    <t>Test_invokespecial.java</t>
  </si>
  <si>
    <t>Test_invokestatic.java</t>
  </si>
  <si>
    <t>Test_invokevirtual.java</t>
  </si>
  <si>
    <t>Test_ior.java</t>
  </si>
  <si>
    <t>Test_irem.java</t>
  </si>
  <si>
    <t>Test_ireturn.java</t>
  </si>
  <si>
    <t>Test_ishl.java</t>
  </si>
  <si>
    <t>Test_ishr.java</t>
  </si>
  <si>
    <t>Test_istore.java</t>
  </si>
  <si>
    <t>Test_istore_0.java</t>
  </si>
  <si>
    <t>Test_istore_1.java</t>
  </si>
  <si>
    <t>Test_istore_2.java</t>
  </si>
  <si>
    <t>Test_istore_3.java</t>
  </si>
  <si>
    <t>Test_isub.java</t>
  </si>
  <si>
    <t>Test_iushr.java</t>
  </si>
  <si>
    <t>Test_ixor.java</t>
  </si>
  <si>
    <t>Test_jsr.java</t>
  </si>
  <si>
    <t>Test_jsr_w.java</t>
  </si>
  <si>
    <t>Test_l2d.java</t>
  </si>
  <si>
    <t>Test_l2f.java</t>
  </si>
  <si>
    <t>Test_l2i.java</t>
  </si>
  <si>
    <t>Test_ladd.java</t>
  </si>
  <si>
    <t>Test_laload.java</t>
  </si>
  <si>
    <t>Test_land.java</t>
  </si>
  <si>
    <t>Test_lastore.java</t>
  </si>
  <si>
    <t>Test_lcmp.java</t>
  </si>
  <si>
    <t>Test_lconst_0.java</t>
  </si>
  <si>
    <t>Test_lconst_1.java</t>
  </si>
  <si>
    <t>Test_ldc.java</t>
  </si>
  <si>
    <t>Test_ldc2_w.java</t>
  </si>
  <si>
    <t>Test_ldc_w.java</t>
  </si>
  <si>
    <t>Test_ldiv.java</t>
  </si>
  <si>
    <t>Test_lload.java</t>
  </si>
  <si>
    <t>Test_lload_0.java</t>
  </si>
  <si>
    <t>Test_lload_1.java</t>
  </si>
  <si>
    <t>Test_lload_2.java</t>
  </si>
  <si>
    <t>Test_lload_3.java</t>
  </si>
  <si>
    <t>Test_lmul.java</t>
  </si>
  <si>
    <t>Test_lneg.java</t>
  </si>
  <si>
    <t>Test_lookupswitch.java</t>
  </si>
  <si>
    <t>Test_lor.java</t>
  </si>
  <si>
    <t>Test_lrem.java</t>
  </si>
  <si>
    <t>Test_lreturn.java</t>
  </si>
  <si>
    <t>Test_lshl.java</t>
  </si>
  <si>
    <t>Test_lshr.java</t>
  </si>
  <si>
    <t>Test_lstore.java</t>
  </si>
  <si>
    <t>Test_lstore_0.java</t>
  </si>
  <si>
    <t>Test_lstore_1.java</t>
  </si>
  <si>
    <t>Test_lstore_2.java</t>
  </si>
  <si>
    <t>Test_lstore_3.java</t>
  </si>
  <si>
    <t>Test_lsub.java</t>
  </si>
  <si>
    <t>Test_lushr.java</t>
  </si>
  <si>
    <t>Test_lxor.java</t>
  </si>
  <si>
    <t>Test_monitorenter.java</t>
  </si>
  <si>
    <t>Test_monitorexit.java</t>
  </si>
  <si>
    <t>Test_multianewarray.java</t>
  </si>
  <si>
    <t>Test_newarray.java</t>
  </si>
  <si>
    <t>Test_nop.java</t>
  </si>
  <si>
    <t>Test_opc_goto.java</t>
  </si>
  <si>
    <t>Test_opc_instanceof.java</t>
  </si>
  <si>
    <t>Test_opc_new.java</t>
  </si>
  <si>
    <t>Test_opc_return.java</t>
  </si>
  <si>
    <t>Test_pop.java</t>
  </si>
  <si>
    <t>Test_pop2.java</t>
  </si>
  <si>
    <t>Test_putfield.java</t>
  </si>
  <si>
    <t>Test_putstatic.java</t>
  </si>
  <si>
    <t>Test_ret.java</t>
  </si>
  <si>
    <t>Test_saload.java</t>
  </si>
  <si>
    <t>Test_sastore.java</t>
  </si>
  <si>
    <t>Test_sipush.java</t>
  </si>
  <si>
    <t>Test_swap.java</t>
  </si>
  <si>
    <t>Test_tableswitch.java</t>
  </si>
  <si>
    <t>Test_wide.java</t>
  </si>
  <si>
    <t>Test_t481_1.java</t>
  </si>
  <si>
    <t>Test_t481_2.java</t>
  </si>
  <si>
    <t>Test_t481_3.java</t>
  </si>
  <si>
    <t>Test_t481_4.java</t>
  </si>
  <si>
    <t>Test_t481_6.java</t>
  </si>
  <si>
    <t>Test_t482_10.java</t>
  </si>
  <si>
    <t>Test_t482_11.java</t>
  </si>
  <si>
    <t>Test_t482_14.java</t>
  </si>
  <si>
    <t>Test_t482_2.java</t>
  </si>
  <si>
    <t>Test_t482_20.java</t>
  </si>
  <si>
    <t>Test_t482_3.java</t>
  </si>
  <si>
    <t>Test_t482_4.java</t>
  </si>
  <si>
    <t>Test_t482_8.java</t>
  </si>
  <si>
    <t>Test_t482_9.java</t>
  </si>
  <si>
    <t>MediaPlayerStressTest.java</t>
  </si>
  <si>
    <t>MediaRecorderStressTest.java</t>
  </si>
  <si>
    <t>DebugTest.java</t>
  </si>
  <si>
    <t>Test_f1.java</t>
  </si>
  <si>
    <t>Test_array_length.java</t>
  </si>
  <si>
    <t>Test_check_cast.java</t>
  </si>
  <si>
    <t>Test_const_16.java</t>
  </si>
  <si>
    <t>Test_const_4.java</t>
  </si>
  <si>
    <t>Test_const_class.java</t>
  </si>
  <si>
    <t>Test_const_high16.java</t>
  </si>
  <si>
    <t>Test_const_string.java</t>
  </si>
  <si>
    <t>Test_const_string_jumbo.java</t>
  </si>
  <si>
    <t>Test_const_wide.java</t>
  </si>
  <si>
    <t>Test_const_wide_16.java</t>
  </si>
  <si>
    <t>Test_const_wide_32.java</t>
  </si>
  <si>
    <t>Test_const_wide_high16.java</t>
  </si>
  <si>
    <t>Test_fill_array_data.java</t>
  </si>
  <si>
    <t>Test_filled_new_array.java</t>
  </si>
  <si>
    <t>Test_filled_new_array_range.java</t>
  </si>
  <si>
    <t>Test_goto_16.java</t>
  </si>
  <si>
    <t>Test_goto_32.java</t>
  </si>
  <si>
    <t>Test_iget.java</t>
  </si>
  <si>
    <t>Test_iget_boolean.java</t>
  </si>
  <si>
    <t>Test_iget_byte.java</t>
  </si>
  <si>
    <t>Test_iget_char.java</t>
  </si>
  <si>
    <t>Test_iget_object.java</t>
  </si>
  <si>
    <t>Test_iget_short.java</t>
  </si>
  <si>
    <t>Test_iget_wide.java</t>
  </si>
  <si>
    <t>Test_instance_of.java</t>
  </si>
  <si>
    <t>Test_invoke_direct.java</t>
  </si>
  <si>
    <t>Test_invoke_direct_range.java</t>
  </si>
  <si>
    <t>Test_invoke_static.java</t>
  </si>
  <si>
    <t>Test_invoke_static_range.java</t>
  </si>
  <si>
    <t>Test_iput_boolean.java</t>
  </si>
  <si>
    <t>Test_iput_byte.java</t>
  </si>
  <si>
    <t>Test_iput_char.java</t>
  </si>
  <si>
    <t>Test_iput_object.java</t>
  </si>
  <si>
    <t>Test_iput_short.java</t>
  </si>
  <si>
    <t>Test_iput_wide.java</t>
  </si>
  <si>
    <t>Test_monitor_enter.java</t>
  </si>
  <si>
    <t>Test_monitor_exit.java</t>
  </si>
  <si>
    <t>Test_move.java</t>
  </si>
  <si>
    <t>Test_move_16.java</t>
  </si>
  <si>
    <t>Test_move_exception.java</t>
  </si>
  <si>
    <t>Test_move_from16.java</t>
  </si>
  <si>
    <t>Test_move_object.java</t>
  </si>
  <si>
    <t>Test_move_object_16.java</t>
  </si>
  <si>
    <t>Test_move_object_from16.java</t>
  </si>
  <si>
    <t>Test_move_result.java</t>
  </si>
  <si>
    <t>Test_move_result_object.java</t>
  </si>
  <si>
    <t>Test_move_result_wide.java</t>
  </si>
  <si>
    <t>Test_move_wide.java</t>
  </si>
  <si>
    <t>Test_move_wide_16.java</t>
  </si>
  <si>
    <t>Test_move_wide_from16.java</t>
  </si>
  <si>
    <t>Test_new_array.java</t>
  </si>
  <si>
    <t>Test_new_instance.java</t>
  </si>
  <si>
    <t>Test_opc_const.java</t>
  </si>
  <si>
    <t>Test_opc_throw.java</t>
  </si>
  <si>
    <t>Test_return_object.java</t>
  </si>
  <si>
    <t>Test_return_void.java</t>
  </si>
  <si>
    <t>Test_return_wide.java</t>
  </si>
  <si>
    <t>Test_sget.java</t>
  </si>
  <si>
    <t>Test_sget_boolean.java</t>
  </si>
  <si>
    <t>Test_sget_byte.java</t>
  </si>
  <si>
    <t>Test_sget_char.java</t>
  </si>
  <si>
    <t>Test_sget_object.java</t>
  </si>
  <si>
    <t>Test_sget_short.java</t>
  </si>
  <si>
    <t>Test_sget_wide.java</t>
  </si>
  <si>
    <t>Test_sput_boolean.java</t>
  </si>
  <si>
    <t>Test_sput_byte.java</t>
  </si>
  <si>
    <t>Test_sput_char.java</t>
  </si>
  <si>
    <t>Test_sput_object.java</t>
  </si>
  <si>
    <t>Test_sput_short.java</t>
  </si>
  <si>
    <t>Test_sput_wide.java</t>
  </si>
  <si>
    <t>Test_a1.java</t>
  </si>
  <si>
    <t>Test_a3.java</t>
  </si>
  <si>
    <t>Test_a5.java</t>
  </si>
  <si>
    <t>Test_b17.java</t>
  </si>
  <si>
    <t>Test_b2.java</t>
  </si>
  <si>
    <t>Test_b3.java</t>
  </si>
  <si>
    <t>BasicNdefTest.java</t>
  </si>
  <si>
    <t>PhoneNumberFormattingTextWatcherTest.java</t>
  </si>
  <si>
    <t>ApiDemosTest.java</t>
  </si>
  <si>
    <t>DeviceInfoResultTest.java</t>
  </si>
  <si>
    <t>CursorWrapperTest.java</t>
  </si>
  <si>
    <t>ComputeTest.java</t>
  </si>
  <si>
    <t>ChoreographerTest.java</t>
  </si>
  <si>
    <t>MessageQueueTest.java</t>
  </si>
  <si>
    <t>WebSettingsTest.java</t>
  </si>
  <si>
    <t>AccessibilityServiceTestsRunnerTest.java</t>
  </si>
  <si>
    <t>PIILogTest.java</t>
  </si>
  <si>
    <t>XmlTest.java</t>
  </si>
  <si>
    <t>AccessibilityHierarchicalFocusTest.java</t>
  </si>
  <si>
    <t>ImageViewTest.java</t>
  </si>
  <si>
    <t>FileSystemPermissionTest.java</t>
  </si>
  <si>
    <t>GravityTest.java</t>
  </si>
  <si>
    <t>LocaleUtilTest.java</t>
  </si>
  <si>
    <t>LayoutDirectionTest.java</t>
  </si>
  <si>
    <t>TextViewTest.java</t>
  </si>
  <si>
    <t>VoldExploitTest.java</t>
  </si>
  <si>
    <t>ViewGroup_MarginLayoutParamsTest.java</t>
  </si>
  <si>
    <t>AccessibilityFocusAndInputFocusSyncTest.java</t>
  </si>
  <si>
    <t>GestureDetectorTest.java</t>
  </si>
  <si>
    <t>VelocityTrackerTest.java</t>
  </si>
  <si>
    <t>ObjectAnimatorTest.java</t>
  </si>
  <si>
    <t>H264R720pAacShortPlayerTest.java</t>
  </si>
  <si>
    <t>DevicePolicyManagerTest.java</t>
  </si>
  <si>
    <t>StaticLayoutLineBreakingTest.java</t>
  </si>
  <si>
    <t>AccessibilityDirectionalFocusTest.java</t>
  </si>
  <si>
    <t>ScanResultTest.java</t>
  </si>
  <si>
    <t>CookieTest.java</t>
  </si>
  <si>
    <t>FullUpdateTest.java</t>
  </si>
  <si>
    <t>RWTest.java</t>
  </si>
  <si>
    <t>TestTest.java</t>
  </si>
  <si>
    <t>ScrollingTest.java</t>
  </si>
  <si>
    <t>NoWakeLockPermissionTest.java</t>
  </si>
  <si>
    <t>AudioTrackTest.java</t>
  </si>
  <si>
    <t>WebkitAbortCrashTest.java</t>
  </si>
  <si>
    <t>WebkitAbsolutePositionForeignObjectChildCrashTest.java</t>
  </si>
  <si>
    <t>WebkitAdoptNodeCrashTest.java</t>
  </si>
  <si>
    <t>WebkitAfterDoesntCrashTest.java</t>
  </si>
  <si>
    <t>WebkitAfterWithFirstLetterFloatCrashTest.java</t>
  </si>
  <si>
    <t>WebkitAnchorLinkedAnonymousBlockCrashTest.java</t>
  </si>
  <si>
    <t>WebkitAnimatedBackgroundImageCrashTest.java</t>
  </si>
  <si>
    <t>WebkitAnimationOnInlineCrashTest.java</t>
  </si>
  <si>
    <t>WebkitAnonymousBeforeChildParentCrashTest.java</t>
  </si>
  <si>
    <t>WebkitAnonymousBlockCrashTest.java</t>
  </si>
  <si>
    <t>WebkitAnonymousBlockMergeCrashTest.java</t>
  </si>
  <si>
    <t>WebkitAnonymousRenderBlockInContinuationCausesCrashTest.java</t>
  </si>
  <si>
    <t>WebkitAnonymousSplitBlockCrashTest.java</t>
  </si>
  <si>
    <t>WebkitApplyStyleTextDecorationCrashTest.java</t>
  </si>
  <si>
    <t>WebkitApplyblockelementVisiblepositionforindexCrashTest.java</t>
  </si>
  <si>
    <t>WebkitArcCrashTest.java</t>
  </si>
  <si>
    <t>WebkitAreaIslinkFocusNullPtrCrashTest.java</t>
  </si>
  <si>
    <t>WebkitAriaActivedescendantCrashTest.java</t>
  </si>
  <si>
    <t>WebkitAriaOptionsAndMenuitemsCrashTest.java</t>
  </si>
  <si>
    <t>WebkitArrayBufferCrashTest.java</t>
  </si>
  <si>
    <t>WebkitArrayBufferViewCrashTest.java</t>
  </si>
  <si>
    <t>WebkitArrayBufferViewCrashWhenReassignedTest.java</t>
  </si>
  <si>
    <t>WebkitAsteriskCounterUpdateAfterLayoutCrashTest.java</t>
  </si>
  <si>
    <t>WebkitAvlCrashTest.java</t>
  </si>
  <si>
    <t>WebkitBackcolorCrashTest.java</t>
  </si>
  <si>
    <t>WebkitBackgroundFillZeroAreaCrashTest.java</t>
  </si>
  <si>
    <t>WebkitBackgroundNorepeatCrashTest.java</t>
  </si>
  <si>
    <t>WebkitBackwardTextiteratorFirstLetterCrashTest.java</t>
  </si>
  <si>
    <t>WebkitBadHandshakeCrashTest.java</t>
  </si>
  <si>
    <t>WebkitBadTransitionShorthandCrashTest.java</t>
  </si>
  <si>
    <t>WebkitBasevalAnimvalCrashTest.java</t>
  </si>
  <si>
    <t>WebkitBasevalAnimvalListCrashTest.java</t>
  </si>
  <si>
    <t>WebkitBeforeBlockDoesntCrashTest.java</t>
  </si>
  <si>
    <t>WebkitBeforeChildNonTableSectionAddTableCrashTest.java</t>
  </si>
  <si>
    <t>WebkitBeforeContentWithListMarkerInAnonBlockCrashTest.java</t>
  </si>
  <si>
    <t>WebkitBeforeDoesntCrashTest.java</t>
  </si>
  <si>
    <t>WebkitBeforeTableDoesntCrashTest.java</t>
  </si>
  <si>
    <t>WebkitBidiNeutralInMixedDirectionRunCrashTest.java</t>
  </si>
  <si>
    <t>WebkitBindingsArrayApplyCrashTest.java</t>
  </si>
  <si>
    <t>WebkitBlobBuilderCrashTest.java</t>
  </si>
  <si>
    <t>WebkitBlockNotRemovedFromParentLineboxesCrashTest.java</t>
  </si>
  <si>
    <t>WebkitBlockRemoveChildDeleteLineBoxCrashTest.java</t>
  </si>
  <si>
    <t>WebkitBlockStyleProgressCrashTest.java</t>
  </si>
  <si>
    <t>WebkitBlockquoteCrashTest.java</t>
  </si>
  <si>
    <t>WebkitBodyCloneLinkDeclParentCrashTest.java</t>
  </si>
  <si>
    <t>WebkitBodyRemovalCrashTest.java</t>
  </si>
  <si>
    <t>WebkitBorderImageCrashTest.java</t>
  </si>
  <si>
    <t>WebkitBorderImageNullImageCrashTest.java</t>
  </si>
  <si>
    <t>WebkitCallApplyCrashTest.java</t>
  </si>
  <si>
    <t>WebkitCanvasFontExUnitsCrashTest.java</t>
  </si>
  <si>
    <t>WebkitCanvasGetimagedataLargeCrashTest.java</t>
  </si>
  <si>
    <t>WebkitCanvasTodataurlCrashTest.java</t>
  </si>
  <si>
    <t>WebkitCanvasTodataurlJpegCrashTest.java</t>
  </si>
  <si>
    <t>WebkitCellInRowBeforeMisnestedTextCrashCssTest.java</t>
  </si>
  <si>
    <t>WebkitChangeFormElementDocumentCrashTest.java</t>
  </si>
  <si>
    <t>WebkitChangeVersionNoCrashOnPreflightFailureTest.java</t>
  </si>
  <si>
    <t>WebkitChangeWidgetAndClickCrashTest.java</t>
  </si>
  <si>
    <t>WebkitChangingAttrbutesCrashTest.java</t>
  </si>
  <si>
    <t>WebkitCharacterDataMutationCrashTest.java</t>
  </si>
  <si>
    <t>WebkitCheckboxSelectionCrashTest.java</t>
  </si>
  <si>
    <t>WebkitChildNotRemovedFromParentLineboxesCrashTest.java</t>
  </si>
  <si>
    <t>WebkitChromiumLinuxFallbackCrashTest.java</t>
  </si>
  <si>
    <t>WebkitClearWatchInvalidIdCrashTest.java</t>
  </si>
  <si>
    <t>WebkitClickSizeZeroNoCrashTest.java</t>
  </si>
  <si>
    <t>WebkitCloneAnonymousBlockNonInlineChildCrashTest.java</t>
  </si>
  <si>
    <t>WebkitCloneBeforeAfterContentCrashTest.java</t>
  </si>
  <si>
    <t>WebkitCloneBlockChildrenInlineMismatchCrashTest.java</t>
  </si>
  <si>
    <t>WebkitClonenodeAfterDeleteruleCrashTest.java</t>
  </si>
  <si>
    <t>WebkitCloseInOnmessageCrashTest.java</t>
  </si>
  <si>
    <t>WebkitColumnSpanParentContinuationCrashTest.java</t>
  </si>
  <si>
    <t>WebkitCombiningCharacterSequenceFallbackCrashTest.java</t>
  </si>
  <si>
    <t>WebkitConsoleLongEvalCrashTest.java</t>
  </si>
  <si>
    <t>WebkitConstructorAsFunctionCrashTest.java</t>
  </si>
  <si>
    <t>WebkitContainerTransformCrashTest.java</t>
  </si>
  <si>
    <t>WebkitContentHeightZeroCrashTest.java</t>
  </si>
  <si>
    <t>WebkitContextDestroyedCrashTest.java</t>
  </si>
  <si>
    <t>WebkitContinuationcrashTest.java</t>
  </si>
  <si>
    <t>WebkitCopyCrashTest.java</t>
  </si>
  <si>
    <t>WebkitCopyCrashWithExtraneousAttributeTest.java</t>
  </si>
  <si>
    <t>WebkitCopyStandaloneImageCrashTest.java</t>
  </si>
  <si>
    <t>WebkitCopyWithoutCommonBlockCrashTest.java</t>
  </si>
  <si>
    <t>WebkitCounterAfterStyleCrashTest.java</t>
  </si>
  <si>
    <t>WebkitCounterBeforeSelectorCrashTest.java</t>
  </si>
  <si>
    <t>WebkitCounterCrashFrameSrcTest.java</t>
  </si>
  <si>
    <t>WebkitCounterCrashTest.java</t>
  </si>
  <si>
    <t>WebkitCounterReparentTableChildrenCrashTest.java</t>
  </si>
  <si>
    <t>WebkitCounterTraverseObjectCrashTest.java</t>
  </si>
  <si>
    <t>WebkitCrashAccessingClipboarddataTypesTest.java</t>
  </si>
  <si>
    <t>WebkitCrashAnonymousTableComputelogicalwidthTest.java</t>
  </si>
  <si>
    <t>WebkitCrashAnonymousTableLayoutTest.java</t>
  </si>
  <si>
    <t>WebkitCrashBeforeborderDirtySectionTest.java</t>
  </si>
  <si>
    <t>WebkitCrashBreakingBlockquoteWithListTest.java</t>
  </si>
  <si>
    <t>WebkitCrashButtonInputAutofocusTest.java</t>
  </si>
  <si>
    <t>WebkitCrashButtonKeygenTest.java</t>
  </si>
  <si>
    <t>WebkitCrashButtonRelayoutTest.java</t>
  </si>
  <si>
    <t>WebkitCrashClosingPageWithMediaAsPluginFallbackTest.java</t>
  </si>
  <si>
    <t>WebkitCrashCopyingBackforwardlistTest.java</t>
  </si>
  <si>
    <t>WebkitCrashDeterminingAriaRoleWhenLabelPresentTest.java</t>
  </si>
  <si>
    <t>WebkitCrashDisplayLocalDirectoryTest.java</t>
  </si>
  <si>
    <t>WebkitCrashEmptySectionCalcborderTest.java</t>
  </si>
  <si>
    <t>WebkitCrashEmptySectionFixedLayoutCalcarrayTest.java</t>
  </si>
  <si>
    <t>WebkitCrashFilterChangeTest.java</t>
  </si>
  <si>
    <t>WebkitCrashFlexboxNoLayoutChildTest.java</t>
  </si>
  <si>
    <t>WebkitCrashFramesetCssContentPropertyTest.java</t>
  </si>
  <si>
    <t>WebkitCrashGeneratedCounterTest.java</t>
  </si>
  <si>
    <t>WebkitCrashGeneratedImageTest.java</t>
  </si>
  <si>
    <t>WebkitCrashGeneratedQuoteTest.java</t>
  </si>
  <si>
    <t>WebkitCrashGeneratedTextTest.java</t>
  </si>
  <si>
    <t>WebkitCrashHtmlparserCreateheadTest.java</t>
  </si>
  <si>
    <t>WebkitCrashHugeLayerTest.java</t>
  </si>
  <si>
    <t>WebkitCrashHwSwSwitchTest.java</t>
  </si>
  <si>
    <t>WebkitCrashInElementForTextMarkerTest.java</t>
  </si>
  <si>
    <t>WebkitCrashIndentingListItemTest.java</t>
  </si>
  <si>
    <t>WebkitCrashInlineContainerClientTest.java</t>
  </si>
  <si>
    <t>WebkitCrashInvalidTextMarkerNodeTest.java</t>
  </si>
  <si>
    <t>WebkitCrashLineBreakAfterOutdentTest.java</t>
  </si>
  <si>
    <t>WebkitCrashMultipleFamilyFontfaceTest.java</t>
  </si>
  <si>
    <t>WebkitCrashOnAbsolutePositioningTest.java</t>
  </si>
  <si>
    <t>WebkitCrashOnClearSelectionTest.java</t>
  </si>
  <si>
    <t>WebkitCrashOnCustomCursorWhenLoadingTest.java</t>
  </si>
  <si>
    <t>WebkitCrashOnDegenerateGradientTest.java</t>
  </si>
  <si>
    <t>WebkitCrashOnDragWithMutationEventsTest.java</t>
  </si>
  <si>
    <t>WebkitCrashOnEnterInContenteditableListTest.java</t>
  </si>
  <si>
    <t>WebkitCrashOnMutateDuringDropTest.java</t>
  </si>
  <si>
    <t>WebkitCrashOnOnepxBorderTest.java</t>
  </si>
  <si>
    <t>WebkitCrashOnRemoveTest.java</t>
  </si>
  <si>
    <t>WebkitCrashOnTrTest.java</t>
  </si>
  <si>
    <t>WebkitCrashOnZeroRadiusTest.java</t>
  </si>
  <si>
    <t>WebkitCrashOneTest.java</t>
  </si>
  <si>
    <t>WebkitCrashRemovedIframeTest.java</t>
  </si>
  <si>
    <t>WebkitCrashReparentTiledLayerTest.java</t>
  </si>
  <si>
    <t>WebkitCrashReplacedDisplayBlockTest.java</t>
  </si>
  <si>
    <t>WebkitCrashReplacingLocationBeforeLoadTest.java</t>
  </si>
  <si>
    <t>WebkitCrashRestoringPluginPageFromPageCacheTest.java</t>
  </si>
  <si>
    <t>WebkitCrashSectionLogicalHeightChangedNeedscellrecalcTest.java</t>
  </si>
  <si>
    <t>WebkitCrashSetFontTest.java</t>
  </si>
  <si>
    <t>WebkitCrashSplitcolumnTest.java</t>
  </si>
  <si>
    <t>WebkitCrashSplitcolumnThreeTest.java</t>
  </si>
  <si>
    <t>WebkitCrashSplitcolumnTwoTest.java</t>
  </si>
  <si>
    <t>WebkitCrashStyleFirstLetterTest.java</t>
  </si>
  <si>
    <t>WebkitCrashSvgDocumentTest.java</t>
  </si>
  <si>
    <t>WebkitCrashTableCellChangeHeightTest.java</t>
  </si>
  <si>
    <t>WebkitCrashTextpathAttributesTest.java</t>
  </si>
  <si>
    <t>WebkitCrashTwoTest.java</t>
  </si>
  <si>
    <t>WebkitCrashWhenNavigatingAwayThenBackTest.java</t>
  </si>
  <si>
    <t>WebkitCrashWhenReparentSiblingTest.java</t>
  </si>
  <si>
    <t>WebkitCrashWhileLoadingTagWithPauseTest.java</t>
  </si>
  <si>
    <t>WebkitCrashWithNoelementSelectboxTest.java</t>
  </si>
  <si>
    <t>WebkitCrashingATagInMapTest.java</t>
  </si>
  <si>
    <t>WebkitCreateBlobUrlCrashTest.java</t>
  </si>
  <si>
    <t>WebkitCreateDocumentCrashOnAttachEventTest.java</t>
  </si>
  <si>
    <t>WebkitCreatePatternDoesNotCrashTest.java</t>
  </si>
  <si>
    <t>WebkitCrossOriginStylesheetCrashTest.java</t>
  </si>
  <si>
    <t>WebkitCssContentAndWebkitMaskBoxImageCrashTest.java</t>
  </si>
  <si>
    <t>WebkitCssFontfaceRuleCrashTest.java</t>
  </si>
  <si>
    <t>WebkitCssInlineStyleDeclarationCrashTest.java</t>
  </si>
  <si>
    <t>WebkitCssKeyframeStyleCrashTest.java</t>
  </si>
  <si>
    <t>WebkitCsstargetCrashTest.java</t>
  </si>
  <si>
    <t>WebkitCssthreeRadialGradientCrashTest.java</t>
  </si>
  <si>
    <t>WebkitCustomFontDataCrashTest.java</t>
  </si>
  <si>
    <t>WebkitCustomFontDataCrashtwoTest.java</t>
  </si>
  <si>
    <t>WebkitDanglingFormElementCrashTest.java</t>
  </si>
  <si>
    <t>WebkitDashboardRegionsAttrCrashTest.java</t>
  </si>
  <si>
    <t>WebkitDataViewCrashTest.java</t>
  </si>
  <si>
    <t>WebkitDebuggerActivationCrashTest.java</t>
  </si>
  <si>
    <t>WebkitDebuggerActivationCrashtwoTest.java</t>
  </si>
  <si>
    <t>WebkitDelayedStyleMutationEventCrashTest.java</t>
  </si>
  <si>
    <t>WebkitDeleteInsignificantTextCrashTest.java</t>
  </si>
  <si>
    <t>WebkitDestroyCellWithSelectionCrashTest.java</t>
  </si>
  <si>
    <t>WebkitDestroyCounterCrashTest.java</t>
  </si>
  <si>
    <t>WebkitDestroySelectedRadioButtonCrashTest.java</t>
  </si>
  <si>
    <t>WebkitDetachedObjectNotificationCrashTest.java</t>
  </si>
  <si>
    <t>WebkitDetachedOutermostSvgCrashTest.java</t>
  </si>
  <si>
    <t>WebkitDetailsChildrenMergeCrashTest.java</t>
  </si>
  <si>
    <t>WebkitDetailsElementRenderInlineCrashTest.java</t>
  </si>
  <si>
    <t>WebkitDeviceOrientationCrashTest.java</t>
  </si>
  <si>
    <t>WebkitDirtyInlineTextboxCrashTest.java</t>
  </si>
  <si>
    <t>WebkitDispatcheventCrashTest.java</t>
  </si>
  <si>
    <t>WebkitDisplayNoneInlineStyleChangeCrashTest.java</t>
  </si>
  <si>
    <t>WebkitDivWithinAnchorsCausesCrashTest.java</t>
  </si>
  <si>
    <t>WebkitDoctypeEventListenerCrashTest.java</t>
  </si>
  <si>
    <t>WebkitDocumentDeactivationCallbackCrashTest.java</t>
  </si>
  <si>
    <t>WebkitDomstringReplaceCrashTest.java</t>
  </si>
  <si>
    <t>WebkitDomurlScriptExecutionContextCrashTest.java</t>
  </si>
  <si>
    <t>WebkitDontCrashWithNullGifFramesTest.java</t>
  </si>
  <si>
    <t>WebkitDoubleMergeAnonymousBlockCrashTest.java</t>
  </si>
  <si>
    <t>WebkitDoubleclickCrashTest.java</t>
  </si>
  <si>
    <t>WebkitDoubleclickWhitespaceCrashTest.java</t>
  </si>
  <si>
    <t>WebkitDoubleclickWhitespaceImgCrashTest.java</t>
  </si>
  <si>
    <t>WebkitDragAndDropDatatransferTypesNocrashTest.java</t>
  </si>
  <si>
    <t>WebkitDragDropIframeRefreshCrashTest.java</t>
  </si>
  <si>
    <t>WebkitDragFileCrashTest.java</t>
  </si>
  <si>
    <t>WebkitDragOverIframeInvalidSourceCrashTest.java</t>
  </si>
  <si>
    <t>WebkitDuplicateHtmlElementCrashTest.java</t>
  </si>
  <si>
    <t>WebkitDuplicateParamCrashTest.java</t>
  </si>
  <si>
    <t>WebkitDuplicateParamGcCrashTest.java</t>
  </si>
  <si>
    <t>WebkitDynamicMarkerCrashTest.java</t>
  </si>
  <si>
    <t>WebkitEditableNonEditableCrashTest.java</t>
  </si>
  <si>
    <t>WebkitEditingCommandWhileExecutingTypingCommandCrashTest.java</t>
  </si>
  <si>
    <t>WebkitEmbedBidiStyleInIsolateCrashTest.java</t>
  </si>
  <si>
    <t>WebkitEmbedcrasherTest.java</t>
  </si>
  <si>
    <t>WebkitEmptyAnonymousBlockRemoveCrashTest.java</t>
  </si>
  <si>
    <t>WebkitEmptyBdiCrashTest.java</t>
  </si>
  <si>
    <t>WebkitEmptyContentWithFloatCrashTest.java</t>
  </si>
  <si>
    <t>WebkitEmptyFirstLineCrashTest.java</t>
  </si>
  <si>
    <t>WebkitEmptyMsubsupCrashTest.java</t>
  </si>
  <si>
    <t>WebkitEmptyRenderSurfaceCrasherTest.java</t>
  </si>
  <si>
    <t>WebkitEmptyRowCrashTest.java</t>
  </si>
  <si>
    <t>WebkitEmptySectionCrashTest.java</t>
  </si>
  <si>
    <t>WebkitEmptyTransformPreservethreedCrashTest.java</t>
  </si>
  <si>
    <t>WebkitEmptyWebkitMaskCrashTest.java</t>
  </si>
  <si>
    <t>WebkitEmptyWorkerNocrashTest.java</t>
  </si>
  <si>
    <t>WebkitEndOfBufferCrashTest.java</t>
  </si>
  <si>
    <t>WebkitEvalCacheCrashTest.java</t>
  </si>
  <si>
    <t>WebkitEventListenerMapRehashCrashTest.java</t>
  </si>
  <si>
    <t>WebkitEventsourceReconnectDuringNavigateCrashTest.java</t>
  </si>
  <si>
    <t>WebkitExceptionCodegenCrashTest.java</t>
  </si>
  <si>
    <t>WebkitExceptionNoFrameInlineScriptCrashIframeTest.java</t>
  </si>
  <si>
    <t>WebkitExceptionNoFrameInlineScriptCrashTest.java</t>
  </si>
  <si>
    <t>WebkitExceptionNoFrameTimeoutCrashIframeTest.java</t>
  </si>
  <si>
    <t>WebkitExceptionNoFrameTimeoutCrashTest.java</t>
  </si>
  <si>
    <t>WebkitExistentEventsourceStatusErrorIframeCrashTest.java</t>
  </si>
  <si>
    <t>WebkitExtendByLineAnonymousContentCrashTest.java</t>
  </si>
  <si>
    <t>WebkitExtendOverFileInputByDragCrashTest.java</t>
  </si>
  <si>
    <t>WebkitFencedWhitespaceSeparatorsCrashTest.java</t>
  </si>
  <si>
    <t>WebkitFileReaderDirectoryCrashTest.java</t>
  </si>
  <si>
    <t>WebkitFilesystemNoCallbackNullPtrCrashTest.java</t>
  </si>
  <si>
    <t>WebkitFillLayerCrashTest.java</t>
  </si>
  <si>
    <t>WebkitFilterEmptyElementCrashTest.java</t>
  </si>
  <si>
    <t>WebkitFindLayoutCrashTest.java</t>
  </si>
  <si>
    <t>WebkitFirstLetterAnonymousBlockCrashTest.java</t>
  </si>
  <si>
    <t>WebkitFirstLetterBlockFormControlsCrashTest.java</t>
  </si>
  <si>
    <t>WebkitFirstLetterInlineFlowSplitCrashTest.java</t>
  </si>
  <si>
    <t>WebkitFirstLetterInlineFlowSplitTableCrashTest.java</t>
  </si>
  <si>
    <t>WebkitFirstLetterRtlCrashTest.java</t>
  </si>
  <si>
    <t>WebkitFirstLetterTextFragmentCrashTest.java</t>
  </si>
  <si>
    <t>WebkitFirstLetterTextTransformCausesCrashTest.java</t>
  </si>
  <si>
    <t>WebkitFirstletterTablecellCrashTest.java</t>
  </si>
  <si>
    <t>WebkitFirstlineFixedCrashTest.java</t>
  </si>
  <si>
    <t>WebkitFirstrectCrashTest.java</t>
  </si>
  <si>
    <t>WebkitFiveseventwofivezerofiveeightCrashScenarioOneTest.java</t>
  </si>
  <si>
    <t>WebkitFiveseventwofivezerofiveeightCrashScenarioThreeTest.java</t>
  </si>
  <si>
    <t>WebkitFiveseventwofivezerofiveeightCrashScenarioTwoTest.java</t>
  </si>
  <si>
    <t>WebkitFixRangeFromRootEditableCrashTest.java</t>
  </si>
  <si>
    <t>WebkitFixedTableLayoutLargeColspanCrashTest.java</t>
  </si>
  <si>
    <t>WebkitFlexboxInRegionCrashTest.java</t>
  </si>
  <si>
    <t>WebkitFloatNotRemovedCrashTest.java</t>
  </si>
  <si>
    <t>WebkitFloatNotRemovedFromNextSiblingCrashTest.java</t>
  </si>
  <si>
    <t>WebkitFloatOriginatingLineDeletedCrashTest.java</t>
  </si>
  <si>
    <t>WebkitFloatingBeforeContentWithListMarkerCrashTest.java</t>
  </si>
  <si>
    <t>WebkitFloatsNotClearedCrashTest.java</t>
  </si>
  <si>
    <t>WebkitFocusChangeCrashTest.java</t>
  </si>
  <si>
    <t>WebkitFocusChangeCrashtwoTest.java</t>
  </si>
  <si>
    <t>WebkitFocusControllerCrashChangeEventTest.java</t>
  </si>
  <si>
    <t>WebkitFocusCrashTest.java</t>
  </si>
  <si>
    <t>WebkitFontmetricBorderRadiusNullCrashTest.java</t>
  </si>
  <si>
    <t>WebkitFontmetricWebkitBorderEndWidthNullCrashTest.java</t>
  </si>
  <si>
    <t>WebkitFontsizeUnitRemsCrashTest.java</t>
  </si>
  <si>
    <t>WebkitForeignContentCrashTest.java</t>
  </si>
  <si>
    <t>WebkitFormAssociatedElementCrashTest.java</t>
  </si>
  <si>
    <t>WebkitFormAssociatedElementCrashthreeTest.java</t>
  </si>
  <si>
    <t>WebkitFormAssociatedElementCrashtwoTest.java</t>
  </si>
  <si>
    <t>WebkitFormIframeTargetBeforeLoadCrashTest.java</t>
  </si>
  <si>
    <t>WebkitFormIframeTargetBeforeLoadCrashtwoTest.java</t>
  </si>
  <si>
    <t>WebkitFormInRowBeforeMisnestedTextCrashCssTest.java</t>
  </si>
  <si>
    <t>WebkitFormInTableBeforeMisnestedTextCrashCssTest.java</t>
  </si>
  <si>
    <t>WebkitFormInTbodyBeforeMisnestedTextCrashCssTest.java</t>
  </si>
  <si>
    <t>WebkitFouronefourfivefivethreefivecrashTest.java</t>
  </si>
  <si>
    <t>WebkitFrameContentwindowCrashTest.java</t>
  </si>
  <si>
    <t>WebkitFrameCrashWithPageCacheTest.java</t>
  </si>
  <si>
    <t>WebkitFrameUnloadAbortCrashTest.java</t>
  </si>
  <si>
    <t>WebkitFrameUnloadCrashOneTest.java</t>
  </si>
  <si>
    <t>WebkitFrameUnloadCrashTest.java</t>
  </si>
  <si>
    <t>WebkitFrameUnloadCrashThreeTest.java</t>
  </si>
  <si>
    <t>WebkitFrameUnloadCrashTwoTest.java</t>
  </si>
  <si>
    <t>WebkitFramelessMediaElementCrashTest.java</t>
  </si>
  <si>
    <t>WebkitGeneratedBeforeCounterDoesntCrashTest.java</t>
  </si>
  <si>
    <t>WebkitGeneratedChildSplitFlowCrashTest.java</t>
  </si>
  <si>
    <t>WebkitGeneratedContentCrashTest.java</t>
  </si>
  <si>
    <t>WebkitGeneratedLayerScrollbarCrashTest.java</t>
  </si>
  <si>
    <t>WebkitGetUrlWithIframeTargetNoCrashTest.java</t>
  </si>
  <si>
    <t>WebkitGetmatchedcssrulesNullCrashTest.java</t>
  </si>
  <si>
    <t>WebkitGiantStylesheetCrashTest.java</t>
  </si>
  <si>
    <t>WebkitGlyphrefRendererCreateCrashTest.java</t>
  </si>
  <si>
    <t>WebkitGradientOnPseudoelementCrashTest.java</t>
  </si>
  <si>
    <t>WebkitHasfocusFramelessCrashTest.java</t>
  </si>
  <si>
    <t>WebkitHiddenIframeScrollbarCrashTest.java</t>
  </si>
  <si>
    <t>WebkitHiddenIframeScrollbarCrashtwoTest.java</t>
  </si>
  <si>
    <t>WebkitHorizontalBoxFloatCrashTest.java</t>
  </si>
  <si>
    <t>WebkitHoverStyleRecalcCrashTest.java</t>
  </si>
  <si>
    <t>WebkitHoverTimerCrashTest.java</t>
  </si>
  <si>
    <t>WebkitHugeColumnGapCrashTest.java</t>
  </si>
  <si>
    <t>WebkitIdAttributeWithNamespaceCrashTest.java</t>
  </si>
  <si>
    <t>WebkitIdentCrashesTopnodeIsTextTest.java</t>
  </si>
  <si>
    <t>WebkitIframeContentwindowCrashTest.java</t>
  </si>
  <si>
    <t>WebkitIframeFlatteningCrashTest.java</t>
  </si>
  <si>
    <t>WebkitIframeFlatteningSelectionCrashTest.java</t>
  </si>
  <si>
    <t>WebkitIframeInvalidSourceCrashTest.java</t>
  </si>
  <si>
    <t>WebkitIframeOnloadCrashMacTest.java</t>
  </si>
  <si>
    <t>WebkitIframeOnloadCrashUnixTest.java</t>
  </si>
  <si>
    <t>WebkitIframeOnloadCrashWinTest.java</t>
  </si>
  <si>
    <t>WebkitIframeOnloadRemoveSelfNoCrashChildTest.java</t>
  </si>
  <si>
    <t>WebkitIframeOnloadRemoveSelfNoCrashTest.java</t>
  </si>
  <si>
    <t>WebkitIframePluginLoadRemoveDocumentCrashTest.java</t>
  </si>
  <si>
    <t>WebkitIgnoredResultNullComparisonCrashTest.java</t>
  </si>
  <si>
    <t>WebkitIgnoredResultRefCrashTest.java</t>
  </si>
  <si>
    <t>WebkitImageEmptyCrashTest.java</t>
  </si>
  <si>
    <t>WebkitImageMapTitleCausesCrashTest.java</t>
  </si>
  <si>
    <t>WebkitImageMapUpdateParentCrashTest.java</t>
  </si>
  <si>
    <t>WebkitImagemapNorenderCrashTest.java</t>
  </si>
  <si>
    <t>WebkitImbricatedFlowThreadsCrashTest.java</t>
  </si>
  <si>
    <t>WebkitImplicitHeadInFragmentCrashTest.java</t>
  </si>
  <si>
    <t>WebkitImportCrashTest.java</t>
  </si>
  <si>
    <t>WebkitIndentNodeToSplitToCrashTest.java</t>
  </si>
  <si>
    <t>WebkitIndexValidationCrashWithBufferSubDataTest.java</t>
  </si>
  <si>
    <t>WebkitInitkeyboardeventCrashTest.java</t>
  </si>
  <si>
    <t>WebkitInlineBodyCrashTest.java</t>
  </si>
  <si>
    <t>WebkitInlineBodyWithScrollbarCrashTest.java</t>
  </si>
  <si>
    <t>WebkitInlineBoxAdjustPositionCrashTest.java</t>
  </si>
  <si>
    <t>WebkitInlineBoxAdjustPositionCrashtwoTest.java</t>
  </si>
  <si>
    <t>WebkitInlineBoxWrapperCrashTest.java</t>
  </si>
  <si>
    <t>WebkitInlineChildHeightWidthCalcCrashTest.java</t>
  </si>
  <si>
    <t>WebkitInlineChildrenCrashTest.java</t>
  </si>
  <si>
    <t>WebkitInlineCrashTest.java</t>
  </si>
  <si>
    <t>WebkitInlineDestroyDirtyLinesCrashTest.java</t>
  </si>
  <si>
    <t>WebkitInlineMarqueeCrashTest.java</t>
  </si>
  <si>
    <t>WebkitInlineSplittingWithAfterFloatCrashTest.java</t>
  </si>
  <si>
    <t>WebkitInlineToBlockCrashTest.java</t>
  </si>
  <si>
    <t>WebkitInnerhtmlSelectionCrashTest.java</t>
  </si>
  <si>
    <t>WebkitInputBoxTextFragmentCombineTextCrashTest.java</t>
  </si>
  <si>
    <t>WebkitInputElementAttachCrashTest.java</t>
  </si>
  <si>
    <t>WebkitInputElementPageCacheCrashTest.java</t>
  </si>
  <si>
    <t>WebkitInputNumberCrashTest.java</t>
  </si>
  <si>
    <t>WebkitInputNumberSpinbuttonCrashTest.java</t>
  </si>
  <si>
    <t>WebkitInputSearchTableColumnCrashTest.java</t>
  </si>
  <si>
    <t>WebkitInsertImagesInPreXCrashTest.java</t>
  </si>
  <si>
    <t>WebkitInsertTextCrashTest.java</t>
  </si>
  <si>
    <t>WebkitInsertTextIntoEmptyFramesetCrashTest.java</t>
  </si>
  <si>
    <t>WebkitInsertadjacenthtmlDocumentfragmentCrashTest.java</t>
  </si>
  <si>
    <t>WebkitInserthtmlMutationCrashTest.java</t>
  </si>
  <si>
    <t>WebkitInsertionPointLineNumberOnPasswordCrashesTest.java</t>
  </si>
  <si>
    <t>WebkitInsertnodeEmptyFragmentCrashTest.java</t>
  </si>
  <si>
    <t>WebkitInteractiveValidationCrashByStyleOverrideTest.java</t>
  </si>
  <si>
    <t>WebkitInteractiveValidationSelectCrashTest.java</t>
  </si>
  <si>
    <t>WebkitInvalidCharsetOnScriptCrashesLoaderTest.java</t>
  </si>
  <si>
    <t>WebkitInvalidCursorPropertyCrashTest.java</t>
  </si>
  <si>
    <t>WebkitInvalidFontFamilyInFontFaceCrashTest.java</t>
  </si>
  <si>
    <t>WebkitInvalidMediaUrlCrashTest.java</t>
  </si>
  <si>
    <t>WebkitInvalidSetFontCrashTest.java</t>
  </si>
  <si>
    <t>WebkitJavascriptUrlAsFramesrcCrashTest.java</t>
  </si>
  <si>
    <t>WebkitJavascriptUrlCrashFunctionIframeTest.java</t>
  </si>
  <si>
    <t>WebkitJavascriptUrlCrashFunctionTest.java</t>
  </si>
  <si>
    <t>WebkitJavascriptUrlIframeCrashTest.java</t>
  </si>
  <si>
    <t>WebkitJqueryAnimationCrashTest.java</t>
  </si>
  <si>
    <t>WebkitKeyboardeventMousedownCrashTest.java</t>
  </si>
  <si>
    <t>WebkitKeyeventIframeRemovedCrashTest.java</t>
  </si>
  <si>
    <t>WebkitKeyframesCrashTest.java</t>
  </si>
  <si>
    <t>WebkitKhmerCrashTest.java</t>
  </si>
  <si>
    <t>WebkitLargeListOfRulesCrashTest.java</t>
  </si>
  <si>
    <t>WebkitLargeRowspanCrashTest.java</t>
  </si>
  <si>
    <t>WebkitLargeSizeImageCrashTest.java</t>
  </si>
  <si>
    <t>WebkitLayerHitTestCrashTest.java</t>
  </si>
  <si>
    <t>WebkitLayerzordercrashTest.java</t>
  </si>
  <si>
    <t>WebkitLayouthorizontalboxCrashTest.java</t>
  </si>
  <si>
    <t>WebkitLiStyleAlphaHugeValueCrashTest.java</t>
  </si>
  <si>
    <t>WebkitLineClampCrashTest.java</t>
  </si>
  <si>
    <t>WebkitListItemPseudoNocrashTest.java</t>
  </si>
  <si>
    <t>WebkitListStyleNoneCrashTest.java</t>
  </si>
  <si>
    <t>WebkitListWrappingImageCrashTest.java</t>
  </si>
  <si>
    <t>WebkitLoadDeferResumeCrashTest.java</t>
  </si>
  <si>
    <t>WebkitLocationNewWindowNoCrashTest.java</t>
  </si>
  <si>
    <t>WebkitMainresourceNullMimetypeCrashTest.java</t>
  </si>
  <si>
    <t>WebkitMarqueeAnonymousNodeCrashTest.java</t>
  </si>
  <si>
    <t>WebkitMaskCrashFieldsetLegendTest.java</t>
  </si>
  <si>
    <t>WebkitMaskCrashFigureTest.java</t>
  </si>
  <si>
    <t>WebkitMaskCrashTableTest.java</t>
  </si>
  <si>
    <t>WebkitMaskCrashTdTest.java</t>
  </si>
  <si>
    <t>WebkitMaskCrashTdTwoTest.java</t>
  </si>
  <si>
    <t>WebkitMaskMissingImageCrashTest.java</t>
  </si>
  <si>
    <t>WebkitMathOptionsCrashTest.java</t>
  </si>
  <si>
    <t>WebkitMatrixAsFunctionCrashTest.java</t>
  </si>
  <si>
    <t>WebkitMediaControlsCloneCrashTest.java</t>
  </si>
  <si>
    <t>WebkitMediaQueryEvaluatorCrashTest.java</t>
  </si>
  <si>
    <t>WebkitMediaSvgCrashTest.java</t>
  </si>
  <si>
    <t>WebkitMenulistPopupCrashTest.java</t>
  </si>
  <si>
    <t>WebkitMergeAnonymousBlockRemoveChildCrashTest.java</t>
  </si>
  <si>
    <t>WebkitMergeAnonymousBlockRemoveChildCrashtwoTest.java</t>
  </si>
  <si>
    <t>WebkitMeterElementCrashTest.java</t>
  </si>
  <si>
    <t>WebkitMeterElementWithChildCrashTest.java</t>
  </si>
  <si>
    <t>WebkitModCrashTest.java</t>
  </si>
  <si>
    <t>WebkitMouseMovedRemoveFrameCrashTest.java</t>
  </si>
  <si>
    <t>WebkitMoveByWordVisuallyCrashTestFourTest.java</t>
  </si>
  <si>
    <t>WebkitMoveByWordVisuallyCrashTestOneTest.java</t>
  </si>
  <si>
    <t>WebkitMoveByWordVisuallyCrashTestTextareaTest.java</t>
  </si>
  <si>
    <t>WebkitMoveByWordVisuallyCrashTestThreeTest.java</t>
  </si>
  <si>
    <t>WebkitMoveByWordVisuallyCrashTestTwoTest.java</t>
  </si>
  <si>
    <t>WebkitMsubAnonymousChildRenderCrashTest.java</t>
  </si>
  <si>
    <t>WebkitMultilineAndObjectInsideIsolateCrashTest.java</t>
  </si>
  <si>
    <t>WebkitMultipleCaptionsCrashfiveExpectedTest.java</t>
  </si>
  <si>
    <t>WebkitMultipleCaptionsCrashfiveTest.java</t>
  </si>
  <si>
    <t>WebkitMultipleCaptionsCrashfourExpectedTest.java</t>
  </si>
  <si>
    <t>WebkitMultipleCaptionsCrashfourTest.java</t>
  </si>
  <si>
    <t>WebkitMultipleCaptionsCrashthreeExpectedTest.java</t>
  </si>
  <si>
    <t>WebkitMultipleCaptionsCrashthreeTest.java</t>
  </si>
  <si>
    <t>WebkitMultipleCursorsCrashTest.java</t>
  </si>
  <si>
    <t>WebkitMutationCallbackNonElementCrashTest.java</t>
  </si>
  <si>
    <t>WebkitNamednodemapSetnameditemCrashTest.java</t>
  </si>
  <si>
    <t>WebkitNavigationRedirectScheduleCrashTest.java</t>
  </si>
  <si>
    <t>WebkitNavigatorCookieenabledNoCrashTest.java</t>
  </si>
  <si>
    <t>WebkitNavigatorDetachedNoCrashTest.java</t>
  </si>
  <si>
    <t>WebkitNavigatorPluginsCrashTest.java</t>
  </si>
  <si>
    <t>WebkitNegativeRemainingLengthCrashTest.java</t>
  </si>
  <si>
    <t>WebkitNestedBidiIsolateCrashTest.java</t>
  </si>
  <si>
    <t>WebkitNestedEventRemoveNodeCrashTest.java</t>
  </si>
  <si>
    <t>WebkitNestedFirstLetterWithFloatCrashTest.java</t>
  </si>
  <si>
    <t>WebkitNestedFragmentParserCrashTest.java</t>
  </si>
  <si>
    <t>WebkitNestedLayoutCrashTest.java</t>
  </si>
  <si>
    <t>WebkitNestedTablesWithBeforeAfterContentCrashTest.java</t>
  </si>
  <si>
    <t>WebkitNoOverhangingFloatCrashTest.java</t>
  </si>
  <si>
    <t>WebkitNodeFilterDetachedIframeCrashTest.java</t>
  </si>
  <si>
    <t>WebkitNodeIteratorDocumentMovedCrashTest.java</t>
  </si>
  <si>
    <t>WebkitNodeIteratorReferenceNodeMovedCrashTest.java</t>
  </si>
  <si>
    <t>WebkitNodeMoveToNewDocumentCrashMainTest.java</t>
  </si>
  <si>
    <t>WebkitNonExistentEventsourceStatusErrorIframeCrashTest.java</t>
  </si>
  <si>
    <t>WebkitNonNativeImageCrashTest.java</t>
  </si>
  <si>
    <t>WebkitNonStyledElementIdCrashTest.java</t>
  </si>
  <si>
    <t>WebkitNormalizeCrashTest.java</t>
  </si>
  <si>
    <t>WebkitNotificationsDocumentCloseCrashTest.java</t>
  </si>
  <si>
    <t>WebkitNotificationsWindowCloseCrashTest.java</t>
  </si>
  <si>
    <t>WebkitNullChardataCrashTest.java</t>
  </si>
  <si>
    <t>WebkitNullDocumentLocationAssignCrashTest.java</t>
  </si>
  <si>
    <t>WebkitNullDocumentLocationHrefPutCrashTest.java</t>
  </si>
  <si>
    <t>WebkitNullDocumentLocationPutCrashTest.java</t>
  </si>
  <si>
    <t>WebkitNullDocumentLocationReplaceCrashTest.java</t>
  </si>
  <si>
    <t>WebkitNullDocumentWindowOpenCrashTest.java</t>
  </si>
  <si>
    <t>WebkitNullPageShowModalDialogCrashTest.java</t>
  </si>
  <si>
    <t>WebkitNumberParsingCrashTest.java</t>
  </si>
  <si>
    <t>WebkitNumberParsingCrashTwoTest.java</t>
  </si>
  <si>
    <t>WebkitOneLetterTransformCrashTest.java</t>
  </si>
  <si>
    <t>WebkitOnloadRemoveIframeCrashTest.java</t>
  </si>
  <si>
    <t>WebkitOnloadRemoveIframeCrashTwoTest.java</t>
  </si>
  <si>
    <t>WebkitOnloadframecrashTest.java</t>
  </si>
  <si>
    <t>WebkitOnunloadFormSubmitCrashTest.java</t>
  </si>
  <si>
    <t>WebkitOnunloadFormSubmitCrashTwoTest.java</t>
  </si>
  <si>
    <t>WebkitOrphanedSelectionCrashBugthreetwoeighttwothreeFourTest.java</t>
  </si>
  <si>
    <t>WebkitOrphanedSelectionCrashBugthreetwoeighttwothreeOneTest.java</t>
  </si>
  <si>
    <t>WebkitOrphanedSelectionCrashBugthreetwoeighttwothreeThreeTest.java</t>
  </si>
  <si>
    <t>WebkitOrphanedSelectionCrashBugthreetwoeighttwothreeTwoTest.java</t>
  </si>
  <si>
    <t>WebkitOrphanedUnitsCrashTest.java</t>
  </si>
  <si>
    <t>WebkitOverflowCustomScrollbarCrashTest.java</t>
  </si>
  <si>
    <t>WebkitOverflowHeightFloatNotRemovedCrashTest.java</t>
  </si>
  <si>
    <t>WebkitOverflowHeightFloatNotRemovedCrashthreeTest.java</t>
  </si>
  <si>
    <t>WebkitOverflowHeightFloatNotRemovedCrashtwoTest.java</t>
  </si>
  <si>
    <t>WebkitOverhangingFloatLegendCrashTest.java</t>
  </si>
  <si>
    <t>WebkitOverhangingFloatsNotRemovedCrashTest.java</t>
  </si>
  <si>
    <t>WebkitOverrideTransitionCrashTest.java</t>
  </si>
  <si>
    <t>WebkitPageCacheCrashOnDataUrlsTest.java</t>
  </si>
  <si>
    <t>WebkitPaginatedLayerCrashTest.java</t>
  </si>
  <si>
    <t>WebkitParentBoxNotBoxCrashTest.java</t>
  </si>
  <si>
    <t>WebkitParentViewLayoutCrashTest.java</t>
  </si>
  <si>
    <t>WebkitParseColorIntOrPercentCrashTest.java</t>
  </si>
  <si>
    <t>WebkitParseTimingFunctionCrashTest.java</t>
  </si>
  <si>
    <t>WebkitPathGetpresentationattributeCrashTest.java</t>
  </si>
  <si>
    <t>WebkitPauseCrashTest.java</t>
  </si>
  <si>
    <t>WebkitPendingImagesCrashTest.java</t>
  </si>
  <si>
    <t>WebkitPendingReflectionMaskCrashTest.java</t>
  </si>
  <si>
    <t>WebkitPercentHeightDescendantNotRemovedCrashTest.java</t>
  </si>
  <si>
    <t>WebkitPlaceholderCrashWithScrollbarCornerTest.java</t>
  </si>
  <si>
    <t>WebkitPngExtraRowCrashTest.java</t>
  </si>
  <si>
    <t>WebkitPolylinePointsCrashTest.java</t>
  </si>
  <si>
    <t>WebkitPositionAbsoluteToFixedCrashTest.java</t>
  </si>
  <si>
    <t>WebkitPositionedBackgroundHitTestCrashTest.java</t>
  </si>
  <si>
    <t>WebkitPositionedChildNotRemovedCrashTest.java</t>
  </si>
  <si>
    <t>WebkitPositionedCountCrashTest.java</t>
  </si>
  <si>
    <t>WebkitPositionedDivWithFloatingAfterContentCrashFrameoneTest.java</t>
  </si>
  <si>
    <t>WebkitPositionedDivWithFloatingAfterContentCrashFrametwoTest.java</t>
  </si>
  <si>
    <t>WebkitPositionedDivWithFloatingAfterContentCrashTest.java</t>
  </si>
  <si>
    <t>WebkitPositionedGeneratedContentUnderRunInCrashTest.java</t>
  </si>
  <si>
    <t>WebkitPositionedInRelativePositionInlineCrashTest.java</t>
  </si>
  <si>
    <t>WebkitPrintCloseCrashTest.java</t>
  </si>
  <si>
    <t>WebkitProcessEndTagForInbodyCrashTest.java</t>
  </si>
  <si>
    <t>WebkitProgressElementWithChildCrashTest.java</t>
  </si>
  <si>
    <t>WebkitProgressElementWithStyleCrashTest.java</t>
  </si>
  <si>
    <t>WebkitRangeDeleteContentsEventFireCrashTest.java</t>
  </si>
  <si>
    <t>WebkitRangeExtractContentsEventFireCrashTest.java</t>
  </si>
  <si>
    <t>WebkitRangeExtractContentsEventFireCrashtwoTest.java</t>
  </si>
  <si>
    <t>WebkitRangeInsertnodeCrashTest.java</t>
  </si>
  <si>
    <t>WebkitRangeSelectionAcrossDocumentsCrashTest.java</t>
  </si>
  <si>
    <t>WebkitReEnterAndCrashTest.java</t>
  </si>
  <si>
    <t>WebkitRecalcSectionFirstBodyCrashMainTest.java</t>
  </si>
  <si>
    <t>WebkitRecalcSectionFirstBodyCrashTest.java</t>
  </si>
  <si>
    <t>WebkitRecursiveBeforeUnloadCrashTest.java</t>
  </si>
  <si>
    <t>WebkitRedirectWithNoLocationCrashTest.java</t>
  </si>
  <si>
    <t>WebkitReflectedImgCrashTest.java</t>
  </si>
  <si>
    <t>WebkitRegexpCharclassCrashTest.java</t>
  </si>
  <si>
    <t>WebkitRegexpCompileCrashTest.java</t>
  </si>
  <si>
    <t>WebkitRegexpExtendedCharactersCrashTest.java</t>
  </si>
  <si>
    <t>WebkitRegionRangeForBoxCrashTest.java</t>
  </si>
  <si>
    <t>WebkitRelativePositionReplacedInTableDisplayCrashTest.java</t>
  </si>
  <si>
    <t>WebkitRelativePositionedRtlCrashTest.java</t>
  </si>
  <si>
    <t>WebkitRelayoutNestedPositionedElementsCrashTest.java</t>
  </si>
  <si>
    <t>WebkitReloadCrashIframeTest.java</t>
  </si>
  <si>
    <t>WebkitReloadCrashTest.java</t>
  </si>
  <si>
    <t>WebkitRemovalBeforeAttachCrashTest.java</t>
  </si>
  <si>
    <t>WebkitRemovalOfMulticolSpanCrashTest.java</t>
  </si>
  <si>
    <t>WebkitRemoveAllChildrenCrashTest.java</t>
  </si>
  <si>
    <t>WebkitRemoveDivFromFlexibleBoxWithFloatingAfterContentCrashTest.java</t>
  </si>
  <si>
    <t>WebkitRemoveElementFromWithinFocusHandlerCrashTest.java</t>
  </si>
  <si>
    <t>WebkitRemoveFormatNonHtmlElementCrashTest.java</t>
  </si>
  <si>
    <t>WebkitRemoveFrameWithScrollbarsCrashTest.java</t>
  </si>
  <si>
    <t>WebkitRemoveIframeCrashTest.java</t>
  </si>
  <si>
    <t>WebkitRemoveListmarkerFromAnonblockWithContinuationCrashTest.java</t>
  </si>
  <si>
    <t>WebkitRemoveNamedAttributeCrashTest.java</t>
  </si>
  <si>
    <t>WebkitRemoveReflectionCrashTest.java</t>
  </si>
  <si>
    <t>WebkitRemoveRemoteContextInErrorCallbackCrashInnerTest.java</t>
  </si>
  <si>
    <t>WebkitRemoveRemoteContextInErrorCallbackCrashTest.java</t>
  </si>
  <si>
    <t>WebkitRemoveShadowHostCrashTest.java</t>
  </si>
  <si>
    <t>WebkitRemoveTimeoutCrashTest.java</t>
  </si>
  <si>
    <t>WebkitRemovedAnonymousBlockChildCausesCrashTest.java</t>
  </si>
  <si>
    <t>WebkitRemovedContinuationElementCausesCrashTest.java</t>
  </si>
  <si>
    <t>WebkitRemovedMediaRuleDeletedParentCrashTest.java</t>
  </si>
  <si>
    <t>WebkitRemovedStylesheetRuleDeletedParentCrashTest.java</t>
  </si>
  <si>
    <t>WebkitRemovingInsideRelpositionedInlineCrashTest.java</t>
  </si>
  <si>
    <t>WebkitRemovingTextareaAfterEditCrashTest.java</t>
  </si>
  <si>
    <t>WebkitRenderTextCrashTest.java</t>
  </si>
  <si>
    <t>WebkitRenderTreeReorgCrashTest.java</t>
  </si>
  <si>
    <t>WebkitRendererDestructionByInvalidateselectionCrashTest.java</t>
  </si>
  <si>
    <t>WebkitRendererPositionedAssertCrashTest.java</t>
  </si>
  <si>
    <t>WebkitRepaintDisplayNoneCrashTest.java</t>
  </si>
  <si>
    <t>WebkitReparentTableChildrenWithCountersCrashTest.java</t>
  </si>
  <si>
    <t>WebkitReplaceSelectionCrashTest.java</t>
  </si>
  <si>
    <t>WebkitReplaceTextInNodePreservingMarkersCrashTest.java</t>
  </si>
  <si>
    <t>WebkitReplacementFragmentRemoveUnrenderedNodeCrashTest.java</t>
  </si>
  <si>
    <t>WebkitResizeLayerDeletionCrashTest.java</t>
  </si>
  <si>
    <t>WebkitRootInlineboxSelectedChildrenCrashTest.java</t>
  </si>
  <si>
    <t>WebkitRootObjectPrematureDeleteCrashTest.java</t>
  </si>
  <si>
    <t>WebkitRowInTbodyBeforeMisnestedTextCrashCssTest.java</t>
  </si>
  <si>
    <t>WebkitRtlFirstLetterTextIteratorCrashTest.java</t>
  </si>
  <si>
    <t>WebkitRtlNthChildFirstLetterCrashTest.java</t>
  </si>
  <si>
    <t>WebkitRtlSelectionCrashTest.java</t>
  </si>
  <si>
    <t>WebkitRubyBaseMergeBlockChildrenCrashTest.java</t>
  </si>
  <si>
    <t>WebkitRubyOverhangCrashTest.java</t>
  </si>
  <si>
    <t>WebkitRunInCrashTest.java</t>
  </si>
  <si>
    <t>WebkitRuninContinuationCrashTest.java</t>
  </si>
  <si>
    <t>WebkitRuninReparentCrashTest.java</t>
  </si>
  <si>
    <t>WebkitSandboxedPluginCrashTest.java</t>
  </si>
  <si>
    <t>WebkitSavedStateAdoptnodeCrashTest.java</t>
  </si>
  <si>
    <t>WebkitScriptElementWithoutFrameCrashTest.java</t>
  </si>
  <si>
    <t>WebkitScrollableIframeRemoveCrashTest.java</t>
  </si>
  <si>
    <t>WebkitScrollbarCrashOnRefreshTest.java</t>
  </si>
  <si>
    <t>WebkitScrollbarGradientCrashTest.java</t>
  </si>
  <si>
    <t>WebkitScrollbarPartCreatedWithNoParentCrashTest.java</t>
  </si>
  <si>
    <t>WebkitSearchFieldCrashInDesignmodeTest.java</t>
  </si>
  <si>
    <t>WebkitSearchPopupCrasherTest.java</t>
  </si>
  <si>
    <t>WebkitSearchShadowHostCrashTest.java</t>
  </si>
  <si>
    <t>WebkitSectionInTableBeforeMisnestedTextCrashCssTest.java</t>
  </si>
  <si>
    <t>WebkitSelectCrashZerozerooneTest.java</t>
  </si>
  <si>
    <t>WebkitSelectCrashZerozerotwoTest.java</t>
  </si>
  <si>
    <t>WebkitSelectInRegionCrashTest.java</t>
  </si>
  <si>
    <t>WebkitSelectOnchangeCrashTest.java</t>
  </si>
  <si>
    <t>WebkitSelectOptionAccesskeyCrashTest.java</t>
  </si>
  <si>
    <t>WebkitSelectStartRemoveRootCrashTest.java</t>
  </si>
  <si>
    <t>WebkitSelectedTabCrashTest.java</t>
  </si>
  <si>
    <t>WebkitSelectionGapClipOutTigerCrashTest.java</t>
  </si>
  <si>
    <t>WebkitSelectionModifyCrashTest.java</t>
  </si>
  <si>
    <t>WebkitSelectionPluginClearCrashTest.java</t>
  </si>
  <si>
    <t>WebkitSetBoxStyleInRegionCrashTest.java</t>
  </si>
  <si>
    <t>WebkitSetTypeToNullCrashTest.java</t>
  </si>
  <si>
    <t>WebkitShorthandMismatchedListCrashTest.java</t>
  </si>
  <si>
    <t>WebkitSliderCrashTest.java</t>
  </si>
  <si>
    <t>WebkitSmallCapsCrashTest.java</t>
  </si>
  <si>
    <t>WebkitSmilElementNotRemovedCrashTest.java</t>
  </si>
  <si>
    <t>WebkitSortNoJitCodeCrashTest.java</t>
  </si>
  <si>
    <t>WebkitSpellcheckApiCrashTest.java</t>
  </si>
  <si>
    <t>WebkitSpellcheckInputSearchCrashTest.java</t>
  </si>
  <si>
    <t>WebkitSplitFlowAnonymousWrapperCrashTest.java</t>
  </si>
  <si>
    <t>WebkitSplitInlineWrongPostBlockCrashTest.java</t>
  </si>
  <si>
    <t>WebkitStaleGridCrashTest.java</t>
  </si>
  <si>
    <t>WebkitStaleStyleSelectorCrashOneTest.java</t>
  </si>
  <si>
    <t>WebkitStaleStyleSelectorCrashTwoTest.java</t>
  </si>
  <si>
    <t>WebkitStateApiOnDetachedFrameCrashTest.java</t>
  </si>
  <si>
    <t>WebkitStatementListRegisterCrashTest.java</t>
  </si>
  <si>
    <t>WebkitStopCrashTest.java</t>
  </si>
  <si>
    <t>WebkitStringReplaceExceptionCrashTest.java</t>
  </si>
  <si>
    <t>WebkitStyleAccessDuringImagechangedCrashTest.java</t>
  </si>
  <si>
    <t>WebkitStyledCloneInlineStyleDeclParentCrashTest.java</t>
  </si>
  <si>
    <t>WebkitStyledNotInDocumentCloneInlineStyleDeclParentCrashTest.java</t>
  </si>
  <si>
    <t>WebkitStylesheetCandidateNodeCrashMainTest.java</t>
  </si>
  <si>
    <t>WebkitSubframeLoadCrashMainTest.java</t>
  </si>
  <si>
    <t>WebkitSubresourceLoadFailedCrashTest.java</t>
  </si>
  <si>
    <t>WebkitSvgBackgroundCrashOnRefreshTest.java</t>
  </si>
  <si>
    <t>WebkitSvgEllipseRenderCrashTest.java</t>
  </si>
  <si>
    <t>WebkitSvgRtlTextCrashTest.java</t>
  </si>
  <si>
    <t>WebkitSvglengthAnimationRetargetCrashTest.java</t>
  </si>
  <si>
    <t>WebkitSvgpolygonelementBasevalListRemovalCrashTest.java</t>
  </si>
  <si>
    <t>WebkitSvgstyledelementPendingresourceCrashTest.java</t>
  </si>
  <si>
    <t>WebkitSwitchMultipleListItemsCrashTest.java</t>
  </si>
  <si>
    <t>WebkitTabCrashWithImageMapTest.java</t>
  </si>
  <si>
    <t>WebkitTableAnonymousBlockDestroyCrashTest.java</t>
  </si>
  <si>
    <t>WebkitTableCaptionsChildVisibleCrashTest.java</t>
  </si>
  <si>
    <t>WebkitTableColumnsBlocksCalcCrashTest.java</t>
  </si>
  <si>
    <t>WebkitTableContinuationOutlinePaintCrashTest.java</t>
  </si>
  <si>
    <t>WebkitTableModificationCrashTest.java</t>
  </si>
  <si>
    <t>WebkitTableMultiColumnCrashTest.java</t>
  </si>
  <si>
    <t>WebkitTableResidualStyleCrashTest.java</t>
  </si>
  <si>
    <t>WebkitTableRowAfterNoCrashTest.java</t>
  </si>
  <si>
    <t>WebkitTableRowCompositingRepaintCrashTest.java</t>
  </si>
  <si>
    <t>WebkitTableSectionNodeAtPointCrashTest.java</t>
  </si>
  <si>
    <t>WebkitTableWithEmptyTheadCausesCrashTest.java</t>
  </si>
  <si>
    <t>WebkitTeardownCrashTest.java</t>
  </si>
  <si>
    <t>WebkitTemporarySpanCrashTest.java</t>
  </si>
  <si>
    <t>WebkitTextBeforeTableColCrashTest.java</t>
  </si>
  <si>
    <t>WebkitTextContentCrashTest.java</t>
  </si>
  <si>
    <t>WebkitTextContentCrashTwoTest.java</t>
  </si>
  <si>
    <t>WebkitTextControlCrashOnSelectTest.java</t>
  </si>
  <si>
    <t>WebkitTextControlSelectionCrashTest.java</t>
  </si>
  <si>
    <t>WebkitTextFieldSetvalueCrashTest.java</t>
  </si>
  <si>
    <t>WebkitTextNodeAppendDataRemoveCrashTest.java</t>
  </si>
  <si>
    <t>WebkitTextSetValueCrashTest.java</t>
  </si>
  <si>
    <t>WebkitTextStyleRecalcCrashTest.java</t>
  </si>
  <si>
    <t>WebkitTextareaCheckvalidityCrashTest.java</t>
  </si>
  <si>
    <t>WebkitTextareaNodeRemovedFromDocumentCrashTest.java</t>
  </si>
  <si>
    <t>WebkitTextareaSubmitCrashTest.java</t>
  </si>
  <si>
    <t>WebkitTextboxNotRemovedCrashTest.java</t>
  </si>
  <si>
    <t>WebkitTextboxRoleOnContenteditableCrashTest.java</t>
  </si>
  <si>
    <t>WebkitThumbsliderCrashTest.java</t>
  </si>
  <si>
    <t>WebkitToggleReflectionCrashTest.java</t>
  </si>
  <si>
    <t>WebkitTouchStaleNodeCrashTest.java</t>
  </si>
  <si>
    <t>WebkitTrackTextTrackDestructorCrashTest.java</t>
  </si>
  <si>
    <t>WebkitTransactionCallbackExceptionCrashTest.java</t>
  </si>
  <si>
    <t>WebkitTransactionCrashOnAbortTest.java</t>
  </si>
  <si>
    <t>WebkitTransformCrashTest.java</t>
  </si>
  <si>
    <t>WebkitTransitionCacheDictionaryCrashTest.java</t>
  </si>
  <si>
    <t>WebkitTransitionDurationClearedInTransitionendCrashTest.java</t>
  </si>
  <si>
    <t>WebkitTreeScopeCrashTest.java</t>
  </si>
  <si>
    <t>WebkitTrefCloneCrashTest.java</t>
  </si>
  <si>
    <t>WebkitTryCatchCrashTest.java</t>
  </si>
  <si>
    <t>WebkitTwodTest.java</t>
  </si>
  <si>
    <t>WebkitTypeofCodegenCrashTest.java</t>
  </si>
  <si>
    <t>WebkitUndefinedPropertyCrashTest.java</t>
  </si>
  <si>
    <t>WebkitUndoCrashTest.java</t>
  </si>
  <si>
    <t>WebkitUnexpectedConstantCrashTest.java</t>
  </si>
  <si>
    <t>WebkitUniscribeItemBoundaryCrashTest.java</t>
  </si>
  <si>
    <t>WebkitUnsupportedAttributeDoesNotCrashTest.java</t>
  </si>
  <si>
    <t>WebkitUpdateAlwaysCreateLineBoxesFullLayoutCrashTest.java</t>
  </si>
  <si>
    <t>WebkitUpdateFromElementDuringEditingCrashOneTest.java</t>
  </si>
  <si>
    <t>WebkitUpdateFromElementDuringEditingCrashTwoTest.java</t>
  </si>
  <si>
    <t>WebkitUpdateMidpointsForTrailingBoxesCrashTest.java</t>
  </si>
  <si>
    <t>WebkitUpdateWidgetsCrashTest.java</t>
  </si>
  <si>
    <t>WebkitUpdatingAttributeInTableCausesCrashTest.java</t>
  </si>
  <si>
    <t>WebkitUpdatingAttributeInTableRowCrashTest.java</t>
  </si>
  <si>
    <t>WebkitUseStyleRecalcScriptExecuteCrashTest.java</t>
  </si>
  <si>
    <t>WebkitUserStylesheetCrashTest.java</t>
  </si>
  <si>
    <t>WebkitValueListOutOfBoundsCrashTest.java</t>
  </si>
  <si>
    <t>WebkitValueWithoutSelectionCrashTest.java</t>
  </si>
  <si>
    <t>WebkitVarShadowsArgCrashTest.java</t>
  </si>
  <si>
    <t>WebkitVarShadowsArgGcCrashTest.java</t>
  </si>
  <si>
    <t>WebkitVideoDisplayNoneCrashTest.java</t>
  </si>
  <si>
    <t>WebkitVideoElementOtherNamespaceCrashTest.java</t>
  </si>
  <si>
    <t>WebkitVideoLayerCrashTest.java</t>
  </si>
  <si>
    <t>WebkitVisiblePositionCrashForTextNodeTest.java</t>
  </si>
  <si>
    <t>WebkitVkernElementCrashTest.java</t>
  </si>
  <si>
    <t>WebkitWbrInMrootCrashTest.java</t>
  </si>
  <si>
    <t>WebkitWbrInPreCrashTest.java</t>
  </si>
  <si>
    <t>WebkitWindowCloseCrashTest.java</t>
  </si>
  <si>
    <t>WebkitWindowClosedCrashTest.java</t>
  </si>
  <si>
    <t>WebkitWindowCollectionLengthNoCrashTest.java</t>
  </si>
  <si>
    <t>WebkitWindowCustomPrototypeCrashTest.java</t>
  </si>
  <si>
    <t>WebkitWindowDomurlCrashTest.java</t>
  </si>
  <si>
    <t>WebkitWindowEventOverrideNoCrashTest.java</t>
  </si>
  <si>
    <t>WebkitWordBreakNextLineboxNotDirtyCrashMainTest.java</t>
  </si>
  <si>
    <t>WebkitWordBreakNextLineboxNotDirtyCrashTest.java</t>
  </si>
  <si>
    <t>WebkitWorkerCrashWithInvalidLocationTest.java</t>
  </si>
  <si>
    <t>WebkitWorkerFinishCrashTest.java</t>
  </si>
  <si>
    <t>WebkitXFrameOptionsDetachedDocumentCrashTest.java</t>
  </si>
  <si>
    <t>WebkitXmlhttprequestPostCrashTest.java</t>
  </si>
  <si>
    <t>WebkitXpathDetachedIframeResolverCrashTest.java</t>
  </si>
  <si>
    <t>WebkitXpathResultEventlistenerCrashTest.java</t>
  </si>
  <si>
    <t>WebkitXsltTransformToFragmentCrashTest.java</t>
  </si>
  <si>
    <t>WebkitXssAuditorDoesntCrashOnPostSubmitTest.java</t>
  </si>
  <si>
    <t>WebkitZeroColspanCrashTest.java</t>
  </si>
  <si>
    <t>AttachShaderTest.java</t>
  </si>
  <si>
    <t>CacheManager_CacheResultTest.java</t>
  </si>
  <si>
    <t>MediaPlayerFlakyNetworkTest.java</t>
  </si>
  <si>
    <t>StreamingMediaPlayerTest.java</t>
  </si>
  <si>
    <t>NativeAttachShaderTest.java</t>
  </si>
  <si>
    <t>AllocationTest.java</t>
  </si>
  <si>
    <t>ForEachBoundsTest.java</t>
  </si>
  <si>
    <t>CtsUiAutomatorTest.java</t>
  </si>
  <si>
    <t>LaunchBrowserTest.java</t>
  </si>
  <si>
    <t>BrowserTest.java</t>
  </si>
  <si>
    <t>HttpAuthHandlerTest.java</t>
  </si>
  <si>
    <t>SensorTest.java</t>
  </si>
  <si>
    <t>SeccompTest.java</t>
  </si>
  <si>
    <t>BrowserBenchTest.java</t>
  </si>
  <si>
    <t>BandwidthTest.java</t>
  </si>
  <si>
    <t>AlmostFullTest.java</t>
  </si>
  <si>
    <t>RandomRWTest.java</t>
  </si>
  <si>
    <t>SequentialRWTest.java</t>
  </si>
  <si>
    <t>SimpleCpuTest.java</t>
  </si>
  <si>
    <t>FpsTest.java</t>
  </si>
  <si>
    <t>VideoEncoderDecoderTest.java</t>
  </si>
  <si>
    <t>BootupTimeTest.java</t>
  </si>
  <si>
    <t>TaskswitchingDeviceTest.java</t>
  </si>
  <si>
    <t>InstallTimeTest.java</t>
  </si>
  <si>
    <t>TaskSwitchingTest.java</t>
  </si>
  <si>
    <t>DnsTest.java</t>
  </si>
  <si>
    <t>PtsHostJankTest.java</t>
  </si>
  <si>
    <t>KernelSettingsTest.java</t>
  </si>
  <si>
    <t>CrossTest.java</t>
  </si>
  <si>
    <t>ExternalStorageTest.java</t>
  </si>
  <si>
    <t>CameraDeviceTest.java</t>
  </si>
  <si>
    <t>ContactsProviderTest.java</t>
  </si>
  <si>
    <t>MediaStoreIntentsTest.java</t>
  </si>
  <si>
    <t>SensorAccelerometerTest.java</t>
  </si>
  <si>
    <t>SensorGyroscopeTest.java</t>
  </si>
  <si>
    <t>SensorMagneticFieldTest.java</t>
  </si>
  <si>
    <t>UrlInterceptRegistryTest.java</t>
  </si>
  <si>
    <t>LocationModeTest.java</t>
  </si>
  <si>
    <t>CertificateTest.java</t>
  </si>
  <si>
    <t>ExampleSecondaryTest.java</t>
  </si>
  <si>
    <t>ExampleTest.java</t>
  </si>
  <si>
    <t>TypedValueTest.java</t>
  </si>
  <si>
    <t>ClonedSecureRandomTest.java</t>
  </si>
  <si>
    <t>TestScannerTest.java</t>
  </si>
  <si>
    <t>AcosPiTest.java</t>
  </si>
  <si>
    <t>AcosTest.java</t>
  </si>
  <si>
    <t>AcoshTest.java</t>
  </si>
  <si>
    <t>AsinPiTest.java</t>
  </si>
  <si>
    <t>AsinTest.java</t>
  </si>
  <si>
    <t>AsinhTest.java</t>
  </si>
  <si>
    <t>Atan2PiTest.java</t>
  </si>
  <si>
    <t>Atan2Test.java</t>
  </si>
  <si>
    <t>AtanPiTest.java</t>
  </si>
  <si>
    <t>AtanTest.java</t>
  </si>
  <si>
    <t>AtanhTest.java</t>
  </si>
  <si>
    <t>CbrtTest.java</t>
  </si>
  <si>
    <t>CeilTest.java</t>
  </si>
  <si>
    <t>CopysignTest.java</t>
  </si>
  <si>
    <t>CosTest.java</t>
  </si>
  <si>
    <t>CoshTest.java</t>
  </si>
  <si>
    <t>DegreesTest.java</t>
  </si>
  <si>
    <t>Exp10Test.java</t>
  </si>
  <si>
    <t>Exp2Test.java</t>
  </si>
  <si>
    <t>ExpTest.java</t>
  </si>
  <si>
    <t>Expm1Test.java</t>
  </si>
  <si>
    <t>FabsTest.java</t>
  </si>
  <si>
    <t>FdimTest.java</t>
  </si>
  <si>
    <t>FloorTest.java</t>
  </si>
  <si>
    <t>FmaTest.java</t>
  </si>
  <si>
    <t>FmaxTest.java</t>
  </si>
  <si>
    <t>FminTest.java</t>
  </si>
  <si>
    <t>FmodTest.java</t>
  </si>
  <si>
    <t>HypotTest.java</t>
  </si>
  <si>
    <t>Log10Test.java</t>
  </si>
  <si>
    <t>Log1PTest.java</t>
  </si>
  <si>
    <t>Log2Test.java</t>
  </si>
  <si>
    <t>LogTest.java</t>
  </si>
  <si>
    <t>LogbTest.java</t>
  </si>
  <si>
    <t>MadTest.java</t>
  </si>
  <si>
    <t>NextafterTest.java</t>
  </si>
  <si>
    <t>PowTest.java</t>
  </si>
  <si>
    <t>PownTest.java</t>
  </si>
  <si>
    <t>PowrTest.java</t>
  </si>
  <si>
    <t>RadiansTest.java</t>
  </si>
  <si>
    <t>RemainderTest.java</t>
  </si>
  <si>
    <t>RintTest.java</t>
  </si>
  <si>
    <t>RootnTest.java</t>
  </si>
  <si>
    <t>RoundTest.java</t>
  </si>
  <si>
    <t>RsFracTest.java</t>
  </si>
  <si>
    <t>RsqrtTest.java</t>
  </si>
  <si>
    <t>SignTest.java</t>
  </si>
  <si>
    <t>SinTest.java</t>
  </si>
  <si>
    <t>SinhTest.java</t>
  </si>
  <si>
    <t>SqrtTest.java</t>
  </si>
  <si>
    <t>StepTest.java</t>
  </si>
  <si>
    <t>TanTest.java</t>
  </si>
  <si>
    <t>TanhTest.java</t>
  </si>
  <si>
    <t>TruncTest.java</t>
  </si>
  <si>
    <t>Vp8EncoderTest.java</t>
  </si>
  <si>
    <t>EncodeVirtualDisplayWithCompositionTest.java</t>
  </si>
  <si>
    <t>SensorCtsHelperTest.java</t>
  </si>
  <si>
    <t>SensorVerificationHelperTest.java</t>
  </si>
  <si>
    <t>RSInterPredTest.java</t>
  </si>
  <si>
    <t>AccessibilityTextTraversalTest.java</t>
  </si>
  <si>
    <t>VectorDrawableTest.java</t>
  </si>
  <si>
    <t>CameraCharacteristicsTest.java</t>
  </si>
  <si>
    <t>ImageReaderTest.java</t>
  </si>
  <si>
    <t>ResolveInfo_DisplayNameComparatorTest.java</t>
  </si>
  <si>
    <t>RecordingTest.java</t>
  </si>
  <si>
    <t>BitmapDrawableTest.java</t>
  </si>
  <si>
    <t>ColorDrawableTest.java</t>
  </si>
  <si>
    <t>DrawableContainerTest.java</t>
  </si>
  <si>
    <t>NinePatchDrawableTest.java</t>
  </si>
  <si>
    <t>HoloTest.java</t>
  </si>
  <si>
    <t>CookieSyncManagerTest.java</t>
  </si>
  <si>
    <t>ContactsContract_PinnedPositionsTest.java</t>
  </si>
  <si>
    <t>CookieManagerTest.java</t>
  </si>
  <si>
    <t>SELinuxTest.java</t>
  </si>
  <si>
    <t>TimeTest.java</t>
  </si>
  <si>
    <t>AppWidgetTest.java</t>
  </si>
  <si>
    <t>TvInputManagerTest.java</t>
  </si>
  <si>
    <t>ScriptCTest.java</t>
  </si>
  <si>
    <t>BaseObjTest.java</t>
  </si>
  <si>
    <t>ContextCreationTest.java</t>
  </si>
  <si>
    <t>FileA3DTest.java</t>
  </si>
  <si>
    <t>MeshTest.java</t>
  </si>
  <si>
    <t>ProgramFragmentFixedFunctionTest.java</t>
  </si>
  <si>
    <t>ProgramFragmentTest.java</t>
  </si>
  <si>
    <t>ProgramRasterTest.java</t>
  </si>
  <si>
    <t>ProgramStoreTest.java</t>
  </si>
  <si>
    <t>ProgramVertexFixedFunctionTest.java</t>
  </si>
  <si>
    <t>ProgramVertexTest.java</t>
  </si>
  <si>
    <t>RSSurfaceViewTest.java</t>
  </si>
  <si>
    <t>SurfaceConfigTest.java</t>
  </si>
  <si>
    <t>SimRestrictedApisTest.java</t>
  </si>
  <si>
    <t>SqliteJournalLeakTest.java</t>
  </si>
  <si>
    <t>AccessibilityWindowQueryTest.java</t>
  </si>
  <si>
    <t>ConnectionTest.java</t>
  </si>
  <si>
    <t>TelecomManagerTest.java</t>
  </si>
  <si>
    <t>NoReadLogsPermissionTest.java</t>
  </si>
  <si>
    <t>ConnectivityManagerPermissionTest.java</t>
  </si>
  <si>
    <t>NoNetworkStatePermissionTest.java</t>
  </si>
  <si>
    <t>AudioEffectTest.java</t>
  </si>
  <si>
    <t>SigNumVerificationTest.java</t>
  </si>
  <si>
    <t>RSLoopFilterTest.java</t>
  </si>
  <si>
    <t>ManagedProfileSetupTest.java</t>
  </si>
  <si>
    <t>NoExecutePermissionTest.java</t>
  </si>
  <si>
    <t>AnimationDrawableTest.java</t>
  </si>
  <si>
    <t>SELinuxHostTest.java</t>
  </si>
  <si>
    <t>MediaCodecListTest.java</t>
  </si>
  <si>
    <t>NativeCodeTest.java</t>
  </si>
  <si>
    <t>BannedFilesTest.java</t>
  </si>
  <si>
    <t>SettingsIntentsTest.java</t>
  </si>
  <si>
    <t>ManagedProfileTest.java</t>
  </si>
  <si>
    <t>SettingsTest.java</t>
  </si>
  <si>
    <t>AllocationCopyToTest.java</t>
  </si>
  <si>
    <t>KeystoreExploitTest.java</t>
  </si>
  <si>
    <t>RSAllocationTest.java</t>
  </si>
  <si>
    <t>AndroidKeyStoreTest.java</t>
  </si>
  <si>
    <t>DecoderTest.java</t>
  </si>
  <si>
    <t>HttpResponseCacheTest.java</t>
  </si>
  <si>
    <t>HardwareNameTest.java</t>
  </si>
  <si>
    <t>YuvTest.java</t>
  </si>
  <si>
    <t>ARTBootASLRTest.java</t>
  </si>
  <si>
    <t>NfcProvisioningSetupWizardConfigTest.java</t>
  </si>
  <si>
    <t>LowRamDeviceTest.java</t>
  </si>
  <si>
    <t>AndroidKeyPairGeneratorTest.java</t>
  </si>
  <si>
    <t>JavaScannerTest.java</t>
  </si>
  <si>
    <t>NativeScannerTest.java</t>
  </si>
  <si>
    <t>XmlPlanGeneratorTest.java</t>
  </si>
  <si>
    <t>KeyPairGeneratorSpecTest.java</t>
  </si>
  <si>
    <t>FloatMathTest.java</t>
  </si>
  <si>
    <t>SubscriptionManagerTest.java</t>
  </si>
  <si>
    <t>ContactsContract_AuthorizationTest.java</t>
  </si>
  <si>
    <t>WebGLTest.java</t>
  </si>
  <si>
    <t>CompatibilityBuildProviderTest.java</t>
  </si>
  <si>
    <t>AnimatedVectorDrawableTest.java</t>
  </si>
  <si>
    <t>SampleDeviceResultTest.java</t>
  </si>
  <si>
    <t>ProviderPermissionTest.java</t>
  </si>
  <si>
    <t>SeccompBpfTest.java</t>
  </si>
  <si>
    <t>ApacheHttpClientTest.java</t>
  </si>
  <si>
    <t>KeyPairGeneratorTest.java</t>
  </si>
  <si>
    <t>BuildHelperTest.java</t>
  </si>
  <si>
    <t>ReadSocialStreamPermissionTest.java</t>
  </si>
  <si>
    <t>WriteSocialStreamPermissionTest.java</t>
  </si>
  <si>
    <t>LayerDrawableTest.java</t>
  </si>
  <si>
    <t>AccountManagerTest.java</t>
  </si>
  <si>
    <t>CallDetailsTest.java</t>
  </si>
  <si>
    <t>TextView_SaveStateTest.java</t>
  </si>
  <si>
    <t>TvPermissionTest.java</t>
  </si>
  <si>
    <t>KeyChainTest.java</t>
  </si>
  <si>
    <t>ViewTreeObserverTest.java</t>
  </si>
  <si>
    <t>NotificationTest.java</t>
  </si>
  <si>
    <t>SearchDialogTest.java</t>
  </si>
  <si>
    <t>StatisticsUtilsTest.java</t>
  </si>
  <si>
    <t>StatTest.java</t>
  </si>
  <si>
    <t>ReportLogTest.java</t>
  </si>
  <si>
    <t>MacTest.java</t>
  </si>
  <si>
    <t>EventOrderingVerificationTest.java</t>
  </si>
  <si>
    <t>ModuleDefTest.java</t>
  </si>
  <si>
    <t>TestFilterTest.java</t>
  </si>
  <si>
    <t>WipeDataTest.java</t>
  </si>
  <si>
    <t>DeviceOwnerTest.java</t>
  </si>
  <si>
    <t>DeqpTestRunnerTest.java</t>
  </si>
  <si>
    <t>TelephonyProviderTest.java</t>
  </si>
  <si>
    <t>DisableContextTest.java</t>
  </si>
  <si>
    <t>AnnotationCompareTest.java</t>
  </si>
  <si>
    <t>ClassCompareTest.java</t>
  </si>
  <si>
    <t>PackageCompareTest.java</t>
  </si>
  <si>
    <t>ConvertAnnotationTest.java</t>
  </si>
  <si>
    <t>ConvertClassTest.java</t>
  </si>
  <si>
    <t>ConvertEnumTest.java</t>
  </si>
  <si>
    <t>ConvertPackageTest.java</t>
  </si>
  <si>
    <t>ConvertParameterizedTypeTest.java</t>
  </si>
  <si>
    <t>ConvertVisibilityTest.java</t>
  </si>
  <si>
    <t>ConvertWildcardTest.java</t>
  </si>
  <si>
    <t>DexExternalizerTest.java</t>
  </si>
  <si>
    <t>DexUtilTest.java</t>
  </si>
  <si>
    <t>GenericSignatureParserTest.java</t>
  </si>
  <si>
    <t>CompatibilityBuildHelperTest.java</t>
  </si>
  <si>
    <t>OutgoingCallTest.java</t>
  </si>
  <si>
    <t>AudioPolicyBinderTest.java</t>
  </si>
  <si>
    <t>MediaPlayerInfoLeakTest.java</t>
  </si>
  <si>
    <t>WiredHeadsetTest.java</t>
  </si>
  <si>
    <t>MediaCryptoTest.java</t>
  </si>
  <si>
    <t>ProtectedBroadcastsTest.java</t>
  </si>
  <si>
    <t>PreconditionsTest.java</t>
  </si>
  <si>
    <t>LocaleCheckTest.java</t>
  </si>
  <si>
    <t>ResultReporterTest.java</t>
  </si>
  <si>
    <t>HostPreconditionPreparerTest.java</t>
  </si>
  <si>
    <t>PermissionPolicyTest.java</t>
  </si>
  <si>
    <t>MediaMetadataRetrieverTest.java</t>
  </si>
  <si>
    <t>FragmentTransitionTest.java</t>
  </si>
  <si>
    <t>SampleHostTest.java</t>
  </si>
  <si>
    <t>SampleDeviceTest.java</t>
  </si>
  <si>
    <t>AccountUtilsTest.java</t>
  </si>
  <si>
    <t>DeviceAndProfileOwnerTest.java</t>
  </si>
  <si>
    <t>AbsSeekBarTest.java</t>
  </si>
  <si>
    <t>VulkanReservedTest.java</t>
  </si>
  <si>
    <t>ActiveTileServiceTest.java</t>
  </si>
  <si>
    <t>TileServiceTest.java</t>
  </si>
  <si>
    <t>StagefrightFoundationTest.java</t>
  </si>
  <si>
    <t>BaseDeviceAdminHostSideTest.java</t>
  </si>
  <si>
    <t>TvContractTest.java</t>
  </si>
  <si>
    <t>ClearDeviceOwnerTest.java</t>
  </si>
  <si>
    <t>DocumentsClientTest.java</t>
  </si>
  <si>
    <t>MixedProfileOwnerTest.java</t>
  </si>
  <si>
    <t>LinkTest.java</t>
  </si>
  <si>
    <t>StaticMetadataCollectionTest.java</t>
  </si>
  <si>
    <t>CarConnectionListenerTest.java</t>
  </si>
  <si>
    <t>ArgbEvaluatorTest.java</t>
  </si>
  <si>
    <t>IntEvaluatorTest.java</t>
  </si>
  <si>
    <t>AvoidXfermodeTest.java</t>
  </si>
  <si>
    <t>AvoidXfermode_ModeTest.java</t>
  </si>
  <si>
    <t>PixelXorXfermodeTest.java</t>
  </si>
  <si>
    <t>DrawableContainerStateTest.java</t>
  </si>
  <si>
    <t>Drawable_ConstantStateTest.java</t>
  </si>
  <si>
    <t>BackspaceTest.java</t>
  </si>
  <si>
    <t>ForwardDeleteTest.java</t>
  </si>
  <si>
    <t>GnssMeasurementTest.java</t>
  </si>
  <si>
    <t>ColorStateListTest.java</t>
  </si>
  <si>
    <t>PopupMenuTest.java</t>
  </si>
  <si>
    <t>GestureDescriptionTest.java</t>
  </si>
  <si>
    <t>RestrictedInformationTest.java</t>
  </si>
  <si>
    <t>DocumentsTest.java</t>
  </si>
  <si>
    <t>TimingConstraintsTest.java</t>
  </si>
  <si>
    <t>UiAutomatorTest.java</t>
  </si>
  <si>
    <t>UiAutomationTest.java</t>
  </si>
  <si>
    <t>AudioEffectBinderTest.java</t>
  </si>
  <si>
    <t>AudioFlingerBinderTest.java</t>
  </si>
  <si>
    <t>GraphicBufferInfoLeakTest.java</t>
  </si>
  <si>
    <t>LoadEffectLibraryTest.java</t>
  </si>
  <si>
    <t>GnssNavigationMessageEventTest.java</t>
  </si>
  <si>
    <t>SpinnerTest.java</t>
  </si>
  <si>
    <t>LinkifyTest.java</t>
  </si>
  <si>
    <t>CustomPrintOptionsTest.java</t>
  </si>
  <si>
    <t>ConferenceTest.java</t>
  </si>
  <si>
    <t>ExternalCallTest.java</t>
  </si>
  <si>
    <t>RemoteConferenceTest.java</t>
  </si>
  <si>
    <t>RemoteConnectionTest.java</t>
  </si>
  <si>
    <t>X509TrustManagerExtensionsTest.java</t>
  </si>
  <si>
    <t>RadioButtonTest.java</t>
  </si>
  <si>
    <t>ImageButtonTest.java</t>
  </si>
  <si>
    <t>RemoteBugreportTest.java</t>
  </si>
  <si>
    <t>CheckedTextViewTest.java</t>
  </si>
  <si>
    <t>InputMethodServiceTest.java</t>
  </si>
  <si>
    <t>UsePermissionTest.java</t>
  </si>
  <si>
    <t>AllocatePixelRefIntOverflowTest.java</t>
  </si>
  <si>
    <t>SkiaICORecursiveDecodingTest.java</t>
  </si>
  <si>
    <t>ClearProfileOwnerTest.java</t>
  </si>
  <si>
    <t>PermissionsHostTest.java</t>
  </si>
  <si>
    <t>ShortcutManagerDynamicCountTest.java</t>
  </si>
  <si>
    <t>ShortcutManagerNoThrottlingTest.java</t>
  </si>
  <si>
    <t>ShortcutManagerSpoofDetectionTest.java</t>
  </si>
  <si>
    <t>ShortcutManagerThrottlingTest.java</t>
  </si>
  <si>
    <t>CompilationTest.java</t>
  </si>
  <si>
    <t>FileChannelTryLockTest.java</t>
  </si>
  <si>
    <t>DecodeAccuracyTest.java</t>
  </si>
  <si>
    <t>KeyguardManagerTest.java</t>
  </si>
  <si>
    <t>ActivityManagerTest.java</t>
  </si>
  <si>
    <t>SustainedPerformanceHostTest.java</t>
  </si>
  <si>
    <t>DisplayDriverTest.java</t>
  </si>
  <si>
    <t>CreateAndManageUserTest.java</t>
  </si>
  <si>
    <t>LargeApkTest.java</t>
  </si>
  <si>
    <t>AdbRootDependentCompilationTest.java</t>
  </si>
  <si>
    <t>DragAndDropTest.java</t>
  </si>
  <si>
    <t>ValueAnimatorTest.java</t>
  </si>
  <si>
    <t>VrSensorsTest.java</t>
  </si>
  <si>
    <t>VideoDecoderPerfTest.java</t>
  </si>
  <si>
    <t>MatrixTest.java</t>
  </si>
  <si>
    <t>ListViewTest.java</t>
  </si>
  <si>
    <t>MetricsStoreTest.java</t>
  </si>
  <si>
    <t>AbsSavedStateTest.java</t>
  </si>
  <si>
    <t>AnimatorListenerAdapterTest.java</t>
  </si>
  <si>
    <t>RemoteViewsTest.java</t>
  </si>
  <si>
    <t>AbsSpinnerTest.java</t>
  </si>
  <si>
    <t>AbsoluteLayoutTest.java</t>
  </si>
  <si>
    <t>AdapterViewTest.java</t>
  </si>
  <si>
    <t>AnalogClockTest.java</t>
  </si>
  <si>
    <t>ArrayAdapterTest.java</t>
  </si>
  <si>
    <t>DialerFilterTest.java</t>
  </si>
  <si>
    <t>ExpandableListViewTest.java</t>
  </si>
  <si>
    <t>FrameLayoutTest.java</t>
  </si>
  <si>
    <t>HorizontalScrollViewTest.java</t>
  </si>
  <si>
    <t>RelativeLayoutTest.java</t>
  </si>
  <si>
    <t>ScrollViewTest.java</t>
  </si>
  <si>
    <t>WebViewStartupTest.java</t>
  </si>
  <si>
    <t>SlidingDrawerTest.java</t>
  </si>
  <si>
    <t>TabHostTest.java</t>
  </si>
  <si>
    <t>TabWidgetTest.java</t>
  </si>
  <si>
    <t>ToastTest.java</t>
  </si>
  <si>
    <t>ZoomButtonTest.java</t>
  </si>
  <si>
    <t>ZoomControlsTest.java</t>
  </si>
  <si>
    <t>InputContentInfoTest.java</t>
  </si>
  <si>
    <t>LayoutInflaterTest.java</t>
  </si>
  <si>
    <t>MenuInflaterTest.java</t>
  </si>
  <si>
    <t>AudioPolicyServiceTest.java</t>
  </si>
  <si>
    <t>MediaRouterTest.java</t>
  </si>
  <si>
    <t>KeyCharacterMapTest.java</t>
  </si>
  <si>
    <t>View_MeasureSpecTest.java</t>
  </si>
  <si>
    <t>WindowManager_LayoutParamsTest.java</t>
  </si>
  <si>
    <t>AnimatorSetTest.java</t>
  </si>
  <si>
    <t>PrintDocumentAdapterContractTest.java</t>
  </si>
  <si>
    <t>PrintServicesTest.java</t>
  </si>
  <si>
    <t>PrinterInfoTest.java</t>
  </si>
  <si>
    <t>CharacterPickerDialogTest.java</t>
  </si>
  <si>
    <t>ReplacementTransformationMethodTest.java</t>
  </si>
  <si>
    <t>BulletSpanTest.java</t>
  </si>
  <si>
    <t>SpannableStringBuilderTest.java</t>
  </si>
  <si>
    <t>LevelListDrawableTest.java</t>
  </si>
  <si>
    <t>RotateDrawableTest.java</t>
  </si>
  <si>
    <t>StateListDrawableTest.java</t>
  </si>
  <si>
    <t>ColorTest.java</t>
  </si>
  <si>
    <t>TypefaceTest.java</t>
  </si>
  <si>
    <t>PixelCopyTest.java</t>
  </si>
  <si>
    <t>MotionEventTest.java</t>
  </si>
  <si>
    <t>AbiUtilsTest.java</t>
  </si>
  <si>
    <t>FileChannelInterProcessLockTest.java</t>
  </si>
  <si>
    <t>LocalSocketTest.java</t>
  </si>
  <si>
    <t>MediaServerCrashTest.java</t>
  </si>
  <si>
    <t>ProfileOwnerTest.java</t>
  </si>
  <si>
    <t>DeviceInfoCollectorFuncTest.java</t>
  </si>
  <si>
    <t>CtsXmlResultReporterTest.java</t>
  </si>
  <si>
    <t>TestLogTest.java</t>
  </si>
  <si>
    <t>TestPackageResultTest.java</t>
  </si>
  <si>
    <t>TestResultsTest.java</t>
  </si>
  <si>
    <t>TestSummaryXmlTest.java</t>
  </si>
  <si>
    <t>CtsTestTest.java</t>
  </si>
  <si>
    <t>GeeTestTest.java</t>
  </si>
  <si>
    <t>JarHostTestTest.java</t>
  </si>
  <si>
    <t>TestPackageDefTest.java</t>
  </si>
  <si>
    <t>TestPackageXmlParserTest.java</t>
  </si>
  <si>
    <t>TestPlanTest.java</t>
  </si>
  <si>
    <t>WrappedGTestResultParserTest.java</t>
  </si>
  <si>
    <t>ExceptionsTest.java</t>
  </si>
  <si>
    <t>CarInfoManagerTest.java</t>
  </si>
  <si>
    <t>AccessibilitySoftKeyboardModesTest.java</t>
  </si>
  <si>
    <t>MixedManagedProfileOwnerTest.java</t>
  </si>
  <si>
    <t>HalfTest.java</t>
  </si>
  <si>
    <t>NotificationManagerTest.java</t>
  </si>
  <si>
    <t>UsbDebuggingAuthWithoutUnlockTest.java</t>
  </si>
  <si>
    <t>DisplayTest.java</t>
  </si>
  <si>
    <t>ModuleRepoTest.java</t>
  </si>
  <si>
    <t>BluetoothRestrictionTest.java</t>
  </si>
  <si>
    <t>MediaPreparerTest.java</t>
  </si>
  <si>
    <t>CompatibilityConsoleTest.java</t>
  </si>
  <si>
    <t>LayerRasterizerTest.java</t>
  </si>
  <si>
    <t>RasterizerTest.java</t>
  </si>
  <si>
    <t>RasterizerSpanTest.java</t>
  </si>
  <si>
    <t>AppUsagePreparerAppTest.java</t>
  </si>
  <si>
    <t>DeviceOwnerBindDeviceAdminServiceTest.java</t>
  </si>
  <si>
    <t>ManagedProfileBindDeviceAdminServiceTest.java</t>
  </si>
  <si>
    <t>MediaRecorderTest.java</t>
  </si>
  <si>
    <t>NotificationChannelTest.java</t>
  </si>
  <si>
    <t>EncryptionTest.java</t>
  </si>
  <si>
    <t>DeviceOwnerCompTest.java</t>
  </si>
  <si>
    <t>DeviceOwnerPlusManagedProfileTest.java</t>
  </si>
  <si>
    <t>DeviceAdminReceiverTest.java</t>
  </si>
  <si>
    <t>ContactsContract_AllUriTest.java</t>
  </si>
  <si>
    <t>AdminActionBookkeepingTest.java</t>
  </si>
  <si>
    <t>NetworkLoggingTest.java</t>
  </si>
  <si>
    <t>SecurityLoggingTest.java</t>
  </si>
  <si>
    <t>SsaidTest.java</t>
  </si>
  <si>
    <t>ClientTest.java</t>
  </si>
  <si>
    <t>InvocationHistoryTest.java</t>
  </si>
  <si>
    <t>FocusFinderTest.java</t>
  </si>
  <si>
    <t>ShortcutManagerManagedUserTest.java</t>
  </si>
  <si>
    <t>BaseInputConnectionTest.java</t>
  </si>
  <si>
    <t>CompletionInfoTest.java</t>
  </si>
  <si>
    <t>EditorInfoTest.java</t>
  </si>
  <si>
    <t>ExtractedTextRequestTest.java</t>
  </si>
  <si>
    <t>ExtractedTextTest.java</t>
  </si>
  <si>
    <t>InputBindingTest.java</t>
  </si>
  <si>
    <t>InputConnectionWrapperTest.java</t>
  </si>
  <si>
    <t>InputMethodInfoTest.java</t>
  </si>
  <si>
    <t>InputMethodManagerTest.java</t>
  </si>
  <si>
    <t>KeyboardTest.java</t>
  </si>
  <si>
    <t>ActivityCallbacksTest.java</t>
  </si>
  <si>
    <t>AffiliationTest.java</t>
  </si>
  <si>
    <t>CustomDeviceOwnerTest.java</t>
  </si>
  <si>
    <t>LoginActivityTest.java</t>
  </si>
  <si>
    <t>TelephonyManagerTest.java</t>
  </si>
  <si>
    <t>SecurityFeaturesTest.java</t>
  </si>
  <si>
    <t>DemoModeTest.java</t>
  </si>
  <si>
    <t>DeactivationTest.java</t>
  </si>
  <si>
    <t>SpannableStringTest.java</t>
  </si>
  <si>
    <t>SpannedStringTest.java</t>
  </si>
  <si>
    <t>FontRequestTest.java</t>
  </si>
  <si>
    <t>TvInputInfoTest.java</t>
  </si>
  <si>
    <t>PipNotResizeableActivityTest.java</t>
  </si>
  <si>
    <t>DemoModeUiAutomationTest.java</t>
  </si>
  <si>
    <t>DemoUserTest.java</t>
  </si>
  <si>
    <t>DemoModeUiAutomationHostTest.java</t>
  </si>
  <si>
    <t>ViewAttributesTest.java</t>
  </si>
  <si>
    <t>UsesLibraryHostTest.java</t>
  </si>
  <si>
    <t>UsesLibraryTest.java</t>
  </si>
  <si>
    <t>StorageHostTest.java</t>
  </si>
  <si>
    <t>EncodeDecodeTest.java</t>
  </si>
  <si>
    <t>LongSparseArrayTest.java</t>
  </si>
  <si>
    <t>SparseArrayTest.java</t>
  </si>
  <si>
    <t>AspectRatioTest.java</t>
  </si>
  <si>
    <t>FontManagerTest.java</t>
  </si>
  <si>
    <t>WallpaperRestoreTest.java</t>
  </si>
  <si>
    <t>WallpaperRestoreHostSideTest.java</t>
  </si>
  <si>
    <t>AudioAttributesTest.java</t>
  </si>
  <si>
    <t>FragmentTransactionTest.java</t>
  </si>
  <si>
    <t>AdjustmentTest.java</t>
  </si>
  <si>
    <t>SnoozeCriterionTest.java</t>
  </si>
  <si>
    <t>ShortcutManagerClientApiTest.java</t>
  </si>
  <si>
    <t>ShortcutManagerLauncherApiTest.java</t>
  </si>
  <si>
    <t>AccessibilityManagerTest.java</t>
  </si>
  <si>
    <t>NativeMidiEchoTest.java</t>
  </si>
  <si>
    <t>JvmtiRedefineClassesTest.java</t>
  </si>
  <si>
    <t>JvmtiTrackingTest.java</t>
  </si>
  <si>
    <t>JvmtiTaggingTest.java</t>
  </si>
  <si>
    <t>JvmtiHostTest.java</t>
  </si>
  <si>
    <t>EphemeralTest.java</t>
  </si>
  <si>
    <t>ShortcutManagerNegativeTest.java</t>
  </si>
  <si>
    <t>DeviceAdminUninstallTest.java</t>
  </si>
  <si>
    <t>RenderProcessCrashTest.java</t>
  </si>
  <si>
    <t>SubPlanHelperTest.java</t>
  </si>
  <si>
    <t>RetryFilterHelperTest.java</t>
  </si>
  <si>
    <t>ContentResolverTest.java</t>
  </si>
  <si>
    <t>AudioRecordConcurrencyTest.java</t>
  </si>
  <si>
    <t>MediaBrowserServiceTest.java</t>
  </si>
  <si>
    <t>TextClassificationManagerTest.java</t>
  </si>
  <si>
    <t>BitmapShaderTest.java</t>
  </si>
  <si>
    <t>ColorMatrixColorFilterTest.java</t>
  </si>
  <si>
    <t>ComposeShaderTest.java</t>
  </si>
  <si>
    <t>LightingColorFilterTest.java</t>
  </si>
  <si>
    <t>LinearGradientTest.java</t>
  </si>
  <si>
    <t>PorterDuffColorFilterTest.java</t>
  </si>
  <si>
    <t>SweepGradientTest.java</t>
  </si>
  <si>
    <t>BuildTest.java</t>
  </si>
  <si>
    <t>FontResultTest.java</t>
  </si>
  <si>
    <t>ImageWriterTest.java</t>
  </si>
  <si>
    <t>IpSecManagerTest.java</t>
  </si>
  <si>
    <t>ColorSpaceTest.java</t>
  </si>
  <si>
    <t>AccessibilityFingerprintGestureTest.java</t>
  </si>
  <si>
    <t>AHardwareBufferNativeTest.java</t>
  </si>
  <si>
    <t>VisualVoicemailServiceTest.java</t>
  </si>
  <si>
    <t>CallLogBackupTest.java</t>
  </si>
  <si>
    <t>CarUiProviderTest.java</t>
  </si>
  <si>
    <t>StagefrightTest.java</t>
  </si>
  <si>
    <t>UnderlineSpanTest.java</t>
  </si>
  <si>
    <t>BidiFormatterTest.java</t>
  </si>
  <si>
    <t>StaticLayoutTest.java</t>
  </si>
  <si>
    <t>WordIteratorTest.java</t>
  </si>
  <si>
    <t>CalendarViewTest.java</t>
  </si>
  <si>
    <t>BatteryStatsValidationTest.java</t>
  </si>
  <si>
    <t>MediaBitstreamsTest.java</t>
  </si>
  <si>
    <t>BackupRestoreHostSideTest.java</t>
  </si>
  <si>
    <t>VrCpuTest.java</t>
  </si>
  <si>
    <t>MediaSessionManagerHostTest.java</t>
  </si>
  <si>
    <t>WallpaperColorsTest.java</t>
  </si>
  <si>
    <t>View_FocusHandlingTest.java</t>
  </si>
  <si>
    <t>CharSequenceTransformationTest.java</t>
  </si>
  <si>
    <t>ImageTransformationTest.java</t>
  </si>
  <si>
    <t>SimpleRegexValidatorTest.java</t>
  </si>
  <si>
    <t>BoringLayoutTest.java</t>
  </si>
  <si>
    <t>DynamicLayoutTest.java</t>
  </si>
  <si>
    <t>InstallSessionParamsUnitTest.java</t>
  </si>
  <si>
    <t>InstallSessionTransferTest.java</t>
  </si>
  <si>
    <t>SharedMemoryTest.java</t>
  </si>
  <si>
    <t>SimpleSaveActivityTest.java</t>
  </si>
  <si>
    <t>H264Yuv420_8bitBpBitstreamsFullTest.java</t>
  </si>
  <si>
    <t>H264Yuv420_8bitHpBitstreamsFullTest.java</t>
  </si>
  <si>
    <t>H264Yuv420_8bitMpBitstreamsFullTest.java</t>
  </si>
  <si>
    <t>HevcYuv400BitstreamsFullTest.java</t>
  </si>
  <si>
    <t>HevcYuv420BitstreamsFullTest.java</t>
  </si>
  <si>
    <t>HevcYuv422BitstreamsFullTest.java</t>
  </si>
  <si>
    <t>HevcYuv444BitstreamsFullTest.java</t>
  </si>
  <si>
    <t>Vp8BitstreamsFullTest.java</t>
  </si>
  <si>
    <t>Vp9Yuv420BitstreamsFullTest.java</t>
  </si>
  <si>
    <t>Vp9Yuv422BitstreamsFullTest.java</t>
  </si>
  <si>
    <t>Vp9Yuv444BitstreamsFullTest.java</t>
  </si>
  <si>
    <t>EphemeralUserTest.java</t>
  </si>
  <si>
    <t>InvalidSyncAuthoritiesHostTest.java</t>
  </si>
  <si>
    <t>InvalidSyncAuthoritiesDeviceTest.java</t>
  </si>
  <si>
    <t>EditTextTest.java</t>
  </si>
  <si>
    <t>CryptoProviderWorkaroundTest.java</t>
  </si>
  <si>
    <t>OpenSSLEarlyCCSTest.java</t>
  </si>
  <si>
    <t>OpenSSLHeartbleedTest.java</t>
  </si>
  <si>
    <t>CompatibilityTestSuiteTest.java</t>
  </si>
  <si>
    <t>ModuleRepoSuiteTest.java</t>
  </si>
  <si>
    <t>FingerprintIncidentTest.java</t>
  </si>
  <si>
    <t>CompatibilityHostTestBaseTest.java</t>
  </si>
  <si>
    <t>VrDisplayTest.java</t>
  </si>
  <si>
    <t>ValidatorTest.java</t>
  </si>
  <si>
    <t>StatsdValidationTest.java</t>
  </si>
  <si>
    <t>ClearKeySystemTest.java</t>
  </si>
  <si>
    <t>FillResponseTest.java</t>
  </si>
  <si>
    <t>AccessibilityEndToEndTest.java</t>
  </si>
  <si>
    <t>ColoredNavigationBarTest.java</t>
  </si>
  <si>
    <t>WorkSourceTest.java</t>
  </si>
  <si>
    <t>PanicPressBackTest.java</t>
  </si>
  <si>
    <t>EncryptionHostTest.java</t>
  </si>
  <si>
    <t>InputMethodServiceDeviceTest.java</t>
  </si>
  <si>
    <t>InputMethodServiceLifecycleTest.java</t>
  </si>
  <si>
    <t>BluetoothLeScanTest.java</t>
  </si>
  <si>
    <t>AccessibilityWindowReportingTest.java</t>
  </si>
  <si>
    <t>TransferProfileOwnerTest.java</t>
  </si>
  <si>
    <t>EditDistanceScorerTest.java</t>
  </si>
  <si>
    <t>SyncAdapterAccountAccessHostTest.java</t>
  </si>
  <si>
    <t>MeasuredTextTest.java</t>
  </si>
  <si>
    <t>SELinuxTargetSdk2Test.java</t>
  </si>
  <si>
    <t>LightBarThemeTest.java</t>
  </si>
  <si>
    <t>IncidentSettingFormatTest.java</t>
  </si>
  <si>
    <t>AssetManager_AssetInputStreamTest.java</t>
  </si>
  <si>
    <t>BackupManagerTest.java</t>
  </si>
  <si>
    <t>CarAudioManagerTest.java</t>
  </si>
  <si>
    <t>SingleDeviceTest.java</t>
  </si>
  <si>
    <t>VirtualContainerActivityTest.java</t>
  </si>
  <si>
    <t>SelfManagedConnectionServiceTest.java</t>
  </si>
  <si>
    <t>TransferDeviceOwnerIncomingTest.java</t>
  </si>
  <si>
    <t>ExtendedCameraCharacteristicsTest.java</t>
  </si>
  <si>
    <t>KeyManagementTest.java</t>
  </si>
  <si>
    <t>PrecomputedTextTest.java</t>
  </si>
  <si>
    <t>TracingControllerTest.java</t>
  </si>
  <si>
    <t>UserDataTest.java</t>
  </si>
  <si>
    <t>TransformationInfoTest.java</t>
  </si>
  <si>
    <t>BufferQueueProducerTest.java</t>
  </si>
  <si>
    <t>MediaBrowser2Test.java</t>
  </si>
  <si>
    <t>MediaController2Test.java</t>
  </si>
  <si>
    <t>MediaMetadata2Test.java</t>
  </si>
  <si>
    <t>MediaSession2Test.java</t>
  </si>
  <si>
    <t>SessionToken2Test.java</t>
  </si>
  <si>
    <t>VibrationEffectTest.java</t>
  </si>
  <si>
    <t>InputConnectionTest.java</t>
  </si>
  <si>
    <t>SliceManagerTest.java</t>
  </si>
  <si>
    <t>NoWifiStatePermissionTest.java</t>
  </si>
  <si>
    <t>MediaSession2_PermissionTest.java</t>
  </si>
  <si>
    <t>StagefrightCodecTest.java</t>
  </si>
  <si>
    <t>WifiRttTest.java</t>
  </si>
  <si>
    <t>SliceBuilderTest.java</t>
  </si>
  <si>
    <t>ImageDecoderTest.java</t>
  </si>
  <si>
    <t>LoggerTest.java</t>
  </si>
  <si>
    <t>PasswordBlacklistTest.java</t>
  </si>
  <si>
    <t>TextClassifierValueObjectsTest.java</t>
  </si>
  <si>
    <t>FocusHandlingTest.java</t>
  </si>
  <si>
    <t>AccessibilityEventTest.java</t>
  </si>
  <si>
    <t>AccessibilityRecordTest.java</t>
  </si>
  <si>
    <t>TestDeviceFuncTest.java</t>
  </si>
  <si>
    <t>TestDeviceStressTest.java</t>
  </si>
  <si>
    <t>NetworkRequestTest.java</t>
  </si>
  <si>
    <t>IncidentdTest.java</t>
  </si>
  <si>
    <t>BackupDeviceOwnerTest.java</t>
  </si>
  <si>
    <t>BackupDeviceOwnerHostSideTest.java</t>
  </si>
  <si>
    <t>BackupServicePoliciesTest.java</t>
  </si>
  <si>
    <t>PreferenceActivityFlowLandscapeTest.java</t>
  </si>
  <si>
    <t>PreferenceActivityFlowPortraitTest.java</t>
  </si>
  <si>
    <t>PreferenceActivityLegacyFlowTest.java</t>
  </si>
  <si>
    <t>DeviceIdleJobsTest.java</t>
  </si>
  <si>
    <t>RetryRuleTest.java</t>
  </si>
  <si>
    <t>ContextTest.java</t>
  </si>
  <si>
    <t>ObserveAppUsagePermissionTest.java</t>
  </si>
  <si>
    <t>SuspendAppsPermissionTest.java</t>
  </si>
  <si>
    <t>TelephonyManagerPermissionTest.java</t>
  </si>
  <si>
    <t>IncidentdIsolatedTest.java</t>
  </si>
  <si>
    <t>MediaDrmClearkeyTest.java</t>
  </si>
  <si>
    <t>TextToSpeechTest.java</t>
  </si>
  <si>
    <t>ManifestGeneratorTest.java</t>
  </si>
  <si>
    <t>JarHostTest.java</t>
  </si>
  <si>
    <t>ConfigurationFactoryTest.java</t>
  </si>
  <si>
    <t>CtsConfigLoadingTest.java</t>
  </si>
  <si>
    <t>IntegrationTest.java</t>
  </si>
  <si>
    <t>ChecksumReporterTest.java</t>
  </si>
  <si>
    <t>ConsoleReporterTest.java</t>
  </si>
  <si>
    <t>MetadataReporterTest.java</t>
  </si>
  <si>
    <t>ResultReporterBuildInfoTest.java</t>
  </si>
  <si>
    <t>CertificationChecksumHelperTest.java</t>
  </si>
  <si>
    <t>DynamicConfigPusherTest.java</t>
  </si>
  <si>
    <t>PropertyCheckTest.java</t>
  </si>
  <si>
    <t>SettingsPreparerTest.java</t>
  </si>
  <si>
    <t>CompatibilityTestTest.java</t>
  </si>
  <si>
    <t>SubPlanTest.java</t>
  </si>
  <si>
    <t>RetryFactoryTestTest.java</t>
  </si>
  <si>
    <t>CollectorUtilTest.java</t>
  </si>
  <si>
    <t>DynamicConfigFileReaderTest.java</t>
  </si>
  <si>
    <t>OptionHelperTest.java</t>
  </si>
  <si>
    <t>UniqueModuleCountUtilTest.java</t>
  </si>
  <si>
    <t>BusinessLogicHostExecutorTest.java</t>
  </si>
  <si>
    <t>DynamicConfigHandlerTest.java</t>
  </si>
  <si>
    <t>ModuleResultTest.java</t>
  </si>
  <si>
    <t>BusinessLogicTest.java</t>
  </si>
  <si>
    <t>CaseResultTest.java</t>
  </si>
  <si>
    <t>DynamicConfigTest.java</t>
  </si>
  <si>
    <t>LightInvocationResultTest.java</t>
  </si>
  <si>
    <t>MetricsXmlSerializerTest.java</t>
  </si>
  <si>
    <t>MultipartFormTest.java</t>
  </si>
  <si>
    <t>ResultHandlerTest.java</t>
  </si>
  <si>
    <t>TestResultTest.java</t>
  </si>
  <si>
    <t>CtsTradefedTest.java</t>
  </si>
  <si>
    <t>ForceEphemeralUsersTest.java</t>
  </si>
  <si>
    <t>ExternalSourcesInstantAppsTest.java</t>
  </si>
  <si>
    <t>ExternalSourcesTest.java</t>
  </si>
  <si>
    <t>LockNowTest.java</t>
  </si>
  <si>
    <t>ResetPasswordWithTokenTest.java</t>
  </si>
  <si>
    <t>WebBackForwardListTest.java</t>
  </si>
  <si>
    <t>ParcelFileDescriptorTest.java</t>
  </si>
  <si>
    <t>SecurityPatchTest.java</t>
  </si>
  <si>
    <t>SQLiteQueryBuilderTest.java</t>
  </si>
  <si>
    <t>OtherSoundsSettingsTest.java</t>
  </si>
  <si>
    <t>OtherSoundsSettingsHostSideTest.java</t>
  </si>
  <si>
    <t>KeyEventInterceptTest.java</t>
  </si>
  <si>
    <t>AddDoubleTest.java</t>
  </si>
  <si>
    <t>AddDouble2AddrTest.java</t>
  </si>
  <si>
    <t>AddFloatTest.java</t>
  </si>
  <si>
    <t>AddFloat2AddrTest.java</t>
  </si>
  <si>
    <t>AddIntTest.java</t>
  </si>
  <si>
    <t>AddInt2AddrTest.java</t>
  </si>
  <si>
    <t>AddIntLit16Test.java</t>
  </si>
  <si>
    <t>AddLongTest.java</t>
  </si>
  <si>
    <t>AddLong2AddrTest.java</t>
  </si>
  <si>
    <t>AppOpsTest.java</t>
  </si>
  <si>
    <t>MultiScreenLoginTest.java</t>
  </si>
  <si>
    <t>EmergencyCallMessageTest.java</t>
  </si>
  <si>
    <t>QtaguidPermissionTest.java</t>
  </si>
  <si>
    <t>MyanmarTest.java</t>
  </si>
  <si>
    <t>RemovePermissionTest.java</t>
  </si>
  <si>
    <t>ContactsContract_RawContactsTest.java</t>
  </si>
  <si>
    <t>CtsRootlessGpuDebugHostTest.java</t>
  </si>
  <si>
    <t>CameraPolicyTest.java</t>
  </si>
  <si>
    <t>CopyPasteTest.java</t>
  </si>
  <si>
    <t>CarrierApiTest.java</t>
  </si>
  <si>
    <t>MediaStoreTest.java</t>
  </si>
  <si>
    <t>ScopedDirectoryAccessTest.java</t>
  </si>
  <si>
    <t>ScopedDirectoryAccessClientTest.java</t>
  </si>
  <si>
    <t>UnofficialApisUsageTest.java</t>
  </si>
  <si>
    <t>WifiManagerTest.java</t>
  </si>
  <si>
    <t>VideoView2Test.java</t>
  </si>
  <si>
    <t>MediaSessionManager_MediaSession2Test.java</t>
  </si>
  <si>
    <t>MagnifierTest.java</t>
  </si>
  <si>
    <t>CtsAngleDebugOptionHostTest.java</t>
  </si>
  <si>
    <t>NotificationChannelGroupTest.java</t>
  </si>
  <si>
    <t>WifiEnterpriseConfigTest.java</t>
  </si>
  <si>
    <t>MediaStore_DownloadsTest.java</t>
  </si>
  <si>
    <t>IntEnumMappingTest.java</t>
  </si>
  <si>
    <t>CarPackageManagerTest.java</t>
  </si>
  <si>
    <t>MediaStore_Audio_AlbumsTest.java</t>
  </si>
  <si>
    <t>MediaStore_Audio_ArtistsTest.java</t>
  </si>
  <si>
    <t>MediaStore_Audio_Artists_AlbumsTest.java</t>
  </si>
  <si>
    <t>MediaStore_Audio_MediaTest.java</t>
  </si>
  <si>
    <t>FingerprintFeatureCompatTest.java</t>
  </si>
  <si>
    <t>MediaStore_Audio_PlaylistsTest.java</t>
  </si>
  <si>
    <t>MediaStore_Audio_Playlists_MembersTest.java</t>
  </si>
  <si>
    <t>ContactsContract_StreamItemPhotosTest.java</t>
  </si>
  <si>
    <t>ContactsContract_StreamItemsTest.java</t>
  </si>
  <si>
    <t>SignatureMultiLibsTest.java</t>
  </si>
  <si>
    <t>EmptyTest.java</t>
  </si>
  <si>
    <t>MediaSessionManagerTest.java</t>
  </si>
  <si>
    <t>ChildlessActivityTest.java</t>
  </si>
  <si>
    <t>CrashUtilsTest.java</t>
  </si>
  <si>
    <t>OptionalSaveActivityTest.java</t>
  </si>
  <si>
    <t>PermissionUsageTest.java</t>
  </si>
  <si>
    <t>MediaStoreTrashTest.java</t>
  </si>
  <si>
    <t>AnimationTest.java</t>
  </si>
  <si>
    <t>CarBluetoothTest.java</t>
  </si>
  <si>
    <t>ContentCaptureContextTest.java</t>
  </si>
  <si>
    <t>MmsTest.java</t>
  </si>
  <si>
    <t>DismissAlarmTest.java</t>
  </si>
  <si>
    <t>DismissTimerTest.java</t>
  </si>
  <si>
    <t>SetAlarmTest.java</t>
  </si>
  <si>
    <t>SnoozeAlarmTest.java</t>
  </si>
  <si>
    <t>RoleManagerTest.java</t>
  </si>
  <si>
    <t>SplitPermissionTest.java</t>
  </si>
  <si>
    <t>GpsSatelliteTest.java</t>
  </si>
  <si>
    <t>GpsStatusTest.java</t>
  </si>
  <si>
    <t>LocationTest.java</t>
  </si>
  <si>
    <t>NotificationAssistantServiceTest.java</t>
  </si>
  <si>
    <t>PrivateDnsPolicyTest.java</t>
  </si>
  <si>
    <t>CustomizationRestrictionsTest.java</t>
  </si>
  <si>
    <t>FontsContractTest.java</t>
  </si>
  <si>
    <t>DnsResolverTest.java</t>
  </si>
  <si>
    <t>ServiceStateTest.java</t>
  </si>
  <si>
    <t>MediaTimestampTest.java</t>
  </si>
  <si>
    <t>SubtitleDataTest.java</t>
  </si>
  <si>
    <t>TimedMetaDataTest.java</t>
  </si>
  <si>
    <t>PlatformInspectableProcessorTest.java</t>
  </si>
  <si>
    <t>MediaPlayer2Test.java</t>
  </si>
  <si>
    <t>MediaStorePendingTest.java</t>
  </si>
  <si>
    <t>SmsMessage_SubmitPduTest.java</t>
  </si>
  <si>
    <t>SmsManagerTest.java</t>
  </si>
  <si>
    <t>CanaryTest.java</t>
  </si>
  <si>
    <t>ThirdPartyCallScreeningServiceTest.java</t>
  </si>
  <si>
    <t>DualStoragePermissionModelTest.java</t>
  </si>
  <si>
    <t>RobustnessTest.java</t>
  </si>
  <si>
    <t>SensorParameterRangeTest.java</t>
  </si>
  <si>
    <t>MixedDeviceOwnerTest.java</t>
  </si>
  <si>
    <t>ProtoInputStreamBoolTest.java</t>
  </si>
  <si>
    <t>ProtoInputStreamBytesTest.java</t>
  </si>
  <si>
    <t>ProtoInputStreamDoubleTest.java</t>
  </si>
  <si>
    <t>ProtoInputStreamEnumTest.java</t>
  </si>
  <si>
    <t>ProtoInputStreamFixed32Test.java</t>
  </si>
  <si>
    <t>ProtoInputStreamFixed64Test.java</t>
  </si>
  <si>
    <t>ProtoInputStreamFloatTest.java</t>
  </si>
  <si>
    <t>ProtoInputStreamInt32Test.java</t>
  </si>
  <si>
    <t>ProtoInputStreamInt64Test.java</t>
  </si>
  <si>
    <t>ProtoInputStreamObjectTest.java</t>
  </si>
  <si>
    <t>ProtoInputStreamSFixed32Test.java</t>
  </si>
  <si>
    <t>ProtoInputStreamSFixed64Test.java</t>
  </si>
  <si>
    <t>ProtoInputStreamSInt32Test.java</t>
  </si>
  <si>
    <t>ProtoInputStreamSInt64Test.java</t>
  </si>
  <si>
    <t>ProtoInputStreamStringTest.java</t>
  </si>
  <si>
    <t>ProtoInputStreamUInt32Test.java</t>
  </si>
  <si>
    <t>ProtoInputStreamUInt64Test.java</t>
  </si>
  <si>
    <t>MediaStoreUiTest.java</t>
  </si>
  <si>
    <t>LocationAccessCheckTest.java</t>
  </si>
  <si>
    <t>MediaStore_Audio_GenresTest.java</t>
  </si>
  <si>
    <t>MediaStore_Audio_Genres_MembersTest.java</t>
  </si>
  <si>
    <t>MediaStore_Images_MediaTest.java</t>
  </si>
  <si>
    <t>MediaStore_Images_ThumbnailsTest.java</t>
  </si>
  <si>
    <t>MediaStore_Video_MediaTest.java</t>
  </si>
  <si>
    <t>ProfileKeyValueBackupRestoreTest.java</t>
  </si>
  <si>
    <t>DataSourceDescTest.java</t>
  </si>
  <si>
    <t>MediaPlayer2DrmTest.java</t>
  </si>
  <si>
    <t>RoutingTest.java</t>
  </si>
  <si>
    <t>StreamingMediaPlayer2Test.java</t>
  </si>
  <si>
    <t>BlankActivityTest.java</t>
  </si>
  <si>
    <t>BlankWithTitleActivityTest.java</t>
  </si>
  <si>
    <t>TextClassifierEventTest.java</t>
  </si>
  <si>
    <t>MediaItem2Test.java</t>
  </si>
  <si>
    <t>ParamsTest.java</t>
  </si>
  <si>
    <t>ExternalStorageHostTest.java</t>
  </si>
  <si>
    <t>DummySdk25Test.java</t>
  </si>
  <si>
    <t>DummySdk28Test.java</t>
  </si>
  <si>
    <t>DummyTest.java</t>
  </si>
  <si>
    <t>CharDeviceTest.java</t>
  </si>
  <si>
    <t>DownloadManagerTest.java</t>
  </si>
  <si>
    <t>SSLConscryptPlainTextExposureTest.java</t>
  </si>
  <si>
    <t>SharedUidPermissionsTest.java</t>
  </si>
  <si>
    <t>RestrictedPermissionsTest.java</t>
  </si>
  <si>
    <t>TouchExplorerTest.java</t>
  </si>
  <si>
    <t>CallRedirectionServiceTest.java</t>
  </si>
  <si>
    <t>GnssHardwareInfoTest.java</t>
  </si>
  <si>
    <t>IpSecManagerTunnelTest.java</t>
  </si>
  <si>
    <t>CreateUsersPermissionTest.java</t>
  </si>
  <si>
    <t>ApplicationInfoTest.java</t>
  </si>
  <si>
    <t>InstallUpdateTest.java</t>
  </si>
  <si>
    <t>ApiLevelUtilTest.java</t>
  </si>
  <si>
    <t>BusinessLogicDeviceExecutorTest.java</t>
  </si>
  <si>
    <t>BusinessLogicTestCaseTest.java</t>
  </si>
  <si>
    <t>DeviceReportTest.java</t>
  </si>
  <si>
    <t>SafeCleanerRuleTest.java</t>
  </si>
  <si>
    <t>StateChangerRuleTest.java</t>
  </si>
  <si>
    <t>StateKeeperRuleTest.java</t>
  </si>
  <si>
    <t>TimeoutTest.java</t>
  </si>
  <si>
    <t>SSLCertificateSocketFactoryTest.java</t>
  </si>
  <si>
    <t>TestMediaCodec.java</t>
  </si>
  <si>
    <t>SettingsPanelTest.java</t>
  </si>
  <si>
    <t>MimeMapTest.java</t>
  </si>
  <si>
    <t>CrossProfileCalendarTest.java</t>
  </si>
  <si>
    <t>PhoneStateListenerTest.java</t>
  </si>
  <si>
    <t>CellInfoTest.java</t>
  </si>
  <si>
    <t>PipActivityTest.java</t>
  </si>
  <si>
    <t>GnssMeasurementsEventCallbackTest.java</t>
  </si>
  <si>
    <t>GnssNavigationMessageCallbackTest.java</t>
  </si>
  <si>
    <t>GnssStatusCallbackTest.java</t>
  </si>
  <si>
    <t>HdmiCecSystemInformationTest.java</t>
  </si>
  <si>
    <t>NNAccuracyTest.java</t>
  </si>
  <si>
    <t>HdmiCecLogicalAddressTest.java</t>
  </si>
  <si>
    <t>HdmiCecOneTouchPlayTest.java</t>
  </si>
  <si>
    <t>HdmiCecPhysicalAddressTest.java</t>
  </si>
  <si>
    <t>HdmiCecPowerStatusTest.java</t>
  </si>
  <si>
    <t>HdmiCecRoutingControlTest.java</t>
  </si>
  <si>
    <t>ApiComplianceCheckerTest.java</t>
  </si>
  <si>
    <t>GnssMeasurementCorrectionsTest.java</t>
  </si>
  <si>
    <t>GnssReflectingPlaneTest.java</t>
  </si>
  <si>
    <t>GnssSingleSatCorrectionsTest.java</t>
  </si>
  <si>
    <t>LocationProviderTest.java</t>
  </si>
  <si>
    <t>PackageManagerShellCommandTest.java</t>
  </si>
  <si>
    <t>StagedInstallTest.java</t>
  </si>
  <si>
    <t>EmergencyCallWifiTest.java</t>
  </si>
  <si>
    <t>AddressTest.java</t>
  </si>
  <si>
    <t>GnssClockTest.java</t>
  </si>
  <si>
    <t>ClearPasswordTest.java</t>
  </si>
  <si>
    <t>DeviceAdminPasswordTest.java</t>
  </si>
  <si>
    <t>DeviceOwnerPasswordTest.java</t>
  </si>
  <si>
    <t>ResetPasswordTest.java</t>
  </si>
  <si>
    <t>DeviceAndProfileOwnerTransferIncomingTest.java</t>
  </si>
  <si>
    <t>SdkExtensionsTest.java</t>
  </si>
  <si>
    <t>UserRestrictionTest.java</t>
  </si>
  <si>
    <t>DeviceAndProfileOwnerTransferOutgoingTest.java</t>
  </si>
  <si>
    <t>DeviceOwnerPlusProfileOwnerTest.java</t>
  </si>
  <si>
    <t>AdoptableHostTest.java</t>
  </si>
  <si>
    <t>MediaStoreTrashedTest.java</t>
  </si>
  <si>
    <t>CarUxRestrictionsManagerTest.java</t>
  </si>
  <si>
    <t>ManagementTest.java</t>
  </si>
  <si>
    <t>ManagedProfileProvisioningTest.java</t>
  </si>
  <si>
    <t>MixedDeviceOwnerHostSideTransferTest.java</t>
  </si>
  <si>
    <t>CarTrustedDeviceTest.java</t>
  </si>
  <si>
    <t>AImageDecoderTest.java</t>
  </si>
  <si>
    <t>AudioRecordTest.java</t>
  </si>
  <si>
    <t>BlobStoreManagerTest.java</t>
  </si>
  <si>
    <t>SELinuxTargetSdkTest.java</t>
  </si>
  <si>
    <t>CheckpointHostTest.java</t>
  </si>
  <si>
    <t>BitmapColorSpaceTest.java</t>
  </si>
  <si>
    <t>Rcs1To1ThreadTest.java</t>
  </si>
  <si>
    <t>RcsEventTest.java</t>
  </si>
  <si>
    <t>RcsParticipantTest.java</t>
  </si>
  <si>
    <t>RcsProviderPermissionsTest.java</t>
  </si>
  <si>
    <t>CellBroadcastIntentsTest.java</t>
  </si>
  <si>
    <t>AppSearchManagerTest.java</t>
  </si>
  <si>
    <t>MediaRouterManagerTest.java</t>
  </si>
  <si>
    <t>MediaCodecBlockModelTest.java</t>
  </si>
  <si>
    <t>MediaRouter2Test.java</t>
  </si>
  <si>
    <t>ParcelTest.java</t>
  </si>
  <si>
    <t>AccessibilityTakeScreenshotTest.java</t>
  </si>
  <si>
    <t>WriteExternalStorageTest.java</t>
  </si>
  <si>
    <t>ReadMultiViewTest.java</t>
  </si>
  <si>
    <t>WriteMultiViewTest.java</t>
  </si>
  <si>
    <t>PermissionsTest.java</t>
  </si>
  <si>
    <t>RelinquishDeviceTest.java</t>
  </si>
  <si>
    <t>SliceProviderTest.java</t>
  </si>
  <si>
    <t>GnssAntennaInfoRegistrationTest.java</t>
  </si>
  <si>
    <t>GnssAntennaInfoTest.java</t>
  </si>
  <si>
    <t>LocationManagerFineTest.java</t>
  </si>
  <si>
    <t>GiftTest.java</t>
  </si>
  <si>
    <t>ReadGiftTest.java</t>
  </si>
  <si>
    <t>WriteGiftTest.java</t>
  </si>
  <si>
    <t>PowerMenuTest.java</t>
  </si>
  <si>
    <t>AudioPlaybackCaptureTest.java</t>
  </si>
  <si>
    <t>SetFrameRateTest.java</t>
  </si>
  <si>
    <t>RequestSetLocationProviderAllowedTest.java</t>
  </si>
  <si>
    <t>PackageManagerShellCommandIncrementalTest.java</t>
  </si>
  <si>
    <t>AccessibilityServiceInfoTest.java</t>
  </si>
  <si>
    <t>RestrictedStoragePermissionTest.java</t>
  </si>
  <si>
    <t>VendorJniTest.java</t>
  </si>
  <si>
    <t>PermissionEscalationTest.java</t>
  </si>
  <si>
    <t>MediaRoute2InfoTest.java</t>
  </si>
  <si>
    <t>TelephonyPermissionPolicyTest.java</t>
  </si>
  <si>
    <t>WifiMigrationTest.java</t>
  </si>
  <si>
    <t>LinkerConfigTest.java</t>
  </si>
  <si>
    <t>CtsSharesheetDeviceTest.java</t>
  </si>
  <si>
    <t>UserspaceRebootHostTest.java</t>
  </si>
  <si>
    <t>InCallServiceImplTest.java</t>
  </si>
  <si>
    <t>SingleAppTest.java</t>
  </si>
  <si>
    <t>DownloadManagerLegacyTest.java</t>
  </si>
  <si>
    <t>OrgOwnedProfileOwnerTest.java</t>
  </si>
  <si>
    <t>SuspendPackagesTest.java</t>
  </si>
  <si>
    <t>PresentationTest.java</t>
  </si>
  <si>
    <t>UiModeManagerTest.java</t>
  </si>
  <si>
    <t>InlineSuggestionsRequestTest.java</t>
  </si>
  <si>
    <t>ActivityManagerRecentTaskInfoTest.java</t>
  </si>
  <si>
    <t>ActivityManagerRunningTaskInfoTest.java</t>
  </si>
  <si>
    <t>ScreenCaptureDisabledTest.java</t>
  </si>
  <si>
    <t>RcsUceAdapterTest.java</t>
  </si>
  <si>
    <t>AccessibilityShortcutTest.java</t>
  </si>
  <si>
    <t>DevicePolicyLoggingTest.java</t>
  </si>
  <si>
    <t>NanoAppBundleTest.java</t>
  </si>
  <si>
    <t>SaProposalTest.java</t>
  </si>
  <si>
    <t>MediaParserTest.java</t>
  </si>
  <si>
    <t>SensorDirectReportTest.java</t>
  </si>
  <si>
    <t>DhcpInfoTest.java</t>
  </si>
  <si>
    <t>BiometricPromptTest.java</t>
  </si>
  <si>
    <t>TestMedia.java</t>
  </si>
  <si>
    <t>SeccompDeviceTest.java</t>
  </si>
  <si>
    <t>ActivityNonConfigInstanceTest.java</t>
  </si>
  <si>
    <t>CarUserManagerTest.java</t>
  </si>
  <si>
    <t>UserRestrictionsParentTest.java</t>
  </si>
  <si>
    <t>NetstatsDeviceTest.java</t>
  </si>
  <si>
    <t>NetstatsIncidentTest.java</t>
  </si>
  <si>
    <t>PkgInstallSignatureVerificationTest.java</t>
  </si>
  <si>
    <t>ApexShimValidationTest.java</t>
  </si>
  <si>
    <t>AdoptableFeatureConsistentTest.java</t>
  </si>
  <si>
    <t>HdmiCecSystemAudioModeTest.java</t>
  </si>
  <si>
    <t>TelephonyHostTest.java</t>
  </si>
  <si>
    <t>TunerTest.java</t>
  </si>
  <si>
    <t>OrgOwnedProfileOwnerParentTest.java</t>
  </si>
  <si>
    <t>RandomizedWifiMacAddressTest.java</t>
  </si>
  <si>
    <t>FeatureTest.java</t>
  </si>
  <si>
    <t>ModifyInstallerPackageTest.java</t>
  </si>
  <si>
    <t>MediaExtractorTest.java</t>
  </si>
  <si>
    <t>NativeEncoderTest.java</t>
  </si>
  <si>
    <t>MemInfoIncidentTest.java</t>
  </si>
  <si>
    <t>LockTaskHostDrivenTest.java</t>
  </si>
  <si>
    <t>JniHelpTest.java</t>
  </si>
  <si>
    <t>ScopedStorageHostTest.java</t>
  </si>
  <si>
    <t>ScopedStorageTest.java</t>
  </si>
  <si>
    <t>ManagedProfileCrossProfileTest.java</t>
  </si>
  <si>
    <t>RazerJunglecatBluetoothTest.java</t>
  </si>
  <si>
    <t>ExifInterfaceTest.java</t>
  </si>
  <si>
    <t>CodecDecoderTest.java</t>
  </si>
  <si>
    <t>InputMethodServiceStrictModeTest.java</t>
  </si>
  <si>
    <t>StrictModeTest.java</t>
  </si>
  <si>
    <t>ContactsMetadataProviderTest.java</t>
  </si>
  <si>
    <t>ChecksumsTest.java</t>
  </si>
  <si>
    <t>MediaStorageTest.java</t>
  </si>
  <si>
    <t>TvMicrophoneCaptureIndicatorTest.java</t>
  </si>
  <si>
    <t>KeyboardVisibilityControlTest.java</t>
  </si>
  <si>
    <t>LocaleListTest.java</t>
  </si>
  <si>
    <t>TaggingManifestEnabledSdk29Test.java</t>
  </si>
  <si>
    <t>TaggingSdk29Test.java</t>
  </si>
  <si>
    <t>BatterySaverLocationTest.java</t>
  </si>
  <si>
    <t>AdhocConferenceTest.java</t>
  </si>
  <si>
    <t>GlyphStyleTest.java</t>
  </si>
  <si>
    <t>WifiNetworkSuggestionTest.java</t>
  </si>
  <si>
    <t>TextViewOnReceiveContentCallbackTest.java</t>
  </si>
  <si>
    <t>IwlanModeTest.java</t>
  </si>
  <si>
    <t>DataSaverModeTest.java</t>
  </si>
  <si>
    <t>MixedModesTest.java</t>
  </si>
  <si>
    <t>NetworkCallbackTest.java</t>
  </si>
  <si>
    <t>VpnTest.java</t>
  </si>
  <si>
    <t>ProcNetTest.java</t>
  </si>
  <si>
    <t>ConnectivityManagerApi23Test.java</t>
  </si>
  <si>
    <t>AirplaneModeTest.java</t>
  </si>
  <si>
    <t>ConnectivityDiagnosticsManagerTest.java</t>
  </si>
  <si>
    <t>CredentialsTest.java</t>
  </si>
  <si>
    <t>Ikev2VpnTest.java</t>
  </si>
  <si>
    <t>InetAddressesTest.java</t>
  </si>
  <si>
    <t>IpConfigurationTest.java</t>
  </si>
  <si>
    <t>IpSecBaseTest.java</t>
  </si>
  <si>
    <t>LocalServerSocketTest.java</t>
  </si>
  <si>
    <t>LocalSocketAddressTest.java</t>
  </si>
  <si>
    <t>LocalSocketAddress_NamespaceTest.java</t>
  </si>
  <si>
    <t>MacAddressTest.java</t>
  </si>
  <si>
    <t>MailToTest.java</t>
  </si>
  <si>
    <t>MultinetworkApiTest.java</t>
  </si>
  <si>
    <t>NetworkInfo_DetailedStateTest.java</t>
  </si>
  <si>
    <t>NetworkInfo_StateTest.java</t>
  </si>
  <si>
    <t>NetworkStatsBinderTest.java</t>
  </si>
  <si>
    <t>NetworkWatchlistTest.java</t>
  </si>
  <si>
    <t>ProxyInfoTest.java</t>
  </si>
  <si>
    <t>ProxyTest.java</t>
  </si>
  <si>
    <t>RssiCurveTest.java</t>
  </si>
  <si>
    <t>TheaterModeTest.java</t>
  </si>
  <si>
    <t>UriTest.java</t>
  </si>
  <si>
    <t>Uri_BuilderTest.java</t>
  </si>
  <si>
    <t>UrlQuerySanitizerTest.java</t>
  </si>
  <si>
    <t>UrlQuerySanitizer_IllegalCharacterValueSanitizerTest.java</t>
  </si>
  <si>
    <t>UrlQuerySanitizer_ParameterValuePairTest.java</t>
  </si>
  <si>
    <t>VpnServiceTest.java</t>
  </si>
  <si>
    <t>PingTest.java</t>
  </si>
  <si>
    <t>AudioCodecTest.java</t>
  </si>
  <si>
    <t>AudioGroupTest.java</t>
  </si>
  <si>
    <t>AudioStreamTest.java</t>
  </si>
  <si>
    <t>TetheringManagerTest.java</t>
  </si>
  <si>
    <t>PacProcessorTest.java</t>
  </si>
  <si>
    <t>MediaBrowserTest.java</t>
  </si>
  <si>
    <t>IdleConstraintTest.java</t>
  </si>
  <si>
    <t>EapSessionConfigTest.java</t>
  </si>
  <si>
    <t>ChildSessionParamsTest.java</t>
  </si>
  <si>
    <t>IkeIdentificationTest.java</t>
  </si>
  <si>
    <t>IkeSessionDigitalSignatureTest.java</t>
  </si>
  <si>
    <t>IkeSessionMschapV2Test.java</t>
  </si>
  <si>
    <t>IkeSessionParamsTest.java</t>
  </si>
  <si>
    <t>IkeSessionPskTest.java</t>
  </si>
  <si>
    <t>IkeSessionRekeyTest.java</t>
  </si>
  <si>
    <t>ApnSettingTest.java</t>
  </si>
  <si>
    <t>DevicePolicyManagerParentSupportTest.java</t>
  </si>
  <si>
    <t>NoSdCardWritePermissionTest.java</t>
  </si>
  <si>
    <t>ScopedStorageDeviceTest.java</t>
  </si>
  <si>
    <t>ScopedStorageCoreHostTest.java</t>
  </si>
  <si>
    <t>TvInputServiceTest.java</t>
  </si>
  <si>
    <t>ActivityManagerFgsBgStartTest.java</t>
  </si>
  <si>
    <t>ShellSubscriberTest.java</t>
  </si>
  <si>
    <t>DirectoryValidationTest.java</t>
  </si>
  <si>
    <t>DeviceAdminTempTest.java</t>
  </si>
  <si>
    <t>MediaTranscodeManagerTest.java</t>
  </si>
  <si>
    <t>ImsServiceTest.java</t>
  </si>
  <si>
    <t>AppSearchSessionTest.java</t>
  </si>
  <si>
    <t>ApplicationTest.java</t>
  </si>
  <si>
    <t>AudioPlaybackConfigurationTest.java</t>
  </si>
  <si>
    <t>StatsdAppSecurityAtomTest.java</t>
  </si>
  <si>
    <t>TextViewOnReceiveContentTest.java</t>
  </si>
  <si>
    <t>ManagedProfilePasswordTest.java</t>
  </si>
  <si>
    <t>NsdManagerTest.java</t>
  </si>
  <si>
    <t>FontScaleSettingsTest.java</t>
  </si>
  <si>
    <t>SplitAppTest.java</t>
  </si>
  <si>
    <t>WifiLocationInfoTest.java</t>
  </si>
  <si>
    <t>DownloadableSubscriptionTest.java</t>
  </si>
  <si>
    <t>CipherTest.java</t>
  </si>
  <si>
    <t>ApplicationMediaCapabilitiesTest.java</t>
  </si>
  <si>
    <t>ReadableSettingsFieldsTest.java</t>
  </si>
  <si>
    <t>ReadSettingsFieldsTest.java</t>
  </si>
  <si>
    <t>PermissionTest.java</t>
  </si>
  <si>
    <t>UserTest.java</t>
  </si>
  <si>
    <t>ActivityCreatedEventTest.java</t>
  </si>
  <si>
    <t>HdmiControlManagerTest.java</t>
  </si>
  <si>
    <t>HdmiControlManagerHostTest.java</t>
  </si>
  <si>
    <t>VulkanSurfaceSupportTest.java</t>
  </si>
  <si>
    <t>TrustedVoiceHostTest.java</t>
  </si>
  <si>
    <t>UsageStatsTest.java</t>
  </si>
  <si>
    <t>ApplicationVisibilityTest.java</t>
  </si>
  <si>
    <t>ApplicationVisibilityCrossUserTest.java</t>
  </si>
  <si>
    <t>SimPhonebookContract_ElementaryFilesTest.java</t>
  </si>
  <si>
    <t>SimPhonebookContract_SimRecordsTest.java</t>
  </si>
  <si>
    <t>UsersTest.java</t>
  </si>
  <si>
    <t>AlarmManagerIncidentTest.java</t>
  </si>
  <si>
    <t>TextToSpeechConnectionTest.java</t>
  </si>
  <si>
    <t>ApkVerityInstallTest.java</t>
  </si>
  <si>
    <t>PowerManagerServicePermissionTest.java</t>
  </si>
  <si>
    <t>TaggingManifestEnabledSdk30Test.java</t>
  </si>
  <si>
    <t>BatteryStatsIncidentTest.java</t>
  </si>
  <si>
    <t>PackageReferenceTest.java</t>
  </si>
  <si>
    <t>AngleMeasurementTest.java</t>
  </si>
  <si>
    <t>StartProfilesTest.java</t>
  </si>
  <si>
    <t>CarPropertyManagerTest.java</t>
  </si>
  <si>
    <t>NetworkRegistrationInfoTest.java</t>
  </si>
  <si>
    <t>FullbackupRulesHostSideTest.java</t>
  </si>
  <si>
    <t>MediaCommunicationManagerTest.java</t>
  </si>
  <si>
    <t>SimPhonebookContract_ElementaryFilesNoSimTest.java</t>
  </si>
  <si>
    <t>EventLogsTest.java</t>
  </si>
  <si>
    <t>FontResourceTest.java</t>
  </si>
  <si>
    <t>InternalTranslationRequestTest.java</t>
  </si>
  <si>
    <t>TranslationResponseTest.java</t>
  </si>
  <si>
    <t>RippleDrawableTest.java</t>
  </si>
  <si>
    <t>HotwordDetectionServiceBasicTest.java</t>
  </si>
  <si>
    <t>TelephonyCallbackTest.java</t>
  </si>
  <si>
    <t>WhitelistTest.java</t>
  </si>
  <si>
    <t>RemoteViewsRecyclingTest.java</t>
  </si>
  <si>
    <t>TranslationManagerTest.java</t>
  </si>
  <si>
    <t>DeviceOwnerProvisioningTest.java</t>
  </si>
  <si>
    <t>ProvisioningTest.java</t>
  </si>
  <si>
    <t>ShortcutManagerMaxCountTest.java</t>
  </si>
  <si>
    <t>ResamplingTest.java</t>
  </si>
  <si>
    <t>AppSearchSchemaCtsTest.java</t>
  </si>
  <si>
    <t>ExtractorUnitTest.java</t>
  </si>
  <si>
    <t>MuxerTest.java</t>
  </si>
  <si>
    <t>PermissionIndicatorAppOpUsageTest.java</t>
  </si>
  <si>
    <t>SystemFontsUniqueNameTest.java</t>
  </si>
  <si>
    <t>PerformanceClassTest.java</t>
  </si>
  <si>
    <t>ConnectivityConstraintTest.java</t>
  </si>
  <si>
    <t>TimeManagerTest.java</t>
  </si>
  <si>
    <t>CoexUnsafeChannelTest.java</t>
  </si>
  <si>
    <t>SignatureStorageTest.java</t>
  </si>
  <si>
    <t>PlaybackStateTest.java</t>
  </si>
  <si>
    <t>AppSearchDeviceTest.java</t>
  </si>
  <si>
    <t>NearbyDevicesPermissionTest.java</t>
  </si>
  <si>
    <t>SearchSpecCtsTest.java</t>
  </si>
  <si>
    <t>SipDelegateManagerTest.java</t>
  </si>
  <si>
    <t>UwbManagerTest.java</t>
  </si>
  <si>
    <t>DupFileTest.java</t>
  </si>
  <si>
    <t>JobSchedulerIncidentTest.java</t>
  </si>
  <si>
    <t>NotificationIncidentTest.java</t>
  </si>
  <si>
    <t>ActivityViewTest.java</t>
  </si>
  <si>
    <t>PowerPolicyHostTest.java</t>
  </si>
  <si>
    <t>WifiConfigLockdownTest.java</t>
  </si>
  <si>
    <t>AppWidgetDimensionsTest.java</t>
  </si>
  <si>
    <t>AccessibilityEmbeddedDisplayTest.java</t>
  </si>
  <si>
    <t>DevicePolicyTest.java</t>
  </si>
  <si>
    <t>ClientSuggestionsInlineTest.java</t>
  </si>
  <si>
    <t>InlineLoginActivityTest.java</t>
  </si>
  <si>
    <t>WorkProfileSecurityLoggingDelegateTest.java</t>
  </si>
  <si>
    <t>TranslationRequestTest.java</t>
  </si>
  <si>
    <t>NfcPermissionTest.java</t>
  </si>
  <si>
    <t>BytesTransferredTest.java</t>
  </si>
  <si>
    <t>ContextIsUiContextTest.java</t>
  </si>
  <si>
    <t>GenericDocumentCtsTest.java</t>
  </si>
  <si>
    <t>ActivityDestroyedEventTest.java</t>
  </si>
  <si>
    <t>ActivityPausedEventTest.java</t>
  </si>
  <si>
    <t>ActivityRestartedEventTest.java</t>
  </si>
  <si>
    <t>ActivityResumedEventTest.java</t>
  </si>
  <si>
    <t>ActivityStartedEventTest.java</t>
  </si>
  <si>
    <t>ActivityStoppedEventTest.java</t>
  </si>
  <si>
    <t>ActivityQueryHelperTest.java</t>
  </si>
  <si>
    <t>CtsAngleDeveloperOptionHostTest.java</t>
  </si>
  <si>
    <t>CtsAngleRulesFileTest.java</t>
  </si>
  <si>
    <t>MultiTranscoderPairPerfTest.java</t>
  </si>
  <si>
    <t>IncrementalLoadingProgressTest.java</t>
  </si>
  <si>
    <t>JobWorkItemTest.java</t>
  </si>
  <si>
    <t>BootTest.java</t>
  </si>
  <si>
    <t>GlVboPerfTest.java</t>
  </si>
  <si>
    <t>SampleHostResultTest.java</t>
  </si>
  <si>
    <t>AppSearchMultiUserTest.java</t>
  </si>
  <si>
    <t>SeparateProfileChallengePermissionsTest.java</t>
  </si>
  <si>
    <t>SeparateProfileChallengeTest.java</t>
  </si>
  <si>
    <t>RingtoneSyncTest.java</t>
  </si>
  <si>
    <t>ManagedProfileRingtoneTest.java</t>
  </si>
  <si>
    <t>RestoreSessionAppTest.java</t>
  </si>
  <si>
    <t>TextureViewTest.java</t>
  </si>
  <si>
    <t>RollbackManagerTest.java</t>
  </si>
  <si>
    <t>ApplicationRestrictionsTest.java</t>
  </si>
  <si>
    <t>InputEventTest.java</t>
  </si>
  <si>
    <t>AppCompatOverridesServiceTest.java</t>
  </si>
  <si>
    <t>AudioTrackSurroundTest.java</t>
  </si>
  <si>
    <t>PhotoPickerTest.java</t>
  </si>
  <si>
    <t>DisallowSharingIntoProfileTest.java</t>
  </si>
  <si>
    <t>EnrollmentSpecificIdTest.java</t>
  </si>
  <si>
    <t>AllowedAccountManagementTest.java</t>
  </si>
  <si>
    <t>BasicUserspaceRebootTest.java</t>
  </si>
  <si>
    <t>BootCompletedUserspaceRebootTest.java</t>
  </si>
  <si>
    <t>SettingsHandlerTest.java</t>
  </si>
  <si>
    <t>ClasspathDeviceTest.java</t>
  </si>
  <si>
    <t>HdmiCecStartupTest.java</t>
  </si>
  <si>
    <t>HkdfTest.java</t>
  </si>
  <si>
    <t>PackagesTest.java</t>
  </si>
  <si>
    <t>RemoteDpcTest.java</t>
  </si>
  <si>
    <t>RsaKeyGenPerformanceTest.java</t>
  </si>
  <si>
    <t>TestAppTest.java</t>
  </si>
  <si>
    <t>ExtensionTest.java</t>
  </si>
  <si>
    <t>ActivityOptionsTest.java</t>
  </si>
  <si>
    <t>BroadcastOptionsTest.java</t>
  </si>
  <si>
    <t>BackgroundActivityLaunchTest.java</t>
  </si>
  <si>
    <t>UserReferenceTest.java</t>
  </si>
  <si>
    <t>CarWatchdogHostTest.java</t>
  </si>
  <si>
    <t>AppRestrictionsDelegateTest.java</t>
  </si>
  <si>
    <t>ProcessTest.java</t>
  </si>
  <si>
    <t>DelegationTest.java</t>
  </si>
  <si>
    <t>GeneralDelegateTest.java</t>
  </si>
  <si>
    <t>WebViewHostSideStartupTest.java</t>
  </si>
  <si>
    <t>WebViewDeviceSideStartupTest.java</t>
  </si>
  <si>
    <t>DeprecatedPasswordAPIsTest.java</t>
  </si>
  <si>
    <t>VibrationAttributesTest.java</t>
  </si>
  <si>
    <t>EventLibAppComponentFactoryTest.java</t>
  </si>
  <si>
    <t>EventLibServiceTest.java</t>
  </si>
  <si>
    <t>TestAppAppComponentFactoryTest.java</t>
  </si>
  <si>
    <t>PackageIncidentTest.java</t>
  </si>
  <si>
    <t>InputMethodStartInputLifecycleTest.java</t>
  </si>
  <si>
    <t>AdvertisingSetTest.java</t>
  </si>
  <si>
    <t>AccessibilityNodeInfoTest.java</t>
  </si>
  <si>
    <t>CommunalManagerTest.java</t>
  </si>
  <si>
    <t>SampleMultiDeviceTest.java</t>
  </si>
  <si>
    <t>BoringLayoutFallbackLineSpacingTest.java</t>
  </si>
  <si>
    <t>FallbackLineSpacingTest.java</t>
  </si>
  <si>
    <t>SystemPaletteTest.java</t>
  </si>
  <si>
    <t>StylusHandwritingTest.java</t>
  </si>
  <si>
    <t>GeocoderTest.java</t>
  </si>
  <si>
    <t>WindowUntrustedTouchTest.java</t>
  </si>
  <si>
    <t>ImageReaderDecoderTest.java</t>
  </si>
  <si>
    <t>AppCloningHostTest.java</t>
  </si>
  <si>
    <t>WifiSsidTest.java</t>
  </si>
  <si>
    <t>RingtoneTest.java</t>
  </si>
  <si>
    <t>BluetoothHapClientTest.java</t>
  </si>
  <si>
    <t>SharedUserMigrationTest.java</t>
  </si>
  <si>
    <t>NetworkUsageStatsTest.java</t>
  </si>
  <si>
    <t>OnBackInvokedDispatcherTest.java</t>
  </si>
  <si>
    <t>TvInteractiveAppServiceTest.java</t>
  </si>
  <si>
    <t>UserManagerHelperTest.java</t>
  </si>
  <si>
    <t>CrossProfileAppsNonTargetUserTest.java</t>
  </si>
  <si>
    <t>CrossProfileAppsStartActivityTest.java</t>
  </si>
  <si>
    <t>CrossProfileAppsTargetUserTest.java</t>
  </si>
  <si>
    <t>CrossProfileAppsHostSideTest.java</t>
  </si>
  <si>
    <t>CrossProfileAppsPermissionToInteractTest.java</t>
  </si>
  <si>
    <t>CrossProfileAppsPermissionHostSideTest.java</t>
  </si>
  <si>
    <t>CrossProfileAppsTest.java</t>
  </si>
  <si>
    <t>AbstractRecognitionServiceTest.java</t>
  </si>
  <si>
    <t>CallEndpointSessionTest.java</t>
  </si>
  <si>
    <t>RouteDiscoveryPreferenceTest.java</t>
  </si>
  <si>
    <t>DeviceOwnerSetupTest.java</t>
  </si>
  <si>
    <t>GameManagerTest.java</t>
  </si>
  <si>
    <t>ResumeOnRebootHostTest.java</t>
  </si>
  <si>
    <t>EncoderTest.java</t>
  </si>
  <si>
    <t>VideoEncoderTest.java</t>
  </si>
  <si>
    <t>BaseTemplateDataTest.java</t>
  </si>
  <si>
    <t>IconTest.java</t>
  </si>
  <si>
    <t>SmartspaceHeadToHeadUiTemplateDataTest.java</t>
  </si>
  <si>
    <t>SubCardTemplateDataTest.java</t>
  </si>
  <si>
    <t>SubImageTemplateDataTest.java</t>
  </si>
  <si>
    <t>SubListTemplateDataTest.java</t>
  </si>
  <si>
    <t>TapActionTest.java</t>
  </si>
  <si>
    <t>CertInstallDelegateTest.java</t>
  </si>
  <si>
    <t>VideoCodecTest.java</t>
  </si>
  <si>
    <t>SampleJUnit4DeviceTest.java</t>
  </si>
  <si>
    <t>SetSchemaRequestCtsTest.java</t>
  </si>
  <si>
    <t>TextTest.java</t>
  </si>
  <si>
    <t>PhotoPickerCrossProfileTest.java</t>
  </si>
  <si>
    <t>BluetoothLeAudioCodecTest.java</t>
  </si>
  <si>
    <t>BluetoothServiceManagerTest.java</t>
  </si>
  <si>
    <t>CallTest.java</t>
  </si>
  <si>
    <t>DecodeEditEncodeTest.java</t>
  </si>
  <si>
    <t>CloudSearchManagerTest.java</t>
  </si>
  <si>
    <t>ActivityManagerHelperTest.java</t>
  </si>
  <si>
    <t>DecoderConformanceTest.java</t>
  </si>
  <si>
    <t>BackgroundDexOptimizationTest.java</t>
  </si>
  <si>
    <t>SimPhonebookContract_ContentNotificationsTest.java</t>
  </si>
  <si>
    <t>SelectionEventTest.java</t>
  </si>
  <si>
    <t>BluetoothLeAudioTest.java</t>
  </si>
  <si>
    <t>SipManagerTest.java</t>
  </si>
  <si>
    <t>TelephonyRegistryManagerTest.java</t>
  </si>
  <si>
    <t>SplitActivityLifecycleTest.java</t>
  </si>
  <si>
    <t>TaskFragmentOrganizerTest.java</t>
  </si>
  <si>
    <t>BluetoothAdapterTest.java</t>
  </si>
  <si>
    <t>BlockUninstallDelegateTest.java</t>
  </si>
  <si>
    <t>PermissionGrantDelegateTest.java</t>
  </si>
  <si>
    <t>PackageAccessDelegateTest.java</t>
  </si>
  <si>
    <t>EnableSystemAppDelegateTest.java</t>
  </si>
  <si>
    <t>NetworkLoggingDelegateTest.java</t>
  </si>
  <si>
    <t>NegativeCallAuthorizationTest.java</t>
  </si>
  <si>
    <t>DeviceTest.java</t>
  </si>
  <si>
    <t>ClipboardReadAccessTest.java</t>
  </si>
  <si>
    <t>EthernetManagerPermissionTest.java</t>
  </si>
  <si>
    <t>GetSchemaResponseCtsTest.java</t>
  </si>
  <si>
    <t>TaskFragmentTrustedModeTest.java</t>
  </si>
  <si>
    <t>MediaRouter2HostTest.java</t>
  </si>
  <si>
    <t>TvInteractiveAppManagerTest.java</t>
  </si>
  <si>
    <t>BluetoothHidDeviceAppQosSettingsTest.java</t>
  </si>
  <si>
    <t>VirtualAudioTest.java</t>
  </si>
  <si>
    <t>BluetoothLeAdvertiserTest.java</t>
  </si>
  <si>
    <t>QuickAccessWalletClientTest.java</t>
  </si>
  <si>
    <t>ActivityManagerHelperHostTest.java</t>
  </si>
  <si>
    <t>InternetPermissionTest.java</t>
  </si>
  <si>
    <t>UpdateStatsPermissionTest.java</t>
  </si>
  <si>
    <t>ExactAlarmsTest.java</t>
  </si>
  <si>
    <t>TimeZoneDetectorStatsTest.java</t>
  </si>
  <si>
    <t>NotificationListenerCheckTest.java</t>
  </si>
  <si>
    <t>ToolbarActionBarTest.java</t>
  </si>
  <si>
    <t>VibratorManagerTest.java</t>
  </si>
  <si>
    <t>VibratorTest.java</t>
  </si>
  <si>
    <t>SystemPropertiesHelperTest.java</t>
  </si>
  <si>
    <t>BluetoothLeBroadcastAssistantTest.java</t>
  </si>
  <si>
    <t>RequirementTest.java</t>
  </si>
  <si>
    <t>DecoderPushBlankBuffersOnStopTest.java</t>
  </si>
  <si>
    <t>WallpaperManagerTest.java</t>
  </si>
  <si>
    <t>InlineSuggestionsRequestHostTest.java</t>
  </si>
  <si>
    <t>MultiDecoderPairPerfTest.java</t>
  </si>
  <si>
    <t>MultiDecoderPerfTest.java</t>
  </si>
  <si>
    <t>DirectBootHostTest.java</t>
  </si>
  <si>
    <t>BluetoothDeviceTest.java</t>
  </si>
  <si>
    <t>SystemBluetoothTest.java</t>
  </si>
  <si>
    <t>KeyAttestationTest.java</t>
  </si>
  <si>
    <t>TzDataCheckTest.java</t>
  </si>
  <si>
    <t>AtraceHostTest.java</t>
  </si>
  <si>
    <t>LocationDisabledAppOpsTest.java</t>
  </si>
  <si>
    <t>MediaOutputDialogTest.java</t>
  </si>
  <si>
    <t>HDRDecoderTest.java</t>
  </si>
  <si>
    <t>DecoderHDRInfoTest.java</t>
  </si>
  <si>
    <t>SeamendcHostTest.java</t>
  </si>
  <si>
    <t>CompatChangesValidConfigTest.java</t>
  </si>
  <si>
    <t>RangingSessionTest.java</t>
  </si>
  <si>
    <t>SessionHandleTest.java</t>
  </si>
  <si>
    <t>MediaSessionTest.java</t>
  </si>
  <si>
    <t>OnDevicePersonalizationServiceTest.java</t>
  </si>
  <si>
    <t>CarServiceHelperServiceUpdatableTest.java</t>
  </si>
  <si>
    <t>SearchRequestTest.java</t>
  </si>
  <si>
    <t>SearchResponseTest.java</t>
  </si>
  <si>
    <t>SearchResultTest.java</t>
  </si>
  <si>
    <t>AutofillSaveDialogHeightTest.java</t>
  </si>
  <si>
    <t>BatteryStatsRadioPowerStateTest.java</t>
  </si>
  <si>
    <t>BluetoothA2dpSinkTest.java</t>
  </si>
  <si>
    <t>BluetoothA2dpTest.java</t>
  </si>
  <si>
    <t>BluetoothCsipSetCoordinatorTest.java</t>
  </si>
  <si>
    <t>BluetoothHeadsetClientTest.java</t>
  </si>
  <si>
    <t>BluetoothHeadsetTest.java</t>
  </si>
  <si>
    <t>BluetoothHidDeviceTest.java</t>
  </si>
  <si>
    <t>BluetoothHidHostTest.java</t>
  </si>
  <si>
    <t>BluetoothLeBroadcastTest.java</t>
  </si>
  <si>
    <t>BluetoothMapClientTest.java</t>
  </si>
  <si>
    <t>BluetoothMapTest.java</t>
  </si>
  <si>
    <t>BluetoothPanTest.java</t>
  </si>
  <si>
    <t>BluetoothPbapClientTest.java</t>
  </si>
  <si>
    <t>BluetoothPbapTest.java</t>
  </si>
  <si>
    <t>BluetoothSapTest.java</t>
  </si>
  <si>
    <t>BluetoothVolumeControlTest.java</t>
  </si>
  <si>
    <t>HearingAidProfileTest.java</t>
  </si>
  <si>
    <t>CodecEncoderTest.java</t>
  </si>
  <si>
    <t>AngleOfArrivalMeasurementTest.java</t>
  </si>
  <si>
    <t>DistanceMeasurementTest.java</t>
  </si>
  <si>
    <t>RangingMeasurementTest.java</t>
  </si>
  <si>
    <t>RangingReportTest.java</t>
  </si>
  <si>
    <t>UwbAddressTest.java</t>
  </si>
  <si>
    <t>UwbFrameworkInitializerTest.java</t>
  </si>
  <si>
    <t>ApplicationHiddenParentTest.java</t>
  </si>
  <si>
    <t>TimeManagementTest.java</t>
  </si>
  <si>
    <t>ParentProfileTest.java</t>
  </si>
  <si>
    <t>GetPasswordComplexityTest.java</t>
  </si>
  <si>
    <t>LauncherAppsProfileTest.java</t>
  </si>
  <si>
    <t>LimitAppIconHidingTest.java</t>
  </si>
  <si>
    <t>CrossProfileIntentFilterTest.java</t>
  </si>
  <si>
    <t>PrimaryUserTest.java</t>
  </si>
  <si>
    <t>SonyDualSenseEdgeBluetoothTest.java</t>
  </si>
  <si>
    <t>SonyDualSenseEdgeUsbTest.java</t>
  </si>
  <si>
    <t>testGetIBinder</t>
  </si>
  <si>
    <t>testGetCellLocation</t>
  </si>
  <si>
    <t>testWriteToParcel</t>
  </si>
  <si>
    <t>testCopySpansFromNullPointerException</t>
  </si>
  <si>
    <t>testGetCharsNullPointerException</t>
  </si>
  <si>
    <t>testGetOffsetAfterNullPointerException</t>
  </si>
  <si>
    <t>testGetOffsetBeforeNullPointerException</t>
  </si>
  <si>
    <t>testGetReverseInternalError</t>
  </si>
  <si>
    <t>testGetReverseNegativeArraySizeException</t>
  </si>
  <si>
    <t>testGetReverseNullPointerException</t>
  </si>
  <si>
    <t>testRegionMatchesNullPointerException</t>
  </si>
  <si>
    <t>testWriteToParcelNullPointerException</t>
  </si>
  <si>
    <t>testFinalize</t>
  </si>
  <si>
    <t>testOnSaveInstanceState</t>
  </si>
  <si>
    <t>testShow</t>
  </si>
  <si>
    <t>testOnClick</t>
  </si>
  <si>
    <t>testOnDateChanged</t>
  </si>
  <si>
    <t>testUpdateDate</t>
  </si>
  <si>
    <t>testOnRestoreInstanceState</t>
  </si>
  <si>
    <t>testGetSyncAdapter</t>
  </si>
  <si>
    <t>testInstallPackage</t>
  </si>
  <si>
    <t>testInstallPackage2</t>
  </si>
  <si>
    <t>testOnDetachedFromWindow</t>
  </si>
  <si>
    <t>testOnWindowVisibilityChanged</t>
  </si>
  <si>
    <t>testReadWriteCalendar</t>
  </si>
  <si>
    <t>testReadWriteContacts</t>
  </si>
  <si>
    <t>testReadWriteSms</t>
  </si>
  <si>
    <t>testReadWriteSyncSettings</t>
  </si>
  <si>
    <t>testReadSyncStats</t>
  </si>
  <si>
    <t>testWriteApnSettings</t>
  </si>
  <si>
    <t>testWriteSettings</t>
  </si>
  <si>
    <t>testReadSubscribedFeeds</t>
  </si>
  <si>
    <t>testReadWriteBookmarks</t>
  </si>
  <si>
    <t>testReadWriteHistory</t>
  </si>
  <si>
    <t>testfinalize</t>
  </si>
  <si>
    <t>testSetKeyFrame1</t>
  </si>
  <si>
    <t>testSetKeyFrame2</t>
  </si>
  <si>
    <t>testAddTestProvider</t>
  </si>
  <si>
    <t>testSetTestProviderEnabled</t>
  </si>
  <si>
    <t>testSetTestProviderLocation</t>
  </si>
  <si>
    <t>testClearTestProviderEnabled</t>
  </si>
  <si>
    <t>testClearTestProviderStatus</t>
  </si>
  <si>
    <t>testClearTestProviderLocation</t>
  </si>
  <si>
    <t>testDraw</t>
  </si>
  <si>
    <t>testGetOpacity</t>
  </si>
  <si>
    <t>testGetPadding</t>
  </si>
  <si>
    <t>testOnBoundsChange</t>
  </si>
  <si>
    <t>testOnLevelChange</t>
  </si>
  <si>
    <t>testInflateTag</t>
  </si>
  <si>
    <t>testSetRouting</t>
  </si>
  <si>
    <t>testFillIn</t>
  </si>
  <si>
    <t>testGetISyncContext</t>
  </si>
  <si>
    <t>testUpdateHeartbeat</t>
  </si>
  <si>
    <t>testSetStatusText</t>
  </si>
  <si>
    <t>testOnFinished</t>
  </si>
  <si>
    <t>testHasError</t>
  </si>
  <si>
    <t>testMadeSomeProgress</t>
  </si>
  <si>
    <t>testToDebugString</t>
  </si>
  <si>
    <t>testHasHardError</t>
  </si>
  <si>
    <t>testWriteToParcelFailure</t>
  </si>
  <si>
    <t>testDescribeContents</t>
  </si>
  <si>
    <t>testHasSoftError</t>
  </si>
  <si>
    <t>testClickTimePicker</t>
  </si>
  <si>
    <t>testGetText1</t>
  </si>
  <si>
    <t>testGetText2</t>
  </si>
  <si>
    <t>testEventLogTagsOp</t>
  </si>
  <si>
    <t>testOnTooManyRedirects</t>
  </si>
  <si>
    <t>testGetMatch2</t>
  </si>
  <si>
    <t>testOnAllReferencesReleasedNOreleaseOfCompiledSql</t>
  </si>
  <si>
    <t>testOnAllReferencesReleasedFromContainerNOreleaseOfCompiledSql</t>
  </si>
  <si>
    <t>testStartSearch</t>
  </si>
  <si>
    <t>testDispatchDraw</t>
  </si>
  <si>
    <t>testOnMeasure</t>
  </si>
  <si>
    <t>testDispatchSetSelected</t>
  </si>
  <si>
    <t>testOnWindowFocusChanged</t>
  </si>
  <si>
    <t>testSetCustomTitle</t>
  </si>
  <si>
    <t>testSetTitleWithParamInt</t>
  </si>
  <si>
    <t>testSetTitleWithParamCharSequence</t>
  </si>
  <si>
    <t>testSetMessageWithParamInt</t>
  </si>
  <si>
    <t>testSetMessageWithParamCharSequence</t>
  </si>
  <si>
    <t>testOpPackagePreferredActivities</t>
  </si>
  <si>
    <t>testMipmapDrawable</t>
  </si>
  <si>
    <t>testAddDrawable</t>
  </si>
  <si>
    <t>testSortedByHeight</t>
  </si>
  <si>
    <t>testSetBoundsOneItem</t>
  </si>
  <si>
    <t>testSetBounds</t>
  </si>
  <si>
    <t>testSizes</t>
  </si>
  <si>
    <t>testReplacementWhenAdded</t>
  </si>
  <si>
    <t>testInflate</t>
  </si>
  <si>
    <t>testInflateWithNullParameters</t>
  </si>
  <si>
    <t>testMutate</t>
  </si>
  <si>
    <t>testAutoFocus</t>
  </si>
  <si>
    <t>testCursorUpdate</t>
  </si>
  <si>
    <t>testTabFinishCreate</t>
  </si>
  <si>
    <t>testTabFinishStart</t>
  </si>
  <si>
    <t>testFinishStart</t>
  </si>
  <si>
    <t>testFinishCreate</t>
  </si>
  <si>
    <t>testAddPackageToPreferred</t>
  </si>
  <si>
    <t>testRemovePackageFromPreferred</t>
  </si>
  <si>
    <t>testGetDatabase</t>
  </si>
  <si>
    <t>testGetUniqueId</t>
  </si>
  <si>
    <t>testOnAllReferencesReleased</t>
  </si>
  <si>
    <t>testOnAllReferencesReleasedFromContainer</t>
  </si>
  <si>
    <t>testProtectedMethods</t>
  </si>
  <si>
    <t>testGetSyncedTables</t>
  </si>
  <si>
    <t>testMarkTableSyncable</t>
  </si>
  <si>
    <t>testCanvas3</t>
  </si>
  <si>
    <t>testFreeGlCaches</t>
  </si>
  <si>
    <t>testSetViewport</t>
  </si>
  <si>
    <t>testGetTimeZoneDatabaseVersion</t>
  </si>
  <si>
    <t>testListItem</t>
  </si>
  <si>
    <t>testGrantReadPrivateFromStartActivity</t>
  </si>
  <si>
    <t>testGrantWritePrivateFromStartActivity</t>
  </si>
  <si>
    <t>testSetConnectionPoolSize</t>
  </si>
  <si>
    <t>testSetPersistent</t>
  </si>
  <si>
    <t>testUserActivity</t>
  </si>
  <si>
    <t>testPerformLongClick</t>
  </si>
  <si>
    <t>testOnKeyMultiple</t>
  </si>
  <si>
    <t>testComputeScroll</t>
  </si>
  <si>
    <t>testAccessNetworkPreference</t>
  </si>
  <si>
    <t>testE8</t>
  </si>
  <si>
    <t>testVFE16</t>
  </si>
  <si>
    <t>testHandheldFeatures</t>
  </si>
  <si>
    <t>testStbFeatures</t>
  </si>
  <si>
    <t>testRequiredFeatures</t>
  </si>
  <si>
    <t>testAccessAbortBroadcast</t>
  </si>
  <si>
    <t>testValueOf</t>
  </si>
  <si>
    <t>testSensorManagerOldAPIs</t>
  </si>
  <si>
    <t>testSensorManager</t>
  </si>
  <si>
    <t>testSetCancelable</t>
  </si>
  <si>
    <t>testCancel</t>
  </si>
  <si>
    <t>testInputStream</t>
  </si>
  <si>
    <t>testSecureSettings</t>
  </si>
  <si>
    <t>testSurface</t>
  </si>
  <si>
    <t>testLoadingThreadDelayRegisterData</t>
  </si>
  <si>
    <t>testLoadingThread</t>
  </si>
  <si>
    <t>testAccessOfFiles</t>
  </si>
  <si>
    <t>testPressKey2</t>
  </si>
  <si>
    <t>testPressKey4</t>
  </si>
  <si>
    <t>testPressKey5</t>
  </si>
  <si>
    <t>testCacheDisabled</t>
  </si>
  <si>
    <t>testDatePickerDialogWithTheme</t>
  </si>
  <si>
    <t>testDatePickerDialog</t>
  </si>
  <si>
    <t>testGetLineMax</t>
  </si>
  <si>
    <t>testGetLineWidth</t>
  </si>
  <si>
    <t>testNoListeningPorts</t>
  </si>
  <si>
    <t>testSystemAlertWindow</t>
  </si>
  <si>
    <t>testCompareLoosely</t>
  </si>
  <si>
    <t>testCompareStrictly</t>
  </si>
  <si>
    <t>testOnReceivedIcon</t>
  </si>
  <si>
    <t>testScroll</t>
  </si>
  <si>
    <t>testTrafficStatsWithHostLookup</t>
  </si>
  <si>
    <t>testSetOnScrollListener</t>
  </si>
  <si>
    <t>testOnKeyDownWithNullParameters</t>
  </si>
  <si>
    <t>testDraw1</t>
  </si>
  <si>
    <t>testDraw2</t>
  </si>
  <si>
    <t>testGetPrimaryHorizontal</t>
  </si>
  <si>
    <t>testGetSecondaryHorizontal</t>
  </si>
  <si>
    <t>testGetLineLeft</t>
  </si>
  <si>
    <t>testGetLineRight</t>
  </si>
  <si>
    <t>testGetOffsetForHorizontal</t>
  </si>
  <si>
    <t>testGetOffsetToLeftOf</t>
  </si>
  <si>
    <t>testGetOffsetToRightOf</t>
  </si>
  <si>
    <t>testGetCursorPath</t>
  </si>
  <si>
    <t>testGetSelectionPath</t>
  </si>
  <si>
    <t>testAccessInterpolatorContext</t>
  </si>
  <si>
    <t>testLocalStartClassPermissionDenied</t>
  </si>
  <si>
    <t>testLocalStartActionPermissionDenied</t>
  </si>
  <si>
    <t>testLocalBindClassPermissionDenied</t>
  </si>
  <si>
    <t>testLocalBindActionPermissionDenied</t>
  </si>
  <si>
    <t>testCallActivityOnDestroy</t>
  </si>
  <si>
    <t>testRecomputeViewAttributes</t>
  </si>
  <si>
    <t>testOpPanel</t>
  </si>
  <si>
    <t>testTogglePanelClose</t>
  </si>
  <si>
    <t>testTogglePanelOpen</t>
  </si>
  <si>
    <t>testIsShortcutKey</t>
  </si>
  <si>
    <t>testOptionMenu</t>
  </si>
  <si>
    <t>testScreenLayoutSize</t>
  </si>
  <si>
    <t>testActionCall</t>
  </si>
  <si>
    <t>testCallVoicemail</t>
  </si>
  <si>
    <t>testCall911</t>
  </si>
  <si>
    <t>testMuteSolo</t>
  </si>
  <si>
    <t>testSetUp_missingConfig</t>
  </si>
  <si>
    <t>testBreakText1</t>
  </si>
  <si>
    <t>testListActivity</t>
  </si>
  <si>
    <t>testGetTextWidths1</t>
  </si>
  <si>
    <t>testGetTextWidths2</t>
  </si>
  <si>
    <t>testGetTextWidths3</t>
  </si>
  <si>
    <t>testGetTextWidths4</t>
  </si>
  <si>
    <t>testRadialGradient</t>
  </si>
  <si>
    <t>testRadialGradientWithColor</t>
  </si>
  <si>
    <t>testCreateFont</t>
  </si>
  <si>
    <t>testBreakText2</t>
  </si>
  <si>
    <t>testBreakText3</t>
  </si>
  <si>
    <t>testOn</t>
  </si>
  <si>
    <t>testOnTouchEvent</t>
  </si>
  <si>
    <t>testDispatchKeyEvent</t>
  </si>
  <si>
    <t>testRedirect</t>
  </si>
  <si>
    <t>testOpen</t>
  </si>
  <si>
    <t>testGetInstance</t>
  </si>
  <si>
    <t>testRetainIconForPageUrl</t>
  </si>
  <si>
    <t>testRemoveAllIcons</t>
  </si>
  <si>
    <t>testClearFormData</t>
  </si>
  <si>
    <t>testPauseTimers</t>
  </si>
  <si>
    <t>testSetCallbackDuringFling</t>
  </si>
  <si>
    <t>testColumnShrinkableEffect</t>
  </si>
  <si>
    <t>testPlayVideo2</t>
  </si>
  <si>
    <t>testGetTextBounds1</t>
  </si>
  <si>
    <t>testGetTextBounds2</t>
  </si>
  <si>
    <t>testMeasureText2</t>
  </si>
  <si>
    <t>testMeasureText3</t>
  </si>
  <si>
    <t>testMeasureText4</t>
  </si>
  <si>
    <t>testMeasureText1</t>
  </si>
  <si>
    <t>testOnKeyDown</t>
  </si>
  <si>
    <t>testOnTrackballEvent</t>
  </si>
  <si>
    <t>testInputfoo</t>
  </si>
  <si>
    <t>testSimpleOnGestureListener</t>
  </si>
  <si>
    <t>testWelcome</t>
  </si>
  <si>
    <t>testContinueButton</t>
  </si>
  <si>
    <t>testListAdapter</t>
  </si>
  <si>
    <t>testLaunchAndFinishTestActivity</t>
  </si>
  <si>
    <t>testInsertUpdateDeleteByTestName</t>
  </si>
  <si>
    <t>testAllFeatures</t>
  </si>
  <si>
    <t>testClearView</t>
  </si>
  <si>
    <t>testGetDisplayMetrics</t>
  </si>
  <si>
    <t>testAlign</t>
  </si>
  <si>
    <t>testUnknownSourcesOffByDefault</t>
  </si>
  <si>
    <t>testZoom</t>
  </si>
  <si>
    <t>testHitTestResult</t>
  </si>
  <si>
    <t>testSynthesizeToFileComplete</t>
  </si>
  <si>
    <t>testSpeakComplete</t>
  </si>
  <si>
    <t>testUsbFeatures</t>
  </si>
  <si>
    <t>testTileMode</t>
  </si>
  <si>
    <t>testHoloTheme</t>
  </si>
  <si>
    <t>testHoloLightTheme</t>
  </si>
  <si>
    <t>testGetIsBlocking</t>
  </si>
  <si>
    <t>testNavigateBack</t>
  </si>
  <si>
    <t>testNavigateForward</t>
  </si>
  <si>
    <t>testRefresh</t>
  </si>
  <si>
    <t>testGetTextReturnsEmptyString</t>
  </si>
  <si>
    <t>testGetValidAttribute</t>
  </si>
  <si>
    <t>testGetInvalidAttributeReturnsNull</t>
  </si>
  <si>
    <t>testGetAttributeNotSetReturnsNull</t>
  </si>
  <si>
    <t>testTagName</t>
  </si>
  <si>
    <t>testIsEnabled</t>
  </si>
  <si>
    <t>testIsSelected</t>
  </si>
  <si>
    <t>testIsSelectedOnHiddenInputThrows</t>
  </si>
  <si>
    <t>testIsSelectedOnNonSelectableElementThrows</t>
  </si>
  <si>
    <t>testToggleCheckbox</t>
  </si>
  <si>
    <t>testToggleOnNonTogglableElements</t>
  </si>
  <si>
    <t>testGetCssValue</t>
  </si>
  <si>
    <t>testGetCssValueReturnsNullWhenPropertyNotFound</t>
  </si>
  <si>
    <t>testGetLocation</t>
  </si>
  <si>
    <t>testIsDisplayed</t>
  </si>
  <si>
    <t>testClickOnWebElement</t>
  </si>
  <si>
    <t>testSendKeys</t>
  </si>
  <si>
    <t>testSubmit</t>
  </si>
  <si>
    <t>testFindElementThrowsIfNoPageIsLoaded</t>
  </si>
  <si>
    <t>testFindElementsThrowsIfNoPageIsLoaded</t>
  </si>
  <si>
    <t>testFindElementById</t>
  </si>
  <si>
    <t>testFindElementByIdThrowsIfElementDoesNotExists</t>
  </si>
  <si>
    <t>testFindNestedElementById</t>
  </si>
  <si>
    <t>testFindElementsById</t>
  </si>
  <si>
    <t>testFindElementsByIdReturnsEmptyListIfNoResultsFound</t>
  </si>
  <si>
    <t>testFindNestedElementsById</t>
  </si>
  <si>
    <t>testFindElementByLinkText</t>
  </si>
  <si>
    <t>testFindElementByLinkTextThrowsIfElementDoesNotExists</t>
  </si>
  <si>
    <t>testFindNestedElementByLinkText</t>
  </si>
  <si>
    <t>testFindElementsByLinkText</t>
  </si>
  <si>
    <t>testFindElementsByLinkTextReturnsEmptyListIfNoResultsFound</t>
  </si>
  <si>
    <t>testFindNestedElementsByLinkText</t>
  </si>
  <si>
    <t>testFindElementByPartialLinkText</t>
  </si>
  <si>
    <t>testFindElementByPartialLinkTextThrowsIfElementDoesNotExists</t>
  </si>
  <si>
    <t>testFindNestedElementByPartialLinkText</t>
  </si>
  <si>
    <t>testFindElementsByPartialLinkText</t>
  </si>
  <si>
    <t>testFindElementsByPartialLinkTextReturnsEmptyListIfNoResultsFound</t>
  </si>
  <si>
    <t>testFindNestedElementsByPartialLinkText</t>
  </si>
  <si>
    <t>testFindElementByName</t>
  </si>
  <si>
    <t>testFindElementByNameThrowsIfElementDoesNotExists</t>
  </si>
  <si>
    <t>testFindNestedElementByName</t>
  </si>
  <si>
    <t>testFindElementsByName</t>
  </si>
  <si>
    <t>testFindElementsByNameReturnsEmptyListIfNoResultsFound</t>
  </si>
  <si>
    <t>testFindNestedElementsByName</t>
  </si>
  <si>
    <t>testFindElementByTagName</t>
  </si>
  <si>
    <t>testFindElementByTagNameThrowsIfElementDoesNotExists</t>
  </si>
  <si>
    <t>testFindNestedElementByTagName</t>
  </si>
  <si>
    <t>testFindElementsByTagName</t>
  </si>
  <si>
    <t>testFindElementsByTagNameReturnsEmptyListIfNoResultsFound</t>
  </si>
  <si>
    <t>testFindNestedElementsByTagName</t>
  </si>
  <si>
    <t>testFindElementByXPath</t>
  </si>
  <si>
    <t>testFindElementByXPathThrowsIfElementDoesNotExists</t>
  </si>
  <si>
    <t>testFindNestedElementByXPath</t>
  </si>
  <si>
    <t>testFindElementsByXPath</t>
  </si>
  <si>
    <t>testFindElementsByXPathReturnsEmptyListIfNoResultsFound</t>
  </si>
  <si>
    <t>testFindNestedElementsByXPath</t>
  </si>
  <si>
    <t>testFindElementByXpathWithInvalidXPath</t>
  </si>
  <si>
    <t>testFindElementByClassName</t>
  </si>
  <si>
    <t>testFindElementByClassNameThrowsIfElementDoesNotExists</t>
  </si>
  <si>
    <t>testFindNestedElementByClassName</t>
  </si>
  <si>
    <t>testFindElementsByClassName</t>
  </si>
  <si>
    <t>testFindElementsByClassNameReturnsEmptyListIfNoResultsFound</t>
  </si>
  <si>
    <t>testFindNestedElementsByClassName</t>
  </si>
  <si>
    <t>testFindElementByCss</t>
  </si>
  <si>
    <t>testFindElementByCssThrowsIfElementDoesNotExists</t>
  </si>
  <si>
    <t>testFindNestedElementByCss</t>
  </si>
  <si>
    <t>testFindElementsByCss</t>
  </si>
  <si>
    <t>testFindElementsByCssReturnsEmptyListIfNoResultsFound</t>
  </si>
  <si>
    <t>testFindNestedElementsByCss</t>
  </si>
  <si>
    <t>testExecuteScriptShouldReturnAString</t>
  </si>
  <si>
    <t>testExecuteScriptShouldReturnAWebElement</t>
  </si>
  <si>
    <t>testExecuteScriptShouldPassAndReturnADouble</t>
  </si>
  <si>
    <t>testExecuteScriptShouldPassAndReturnALong</t>
  </si>
  <si>
    <t>testExecuteScriptShouldPassReturnABoolean</t>
  </si>
  <si>
    <t>testExecuteScriptShouldReturnAList</t>
  </si>
  <si>
    <t>testExecuteScriptShouldReturnNestedList</t>
  </si>
  <si>
    <t>testExecuteScriptShouldBeAbleToReturnALisOfwebElements</t>
  </si>
  <si>
    <t>testExecuteScriptShouldReturnAMap</t>
  </si>
  <si>
    <t>testExecuteScriptShouldThrowIfJsIsBad</t>
  </si>
  <si>
    <t>testExecuteScriptShouldbeAbleToPassAString</t>
  </si>
  <si>
    <t>testExecuteScriptShouldBeAbleToPassWebElement</t>
  </si>
  <si>
    <t>testExecuteScriptShouldBeAbleToPassAList</t>
  </si>
  <si>
    <t>testExecuteScriptShouldBeAbleToPassNestedLists</t>
  </si>
  <si>
    <t>testExecuteScriptShouldBeAbleToPassAMap</t>
  </si>
  <si>
    <t>testExecuteScriptShouldBeAbleToPassNestedMaps</t>
  </si>
  <si>
    <t>testExecuteScriptShouldThrowIfArgumentIsNotValid</t>
  </si>
  <si>
    <t>testExecuteScriptHandlesStringCorrectly</t>
  </si>
  <si>
    <t>testExecuteScriptShouldThrowIfNoPageLoaded</t>
  </si>
  <si>
    <t>testExecuteScriptShouldBeAbleToCreatePersistentValue</t>
  </si>
  <si>
    <t>testExecuteScriptEscapesQuotesAndBackslash</t>
  </si>
  <si>
    <t>testExecuteScriptReturnsNull</t>
  </si>
  <si>
    <t>testExecuteScriptShouldThrowIfNoPageIsLoaded</t>
  </si>
  <si>
    <t>testPlayMp3Stream1</t>
  </si>
  <si>
    <t>testPlayMp3Stream2</t>
  </si>
  <si>
    <t>testPlayMp3StreamRedirect</t>
  </si>
  <si>
    <t>testPlayMp3StreamNoLength</t>
  </si>
  <si>
    <t>testPlayOggStream</t>
  </si>
  <si>
    <t>testPlayOggStreamRedirect</t>
  </si>
  <si>
    <t>testPlayOggStreamNoLength</t>
  </si>
  <si>
    <t>testSslErrorHandler</t>
  </si>
  <si>
    <t>testN4</t>
  </si>
  <si>
    <t>testN5</t>
  </si>
  <si>
    <t>testN7</t>
  </si>
  <si>
    <t>testN3</t>
  </si>
  <si>
    <t>testN8</t>
  </si>
  <si>
    <t>testN6</t>
  </si>
  <si>
    <t>testN2</t>
  </si>
  <si>
    <t>testB3</t>
  </si>
  <si>
    <t>testB4</t>
  </si>
  <si>
    <t>testLoadingThreadClose</t>
  </si>
  <si>
    <t>testLoadingThreadDeactivate</t>
  </si>
  <si>
    <t>testViewMessageInbox</t>
  </si>
  <si>
    <t>testDeactivateInternal</t>
  </si>
  <si>
    <t>testMultipleApps</t>
  </si>
  <si>
    <t>testSetUp_wrongBuildInfo</t>
  </si>
  <si>
    <t>testSetUp</t>
  </si>
  <si>
    <t>testParseSimpleCommand</t>
  </si>
  <si>
    <t>testParseMultiOptionsCommand</t>
  </si>
  <si>
    <t>testParseSameOptionCommand</t>
  </si>
  <si>
    <t>testParseNoValueForOptionCommand</t>
  </si>
  <si>
    <t>testParseIllOptionCommand</t>
  </si>
  <si>
    <t>testParseMultiIllOptionCommand</t>
  </si>
  <si>
    <t>testGetOptions</t>
  </si>
  <si>
    <t>testParseEmptyCommand</t>
  </si>
  <si>
    <t>testParseSingleCommand</t>
  </si>
  <si>
    <t>testParseNumberOption</t>
  </si>
  <si>
    <t>testParseValueNegative</t>
  </si>
  <si>
    <t>testParseCapitalLetter</t>
  </si>
  <si>
    <t>testParseActionValue</t>
  </si>
  <si>
    <t>testParseListResultCmd</t>
  </si>
  <si>
    <t>testGetTestSuiteNames</t>
  </si>
  <si>
    <t>testPlanBuilder</t>
  </si>
  <si>
    <t>testGetExcludedList</t>
  </si>
  <si>
    <t>testBuildSimpleSession</t>
  </si>
  <si>
    <t>testGetAndRemoveEntriesFromPlanFile</t>
  </si>
  <si>
    <t>testValidatePackageName</t>
  </si>
  <si>
    <t>testBuildSessionWithDependency</t>
  </si>
  <si>
    <t>testBuildSessionFromEmbeddedSuites</t>
  </si>
  <si>
    <t>testExcludingFromXmlFile</t>
  </si>
  <si>
    <t>testExcludingEmbeddedSuite</t>
  </si>
  <si>
    <t>testExcludingTopSuite</t>
  </si>
  <si>
    <t>testExcludingTestCase</t>
  </si>
  <si>
    <t>testExcludingAllTestCases</t>
  </si>
  <si>
    <t>testExcludingTest</t>
  </si>
  <si>
    <t>testExcludingAllTests</t>
  </si>
  <si>
    <t>testCreatePlanWithExcludedList</t>
  </si>
  <si>
    <t>testCreatePlanWithExcludedListForNestedSuite</t>
  </si>
  <si>
    <t>testBuildProtocolPlan</t>
  </si>
  <si>
    <t>testLoadPlanWithSubSuite</t>
  </si>
  <si>
    <t>testValidateTestController</t>
  </si>
  <si>
    <t>testLoadPlanWithTestController</t>
  </si>
  <si>
    <t>testLoadTestSessionLogBuilder</t>
  </si>
  <si>
    <t>testThemes</t>
  </si>
  <si>
    <t>testN1</t>
  </si>
  <si>
    <t>testE1</t>
  </si>
  <si>
    <t>testE2</t>
  </si>
  <si>
    <t>testE3</t>
  </si>
  <si>
    <t>testVFE1</t>
  </si>
  <si>
    <t>testVFE2</t>
  </si>
  <si>
    <t>testVFE3</t>
  </si>
  <si>
    <t>testVFE4</t>
  </si>
  <si>
    <t>testVFE5</t>
  </si>
  <si>
    <t>testVFE6</t>
  </si>
  <si>
    <t>testVFE7</t>
  </si>
  <si>
    <t>testVFE8</t>
  </si>
  <si>
    <t>testE4</t>
  </si>
  <si>
    <t>testVFE9</t>
  </si>
  <si>
    <t>testVFE10</t>
  </si>
  <si>
    <t>testNPE1</t>
  </si>
  <si>
    <t>testB1</t>
  </si>
  <si>
    <t>testB2</t>
  </si>
  <si>
    <t>testB5</t>
  </si>
  <si>
    <t>testB6</t>
  </si>
  <si>
    <t>testB7</t>
  </si>
  <si>
    <t>testB8</t>
  </si>
  <si>
    <t>testB9</t>
  </si>
  <si>
    <t>testB10</t>
  </si>
  <si>
    <t>testB11</t>
  </si>
  <si>
    <t>testE5</t>
  </si>
  <si>
    <t>testE6</t>
  </si>
  <si>
    <t>testE7</t>
  </si>
  <si>
    <t>testE9</t>
  </si>
  <si>
    <t>testB12</t>
  </si>
  <si>
    <t>testB13</t>
  </si>
  <si>
    <t>testB14</t>
  </si>
  <si>
    <t>testVFE11</t>
  </si>
  <si>
    <t>testVFE12</t>
  </si>
  <si>
    <t>testVideoPlayback</t>
  </si>
  <si>
    <t>testStressCamera</t>
  </si>
  <si>
    <t>testStressRecorder</t>
  </si>
  <si>
    <t>testStressCameraSwitchRecorder</t>
  </si>
  <si>
    <t>testStressRecordVideoAndPlayback</t>
  </si>
  <si>
    <t>testChangeDebugPort</t>
  </si>
  <si>
    <t>testEnableEmulatorTraceOutput</t>
  </si>
  <si>
    <t>testIsDebuggerConnected</t>
  </si>
  <si>
    <t>testSetAllocationLimit</t>
  </si>
  <si>
    <t>testSetGlobalAllocationLimit</t>
  </si>
  <si>
    <t>testWaitForDebugger</t>
  </si>
  <si>
    <t>testVFE13</t>
  </si>
  <si>
    <t>testVFE14</t>
  </si>
  <si>
    <t>testVFE15</t>
  </si>
  <si>
    <t>testVFE30</t>
  </si>
  <si>
    <t>testVFE17</t>
  </si>
  <si>
    <t>testVFE18</t>
  </si>
  <si>
    <t>testVFE19</t>
  </si>
  <si>
    <t>testVFE20</t>
  </si>
  <si>
    <t>testVFE21</t>
  </si>
  <si>
    <t>test_uriParser</t>
  </si>
  <si>
    <t>test_parseSmartPoster</t>
  </si>
  <si>
    <t>testPhoneNumberFormattingTextWatcher</t>
  </si>
  <si>
    <t>testdPadNav</t>
  </si>
  <si>
    <t>testNumberOfItemsInListView</t>
  </si>
  <si>
    <t>testAddJavascriptInterfaceOddName</t>
  </si>
  <si>
    <t>testFeature</t>
  </si>
  <si>
    <t>testPackages</t>
  </si>
  <si>
    <t>testSetNotificationUri</t>
  </si>
  <si>
    <t>testArrayInit</t>
  </si>
  <si>
    <t>testScheduleAnimationDoesNothingIfNoListenersOrCallbacks</t>
  </si>
  <si>
    <t>testScheduleDrawDoesNothingIfNoListenersOrCallbacks</t>
  </si>
  <si>
    <t>testScheduleAnimationCausesAnimationListenersAndCallbacksToRun</t>
  </si>
  <si>
    <t>testScheduleDrawCausesDrawListenersAndCallbacksToRun</t>
  </si>
  <si>
    <t>testAddOnAnimateListenerThrowsIfListenerIsNull</t>
  </si>
  <si>
    <t>testRemoveOnAnimateListenerThrowsIfListenerIsNull</t>
  </si>
  <si>
    <t>testAddOnDrawListenerThrowsIfListenerIsNull</t>
  </si>
  <si>
    <t>testRemoveOnDrawListenerThrowsIfListenerIsNull</t>
  </si>
  <si>
    <t>testReleaseSyncBarrierThrowsIfImproperlyNested</t>
  </si>
  <si>
    <t>testAccessBlockNetworkImage</t>
  </si>
  <si>
    <t>testAccessLoadsImagesAutomatically</t>
  </si>
  <si>
    <t>testRemoveAnimationCallbackThrowsIfRunnableIsNull</t>
  </si>
  <si>
    <t>testRemoveDrawCallbackThrowsIfRunnableIsNull</t>
  </si>
  <si>
    <t>testFindByText</t>
  </si>
  <si>
    <t>testFindByContentDescription</t>
  </si>
  <si>
    <t>testTraverseWindow</t>
  </si>
  <si>
    <t>testPerformActionFocus</t>
  </si>
  <si>
    <t>testPerformActionClearFocus</t>
  </si>
  <si>
    <t>testPerformActionSelect</t>
  </si>
  <si>
    <t>testPerformActionClearSelection</t>
  </si>
  <si>
    <t>testGetEventSource</t>
  </si>
  <si>
    <t>testObjectContract</t>
  </si>
  <si>
    <t>testAccessibilitySettingsIntentHandled</t>
  </si>
  <si>
    <t>testMarshalling</t>
  </si>
  <si>
    <t>testTypeNotificationStateChangedAccessibilityEvent</t>
  </si>
  <si>
    <t>testTypeViewClickedAccessibilityEvent</t>
  </si>
  <si>
    <t>testTypeViewFocusedAccessibilityEvent</t>
  </si>
  <si>
    <t>testTypeViewLongClickedAccessibilityEvent</t>
  </si>
  <si>
    <t>testTypeViewSelectedAccessibilityEvent</t>
  </si>
  <si>
    <t>testTypeViewTextChangedAccessibilityEvent</t>
  </si>
  <si>
    <t>testTypeWindowStateChangedAccessibilityEvent</t>
  </si>
  <si>
    <t>testPostAnimationCallbackWithoutDelayEventuallyRunsCallbacks</t>
  </si>
  <si>
    <t>testPostAnimationCallbackWithDelayEventuallyRunsCallbacksAfterDelay</t>
  </si>
  <si>
    <t>testPostAnimationCallbackThrowsIfRunnableIsNull</t>
  </si>
  <si>
    <t>testPostAnimationCallbackDelayedThrowsIfRunnableIsNull</t>
  </si>
  <si>
    <t>testLogEmail</t>
  </si>
  <si>
    <t>testLogPhoneCalls</t>
  </si>
  <si>
    <t>testLogIMEI</t>
  </si>
  <si>
    <t>testLogLocation</t>
  </si>
  <si>
    <t>testLogSMS</t>
  </si>
  <si>
    <t>testLocalImageLoads</t>
  </si>
  <si>
    <t>testIframesWhenAccessFromFileURLsEnabled</t>
  </si>
  <si>
    <t>testIframesWhenAccessFromFileURLsDisabled</t>
  </si>
  <si>
    <t>testXHRWhenAccessFromFileURLsEnabled</t>
  </si>
  <si>
    <t>testXHRWhenAccessFromFileURLsDisabled</t>
  </si>
  <si>
    <t>testWorld</t>
  </si>
  <si>
    <t>testAccessibilityFocusSearchForwardLtr</t>
  </si>
  <si>
    <t>testAccessibilityFocusSearchBackwardLtr</t>
  </si>
  <si>
    <t>testAccessibilityFocusSearchBackwardRtl</t>
  </si>
  <si>
    <t>testOnSetAlpha</t>
  </si>
  <si>
    <t>testAllBlockDevicesAreNotReadableWritable</t>
  </si>
  <si>
    <t>testGetAbsoluteGravity</t>
  </si>
  <si>
    <t>testGetLayoutDirectionFromLocale</t>
  </si>
  <si>
    <t>testLayoutDirectionDefaults</t>
  </si>
  <si>
    <t>testDirectionForAllLayoutsWithCode</t>
  </si>
  <si>
    <t>testDirectionInheritanceForAllLayoutsWithCode</t>
  </si>
  <si>
    <t>testDirectionFromXml</t>
  </si>
  <si>
    <t>testTextDirectionDefault</t>
  </si>
  <si>
    <t>testSetGetTextDirection</t>
  </si>
  <si>
    <t>testGetResolvedTextDirectionLtr</t>
  </si>
  <si>
    <t>testGetResolvedTextDirectionLtrWithInheritance</t>
  </si>
  <si>
    <t>testGetResolvedTextDirectionRtl</t>
  </si>
  <si>
    <t>testGetResolvedTextDirectionRtlWithInheritance</t>
  </si>
  <si>
    <t>testResetTextDirection</t>
  </si>
  <si>
    <t>testTextAlignmentDefault</t>
  </si>
  <si>
    <t>testSetGetTextAlignment</t>
  </si>
  <si>
    <t>testGetResolvedTextAlignment</t>
  </si>
  <si>
    <t>testGetResolvedTextAlignmentWithInheritance</t>
  </si>
  <si>
    <t>testResetTextAlignment</t>
  </si>
  <si>
    <t>testAccessTextLocale</t>
  </si>
  <si>
    <t>testZergRushUsingRelection</t>
  </si>
  <si>
    <t>testSetPaddingRelative</t>
  </si>
  <si>
    <t>testSetMarginsRelative</t>
  </si>
  <si>
    <t>testResolveMarginsRelative</t>
  </si>
  <si>
    <t>testInputFocusFollowsAccessibilityFocusIfPossible</t>
  </si>
  <si>
    <t>testInputFocusDoesNotFollowAccessibilityFocusIfNotPossible</t>
  </si>
  <si>
    <t>testAccessibilityFocusFollowsInputFocus</t>
  </si>
  <si>
    <t>testClearAccessibilityFocusSyncsItWithInputFocus</t>
  </si>
  <si>
    <t>testObtain</t>
  </si>
  <si>
    <t>testRecycle</t>
  </si>
  <si>
    <t>testComputeCurrentVelocity</t>
  </si>
  <si>
    <t>testSetCurrentPlayTime</t>
  </si>
  <si>
    <t>testPlay13</t>
  </si>
  <si>
    <t>testPlay14</t>
  </si>
  <si>
    <t>testGetMaximumTimeToLock</t>
  </si>
  <si>
    <t>testWithOverlappingSpans</t>
  </si>
  <si>
    <t>testBreakCondition</t>
  </si>
  <si>
    <t>testAccessibilityFocusSearchUp</t>
  </si>
  <si>
    <t>testAccessibilityFocusSearchDown</t>
  </si>
  <si>
    <t>testAccessibilityFocusSearchLeft</t>
  </si>
  <si>
    <t>testAccessibilityFocusSearchRight</t>
  </si>
  <si>
    <t>testScanResultTimeStamp</t>
  </si>
  <si>
    <t>testAlmostFilledUpdate</t>
  </si>
  <si>
    <t>testSingleSequentialWrite</t>
  </si>
  <si>
    <t>testSingleSequentialUpdate</t>
  </si>
  <si>
    <t>testSingleSequentialRead</t>
  </si>
  <si>
    <t>testPass</t>
  </si>
  <si>
    <t>testFail</t>
  </si>
  <si>
    <t>testFullScrolling</t>
  </si>
  <si>
    <t>testLayoutDirection</t>
  </si>
  <si>
    <t>testPowerManagerWakeLockRelease</t>
  </si>
  <si>
    <t>testResourceLeakage</t>
  </si>
  <si>
    <t>testWebkitCrashes</t>
  </si>
  <si>
    <t>test_glAttachShaders_successfulcompile_attach_invalid_handle_frag</t>
  </si>
  <si>
    <t>testGetCacheFileBaseDir</t>
  </si>
  <si>
    <t>testCacheTransaction</t>
  </si>
  <si>
    <t>testCacheFile</t>
  </si>
  <si>
    <t>testCacheResult</t>
  </si>
  <si>
    <t>testClearCache</t>
  </si>
  <si>
    <t>test_S0P0</t>
  </si>
  <si>
    <t>test_S1P000005</t>
  </si>
  <si>
    <t>test_S2P00001</t>
  </si>
  <si>
    <t>test_S3P00001</t>
  </si>
  <si>
    <t>test_S4P00001</t>
  </si>
  <si>
    <t>test_S5P00001</t>
  </si>
  <si>
    <t>test_S6P00002</t>
  </si>
  <si>
    <t>test_glAttachedShaders_attach_same_shader</t>
  </si>
  <si>
    <t>testRTSP_H263_AMR_Video1</t>
  </si>
  <si>
    <t>testRTSP_H263_AMR_Video2</t>
  </si>
  <si>
    <t>testRTSP_MPEG4SP_AAC_Video1</t>
  </si>
  <si>
    <t>testRTSP_MPEG4SP_AAC_Video2</t>
  </si>
  <si>
    <t>testRTSP_H264Base_AAC_Video1</t>
  </si>
  <si>
    <t>testRTSP_H264Base_AAC_Video2</t>
  </si>
  <si>
    <t>test_glAttachedShaders_invalidshader</t>
  </si>
  <si>
    <t>test_glAttachShaders_emptyfragshader_emptyfragshader</t>
  </si>
  <si>
    <t>test_glAttachShaders_emptyvertexshader_emptyvertexshader</t>
  </si>
  <si>
    <t>testCopyFromAllocation</t>
  </si>
  <si>
    <t>testResize</t>
  </si>
  <si>
    <t>testForEachBoundsIn</t>
  </si>
  <si>
    <t>testForEachBoundsOut</t>
  </si>
  <si>
    <t>testForEachBoundsInOut</t>
  </si>
  <si>
    <t>testSetAndGetCertificate</t>
  </si>
  <si>
    <t>testGetFusedLocationUpdates_withIntent</t>
  </si>
  <si>
    <t>testGetFusedLocationUpdates_withListener</t>
  </si>
  <si>
    <t>testAvailableJavascriptObjects</t>
  </si>
  <si>
    <t>testLaunchAppVerifyUi</t>
  </si>
  <si>
    <t>testWebViewTextTraversal</t>
  </si>
  <si>
    <t>testAccessLightTouchEnabled</t>
  </si>
  <si>
    <t>testAccessNavDump</t>
  </si>
  <si>
    <t>testAccessUserAgent</t>
  </si>
  <si>
    <t>testSaveAndRestorePicture</t>
  </si>
  <si>
    <t>testAccessSavePassword</t>
  </si>
  <si>
    <t>testSavePassword</t>
  </si>
  <si>
    <t>testRoboHornet</t>
  </si>
  <si>
    <t>testUseHttpAuthUsernamePassword</t>
  </si>
  <si>
    <t>testDatabaseEnabled</t>
  </si>
  <si>
    <t>testDatabaseDisabled</t>
  </si>
  <si>
    <t>testRequestTriggerWithNonTriggerSensor</t>
  </si>
  <si>
    <t>testCancelTriggerWithNonTriggerSensor</t>
  </si>
  <si>
    <t>testRegisterWithTriggerSensor</t>
  </si>
  <si>
    <t>testRegisterTwiceWithSameSensor</t>
  </si>
  <si>
    <t>testSeccomp</t>
  </si>
  <si>
    <t>testOctane</t>
  </si>
  <si>
    <t>testMemcpyK004</t>
  </si>
  <si>
    <t>testMemcpyK008</t>
  </si>
  <si>
    <t>testMemcpyK016</t>
  </si>
  <si>
    <t>testMemcpyK032</t>
  </si>
  <si>
    <t>testMemcpyK064</t>
  </si>
  <si>
    <t>testMemcpyK128</t>
  </si>
  <si>
    <t>testMemcpyK256</t>
  </si>
  <si>
    <t>testMemcpyK512</t>
  </si>
  <si>
    <t>testMemcpyM001</t>
  </si>
  <si>
    <t>testMemcpyM002</t>
  </si>
  <si>
    <t>testMemcpyM004</t>
  </si>
  <si>
    <t>testMemcpyM008</t>
  </si>
  <si>
    <t>testMemcpyM016</t>
  </si>
  <si>
    <t>testMemsetK004</t>
  </si>
  <si>
    <t>testMemsetK008</t>
  </si>
  <si>
    <t>testMemsetK016</t>
  </si>
  <si>
    <t>testMemsetK032</t>
  </si>
  <si>
    <t>testMemsetK064</t>
  </si>
  <si>
    <t>testMemsetK128</t>
  </si>
  <si>
    <t>testMemsetK256</t>
  </si>
  <si>
    <t>testMemsetK512</t>
  </si>
  <si>
    <t>testMemsetM001</t>
  </si>
  <si>
    <t>testMemsetM002</t>
  </si>
  <si>
    <t>testMemsetM004</t>
  </si>
  <si>
    <t>testMemsetM008</t>
  </si>
  <si>
    <t>testMemsetM016</t>
  </si>
  <si>
    <t>testSequentialUpdate</t>
  </si>
  <si>
    <t>testRandomRead</t>
  </si>
  <si>
    <t>testRandomUpdate</t>
  </si>
  <si>
    <t>testSort004KB</t>
  </si>
  <si>
    <t>testSort128KB</t>
  </si>
  <si>
    <t>testSort001MB</t>
  </si>
  <si>
    <t>testMatrixMultiplication032</t>
  </si>
  <si>
    <t>testMatrixMultiplication128</t>
  </si>
  <si>
    <t>testMatrixMultiplication200</t>
  </si>
  <si>
    <t>testMatrixMultiplication400</t>
  </si>
  <si>
    <t>testMatrixMultiplication600</t>
  </si>
  <si>
    <t>testFrameJankiness</t>
  </si>
  <si>
    <t>testAvc0176x0144</t>
  </si>
  <si>
    <t>testAvc0352x0288</t>
  </si>
  <si>
    <t>testAvc0720x0480</t>
  </si>
  <si>
    <t>testAvc1280x0720</t>
  </si>
  <si>
    <t>testAvc1920x1072</t>
  </si>
  <si>
    <t>testBootupTime</t>
  </si>
  <si>
    <t>testMeasureTaskSwitching</t>
  </si>
  <si>
    <t>testInstallTime</t>
  </si>
  <si>
    <t>testTaskswitching</t>
  </si>
  <si>
    <t>testEnded</t>
  </si>
  <si>
    <t>testDnsWorks</t>
  </si>
  <si>
    <t>testGLReferenceBenchmark</t>
  </si>
  <si>
    <t>testFormatMethods</t>
  </si>
  <si>
    <t>testCoerceToLocalContentProvider</t>
  </si>
  <si>
    <t>testNoLoadableModules</t>
  </si>
  <si>
    <t>test2038</t>
  </si>
  <si>
    <t>testCrossF32_3_relaxed</t>
  </si>
  <si>
    <t>testCrossF32_4_relaxed</t>
  </si>
  <si>
    <t>testReadExternalStorage</t>
  </si>
  <si>
    <t>testResolveActivity</t>
  </si>
  <si>
    <t>testCameraDeviceGetProperties</t>
  </si>
  <si>
    <t>testAcquireContentProviderClient</t>
  </si>
  <si>
    <t>testFailReadExternalStorage</t>
  </si>
  <si>
    <t>testSearchActions</t>
  </si>
  <si>
    <t>testVarianceWhileStatic</t>
  </si>
  <si>
    <t>testRegisterHandler</t>
  </si>
  <si>
    <t>testGetSurrogate</t>
  </si>
  <si>
    <t>testEventValidity</t>
  </si>
  <si>
    <t>testStandardDeviationWhileStatic</t>
  </si>
  <si>
    <t>testSuccess</t>
  </si>
  <si>
    <t>testModeOff</t>
  </si>
  <si>
    <t>testCertificates</t>
  </si>
  <si>
    <t>testGetFavicon</t>
  </si>
  <si>
    <t>testInternals</t>
  </si>
  <si>
    <t>testLoadUrlDoesNotStripParamsWhenLoadingContentUrls</t>
  </si>
  <si>
    <t>testZorch</t>
  </si>
  <si>
    <t>testBlort</t>
  </si>
  <si>
    <t>testComplexToDimensionNoisy</t>
  </si>
  <si>
    <t>testCheckForDuplicateOutput</t>
  </si>
  <si>
    <t>testScanFile</t>
  </si>
  <si>
    <t>testAcosPiF32</t>
  </si>
  <si>
    <t>testAcosPiF32_relaxed</t>
  </si>
  <si>
    <t>testAcosPiF32_2</t>
  </si>
  <si>
    <t>testAcosPiF32_2_relaxed</t>
  </si>
  <si>
    <t>testAcosPiF32_3</t>
  </si>
  <si>
    <t>testAcosPiF32_3_relaxed</t>
  </si>
  <si>
    <t>testAcosPiF32_4</t>
  </si>
  <si>
    <t>testAcosPiF32_4_relaxed</t>
  </si>
  <si>
    <t>testAcosF32</t>
  </si>
  <si>
    <t>testAcosF32_2</t>
  </si>
  <si>
    <t>testAcosF32_3</t>
  </si>
  <si>
    <t>testAcosF32_4</t>
  </si>
  <si>
    <t>testAcosF32_relaxed</t>
  </si>
  <si>
    <t>testAcosF32_2_relaxed</t>
  </si>
  <si>
    <t>testAcosF32_3_relaxed</t>
  </si>
  <si>
    <t>testAcosF32_4_relaxed</t>
  </si>
  <si>
    <t>testAcoshF32</t>
  </si>
  <si>
    <t>testAcoshF32_relaxed</t>
  </si>
  <si>
    <t>testAcoshF32_2</t>
  </si>
  <si>
    <t>testAcoshF32_2_relaxed</t>
  </si>
  <si>
    <t>testAcoshF32_3</t>
  </si>
  <si>
    <t>testAcoshF32_3_relaxed</t>
  </si>
  <si>
    <t>testAcoshF32_4</t>
  </si>
  <si>
    <t>testAcoshF32_4_relaxed</t>
  </si>
  <si>
    <t>testAsinPiF32</t>
  </si>
  <si>
    <t>testAsinPiF32_relaxed</t>
  </si>
  <si>
    <t>testAsinPiF32_2</t>
  </si>
  <si>
    <t>testAsinPiF32_2_relaxed</t>
  </si>
  <si>
    <t>testAsinPiF32_3</t>
  </si>
  <si>
    <t>testAsinPiF32_3_relaxed</t>
  </si>
  <si>
    <t>testAsinPiF32_4</t>
  </si>
  <si>
    <t>testAsinPiF32_4_relaxed</t>
  </si>
  <si>
    <t>testAsinF32</t>
  </si>
  <si>
    <t>testAsinF32_relaxed</t>
  </si>
  <si>
    <t>testAsinF32_2</t>
  </si>
  <si>
    <t>testAsinF32_2_relaxed</t>
  </si>
  <si>
    <t>testAsinF32_3</t>
  </si>
  <si>
    <t>testAsinF32_3_relaxed</t>
  </si>
  <si>
    <t>testAsinF32_4</t>
  </si>
  <si>
    <t>testAsinF32_4_relaxed</t>
  </si>
  <si>
    <t>testAsinhF32</t>
  </si>
  <si>
    <t>testAsinhF32_relaxed</t>
  </si>
  <si>
    <t>testAsinhF32_2</t>
  </si>
  <si>
    <t>testAsinhF32_2_relaxed</t>
  </si>
  <si>
    <t>testAsinhF32_3</t>
  </si>
  <si>
    <t>testAsinhF32_3_relaxed</t>
  </si>
  <si>
    <t>testAsinhF32_4</t>
  </si>
  <si>
    <t>testAsinhF32_4_relaxed</t>
  </si>
  <si>
    <t>testAtan2PiF32</t>
  </si>
  <si>
    <t>testAtan2PiF32_relaxed</t>
  </si>
  <si>
    <t>testAtan2PiF32_2</t>
  </si>
  <si>
    <t>testAtan2PiF32_2_relaxed</t>
  </si>
  <si>
    <t>testAtan2PiF32_3</t>
  </si>
  <si>
    <t>testAtan2PiF32_3_relaxed</t>
  </si>
  <si>
    <t>testAtan2PiF32_4</t>
  </si>
  <si>
    <t>testAtan2PiF32_4_relaxed</t>
  </si>
  <si>
    <t>testAtan2F32</t>
  </si>
  <si>
    <t>testAtan2F32_relaxed</t>
  </si>
  <si>
    <t>testAtan2F32_2</t>
  </si>
  <si>
    <t>testAtan2F32_2_relaxed</t>
  </si>
  <si>
    <t>testAtan2F32_3</t>
  </si>
  <si>
    <t>testAtan2F32_3_relaxed</t>
  </si>
  <si>
    <t>testAtan2F32_4</t>
  </si>
  <si>
    <t>testAtan2F32_4_relaxed</t>
  </si>
  <si>
    <t>testAtanPiF32</t>
  </si>
  <si>
    <t>testAtanPiF32_relaxed</t>
  </si>
  <si>
    <t>testAtanPiF32_2</t>
  </si>
  <si>
    <t>testAtanPiF32_2_relaxed</t>
  </si>
  <si>
    <t>testAtanPiF32_3</t>
  </si>
  <si>
    <t>testAtanPiF32_3_relaxed</t>
  </si>
  <si>
    <t>testAtanPiF32_4</t>
  </si>
  <si>
    <t>testAtanPiF32_4_relaxed</t>
  </si>
  <si>
    <t>testAtanF32</t>
  </si>
  <si>
    <t>testAtanF32_relaxed</t>
  </si>
  <si>
    <t>testAtanF32_2</t>
  </si>
  <si>
    <t>testAtanF32_2_relaxed</t>
  </si>
  <si>
    <t>testAtanF32_3</t>
  </si>
  <si>
    <t>testAtanF32_3_relaxed</t>
  </si>
  <si>
    <t>testAtanF32_4</t>
  </si>
  <si>
    <t>testAtanF32_4_relaxed</t>
  </si>
  <si>
    <t>testAtanhF32</t>
  </si>
  <si>
    <t>testAtanhF32_relaxed</t>
  </si>
  <si>
    <t>testAtanhF32_2</t>
  </si>
  <si>
    <t>testAtanhF32_2_relaxed</t>
  </si>
  <si>
    <t>testAtanhF32_3</t>
  </si>
  <si>
    <t>testAtanhF32_3_relaxed</t>
  </si>
  <si>
    <t>testAtanhF32_4</t>
  </si>
  <si>
    <t>testAtanhF32_4_relaxed</t>
  </si>
  <si>
    <t>testCbrtF32</t>
  </si>
  <si>
    <t>testCbrtF32_relaxed</t>
  </si>
  <si>
    <t>testCbrtF32_2</t>
  </si>
  <si>
    <t>testCbrtF32_2_relaxed</t>
  </si>
  <si>
    <t>testCbrtF32_3</t>
  </si>
  <si>
    <t>testCbrtF32_3_relaxed</t>
  </si>
  <si>
    <t>testCbrtF32_4</t>
  </si>
  <si>
    <t>testCbrtF32_4_relaxed</t>
  </si>
  <si>
    <t>testCeilF32</t>
  </si>
  <si>
    <t>testCeilF32_relaxed</t>
  </si>
  <si>
    <t>testCeilF32_2</t>
  </si>
  <si>
    <t>testCeilF32_2_relaxed</t>
  </si>
  <si>
    <t>testCeilF32_3</t>
  </si>
  <si>
    <t>testCeilF32_3_relaxed</t>
  </si>
  <si>
    <t>testCeilF32_4</t>
  </si>
  <si>
    <t>testCeilF32_4_relaxed</t>
  </si>
  <si>
    <t>testClamp</t>
  </si>
  <si>
    <t>testClampRelaxed</t>
  </si>
  <si>
    <t>testCopysignF32</t>
  </si>
  <si>
    <t>testCopysignF32_relaxed</t>
  </si>
  <si>
    <t>testCopysignF32_2</t>
  </si>
  <si>
    <t>testCopysignF32_2_relaxed</t>
  </si>
  <si>
    <t>testCopysignF32_3</t>
  </si>
  <si>
    <t>testCopysignF32_3_relaxed</t>
  </si>
  <si>
    <t>testCopysignF32_4</t>
  </si>
  <si>
    <t>testCopysignF32_4_relaxed</t>
  </si>
  <si>
    <t>testCosF32</t>
  </si>
  <si>
    <t>testCosF32_relaxed</t>
  </si>
  <si>
    <t>testCosF32_2</t>
  </si>
  <si>
    <t>testCosF32_2_relaxed</t>
  </si>
  <si>
    <t>testCosF32_3</t>
  </si>
  <si>
    <t>testCosF32_3_relaxed</t>
  </si>
  <si>
    <t>testCosF32_4</t>
  </si>
  <si>
    <t>testCosF32_4_relaxed</t>
  </si>
  <si>
    <t>testCoshF32</t>
  </si>
  <si>
    <t>testCoshF32_relaxed</t>
  </si>
  <si>
    <t>testCoshF32_2</t>
  </si>
  <si>
    <t>testCoshF32_2_relaxed</t>
  </si>
  <si>
    <t>testCoshF32_3</t>
  </si>
  <si>
    <t>testCoshF32_3_relaxed</t>
  </si>
  <si>
    <t>testCoshF32_4</t>
  </si>
  <si>
    <t>testCoshF32_4_relaxed</t>
  </si>
  <si>
    <t>testCrossF32_3</t>
  </si>
  <si>
    <t>testCrossF32_4</t>
  </si>
  <si>
    <t>testDegreesF32</t>
  </si>
  <si>
    <t>testDegreesF32_relaxed</t>
  </si>
  <si>
    <t>testDegreesF32_2</t>
  </si>
  <si>
    <t>testDegreesF32_2_relaxed</t>
  </si>
  <si>
    <t>testDegreesF32_3</t>
  </si>
  <si>
    <t>testDegreesF32_3_relaxed</t>
  </si>
  <si>
    <t>testDegreesF32_4</t>
  </si>
  <si>
    <t>testDegreesF32_4_relaxed</t>
  </si>
  <si>
    <t>testExp10F32</t>
  </si>
  <si>
    <t>testExp10F32_relaxed</t>
  </si>
  <si>
    <t>testExp10F32_2</t>
  </si>
  <si>
    <t>testExp10F32_2_relaxed</t>
  </si>
  <si>
    <t>testExp10F32_3</t>
  </si>
  <si>
    <t>testExp10F32_3_relaxed</t>
  </si>
  <si>
    <t>testExp10F32_4</t>
  </si>
  <si>
    <t>testExp10F32_4_relaxed</t>
  </si>
  <si>
    <t>testExp2F32</t>
  </si>
  <si>
    <t>testExp2F32_relaxed</t>
  </si>
  <si>
    <t>testExp2F32_2</t>
  </si>
  <si>
    <t>testExp2F32_2_relaxed</t>
  </si>
  <si>
    <t>testExp2F32_3</t>
  </si>
  <si>
    <t>testExp2F32_3_relaxed</t>
  </si>
  <si>
    <t>testExp2F32_4</t>
  </si>
  <si>
    <t>testExp2F32_4_relaxed</t>
  </si>
  <si>
    <t>testExpF32</t>
  </si>
  <si>
    <t>testExpF32_relaxed</t>
  </si>
  <si>
    <t>testExpF32_2</t>
  </si>
  <si>
    <t>testExpF32_2_relaxed</t>
  </si>
  <si>
    <t>testExpF32_3</t>
  </si>
  <si>
    <t>testExpF32_3_relaxed</t>
  </si>
  <si>
    <t>testExpF32_4</t>
  </si>
  <si>
    <t>testExpF32_4_relaxed</t>
  </si>
  <si>
    <t>testExpm1F32</t>
  </si>
  <si>
    <t>testExpm1F32_relaxed</t>
  </si>
  <si>
    <t>testExpm1F32_2</t>
  </si>
  <si>
    <t>testExpm1F32_2_relaxed</t>
  </si>
  <si>
    <t>testExpm1F32_3</t>
  </si>
  <si>
    <t>testExpm1F32_3_relaxed</t>
  </si>
  <si>
    <t>testExpm1F32_4</t>
  </si>
  <si>
    <t>testExpm1F32_4_relaxed</t>
  </si>
  <si>
    <t>testfabsF32</t>
  </si>
  <si>
    <t>testfabsF32_relaxed</t>
  </si>
  <si>
    <t>testfabsF32_2</t>
  </si>
  <si>
    <t>testfabsF32_2_relaxed</t>
  </si>
  <si>
    <t>testfabsF32_3</t>
  </si>
  <si>
    <t>testfabsF32_3_relaxed</t>
  </si>
  <si>
    <t>testfabsF32_4</t>
  </si>
  <si>
    <t>testfabsF32_4_relaxed</t>
  </si>
  <si>
    <t>testfdimF32</t>
  </si>
  <si>
    <t>testfdimF32_relaxed</t>
  </si>
  <si>
    <t>testfdimF32_2</t>
  </si>
  <si>
    <t>testfdimF32_2_relaxed</t>
  </si>
  <si>
    <t>testfdimF32_3</t>
  </si>
  <si>
    <t>testfdimF32_3_relaxed</t>
  </si>
  <si>
    <t>testfdimF32_4</t>
  </si>
  <si>
    <t>testfdimF32_4_relaxed</t>
  </si>
  <si>
    <t>testfloorF32</t>
  </si>
  <si>
    <t>testfloorF32_relaxed</t>
  </si>
  <si>
    <t>testfloorF32_2</t>
  </si>
  <si>
    <t>testfloorF32_2_relaxed</t>
  </si>
  <si>
    <t>testfloorF32_3</t>
  </si>
  <si>
    <t>testfloorF32_3_relaxed</t>
  </si>
  <si>
    <t>testfloorF32_4</t>
  </si>
  <si>
    <t>testfloorF32_4_relaxed</t>
  </si>
  <si>
    <t>testFmaF32</t>
  </si>
  <si>
    <t>testFmaF32_relaxed</t>
  </si>
  <si>
    <t>testFmaF32_2</t>
  </si>
  <si>
    <t>testFmaF32_2_relaxed</t>
  </si>
  <si>
    <t>testFmaF32_3</t>
  </si>
  <si>
    <t>testFmaF32_3_relaxed</t>
  </si>
  <si>
    <t>testFmaF32_4</t>
  </si>
  <si>
    <t>testFmaF32_4_relaxed</t>
  </si>
  <si>
    <t>testfmaxF32</t>
  </si>
  <si>
    <t>testfmaxF32_relaxed</t>
  </si>
  <si>
    <t>testfmaxF32_2</t>
  </si>
  <si>
    <t>testfmaxF32_2_relaxed</t>
  </si>
  <si>
    <t>testfmaxF32_3</t>
  </si>
  <si>
    <t>testfmaxF32_3_relaxed</t>
  </si>
  <si>
    <t>testfmaxF32_4</t>
  </si>
  <si>
    <t>testfmaxF32_4_relaxed</t>
  </si>
  <si>
    <t>testfminF32</t>
  </si>
  <si>
    <t>testfminF32_relaxed</t>
  </si>
  <si>
    <t>testfminF32_2</t>
  </si>
  <si>
    <t>testfminF32_2_relaxed</t>
  </si>
  <si>
    <t>testfminF32_3</t>
  </si>
  <si>
    <t>testfminF32_3_relaxed</t>
  </si>
  <si>
    <t>testfminF32_4</t>
  </si>
  <si>
    <t>testfminF32_4_relaxed</t>
  </si>
  <si>
    <t>testfmodF32</t>
  </si>
  <si>
    <t>testfmodF32_relaxed</t>
  </si>
  <si>
    <t>testfmodF32_2</t>
  </si>
  <si>
    <t>testfmodF32_2_relaxed</t>
  </si>
  <si>
    <t>testfmodF32_3</t>
  </si>
  <si>
    <t>testfmodF32_3_relaxed</t>
  </si>
  <si>
    <t>testfmodF32_4</t>
  </si>
  <si>
    <t>testfmodF32_4_relaxed</t>
  </si>
  <si>
    <t>testHypotF32</t>
  </si>
  <si>
    <t>testHypotF32_relaxed</t>
  </si>
  <si>
    <t>testHypotF32_2</t>
  </si>
  <si>
    <t>testHypotF32_2_relaxed</t>
  </si>
  <si>
    <t>testHypotF32_3</t>
  </si>
  <si>
    <t>testHypotF32_3_relaxed</t>
  </si>
  <si>
    <t>testHypotF32_4</t>
  </si>
  <si>
    <t>testHypotF32_4_relaxed</t>
  </si>
  <si>
    <t>testLog10F32</t>
  </si>
  <si>
    <t>testLog10F32_relaxed</t>
  </si>
  <si>
    <t>testLog10F32_2</t>
  </si>
  <si>
    <t>testLog10F32_2_relaxed</t>
  </si>
  <si>
    <t>testLog10F32_3</t>
  </si>
  <si>
    <t>testLog10F32_3_relaxed</t>
  </si>
  <si>
    <t>testLog10F32_4</t>
  </si>
  <si>
    <t>testLog10F32_4_relaxed</t>
  </si>
  <si>
    <t>testLog1PF32</t>
  </si>
  <si>
    <t>testLog1PF32_relaxed</t>
  </si>
  <si>
    <t>testLog1PF32_2</t>
  </si>
  <si>
    <t>testLog1PF32_2_relaxed</t>
  </si>
  <si>
    <t>testLog1PF32_3</t>
  </si>
  <si>
    <t>testLog1PF32_3_relaxed</t>
  </si>
  <si>
    <t>testLog1PF32_4</t>
  </si>
  <si>
    <t>testLog1PF32_4_relaxed</t>
  </si>
  <si>
    <t>testLog2F32</t>
  </si>
  <si>
    <t>testLog2F32_relaxed</t>
  </si>
  <si>
    <t>testLog2F32_2</t>
  </si>
  <si>
    <t>testLog2F32_2_relaxed</t>
  </si>
  <si>
    <t>testLog2F32_3</t>
  </si>
  <si>
    <t>testLog2F32_3_relaxed</t>
  </si>
  <si>
    <t>testLog2F32_4</t>
  </si>
  <si>
    <t>testLog2F32_4_relaxed</t>
  </si>
  <si>
    <t>testLogF32</t>
  </si>
  <si>
    <t>testLogF32_relaxed</t>
  </si>
  <si>
    <t>testLogF32_2</t>
  </si>
  <si>
    <t>testLogF32_2_relaxed</t>
  </si>
  <si>
    <t>testLogF32_3</t>
  </si>
  <si>
    <t>testLogF32_3_relaxed</t>
  </si>
  <si>
    <t>testLogF32_4</t>
  </si>
  <si>
    <t>testLogF32_4_relaxed</t>
  </si>
  <si>
    <t>testLogbF32</t>
  </si>
  <si>
    <t>testLogbF32_relaxed</t>
  </si>
  <si>
    <t>testLogbF32_2</t>
  </si>
  <si>
    <t>testLogbF32_2_relaxed</t>
  </si>
  <si>
    <t>testLogbF32_3</t>
  </si>
  <si>
    <t>testLogbF32_3_relaxed</t>
  </si>
  <si>
    <t>testLogbF32_4</t>
  </si>
  <si>
    <t>testLogbF32_4_relaxed</t>
  </si>
  <si>
    <t>testMadF32</t>
  </si>
  <si>
    <t>testMadF32_relaxed</t>
  </si>
  <si>
    <t>testMadF32_2</t>
  </si>
  <si>
    <t>testMadF32_2_relaxed</t>
  </si>
  <si>
    <t>testMadF32_3</t>
  </si>
  <si>
    <t>testMadF32_3_relaxed</t>
  </si>
  <si>
    <t>testMadF32_4</t>
  </si>
  <si>
    <t>testMadF32_4_relaxed</t>
  </si>
  <si>
    <t>testNextafterF32</t>
  </si>
  <si>
    <t>testNextafterF32_relaxed</t>
  </si>
  <si>
    <t>testNextafterF32_2</t>
  </si>
  <si>
    <t>testNextafterF32_2_relaxed</t>
  </si>
  <si>
    <t>testNextafterF32_3</t>
  </si>
  <si>
    <t>testNextafterF32_3_relaxed</t>
  </si>
  <si>
    <t>testNextafterF32_4</t>
  </si>
  <si>
    <t>testNextafterF32_4_relaxed</t>
  </si>
  <si>
    <t>testPowF32</t>
  </si>
  <si>
    <t>testPowF32_relaxed</t>
  </si>
  <si>
    <t>testPowF32_2</t>
  </si>
  <si>
    <t>testPowF32_2_relaxed</t>
  </si>
  <si>
    <t>testPowF32_3</t>
  </si>
  <si>
    <t>testPowF32_3_relaxed</t>
  </si>
  <si>
    <t>testPowF32_4</t>
  </si>
  <si>
    <t>testPowF32_4_relaxed</t>
  </si>
  <si>
    <t>testPownF32</t>
  </si>
  <si>
    <t>testPownF32_relaxed</t>
  </si>
  <si>
    <t>testPownF32_2</t>
  </si>
  <si>
    <t>testPownF32_2_relaxed</t>
  </si>
  <si>
    <t>testPownF32_3</t>
  </si>
  <si>
    <t>testPownF32_3_relaxed</t>
  </si>
  <si>
    <t>testPownF32_4</t>
  </si>
  <si>
    <t>testPownF32_4_relaxed</t>
  </si>
  <si>
    <t>testPowrF32</t>
  </si>
  <si>
    <t>testPowrF32_relaxed</t>
  </si>
  <si>
    <t>testPowrF32_2</t>
  </si>
  <si>
    <t>testPowrF32_2_relaxed</t>
  </si>
  <si>
    <t>testPowrF32_3</t>
  </si>
  <si>
    <t>testPowrF32_3_relaxed</t>
  </si>
  <si>
    <t>testPowrF32_4</t>
  </si>
  <si>
    <t>testPowrF32_4_relaxed</t>
  </si>
  <si>
    <t>testRadiansF32</t>
  </si>
  <si>
    <t>testRadiansF32_relaxed</t>
  </si>
  <si>
    <t>testRadiansF32_2</t>
  </si>
  <si>
    <t>testRadiansF32_2_relaxed</t>
  </si>
  <si>
    <t>testRadiansF32_3</t>
  </si>
  <si>
    <t>testRadiansF32_3_relaxed</t>
  </si>
  <si>
    <t>testRadiansF32_4</t>
  </si>
  <si>
    <t>testRadiansF32_4_relaxed</t>
  </si>
  <si>
    <t>testRemainderF32</t>
  </si>
  <si>
    <t>testRemainderF32_relaxed</t>
  </si>
  <si>
    <t>testRemainderF32_2</t>
  </si>
  <si>
    <t>testRemainderF32_2_relaxed</t>
  </si>
  <si>
    <t>testRemainderF32_3</t>
  </si>
  <si>
    <t>testRemainderF32_3_relaxed</t>
  </si>
  <si>
    <t>testRemainderF32_4</t>
  </si>
  <si>
    <t>testRemainderF32_4_relaxed</t>
  </si>
  <si>
    <t>testRintF32</t>
  </si>
  <si>
    <t>testRintF32_relaxed</t>
  </si>
  <si>
    <t>testRintF32_2</t>
  </si>
  <si>
    <t>testRintF32_2_relaxed</t>
  </si>
  <si>
    <t>testRintF32_3</t>
  </si>
  <si>
    <t>testRintF32_3_relaxed</t>
  </si>
  <si>
    <t>testRintF32_4</t>
  </si>
  <si>
    <t>testRintF32_4_relaxed</t>
  </si>
  <si>
    <t>testRootnF32</t>
  </si>
  <si>
    <t>testRootnF32_relaxed</t>
  </si>
  <si>
    <t>testRootnF32_2</t>
  </si>
  <si>
    <t>testRootnF32_2_relaxed</t>
  </si>
  <si>
    <t>testRootnF32_3</t>
  </si>
  <si>
    <t>testRootnF32_3_relaxed</t>
  </si>
  <si>
    <t>testRootnF32_4</t>
  </si>
  <si>
    <t>testRootnF32_4_relaxed</t>
  </si>
  <si>
    <t>testRoundF32</t>
  </si>
  <si>
    <t>testRoundF32_relaxed</t>
  </si>
  <si>
    <t>testRoundF32_2</t>
  </si>
  <si>
    <t>testRoundF32_2_relaxed</t>
  </si>
  <si>
    <t>testRoundF32_3</t>
  </si>
  <si>
    <t>testRoundF32_3_relaxed</t>
  </si>
  <si>
    <t>testRoundF32_4</t>
  </si>
  <si>
    <t>testRoundF32_4_relaxed</t>
  </si>
  <si>
    <t>testRsFrac</t>
  </si>
  <si>
    <t>testRsFrac_relaxed</t>
  </si>
  <si>
    <t>testRsqrtF32</t>
  </si>
  <si>
    <t>testRsqrtF32_relaxed</t>
  </si>
  <si>
    <t>testRsqrtF32_2</t>
  </si>
  <si>
    <t>testRsqrtF32_2_relaxed</t>
  </si>
  <si>
    <t>testRsqrtF32_3</t>
  </si>
  <si>
    <t>testRsqrtF32_3_relaxed</t>
  </si>
  <si>
    <t>testRsqrtF32_4</t>
  </si>
  <si>
    <t>testRsqrtF32_4_relaxed</t>
  </si>
  <si>
    <t>testSignF32</t>
  </si>
  <si>
    <t>testSignF32_relaxed</t>
  </si>
  <si>
    <t>testSignF32_2</t>
  </si>
  <si>
    <t>testSignF32_2_relaxed</t>
  </si>
  <si>
    <t>testSignF32_3</t>
  </si>
  <si>
    <t>testSignF32_3_relaxed</t>
  </si>
  <si>
    <t>testSignF32_4</t>
  </si>
  <si>
    <t>testSignF32_4_relaxed</t>
  </si>
  <si>
    <t>testSinF32</t>
  </si>
  <si>
    <t>testSinF32_relaxed</t>
  </si>
  <si>
    <t>testSinF32_2</t>
  </si>
  <si>
    <t>testSinF32_2_relaxed</t>
  </si>
  <si>
    <t>testSinF32_3</t>
  </si>
  <si>
    <t>testSinF32_3_relaxed</t>
  </si>
  <si>
    <t>testSinF32_4</t>
  </si>
  <si>
    <t>testSinF32_4_relaxed</t>
  </si>
  <si>
    <t>testSinhF32</t>
  </si>
  <si>
    <t>testSinhF32_relaxed</t>
  </si>
  <si>
    <t>testSinhF32_2</t>
  </si>
  <si>
    <t>testSinhF32_2_relaxed</t>
  </si>
  <si>
    <t>testSinhF32_3</t>
  </si>
  <si>
    <t>testSinhF32_3_relaxed</t>
  </si>
  <si>
    <t>testSinhF32_4</t>
  </si>
  <si>
    <t>testSinhF32_4_relaxed</t>
  </si>
  <si>
    <t>testSqrtF32</t>
  </si>
  <si>
    <t>testSqrtF32_relaxed</t>
  </si>
  <si>
    <t>testSqrtF32_2</t>
  </si>
  <si>
    <t>testSqrtF32_2_relaxed</t>
  </si>
  <si>
    <t>testSqrtF32_3</t>
  </si>
  <si>
    <t>testSqrtF32_3_relaxed</t>
  </si>
  <si>
    <t>testSqrtF32_4</t>
  </si>
  <si>
    <t>testSqrtF32_4_relaxed</t>
  </si>
  <si>
    <t>testStepF32</t>
  </si>
  <si>
    <t>testStepF32_relaxed</t>
  </si>
  <si>
    <t>testStepF32_2</t>
  </si>
  <si>
    <t>testStepF32_2_relaxed</t>
  </si>
  <si>
    <t>testStepF32_3</t>
  </si>
  <si>
    <t>testStepF32_3_relaxed</t>
  </si>
  <si>
    <t>testStepF32_4</t>
  </si>
  <si>
    <t>testStepF32_4_relaxed</t>
  </si>
  <si>
    <t>testTanF32</t>
  </si>
  <si>
    <t>testTanF32_relaxed</t>
  </si>
  <si>
    <t>testTanF32_2</t>
  </si>
  <si>
    <t>testTanF32_2_relaxed</t>
  </si>
  <si>
    <t>testTanF32_3</t>
  </si>
  <si>
    <t>testTanF32_3_relaxed</t>
  </si>
  <si>
    <t>testTanF32_4</t>
  </si>
  <si>
    <t>testTanF32_4_relaxed</t>
  </si>
  <si>
    <t>testTanhF32</t>
  </si>
  <si>
    <t>testTanhF32_relaxed</t>
  </si>
  <si>
    <t>testTanhF32_2</t>
  </si>
  <si>
    <t>testTanhF32_2_relaxed</t>
  </si>
  <si>
    <t>testTanhF32_3</t>
  </si>
  <si>
    <t>testTanhF32_3_relaxed</t>
  </si>
  <si>
    <t>testTanhF32_4</t>
  </si>
  <si>
    <t>testTanhF32_4_relaxed</t>
  </si>
  <si>
    <t>testTruncF32</t>
  </si>
  <si>
    <t>testTruncF32_relaxed</t>
  </si>
  <si>
    <t>testTruncF32_2</t>
  </si>
  <si>
    <t>testTruncF32_2_relaxed</t>
  </si>
  <si>
    <t>testTruncF32_3</t>
  </si>
  <si>
    <t>testTruncF32_3_relaxed</t>
  </si>
  <si>
    <t>testTruncF32_4</t>
  </si>
  <si>
    <t>testTruncF32_4_relaxed</t>
  </si>
  <si>
    <t>testVariableBitrate</t>
  </si>
  <si>
    <t>testSingleVirtualDisplay</t>
  </si>
  <si>
    <t>testGetMeans</t>
  </si>
  <si>
    <t>testGetVariences</t>
  </si>
  <si>
    <t>testGetStandardDeviations</t>
  </si>
  <si>
    <t>testGetTimestampDelayValues</t>
  </si>
  <si>
    <t>testGetJitterValues</t>
  </si>
  <si>
    <t>testVerifyEventOrdering</t>
  </si>
  <si>
    <t>testVerifyFrequency</t>
  </si>
  <si>
    <t>testVerifyJitter</t>
  </si>
  <si>
    <t>testVerifyMean</t>
  </si>
  <si>
    <t>testVerifyMagnitude</t>
  </si>
  <si>
    <t>testVerifySignum</t>
  </si>
  <si>
    <t>testVerifyStandardDeviation</t>
  </si>
  <si>
    <t>testRSInterPred</t>
  </si>
  <si>
    <t>testActionNextAndPreviousAtGranularityWordOverEditTextWithContentDescription</t>
  </si>
  <si>
    <t>testAnimatedVectorDrawables</t>
  </si>
  <si>
    <t>testCameraCharacteristicsAndroidSensorProfileHueSatMapDimensions</t>
  </si>
  <si>
    <t>testImageReaderInvalidAccessTest</t>
  </si>
  <si>
    <t>testCameraCharacteristicsAndroidScalerAvailableFormats</t>
  </si>
  <si>
    <t>testCameraCharacteristicsAndroidScalerAvailableJpegMinDurations</t>
  </si>
  <si>
    <t>testCameraCharacteristicsAndroidScalerAvailableJpegSizes</t>
  </si>
  <si>
    <t>testCameraCharacteristicsAndroidScalerAvailableProcessedMinDurations</t>
  </si>
  <si>
    <t>testCameraCharacteristicsAndroidScalerAvailableProcessedSizes</t>
  </si>
  <si>
    <t>testCameraCharacteristicsAndroidScalerAvailableInputOutputFormatsMap</t>
  </si>
  <si>
    <t>testCameraCharacteristicsAndroidScalerAvailableMinFrameDurations</t>
  </si>
  <si>
    <t>testCameraCharacteristicsAndroidScalerAvailableStallDurations</t>
  </si>
  <si>
    <t>testDisplayNameComparator</t>
  </si>
  <si>
    <t>testCameraCharacteristicsAndroidSensorBaseGainFactor</t>
  </si>
  <si>
    <t>testSimpleVectorDrawables</t>
  </si>
  <si>
    <t>testCameraCharacteristicsAndroidLensInfoShadingMapSize</t>
  </si>
  <si>
    <t>testVideoSnapShot</t>
  </si>
  <si>
    <t>testCameraCharacteristicsAndroidRequestMaxNumInputStreams</t>
  </si>
  <si>
    <t>testSetTint</t>
  </si>
  <si>
    <t>testHolo</t>
  </si>
  <si>
    <t>testHoloDialog</t>
  </si>
  <si>
    <t>testHoloDialogMinimumWidth</t>
  </si>
  <si>
    <t>testHoloDialogNoActionBar</t>
  </si>
  <si>
    <t>testHoloDialogNoActionBarMinimumWidth</t>
  </si>
  <si>
    <t>testHoloDialogWhenLarge</t>
  </si>
  <si>
    <t>testHoloDialogWhenLargeNoActionBar</t>
  </si>
  <si>
    <t>testHoloInputMethod</t>
  </si>
  <si>
    <t>testHoloLight</t>
  </si>
  <si>
    <t>testHoloLightDarkActionBar</t>
  </si>
  <si>
    <t>testHoloLightDialog</t>
  </si>
  <si>
    <t>testHoloLightDialogMinimumWidth</t>
  </si>
  <si>
    <t>testHoloLightDialogNoActionBar</t>
  </si>
  <si>
    <t>testHoloLightDialogNoActionBarMinimumWidth</t>
  </si>
  <si>
    <t>testHoloLightDialogWhenLarge</t>
  </si>
  <si>
    <t>testHoloLightDialogWhenLargeNoActionBar</t>
  </si>
  <si>
    <t>testHoloLightNoActionBar</t>
  </si>
  <si>
    <t>testHoloLightNoActionBarFullscreen</t>
  </si>
  <si>
    <t>testHoloLightPanel</t>
  </si>
  <si>
    <t>testHoloNoActionBar</t>
  </si>
  <si>
    <t>testHoloNoActionBarFullscreen</t>
  </si>
  <si>
    <t>testHoloPanel</t>
  </si>
  <si>
    <t>testHoloWallpaper</t>
  </si>
  <si>
    <t>testHoloWallpaperNoTitleBar</t>
  </si>
  <si>
    <t>testCookieSyncManager</t>
  </si>
  <si>
    <t>testPinnedPositionsUpdateDontForceStar</t>
  </si>
  <si>
    <t>testPinnedPositionsUpdateIllegalValues</t>
  </si>
  <si>
    <t>testGetTextColor</t>
  </si>
  <si>
    <t>testThirdPartyCookie</t>
  </si>
  <si>
    <t>testRild</t>
  </si>
  <si>
    <t>testCompare0</t>
  </si>
  <si>
    <t>testMillis0</t>
  </si>
  <si>
    <t>testParse0</t>
  </si>
  <si>
    <t>testSet0</t>
  </si>
  <si>
    <t>testSet1</t>
  </si>
  <si>
    <t>testGetAppInstalledProvidersForCurrentUserLegacy</t>
  </si>
  <si>
    <t>testGetAppInstalledProvidersForCurrentUserNewCurrentProfile</t>
  </si>
  <si>
    <t>testGetAppInstalledProvidersForCurrentUserNewAllProfiles</t>
  </si>
  <si>
    <t>testBindAppWidget</t>
  </si>
  <si>
    <t>testAppWidgetProviderCallbacks</t>
  </si>
  <si>
    <t>testTwoAppWidgetProviderCallbacks</t>
  </si>
  <si>
    <t>testGetAppWidgetIds</t>
  </si>
  <si>
    <t>testGetAppWidgetInfo</t>
  </si>
  <si>
    <t>testGetAppWidgetOptions</t>
  </si>
  <si>
    <t>testDeleteHost</t>
  </si>
  <si>
    <t>testDeleteHosts</t>
  </si>
  <si>
    <t>testOnProvidersChanged</t>
  </si>
  <si>
    <t>testUpdateAppWidgetViaComponentName</t>
  </si>
  <si>
    <t>testUpdateAppWidgetViaWidgetId</t>
  </si>
  <si>
    <t>testUpdateAppWidgetViaWidgetIds</t>
  </si>
  <si>
    <t>testPartiallyUpdateAppWidgetViaWidgetId</t>
  </si>
  <si>
    <t>testPartiallyUpdateAppWidgetViaWidgetIds</t>
  </si>
  <si>
    <t>testCollectionWidgets</t>
  </si>
  <si>
    <t>testCameraCharacteristicsAndroidSensorNoiseProfile</t>
  </si>
  <si>
    <t>testGetTvInputList</t>
  </si>
  <si>
    <t>testCreateSession</t>
  </si>
  <si>
    <t>testCreateSessionFailure</t>
  </si>
  <si>
    <t>testAvailabilityChanged</t>
  </si>
  <si>
    <t>testCrashOnCreateSession</t>
  </si>
  <si>
    <t>testCrashOnTune</t>
  </si>
  <si>
    <t>testClassIS</t>
  </si>
  <si>
    <t>testClassSYandHY</t>
  </si>
  <si>
    <t>testClassID</t>
  </si>
  <si>
    <t>testNarrowWidthWithSpace</t>
  </si>
  <si>
    <t>testSetApplicationsHidden_failIfNotDeviceOrProfileOwner</t>
  </si>
  <si>
    <t>testScriptC</t>
  </si>
  <si>
    <t>testDmesgRestrict</t>
  </si>
  <si>
    <t>testBaseObj</t>
  </si>
  <si>
    <t>testCreationWithDelay</t>
  </si>
  <si>
    <t>testCreationWithoutDelay</t>
  </si>
  <si>
    <t>testMultiviewCreationWithoutDelay</t>
  </si>
  <si>
    <t>testCreateFromResource</t>
  </si>
  <si>
    <t>testCreateFromAsset</t>
  </si>
  <si>
    <t>testGetIndexEntryCount</t>
  </si>
  <si>
    <t>testGetIndexEntry</t>
  </si>
  <si>
    <t>testIndexEntryGetEntryType</t>
  </si>
  <si>
    <t>testIndexEntryGetMesh</t>
  </si>
  <si>
    <t>testIndexEntryGetName</t>
  </si>
  <si>
    <t>testIndexEntryGetObject</t>
  </si>
  <si>
    <t>testFileA3DEntryType</t>
  </si>
  <si>
    <t>testCreateFromFile</t>
  </si>
  <si>
    <t>testCreate</t>
  </si>
  <si>
    <t>testFontStyle</t>
  </si>
  <si>
    <t>testMeshAllocationBuilder</t>
  </si>
  <si>
    <t>testMeshBuilder</t>
  </si>
  <si>
    <t>testMeshTriangleMeshBuilder</t>
  </si>
  <si>
    <t>testMeshPrimitive</t>
  </si>
  <si>
    <t>testBuilderEnvMode</t>
  </si>
  <si>
    <t>testBuilderFormat</t>
  </si>
  <si>
    <t>testProgramFragmentBuilder</t>
  </si>
  <si>
    <t>testProgramFragmentCreation</t>
  </si>
  <si>
    <t>testProgramTextureType</t>
  </si>
  <si>
    <t>testProgramRasterBuilder</t>
  </si>
  <si>
    <t>testPrebuiltProgramRaster</t>
  </si>
  <si>
    <t>testProgramRasterCullMode</t>
  </si>
  <si>
    <t>testProgramStoreBuilder</t>
  </si>
  <si>
    <t>testPrebuiltProgramStore</t>
  </si>
  <si>
    <t>testProgramStoreBlendDstFunc</t>
  </si>
  <si>
    <t>testProgramStoreBlendSrcFunc</t>
  </si>
  <si>
    <t>testProgramStoreDepthFunc</t>
  </si>
  <si>
    <t>testProgramVertexBuilder</t>
  </si>
  <si>
    <t>testProgramVertexCreation</t>
  </si>
  <si>
    <t>testCreation</t>
  </si>
  <si>
    <t>testCreateRenderScriptGL</t>
  </si>
  <si>
    <t>testGetSetRenderScriptGL</t>
  </si>
  <si>
    <t>testDestroyRenderScriptGL</t>
  </si>
  <si>
    <t>testPauseResume</t>
  </si>
  <si>
    <t>testSimpleCreate</t>
  </si>
  <si>
    <t>testSetColor</t>
  </si>
  <si>
    <t>testSetDepth</t>
  </si>
  <si>
    <t>testSetSamples</t>
  </si>
  <si>
    <t>testCameraCharacteristicsAndroidColorCorrectionAvailableAberrationModes</t>
  </si>
  <si>
    <t>testCameraCharacteristicsAndroidControlAeAvailableAntibandingModes</t>
  </si>
  <si>
    <t>testCameraCharacteristicsAndroidControlAeAvailableModes</t>
  </si>
  <si>
    <t>testCameraCharacteristicsAndroidControlAeAvailableTargetFpsRanges</t>
  </si>
  <si>
    <t>testCameraCharacteristicsAndroidControlAeCompensationRange</t>
  </si>
  <si>
    <t>testCameraCharacteristicsAndroidControlAeCompensationStep</t>
  </si>
  <si>
    <t>testCameraCharacteristicsAndroidControlAfAvailableModes</t>
  </si>
  <si>
    <t>testCameraCharacteristicsAndroidControlAvailableEffects</t>
  </si>
  <si>
    <t>testCameraCharacteristicsAndroidControlAvailableSceneModes</t>
  </si>
  <si>
    <t>testCameraCharacteristicsAndroidControlAvailableVideoStabilizationModes</t>
  </si>
  <si>
    <t>testCameraCharacteristicsAndroidControlAwbAvailableModes</t>
  </si>
  <si>
    <t>testCameraCharacteristicsAndroidControlMaxRegionsAe</t>
  </si>
  <si>
    <t>testCameraCharacteristicsAndroidControlMaxRegionsAwb</t>
  </si>
  <si>
    <t>testCameraCharacteristicsAndroidControlMaxRegionsAf</t>
  </si>
  <si>
    <t>testCameraCharacteristicsAndroidEdgeAvailableEdgeModes</t>
  </si>
  <si>
    <t>testCameraCharacteristicsAndroidFlashInfoAvailable</t>
  </si>
  <si>
    <t>testCameraCharacteristicsAndroidHotPixelAvailableHotPixelModes</t>
  </si>
  <si>
    <t>testCameraCharacteristicsAndroidJpegAvailableThumbnailSizes</t>
  </si>
  <si>
    <t>testCameraCharacteristicsAndroidLensFacing</t>
  </si>
  <si>
    <t>testCameraCharacteristicsAndroidLensInfoAvailableApertures</t>
  </si>
  <si>
    <t>testCameraCharacteristicsAndroidLensInfoAvailableFilterDensities</t>
  </si>
  <si>
    <t>testCameraCharacteristicsAndroidLensInfoAvailableFocalLengths</t>
  </si>
  <si>
    <t>testCameraCharacteristicsAndroidLensInfoAvailableOpticalStabilization</t>
  </si>
  <si>
    <t>testCameraCharacteristicsAndroidLensInfoHyperfocalDistance</t>
  </si>
  <si>
    <t>testCameraCharacteristicsAndroidLensInfoMinimumFocusDistance</t>
  </si>
  <si>
    <t>testCameraCharacteristicsAndroidLensInfoFocusDistanceCalibration</t>
  </si>
  <si>
    <t>testCameraCharacteristicsAndroidNoiseReductionAvailableNoiseReductionModes</t>
  </si>
  <si>
    <t>testCameraCharacteristicsAndroidRequestMaxNumOutputRaw</t>
  </si>
  <si>
    <t>testCameraCharacteristicsAndroidRequestMaxNumOutputProc</t>
  </si>
  <si>
    <t>testCameraCharacteristicsAndroidRequestMaxNumOutputProcStalling</t>
  </si>
  <si>
    <t>testCameraCharacteristicsAndroidRequestPipelineMaxDepth</t>
  </si>
  <si>
    <t>testCameraCharacteristicsAndroidRequestPartialResultCount</t>
  </si>
  <si>
    <t>testCameraCharacteristicsAndroidRequestAvailableCapabilities</t>
  </si>
  <si>
    <t>testCameraCharacteristicsAndroidScalerAvailableMaxDigitalZoom</t>
  </si>
  <si>
    <t>testCameraCharacteristicsAndroidScalerStreamConfigurationMap</t>
  </si>
  <si>
    <t>testCameraCharacteristicsAndroidScalerCroppingType</t>
  </si>
  <si>
    <t>testCameraCharacteristicsAndroidSensorReferenceIlluminant1</t>
  </si>
  <si>
    <t>testCameraCharacteristicsAndroidSensorReferenceIlluminant2</t>
  </si>
  <si>
    <t>testCameraCharacteristicsAndroidSensorCalibrationTransform1</t>
  </si>
  <si>
    <t>testCameraCharacteristicsAndroidSensorCalibrationTransform2</t>
  </si>
  <si>
    <t>testCameraCharacteristicsAndroidSensorColorTransform1</t>
  </si>
  <si>
    <t>testCameraCharacteristicsAndroidSensorColorTransform2</t>
  </si>
  <si>
    <t>testCameraCharacteristicsAndroidSensorForwardMatrix1</t>
  </si>
  <si>
    <t>testCameraCharacteristicsAndroidSensorForwardMatrix2</t>
  </si>
  <si>
    <t>testCameraCharacteristicsAndroidSensorBlackLevelPattern</t>
  </si>
  <si>
    <t>testCameraCharacteristicsAndroidSensorMaxAnalogSensitivity</t>
  </si>
  <si>
    <t>testCameraCharacteristicsAndroidSensorOrientation</t>
  </si>
  <si>
    <t>testCameraCharacteristicsAndroidSensorAvailableTestPatternModes</t>
  </si>
  <si>
    <t>testCameraCharacteristicsAndroidSensorInfoActiveArraySize</t>
  </si>
  <si>
    <t>testCameraCharacteristicsAndroidSensorInfoSensitivityRange</t>
  </si>
  <si>
    <t>testCameraCharacteristicsAndroidSensorInfoColorFilterArrangement</t>
  </si>
  <si>
    <t>testCameraCharacteristicsAndroidSensorInfoExposureTimeRange</t>
  </si>
  <si>
    <t>testCameraCharacteristicsAndroidSensorInfoMaxFrameDuration</t>
  </si>
  <si>
    <t>testCameraCharacteristicsAndroidSensorInfoPhysicalSize</t>
  </si>
  <si>
    <t>testCameraCharacteristicsAndroidSensorInfoPixelArraySize</t>
  </si>
  <si>
    <t>testCameraCharacteristicsAndroidSensorInfoWhiteLevel</t>
  </si>
  <si>
    <t>testCameraCharacteristicsAndroidSensorInfoTimestampSource</t>
  </si>
  <si>
    <t>testCameraCharacteristicsAndroidStatisticsInfoAvailableFaceDetectModes</t>
  </si>
  <si>
    <t>testCameraCharacteristicsAndroidStatisticsInfoMaxFaceCount</t>
  </si>
  <si>
    <t>testCameraCharacteristicsAndroidStatisticsInfoAvailableHotPixelMapModes</t>
  </si>
  <si>
    <t>testCameraCharacteristicsAndroidTonemapMaxCurvePoints</t>
  </si>
  <si>
    <t>testCameraCharacteristicsAndroidTonemapAvailableToneMapModes</t>
  </si>
  <si>
    <t>testCameraCharacteristicsAndroidInfoSupportedHardwareLevel</t>
  </si>
  <si>
    <t>testCameraCharacteristicsAndroidSyncMaxLatency</t>
  </si>
  <si>
    <t>testSetCdmaSubscription</t>
  </si>
  <si>
    <t>testJournal</t>
  </si>
  <si>
    <t>testWal</t>
  </si>
  <si>
    <t>testShm</t>
  </si>
  <si>
    <t>testInteractWithNavBarWindow</t>
  </si>
  <si>
    <t>testInteractWithStatusBarWindow</t>
  </si>
  <si>
    <t>testStateCallbacks</t>
  </si>
  <si>
    <t>testFailedState</t>
  </si>
  <si>
    <t>testCanceledState</t>
  </si>
  <si>
    <t>testRegisterAccountsBlocked</t>
  </si>
  <si>
    <t>testLogFilePermissions</t>
  </si>
  <si>
    <t>testGetNetworkPreference</t>
  </si>
  <si>
    <t>testSetNetworkPreference</t>
  </si>
  <si>
    <t>testStartUsingNetworkPreference</t>
  </si>
  <si>
    <t>testStopUsingNetworkFeature</t>
  </si>
  <si>
    <t>testInjectSmsPdu</t>
  </si>
  <si>
    <t>testUpdateMmsDownloadStatus</t>
  </si>
  <si>
    <t>testUpdateMmsSendStatus</t>
  </si>
  <si>
    <t>testUpdateSmsSendStatus</t>
  </si>
  <si>
    <t>testSetLine1NumberForDisplay</t>
  </si>
  <si>
    <t>testSetLine1NumberForDisplay2</t>
  </si>
  <si>
    <t>testIccOpenLogicalChannel</t>
  </si>
  <si>
    <t>testIccCloseLogicalChannel</t>
  </si>
  <si>
    <t>testIccTransmitApduLogicalChannel</t>
  </si>
  <si>
    <t>testIccTransmitApduBasicChannel</t>
  </si>
  <si>
    <t>testSendEnvelopeWithStatus</t>
  </si>
  <si>
    <t>testNvReadItem</t>
  </si>
  <si>
    <t>testNvWriteItem</t>
  </si>
  <si>
    <t>testNvWriteCdmaPrl</t>
  </si>
  <si>
    <t>testNvResetConfig</t>
  </si>
  <si>
    <t>testGetPreferredNetworkType</t>
  </si>
  <si>
    <t>testSetGlobalPreferredNetworkType</t>
  </si>
  <si>
    <t>testHasCarrierPrivileges</t>
  </si>
  <si>
    <t>testSetOperatorBrandOverride</t>
  </si>
  <si>
    <t>testEnableSimplifiedNetworkSettings</t>
  </si>
  <si>
    <t>test1_1ConstructorFromUuid</t>
  </si>
  <si>
    <t>testVerify</t>
  </si>
  <si>
    <t>testRSLoopFilter</t>
  </si>
  <si>
    <t>testProfileOwnerSetup</t>
  </si>
  <si>
    <t>test1_0ConstructorFromType</t>
  </si>
  <si>
    <t>test1_2ConstructorUnknownType</t>
  </si>
  <si>
    <t>testNoExecutePermission</t>
  </si>
  <si>
    <t>testSELinuxPolicyFile</t>
  </si>
  <si>
    <t>testMaximumTimeToLock</t>
  </si>
  <si>
    <t>testNeverallowRules</t>
  </si>
  <si>
    <t>testIsH263BaselineProfileSupported</t>
  </si>
  <si>
    <t>testIsAVCBaselineProfileSupported</t>
  </si>
  <si>
    <t>testIsHEVCMainProfileSupported</t>
  </si>
  <si>
    <t>testIsM4VSimpleProfileSupported</t>
  </si>
  <si>
    <t>testSockDiag</t>
  </si>
  <si>
    <t>testInflateMissingAttributes</t>
  </si>
  <si>
    <t>testNoDevDiag</t>
  </si>
  <si>
    <t>testSettings</t>
  </si>
  <si>
    <t>testAccounts</t>
  </si>
  <si>
    <t>testApps</t>
  </si>
  <si>
    <t>testSecurity</t>
  </si>
  <si>
    <t>testNfc</t>
  </si>
  <si>
    <t>testLocation</t>
  </si>
  <si>
    <t>testSettingsIntents</t>
  </si>
  <si>
    <t>testBluetoothDevicesTable</t>
  </si>
  <si>
    <t>testSystemMountedRO_init</t>
  </si>
  <si>
    <t>testRootMountedRO_init</t>
  </si>
  <si>
    <t>testUndoDelete</t>
  </si>
  <si>
    <t>testUndoSetText</t>
  </si>
  <si>
    <t>testUndoShortcuts</t>
  </si>
  <si>
    <t>testUndoRedo</t>
  </si>
  <si>
    <t>test_Allocationcopy1DRangeTo_Byte</t>
  </si>
  <si>
    <t>test_Allocationcopy1DRangeTo_Short</t>
  </si>
  <si>
    <t>test_Allocationcopy1DRangeTo_Int</t>
  </si>
  <si>
    <t>test_Allocationcopy1DRangeTo_Float</t>
  </si>
  <si>
    <t>test_Allocationcopy1DRangeTo_Long</t>
  </si>
  <si>
    <t>test_Allocationcopy2DRangeTo_Byte</t>
  </si>
  <si>
    <t>test_Allocationcopy2DRangeTo_Short</t>
  </si>
  <si>
    <t>test_Allocationcopy2DRangeTo_Int</t>
  </si>
  <si>
    <t>test_Allocationcopy2DRangeTo_Float</t>
  </si>
  <si>
    <t>test_Allocationcopy2DRangeTo_Long</t>
  </si>
  <si>
    <t>test_Allocationcopy3DRangeTo_Byte</t>
  </si>
  <si>
    <t>test_Allocationcopy3DRangeTo_Short</t>
  </si>
  <si>
    <t>test_Allocationcopy3DRangeTo_Int</t>
  </si>
  <si>
    <t>test_Allocationcopy3DRangeTo_Float</t>
  </si>
  <si>
    <t>test_Allocationcopy3DRangeTo_Long</t>
  </si>
  <si>
    <t>test_Allocationcopy1DRangeToUnchecked_Byte</t>
  </si>
  <si>
    <t>test_Allocationcopy1DRangeToUnchecked_Short</t>
  </si>
  <si>
    <t>test_Allocationcopy1DRangeToUnchecked_Int</t>
  </si>
  <si>
    <t>test_Allocationcopy1DRangeToUnchecked_Float</t>
  </si>
  <si>
    <t>test_Allocationcopy1DRangeToUnchecked_Long</t>
  </si>
  <si>
    <t>testZergRushCrash</t>
  </si>
  <si>
    <t>testTryToCrashVold</t>
  </si>
  <si>
    <t>testKeystoreCrash</t>
  </si>
  <si>
    <t>testRSAllocationCopy2D</t>
  </si>
  <si>
    <t>testRSAllocationCopy3D</t>
  </si>
  <si>
    <t>testRSAllocationCopy1DPadded</t>
  </si>
  <si>
    <t>testRSAllocationCopy2DPadded</t>
  </si>
  <si>
    <t>testRSAllocationCopy3DPadded</t>
  </si>
  <si>
    <t>testMLSAttributes</t>
  </si>
  <si>
    <t>testValidSeappContexts</t>
  </si>
  <si>
    <t>testAospSeappContexts</t>
  </si>
  <si>
    <t>testAospFileContexts</t>
  </si>
  <si>
    <t>testAospPropertyContexts</t>
  </si>
  <si>
    <t>testAospServiceContexts</t>
  </si>
  <si>
    <t>testValidFileContexts</t>
  </si>
  <si>
    <t>testValidPropertyContexts</t>
  </si>
  <si>
    <t>testValidServiceContexts</t>
  </si>
  <si>
    <t>testNoBooleans</t>
  </si>
  <si>
    <t>testKeyStore_Encrypting_RSA_NONE_NOPADDING</t>
  </si>
  <si>
    <t>testDecodeMonoGsm</t>
  </si>
  <si>
    <t>testInstall</t>
  </si>
  <si>
    <t>testSecondEquivalentInstallDoesNothing</t>
  </si>
  <si>
    <t>testInstallClosesPreviouslyInstalled</t>
  </si>
  <si>
    <t>testGetInstalledWithWrongTypeInstalled</t>
  </si>
  <si>
    <t>testCloseCloses</t>
  </si>
  <si>
    <t>testCloseUninstalls</t>
  </si>
  <si>
    <t>testDeleteUninstalls</t>
  </si>
  <si>
    <t>testStatisticsTracking</t>
  </si>
  <si>
    <t>testHardwareNameIsSet</t>
  </si>
  <si>
    <t>test_YV12_Float4</t>
  </si>
  <si>
    <t>test_NV21_Float4</t>
  </si>
  <si>
    <t>testARTASLR</t>
  </si>
  <si>
    <t>testCTSIsUntrustedApp</t>
  </si>
  <si>
    <t>testNfcEnabledDuringSetupWizard</t>
  </si>
  <si>
    <t>testManagedProvisioningMimeTypeAccepted</t>
  </si>
  <si>
    <t>testLowRamProductProperty</t>
  </si>
  <si>
    <t>testKeyPairGenerator_GenerateKeyPair_DSA_Unencrypted_Success</t>
  </si>
  <si>
    <t>testKeyPairGenerator_GenerateKeyPair_DSA_2048_Unencrypted_Success</t>
  </si>
  <si>
    <t>testKeyPairGenerator_GenerateKeyPair_DSA_SpecifiedParams_Unencrypted_Success</t>
  </si>
  <si>
    <t>testKeyStore_GetEntry_DSA_NullParams_Unencrypted_Success</t>
  </si>
  <si>
    <t>testValidFile</t>
  </si>
  <si>
    <t>testInvalidFileA</t>
  </si>
  <si>
    <t>testInvalidFileB</t>
  </si>
  <si>
    <t>testSingleTestNamesCase</t>
  </si>
  <si>
    <t>testMultipleTestNamesCase</t>
  </si>
  <si>
    <t>testMissingTestCaseNameCase</t>
  </si>
  <si>
    <t>testValid</t>
  </si>
  <si>
    <t>testInvalidA</t>
  </si>
  <si>
    <t>testInvalidB</t>
  </si>
  <si>
    <t>testTestListParserInvalidFormat</t>
  </si>
  <si>
    <t>testTestListParserSuiteExpected</t>
  </si>
  <si>
    <t>testTestListParserCaseExpected</t>
  </si>
  <si>
    <t>testBuilder_MissingSubjectDN_Failure</t>
  </si>
  <si>
    <t>testBuilder_MissingSerialNumber_Failure</t>
  </si>
  <si>
    <t>testBuilder_MissingStartDate_Failure</t>
  </si>
  <si>
    <t>testBuilder_MissingEndDate_Failure</t>
  </si>
  <si>
    <t>testFloatMathMethods</t>
  </si>
  <si>
    <t>testAvc0176x0144Other</t>
  </si>
  <si>
    <t>testAvc0176x0144Goog</t>
  </si>
  <si>
    <t>testAvc1920x1072Other</t>
  </si>
  <si>
    <t>testAvc1920x1072Goog</t>
  </si>
  <si>
    <t>testAddOnSubscriptionsChangedListener</t>
  </si>
  <si>
    <t>testRemoveOnSubscriptionsChangedListener</t>
  </si>
  <si>
    <t>testBuilder_MissingSubjectDN_Success</t>
  </si>
  <si>
    <t>testBuilder_MissingSerialNumber_Success</t>
  </si>
  <si>
    <t>testBuilder_MissingStartDate_Success</t>
  </si>
  <si>
    <t>testBuilder_MissingEndDate_Success</t>
  </si>
  <si>
    <t>testAuthorization_contact1</t>
  </si>
  <si>
    <t>testAuthorization_contact2</t>
  </si>
  <si>
    <t>testAuthorization_profile</t>
  </si>
  <si>
    <t>test_conformance_attribs_gl_enable_vertex_attrib_html</t>
  </si>
  <si>
    <t>test_conformance_attribs_gl_vertex_attrib_zero_issues_html</t>
  </si>
  <si>
    <t>test_conformance_attribs_gl_vertex_attrib_html</t>
  </si>
  <si>
    <t>test_conformance_attribs_gl_vertexattribpointer_offsets_html</t>
  </si>
  <si>
    <t>test_conformance_attribs_gl_vertexattribpointer_html</t>
  </si>
  <si>
    <t>test_conformance_buffers_buffer_bind_test_html</t>
  </si>
  <si>
    <t>test_conformance_buffers_buffer_data_array_buffer_html</t>
  </si>
  <si>
    <t>test_conformance_buffers_index_validation_copies_indices_html</t>
  </si>
  <si>
    <t>test_conformance_buffers_index_validation_crash_with_buffer_sub_data_html</t>
  </si>
  <si>
    <t>test_conformance_buffers_index_validation_verifies_too_many_indices_html</t>
  </si>
  <si>
    <t>test_conformance_buffers_index_validation_with_resized_buffer_html</t>
  </si>
  <si>
    <t>test_conformance_buffers_index_validation_html</t>
  </si>
  <si>
    <t>test_conformance_canvas_buffer_offscreen_test_html</t>
  </si>
  <si>
    <t>test_conformance_canvas_buffer_preserve_test_html</t>
  </si>
  <si>
    <t>test_conformance_canvas_canvas_test_html</t>
  </si>
  <si>
    <t>test_conformance_canvas_canvas_zero_size_html</t>
  </si>
  <si>
    <t>test_conformance_canvas_drawingbuffer_static_canvas_test_html</t>
  </si>
  <si>
    <t>test_conformance_canvas_drawingbuffer_test_html</t>
  </si>
  <si>
    <t>test_conformance_canvas_viewport_unchanged_upon_resize_html</t>
  </si>
  <si>
    <t>test_conformance_context_constants_and_properties_html</t>
  </si>
  <si>
    <t>test_conformance_context_context_attributes_alpha_depth_stencil_antialias_html</t>
  </si>
  <si>
    <t>test_conformance_context_context_lost_restored_html</t>
  </si>
  <si>
    <t>test_conformance_context_context_lost_html</t>
  </si>
  <si>
    <t>test_conformance_context_context_type_test_html</t>
  </si>
  <si>
    <t>test_conformance_context_incorrect_context_object_behaviour_html</t>
  </si>
  <si>
    <t>test_conformance_context_methods_html</t>
  </si>
  <si>
    <t>test_conformance_context_premultiplyalpha_test_html</t>
  </si>
  <si>
    <t>test_conformance_context_resource_sharing_test_html</t>
  </si>
  <si>
    <t>test_conformance_extensions_oes_standard_derivatives_html</t>
  </si>
  <si>
    <t>test_conformance_extensions_oes_texture_float_with_canvas_html</t>
  </si>
  <si>
    <t>test_conformance_extensions_oes_texture_float_with_image_data_html</t>
  </si>
  <si>
    <t>test_conformance_extensions_oes_texture_float_with_image_html</t>
  </si>
  <si>
    <t>test_conformance_extensions_oes_texture_float_with_video_html</t>
  </si>
  <si>
    <t>test_conformance_extensions_oes_texture_float_html</t>
  </si>
  <si>
    <t>test_conformance_extensions_oes_vertex_array_object_html</t>
  </si>
  <si>
    <t>test_conformance_extensions_webgl_debug_renderer_info_html</t>
  </si>
  <si>
    <t>test_conformance_extensions_webgl_debug_shaders_html</t>
  </si>
  <si>
    <t>test_conformance_glsl_functions_glsl_function_abs_html</t>
  </si>
  <si>
    <t>test_conformance_glsl_functions_glsl_function_acos_html</t>
  </si>
  <si>
    <t>test_conformance_glsl_functions_glsl_function_asin_html</t>
  </si>
  <si>
    <t>test_conformance_glsl_functions_glsl_function_atan_xy_html</t>
  </si>
  <si>
    <t>test_conformance_glsl_functions_glsl_function_atan_html</t>
  </si>
  <si>
    <t>test_conformance_glsl_functions_glsl_function_ceil_html</t>
  </si>
  <si>
    <t>test_conformance_glsl_functions_glsl_function_clamp_float_html</t>
  </si>
  <si>
    <t>test_conformance_glsl_functions_glsl_function_clamp_gentype_html</t>
  </si>
  <si>
    <t>test_conformance_glsl_functions_glsl_function_cos_html</t>
  </si>
  <si>
    <t>test_conformance_glsl_functions_glsl_function_cross_html</t>
  </si>
  <si>
    <t>test_conformance_glsl_functions_glsl_function_distance_html</t>
  </si>
  <si>
    <t>test_conformance_glsl_functions_glsl_function_dot_html</t>
  </si>
  <si>
    <t>test_conformance_glsl_functions_glsl_function_faceforward_html</t>
  </si>
  <si>
    <t>test_conformance_glsl_functions_glsl_function_floor_html</t>
  </si>
  <si>
    <t>test_conformance_glsl_functions_glsl_function_fract_html</t>
  </si>
  <si>
    <t>test_conformance_glsl_functions_glsl_function_length_html</t>
  </si>
  <si>
    <t>test_conformance_glsl_functions_glsl_function_max_float_html</t>
  </si>
  <si>
    <t>test_conformance_glsl_functions_glsl_function_max_gentype_html</t>
  </si>
  <si>
    <t>test_conformance_glsl_functions_glsl_function_min_float_html</t>
  </si>
  <si>
    <t>test_conformance_glsl_functions_glsl_function_min_gentype_html</t>
  </si>
  <si>
    <t>test_conformance_glsl_functions_glsl_function_mix_float_html</t>
  </si>
  <si>
    <t>test_conformance_glsl_functions_glsl_function_mix_gentype_html</t>
  </si>
  <si>
    <t>test_conformance_glsl_functions_glsl_function_mod_float_html</t>
  </si>
  <si>
    <t>test_conformance_glsl_functions_glsl_function_mod_gentype_html</t>
  </si>
  <si>
    <t>test_conformance_glsl_functions_glsl_function_normalize_html</t>
  </si>
  <si>
    <t>test_conformance_glsl_functions_glsl_function_reflect_html</t>
  </si>
  <si>
    <t>test_conformance_glsl_functions_glsl_function_sign_html</t>
  </si>
  <si>
    <t>test_conformance_glsl_functions_glsl_function_sin_html</t>
  </si>
  <si>
    <t>test_conformance_glsl_functions_glsl_function_smoothstep_float_html</t>
  </si>
  <si>
    <t>test_conformance_glsl_functions_glsl_function_smoothstep_gentype_html</t>
  </si>
  <si>
    <t>test_conformance_glsl_functions_glsl_function_step_float_html</t>
  </si>
  <si>
    <t>test_conformance_glsl_functions_glsl_function_step_gentype_html</t>
  </si>
  <si>
    <t>test_conformance_glsl_functions_glsl_function_html</t>
  </si>
  <si>
    <t>test_conformance_glsl_implicit_add_int_float_vert_html</t>
  </si>
  <si>
    <t>test_conformance_glsl_implicit_add_int_mat2_vert_html</t>
  </si>
  <si>
    <t>test_conformance_glsl_implicit_add_int_mat3_vert_html</t>
  </si>
  <si>
    <t>test_conformance_glsl_implicit_add_int_mat4_vert_html</t>
  </si>
  <si>
    <t>test_conformance_glsl_implicit_add_int_vec2_vert_html</t>
  </si>
  <si>
    <t>test_conformance_glsl_implicit_add_int_vec3_vert_html</t>
  </si>
  <si>
    <t>test_conformance_glsl_implicit_add_int_vec4_vert_html</t>
  </si>
  <si>
    <t>test_conformance_glsl_implicit_add_ivec2_vec2_vert_html</t>
  </si>
  <si>
    <t>test_conformance_glsl_implicit_add_ivec3_vec3_vert_html</t>
  </si>
  <si>
    <t>test_conformance_glsl_implicit_add_ivec4_vec4_vert_html</t>
  </si>
  <si>
    <t>test_conformance_glsl_implicit_assign_int_to_float_vert_html</t>
  </si>
  <si>
    <t>test_conformance_glsl_implicit_assign_ivec2_to_vec2_vert_html</t>
  </si>
  <si>
    <t>test_conformance_glsl_implicit_assign_ivec3_to_vec3_vert_html</t>
  </si>
  <si>
    <t>test_conformance_glsl_implicit_assign_ivec4_to_vec4_vert_html</t>
  </si>
  <si>
    <t>test_conformance_glsl_implicit_construct_struct_vert_html</t>
  </si>
  <si>
    <t>test_conformance_glsl_implicit_divide_int_float_vert_html</t>
  </si>
  <si>
    <t>test_conformance_glsl_implicit_divide_int_mat2_vert_html</t>
  </si>
  <si>
    <t>test_conformance_glsl_implicit_divide_int_mat3_vert_html</t>
  </si>
  <si>
    <t>test_conformance_glsl_implicit_divide_int_mat4_vert_html</t>
  </si>
  <si>
    <t>test_conformance_glsl_implicit_divide_int_vec2_vert_html</t>
  </si>
  <si>
    <t>test_conformance_glsl_implicit_divide_int_vec3_vert_html</t>
  </si>
  <si>
    <t>test_conformance_glsl_implicit_divide_int_vec4_vert_html</t>
  </si>
  <si>
    <t>test_conformance_glsl_implicit_divide_ivec2_vec2_vert_html</t>
  </si>
  <si>
    <t>test_conformance_glsl_implicit_divide_ivec3_vec3_vert_html</t>
  </si>
  <si>
    <t>test_conformance_glsl_implicit_divide_ivec4_vec4_vert_html</t>
  </si>
  <si>
    <t>test_conformance_glsl_implicit_equal_int_float_vert_html</t>
  </si>
  <si>
    <t>test_conformance_glsl_implicit_equal_ivec2_vec2_vert_html</t>
  </si>
  <si>
    <t>test_conformance_glsl_implicit_equal_ivec3_vec3_vert_html</t>
  </si>
  <si>
    <t>test_conformance_glsl_implicit_equal_ivec4_vec4_vert_html</t>
  </si>
  <si>
    <t>test_conformance_glsl_implicit_function_int_float_vert_html</t>
  </si>
  <si>
    <t>test_conformance_glsl_implicit_function_ivec2_vec2_vert_html</t>
  </si>
  <si>
    <t>test_conformance_glsl_implicit_function_ivec3_vec3_vert_html</t>
  </si>
  <si>
    <t>test_conformance_glsl_implicit_function_ivec4_vec4_vert_html</t>
  </si>
  <si>
    <t>test_conformance_glsl_implicit_greater_than_vert_html</t>
  </si>
  <si>
    <t>test_conformance_glsl_implicit_greater_than_equal_vert_html</t>
  </si>
  <si>
    <t>test_conformance_glsl_implicit_less_than_vert_html</t>
  </si>
  <si>
    <t>test_conformance_glsl_implicit_less_than_equal_vert_html</t>
  </si>
  <si>
    <t>test_conformance_glsl_implicit_multiply_int_float_vert_html</t>
  </si>
  <si>
    <t>test_conformance_glsl_implicit_multiply_int_mat2_vert_html</t>
  </si>
  <si>
    <t>test_conformance_glsl_implicit_multiply_int_mat3_vert_html</t>
  </si>
  <si>
    <t>test_conformance_glsl_implicit_multiply_int_mat4_vert_html</t>
  </si>
  <si>
    <t>test_conformance_glsl_implicit_multiply_int_vec2_vert_html</t>
  </si>
  <si>
    <t>test_conformance_glsl_implicit_multiply_int_vec3_vert_html</t>
  </si>
  <si>
    <t>test_conformance_glsl_implicit_multiply_int_vec4_vert_html</t>
  </si>
  <si>
    <t>test_conformance_glsl_implicit_multiply_ivec2_vec2_vert_html</t>
  </si>
  <si>
    <t>test_conformance_glsl_implicit_multiply_ivec3_vec3_vert_html</t>
  </si>
  <si>
    <t>test_conformance_glsl_implicit_multiply_ivec4_vec4_vert_html</t>
  </si>
  <si>
    <t>test_conformance_glsl_implicit_not_equal_int_float_vert_html</t>
  </si>
  <si>
    <t>test_conformance_glsl_implicit_not_equal_ivec2_vec2_vert_html</t>
  </si>
  <si>
    <t>test_conformance_glsl_implicit_not_equal_ivec3_vec3_vert_html</t>
  </si>
  <si>
    <t>test_conformance_glsl_implicit_not_equal_ivec4_vec4_vert_html</t>
  </si>
  <si>
    <t>test_conformance_glsl_implicit_subtract_int_float_vert_html</t>
  </si>
  <si>
    <t>test_conformance_glsl_implicit_subtract_int_mat2_vert_html</t>
  </si>
  <si>
    <t>test_conformance_glsl_implicit_subtract_int_mat3_vert_html</t>
  </si>
  <si>
    <t>test_conformance_glsl_implicit_subtract_int_mat4_vert_html</t>
  </si>
  <si>
    <t>test_conformance_glsl_implicit_subtract_int_vec2_vert_html</t>
  </si>
  <si>
    <t>test_conformance_glsl_implicit_subtract_int_vec3_vert_html</t>
  </si>
  <si>
    <t>test_conformance_glsl_implicit_subtract_int_vec4_vert_html</t>
  </si>
  <si>
    <t>test_conformance_glsl_implicit_subtract_ivec2_vec2_vert_html</t>
  </si>
  <si>
    <t>test_conformance_glsl_implicit_subtract_ivec3_vec3_vert_html</t>
  </si>
  <si>
    <t>test_conformance_glsl_implicit_subtract_ivec4_vec4_vert_html</t>
  </si>
  <si>
    <t>test_conformance_glsl_implicit_ternary_int_float_vert_html</t>
  </si>
  <si>
    <t>test_conformance_glsl_implicit_ternary_ivec2_vec2_vert_html</t>
  </si>
  <si>
    <t>test_conformance_glsl_implicit_ternary_ivec3_vec3_vert_html</t>
  </si>
  <si>
    <t>test_conformance_glsl_implicit_ternary_ivec4_vec4_vert_html</t>
  </si>
  <si>
    <t>test_conformance_glsl_misc_attrib_location_length_limits_html</t>
  </si>
  <si>
    <t>test_conformance_glsl_misc_embedded_struct_definitions_forbidden_html</t>
  </si>
  <si>
    <t>test_conformance_glsl_misc_empty_main_vert_html</t>
  </si>
  <si>
    <t>test_conformance_glsl_misc_gl_position_unset_vert_html</t>
  </si>
  <si>
    <t>test_conformance_glsl_misc_glsl_function_nodes_html</t>
  </si>
  <si>
    <t>test_conformance_glsl_misc_glsl_long_variable_names_html</t>
  </si>
  <si>
    <t>test_conformance_glsl_misc_non_ascii_comments_vert_html</t>
  </si>
  <si>
    <t>test_conformance_glsl_misc_non_ascii_vert_html</t>
  </si>
  <si>
    <t>test_conformance_glsl_misc_shader_with_256_character_identifier_frag_html</t>
  </si>
  <si>
    <t>test_conformance_glsl_misc_shader_with_257_character_identifier_frag_html</t>
  </si>
  <si>
    <t>test_conformance_glsl_misc_shader_with__webgl_identifier_vert_html</t>
  </si>
  <si>
    <t>test_conformance_glsl_misc_shader_with_arbitrary_indexing_frag_html</t>
  </si>
  <si>
    <t>test_conformance_glsl_misc_shader_with_arbitrary_indexing_vert_html</t>
  </si>
  <si>
    <t>test_conformance_glsl_misc_shader_with_attrib_array_vert_html</t>
  </si>
  <si>
    <t>test_conformance_glsl_misc_shader_with_attrib_struct_vert_html</t>
  </si>
  <si>
    <t>test_conformance_glsl_misc_shader_with_clipvertex_vert_html</t>
  </si>
  <si>
    <t>test_conformance_glsl_misc_shader_with_default_precision_frag_html</t>
  </si>
  <si>
    <t>test_conformance_glsl_misc_shader_with_default_precision_vert_html</t>
  </si>
  <si>
    <t>test_conformance_glsl_misc_shader_with_define_line_continuation_frag_html</t>
  </si>
  <si>
    <t>test_conformance_glsl_misc_shader_with_dfdx_no_ext_frag_html</t>
  </si>
  <si>
    <t>test_conformance_glsl_misc_shader_with_dfdx_frag_html</t>
  </si>
  <si>
    <t>test_conformance_glsl_misc_shader_with_error_directive_html</t>
  </si>
  <si>
    <t>test_conformance_glsl_misc_shader_with_explicit_int_cast_vert_html</t>
  </si>
  <si>
    <t>test_conformance_glsl_misc_shader_with_float_return_value_frag_html</t>
  </si>
  <si>
    <t>test_conformance_glsl_misc_shader_with_frag_depth_frag_html</t>
  </si>
  <si>
    <t>test_conformance_glsl_misc_shader_with_function_recursion_frag_html</t>
  </si>
  <si>
    <t>test_conformance_glsl_misc_shader_with_glcolor_vert_html</t>
  </si>
  <si>
    <t>test_conformance_glsl_misc_shader_with_gles_1_frag_html</t>
  </si>
  <si>
    <t>test_conformance_glsl_misc_shader_with_gles_symbol_frag_html</t>
  </si>
  <si>
    <t>test_conformance_glsl_misc_shader_with_glprojectionmatrix_vert_html</t>
  </si>
  <si>
    <t>test_conformance_glsl_misc_shader_with_implicit_vec3_to_vec4_cast_vert_html</t>
  </si>
  <si>
    <t>test_conformance_glsl_misc_shader_with_include_vert_html</t>
  </si>
  <si>
    <t>test_conformance_glsl_misc_shader_with_int_return_value_frag_html</t>
  </si>
  <si>
    <t>test_conformance_glsl_misc_shader_with_invalid_identifier_frag_html</t>
  </si>
  <si>
    <t>test_conformance_glsl_misc_shader_with_ivec2_return_value_frag_html</t>
  </si>
  <si>
    <t>test_conformance_glsl_misc_shader_with_ivec3_return_value_frag_html</t>
  </si>
  <si>
    <t>test_conformance_glsl_misc_shader_with_ivec4_return_value_frag_html</t>
  </si>
  <si>
    <t>test_conformance_glsl_misc_shader_with_limited_indexing_frag_html</t>
  </si>
  <si>
    <t>test_conformance_glsl_misc_shader_with_long_line_html</t>
  </si>
  <si>
    <t>test_conformance_glsl_misc_shader_with_non_ascii_error_frag_html</t>
  </si>
  <si>
    <t>test_conformance_glsl_misc_shader_with_precision_frag_html</t>
  </si>
  <si>
    <t>test_conformance_glsl_misc_shader_with_quoted_error_frag_html</t>
  </si>
  <si>
    <t>test_conformance_glsl_misc_shader_with_undefined_preprocessor_symbol_frag_html</t>
  </si>
  <si>
    <t>test_conformance_glsl_misc_shader_with_uniform_in_loop_condition_vert_html</t>
  </si>
  <si>
    <t>test_conformance_glsl_misc_shader_with_vec2_return_value_frag_html</t>
  </si>
  <si>
    <t>test_conformance_glsl_misc_shader_with_vec3_return_value_frag_html</t>
  </si>
  <si>
    <t>test_conformance_glsl_misc_shader_with_vec4_return_value_frag_html</t>
  </si>
  <si>
    <t>test_conformance_glsl_misc_shader_with_version_100_frag_html</t>
  </si>
  <si>
    <t>test_conformance_glsl_misc_shader_with_version_100_vert_html</t>
  </si>
  <si>
    <t>test_conformance_glsl_misc_shader_with_version_120_vert_html</t>
  </si>
  <si>
    <t>test_conformance_glsl_misc_shader_with_version_130_vert_html</t>
  </si>
  <si>
    <t>test_conformance_glsl_misc_shader_with_webgl_identifier_vert_html</t>
  </si>
  <si>
    <t>test_conformance_glsl_misc_shader_without_precision_frag_html</t>
  </si>
  <si>
    <t>test_conformance_glsl_misc_shared_html</t>
  </si>
  <si>
    <t>test_conformance_glsl_misc_struct_nesting_exceeds_maximum_html</t>
  </si>
  <si>
    <t>test_conformance_glsl_misc_struct_nesting_under_maximum_html</t>
  </si>
  <si>
    <t>test_conformance_glsl_misc_uniform_location_length_limits_html</t>
  </si>
  <si>
    <t>test_conformance_glsl_reserved__webgl_field_vert_html</t>
  </si>
  <si>
    <t>test_conformance_glsl_reserved__webgl_function_vert_html</t>
  </si>
  <si>
    <t>test_conformance_glsl_reserved__webgl_struct_vert_html</t>
  </si>
  <si>
    <t>test_conformance_glsl_reserved__webgl_variable_vert_html</t>
  </si>
  <si>
    <t>test_conformance_glsl_reserved_webgl_field_vert_html</t>
  </si>
  <si>
    <t>test_conformance_glsl_reserved_webgl_function_vert_html</t>
  </si>
  <si>
    <t>test_conformance_glsl_reserved_webgl_struct_vert_html</t>
  </si>
  <si>
    <t>test_conformance_glsl_reserved_webgl_variable_vert_html</t>
  </si>
  <si>
    <t>test_conformance_glsl_variables_gl_fragcoord_html</t>
  </si>
  <si>
    <t>test_conformance_glsl_variables_gl_frontfacing_html</t>
  </si>
  <si>
    <t>test_conformance_glsl_variables_gl_pointcoord_html</t>
  </si>
  <si>
    <t>test_conformance_limits_gl_max_texture_dimensions_html</t>
  </si>
  <si>
    <t>test_conformance_limits_gl_min_attribs_html</t>
  </si>
  <si>
    <t>test_conformance_limits_gl_min_textures_html</t>
  </si>
  <si>
    <t>test_conformance_limits_gl_min_uniforms_html</t>
  </si>
  <si>
    <t>test_conformance_misc_bad_arguments_test_html</t>
  </si>
  <si>
    <t>test_conformance_misc_error_reporting_html</t>
  </si>
  <si>
    <t>test_conformance_misc_functions_returning_strings_html</t>
  </si>
  <si>
    <t>test_conformance_misc_instanceof_test_html</t>
  </si>
  <si>
    <t>test_conformance_misc_invalid_passed_params_html</t>
  </si>
  <si>
    <t>test_conformance_misc_is_object_html</t>
  </si>
  <si>
    <t>test_conformance_misc_null_object_behaviour_html</t>
  </si>
  <si>
    <t>test_conformance_misc_object_deletion_behaviour_html</t>
  </si>
  <si>
    <t>test_conformance_misc_shader_precision_format_html</t>
  </si>
  <si>
    <t>test_conformance_misc_type_conversion_test_html</t>
  </si>
  <si>
    <t>test_conformance_misc_uninitialized_test_html</t>
  </si>
  <si>
    <t>test_conformance_misc_webgl_specific_html</t>
  </si>
  <si>
    <t>test_conformance_more_conformance_constants_html</t>
  </si>
  <si>
    <t>test_conformance_more_conformance_getContext_html</t>
  </si>
  <si>
    <t>test_conformance_more_conformance_methods_html</t>
  </si>
  <si>
    <t>test_conformance_more_conformance_quickCheckAPI_A_html</t>
  </si>
  <si>
    <t>test_conformance_more_conformance_quickCheckAPI_B1_html</t>
  </si>
  <si>
    <t>test_conformance_more_conformance_quickCheckAPI_B2_html</t>
  </si>
  <si>
    <t>test_conformance_more_conformance_quickCheckAPI_B3_html</t>
  </si>
  <si>
    <t>test_conformance_more_conformance_quickCheckAPI_B4_html</t>
  </si>
  <si>
    <t>test_conformance_more_conformance_quickCheckAPI_C_html</t>
  </si>
  <si>
    <t>test_conformance_more_conformance_quickCheckAPI_D_G_html</t>
  </si>
  <si>
    <t>test_conformance_more_conformance_quickCheckAPI_G_I_html</t>
  </si>
  <si>
    <t>test_conformance_more_conformance_quickCheckAPI_L_S_html</t>
  </si>
  <si>
    <t>test_conformance_more_conformance_quickCheckAPI_S_V_html</t>
  </si>
  <si>
    <t>test_conformance_more_conformance_webGLArrays_html</t>
  </si>
  <si>
    <t>test_conformance_more_functions_bindBuffer_html</t>
  </si>
  <si>
    <t>test_conformance_more_functions_bindBufferBadArgs_html</t>
  </si>
  <si>
    <t>test_conformance_more_functions_bindFramebufferLeaveNonZero_html</t>
  </si>
  <si>
    <t>test_conformance_more_functions_bufferData_html</t>
  </si>
  <si>
    <t>test_conformance_more_functions_bufferDataBadArgs_html</t>
  </si>
  <si>
    <t>test_conformance_more_functions_bufferSubData_html</t>
  </si>
  <si>
    <t>test_conformance_more_functions_bufferSubDataBadArgs_html</t>
  </si>
  <si>
    <t>test_conformance_more_functions_copyTexImage2D_html</t>
  </si>
  <si>
    <t>test_conformance_more_functions_copyTexImage2DBadArgs_html</t>
  </si>
  <si>
    <t>test_conformance_more_functions_copyTexSubImage2D_html</t>
  </si>
  <si>
    <t>test_conformance_more_functions_copyTexSubImage2DBadArgs_html</t>
  </si>
  <si>
    <t>test_conformance_more_functions_deleteBufferBadArgs_html</t>
  </si>
  <si>
    <t>test_conformance_more_functions_drawArrays_html</t>
  </si>
  <si>
    <t>test_conformance_more_functions_drawArraysOutOfBounds_html</t>
  </si>
  <si>
    <t>test_conformance_more_functions_drawElements_html</t>
  </si>
  <si>
    <t>test_conformance_more_functions_drawElementsBadArgs_html</t>
  </si>
  <si>
    <t>test_conformance_more_functions_isTests_html</t>
  </si>
  <si>
    <t>test_conformance_more_functions_readPixels_html</t>
  </si>
  <si>
    <t>test_conformance_more_functions_readPixelsBadArgs_html</t>
  </si>
  <si>
    <t>test_conformance_more_functions_texImage2D_html</t>
  </si>
  <si>
    <t>test_conformance_more_functions_texImage2DBadArgs_html</t>
  </si>
  <si>
    <t>test_conformance_more_functions_texImage2DHTML_html</t>
  </si>
  <si>
    <t>test_conformance_more_functions_texImage2DHTMLBadArgs_html</t>
  </si>
  <si>
    <t>test_conformance_more_functions_texSubImage2D_html</t>
  </si>
  <si>
    <t>test_conformance_more_functions_texSubImage2DBadArgs_html</t>
  </si>
  <si>
    <t>test_conformance_more_functions_texSubImage2DHTML_html</t>
  </si>
  <si>
    <t>test_conformance_more_functions_texSubImage2DHTMLBadArgs_html</t>
  </si>
  <si>
    <t>test_conformance_more_functions_uniformMatrix_html</t>
  </si>
  <si>
    <t>test_conformance_more_functions_uniformMatrixBadArgs_html</t>
  </si>
  <si>
    <t>test_conformance_more_functions_uniformf_html</t>
  </si>
  <si>
    <t>test_conformance_more_functions_uniformfArrayLen1_html</t>
  </si>
  <si>
    <t>test_conformance_more_functions_uniformfBadArgs_html</t>
  </si>
  <si>
    <t>test_conformance_more_functions_uniformi_html</t>
  </si>
  <si>
    <t>test_conformance_more_functions_uniformiBadArgs_html</t>
  </si>
  <si>
    <t>test_conformance_more_functions_vertexAttrib_html</t>
  </si>
  <si>
    <t>test_conformance_more_functions_vertexAttribBadArgs_html</t>
  </si>
  <si>
    <t>test_conformance_more_functions_vertexAttribPointer_html</t>
  </si>
  <si>
    <t>test_conformance_more_functions_vertexAttribPointerBadArgs_html</t>
  </si>
  <si>
    <t>test_conformance_more_glsl_arrayOutOfBounds_html</t>
  </si>
  <si>
    <t>test_conformance_more_glsl_uniformOutOfBounds_html</t>
  </si>
  <si>
    <t>test_conformance_programs_get_active_test_html</t>
  </si>
  <si>
    <t>test_conformance_programs_gl_bind_attrib_location_test_html</t>
  </si>
  <si>
    <t>test_conformance_programs_gl_get_active_attribute_html</t>
  </si>
  <si>
    <t>test_conformance_programs_gl_get_active_uniform_html</t>
  </si>
  <si>
    <t>test_conformance_programs_gl_getshadersource_html</t>
  </si>
  <si>
    <t>test_conformance_programs_gl_shader_test_html</t>
  </si>
  <si>
    <t>test_conformance_programs_invalid_UTF_16_html</t>
  </si>
  <si>
    <t>test_conformance_programs_program_test_html</t>
  </si>
  <si>
    <t>test_conformance_reading_read_pixels_pack_alignment_html</t>
  </si>
  <si>
    <t>test_conformance_reading_read_pixels_test_html</t>
  </si>
  <si>
    <t>test_conformance_renderbuffers_framebuffer_object_attachment_html</t>
  </si>
  <si>
    <t>test_conformance_renderbuffers_framebuffer_test_html</t>
  </si>
  <si>
    <t>test_conformance_renderbuffers_renderbuffer_initialization_html</t>
  </si>
  <si>
    <t>test_conformance_rendering_draw_arrays_out_of_bounds_html</t>
  </si>
  <si>
    <t>test_conformance_rendering_draw_elements_out_of_bounds_html</t>
  </si>
  <si>
    <t>test_conformance_rendering_gl_clear_html</t>
  </si>
  <si>
    <t>test_conformance_rendering_gl_drawelements_html</t>
  </si>
  <si>
    <t>test_conformance_rendering_gl_scissor_test_html</t>
  </si>
  <si>
    <t>test_conformance_rendering_line_loop_tri_fan_html</t>
  </si>
  <si>
    <t>test_conformance_rendering_more_than_65536_indices_html</t>
  </si>
  <si>
    <t>test_conformance_rendering_multisample_corruption_html</t>
  </si>
  <si>
    <t>test_conformance_rendering_point_size_html</t>
  </si>
  <si>
    <t>test_conformance_rendering_triangle_html</t>
  </si>
  <si>
    <t>test_conformance_state_gl_enable_enum_test_html</t>
  </si>
  <si>
    <t>test_conformance_state_gl_enum_tests_html</t>
  </si>
  <si>
    <t>test_conformance_state_gl_get_calls_html</t>
  </si>
  <si>
    <t>test_conformance_state_gl_geterror_html</t>
  </si>
  <si>
    <t>test_conformance_state_gl_getstring_html</t>
  </si>
  <si>
    <t>test_conformance_state_gl_object_get_calls_html</t>
  </si>
  <si>
    <t>test_conformance_textures_compressed_tex_image_html</t>
  </si>
  <si>
    <t>test_conformance_textures_copy_tex_image_and_sub_image_2d_html</t>
  </si>
  <si>
    <t>test_conformance_textures_gl_pixelstorei_html</t>
  </si>
  <si>
    <t>test_conformance_textures_gl_teximage_html</t>
  </si>
  <si>
    <t>test_conformance_textures_origin_clean_conformance_html</t>
  </si>
  <si>
    <t>test_conformance_textures_tex_image_and_sub_image_2d_with_array_buffer_view_html</t>
  </si>
  <si>
    <t>test_conformance_textures_tex_image_and_sub_image_2d_with_canvas_rgb565_html</t>
  </si>
  <si>
    <t>test_conformance_textures_tex_image_and_sub_image_2d_with_canvas_rgba4444_html</t>
  </si>
  <si>
    <t>test_conformance_textures_tex_image_and_sub_image_2d_with_canvas_rgba5551_html</t>
  </si>
  <si>
    <t>test_conformance_textures_tex_image_and_sub_image_2d_with_canvas_html</t>
  </si>
  <si>
    <t>test_conformance_textures_tex_image_and_sub_image_2d_with_image_data_rgb565_html</t>
  </si>
  <si>
    <t>test_conformance_textures_tex_image_and_sub_image_2d_with_image_data_rgba4444_html</t>
  </si>
  <si>
    <t>test_conformance_textures_tex_image_and_sub_image_2d_with_image_data_rgba5551_html</t>
  </si>
  <si>
    <t>test_conformance_textures_tex_image_and_sub_image_2d_with_image_data_html</t>
  </si>
  <si>
    <t>test_conformance_textures_tex_image_and_sub_image_2d_with_image_rgb565_html</t>
  </si>
  <si>
    <t>test_conformance_textures_tex_image_and_sub_image_2d_with_image_rgba4444_html</t>
  </si>
  <si>
    <t>test_conformance_textures_tex_image_and_sub_image_2d_with_image_rgba5551_html</t>
  </si>
  <si>
    <t>test_conformance_textures_tex_image_and_sub_image_2d_with_image_html</t>
  </si>
  <si>
    <t>test_conformance_textures_tex_image_and_sub_image_2d_with_video_rgb565_html</t>
  </si>
  <si>
    <t>test_conformance_textures_tex_image_and_sub_image_2d_with_video_rgba4444_html</t>
  </si>
  <si>
    <t>test_conformance_textures_tex_image_and_sub_image_2d_with_video_rgba5551_html</t>
  </si>
  <si>
    <t>test_conformance_textures_tex_image_and_sub_image_2d_with_video_html</t>
  </si>
  <si>
    <t>test_conformance_textures_tex_image_and_uniform_binding_bugs_html</t>
  </si>
  <si>
    <t>test_conformance_textures_tex_image_with_format_and_type_html</t>
  </si>
  <si>
    <t>test_conformance_textures_tex_image_with_invalid_data_html</t>
  </si>
  <si>
    <t>test_conformance_textures_tex_input_validation_html</t>
  </si>
  <si>
    <t>test_conformance_textures_tex_sub_image_2d_bad_args_html</t>
  </si>
  <si>
    <t>test_conformance_textures_tex_sub_image_2d_html</t>
  </si>
  <si>
    <t>test_conformance_textures_texparameter_test_html</t>
  </si>
  <si>
    <t>test_conformance_textures_texture_active_bind_2_html</t>
  </si>
  <si>
    <t>test_conformance_textures_texture_active_bind_html</t>
  </si>
  <si>
    <t>test_conformance_textures_texture_complete_html</t>
  </si>
  <si>
    <t>test_conformance_textures_texture_mips_html</t>
  </si>
  <si>
    <t>test_conformance_textures_texture_npot_video_html</t>
  </si>
  <si>
    <t>test_conformance_textures_texture_npot_html</t>
  </si>
  <si>
    <t>test_conformance_textures_texture_size_cube_maps_html</t>
  </si>
  <si>
    <t>test_conformance_textures_texture_size_html</t>
  </si>
  <si>
    <t>test_conformance_textures_texture_transparent_pixels_initialized_html</t>
  </si>
  <si>
    <t>test_conformance_typedarrays_array_buffer_crash_html</t>
  </si>
  <si>
    <t>test_conformance_typedarrays_array_buffer_view_crash_html</t>
  </si>
  <si>
    <t>test_conformance_typedarrays_array_unit_tests_html</t>
  </si>
  <si>
    <t>test_conformance_typedarrays_data_view_crash_html</t>
  </si>
  <si>
    <t>test_conformance_typedarrays_data_view_test_html</t>
  </si>
  <si>
    <t>test_conformance_uniforms_gl_uniform_arrays_html</t>
  </si>
  <si>
    <t>test_conformance_uniforms_gl_uniform_bool_html</t>
  </si>
  <si>
    <t>test_conformance_uniforms_gl_uniformmatrix4fv_html</t>
  </si>
  <si>
    <t>test_conformance_uniforms_gl_unknown_uniform_html</t>
  </si>
  <si>
    <t>test_conformance_uniforms_null_uniform_location_html</t>
  </si>
  <si>
    <t>test_conformance_uniforms_uniform_location_html</t>
  </si>
  <si>
    <t>test_conformance_uniforms_uniform_samplers_test_html</t>
  </si>
  <si>
    <t>testMaxUsersStrictlyMoreThanOne</t>
  </si>
  <si>
    <t>testBuildProvider</t>
  </si>
  <si>
    <t>testAddRemoveListener</t>
  </si>
  <si>
    <t>testFactorialRecursive</t>
  </si>
  <si>
    <t>testFactorialIterative</t>
  </si>
  <si>
    <t>testNotifyCarrierNetworkChange</t>
  </si>
  <si>
    <t>testReadBookmarks</t>
  </si>
  <si>
    <t>testWriteBookmarks</t>
  </si>
  <si>
    <t>testReadBrowserHistory</t>
  </si>
  <si>
    <t>testWriteBrowserHistory</t>
  </si>
  <si>
    <t>testSetScrollBarStyle</t>
  </si>
  <si>
    <t>testDeathTest</t>
  </si>
  <si>
    <t>testCleanTest</t>
  </si>
  <si>
    <t>testSigSysSelf</t>
  </si>
  <si>
    <t>testAccessSearches</t>
  </si>
  <si>
    <t>testGetAllBookmarks</t>
  </si>
  <si>
    <t>testGetAllVisitedUrls</t>
  </si>
  <si>
    <t>testUpdateVisitedHistory</t>
  </si>
  <si>
    <t>testAccessHistory</t>
  </si>
  <si>
    <t>testRequestAllIcons</t>
  </si>
  <si>
    <t>testSaveBookmark</t>
  </si>
  <si>
    <t>testSendString</t>
  </si>
  <si>
    <t>testBookmarksTable</t>
  </si>
  <si>
    <t>testSearchesTable</t>
  </si>
  <si>
    <t>testKeyPairGenerator_Initialize_Params_Unencrypted_Success</t>
  </si>
  <si>
    <t>testKeyPairGenerator_Initialize_ParamsAndSecureRandom_Unencrypted_Failure</t>
  </si>
  <si>
    <t>testKeyPairGenerator_GenerateKeyPair_EC_Unencrypted_Success</t>
  </si>
  <si>
    <t>testKeyPairGenerator_GenerateKeyPair_EC_P521_Unencrypted_Success</t>
  </si>
  <si>
    <t>testKeyPairGenerator_GenerateKeyPair_RSA_Unencrypted_Success</t>
  </si>
  <si>
    <t>testKeyPairGenerator_GenerateKeyPair_Replaced_Unencrypted_Success</t>
  </si>
  <si>
    <t>testKeyPairGenerator_GenerateKeyPair_No_Collision_Unencrypted_Success</t>
  </si>
  <si>
    <t>testSetGetIndents</t>
  </si>
  <si>
    <t>testExecute_withMobile</t>
  </si>
  <si>
    <t>testExecute_withWifi</t>
  </si>
  <si>
    <t>testGenerate_EC_ModernSpec_PerOpAuthRequired</t>
  </si>
  <si>
    <t>testGenerate_RSA_ModernSpec_PerOpAuthRequired</t>
  </si>
  <si>
    <t>testGenerate_EC_ModernSpec_TimeoutBasedAuthRequired</t>
  </si>
  <si>
    <t>testGenerate_RSA_ModernSpec_TimeoutBasedAuthRequired</t>
  </si>
  <si>
    <t>testBuildHelper</t>
  </si>
  <si>
    <t>testReadSocialStreamPermission_byRawContactId</t>
  </si>
  <si>
    <t>testReadSocialStreamPermission_byContactId</t>
  </si>
  <si>
    <t>testReadSocialStreamPermission_byLookUpKey</t>
  </si>
  <si>
    <t>testReadSocialStreamPermission_byStreamItemId</t>
  </si>
  <si>
    <t>testWriteSocialStreamPermission_byContentDirectory</t>
  </si>
  <si>
    <t>testWriteSocialStreamPermission_byContentUri</t>
  </si>
  <si>
    <t>testGetDither</t>
  </si>
  <si>
    <t>testLastAuthenticatedTimeAfterAccountAuthenticated</t>
  </si>
  <si>
    <t>testIntentExtras</t>
  </si>
  <si>
    <t>testQueryChannels</t>
  </si>
  <si>
    <t>testInsertChannels</t>
  </si>
  <si>
    <t>testUpdateChannels</t>
  </si>
  <si>
    <t>testDeleteChannels</t>
  </si>
  <si>
    <t>testQueryPrograms</t>
  </si>
  <si>
    <t>testInsertPrograms</t>
  </si>
  <si>
    <t>testUpdatePrograms</t>
  </si>
  <si>
    <t>testDeletePrograms</t>
  </si>
  <si>
    <t>testNullPrivateKeyArgumentsFail</t>
  </si>
  <si>
    <t>testNullPrivateKeyAliasArgumentFails</t>
  </si>
  <si>
    <t>testNullPrivateKeyContextArgumentFails</t>
  </si>
  <si>
    <t>testGetPrivateKeyOnMainThreadFails</t>
  </si>
  <si>
    <t>testAddOnComputeInternalInsetsListener</t>
  </si>
  <si>
    <t>testRemoveOnComputeInternalInsetsListener</t>
  </si>
  <si>
    <t>testSetViewCustom</t>
  </si>
  <si>
    <t>testSetLatestEventInfo</t>
  </si>
  <si>
    <t>testPrimaryActionModesAreStopped</t>
  </si>
  <si>
    <t>testFloatingActionModesAreBubbledUp</t>
  </si>
  <si>
    <t>testGetVariance</t>
  </si>
  <si>
    <t>testEncodeDecode</t>
  </si>
  <si>
    <t>testGetContextMenuInfo</t>
  </si>
  <si>
    <t>testInitFailsWhenKeyNoLongerValid</t>
  </si>
  <si>
    <t>testSameTimestamp</t>
  </si>
  <si>
    <t>testAddFilter</t>
  </si>
  <si>
    <t>testParseNameExcludeFilter</t>
  </si>
  <si>
    <t>testParseAbiNameExcludeFilter</t>
  </si>
  <si>
    <t>testParseNameTestExcludeFilter</t>
  </si>
  <si>
    <t>testParseFullExcludeFilter</t>
  </si>
  <si>
    <t>testCreateNameExcludeFilter</t>
  </si>
  <si>
    <t>testCreateAbiNameExcludeFilter</t>
  </si>
  <si>
    <t>testCreateNameTestExcludeFilter</t>
  </si>
  <si>
    <t>testCreateFullExcludeFilter</t>
  </si>
  <si>
    <t>testAndroidTestCaseSetupProperly</t>
  </si>
  <si>
    <t>testApplicationRestrictions</t>
  </si>
  <si>
    <t>testScreenCaptureDisabled</t>
  </si>
  <si>
    <t>testPersistentIntentResolving</t>
  </si>
  <si>
    <t>testPrecreate_persistentFailure</t>
  </si>
  <si>
    <t>testPrecreate_transientFailure</t>
  </si>
  <si>
    <t>testOpeningAnyFile</t>
  </si>
  <si>
    <t>testContextOnAndOff</t>
  </si>
  <si>
    <t>testAnnotationValue</t>
  </si>
  <si>
    <t>testDefaultAnnotationValue</t>
  </si>
  <si>
    <t>compareEqualClasses</t>
  </si>
  <si>
    <t>compareMissingClass</t>
  </si>
  <si>
    <t>compareAddedClass</t>
  </si>
  <si>
    <t>compareAnnotationsOnClass</t>
  </si>
  <si>
    <t>compareDefaultedAnnotationElementOnClass</t>
  </si>
  <si>
    <t>compareSameInterfaces</t>
  </si>
  <si>
    <t>compareMissingInterface</t>
  </si>
  <si>
    <t>compareMissingGenericInterface0</t>
  </si>
  <si>
    <t>compareMissingGenericInterface1</t>
  </si>
  <si>
    <t>compareMissingGenericInterfaceReflection</t>
  </si>
  <si>
    <t>compareInterfaceClosure</t>
  </si>
  <si>
    <t>compareUpperBounds0</t>
  </si>
  <si>
    <t>compareUpperBounds1</t>
  </si>
  <si>
    <t>compareTypeVariables0</t>
  </si>
  <si>
    <t>compareTypeVariables1</t>
  </si>
  <si>
    <t>compareTypeVariables2</t>
  </si>
  <si>
    <t>compareTypeVariables3</t>
  </si>
  <si>
    <t>compareTypeVariables4</t>
  </si>
  <si>
    <t>interfaceClosureTest</t>
  </si>
  <si>
    <t>compareEqualPackageTest0</t>
  </si>
  <si>
    <t>compareEqualPackageTest1</t>
  </si>
  <si>
    <t>compareRemovedPackagePackageTest1</t>
  </si>
  <si>
    <t>compareAddedPackagePackageTest1</t>
  </si>
  <si>
    <t>convertAnnotationDefinition1</t>
  </si>
  <si>
    <t>convertAnnotationDefinition2</t>
  </si>
  <si>
    <t>convertAnnotationDefinition3</t>
  </si>
  <si>
    <t>testAnnotationDefaultsInt1</t>
  </si>
  <si>
    <t>testAnnotationDefaultsInt2</t>
  </si>
  <si>
    <t>testAnnotationDefaultsInt3</t>
  </si>
  <si>
    <t>testAnnotationDefaultsDouble1</t>
  </si>
  <si>
    <t>testAnnotationDefaultsDouble2</t>
  </si>
  <si>
    <t>testAnnotationDefaultsDouble3</t>
  </si>
  <si>
    <t>testAnnotationDefaultsEnum1</t>
  </si>
  <si>
    <t>testAnnotationDefaultsEnum2</t>
  </si>
  <si>
    <t>testAnnotationDefaultsEnum3</t>
  </si>
  <si>
    <t>testAnnotationDefaultsAnnotation1</t>
  </si>
  <si>
    <t>testAnnotationDefaultsAnnotation2</t>
  </si>
  <si>
    <t>testAnnotationDefaultsAnnotation3</t>
  </si>
  <si>
    <t>testAnnotationDefaultsString1</t>
  </si>
  <si>
    <t>testAnnotationDefaultsString2</t>
  </si>
  <si>
    <t>testAnnotationDefaultsString3</t>
  </si>
  <si>
    <t>testAnnotationDefaultsClass1</t>
  </si>
  <si>
    <t>testAnnotationDefaultsClass2</t>
  </si>
  <si>
    <t>testAnnotationDefaultsClass3</t>
  </si>
  <si>
    <t>testAnnotationDefaultsClass4</t>
  </si>
  <si>
    <t>testAnnotationRetentionRuntime</t>
  </si>
  <si>
    <t>testAnnotationRetentionClass</t>
  </si>
  <si>
    <t>convertPackageClassTest</t>
  </si>
  <si>
    <t>convertClassClassTest</t>
  </si>
  <si>
    <t>convertClassInterfaceTest</t>
  </si>
  <si>
    <t>convertClassEnumTest</t>
  </si>
  <si>
    <t>convertClassAnnotationTest</t>
  </si>
  <si>
    <t>convertAnnotationTest</t>
  </si>
  <si>
    <t>convertAnnotationOnFieldTest</t>
  </si>
  <si>
    <t>convertGenericClass0</t>
  </si>
  <si>
    <t>convertGenericClass00</t>
  </si>
  <si>
    <t>convertGenericClass1</t>
  </si>
  <si>
    <t>convertGenericClass2</t>
  </si>
  <si>
    <t>convertClassImplementsInterface0</t>
  </si>
  <si>
    <t>convertClassImplementsInterface1</t>
  </si>
  <si>
    <t>convertClassImplementsGenericInterface0</t>
  </si>
  <si>
    <t>convertGenericClassImplementsGenericInterface</t>
  </si>
  <si>
    <t>convertConstructor0</t>
  </si>
  <si>
    <t>convertConstructor1a</t>
  </si>
  <si>
    <t>convertConstructor1b</t>
  </si>
  <si>
    <t>convertConstructor2</t>
  </si>
  <si>
    <t>convertConstructor3</t>
  </si>
  <si>
    <t>convertConstructorWithException</t>
  </si>
  <si>
    <t>convertConstructorWithParameter</t>
  </si>
  <si>
    <t>convertConstructorWithGenericParameter</t>
  </si>
  <si>
    <t>convertVoidMethod</t>
  </si>
  <si>
    <t>convertArrayMethod</t>
  </si>
  <si>
    <t>testParameterConformance1</t>
  </si>
  <si>
    <t>testParameterConformance2</t>
  </si>
  <si>
    <t>testInnerReferenceToOuterTypeVariable</t>
  </si>
  <si>
    <t>convertTypeVariableMultipleUpperBound</t>
  </si>
  <si>
    <t>convertPrivateStaticInnerClass0</t>
  </si>
  <si>
    <t>convertPrivateStaticInnerClass1</t>
  </si>
  <si>
    <t>convertNonStaticInnerClassConstructor0</t>
  </si>
  <si>
    <t>convertNonStaticInnerClassConstructor1</t>
  </si>
  <si>
    <t>testEnum1</t>
  </si>
  <si>
    <t>testEnum2</t>
  </si>
  <si>
    <t>testEnum3</t>
  </si>
  <si>
    <t>testEnum4</t>
  </si>
  <si>
    <t>testPackageAnnotation</t>
  </si>
  <si>
    <t>testNumberOfClasses1</t>
  </si>
  <si>
    <t>testNumberOfClasses2</t>
  </si>
  <si>
    <t>convertParameterizedType</t>
  </si>
  <si>
    <t>convertWildcardLowerBound</t>
  </si>
  <si>
    <t>reflectionTest0</t>
  </si>
  <si>
    <t>reflectionTest1</t>
  </si>
  <si>
    <t>reflectionTest2</t>
  </si>
  <si>
    <t>testVisibilityMethods1</t>
  </si>
  <si>
    <t>testVisibilityMethods2</t>
  </si>
  <si>
    <t>testVisibilityMethods3</t>
  </si>
  <si>
    <t>testVisibilityMethods4</t>
  </si>
  <si>
    <t>testVisibility1</t>
  </si>
  <si>
    <t>testVisibility2</t>
  </si>
  <si>
    <t>testVisibility3</t>
  </si>
  <si>
    <t>testVisibility4</t>
  </si>
  <si>
    <t>convertWildcardUpperBound</t>
  </si>
  <si>
    <t>testExternalizer</t>
  </si>
  <si>
    <t>convertPackageTest</t>
  </si>
  <si>
    <t>getPackageNameTest</t>
  </si>
  <si>
    <t>getClassNameTest</t>
  </si>
  <si>
    <t>hasGenericSignatureTest</t>
  </si>
  <si>
    <t>getGenericSignatureTest</t>
  </si>
  <si>
    <t>testDisallowOutgoingCallsForSecondaryUser</t>
  </si>
  <si>
    <t>testOutgoingCallBroadcast_isSentForAllCalls</t>
  </si>
  <si>
    <t>testRequestRouteToHost</t>
  </si>
  <si>
    <t>test_getStreamVolumeLeak</t>
  </si>
  <si>
    <t>test_getCurrentPositionLeak</t>
  </si>
  <si>
    <t>test_getDurationLeak</t>
  </si>
  <si>
    <t>testStartCallWithSpeakerphoneNotProvided_SpeakerphoneOffByDefault</t>
  </si>
  <si>
    <t>testMediaCryptoClearKey</t>
  </si>
  <si>
    <t>testMediaCryptoWidevine</t>
  </si>
  <si>
    <t>testSendProtectedBroadcasts</t>
  </si>
  <si>
    <t>testWifiConnected</t>
  </si>
  <si>
    <t>testDefaultMatch</t>
  </si>
  <si>
    <t>testDefaultMismatch</t>
  </si>
  <si>
    <t>testOptionMatch</t>
  </si>
  <si>
    <t>testOptionMismatch</t>
  </si>
  <si>
    <t>testNameMatching</t>
  </si>
  <si>
    <t>testRunStarted</t>
  </si>
  <si>
    <t>testStarted</t>
  </si>
  <si>
    <t>testFailed</t>
  </si>
  <si>
    <t>testAssumptionFailure</t>
  </si>
  <si>
    <t>testRunStopped</t>
  </si>
  <si>
    <t>testRunEnded</t>
  </si>
  <si>
    <t>testRunFailed</t>
  </si>
  <si>
    <t>testRepeatedExecutions</t>
  </si>
  <si>
    <t>testLocationServicesOnGpsNetwork</t>
  </si>
  <si>
    <t>testLocationServicesOnGps</t>
  </si>
  <si>
    <t>testLocationServicesOnNetwork</t>
  </si>
  <si>
    <t>testLocationServicesOff</t>
  </si>
  <si>
    <t>testWifiDisconnected</t>
  </si>
  <si>
    <t>testWifiConnectionSuccessful</t>
  </si>
  <si>
    <t>testWifiConnectionUnuccessful</t>
  </si>
  <si>
    <t>testResolutionString</t>
  </si>
  <si>
    <t>testGetDeviceDirs</t>
  </si>
  <si>
    <t>testGetMaxVideoPlaybackResolutionFound</t>
  </si>
  <si>
    <t>testGetMaxVideoPlaybackResolutionNotFound</t>
  </si>
  <si>
    <t>testSkipMediaDownload</t>
  </si>
  <si>
    <t>testScreenUnlocked</t>
  </si>
  <si>
    <t>testExternalStoragePresent</t>
  </si>
  <si>
    <t>testPlatformDefinedRuntimePermissionValid</t>
  </si>
  <si>
    <t>testID3v2EmbeddedPicture</t>
  </si>
  <si>
    <t>testFragmentTransition</t>
  </si>
  <si>
    <t>testFirstOutLastInTransition</t>
  </si>
  <si>
    <t>testPopTwo</t>
  </si>
  <si>
    <t>testNullTransition</t>
  </si>
  <si>
    <t>testRemoveAdded</t>
  </si>
  <si>
    <t>testAddRemoved</t>
  </si>
  <si>
    <t>testSetTextLong</t>
  </si>
  <si>
    <t>testDynamicConfigOverride</t>
  </si>
  <si>
    <t>testDynamicConfigLocal</t>
  </si>
  <si>
    <t>testRemoveAccounts</t>
  </si>
  <si>
    <t>testAccountManagement</t>
  </si>
  <si>
    <t>testFinishSessionWithStartAddAccountSession</t>
  </si>
  <si>
    <t>testFinishSessionWithStartUpdateCredentialsSession</t>
  </si>
  <si>
    <t>testFinishSessionWithNullSessionBundle</t>
  </si>
  <si>
    <t>testFinishSessionWithEmptySessionBundle</t>
  </si>
  <si>
    <t>testFinishSessionWithDecryptionError</t>
  </si>
  <si>
    <t>testFinishSessionWithInvalidEncryptedContent</t>
  </si>
  <si>
    <t>testFinishSessionFromStartAddAccountWithoutAccountType</t>
  </si>
  <si>
    <t>testFinishSessionFromStartUpdateCredentialsSessionWithoutAccountType</t>
  </si>
  <si>
    <t>testFinishSessionFromStartAddAccountAccountTypeOverriden</t>
  </si>
  <si>
    <t>testFinishSessionFromStartUpdateCredentialsSessionAccountTypeOverriden</t>
  </si>
  <si>
    <t>testFinishSessionIntervene</t>
  </si>
  <si>
    <t>testFinishSessionWithReturnIntent</t>
  </si>
  <si>
    <t>testFinishSessionError</t>
  </si>
  <si>
    <t>testStartUpdateCredentialsSession</t>
  </si>
  <si>
    <t>testStartUpdateCredentialsSessionWithNullSessionBundle</t>
  </si>
  <si>
    <t>testStartUpdateCredentialsSessionWithEmptySessionBundle</t>
  </si>
  <si>
    <t>testStartUpdateCredentialsSessionIntervene</t>
  </si>
  <si>
    <t>testStartUpdateCredentialsSessionWithReturnIntent</t>
  </si>
  <si>
    <t>testStartUpdateCredentialsSessionError</t>
  </si>
  <si>
    <t>testStartAddAccountSession</t>
  </si>
  <si>
    <t>testStartAddAccountSessionWithNullSessionBundle</t>
  </si>
  <si>
    <t>testStartAddAccountSessionWithEmptySessionBundle</t>
  </si>
  <si>
    <t>testStartAddAccountSessionIntervene</t>
  </si>
  <si>
    <t>testStartAddAccountSessionWithReturnIntent</t>
  </si>
  <si>
    <t>testStartAddAccountSessionError</t>
  </si>
  <si>
    <t>testUpdateConfiguration_ResolvedLocaleIsRecalculated</t>
  </si>
  <si>
    <t>testGetResolvedLocale_unsupportedLocale</t>
  </si>
  <si>
    <t>testGetResolvedLocale_secondaryLocaleIsSupported</t>
  </si>
  <si>
    <t>testGetResolvedLocale_secondaryLocaleIsPartiallySupported</t>
  </si>
  <si>
    <t>testGetResolvedLocale_SystemResourcesLocaleNonNull</t>
  </si>
  <si>
    <t>testGetResolvedLocale_NonNull</t>
  </si>
  <si>
    <t>testNoVulkan</t>
  </si>
  <si>
    <t>testNotListening</t>
  </si>
  <si>
    <t>testRequestListening</t>
  </si>
  <si>
    <t>testClick</t>
  </si>
  <si>
    <t>testAddTile</t>
  </si>
  <si>
    <t>testRemoveTile</t>
  </si>
  <si>
    <t>testListeningNotifications</t>
  </si>
  <si>
    <t>testListeningSettings</t>
  </si>
  <si>
    <t>testCantAddDialog</t>
  </si>
  <si>
    <t>testClickAndShowDialog</t>
  </si>
  <si>
    <t>testStartActivity</t>
  </si>
  <si>
    <t>test_aMessageFromParcel</t>
  </si>
  <si>
    <t>testTargetApiLevel</t>
  </si>
  <si>
    <t>testBroadcastGenreEncodeDecode</t>
  </si>
  <si>
    <t>testBroadcastGenreQueryChannel</t>
  </si>
  <si>
    <t>testRemoveActiveAdmin</t>
  </si>
  <si>
    <t>testPasswordHistoryLength</t>
  </si>
  <si>
    <t>testPasswordExpirationTimeout</t>
  </si>
  <si>
    <t>testOpenExternalDirectory</t>
  </si>
  <si>
    <t>testWriteTopicToParcel</t>
  </si>
  <si>
    <t>testRestrictBackgroundChangedReceivedOnce</t>
  </si>
  <si>
    <t>testRestrictBackgroundChangedReceivedTwice</t>
  </si>
  <si>
    <t>testCreateUser_failIfNotDeviceOwner</t>
  </si>
  <si>
    <t>testCreateAndInitializeUser_failIfNotDeviceOwner</t>
  </si>
  <si>
    <t>testPermissionAppUpdate</t>
  </si>
  <si>
    <t>testPermissionPrompts</t>
  </si>
  <si>
    <t>testLink</t>
  </si>
  <si>
    <t>testGetFadingEdgeStrength</t>
  </si>
  <si>
    <t>testDataCollection</t>
  </si>
  <si>
    <t>testRegisterUnregister</t>
  </si>
  <si>
    <t>testEvaluate</t>
  </si>
  <si>
    <t>testSetStroke1</t>
  </si>
  <si>
    <t>testMethods</t>
  </si>
  <si>
    <t>testGetLayoutDirection</t>
  </si>
  <si>
    <t>testAvoidXfermode</t>
  </si>
  <si>
    <t>testPixelXorXfermode</t>
  </si>
  <si>
    <t>testGetChangingConfigurations</t>
  </si>
  <si>
    <t>testEmojiZWJSequence</t>
  </si>
  <si>
    <t>testEmojiModifier</t>
  </si>
  <si>
    <t>testEmojiZeroWidthJoinerSequence</t>
  </si>
  <si>
    <t>testPseudorangeRateCorrected</t>
  </si>
  <si>
    <t>testColorStateList</t>
  </si>
  <si>
    <t>testOnDismissListener</t>
  </si>
  <si>
    <t>testClickAt_negativeX_shouldThrow</t>
  </si>
  <si>
    <t>testClickAt_negativeY_shouldThrow</t>
  </si>
  <si>
    <t>testLongClickAt_negativeX_shouldThrow</t>
  </si>
  <si>
    <t>testLongClickAt_negativeY_shouldThrow</t>
  </si>
  <si>
    <t>testZeroDurationSwipe_shouldThrow</t>
  </si>
  <si>
    <t>testNegativeDurationSwipe_shouldThrow</t>
  </si>
  <si>
    <t>testZeroLengthSwipe_shouldThrow</t>
  </si>
  <si>
    <t>testSwipe_negativeStartX_shouldThrow</t>
  </si>
  <si>
    <t>testSwipe_negativeStartY_shouldThrow</t>
  </si>
  <si>
    <t>testSwipe_negativeEndX_shouldThrow</t>
  </si>
  <si>
    <t>testSwipe_negativeEndY_shouldThrow</t>
  </si>
  <si>
    <t>testZeroDurationPinch_shouldBeNull</t>
  </si>
  <si>
    <t>testNegativeDurationPinch_shouldBeNull</t>
  </si>
  <si>
    <t>testZeroLengthPinch_shouldThrow</t>
  </si>
  <si>
    <t>testPinch_negativeCenterX_shouldThrow</t>
  </si>
  <si>
    <t>testPinch_negativeCenterY_shouldThrow</t>
  </si>
  <si>
    <t>testPinch_negativeStartSpacing_shouldThrow</t>
  </si>
  <si>
    <t>testPinch_negativeEndSpacing_shouldThrow</t>
  </si>
  <si>
    <t>testWifiMacAddr</t>
  </si>
  <si>
    <t>testMuteDndAffectedStreams</t>
  </si>
  <si>
    <t>testOpenExternalDirectory_invalidPath</t>
  </si>
  <si>
    <t>testOpenExternalDirectory_userRejects</t>
  </si>
  <si>
    <t>testOpenExternalDirectory_notAskedAgain</t>
  </si>
  <si>
    <t>testOpenExternalDirectory_deniesOnceButAllowsAskingAgain</t>
  </si>
  <si>
    <t>testOpenExternalDirectory_deniesOnceForAll</t>
  </si>
  <si>
    <t>testSchedulePeriodic</t>
  </si>
  <si>
    <t>testMediaserverDomain</t>
  </si>
  <si>
    <t>testGetBaseline</t>
  </si>
  <si>
    <t>testImageTint</t>
  </si>
  <si>
    <t>testSetText_setsMovementMethodWhenLinksClickableAndTextContainsClickableSpans</t>
  </si>
  <si>
    <t>testAppend_setsMovementMethodWhenLinksClickableAndTextContainsClickableSpans</t>
  </si>
  <si>
    <t>testAppend_setMovementMethodForExistingTextWhenLinksClickableIsTrueDuringAppend</t>
  </si>
  <si>
    <t>testListScrollAndSelect</t>
  </si>
  <si>
    <t>testTextEraseAndInput</t>
  </si>
  <si>
    <t>testSelectByContentDescription</t>
  </si>
  <si>
    <t>testSelectByText</t>
  </si>
  <si>
    <t>testSelectByIndex</t>
  </si>
  <si>
    <t>testSelectByInstance</t>
  </si>
  <si>
    <t>testSelectAfterContentChanged</t>
  </si>
  <si>
    <t>testDeviceSoftKeys</t>
  </si>
  <si>
    <t>testWaitForIdleTimeout</t>
  </si>
  <si>
    <t>testVerifyMenuClicks</t>
  </si>
  <si>
    <t>testSwipes</t>
  </si>
  <si>
    <t>testComplexSelectors</t>
  </si>
  <si>
    <t>testExceptionObjectNotFound</t>
  </si>
  <si>
    <t>testUiWatcher</t>
  </si>
  <si>
    <t>testSelectorChecked</t>
  </si>
  <si>
    <t>testSelectorClickable</t>
  </si>
  <si>
    <t>testSelectorFocusable</t>
  </si>
  <si>
    <t>testSelectorDescriptionContains</t>
  </si>
  <si>
    <t>testSelectorDescriptionStarts</t>
  </si>
  <si>
    <t>testSelectorEnabled</t>
  </si>
  <si>
    <t>testCollectionCount</t>
  </si>
  <si>
    <t>testCollectionGetChildByText</t>
  </si>
  <si>
    <t>testCollectionGetChildByInstance</t>
  </si>
  <si>
    <t>testCollectionGetChildByDescription</t>
  </si>
  <si>
    <t>testRotation</t>
  </si>
  <si>
    <t>testGetProductName</t>
  </si>
  <si>
    <t>testSelectByTextMatch</t>
  </si>
  <si>
    <t>testSelectByDescriptionMatch</t>
  </si>
  <si>
    <t>testSelectByClassMatch</t>
  </si>
  <si>
    <t>testSelectByClassType</t>
  </si>
  <si>
    <t>testGetVisibleBounds</t>
  </si>
  <si>
    <t>testSelectorLongClickable</t>
  </si>
  <si>
    <t>testSelectorLongClickableProperty</t>
  </si>
  <si>
    <t>testTakeScreenShots</t>
  </si>
  <si>
    <t>testSelectorResourceId</t>
  </si>
  <si>
    <t>testSelectorResourceIdMatches</t>
  </si>
  <si>
    <t>testPinchOut</t>
  </si>
  <si>
    <t>testPinchIn</t>
  </si>
  <si>
    <t>testDragToObject</t>
  </si>
  <si>
    <t>testDragToCoordinates</t>
  </si>
  <si>
    <t>testChangingFlags_shouldThrowException</t>
  </si>
  <si>
    <t>test_isCommandSecure</t>
  </si>
  <si>
    <t>test_setMasterMute</t>
  </si>
  <si>
    <t>test_setMasterVolume</t>
  </si>
  <si>
    <t>test_listAudioPorts</t>
  </si>
  <si>
    <t>test_listAudioPatches</t>
  </si>
  <si>
    <t>test_createEffect</t>
  </si>
  <si>
    <t>test_getInputBufferSize</t>
  </si>
  <si>
    <t>test_startOutput</t>
  </si>
  <si>
    <t>test_stopOutput</t>
  </si>
  <si>
    <t>test_isStreamActive</t>
  </si>
  <si>
    <t>test_isStreamActiveRemotely</t>
  </si>
  <si>
    <t>test_startAudioSource</t>
  </si>
  <si>
    <t>test_attachBufferInfoLeak</t>
  </si>
  <si>
    <t>test_queueBufferInfoLeak</t>
  </si>
  <si>
    <t>testLoadLibrary</t>
  </si>
  <si>
    <t>testMyJni</t>
  </si>
  <si>
    <t>testCheckAccessSane</t>
  </si>
  <si>
    <t>testCheckContextSane</t>
  </si>
  <si>
    <t>testZygoteContext</t>
  </si>
  <si>
    <t>testZygote</t>
  </si>
  <si>
    <t>testOnAttachedToWindow</t>
  </si>
  <si>
    <t>testOnCommitCompletion</t>
  </si>
  <si>
    <t>testOnKeyPreIme</t>
  </si>
  <si>
    <t>testOnLayout</t>
  </si>
  <si>
    <t>testAddLinks_partiallyMatchesUrlWithInvalidRequestParameter</t>
  </si>
  <si>
    <t>testPrintSettingsChangeViaCustomPrintOptions</t>
  </si>
  <si>
    <t>testConnectionPutExtras</t>
  </si>
  <si>
    <t>testConnectionRemoveExtras</t>
  </si>
  <si>
    <t>testCallPutExtras</t>
  </si>
  <si>
    <t>testCallRemoveExtras</t>
  </si>
  <si>
    <t>testConnectionEvent</t>
  </si>
  <si>
    <t>testCallEvent</t>
  </si>
  <si>
    <t>testConferenceProperties</t>
  </si>
  <si>
    <t>testConferencePutExtras</t>
  </si>
  <si>
    <t>testConferenceRemoveExtras</t>
  </si>
  <si>
    <t>testConferenceOnExtraschanged</t>
  </si>
  <si>
    <t>testSetAndGetConnectionProperties</t>
  </si>
  <si>
    <t>testPutExtras</t>
  </si>
  <si>
    <t>testRemoveExtras</t>
  </si>
  <si>
    <t>testSendConnectionEvent</t>
  </si>
  <si>
    <t>testPropertiesToString</t>
  </si>
  <si>
    <t>testPullExternalCall</t>
  </si>
  <si>
    <t>testNonPullableExternalCall</t>
  </si>
  <si>
    <t>testRemoteConferenceCallbacks_ConnectionProperties</t>
  </si>
  <si>
    <t>testRemoteConnectionCallbacks_ConnectionProperties</t>
  </si>
  <si>
    <t>testRemoteConnectionCallbacks_ConnectionEvent</t>
  </si>
  <si>
    <t>testRemoteConnectionCallbacks_PullExternalCall</t>
  </si>
  <si>
    <t>testIsUserAddedCert</t>
  </si>
  <si>
    <t>testToggle</t>
  </si>
  <si>
    <t>testSubsequentRemoteBugreportThrottled</t>
  </si>
  <si>
    <t>testRemoteBugreportWithSingleUser</t>
  </si>
  <si>
    <t>testOnDraw</t>
  </si>
  <si>
    <t>testOnCreateDrawableState</t>
  </si>
  <si>
    <t>testParse_detailOnly</t>
  </si>
  <si>
    <t>testCreateAndDestroy</t>
  </si>
  <si>
    <t>testKill</t>
  </si>
  <si>
    <t>testRuntimeGroupGrantSpecificity</t>
  </si>
  <si>
    <t>testRuntimeGroupGrantExpansion</t>
  </si>
  <si>
    <t>testAllocateJavaPixelRefIntOverflow</t>
  </si>
  <si>
    <t>test_android_bug_17262540</t>
  </si>
  <si>
    <t>test_android_bug_17265466</t>
  </si>
  <si>
    <t>testClearProfileOwner</t>
  </si>
  <si>
    <t>testOnlyRequestedPermissionsGranted24</t>
  </si>
  <si>
    <t>testSetDynamicShortcuts</t>
  </si>
  <si>
    <t>testShortcutInfoMissingMandatoryFields</t>
  </si>
  <si>
    <t>testSpoofingPublisher</t>
  </si>
  <si>
    <t>testSpoofingLauncher</t>
  </si>
  <si>
    <t>testPublisherSpoofing</t>
  </si>
  <si>
    <t>testLauncherSpoofing</t>
  </si>
  <si>
    <t>testThrottled_setDynamicShortcuts</t>
  </si>
  <si>
    <t>testNotThrottled_delete</t>
  </si>
  <si>
    <t>testNotThrottled_getShortcuts</t>
  </si>
  <si>
    <t>testNotThrottled_misc</t>
  </si>
  <si>
    <t>testForceCompile_noProfileAvailable</t>
  </si>
  <si>
    <t>testFileLockWithMultipleProcess</t>
  </si>
  <si>
    <t>testFileLockWithSingleProcess</t>
  </si>
  <si>
    <t>testH264TextureViewVideoDecode</t>
  </si>
  <si>
    <t>testH264TextureViewLargerHeightVideoDecode</t>
  </si>
  <si>
    <t>testH264TextureViewLargerWidthVideoDecode</t>
  </si>
  <si>
    <t>testVP9TextureViewVideoDecode</t>
  </si>
  <si>
    <t>testVP9TextureViewLargerHeightVideoDecode</t>
  </si>
  <si>
    <t>testVP9TextureViewLargerWidthVideoDecode</t>
  </si>
  <si>
    <t>testPointerCapture</t>
  </si>
  <si>
    <t>testInKeyguardRestrictedInputMode</t>
  </si>
  <si>
    <t>testExitKeyguardSecurely</t>
  </si>
  <si>
    <t>testRestartPackage</t>
  </si>
  <si>
    <t>testShader</t>
  </si>
  <si>
    <t>testDisplayDriver_cve_2015_6634</t>
  </si>
  <si>
    <t>testCreateAndManageEphemeralUser</t>
  </si>
  <si>
    <t>testCreateAndManageEphemeralUserFails</t>
  </si>
  <si>
    <t>testCreateAndManageUser_SkipSetupWizard</t>
  </si>
  <si>
    <t>testCreateAndManageUser_DontSkipSetupWizard</t>
  </si>
  <si>
    <t>testCreateAndManageUser_AddRestrictionSet</t>
  </si>
  <si>
    <t>testCreateAndManageUser_RemoveRestrictionSet</t>
  </si>
  <si>
    <t>testApkInstall</t>
  </si>
  <si>
    <t>testForceCompile_noProfile</t>
  </si>
  <si>
    <t>testForceCompile_refProfile</t>
  </si>
  <si>
    <t>testForceCompile_curAndRefProfile</t>
  </si>
  <si>
    <t>testCreateAndManageEphemeralUserFailsWithoutSplitSystemUser</t>
  </si>
  <si>
    <t>testLocal</t>
  </si>
  <si>
    <t>testDontGrantDontRequest</t>
  </si>
  <si>
    <t>testDontGrantRequestRead</t>
  </si>
  <si>
    <t>testDontGrantRequestWrite</t>
  </si>
  <si>
    <t>testGrantReadDontRequest</t>
  </si>
  <si>
    <t>testGrantReadRequestRead</t>
  </si>
  <si>
    <t>testGrantReadRequestWrite</t>
  </si>
  <si>
    <t>testGrantWriteDontRequest</t>
  </si>
  <si>
    <t>testGrantWriteRequestRead</t>
  </si>
  <si>
    <t>testGrantWriteRequestWrite</t>
  </si>
  <si>
    <t>testGrantReadPrefixRequestReadNested</t>
  </si>
  <si>
    <t>testGrantReadNoPrefixRequestReadNested</t>
  </si>
  <si>
    <t>testGrantPersistableRequestTakePersistable</t>
  </si>
  <si>
    <t>testGrantReadRequestTakePersistable</t>
  </si>
  <si>
    <t>testH264ColorAspectsOther</t>
  </si>
  <si>
    <t>testSetCurrentPlayTimeAfterStart</t>
  </si>
  <si>
    <t>testAddFilters</t>
  </si>
  <si>
    <t>testHiFiSensorsAreSupported</t>
  </si>
  <si>
    <t>testH2640320x0240Other</t>
  </si>
  <si>
    <t>testH2640320x0240Goog</t>
  </si>
  <si>
    <t>testH2640720x0480Other</t>
  </si>
  <si>
    <t>testH2640720x0480Goog</t>
  </si>
  <si>
    <t>testH2641280x0720Other</t>
  </si>
  <si>
    <t>testH2641280x0720Goog</t>
  </si>
  <si>
    <t>testH2641920x1080Other</t>
  </si>
  <si>
    <t>testH2641920x1080Goog</t>
  </si>
  <si>
    <t>testVP80320x0240Other</t>
  </si>
  <si>
    <t>testVP80320x0240Goog</t>
  </si>
  <si>
    <t>testVP80640x0360Other</t>
  </si>
  <si>
    <t>testVP80640x0360Goog</t>
  </si>
  <si>
    <t>testVP81280x0720Other</t>
  </si>
  <si>
    <t>testVP81280x0720Goog</t>
  </si>
  <si>
    <t>testVP81920x1080Other</t>
  </si>
  <si>
    <t>testVP81920x1080Goog</t>
  </si>
  <si>
    <t>testVP90320x0240Other</t>
  </si>
  <si>
    <t>testVP90320x0240Goog</t>
  </si>
  <si>
    <t>testVP90640x0360Other</t>
  </si>
  <si>
    <t>testVP90640x0360Goog</t>
  </si>
  <si>
    <t>testVP91280x0720Other</t>
  </si>
  <si>
    <t>testVP91280x0720Goog</t>
  </si>
  <si>
    <t>testVP91920x1080Other</t>
  </si>
  <si>
    <t>testVP91920x1080Goog</t>
  </si>
  <si>
    <t>testVP93840x2160Other</t>
  </si>
  <si>
    <t>testVP93840x2160Goog</t>
  </si>
  <si>
    <t>testHEVC0352x0288Other</t>
  </si>
  <si>
    <t>testHEVC0352x0288Goog</t>
  </si>
  <si>
    <t>testHEVC0640x0360Other</t>
  </si>
  <si>
    <t>testHEVC0640x0360Goog</t>
  </si>
  <si>
    <t>testHEVC1280x0720Other</t>
  </si>
  <si>
    <t>testHEVC1280x0720Goog</t>
  </si>
  <si>
    <t>testHEVC1920x1080Other</t>
  </si>
  <si>
    <t>testHEVC1920x1080Goog</t>
  </si>
  <si>
    <t>testHEVC3840x2160Other</t>
  </si>
  <si>
    <t>testHEVC3840x2160Goog</t>
  </si>
  <si>
    <t>testH2630176x0144Other</t>
  </si>
  <si>
    <t>testH2630176x0144Goog</t>
  </si>
  <si>
    <t>testH2630352x0288Other</t>
  </si>
  <si>
    <t>testH2630352x0288Goog</t>
  </si>
  <si>
    <t>testMPEG40176x0144Other</t>
  </si>
  <si>
    <t>testMPEG40176x0144Goog</t>
  </si>
  <si>
    <t>testMPEG40480x0360Other</t>
  </si>
  <si>
    <t>testMPEG40480x0360Goog</t>
  </si>
  <si>
    <t>testMPEG41280x0720Other</t>
  </si>
  <si>
    <t>testMPEG41280x0720Goog</t>
  </si>
  <si>
    <t>testAvc0320x0240Other</t>
  </si>
  <si>
    <t>testAvc0320x0240Goog</t>
  </si>
  <si>
    <t>testAvc0720x0480Other</t>
  </si>
  <si>
    <t>testAvc0720x0480Goog</t>
  </si>
  <si>
    <t>testAvc1280x0720Other</t>
  </si>
  <si>
    <t>testAvc1280x0720Goog</t>
  </si>
  <si>
    <t>testAvc1920x1080Other</t>
  </si>
  <si>
    <t>testAvc1920x1080Goog</t>
  </si>
  <si>
    <t>testVp80320x0180Other</t>
  </si>
  <si>
    <t>testVp80320x0180Goog</t>
  </si>
  <si>
    <t>testVp80640x0360Other</t>
  </si>
  <si>
    <t>testVp80640x0360Goog</t>
  </si>
  <si>
    <t>testVp81280x0720Other</t>
  </si>
  <si>
    <t>testVp81280x0720Goog</t>
  </si>
  <si>
    <t>testVp81920x1080Other</t>
  </si>
  <si>
    <t>testVp81920x1080Goog</t>
  </si>
  <si>
    <t>testMpeg40176x0144Other</t>
  </si>
  <si>
    <t>testMpeg40176x0144Goog</t>
  </si>
  <si>
    <t>testMpeg40352x0288Other</t>
  </si>
  <si>
    <t>testMpeg40352x0288Goog</t>
  </si>
  <si>
    <t>testMpeg40640x0480Other</t>
  </si>
  <si>
    <t>testMpeg40640x0480Goog</t>
  </si>
  <si>
    <t>testMpeg41280x0720Other</t>
  </si>
  <si>
    <t>testMpeg41280x0720Goog</t>
  </si>
  <si>
    <t>testHevc0320x0240Other</t>
  </si>
  <si>
    <t>testHevc0320x0240Goog</t>
  </si>
  <si>
    <t>testHevc0720x0480Other</t>
  </si>
  <si>
    <t>testHevc0720x0480Goog</t>
  </si>
  <si>
    <t>testHevc1280x0720Other</t>
  </si>
  <si>
    <t>testHevc1280x0720Goog</t>
  </si>
  <si>
    <t>testHevc1920x1080Other</t>
  </si>
  <si>
    <t>testHevc1920x1080Goog</t>
  </si>
  <si>
    <t>testHevc3840x2160Other</t>
  </si>
  <si>
    <t>testHevc3840x2160Goog</t>
  </si>
  <si>
    <t>testSetHighlightColor</t>
  </si>
  <si>
    <t>testCaCertManagement</t>
  </si>
  <si>
    <t>testTransform2</t>
  </si>
  <si>
    <t>testIncReserve</t>
  </si>
  <si>
    <t>testOffset2</t>
  </si>
  <si>
    <t>testConstractor</t>
  </si>
  <si>
    <t>testSaveAndRestoreInstanceState</t>
  </si>
  <si>
    <t>testBeginEndBatchEdit</t>
  </si>
  <si>
    <t>testStoreAndRemove</t>
  </si>
  <si>
    <t>testGetSuperState</t>
  </si>
  <si>
    <t>testNullOk</t>
  </si>
  <si>
    <t>testNotFeasibleSetters</t>
  </si>
  <si>
    <t>testLayoutChildren</t>
  </si>
  <si>
    <t>testGenerateDefaultLayoutParams</t>
  </si>
  <si>
    <t>testUnsupportedMethods</t>
  </si>
  <si>
    <t>testOnSizeChanged</t>
  </si>
  <si>
    <t>testSetDropDownViewResouce</t>
  </si>
  <si>
    <t>testSetAnimationDuration</t>
  </si>
  <si>
    <t>testShowContextMenuForChild</t>
  </si>
  <si>
    <t>testShowContextMenu</t>
  </si>
  <si>
    <t>testOnFinishInflate</t>
  </si>
  <si>
    <t>testOnFocusChanged</t>
  </si>
  <si>
    <t>testSetAdapter</t>
  </si>
  <si>
    <t>testDrawableStateChanged</t>
  </si>
  <si>
    <t>testExecuteKeyEvent</t>
  </si>
  <si>
    <t>testOnRequestFocusInDescendants</t>
  </si>
  <si>
    <t>testOnInterceptTouchEvent</t>
  </si>
  <si>
    <t>testOnSizeChange</t>
  </si>
  <si>
    <t>testStrictModeNotViolatedOnStartup</t>
  </si>
  <si>
    <t>testOnTouchModeChanged</t>
  </si>
  <si>
    <t>testDispatchWindowFocusChanged</t>
  </si>
  <si>
    <t>testOnAttachedToAndDetachedFromWindow</t>
  </si>
  <si>
    <t>testOnFocusChange</t>
  </si>
  <si>
    <t>testInstanceState</t>
  </si>
  <si>
    <t>testGetTextColors</t>
  </si>
  <si>
    <t>testOnKeyShortcut</t>
  </si>
  <si>
    <t>testOnPreDraw</t>
  </si>
  <si>
    <t>testOnCreateContextMenu</t>
  </si>
  <si>
    <t>testOnTextChanged</t>
  </si>
  <si>
    <t>testOnPrivateIMECommand</t>
  </si>
  <si>
    <t>testSetText1</t>
  </si>
  <si>
    <t>testSetText2</t>
  </si>
  <si>
    <t>testPlayVideo1</t>
  </si>
  <si>
    <t>testDeviceTreeCpuCurrent</t>
  </si>
  <si>
    <t>testOnKeyUp</t>
  </si>
  <si>
    <t>testContentUri</t>
  </si>
  <si>
    <t>testMimeType</t>
  </si>
  <si>
    <t>testDispatchOnGlobalLayout</t>
  </si>
  <si>
    <t>testDispatchOnPreDraw</t>
  </si>
  <si>
    <t>testInflate4</t>
  </si>
  <si>
    <t>testInflateFromXml</t>
  </si>
  <si>
    <t>testHeapCorruption</t>
  </si>
  <si>
    <t>testRouteInfo_getDeviceType</t>
  </si>
  <si>
    <t>testGetMatch1</t>
  </si>
  <si>
    <t>testInflateError</t>
  </si>
  <si>
    <t>testCloseAllPanels</t>
  </si>
  <si>
    <t>testPerformMethods</t>
  </si>
  <si>
    <t>testKeepHierarchyState</t>
  </si>
  <si>
    <t>testSetChild</t>
  </si>
  <si>
    <t>testSetFeature</t>
  </si>
  <si>
    <t>testSuperDispatchEvent</t>
  </si>
  <si>
    <t>testOnConfigurationChanged</t>
  </si>
  <si>
    <t>testRequestFeature</t>
  </si>
  <si>
    <t>testFinalMethod</t>
  </si>
  <si>
    <t>testOnSaveAndRestoreInstanceState</t>
  </si>
  <si>
    <t>testSetSynchronized</t>
  </si>
  <si>
    <t>testNoPrintOptionsOrPrinterChange</t>
  </si>
  <si>
    <t>testNoPrintOptionsOrPrinterChangeCanceled</t>
  </si>
  <si>
    <t>testNonCallingBackWrite</t>
  </si>
  <si>
    <t>testPrintOptionsChangeAndNoPrinterChange</t>
  </si>
  <si>
    <t>testPrintOptionsChangeAndPrinterChange</t>
  </si>
  <si>
    <t>testPrintOptionsChangeAndNoPrinterChangeAndContentChange</t>
  </si>
  <si>
    <t>testNewPrinterSupportsSelectedPrintOptions</t>
  </si>
  <si>
    <t>testNothingChangesAllPagesWrittenFirstTime</t>
  </si>
  <si>
    <t>testCancelLongRunningLayout</t>
  </si>
  <si>
    <t>testCancelLongRunningWrite</t>
  </si>
  <si>
    <t>testFailedLayout</t>
  </si>
  <si>
    <t>testFailedWrite</t>
  </si>
  <si>
    <t>testUnexpectedLayoutCancel</t>
  </si>
  <si>
    <t>testUnexpectedWriteCancel</t>
  </si>
  <si>
    <t>testRequestedPagesNotWritten</t>
  </si>
  <si>
    <t>testLayoutCallbackNotCalled</t>
  </si>
  <si>
    <t>testWriteCallbackNotCalled</t>
  </si>
  <si>
    <t>testLayoutCallbackCalledTwice</t>
  </si>
  <si>
    <t>testWriteCallbackCalledTwice</t>
  </si>
  <si>
    <t>testNotEnoughPages</t>
  </si>
  <si>
    <t>testDocumentInfoNothingSet</t>
  </si>
  <si>
    <t>testDocumentInfoUnknownPageCount</t>
  </si>
  <si>
    <t>testDocumentInfoZeroPageCount</t>
  </si>
  <si>
    <t>testDocumentInfoOnePageCount</t>
  </si>
  <si>
    <t>testDocumentInfoThreePageCount</t>
  </si>
  <si>
    <t>testDocumentInfoContentTypePhoto</t>
  </si>
  <si>
    <t>testDocumentInfoContentTypeUnknown</t>
  </si>
  <si>
    <t>testDocumentInfoContentTypeNonDefined</t>
  </si>
  <si>
    <t>testProgress</t>
  </si>
  <si>
    <t>testPrinterInfos</t>
  </si>
  <si>
    <t>testEmptyString</t>
  </si>
  <si>
    <t>testIllegalValues</t>
  </si>
  <si>
    <t>testThrottling</t>
  </si>
  <si>
    <t>testCompareNullFailure</t>
  </si>
  <si>
    <t>testAddLinks6</t>
  </si>
  <si>
    <t>testOnCreate</t>
  </si>
  <si>
    <t>testGetTransformationWithAbmornalOriginal</t>
  </si>
  <si>
    <t>testOnTakeFocusWithNullParameters</t>
  </si>
  <si>
    <t>testOnTouchEventWithNullParameters</t>
  </si>
  <si>
    <t>testDrawLeadingMarginFailure</t>
  </si>
  <si>
    <t>testReplacementSpan</t>
  </si>
  <si>
    <t>testParagraphs</t>
  </si>
  <si>
    <t>testWithEmoji</t>
  </si>
  <si>
    <t>testHSVToColor1</t>
  </si>
  <si>
    <t>testHSVToColor2</t>
  </si>
  <si>
    <t>testCanvas1</t>
  </si>
  <si>
    <t>testCanvas2</t>
  </si>
  <si>
    <t>testDrawBitmap1</t>
  </si>
  <si>
    <t>testDrawBitmap2</t>
  </si>
  <si>
    <t>testDrawBitmap3</t>
  </si>
  <si>
    <t>testDrawBitmap4</t>
  </si>
  <si>
    <t>testDrawBitmap6</t>
  </si>
  <si>
    <t>testDrawText1</t>
  </si>
  <si>
    <t>testDrawText3</t>
  </si>
  <si>
    <t>testDrawPosText1</t>
  </si>
  <si>
    <t>testDrawPosText2</t>
  </si>
  <si>
    <t>testDrawTextOnPath1</t>
  </si>
  <si>
    <t>testDrawTextOnPath2</t>
  </si>
  <si>
    <t>testMapVectors2</t>
  </si>
  <si>
    <t>testGetTextPath1</t>
  </si>
  <si>
    <t>testGetTextPath2</t>
  </si>
  <si>
    <t>testGetRunAdvance_invalidArguments</t>
  </si>
  <si>
    <t>testGetOffsetForAdvance_invalidArguments</t>
  </si>
  <si>
    <t>testRMoveTo</t>
  </si>
  <si>
    <t>testCreateFromFile1</t>
  </si>
  <si>
    <t>testErrors</t>
  </si>
  <si>
    <t>testGetHistoricalX</t>
  </si>
  <si>
    <t>testGetHistoricalY</t>
  </si>
  <si>
    <t>testGetHistoricalSize</t>
  </si>
  <si>
    <t>testGetHistoricalPressure</t>
  </si>
  <si>
    <t>testGetHistoricalEventTime</t>
  </si>
  <si>
    <t>testCreateAbiFlag</t>
  </si>
  <si>
    <t>testCreateId</t>
  </si>
  <si>
    <t>testParseId</t>
  </si>
  <si>
    <t>testParseName</t>
  </si>
  <si>
    <t>testParseAbi</t>
  </si>
  <si>
    <t>test_tryLock</t>
  </si>
  <si>
    <t>test_tryLockJJZ_Exclusive</t>
  </si>
  <si>
    <t>test_tryLockJJZ_Shared</t>
  </si>
  <si>
    <t>test_lock</t>
  </si>
  <si>
    <t>test_lockJJZ_Exclusive</t>
  </si>
  <si>
    <t>test_lockJJZ_Shared</t>
  </si>
  <si>
    <t>testSetSoTimeout_readTimeout</t>
  </si>
  <si>
    <t>testSetSoTimeout_writeTimeout</t>
  </si>
  <si>
    <t>testInvalidMidiNullPointerAccess</t>
  </si>
  <si>
    <t>testIsShiftPressed</t>
  </si>
  <si>
    <t>testIsSymPressed</t>
  </si>
  <si>
    <t>testIsAltPressed</t>
  </si>
  <si>
    <t>testWifi</t>
  </si>
  <si>
    <t>testWebViewDatabaseAccessHttpAuthUsernamePassword</t>
  </si>
  <si>
    <t>testCollectDeviceInfo</t>
  </si>
  <si>
    <t>testExtendedDeviceInfo</t>
  </si>
  <si>
    <t>testEmptyGeneration</t>
  </si>
  <si>
    <t>testSinglePass</t>
  </si>
  <si>
    <t>testSingleFail</t>
  </si>
  <si>
    <t>testIncludeTestLogTags</t>
  </si>
  <si>
    <t>testDeviceSetup</t>
  </si>
  <si>
    <t>testFeatures</t>
  </si>
  <si>
    <t>testProcesses</t>
  </si>
  <si>
    <t>testOpenGlTextureFormats</t>
  </si>
  <si>
    <t>testSystemLibraries</t>
  </si>
  <si>
    <t>testPopulateMetrics_combinedSerial</t>
  </si>
  <si>
    <t>testPopulateMetrics_verify</t>
  </si>
  <si>
    <t>testTestLogType_fromDataName</t>
  </si>
  <si>
    <t>testTestLogType_getAttrValue</t>
  </si>
  <si>
    <t>testFromDataName</t>
  </si>
  <si>
    <t>testFromDataName_unrecognizedDataName</t>
  </si>
  <si>
    <t>testFromDataName_nullDataName</t>
  </si>
  <si>
    <t>testFromDataName_nullUrl</t>
  </si>
  <si>
    <t>testFromDataName_allNull</t>
  </si>
  <si>
    <t>testFromXml</t>
  </si>
  <si>
    <t>testFromXml_unrecognizedType</t>
  </si>
  <si>
    <t>testFromXml_noTypeAttribute</t>
  </si>
  <si>
    <t>testFromXml_noUrlAttribute</t>
  </si>
  <si>
    <t>testFromXml_allNull</t>
  </si>
  <si>
    <t>testIsTag</t>
  </si>
  <si>
    <t>testGetTestsWithStatus</t>
  </si>
  <si>
    <t>testParse_empty</t>
  </si>
  <si>
    <t>testParse_package</t>
  </si>
  <si>
    <t>testParse_corrupt</t>
  </si>
  <si>
    <t>testParse_test</t>
  </si>
  <si>
    <t>testParse_missing</t>
  </si>
  <si>
    <t>testGetFailureMessageFromStackTrace_empty</t>
  </si>
  <si>
    <t>testGetFailureMessageFromStackTrace_oneLine</t>
  </si>
  <si>
    <t>testGetFailureMessageFromStackTrace_oneNewLine</t>
  </si>
  <si>
    <t>testGetFailureMessageFromStackTrace_twoLines</t>
  </si>
  <si>
    <t>testGetFailureMessageFromStackTrace_multiLines</t>
  </si>
  <si>
    <t>testRun_plan</t>
  </si>
  <si>
    <t>testRun_package</t>
  </si>
  <si>
    <t>testRun_resume</t>
  </si>
  <si>
    <t>testRun_class</t>
  </si>
  <si>
    <t>testRun_test</t>
  </si>
  <si>
    <t>testRun_excludedPackage</t>
  </si>
  <si>
    <t>testRun_continueSession</t>
  </si>
  <si>
    <t>testRun_nothingToRun</t>
  </si>
  <si>
    <t>testRun_packagePlan</t>
  </si>
  <si>
    <t>testRun_planClass</t>
  </si>
  <si>
    <t>testRun_packageClass</t>
  </si>
  <si>
    <t>testRun_planPackageClass</t>
  </si>
  <si>
    <t>testRun_planContinue</t>
  </si>
  <si>
    <t>testJoin</t>
  </si>
  <si>
    <t>testSingleJoin</t>
  </si>
  <si>
    <t>testEmptyJoin</t>
  </si>
  <si>
    <t>testRun_multipleTests</t>
  </si>
  <si>
    <t>testRun_unexecutableTests</t>
  </si>
  <si>
    <t>testRun_queryPmListFailure</t>
  </si>
  <si>
    <t>testRun_queryRenderabilityFailure</t>
  </si>
  <si>
    <t>testRun_require30DeviceVersion20</t>
  </si>
  <si>
    <t>testRun_require31DeviceVersion20</t>
  </si>
  <si>
    <t>testRun_require30DeviceVersion30</t>
  </si>
  <si>
    <t>testRun_require31DeviceVersion30</t>
  </si>
  <si>
    <t>testRun_require30DeviceVersion31</t>
  </si>
  <si>
    <t>testRun_require31DeviceVersion31</t>
  </si>
  <si>
    <t>testRun_resultPass</t>
  </si>
  <si>
    <t>testRun_resultFail</t>
  </si>
  <si>
    <t>testRun_resultNotSupported</t>
  </si>
  <si>
    <t>testRun_resultQualityWarning</t>
  </si>
  <si>
    <t>testRun_resultCompatibilityWarning</t>
  </si>
  <si>
    <t>testRun_resultResourceError</t>
  </si>
  <si>
    <t>testRun_resultInternalError</t>
  </si>
  <si>
    <t>testRun_resultCrash</t>
  </si>
  <si>
    <t>testRun_resultTimeout</t>
  </si>
  <si>
    <t>testRun_orientationLandscape</t>
  </si>
  <si>
    <t>testRun_orientationPortrait</t>
  </si>
  <si>
    <t>testRun_orientationReverseLandscape</t>
  </si>
  <si>
    <t>testRun_orientationReversePortrait</t>
  </si>
  <si>
    <t>testRun_orientationUnspecified</t>
  </si>
  <si>
    <t>testRun_orientationUnspecifiedLimitedFeatures</t>
  </si>
  <si>
    <t>testRun_orientationLandscapeLimitedFeatures</t>
  </si>
  <si>
    <t>testRun_orientationPortraitLimitedFeatures</t>
  </si>
  <si>
    <t>testRun_unsupportedPixelFormat</t>
  </si>
  <si>
    <t>testRun_sessionInfoValueMissing</t>
  </si>
  <si>
    <t>testRun_resultEventTypeMissing</t>
  </si>
  <si>
    <t>testRun_testCasePathInterrupted</t>
  </si>
  <si>
    <t>testRun_testCasePathMissing</t>
  </si>
  <si>
    <t>testRun_multipleInstances</t>
  </si>
  <si>
    <t>testRun_multipleInstancesLossOfDeviceMidInstance</t>
  </si>
  <si>
    <t>testRun_multipleInstancesLossOfDeviceMidInstanceAndRecovery</t>
  </si>
  <si>
    <t>testRecovery_NoEvents</t>
  </si>
  <si>
    <t>testRecovery_AllOk</t>
  </si>
  <si>
    <t>testRecovery_OneConnectionFailureBegin</t>
  </si>
  <si>
    <t>testRecovery_TwoConnectionFailuresBegin</t>
  </si>
  <si>
    <t>testRecovery_ThreeConnectionFailuresBegin</t>
  </si>
  <si>
    <t>testRecovery_OneConnectionFailureMid</t>
  </si>
  <si>
    <t>testRecovery_TwoConnectionFailuresMid</t>
  </si>
  <si>
    <t>testRecovery_ThreeConnectionFailuresMid</t>
  </si>
  <si>
    <t>testRecovery_OneLinkFailureBegin</t>
  </si>
  <si>
    <t>testRecovery_TwoLinkFailuresBegin</t>
  </si>
  <si>
    <t>testRecovery_ThreeLinkFailuresBegin</t>
  </si>
  <si>
    <t>testRecovery_FourLinkFailuresBegin</t>
  </si>
  <si>
    <t>testRecovery_OneLinkFailureMid</t>
  </si>
  <si>
    <t>testRecovery_TwoLinkFailuresMid</t>
  </si>
  <si>
    <t>testRecovery_ThreeLinkFailuresMid</t>
  </si>
  <si>
    <t>testRecovery_FourLinkFailuresMid</t>
  </si>
  <si>
    <t>testRecovery_MixedFailuresProgressBetween</t>
  </si>
  <si>
    <t>testRecovery_MixedFailuresNoProgressBetween</t>
  </si>
  <si>
    <t>testRecovery_unkillableProcess</t>
  </si>
  <si>
    <t>testInterrupt_killBeforeBatch</t>
  </si>
  <si>
    <t>testInterrupt_killReportTestFailed</t>
  </si>
  <si>
    <t>testGetGTestFilters</t>
  </si>
  <si>
    <t>testGetGTestFiltersPositiveOnly</t>
  </si>
  <si>
    <t>testGetGTestFiltersNegativeOnly</t>
  </si>
  <si>
    <t>testGetGTestFiltersWithNoFilters</t>
  </si>
  <si>
    <t>testRun</t>
  </si>
  <si>
    <t>testFilter_empty</t>
  </si>
  <si>
    <t>testFilter_excludeTest</t>
  </si>
  <si>
    <t>testFilter_excludeClass</t>
  </si>
  <si>
    <t>testFilter_includeClass</t>
  </si>
  <si>
    <t>testFilter_includeTest</t>
  </si>
  <si>
    <t>testFilter_includeClasses</t>
  </si>
  <si>
    <t>testFilter_includeTests</t>
  </si>
  <si>
    <t>testFilter_includeAndExcludeClasses</t>
  </si>
  <si>
    <t>testFilter_includeAndExcludeTests</t>
  </si>
  <si>
    <t>testFilter_includeTestAndExcludeClass</t>
  </si>
  <si>
    <t>testFilter_includeClassAndExcludeTest</t>
  </si>
  <si>
    <t>testFilter_includeClassAndExcludeTests</t>
  </si>
  <si>
    <t>testGenerateDigest</t>
  </si>
  <si>
    <t>testParse_instrPackage</t>
  </si>
  <si>
    <t>testParse_hostTest</t>
  </si>
  <si>
    <t>testParse_hostTest_noKnownFailures</t>
  </si>
  <si>
    <t>testParse_badHostTest</t>
  </si>
  <si>
    <t>testParse_vmHostTest</t>
  </si>
  <si>
    <t>testParse_nativeTest</t>
  </si>
  <si>
    <t>testParse_noData</t>
  </si>
  <si>
    <t>testParse_instancedMultiple</t>
  </si>
  <si>
    <t>testParse_instancedSingle</t>
  </si>
  <si>
    <t>testParse_instancedEmptys</t>
  </si>
  <si>
    <t>testParse_instancedNoInstances</t>
  </si>
  <si>
    <t>testParse_exclude</t>
  </si>
  <si>
    <t>testParse_multiExclude</t>
  </si>
  <si>
    <t>testParse_classExclude</t>
  </si>
  <si>
    <t>testSerialize_empty</t>
  </si>
  <si>
    <t>testSerialize_packages</t>
  </si>
  <si>
    <t>testSerialize_multiExclude</t>
  </si>
  <si>
    <t>testGetRawGTestOutput_valid</t>
  </si>
  <si>
    <t>testGetRawGTestOutput_invalid</t>
  </si>
  <si>
    <t>testCarNotSupportedException</t>
  </si>
  <si>
    <t>testManufacturer</t>
  </si>
  <si>
    <t>testNoSuchInfo</t>
  </si>
  <si>
    <t>testHideSoftKeyboard_shouldHideAndShowKeyboardOnRequest</t>
  </si>
  <si>
    <t>testHideSoftKeyboard_shouldHideKeyboardUntilServiceIsDisabled</t>
  </si>
  <si>
    <t>testEllipsizeEndAndNoEllipsizeHasSameBaselineForSingleLine</t>
  </si>
  <si>
    <t>testEllipsizeEndAndNoEllipsizeHasSameBaselineForMultiLine</t>
  </si>
  <si>
    <t>testDelegatedCertInstaller</t>
  </si>
  <si>
    <t>testSingleToHalf</t>
  </si>
  <si>
    <t>testHalfToSingle</t>
  </si>
  <si>
    <t>testHexString</t>
  </si>
  <si>
    <t>testUpdateChannel</t>
  </si>
  <si>
    <t>testUpdateChannelDoesNotExist</t>
  </si>
  <si>
    <t>testonInputBufferFilledSigsegv</t>
  </si>
  <si>
    <t>testDebugAuthWithoutUnlock</t>
  </si>
  <si>
    <t>testGetCurrentSizeRange</t>
  </si>
  <si>
    <t>testIsPrepared</t>
  </si>
  <si>
    <t>testIsNotPrepared</t>
  </si>
  <si>
    <t>testEnableBluetoothFailsWhenDisallowed</t>
  </si>
  <si>
    <t>testBluetoothGetsDisabledAfterRestrictionSet</t>
  </si>
  <si>
    <t>testEnableBluetoothSucceedsAfterRestrictionRemoved</t>
  </si>
  <si>
    <t>testBluetoothRestriction</t>
  </si>
  <si>
    <t>testAddAccountExplicitlyWithUid</t>
  </si>
  <si>
    <t>testHelpExists</t>
  </si>
  <si>
    <t>testAddLayer1</t>
  </si>
  <si>
    <t>testAddLayer2</t>
  </si>
  <si>
    <t>testAccessRasterizer</t>
  </si>
  <si>
    <t>testGetRasterizer</t>
  </si>
  <si>
    <t>testUpdateDrawState</t>
  </si>
  <si>
    <t>testUpdateDrawStateNull</t>
  </si>
  <si>
    <t>testWindowProducerCropClamping</t>
  </si>
  <si>
    <t>testCellularConnectivity</t>
  </si>
  <si>
    <t>testNoPermissionEscalation</t>
  </si>
  <si>
    <t>testClipRegion1</t>
  </si>
  <si>
    <t>testClipRegion2</t>
  </si>
  <si>
    <t>testClipRegion3</t>
  </si>
  <si>
    <t>testClipRegion4</t>
  </si>
  <si>
    <t>testBindDeviceAdminServiceForUser_shouldFail</t>
  </si>
  <si>
    <t>testRecordAudioFromAudioSourceUnprocessed</t>
  </si>
  <si>
    <t>testAllowed</t>
  </si>
  <si>
    <t>testIsProvisioningAllowed</t>
  </si>
  <si>
    <t>testIsProvisioningAllowed_corpOwnedManagedProfile</t>
  </si>
  <si>
    <t>testOnReceive</t>
  </si>
  <si>
    <t>testAutoSizeCallers_setFontFeatureSettings</t>
  </si>
  <si>
    <t>testAutoSizeCallers_setMinLines</t>
  </si>
  <si>
    <t>testAutoSizeCallers_setMinHeight</t>
  </si>
  <si>
    <t>testSelectWithProjection</t>
  </si>
  <si>
    <t>testSelectWithSortOrder</t>
  </si>
  <si>
    <t>testDisablingNetworkLogging</t>
  </si>
  <si>
    <t>testSetNetworkLoggingEnabledNotPossibleIfMoreThanOneUserPresent</t>
  </si>
  <si>
    <t>testSetSecurityLoggingEnabledNotPossibleIfMoreThanOneUserPresent</t>
  </si>
  <si>
    <t>testValidSsaid</t>
  </si>
  <si>
    <t>testSsaidBetweenApps</t>
  </si>
  <si>
    <t>testSsaidAcrossInstalls</t>
  </si>
  <si>
    <t>testFirstInstallSsaid</t>
  </si>
  <si>
    <t>testSecondInstallSsaid</t>
  </si>
  <si>
    <t>testAppsReceiveDifferentSsaid</t>
  </si>
  <si>
    <t>testSetGetFontVariationSettings</t>
  </si>
  <si>
    <t>testAddSummary</t>
  </si>
  <si>
    <t>testAddTestFailure</t>
  </si>
  <si>
    <t>testAddTestFailureNoAbi</t>
  </si>
  <si>
    <t>testStackTracesAreUnique</t>
  </si>
  <si>
    <t>testStackTracesAreShortened</t>
  </si>
  <si>
    <t>testNoGroups</t>
  </si>
  <si>
    <t>testFindNextSection</t>
  </si>
  <si>
    <t>testFindFocusWithCluster</t>
  </si>
  <si>
    <t>testFocusSearchWithCluster</t>
  </si>
  <si>
    <t>testRequestFocusWithCluster</t>
  </si>
  <si>
    <t>test04_getAndLaunch_managed</t>
  </si>
  <si>
    <t>testDefaultMethods</t>
  </si>
  <si>
    <t>testOpComposingSpans</t>
  </si>
  <si>
    <t>testOpTextMethods</t>
  </si>
  <si>
    <t>testFinishComposingText</t>
  </si>
  <si>
    <t>testSendKeyEvent</t>
  </si>
  <si>
    <t>testReportFullscreenMode</t>
  </si>
  <si>
    <t>testDeleteSurroundingText</t>
  </si>
  <si>
    <t>testDeleteSurroundingTextInCodePoints</t>
  </si>
  <si>
    <t>testCloseConnection</t>
  </si>
  <si>
    <t>testGetHandler</t>
  </si>
  <si>
    <t>testCommitContent</t>
  </si>
  <si>
    <t>testCompletionInfo</t>
  </si>
  <si>
    <t>testEditorInfo</t>
  </si>
  <si>
    <t>testNullHintLocals</t>
  </si>
  <si>
    <t>testExtractedTextRequest</t>
  </si>
  <si>
    <t>testInputBinding</t>
  </si>
  <si>
    <t>testInputConnectionWrapper</t>
  </si>
  <si>
    <t>testInputContentInfo</t>
  </si>
  <si>
    <t>testOptionalConstructorParam</t>
  </si>
  <si>
    <t>testContentUriNullContentUri</t>
  </si>
  <si>
    <t>testContentUriInvalidContentUri</t>
  </si>
  <si>
    <t>testMimeTypeNulLDescription</t>
  </si>
  <si>
    <t>testLinkUri</t>
  </si>
  <si>
    <t>testLinkUriFtpLinkUri</t>
  </si>
  <si>
    <t>testLinkUriContentLinkUri</t>
  </si>
  <si>
    <t>testRequestAndReleasePermission</t>
  </si>
  <si>
    <t>testInputMethodInfoProperties</t>
  </si>
  <si>
    <t>testInputMethodSubtypeProperties</t>
  </si>
  <si>
    <t>testDump</t>
  </si>
  <si>
    <t>testLoadIcon</t>
  </si>
  <si>
    <t>testLoadLabel</t>
  </si>
  <si>
    <t>testInputMethodInfoWriteToParcel</t>
  </si>
  <si>
    <t>testInputMethodSubtypeWriteToParcel</t>
  </si>
  <si>
    <t>testInputMethodSubtypesOfSystemImes</t>
  </si>
  <si>
    <t>testAtLeastOneEncryptionAwareInputMethodIsAvailable</t>
  </si>
  <si>
    <t>testInputMethodManager</t>
  </si>
  <si>
    <t>testKeyOnPressedAndReleased</t>
  </si>
  <si>
    <t>testActivityCallbackOrder</t>
  </si>
  <si>
    <t>testSetLockTaskThrowsExceptionIfUnaffiliated</t>
  </si>
  <si>
    <t>testSilentPackageInstall</t>
  </si>
  <si>
    <t>testInstallReason</t>
  </si>
  <si>
    <t>testVroot</t>
  </si>
  <si>
    <t>testRegisterVisibility</t>
  </si>
  <si>
    <t>testAutoFillOneDatasetAndMoveFocusAround</t>
  </si>
  <si>
    <t>testGetCarrierConfig</t>
  </si>
  <si>
    <t>testClickableSpanOnClickDragInsideFromOutside</t>
  </si>
  <si>
    <t>testClickableSpanOnClickDragInsideOutsideInside</t>
  </si>
  <si>
    <t>testClickableSpanOnClickLongPress</t>
  </si>
  <si>
    <t>testDebuggerdDomain</t>
  </si>
  <si>
    <t>testNoNewPrivs</t>
  </si>
  <si>
    <t>testIsDemoUser_inDemoUser</t>
  </si>
  <si>
    <t>testSetAccountVisibilityVisibility</t>
  </si>
  <si>
    <t>testAddAccountExplicitlyWithVisibility</t>
  </si>
  <si>
    <t>testDeactivateAdmins</t>
  </si>
  <si>
    <t>testNoConfigGz</t>
  </si>
  <si>
    <t>testCannotClearProfileOwner</t>
  </si>
  <si>
    <t>testCopyConstructor_doesNotCopyNoCopySpans</t>
  </si>
  <si>
    <t>testTextViewInWeigthenedLayoutChangesWidthAfterSetText</t>
  </si>
  <si>
    <t>testSmartSelection_multiSelect</t>
  </si>
  <si>
    <t>testConstructorWithNullAuthority</t>
  </si>
  <si>
    <t>testConstructorWithNullQuery</t>
  </si>
  <si>
    <t>testGetIntentForSettingsActivity</t>
  </si>
  <si>
    <t>testLaunchPipNotResizeableActivity</t>
  </si>
  <si>
    <t>testResetNotification</t>
  </si>
  <si>
    <t>testUserRestrictions_inDemoUser</t>
  </si>
  <si>
    <t>testUserRestrictions_inSystemUser</t>
  </si>
  <si>
    <t>testScreenIsInteractive</t>
  </si>
  <si>
    <t>testRetailDemoPkgLaunched</t>
  </si>
  <si>
    <t>testIsDemoUser_success</t>
  </si>
  <si>
    <t>testIsDemoUser_failure</t>
  </si>
  <si>
    <t>testIsDemoUser_inPrimaryUser</t>
  </si>
  <si>
    <t>testResetAfterInactivity</t>
  </si>
  <si>
    <t>testUserRestrictions</t>
  </si>
  <si>
    <t>testScreenTurnsOn_attractLoop</t>
  </si>
  <si>
    <t>testScreenTurnsOn_demoSession</t>
  </si>
  <si>
    <t>testBadFont</t>
  </si>
  <si>
    <t>checkTextViewHintNone</t>
  </si>
  <si>
    <t>checkSetAutoFillUnknown</t>
  </si>
  <si>
    <t>testSetBitmapCleanClip</t>
  </si>
  <si>
    <t>testSetBitmapSaveCount</t>
  </si>
  <si>
    <t>testCreateChannel_resIdName</t>
  </si>
  <si>
    <t>testUsesLibrary</t>
  </si>
  <si>
    <t>testA</t>
  </si>
  <si>
    <t>testZ</t>
  </si>
  <si>
    <t>testEncodeDecodeVideoFromSurfaceToSurface720pNdk</t>
  </si>
  <si>
    <t>testEncodeDecodeVideoFromPersistentSurfaceToSurface720pNdk</t>
  </si>
  <si>
    <t>testVP8EncodeDecodeVideoFromSurfaceToSurface720pNdk</t>
  </si>
  <si>
    <t>testVP8EncodeDecodeVideoFromPersistentSurfaceToSurface720pNdk</t>
  </si>
  <si>
    <t>testGetImeiForSlotId</t>
  </si>
  <si>
    <t>testIndexOfValueByValue</t>
  </si>
  <si>
    <t>testSdcarddDomain</t>
  </si>
  <si>
    <t>testAspectRatio</t>
  </si>
  <si>
    <t>testFileDescriptorsAreReadOnly</t>
  </si>
  <si>
    <t>clickBackupConfirmButton</t>
  </si>
  <si>
    <t>assertBothWallpapersAreGreen</t>
  </si>
  <si>
    <t>assertSystemIsRedAndLockIsGreen</t>
  </si>
  <si>
    <t>assertBothWallpapersAreLive</t>
  </si>
  <si>
    <t>assertSystemIsLiveAndLockIsGreen</t>
  </si>
  <si>
    <t>testRestoreSameImageToBoth</t>
  </si>
  <si>
    <t>testRestoreDifferentImageToEach</t>
  </si>
  <si>
    <t>testRestoreLiveWallpaper</t>
  </si>
  <si>
    <t>testRestoreLiveWallpaperAndImageLock</t>
  </si>
  <si>
    <t>testGetVolumeControlStreamNull</t>
  </si>
  <si>
    <t>getFragmentsOffThread</t>
  </si>
  <si>
    <t>testGetSystemFontsData</t>
  </si>
  <si>
    <t>testFilesAreReadOnly</t>
  </si>
  <si>
    <t>testSetChooserShortcuts</t>
  </si>
  <si>
    <t>testGetDynamicShortcutsDoesNotReturnChooserShortcuts</t>
  </si>
  <si>
    <t>testAddAndRemoveServiceStateChangeListener</t>
  </si>
  <si>
    <t>testServiceStateChanges_stateChangeListenersCalled</t>
  </si>
  <si>
    <t>testMidiManager</t>
  </si>
  <si>
    <t>testSetupTeardownEchoServer</t>
  </si>
  <si>
    <t>testSendData</t>
  </si>
  <si>
    <t>testWriteGetMaxMessageSize</t>
  </si>
  <si>
    <t>testEchoSmallMessage</t>
  </si>
  <si>
    <t>testEchoNMessages</t>
  </si>
  <si>
    <t>testFlushMessages</t>
  </si>
  <si>
    <t>testFailHugeMessage</t>
  </si>
  <si>
    <t>testNativeEchoLatency</t>
  </si>
  <si>
    <t>testEchoNMessages_PureNative</t>
  </si>
  <si>
    <t>testNativeEchoLatency_PureNative</t>
  </si>
  <si>
    <t>testSucessfulRedefine</t>
  </si>
  <si>
    <t>testSucessfulRetransform</t>
  </si>
  <si>
    <t>testRedefineFailures</t>
  </si>
  <si>
    <t>testRetransformFailures</t>
  </si>
  <si>
    <t>testCannotRetransformOnLoadTest</t>
  </si>
  <si>
    <t>testRetransformOnLoad</t>
  </si>
  <si>
    <t>testTracking</t>
  </si>
  <si>
    <t>testTagging</t>
  </si>
  <si>
    <t>testTaggingGC</t>
  </si>
  <si>
    <t>testGetTaggedObjects</t>
  </si>
  <si>
    <t>testJvmti</t>
  </si>
  <si>
    <t>testClipRect3</t>
  </si>
  <si>
    <t>testClipRect5</t>
  </si>
  <si>
    <t>testExposedSystemActivities</t>
  </si>
  <si>
    <t>testAccessSaveFormData</t>
  </si>
  <si>
    <t>testOpacityChange</t>
  </si>
  <si>
    <t>testStatefulnessChange</t>
  </si>
  <si>
    <t>uninstallPackageWithActiveAdmin</t>
  </si>
  <si>
    <t>testSaveSnackBarGoesAway</t>
  </si>
  <si>
    <t>testAllCharacterDevicesAreSecure</t>
  </si>
  <si>
    <t>testCrash</t>
  </si>
  <si>
    <t>testCreateSubPlan</t>
  </si>
  <si>
    <t>testSetAllOptionsFrom</t>
  </si>
  <si>
    <t>testClearOptions</t>
  </si>
  <si>
    <t>testDisableSelfWhenConnected</t>
  </si>
  <si>
    <t>testDisableSelfWhenDisconnected</t>
  </si>
  <si>
    <t>testQuery_InProcessProvider_NoAutoPaging</t>
  </si>
  <si>
    <t>testQuery_OutOfProcessProvider_AutoPaging_OffsetOutOfBounds</t>
  </si>
  <si>
    <t>testQuery_OutOfProcessProvider_NoAutoPagingForAlreadyPagedResults</t>
  </si>
  <si>
    <t>testScrollbarSize</t>
  </si>
  <si>
    <t>testConcurrentRecord</t>
  </si>
  <si>
    <t>testAddRemoveQueueItems</t>
  </si>
  <si>
    <t>testNoExemptionsForCoreDataInVendor</t>
  </si>
  <si>
    <t>testNoExemptionsForVendorDataInCore</t>
  </si>
  <si>
    <t>checkDefaultValue</t>
  </si>
  <si>
    <t>checkInheritValue</t>
  </si>
  <si>
    <t>checkAutoValue</t>
  </si>
  <si>
    <t>checkManualValue</t>
  </si>
  <si>
    <t>checkNestedDefaultValue</t>
  </si>
  <si>
    <t>checkNestedInheritValue</t>
  </si>
  <si>
    <t>checkNestedAutoValue</t>
  </si>
  <si>
    <t>checkNestedManualValue</t>
  </si>
  <si>
    <t>checkDefaultBehavior</t>
  </si>
  <si>
    <t>checkInheritBehavior</t>
  </si>
  <si>
    <t>checkAutoBehavior</t>
  </si>
  <si>
    <t>checkManualBehavior</t>
  </si>
  <si>
    <t>checkNestedDefaultBehavior</t>
  </si>
  <si>
    <t>checkNestedInheritBehavior</t>
  </si>
  <si>
    <t>checkNestedAutoBehavior</t>
  </si>
  <si>
    <t>checkNestedManualBehavior</t>
  </si>
  <si>
    <t>checksetAutofillMode</t>
  </si>
  <si>
    <t>checkIllegalAutoFillModeSet</t>
  </si>
  <si>
    <t>attachViewToManualContainer</t>
  </si>
  <si>
    <t>attachNestedViewToContainer</t>
  </si>
  <si>
    <t>testSmartSelection</t>
  </si>
  <si>
    <t>testSmartSelection_url</t>
  </si>
  <si>
    <t>testTextClassificationResult</t>
  </si>
  <si>
    <t>testTextClassificationResult_url</t>
  </si>
  <si>
    <t>testLanguageDetection</t>
  </si>
  <si>
    <t>testSetTileMode</t>
  </si>
  <si>
    <t>testGetSetMatrix</t>
  </si>
  <si>
    <t>testSetMatrixDraw</t>
  </si>
  <si>
    <t>testSet</t>
  </si>
  <si>
    <t>testInnerShaderMutate</t>
  </si>
  <si>
    <t>testGetSet</t>
  </si>
  <si>
    <t>testSetDraw</t>
  </si>
  <si>
    <t>testPrintingPagesCount</t>
  </si>
  <si>
    <t>testTouchExplorationStateChanged</t>
  </si>
  <si>
    <t>testAddTwoToastsViaAddingWindowApisWhenUidFocusedQuickly</t>
  </si>
  <si>
    <t>testLanguageDetectionDoesNotThrowException</t>
  </si>
  <si>
    <t>testBuildConstants_forPrereleaseOrRelease</t>
  </si>
  <si>
    <t>testBuildConstants_forRelease</t>
  </si>
  <si>
    <t>testTypefaceRequestFailureConstantsAreInSync</t>
  </si>
  <si>
    <t>testConstructorWithNullFileDescriptor</t>
  </si>
  <si>
    <t>testConstructorWithNullFontVariationSettings</t>
  </si>
  <si>
    <t>testOpaqueImageWriterReaderOperation</t>
  </si>
  <si>
    <t>testAllocSpi</t>
  </si>
  <si>
    <t>testCreateTransform</t>
  </si>
  <si>
    <t>testWriteToParcel_shortConstructor</t>
  </si>
  <si>
    <t>testClipRect7</t>
  </si>
  <si>
    <t>testShadowLayer_paintColorPreserved</t>
  </si>
  <si>
    <t>testRendererSize</t>
  </si>
  <si>
    <t>testUcsRenderer</t>
  </si>
  <si>
    <t>testSetXfermode</t>
  </si>
  <si>
    <t>testStrokeDescriptionIds</t>
  </si>
  <si>
    <t>testIsUriNumber</t>
  </si>
  <si>
    <t>testGetUsernameFromUriNumber</t>
  </si>
  <si>
    <t>testConvertAndStrip</t>
  </si>
  <si>
    <t>testGetFingerprintManager_returnsManagerIfFeatureAvailable</t>
  </si>
  <si>
    <t>testSELinuxEnforcing</t>
  </si>
  <si>
    <t>testVoicemailRingtoneSettings</t>
  </si>
  <si>
    <t>testVoicemailVibrationSettings</t>
  </si>
  <si>
    <t>testH264GLViewVideoDecode</t>
  </si>
  <si>
    <t>testH264GLViewLargerHeightVideoDecode</t>
  </si>
  <si>
    <t>testH264GLViewLargerWidthVideoDecode</t>
  </si>
  <si>
    <t>testH264SurfaceViewVideoDecode</t>
  </si>
  <si>
    <t>testH264SurfaceViewLargerHeightVideoDecode</t>
  </si>
  <si>
    <t>testH264SurfaceViewLargerWidthVideoDecode</t>
  </si>
  <si>
    <t>testVP9GLViewVideoDecode</t>
  </si>
  <si>
    <t>testVP9GLViewLargerHeightVideoDecode</t>
  </si>
  <si>
    <t>testVP9GLViewLargerWidthVideoDecode</t>
  </si>
  <si>
    <t>testVP9SurfaceViewVideoDecode</t>
  </si>
  <si>
    <t>testVP9SurfaceViewLargerHeightVideoDecode</t>
  </si>
  <si>
    <t>testVP9SurfaceViewLargerWidthVideoDecode</t>
  </si>
  <si>
    <t>testH264GLViewCroppedVideoDecode</t>
  </si>
  <si>
    <t>testH264SurfaceViewCroppedVideoDecode</t>
  </si>
  <si>
    <t>testSingleCallBackup</t>
  </si>
  <si>
    <t>testCompressHardware</t>
  </si>
  <si>
    <t>testCarUiProvider</t>
  </si>
  <si>
    <t>testEverything</t>
  </si>
  <si>
    <t>testBug36215950</t>
  </si>
  <si>
    <t>testBug36816007</t>
  </si>
  <si>
    <t>testBug36895511</t>
  </si>
  <si>
    <t>testDoesntAffectWidth</t>
  </si>
  <si>
    <t>testStagefright_cve_2015_3826</t>
  </si>
  <si>
    <t>testMarkAfter</t>
  </si>
  <si>
    <t>testMarkBefore</t>
  </si>
  <si>
    <t>testConstructorNull</t>
  </si>
  <si>
    <t>testGetWidth</t>
  </si>
  <si>
    <t>testGetEllipsizedWidth</t>
  </si>
  <si>
    <t>testIncreaseWidthTo</t>
  </si>
  <si>
    <t>testGetHeight</t>
  </si>
  <si>
    <t>testGetAlignment</t>
  </si>
  <si>
    <t>testGetSpacingMultiplier</t>
  </si>
  <si>
    <t>testGetSpacingAdd</t>
  </si>
  <si>
    <t>testGetLineBounds</t>
  </si>
  <si>
    <t>testGetLineForVertical</t>
  </si>
  <si>
    <t>testGetLineForOffset</t>
  </si>
  <si>
    <t>testGetLineEnd</t>
  </si>
  <si>
    <t>testGetLineVisibleEnd</t>
  </si>
  <si>
    <t>testGetLineBottom</t>
  </si>
  <si>
    <t>testGetLineBaseline</t>
  </si>
  <si>
    <t>testGetLineAscent</t>
  </si>
  <si>
    <t>testGetParagraphAlignment</t>
  </si>
  <si>
    <t>testGetParagraphLeft</t>
  </si>
  <si>
    <t>testGetParagraphRight</t>
  </si>
  <si>
    <t>testIsSpanned</t>
  </si>
  <si>
    <t>testGetSpans_sortsByPriorityEvenWhenSortParamIsFalse</t>
  </si>
  <si>
    <t>testNoLineBreak</t>
  </si>
  <si>
    <t>testOneLineBreak</t>
  </si>
  <si>
    <t>testSpaceAtBreak</t>
  </si>
  <si>
    <t>testMultipleSpacesAtBreak</t>
  </si>
  <si>
    <t>testZeroWidthCharacters</t>
  </si>
  <si>
    <t>testWithSpans</t>
  </si>
  <si>
    <t>testWithOneSpan</t>
  </si>
  <si>
    <t>testWithTwoSpans</t>
  </si>
  <si>
    <t>testWithSurrogate</t>
  </si>
  <si>
    <t>testNarrowWidth</t>
  </si>
  <si>
    <t>testNarrowWidthZeroWidth</t>
  </si>
  <si>
    <t>testMaxLines</t>
  </si>
  <si>
    <t>testEllipsis_singleLine</t>
  </si>
  <si>
    <t>testGetOffset_UNICODE_Hebrew</t>
  </si>
  <si>
    <t>testFormatSameDayTime</t>
  </si>
  <si>
    <t>testOneWord</t>
  </si>
  <si>
    <t>testSpacesOnly</t>
  </si>
  <si>
    <t>testBeginningEnd</t>
  </si>
  <si>
    <t>testSurrogate</t>
  </si>
  <si>
    <t>testDoesntAffectWidth_colorUnderlineSubclass</t>
  </si>
  <si>
    <t>testAddLinks_addsLinksWhenDefaultSchemeIsNull</t>
  </si>
  <si>
    <t>testAddLinks_addsLinksWhenSchemesArrayIsNull</t>
  </si>
  <si>
    <t>testAddLinks_prependsDefaultSchemeToBeginingOfLink</t>
  </si>
  <si>
    <t>testAddLinks_doesNotPrependSchemeIfSchemeExists</t>
  </si>
  <si>
    <t>testCalendarViewMinMaxRangeRestrictions</t>
  </si>
  <si>
    <t>testCpuFreqData</t>
  </si>
  <si>
    <t>testUidCpuFreqTimesData</t>
  </si>
  <si>
    <t>testUidCpuFreqTimesDataWithOnlyScreenOn</t>
  </si>
  <si>
    <t>testUidCpuFreqTimesDataWithOnlyScreenOff</t>
  </si>
  <si>
    <t>testUserRestriction</t>
  </si>
  <si>
    <t>testH264Yuv420_8bitBpBitrate</t>
  </si>
  <si>
    <t>testH264Yuv420_8bitBpLevels</t>
  </si>
  <si>
    <t>testH264Yuv420_8bitBpParamsCrowd_640x360p50f32</t>
  </si>
  <si>
    <t>testH264Yuv420_8bitBpParamsCrowd_854x480p50f32</t>
  </si>
  <si>
    <t>testH264Yuv420_8bitBpParamsCrowd_1280x720p50f32</t>
  </si>
  <si>
    <t>testH264Yuv420_8bitBpParamsCrowd_1920x1080p50f32</t>
  </si>
  <si>
    <t>testH264Yuv420_8bitBpParamsCrowd_3840x2160p50f32</t>
  </si>
  <si>
    <t>testH264Yuv420_8bitBpResolutions</t>
  </si>
  <si>
    <t>testH264Yuv420_8bitBpSlicesCrowd_640x360p50f32</t>
  </si>
  <si>
    <t>testH264Yuv420_8bitBpSlicesCrowd_854x480p50f32</t>
  </si>
  <si>
    <t>testH264Yuv420_8bitBpSlicesCrowd_1280x720p50f32</t>
  </si>
  <si>
    <t>testH264Yuv420_8bitBpSlicesCrowd_1920x1080p50f32</t>
  </si>
  <si>
    <t>testH264Yuv420_8bitBpSlicesCrowd_3840x2160p50f32</t>
  </si>
  <si>
    <t>testH264Yuv420_8bitMpBitrate</t>
  </si>
  <si>
    <t>testH264Yuv420_8bitMpGopCrowd_640x360p50</t>
  </si>
  <si>
    <t>testH264Yuv420_8bitMpGopCrowd_854x480p50</t>
  </si>
  <si>
    <t>testH264Yuv420_8bitMpGopCrowd_1280x720p50</t>
  </si>
  <si>
    <t>testH264Yuv420_8bitMpGopCrowd_1920x1080p50</t>
  </si>
  <si>
    <t>testH264Yuv420_8bitMpGopCrowd_3840x2160p50</t>
  </si>
  <si>
    <t>testH264Yuv420_8bitMpLevels</t>
  </si>
  <si>
    <t>testH264Yuv420_8bitMpParamsCrowd_640x360p50f32</t>
  </si>
  <si>
    <t>testH264Yuv420_8bitMpParamsCrowd_854x480p50f32</t>
  </si>
  <si>
    <t>testH264Yuv420_8bitMpParamsCrowd_1280x720p50f32</t>
  </si>
  <si>
    <t>testH264Yuv420_8bitMpParamsCrowd_1920x1080p50f32</t>
  </si>
  <si>
    <t>testH264Yuv420_8bitMpParamsCrowd_3840x2160p50f32</t>
  </si>
  <si>
    <t>testH264Yuv420_8bitMpResolutions</t>
  </si>
  <si>
    <t>testH264Yuv420_8bitMpSlicesCrowd_640x360p50f32</t>
  </si>
  <si>
    <t>testH264Yuv420_8bitMpSlicesCrowd_854x480p50f32</t>
  </si>
  <si>
    <t>testH264Yuv420_8bitMpSlicesCrowd_1280x720p50f32</t>
  </si>
  <si>
    <t>testH264Yuv420_8bitMpSlicesCrowd_1920x1080p50f32</t>
  </si>
  <si>
    <t>testH264Yuv420_8bitMpSlicesCrowd_3840x2160p50f32</t>
  </si>
  <si>
    <t>testH264Yuv420_8bitHpBitrate</t>
  </si>
  <si>
    <t>testH264Yuv420_8bitHpGopCrowd_640x360p50</t>
  </si>
  <si>
    <t>testH264Yuv420_8bitHpGopCrowd_854x480p50</t>
  </si>
  <si>
    <t>testH264Yuv420_8bitHpGopCrowd_1280x720p50</t>
  </si>
  <si>
    <t>testH264Yuv420_8bitHpGopCrowd_1920x1080p50</t>
  </si>
  <si>
    <t>testH264Yuv420_8bitHpGopCrowd_3840x2160p50</t>
  </si>
  <si>
    <t>testH264Yuv420_8bitHpLevels</t>
  </si>
  <si>
    <t>testH264Yuv420_8bitHpParamsCrowd_640x360p50f32</t>
  </si>
  <si>
    <t>testH264Yuv420_8bitHpParamsCrowd_854x480p50f32</t>
  </si>
  <si>
    <t>testH264Yuv420_8bitHpParamsCrowd_1280x720p50f32</t>
  </si>
  <si>
    <t>testH264Yuv420_8bitHpParamsCrowd_1920x1080p50f32</t>
  </si>
  <si>
    <t>testH264Yuv420_8bitHpParamsCrowd_3840x2160p50f32</t>
  </si>
  <si>
    <t>testH264Yuv420_8bitHpResolutions</t>
  </si>
  <si>
    <t>testH264Yuv420_8bitHpScalingmatrixCrowd_640x360p50f32</t>
  </si>
  <si>
    <t>testH264Yuv420_8bitHpScalingmatrixCrowd_854x480p50f32</t>
  </si>
  <si>
    <t>testH264Yuv420_8bitHpScalingmatrixCrowd_1280x720p50f32</t>
  </si>
  <si>
    <t>testH264Yuv420_8bitHpScalingmatrixCrowd_1920x1080p50f32</t>
  </si>
  <si>
    <t>testH264Yuv420_8bitHpScalingmatrixCrowd_3840x2160p50f32</t>
  </si>
  <si>
    <t>testH264Yuv420_8bitHpSlicesCrowd_640x360p50f32</t>
  </si>
  <si>
    <t>testH264Yuv420_8bitHpSlicesCrowd_854x480p50f32</t>
  </si>
  <si>
    <t>testH264Yuv420_8bitHpSlicesCrowd_1280x720p50f32</t>
  </si>
  <si>
    <t>testH264Yuv420_8bitHpSlicesCrowd_1920x1080p50f32</t>
  </si>
  <si>
    <t>testH264Yuv420_8bitHpSlicesCrowd_3840x2160p50f32</t>
  </si>
  <si>
    <t>testVp8Yuv420_8bitBitrate</t>
  </si>
  <si>
    <t>testVp8Yuv420_8bitParamsCrowd_640x360p50f32</t>
  </si>
  <si>
    <t>testVp8Yuv420_8bitParamsCrowd_854x480p50f32</t>
  </si>
  <si>
    <t>testVp8Yuv420_8bitParamsCrowd_1280x720p50f32</t>
  </si>
  <si>
    <t>testVp8Yuv420_8bitParamsCrowd_1920x1080p50f32</t>
  </si>
  <si>
    <t>testVp8Yuv420_8bitParamsCrowd_3840x2160p50f32</t>
  </si>
  <si>
    <t>testVp8Yuv420_8bitResolution</t>
  </si>
  <si>
    <t>testKeyValueBackupAndRestore</t>
  </si>
  <si>
    <t>testSharedPreferencesRestore</t>
  </si>
  <si>
    <t>testHasExclusiveCores</t>
  </si>
  <si>
    <t>testGetActiveSessions</t>
  </si>
  <si>
    <t>supportsDarkTextOverrideTest</t>
  </si>
  <si>
    <t>calculateDarkTextSupportTest</t>
  </si>
  <si>
    <t>testProcSelfPagemapNotAccessible</t>
  </si>
  <si>
    <t>testNoInitialFocus</t>
  </si>
  <si>
    <t>testDefaultFocus</t>
  </si>
  <si>
    <t>testInitialFocus</t>
  </si>
  <si>
    <t>testBadRegexBuilder</t>
  </si>
  <si>
    <t>badRegexBuilder</t>
  </si>
  <si>
    <t>testEllipsize_End</t>
  </si>
  <si>
    <t>testEllipsize_Start</t>
  </si>
  <si>
    <t>testEllipsize_Middle</t>
  </si>
  <si>
    <t>testEllipsize_retryEnd</t>
  </si>
  <si>
    <t>testEllipsize_retryStart</t>
  </si>
  <si>
    <t>testEllipsize_retryMiddle</t>
  </si>
  <si>
    <t>testEllipsisWithReflow</t>
  </si>
  <si>
    <t>testEllipsize_retryEndRtl</t>
  </si>
  <si>
    <t>test_ptraceAttach</t>
  </si>
  <si>
    <t>test_processVmReadv</t>
  </si>
  <si>
    <t>test_processVmReadvNullptr</t>
  </si>
  <si>
    <t>checkSessionParams</t>
  </si>
  <si>
    <t>transferSession</t>
  </si>
  <si>
    <t>transferToInvalidNewOwner</t>
  </si>
  <si>
    <t>transferToOwnerWithoutInstallPermission</t>
  </si>
  <si>
    <t>transferWithOpenWrite</t>
  </si>
  <si>
    <t>transferSessionWithInvalidApk</t>
  </si>
  <si>
    <t>transferWithApkFromWrongPackage</t>
  </si>
  <si>
    <t>testGetFd</t>
  </si>
  <si>
    <t>testSaveGoesAwayWhenLaunchingNewActivity</t>
  </si>
  <si>
    <t>testDismissSave_byLaunchingNewActivity</t>
  </si>
  <si>
    <t>testBitstreamsConformance</t>
  </si>
  <si>
    <t>testShutdownSafeBrowsingDoesntCrash</t>
  </si>
  <si>
    <t>testSaveGoesAwayWhenCallingCancel</t>
  </si>
  <si>
    <t>testDatasetPickerGoesAwayOnCancel</t>
  </si>
  <si>
    <t>testDismissSave_byCallingCancel</t>
  </si>
  <si>
    <t>testCreateEphemeralWithoutUserSplitFails</t>
  </si>
  <si>
    <t>testInvalidEntriesClearedOnBoot</t>
  </si>
  <si>
    <t>populateAndTestSyncAutomaticallyBeforeReboot</t>
  </si>
  <si>
    <t>testSyncAutomaticallyAfterReboot</t>
  </si>
  <si>
    <t>removeTestAccount</t>
  </si>
  <si>
    <t>testStagefright_bug_23270724</t>
  </si>
  <si>
    <t>testSetMaxLines_toZero_shouldNotDisplayAnyLines</t>
  </si>
  <si>
    <t>cryptoProvider_withWorkaround_Success</t>
  </si>
  <si>
    <t>cryptoProvider_withoutWorkaround_Failure</t>
  </si>
  <si>
    <t>testWithoutEarlyCCS</t>
  </si>
  <si>
    <t>testEarlyCCSInjectedIntoClient</t>
  </si>
  <si>
    <t>testEarlyCCSInjectedIntoServer</t>
  </si>
  <si>
    <t>testWithoutHeartbeats</t>
  </si>
  <si>
    <t>testClientHeartbleed</t>
  </si>
  <si>
    <t>testServerHeartbleed</t>
  </si>
  <si>
    <t>testStagefright_bug_65484460</t>
  </si>
  <si>
    <t>testGetAbis</t>
  </si>
  <si>
    <t>testGetAbis_notSupported</t>
  </si>
  <si>
    <t>testGetAbis_primaryAbiOnly</t>
  </si>
  <si>
    <t>testGetAbis_primaryAbiOnly_NotSupported</t>
  </si>
  <si>
    <t>testGetAbis_skipCtsArchCheck</t>
  </si>
  <si>
    <t>testGetAbis_skipCtsArchCheck_abiSpecified</t>
  </si>
  <si>
    <t>testMetadataFilter_emptyFilters</t>
  </si>
  <si>
    <t>testMetadataFilter_matchInclude</t>
  </si>
  <si>
    <t>testMetadataFilter_noMatchInclude_mismatchValue</t>
  </si>
  <si>
    <t>testMetadataFilter_noMatchInclude_mismatchKey</t>
  </si>
  <si>
    <t>testMetadataFilter_matchExclude</t>
  </si>
  <si>
    <t>testMetadataFilter_noMatchExclude_mismatchKey</t>
  </si>
  <si>
    <t>testMetadataFilter_noMatchExclude_mismatchValue</t>
  </si>
  <si>
    <t>testMetadataFilter_matchInclude_multipleMetadataField</t>
  </si>
  <si>
    <t>testMetadataFilter_matchExclude_multipleMetadataField</t>
  </si>
  <si>
    <t>testMetadataFilter_matchInclude_multipleFilters</t>
  </si>
  <si>
    <t>testMetadataFilter_matchExclude_multipleFilters</t>
  </si>
  <si>
    <t>testMetadataFilter_matchInclude_multipleMetadataAndFilters</t>
  </si>
  <si>
    <t>testMetadataFilter_matchExclude_multipleMetadataAndFilters</t>
  </si>
  <si>
    <t>testMetadataFilter_includeAndExclude</t>
  </si>
  <si>
    <t>testMetadataFilter_includeThenExclude</t>
  </si>
  <si>
    <t>testNoneRegistered</t>
  </si>
  <si>
    <t>testRunDeviceTests</t>
  </si>
  <si>
    <t>testRunMockDeviceTests</t>
  </si>
  <si>
    <t>testDisplayDimensions</t>
  </si>
  <si>
    <t>testSizeHandling</t>
  </si>
  <si>
    <t>checkForInvalidField</t>
  </si>
  <si>
    <t>checkBoth</t>
  </si>
  <si>
    <t>checkEither1</t>
  </si>
  <si>
    <t>checkEither2</t>
  </si>
  <si>
    <t>checkBothButFail</t>
  </si>
  <si>
    <t>checkEitherButFail</t>
  </si>
  <si>
    <t>testAlarms</t>
  </si>
  <si>
    <t>testWakeLock</t>
  </si>
  <si>
    <t>testUnoptimizedBleScans</t>
  </si>
  <si>
    <t>testOptimizedBleScans</t>
  </si>
  <si>
    <t>testGpsUpdates</t>
  </si>
  <si>
    <t>testJob</t>
  </si>
  <si>
    <t>testSync</t>
  </si>
  <si>
    <t>testWifiScan</t>
  </si>
  <si>
    <t>testUnknownPropertyResult</t>
  </si>
  <si>
    <t>testBuilder_setFieldsDetection_invalid</t>
  </si>
  <si>
    <t>testBuilder_setFieldsDetection_valid</t>
  </si>
  <si>
    <t>testNotObservedEventTypesNotGeneratedEvent</t>
  </si>
  <si>
    <t>testColoredNavBar</t>
  </si>
  <si>
    <t>testStripNamesSimple</t>
  </si>
  <si>
    <t>testStripNamesFull</t>
  </si>
  <si>
    <t>testStripNamesComplex</t>
  </si>
  <si>
    <t>testNonWatchBackPanicDoesNothing</t>
  </si>
  <si>
    <t>testWatchBackPanicReceivesHomeRequest</t>
  </si>
  <si>
    <t>testCve_2017_0762</t>
  </si>
  <si>
    <t>testEncrypted</t>
  </si>
  <si>
    <t>testOnStartInputCalledOnceIme1</t>
  </si>
  <si>
    <t>testOnStartInputCalledOnce</t>
  </si>
  <si>
    <t>testSearchView_giveFocusShowIme1</t>
  </si>
  <si>
    <t>testSearchView_setQueryHideIme1</t>
  </si>
  <si>
    <t>testSearchView_giveFocusShowIme</t>
  </si>
  <si>
    <t>testSearchView_setQueryHideIme</t>
  </si>
  <si>
    <t>testIme1IsNotCurrentIme</t>
  </si>
  <si>
    <t>testEnableIme1</t>
  </si>
  <si>
    <t>testEnableIme2</t>
  </si>
  <si>
    <t>testStagefright_cve_2017_0857</t>
  </si>
  <si>
    <t>testOpportunisticScan</t>
  </si>
  <si>
    <t>testWindowTitle_getTitleReturnsTitle</t>
  </si>
  <si>
    <t>testSecurityLogging_multipleBatches</t>
  </si>
  <si>
    <t>testSecurityLogging_rebootResetsId</t>
  </si>
  <si>
    <t>testProfileOwnerTransfer</t>
  </si>
  <si>
    <t>testProfileOwnerTransferSameAdmin</t>
  </si>
  <si>
    <t>testProfileOwnerTransferInvalidTarget</t>
  </si>
  <si>
    <t>testProfileOwnerTransferPolicies</t>
  </si>
  <si>
    <t>testGetScore_nullValue</t>
  </si>
  <si>
    <t>testGetScore_nonTextValue</t>
  </si>
  <si>
    <t>testGetScore_nullUserData</t>
  </si>
  <si>
    <t>testGetScore_fullMatch</t>
  </si>
  <si>
    <t>testGetScore_fullMatchMixedCase</t>
  </si>
  <si>
    <t>testGetScore_mismatchDifferentSizes</t>
  </si>
  <si>
    <t>testGetScore_partialMatch</t>
  </si>
  <si>
    <t>testLockScreenInfo_affiliatedSecondaryUser</t>
  </si>
  <si>
    <t>testSameCertAuthenticatorCanSeeAccount</t>
  </si>
  <si>
    <t>testOtherCertAuthenticatorCanSeeAccount</t>
  </si>
  <si>
    <t>testInjectConfig</t>
  </si>
  <si>
    <t>testBuild_withNull</t>
  </si>
  <si>
    <t>testTargetSdkValue</t>
  </si>
  <si>
    <t>testTooltipTextReportedToAccessibility</t>
  </si>
  <si>
    <t>testTooltipTextActionsReportedToAccessibility</t>
  </si>
  <si>
    <t>testNavigationBarDivider</t>
  </si>
  <si>
    <t>testSpaces</t>
  </si>
  <si>
    <t>testDisabled</t>
  </si>
  <si>
    <t>testNone</t>
  </si>
  <si>
    <t>testSeveral</t>
  </si>
  <si>
    <t>testNegative</t>
  </si>
  <si>
    <t>testReadMethods</t>
  </si>
  <si>
    <t>testBackupManager</t>
  </si>
  <si>
    <t>testGetAudioAttributesForCarUsageForMusic</t>
  </si>
  <si>
    <t>testGetAudioAttributesForCarUsageForUnknown</t>
  </si>
  <si>
    <t>testDataPathOpenInContextOfDiscoveryFail</t>
  </si>
  <si>
    <t>testDataPathPassphraseInContextOfDiscoveryFail</t>
  </si>
  <si>
    <t>testSaveDialogShownWhenAllVirtualViewsNotVisible</t>
  </si>
  <si>
    <t>testEnforceCallingOrSelfPermission</t>
  </si>
  <si>
    <t>testCheckPermission</t>
  </si>
  <si>
    <t>testStagefright_bug_38115076</t>
  </si>
  <si>
    <t>testDisallowOutgoingCall</t>
  </si>
  <si>
    <t>testTransferAffiliatedProfileOwnershipCompleteCallbackIsCalled</t>
  </si>
  <si>
    <t>testGetSecurityLogs</t>
  </si>
  <si>
    <t>testCameraDeviceMotionTrackinTemplates</t>
  </si>
  <si>
    <t>testMotionTrackingCharacteristics</t>
  </si>
  <si>
    <t>testBuilder_setRange</t>
  </si>
  <si>
    <t>testCharSequenceInteferface</t>
  </si>
  <si>
    <t>testSpannedInterface_Spanned</t>
  </si>
  <si>
    <t>testSpannedInterface_String</t>
  </si>
  <si>
    <t>testGetStartEnd</t>
  </si>
  <si>
    <t>testGetTextDir</t>
  </si>
  <si>
    <t>testGetBreakStrategy</t>
  </si>
  <si>
    <t>testGetHyphenationFrequency</t>
  </si>
  <si>
    <t>testGetParagraphCount</t>
  </si>
  <si>
    <t>testSetText_MeasuredText</t>
  </si>
  <si>
    <t>testCanGenerateECKeyPairWithKeyAttestation</t>
  </si>
  <si>
    <t>testCanGenerateECKeyPairWithDeviceIdAttestation</t>
  </si>
  <si>
    <t>testEqualsForTextMeasurment</t>
  </si>
  <si>
    <t>testParams_SetGet</t>
  </si>
  <si>
    <t>testParams_GetDefaultValues</t>
  </si>
  <si>
    <t>testParams_SameTextLayout</t>
  </si>
  <si>
    <t>testPrecomputedText</t>
  </si>
  <si>
    <t>testSetPrecomputedTextOrThrow</t>
  </si>
  <si>
    <t>testSetPrecomputedTextAndParams</t>
  </si>
  <si>
    <t>testTextLayoutParam</t>
  </si>
  <si>
    <t>testTracingControllerCallbacks</t>
  </si>
  <si>
    <t>testTracingControllerCallbacksOnCustomThread</t>
  </si>
  <si>
    <t>testTracingCannotStartIfAlreadyTracing</t>
  </si>
  <si>
    <t>testTracingStopFalseIfNotTracing</t>
  </si>
  <si>
    <t>testAdd_duplicatedId</t>
  </si>
  <si>
    <t>testPrePCannotDisallowAlarmsOrMediaTest</t>
  </si>
  <si>
    <t>testPostPCanDisallowAlarmsOrMediaTest</t>
  </si>
  <si>
    <t>testHideSoftKeyboard_shouldHideKeyboardOnRequest</t>
  </si>
  <si>
    <t>testGetNewInstanceFromSerializedBundleIsEquivalent</t>
  </si>
  <si>
    <t>testInvalidArgumentsThrows_nullInput</t>
  </si>
  <si>
    <t>testInvalidArgumentsThrows_emptyInput</t>
  </si>
  <si>
    <t>testShowAssistedDialingSettings</t>
  </si>
  <si>
    <t>test_BufferQueue</t>
  </si>
  <si>
    <t>testOpPermission</t>
  </si>
  <si>
    <t>testSaveGoesAwayWhenTappingRecentsButton</t>
  </si>
  <si>
    <t>testDismissSave_byTappingRecents</t>
  </si>
  <si>
    <t>testGetLibraryRoot</t>
  </si>
  <si>
    <t>testGetItem</t>
  </si>
  <si>
    <t>testGetItemNullResult</t>
  </si>
  <si>
    <t>testGetChildren</t>
  </si>
  <si>
    <t>testGetChildrenEmptyResult</t>
  </si>
  <si>
    <t>testGetChildrenNullResult</t>
  </si>
  <si>
    <t>testSearchTakesTime</t>
  </si>
  <si>
    <t>testSearchEmptyResult</t>
  </si>
  <si>
    <t>testSubscribe</t>
  </si>
  <si>
    <t>testUnsubscribe</t>
  </si>
  <si>
    <t>testBrowserCallback_notifyChildrenChanged</t>
  </si>
  <si>
    <t>testPlay</t>
  </si>
  <si>
    <t>testPause</t>
  </si>
  <si>
    <t>testSkipToPrevious</t>
  </si>
  <si>
    <t>testSkipToNext</t>
  </si>
  <si>
    <t>testStop</t>
  </si>
  <si>
    <t>testPrepare</t>
  </si>
  <si>
    <t>testFastForward</t>
  </si>
  <si>
    <t>testRewind</t>
  </si>
  <si>
    <t>testSeekTo</t>
  </si>
  <si>
    <t>testGetSessionActivity</t>
  </si>
  <si>
    <t>testGetSetPlaylistParams</t>
  </si>
  <si>
    <t>testSetVolumeTo</t>
  </si>
  <si>
    <t>testAdjustVolume</t>
  </si>
  <si>
    <t>testGetPackageName</t>
  </si>
  <si>
    <t>testControllerCallback_onPlaybackStateChanged</t>
  </si>
  <si>
    <t>testSendCustomCommand</t>
  </si>
  <si>
    <t>testControllerCallback_onConnected</t>
  </si>
  <si>
    <t>testControllerCallback_sessionRejects</t>
  </si>
  <si>
    <t>testControllerCallback_releaseSession</t>
  </si>
  <si>
    <t>testControllerCallback_release</t>
  </si>
  <si>
    <t>testPlayFromSearch</t>
  </si>
  <si>
    <t>testPlayFromUri</t>
  </si>
  <si>
    <t>testPlayFromMediaId</t>
  </si>
  <si>
    <t>testPrepareFromSearch</t>
  </si>
  <si>
    <t>testPrepareFromUri</t>
  </si>
  <si>
    <t>testPrepareFromMediaId</t>
  </si>
  <si>
    <t>testSetRating</t>
  </si>
  <si>
    <t>testIsConnected</t>
  </si>
  <si>
    <t>testDeadlock</t>
  </si>
  <si>
    <t>testGetServiceToken</t>
  </si>
  <si>
    <t>testConnectToService_sessionService</t>
  </si>
  <si>
    <t>testConnectToService_libraryService</t>
  </si>
  <si>
    <t>testConnectToService</t>
  </si>
  <si>
    <t>testControllerAfterSessionIsGone_session</t>
  </si>
  <si>
    <t>testControllerAfterSessionIsGone_sessionService</t>
  </si>
  <si>
    <t>testClose_beforeConnected</t>
  </si>
  <si>
    <t>testClose_twice</t>
  </si>
  <si>
    <t>testClose_session</t>
  </si>
  <si>
    <t>testClose_sessionService</t>
  </si>
  <si>
    <t>testClose_libraryService</t>
  </si>
  <si>
    <t>testBuilder</t>
  </si>
  <si>
    <t>testSetPlayer</t>
  </si>
  <si>
    <t>testSetPlayer_playbackInfo</t>
  </si>
  <si>
    <t>testSetPlaylist</t>
  </si>
  <si>
    <t>testSetPlaylistParams</t>
  </si>
  <si>
    <t>testRegisterEventCallback</t>
  </si>
  <si>
    <t>testBadPlayer</t>
  </si>
  <si>
    <t>testOnCommandCallback</t>
  </si>
  <si>
    <t>testOnConnectCallback</t>
  </si>
  <si>
    <t>testSetCustomLayout</t>
  </si>
  <si>
    <t>testSendCustomAction</t>
  </si>
  <si>
    <t>testConstructor_sessionService</t>
  </si>
  <si>
    <t>testConstructor_libraryService</t>
  </si>
  <si>
    <t>testParceling</t>
  </si>
  <si>
    <t>testReportLanguageHint</t>
  </si>
  <si>
    <t>testRegisterPin</t>
  </si>
  <si>
    <t>testCallback</t>
  </si>
  <si>
    <t>testNoAccess</t>
  </si>
  <si>
    <t>testSaveConfiguration</t>
  </si>
  <si>
    <t>testMP3Decode</t>
  </si>
  <si>
    <t>testAvailabilityStatusChange</t>
  </si>
  <si>
    <t>testSpannedInterface_Spannable</t>
  </si>
  <si>
    <t>testSpannedInterface_Spannable_setSpan_MetricsAffectingSpan</t>
  </si>
  <si>
    <t>testSpannedInterface_Spannable_removeSpan_MetricsAffectingSpan</t>
  </si>
  <si>
    <t>testIntList</t>
  </si>
  <si>
    <t>testIconList</t>
  </si>
  <si>
    <t>testTextList</t>
  </si>
  <si>
    <t>testTimestampList</t>
  </si>
  <si>
    <t>testRemoteInputList</t>
  </si>
  <si>
    <t>testBundleList</t>
  </si>
  <si>
    <t>testAction</t>
  </si>
  <si>
    <t>testSubslice</t>
  </si>
  <si>
    <t>testWifiDownload</t>
  </si>
  <si>
    <t>testWifiUpload</t>
  </si>
  <si>
    <t>testGetSystemService</t>
  </si>
  <si>
    <t>testGetSystemServiceByClass</t>
  </si>
  <si>
    <t>testPlaybackInfo</t>
  </si>
  <si>
    <t>testSave2</t>
  </si>
  <si>
    <t>testSaveFlags1</t>
  </si>
  <si>
    <t>testSaveFlags2</t>
  </si>
  <si>
    <t>testSaveFlags3</t>
  </si>
  <si>
    <t>testSaveFlags4</t>
  </si>
  <si>
    <t>testSaveFlags5</t>
  </si>
  <si>
    <t>testSaveFlags6</t>
  </si>
  <si>
    <t>testSaveFlags7</t>
  </si>
  <si>
    <t>testSaveFlags8</t>
  </si>
  <si>
    <t>testSaveFlags9</t>
  </si>
  <si>
    <t>testSaveFlags10</t>
  </si>
  <si>
    <t>testGetColorStateListNull</t>
  </si>
  <si>
    <t>testGetSampledSize</t>
  </si>
  <si>
    <t>testLogger_logManualSelectionStartedEvent</t>
  </si>
  <si>
    <t>testLogger_logLinkSelectionStartedEvent</t>
  </si>
  <si>
    <t>testLogger_logSelectionModifiedEvent</t>
  </si>
  <si>
    <t>testLogger_logSelectionActionEvent</t>
  </si>
  <si>
    <t>testLoggerConfig</t>
  </si>
  <si>
    <t>testGetLogger</t>
  </si>
  <si>
    <t>testDisabledLogger</t>
  </si>
  <si>
    <t>testProcTypeViolators</t>
  </si>
  <si>
    <t>testSysfsTypeViolators</t>
  </si>
  <si>
    <t>testSettingEmptyBlacklist</t>
  </si>
  <si>
    <t>testClearingBlacklist</t>
  </si>
  <si>
    <t>testSettingBlacklist</t>
  </si>
  <si>
    <t>testChangingBlacklist</t>
  </si>
  <si>
    <t>testBlacklistNotTreatedAsRegex</t>
  </si>
  <si>
    <t>testBlacklistCaseInsensitive</t>
  </si>
  <si>
    <t>testMaxBlacklistSize</t>
  </si>
  <si>
    <t>testBlacklistTooBig</t>
  </si>
  <si>
    <t>testNullNameWhenSettingBlacklist</t>
  </si>
  <si>
    <t>testNullAdminWhenSettingBlacklist</t>
  </si>
  <si>
    <t>testPasswordBlacklistName</t>
  </si>
  <si>
    <t>testPasswordBlacklistWithEmptyName</t>
  </si>
  <si>
    <t>testBlacklistNameCanBeChanged</t>
  </si>
  <si>
    <t>testCannotNameClearedBlacklist</t>
  </si>
  <si>
    <t>testClearingBlacklistClearsName</t>
  </si>
  <si>
    <t>testNullAdminWhenGettingBlacklistName</t>
  </si>
  <si>
    <t>testBlacklistNotConsideredByIsActivePasswordSufficient</t>
  </si>
  <si>
    <t>testPasswordBlacklist</t>
  </si>
  <si>
    <t>testSetPasswordBlacklist_failIfNotDeviceOrProfileOwner</t>
  </si>
  <si>
    <t>testGetPasswordBlacklistName_failIfNotDeviceOrProfileOwner</t>
  </si>
  <si>
    <t>testSetSystemSetting</t>
  </si>
  <si>
    <t>testLinkifyAsync</t>
  </si>
  <si>
    <t>testTextSelection_invalidSignature</t>
  </si>
  <si>
    <t>testTextSelectionOptions_defaultValues</t>
  </si>
  <si>
    <t>testTextClassificationOptions_defaultValues</t>
  </si>
  <si>
    <t>testNoEditorNoStartInput</t>
  </si>
  <si>
    <t>testDelayedAddEditorStartsInput</t>
  </si>
  <si>
    <t>testUdpEncapsulation</t>
  </si>
  <si>
    <t>testAccessShowSoftInputOnFocus</t>
  </si>
  <si>
    <t>testNoNewFieldsAddedWithoutUpdadingMarshallTests</t>
  </si>
  <si>
    <t>testBugreport</t>
  </si>
  <si>
    <t>testExecuteShellCommand</t>
  </si>
  <si>
    <t>testPushPull_normal</t>
  </si>
  <si>
    <t>testPushPull_extStorageVariable</t>
  </si>
  <si>
    <t>testPull_noexist</t>
  </si>
  <si>
    <t>testSyncFiles_normal</t>
  </si>
  <si>
    <t>testSyncFiles_extStorageVariable</t>
  </si>
  <si>
    <t>testPushDir</t>
  </si>
  <si>
    <t>testGetScreenshot</t>
  </si>
  <si>
    <t>testGetLogcat_size</t>
  </si>
  <si>
    <t>testPushFolderWithManyFiles</t>
  </si>
  <si>
    <t>testUnwantedCapabilities</t>
  </si>
  <si>
    <t>testCapabilityMutualExclusivity</t>
  </si>
  <si>
    <t>testSystemPropertiesLocal</t>
  </si>
  <si>
    <t>testSystemPropertiesExplicit</t>
  </si>
  <si>
    <t>testSystemPropertiesAutomatic</t>
  </si>
  <si>
    <t>testBackupServiceDisabled</t>
  </si>
  <si>
    <t>testEnableBackupService</t>
  </si>
  <si>
    <t>testSetMandatoryBackupTransport</t>
  </si>
  <si>
    <t>testClearMandatoryBackupTransport</t>
  </si>
  <si>
    <t>testMandatoryBackupTransport</t>
  </si>
  <si>
    <t>testMandatoryBackupTransport_withComponents</t>
  </si>
  <si>
    <t>testGetAndSetMandatoryBackupTransport</t>
  </si>
  <si>
    <t>testRequestNetworkScan</t>
  </si>
  <si>
    <t>testNormalize_stdToStdSkip</t>
  </si>
  <si>
    <t>startWithFragmentAndInitTitleMultiWindowLandscapeTest</t>
  </si>
  <si>
    <t>startWithFragmentNoHeadersMultiWindowLandscapeTest</t>
  </si>
  <si>
    <t>multiWindowInOutLandscapeTest</t>
  </si>
  <si>
    <t>multiWindowInnerFragmentInOutLandscapeTest</t>
  </si>
  <si>
    <t>multiWindowInitialHeaderOnBackLandscapeTest</t>
  </si>
  <si>
    <t>multiWindowHistoryPreserveLandscapeTest</t>
  </si>
  <si>
    <t>startWithFragmentAndInitTitleMultiWindowPortraitTest</t>
  </si>
  <si>
    <t>startWithFragmentNoHeadersMultiWindowPortraitTest</t>
  </si>
  <si>
    <t>multiWindowInOutPortraitTest</t>
  </si>
  <si>
    <t>multiWindowInnerFragmentInOutPortraitTest</t>
  </si>
  <si>
    <t>multiWindowInitialHeaderOnBackPortraitTest</t>
  </si>
  <si>
    <t>multiWindowHistoryPreservePortraitTest</t>
  </si>
  <si>
    <t>legacyActivityMultiWindowTest</t>
  </si>
  <si>
    <t>legacyActivityMultiWindowToggleTest</t>
  </si>
  <si>
    <t>testAppCannotFakePackageName</t>
  </si>
  <si>
    <t>testAllowWhileIdleJobInForeground</t>
  </si>
  <si>
    <t>testPassOnStaleObjectException</t>
  </si>
  <si>
    <t>testFailOnStaleObjectException</t>
  </si>
  <si>
    <t>testEnforceCallingOrSelfPermissionNotGranted</t>
  </si>
  <si>
    <t>testGoToSleep</t>
  </si>
  <si>
    <t>testNumberOfAppsWithPermission</t>
  </si>
  <si>
    <t>testShowSuspendedAppDetailsDeclared</t>
  </si>
  <si>
    <t>testSetAllowedCarriers</t>
  </si>
  <si>
    <t>testGetAllowedCarriers</t>
  </si>
  <si>
    <t>testFullReportParsable</t>
  </si>
  <si>
    <t>testReportInPrivateDirectory</t>
  </si>
  <si>
    <t>testCheckPermissionSystem</t>
  </si>
  <si>
    <t>testGetOpenSessionCount</t>
  </si>
  <si>
    <t>testMaxSessionCount</t>
  </si>
  <si>
    <t>testVoiceCommand</t>
  </si>
  <si>
    <t>testVoiceSearchHandsFree</t>
  </si>
  <si>
    <t>testSynthesizeToFile</t>
  </si>
  <si>
    <t>testSpeak</t>
  </si>
  <si>
    <t>testSpeakStop</t>
  </si>
  <si>
    <t>testGetEnginesIncludesDefault</t>
  </si>
  <si>
    <t>testGetEnginesIncludesMock</t>
  </si>
  <si>
    <t>testExecuteCode</t>
  </si>
  <si>
    <t>testManifest</t>
  </si>
  <si>
    <t>testSuiteInfoLoad</t>
  </si>
  <si>
    <t>testProperty</t>
  </si>
  <si>
    <t>testValidation</t>
  </si>
  <si>
    <t>testDirs</t>
  </si>
  <si>
    <t>testGetCommandLineArgs</t>
  </si>
  <si>
    <t>testSetModuleIds</t>
  </si>
  <si>
    <t>testAddDynamicFiles</t>
  </si>
  <si>
    <t>testBaseGetBuild</t>
  </si>
  <si>
    <t>testBaseGetBuild_withDevice</t>
  </si>
  <si>
    <t>testDynamicUrlOverride</t>
  </si>
  <si>
    <t>testPromptExists</t>
  </si>
  <si>
    <t>testLoadAllConfigs</t>
  </si>
  <si>
    <t>testLoadAndPrintAllConfigs</t>
  </si>
  <si>
    <t>testConfigurationLoad</t>
  </si>
  <si>
    <t>testSingleModuleRun</t>
  </si>
  <si>
    <t>testSingleModuleRun_checkMetadata</t>
  </si>
  <si>
    <t>testSingleModuleRun_incomplete</t>
  </si>
  <si>
    <t>testSingleModuleRun_completeAfterInternalRetry</t>
  </si>
  <si>
    <t>testSingleModuleRun_incomplete_rerun_incomplete</t>
  </si>
  <si>
    <t>testSingleModuleRun_incomplete_rerun_complete</t>
  </si>
  <si>
    <t>testSingleModuleRun_sharded</t>
  </si>
  <si>
    <t>testSingleModuleRun_sharded_incomplete</t>
  </si>
  <si>
    <t>testSingleModuleRun_sharded_getTestShard</t>
  </si>
  <si>
    <t>testStoreAndRetrieveTestResults</t>
  </si>
  <si>
    <t>testInvalidChecksums</t>
  </si>
  <si>
    <t>testFileSerialization</t>
  </si>
  <si>
    <t>testFileCRCOperations</t>
  </si>
  <si>
    <t>testResultReporting_singleModule</t>
  </si>
  <si>
    <t>testResultReporting_multipleModules</t>
  </si>
  <si>
    <t>testResultReportingFastTests</t>
  </si>
  <si>
    <t>testResultReportingSlowTests</t>
  </si>
  <si>
    <t>testOverrideBuildProperties</t>
  </si>
  <si>
    <t>testSetup</t>
  </si>
  <si>
    <t>testResultReporting</t>
  </si>
  <si>
    <t>testRetry</t>
  </si>
  <si>
    <t>testRetryCanSetDone</t>
  </si>
  <si>
    <t>testRetryCannotSetDone</t>
  </si>
  <si>
    <t>testResultReporting_moduleNotDone</t>
  </si>
  <si>
    <t>testResultReporting_moduleNotDone_noTests</t>
  </si>
  <si>
    <t>testResultReporting_moduleDone_noTests</t>
  </si>
  <si>
    <t>testCopyFormattingFiles</t>
  </si>
  <si>
    <t>testTestLog</t>
  </si>
  <si>
    <t>testTestLogWithDeviceInfo</t>
  </si>
  <si>
    <t>testAddInclude</t>
  </si>
  <si>
    <t>testAddExclude</t>
  </si>
  <si>
    <t>testAddParameterizedInclude</t>
  </si>
  <si>
    <t>testAddParameterizedExclude</t>
  </si>
  <si>
    <t>testCreateChecksum</t>
  </si>
  <si>
    <t>testLocalRead</t>
  </si>
  <si>
    <t>testLocalRead_fileNotFound</t>
  </si>
  <si>
    <t>testResourceRead_notFound</t>
  </si>
  <si>
    <t>testResourceRead</t>
  </si>
  <si>
    <t>testResourceRead_resourceFileName</t>
  </si>
  <si>
    <t>testSetMountPoint</t>
  </si>
  <si>
    <t>testCopyMediaFiles</t>
  </si>
  <si>
    <t>testMediaFilesExistOnDeviceTrue</t>
  </si>
  <si>
    <t>testMediaFilesExistOnDeviceFalse</t>
  </si>
  <si>
    <t>testWarningMatch</t>
  </si>
  <si>
    <t>testWarningMismatch</t>
  </si>
  <si>
    <t>testErrorMatch</t>
  </si>
  <si>
    <t>testErrorMismatch</t>
  </si>
  <si>
    <t>testCorrectOneExpected</t>
  </si>
  <si>
    <t>testCorrectManyExpected</t>
  </si>
  <si>
    <t>testIncorrectOneExpected</t>
  </si>
  <si>
    <t>testIncorrectManyExpected</t>
  </si>
  <si>
    <t>testCommandRun</t>
  </si>
  <si>
    <t>testCommandRunWrongSetValue</t>
  </si>
  <si>
    <t>testIncorrectOneExpectedCommandRun</t>
  </si>
  <si>
    <t>testSplit</t>
  </si>
  <si>
    <t>testSplit_notShardable</t>
  </si>
  <si>
    <t>testRunPreModuleCheck</t>
  </si>
  <si>
    <t>testRunPreModuleCheck_failure</t>
  </si>
  <si>
    <t>testRunPostModuleCheck</t>
  </si>
  <si>
    <t>testRunPostModuleCheck_failure</t>
  </si>
  <si>
    <t>testRun_noModules</t>
  </si>
  <si>
    <t>testCheckSystemStatus_throw</t>
  </si>
  <si>
    <t>testCheckSystemStatus_pass</t>
  </si>
  <si>
    <t>testPass1</t>
  </si>
  <si>
    <t>testPass2</t>
  </si>
  <si>
    <t>testSplit_withoutJar</t>
  </si>
  <si>
    <t>testSplit_withJar</t>
  </si>
  <si>
    <t>testGetTestShard_withJar</t>
  </si>
  <si>
    <t>testCountTestFails</t>
  </si>
  <si>
    <t>testJarHostMetrics</t>
  </si>
  <si>
    <t>testModuleFinisher</t>
  </si>
  <si>
    <t>testGetModules</t>
  </si>
  <si>
    <t>testGetModulesSharded</t>
  </si>
  <si>
    <t>testGetModules_onlyTokenModules</t>
  </si>
  <si>
    <t>testGetModules_TokenModules_multiDevices</t>
  </si>
  <si>
    <t>testGetModulesSharded_uneven</t>
  </si>
  <si>
    <t>testConfigFilter</t>
  </si>
  <si>
    <t>testFiltering</t>
  </si>
  <si>
    <t>testInitialization_ExcludeModule_SkipLoadingConfig</t>
  </si>
  <si>
    <t>testFiltering_empty</t>
  </si>
  <si>
    <t>testGetModuleIds</t>
  </si>
  <si>
    <t>testGetshard_allSameRuntime</t>
  </si>
  <si>
    <t>testGetShard_cannotSplitMore</t>
  </si>
  <si>
    <t>testRetry_receiveOption</t>
  </si>
  <si>
    <t>testRetry_split</t>
  </si>
  <si>
    <t>testReformatJsonString</t>
  </si>
  <si>
    <t>testGetValueFromFile_invalidFile</t>
  </si>
  <si>
    <t>testGetValueFromFile_keyNotFound</t>
  </si>
  <si>
    <t>testGetValueFromFile</t>
  </si>
  <si>
    <t>testGetValueFromBuild</t>
  </si>
  <si>
    <t>testGetValueFromBuild_moduleNotFound</t>
  </si>
  <si>
    <t>testGetOptionNames</t>
  </si>
  <si>
    <t>testGetOptionShortNames</t>
  </si>
  <si>
    <t>testGetValidCliArgs</t>
  </si>
  <si>
    <t>testCountEmptyList</t>
  </si>
  <si>
    <t>testCount_2uniquesModules</t>
  </si>
  <si>
    <t>testCount_2subModules</t>
  </si>
  <si>
    <t>testCount_mix</t>
  </si>
  <si>
    <t>testInvokeMethodInThisClass</t>
  </si>
  <si>
    <t>testInvokeMethodInOtherClass</t>
  </si>
  <si>
    <t>testInvokeMethodWithStringArgs</t>
  </si>
  <si>
    <t>testInvokeMethodWithStringAndDeviceArgs</t>
  </si>
  <si>
    <t>testInvokeMethodWithDeviceAndStringArgs</t>
  </si>
  <si>
    <t>testInvokeMethodWithStringArrayArg</t>
  </si>
  <si>
    <t>testInvokeMethodWithEmptyStringArrayArg</t>
  </si>
  <si>
    <t>testInvokeMethodWithStringAndStringArrayArgs</t>
  </si>
  <si>
    <t>testInvokeMethodWithAllArgTypes</t>
  </si>
  <si>
    <t>testInvokeOverloadedMethodOneArg</t>
  </si>
  <si>
    <t>testInvokeOverloadedMethodTwoArgs</t>
  </si>
  <si>
    <t>testInvokeNonExistentMethod</t>
  </si>
  <si>
    <t>testInvokeMethodTooManyArgs</t>
  </si>
  <si>
    <t>testInvokeMethodTooFewArgs</t>
  </si>
  <si>
    <t>testInvokeMethodIncompatibleArgs</t>
  </si>
  <si>
    <t>testExecuteConditionCheckReturnValue</t>
  </si>
  <si>
    <t>testExecuteInvalidCondition</t>
  </si>
  <si>
    <t>testExecuteAction</t>
  </si>
  <si>
    <t>testExecuteActionThrowException</t>
  </si>
  <si>
    <t>testExecuteActionViolateAssumption</t>
  </si>
  <si>
    <t>testDynamicConfigHandler</t>
  </si>
  <si>
    <t>testResultCreation</t>
  </si>
  <si>
    <t>testCountResults</t>
  </si>
  <si>
    <t>testMergeModule</t>
  </si>
  <si>
    <t>testSetDone</t>
  </si>
  <si>
    <t>testMergeModule_mismatchedModuleId</t>
  </si>
  <si>
    <t>testParseNameFilter</t>
  </si>
  <si>
    <t>testParseAbiNameFilter</t>
  </si>
  <si>
    <t>testParseNameTestFilter</t>
  </si>
  <si>
    <t>testParseFullFilter</t>
  </si>
  <si>
    <t>testCreateNameFilter</t>
  </si>
  <si>
    <t>testCreateAbiNameFilter</t>
  </si>
  <si>
    <t>testCreateNameTestFilter</t>
  </si>
  <si>
    <t>testCreateFullFilter</t>
  </si>
  <si>
    <t>testCorrectLogic</t>
  </si>
  <si>
    <t>testLogicWithWrongNodeName</t>
  </si>
  <si>
    <t>testMergeCase</t>
  </si>
  <si>
    <t>testMergeCase_passToFail</t>
  </si>
  <si>
    <t>testMergeCase_mismatchedModuleName</t>
  </si>
  <si>
    <t>testCorrectConfig</t>
  </si>
  <si>
    <t>testConfigWithWrongNodeName</t>
  </si>
  <si>
    <t>testLightInvocationResultInstatiate</t>
  </si>
  <si>
    <t>testSerialize_null</t>
  </si>
  <si>
    <t>testSerialize_noData</t>
  </si>
  <si>
    <t>testContentBody</t>
  </si>
  <si>
    <t>testSerialize_summaryOnly</t>
  </si>
  <si>
    <t>testSerialize_detailOnly</t>
  </si>
  <si>
    <t>testSerialize_full</t>
  </si>
  <si>
    <t>testParse_null</t>
  </si>
  <si>
    <t>testParse_summaryOnly</t>
  </si>
  <si>
    <t>testParse_full</t>
  </si>
  <si>
    <t>testLimits_source</t>
  </si>
  <si>
    <t>testLimits_message</t>
  </si>
  <si>
    <t>testLimits_values</t>
  </si>
  <si>
    <t>testParsing_usesUnalteredBuildFingerprintWhenPresent</t>
  </si>
  <si>
    <t>testParsing_whenUnalteredBuildFingerprintIsEmpty_usesRegularBuildFingerprint</t>
  </si>
  <si>
    <t>testGetLightResults</t>
  </si>
  <si>
    <t>testGet95PercentileValue</t>
  </si>
  <si>
    <t>testGestureDetectionAvailable_initialState_shouldBeAvailable</t>
  </si>
  <si>
    <t>testSetForceEphemeralUsers</t>
  </si>
  <si>
    <t>testSetForceEphemeralUsersFails</t>
  </si>
  <si>
    <t>testSetForceEphemeralUsersFailsWithoutSplitSystemUser</t>
  </si>
  <si>
    <t>testRemoveUsersOnSetForceEphemeralUsers</t>
  </si>
  <si>
    <t>testRemoveUsersOnSetForceEphemeralUsersWithUserSwitch</t>
  </si>
  <si>
    <t>testCreateUserAfterSetForceEphemeralUsers</t>
  </si>
  <si>
    <t>testCompare</t>
  </si>
  <si>
    <t>blockedSourceTest</t>
  </si>
  <si>
    <t>allowedSourceTest</t>
  </si>
  <si>
    <t>defaultSourceTest</t>
  </si>
  <si>
    <t>testManageUnknownSourcesExists</t>
  </si>
  <si>
    <t>testLockNowWithKeyEviction</t>
  </si>
  <si>
    <t>testLockWorkProfile</t>
  </si>
  <si>
    <t>testWifiScans</t>
  </si>
  <si>
    <t>testStagefright_cve_2017_13279</t>
  </si>
  <si>
    <t>testNoRemotelyAccessibleListeningUdp6Ports</t>
  </si>
  <si>
    <t>testStagefright_bug_34360591</t>
  </si>
  <si>
    <t>testActionNextAndPreviousAtGranularityPageOverText</t>
  </si>
  <si>
    <t>testActionNextAndPreviousAtGranularityPageOverTextExtend</t>
  </si>
  <si>
    <t>testVolumeDndAffectedStream</t>
  </si>
  <si>
    <t>testFromData</t>
  </si>
  <si>
    <t>testFromDataSkip</t>
  </si>
  <si>
    <t>testAddLinks_UrlSpanFactory_withSpannable</t>
  </si>
  <si>
    <t>testAddLinks_UrlSpanFactory_withSpannableAndFilter</t>
  </si>
  <si>
    <t>testDefaultUrlSpanFactory</t>
  </si>
  <si>
    <t>testVendorSecurityPatchFound</t>
  </si>
  <si>
    <t>testSecurityPatchesFormat</t>
  </si>
  <si>
    <t>testSecurityPatchDates</t>
  </si>
  <si>
    <t>testSecurityPatchDate</t>
  </si>
  <si>
    <t>testWarpedDng</t>
  </si>
  <si>
    <t>testOtherSoundsSettings_lockScreenSounds</t>
  </si>
  <si>
    <t>testOtherSoundsSettings_chargingSounds</t>
  </si>
  <si>
    <t>testBootSecurityPatchFound</t>
  </si>
  <si>
    <t>testKeyCodeAssist</t>
  </si>
  <si>
    <t>testKeyCodeVoiceAssist</t>
  </si>
  <si>
    <t>testOnLongClick</t>
  </si>
  <si>
    <t>testStartForegrondService</t>
  </si>
  <si>
    <t>testAllOpsHaveOpString</t>
  </si>
  <si>
    <t>testSave_sameActivity_customDescription_differentIds</t>
  </si>
  <si>
    <t>testSave_sameActivity_customDescription_sameIds</t>
  </si>
  <si>
    <t>testSendMmsMessage</t>
  </si>
  <si>
    <t>testDevQtaguidSane</t>
  </si>
  <si>
    <t>testAccessPrivateTrafficStats</t>
  </si>
  <si>
    <t>testAccessOwnQtaguidTrafficStats</t>
  </si>
  <si>
    <t>testCompositionSemantics</t>
  </si>
  <si>
    <t>testAcceptRaRtInfoMinPlen</t>
  </si>
  <si>
    <t>testAcceptRaRtInfoMaxPlen</t>
  </si>
  <si>
    <t>testRouterSolicitationMaxInterval</t>
  </si>
  <si>
    <t>permissionShouldBeRevokedIfRemoved</t>
  </si>
  <si>
    <t>testRawContactsChangeNotification</t>
  </si>
  <si>
    <t>testCanvasFromImmutableBitmap</t>
  </si>
  <si>
    <t>testSetBitmapToImmutableBitmap</t>
  </si>
  <si>
    <t>testSetBitmapFromEmpty</t>
  </si>
  <si>
    <t>testIsOpaque</t>
  </si>
  <si>
    <t>testRestoreWithoutSave</t>
  </si>
  <si>
    <t>testRestore</t>
  </si>
  <si>
    <t>testSave</t>
  </si>
  <si>
    <t>testSaveLayer1</t>
  </si>
  <si>
    <t>testSaveLayer2</t>
  </si>
  <si>
    <t>testSaveLayerAlpha1</t>
  </si>
  <si>
    <t>testSaveLayerAlpha2</t>
  </si>
  <si>
    <t>testGetSaveCount</t>
  </si>
  <si>
    <t>testRestoreToCountIllegalSaveCount</t>
  </si>
  <si>
    <t>testRestoreToCountExceptionBehavior</t>
  </si>
  <si>
    <t>testRestoreToCount</t>
  </si>
  <si>
    <t>testGetMatrix1</t>
  </si>
  <si>
    <t>testGetMatrix2</t>
  </si>
  <si>
    <t>testScale1</t>
  </si>
  <si>
    <t>testScale2</t>
  </si>
  <si>
    <t>testRotate1</t>
  </si>
  <si>
    <t>testRotate2</t>
  </si>
  <si>
    <t>testSkew</t>
  </si>
  <si>
    <t>testConcat</t>
  </si>
  <si>
    <t>testClipRectF</t>
  </si>
  <si>
    <t>testClipRect</t>
  </si>
  <si>
    <t>testClipRect4I</t>
  </si>
  <si>
    <t>testClipRect4F</t>
  </si>
  <si>
    <t>testClipOutRectF</t>
  </si>
  <si>
    <t>testClipOutRect</t>
  </si>
  <si>
    <t>testClipOutRect4I</t>
  </si>
  <si>
    <t>testClipOutRect4F</t>
  </si>
  <si>
    <t>testIntersectClipRectF</t>
  </si>
  <si>
    <t>testIntersectClipRect</t>
  </si>
  <si>
    <t>testIntersectClipRect4F</t>
  </si>
  <si>
    <t>testClipPath1</t>
  </si>
  <si>
    <t>testClipPath2</t>
  </si>
  <si>
    <t>testClipOutPath</t>
  </si>
  <si>
    <t>testClipInversePath</t>
  </si>
  <si>
    <t>testGetDrawFilter</t>
  </si>
  <si>
    <t>testQuickReject1</t>
  </si>
  <si>
    <t>testQuickReject2</t>
  </si>
  <si>
    <t>testQuickReject3</t>
  </si>
  <si>
    <t>testGetClipBounds1</t>
  </si>
  <si>
    <t>testGetClipBounds2</t>
  </si>
  <si>
    <t>testDrawRGB</t>
  </si>
  <si>
    <t>testDrawARGB</t>
  </si>
  <si>
    <t>testDrawColor1</t>
  </si>
  <si>
    <t>testDrawColor2</t>
  </si>
  <si>
    <t>testDrawPaint</t>
  </si>
  <si>
    <t>testDrawPointsInvalidOffset</t>
  </si>
  <si>
    <t>testDrawPointsInvalidCount</t>
  </si>
  <si>
    <t>testDrawPoints1</t>
  </si>
  <si>
    <t>testDrawPoints2</t>
  </si>
  <si>
    <t>testDrawPoint</t>
  </si>
  <si>
    <t>testDrawLine</t>
  </si>
  <si>
    <t>testDrawLinesInvalidOffset</t>
  </si>
  <si>
    <t>testDrawLinesInvalidCount</t>
  </si>
  <si>
    <t>testDrawLines1</t>
  </si>
  <si>
    <t>testDrawLines2</t>
  </si>
  <si>
    <t>testDrawRect1</t>
  </si>
  <si>
    <t>testDrawRect2</t>
  </si>
  <si>
    <t>testDrawRect3</t>
  </si>
  <si>
    <t>testDrawOvalNull</t>
  </si>
  <si>
    <t>testDrawOval</t>
  </si>
  <si>
    <t>testDrawCircle</t>
  </si>
  <si>
    <t>testDrawArcNullOval</t>
  </si>
  <si>
    <t>testDrawArc</t>
  </si>
  <si>
    <t>testDrawRoundRectNull</t>
  </si>
  <si>
    <t>testDrawRoundRect</t>
  </si>
  <si>
    <t>testDrawPath</t>
  </si>
  <si>
    <t>testDrawBitmapAtPointRecycled</t>
  </si>
  <si>
    <t>testDrawBitmapAtPoint</t>
  </si>
  <si>
    <t>testDrawBitmapSrcDstFloatRecycled</t>
  </si>
  <si>
    <t>testDrawBitmapSrcDstFloat</t>
  </si>
  <si>
    <t>testDrawBitmapSrcDstIntRecycled</t>
  </si>
  <si>
    <t>testDrawBitmapSrcDstInt</t>
  </si>
  <si>
    <t>testDrawBitmapIntsNegativeWidth</t>
  </si>
  <si>
    <t>testDrawBitmapIntsNegativeHeight</t>
  </si>
  <si>
    <t>testDrawBitmapIntsBadStride</t>
  </si>
  <si>
    <t>testDrawBitmapIntsNegativeOffset</t>
  </si>
  <si>
    <t>testDrawBitmapIntsBadOffset</t>
  </si>
  <si>
    <t>testDrawBitmapInts</t>
  </si>
  <si>
    <t>testDrawBitmapFloatsNegativeWidth</t>
  </si>
  <si>
    <t>testDrawBitmapFloatsNegativeHeight</t>
  </si>
  <si>
    <t>testDrawBitmapFloatsBadStride</t>
  </si>
  <si>
    <t>testDrawBitmapFloatsNegativeOffset</t>
  </si>
  <si>
    <t>testDrawBitmapFloatsBadOffset</t>
  </si>
  <si>
    <t>testDrawBitmapFloats</t>
  </si>
  <si>
    <t>testDrawBitmapMatrix</t>
  </si>
  <si>
    <t>testDrawBitmapMeshNegativeWidth</t>
  </si>
  <si>
    <t>testDrawBitmapMeshNegativeHeight</t>
  </si>
  <si>
    <t>testDrawBitmapMeshNegativeVertOffset</t>
  </si>
  <si>
    <t>testDrawBitmapMeshNegativeColorOffset</t>
  </si>
  <si>
    <t>testDrawBitmapMeshTooFewVerts</t>
  </si>
  <si>
    <t>testDrawBitmapMeshTooFewColors</t>
  </si>
  <si>
    <t>testDrawBitmapMesh</t>
  </si>
  <si>
    <t>testDrawVerticesTooFewVerts</t>
  </si>
  <si>
    <t>testDrawVerticesTooFewTexs</t>
  </si>
  <si>
    <t>testDrawVerticesTooFewColors</t>
  </si>
  <si>
    <t>testDrawVerticesTooFewIndices</t>
  </si>
  <si>
    <t>testDrawVertices</t>
  </si>
  <si>
    <t>testDrawArrayTextNegativeIndex</t>
  </si>
  <si>
    <t>testDrawArrayTextNegativeCount</t>
  </si>
  <si>
    <t>testDrawArrayTextTextLengthTooSmall</t>
  </si>
  <si>
    <t>testDrawArrayText</t>
  </si>
  <si>
    <t>testDrawStringTextAtPosition</t>
  </si>
  <si>
    <t>testDrawTextTextAtPositionWithOffsetsNegativeStart</t>
  </si>
  <si>
    <t>testDrawTextTextAtPositionWithOffsetsNegativeEnd</t>
  </si>
  <si>
    <t>testDrawTextTextAtPositionWithOffsetsStartEndMismatch</t>
  </si>
  <si>
    <t>testDrawTextTextAtPositionWithOffsetsTextTooLong</t>
  </si>
  <si>
    <t>testDrawTextTextAtPositionWithOffsets</t>
  </si>
  <si>
    <t>testDrawTextRun</t>
  </si>
  <si>
    <t>testDrawTextRunNullCharArray</t>
  </si>
  <si>
    <t>testDrawTextRunNullCharSequence</t>
  </si>
  <si>
    <t>testDrawTextRunCharArrayNullPaint</t>
  </si>
  <si>
    <t>testDrawTextRunCharSequenceNullPaint</t>
  </si>
  <si>
    <t>testDrawTextRunNegativeIndex</t>
  </si>
  <si>
    <t>testDrawTextRunNegativeCount</t>
  </si>
  <si>
    <t>testDrawTextRunContestIndexTooLarge</t>
  </si>
  <si>
    <t>testDrawTextRunContestIndexTooSmall</t>
  </si>
  <si>
    <t>testDrawTextRunIndexTooLarge</t>
  </si>
  <si>
    <t>testDrawTextRunNegativeContextStart</t>
  </si>
  <si>
    <t>testDrawTextRunStartLessThanContextStart</t>
  </si>
  <si>
    <t>testDrawTextRunEndLessThanStart</t>
  </si>
  <si>
    <t>testDrawTextRunContextEndLessThanEnd</t>
  </si>
  <si>
    <t>testDrawTextRunContextEndLargerThanTextLength</t>
  </si>
  <si>
    <t>testDrawPosTextWithIndexAndCountNegativeIndex</t>
  </si>
  <si>
    <t>testDrawPosTextWithIndexAndCountTextTooShort</t>
  </si>
  <si>
    <t>testDrawPosTextWithIndexAndCountCountTooLarge</t>
  </si>
  <si>
    <t>testDrawPosTextWithIndexAndCount</t>
  </si>
  <si>
    <t>testDrawPosTextCountTooLarge</t>
  </si>
  <si>
    <t>testDrawPosText</t>
  </si>
  <si>
    <t>testDrawTextOnPathWithIndexAndCountNegativeIndex</t>
  </si>
  <si>
    <t>testDrawTextOnPathWithIndexAndCountTextTooShort</t>
  </si>
  <si>
    <t>testDrawTextOnPathWithIndexAndCount</t>
  </si>
  <si>
    <t>testDrawTextOnPathtestDrawTextRunNegativeCount</t>
  </si>
  <si>
    <t>testDrawPicture1</t>
  </si>
  <si>
    <t>testDrawPicture2</t>
  </si>
  <si>
    <t>testDrawPicture3</t>
  </si>
  <si>
    <t>testDrawHwBitmap_inSwCanvas</t>
  </si>
  <si>
    <t>testDrawHwBitmap_inPictureCanvas_inSwCanvas</t>
  </si>
  <si>
    <t>testDrawHwBitmap_inPictureCanvas_inPictureCanvas_inSwCanvas</t>
  </si>
  <si>
    <t>testHwBitmapShaderInSwCanvas1</t>
  </si>
  <si>
    <t>testHwBitmapShaderInSwCanvas2</t>
  </si>
  <si>
    <t>testDrawBitmapColorBehavior</t>
  </si>
  <si>
    <t>testStagefright_bug_36592202</t>
  </si>
  <si>
    <t>testStagefright_bug_63522067</t>
  </si>
  <si>
    <t>testDebugLayerLoadExternalVulkan</t>
  </si>
  <si>
    <t>testDebugLayerLoadGLES</t>
  </si>
  <si>
    <t>testReleaseLayerLoadGLES</t>
  </si>
  <si>
    <t>testDebugNotEnabledGLES</t>
  </si>
  <si>
    <t>testDebugWrongAppGLES</t>
  </si>
  <si>
    <t>testDebugNoLayersEnabledGLES</t>
  </si>
  <si>
    <t>testSystemPropertyEnableGLES</t>
  </si>
  <si>
    <t>testSystemPropertyIgnoreGLES</t>
  </si>
  <si>
    <t>testDebugLayerLoadExternalGLES</t>
  </si>
  <si>
    <t>testKeyStore_SetEntry_PrivateKeyEntry_Params_Unencrypted_Failure</t>
  </si>
  <si>
    <t>testDisableCameraInPrimaryProfile</t>
  </si>
  <si>
    <t>testEnableCameraInPrimaryProfile</t>
  </si>
  <si>
    <t>testIsCameraEnabledInPrimaryProfile</t>
  </si>
  <si>
    <t>testIsCameraEnabledInManagedProfile</t>
  </si>
  <si>
    <t>testIsNotified</t>
  </si>
  <si>
    <t>testDeviceIdentifiersAreNotAccessible</t>
  </si>
  <si>
    <t>getAllVolumeNames</t>
  </si>
  <si>
    <t>testStagefright_bug_37710346</t>
  </si>
  <si>
    <t>testStagefright_cve_2016_3828</t>
  </si>
  <si>
    <t>testUserRejects</t>
  </si>
  <si>
    <t>testNotAskedAgain</t>
  </si>
  <si>
    <t>testDeniesOnceForAllClearedWhenPackageRemoved</t>
  </si>
  <si>
    <t>testDeniesOnceButAllowsAskingAgain</t>
  </si>
  <si>
    <t>testDeniesOnceForAll</t>
  </si>
  <si>
    <t>testResetDoNotAskAgain</t>
  </si>
  <si>
    <t>testResetGranted</t>
  </si>
  <si>
    <t>testUserAccepts</t>
  </si>
  <si>
    <t>testUserAcceptsNewDirectory</t>
  </si>
  <si>
    <t>testNotAskedAgainOnRoot</t>
  </si>
  <si>
    <t>testRemovePackageStep1UserDenies</t>
  </si>
  <si>
    <t>testRemovePackageStep2UserAcceptsDoNotClear</t>
  </si>
  <si>
    <t>testActivityManager_checkAppInForegroundCall</t>
  </si>
  <si>
    <t>testNonApiReferences</t>
  </si>
  <si>
    <t>testTargetSdk</t>
  </si>
  <si>
    <t>testStagefright_bug_64710074</t>
  </si>
  <si>
    <t>testSetTestProviderStatus</t>
  </si>
  <si>
    <t>testWifiManagerNetWork</t>
  </si>
  <si>
    <t>testSetHttpProxy_PermissionFail</t>
  </si>
  <si>
    <t>testSetWifiEnabledByAppDoesNotStopHotspot</t>
  </si>
  <si>
    <t>testPlayVideo</t>
  </si>
  <si>
    <t>testPlayVideoOnTextureView</t>
  </si>
  <si>
    <t>testTestBrowserCallback</t>
  </si>
  <si>
    <t>testGetMediaSession2Tokens_hasMediaController</t>
  </si>
  <si>
    <t>testGetSessionTokens_sessionRejected</t>
  </si>
  <si>
    <t>testGetMediaSession2Tokens_sessionClosed</t>
  </si>
  <si>
    <t>testGetMediaSessionService2Token</t>
  </si>
  <si>
    <t>testGetAllSessionTokens</t>
  </si>
  <si>
    <t>testAddOnSessionTokensChangedListener</t>
  </si>
  <si>
    <t>testRemoveOnSessionTokensChangedListener</t>
  </si>
  <si>
    <t>testShow_withDecoupledWindowPosition</t>
  </si>
  <si>
    <t>testDismiss</t>
  </si>
  <si>
    <t>testUpdate</t>
  </si>
  <si>
    <t>testWindowPosition</t>
  </si>
  <si>
    <t>testTestControllerCallback</t>
  </si>
  <si>
    <t>testGettersAfterConnected</t>
  </si>
  <si>
    <t>testGetPlaylist</t>
  </si>
  <si>
    <t>testUpdatePlaylistMetadata</t>
  </si>
  <si>
    <t>testGetPlaylistMetadata</t>
  </si>
  <si>
    <t>testControllerCallback_onPlaylistMetadataChanged</t>
  </si>
  <si>
    <t>testAddPlaylistItem</t>
  </si>
  <si>
    <t>testRemovePlaylistItem</t>
  </si>
  <si>
    <t>testReplacePlaylistItem</t>
  </si>
  <si>
    <t>testSkipToPreviousItem</t>
  </si>
  <si>
    <t>testSkipToNextItem</t>
  </si>
  <si>
    <t>testSkipToPlaylistItem</t>
  </si>
  <si>
    <t>testGetShuffleMode</t>
  </si>
  <si>
    <t>testSetShuffleMode</t>
  </si>
  <si>
    <t>testGetRepeatMode</t>
  </si>
  <si>
    <t>testSetRepeatMode</t>
  </si>
  <si>
    <t>testPlayerStateChange</t>
  </si>
  <si>
    <t>testCurrentDataSourceChanged</t>
  </si>
  <si>
    <t>testMediaPrepared</t>
  </si>
  <si>
    <t>testBufferingStateChanged</t>
  </si>
  <si>
    <t>testUpdatePlayer</t>
  </si>
  <si>
    <t>testGetPlayerState</t>
  </si>
  <si>
    <t>testGetPosition</t>
  </si>
  <si>
    <t>testGetBufferedPosition</t>
  </si>
  <si>
    <t>testSessionCallback_onPlaylistChanged</t>
  </si>
  <si>
    <t>testOnDisconnectCallback</t>
  </si>
  <si>
    <t>testSetAllowedCommands</t>
  </si>
  <si>
    <t>testNotifyError</t>
  </si>
  <si>
    <t>testSetVolume</t>
  </si>
  <si>
    <t>testChangingPermissionWithSetAllowedCommands</t>
  </si>
  <si>
    <t>testStagefright_bug_24157524</t>
  </si>
  <si>
    <t>testDebugOptionOn</t>
  </si>
  <si>
    <t>testDebugOptionOff</t>
  </si>
  <si>
    <t>testAppOverlay</t>
  </si>
  <si>
    <t>testManageDocumentsMustIncludedInDocumentUi</t>
  </si>
  <si>
    <t>testMyanmarUnicodeRenders</t>
  </si>
  <si>
    <t>testUnicodeRenders_withValidLocaleList</t>
  </si>
  <si>
    <t>testAddEapNetwork</t>
  </si>
  <si>
    <t>testPerformance</t>
  </si>
  <si>
    <t>testUpdateDownload</t>
  </si>
  <si>
    <t>testSendExtraCommand</t>
  </si>
  <si>
    <t>testCursorDrawable_cannotBeSetToNegativeResId</t>
  </si>
  <si>
    <t>testSelectHandleDrawable_cannotBeSetToNegativeResId</t>
  </si>
  <si>
    <t>testSelectHandleDrawableLeft_cannotBeSetToNegativeResId</t>
  </si>
  <si>
    <t>testSelectHandleDrawableRight_cannotBeSetToNegativeResId</t>
  </si>
  <si>
    <t>testNoteOpAndCheckOp</t>
  </si>
  <si>
    <t>testStartOpAndFinishOp</t>
  </si>
  <si>
    <t>testCheckPackagePassesCheck</t>
  </si>
  <si>
    <t>testCheckPackageDoesntPassCheck</t>
  </si>
  <si>
    <t>testWatchingMode</t>
  </si>
  <si>
    <t>testOpCodesUnique</t>
  </si>
  <si>
    <t>testCantSetModeForSelf</t>
  </si>
  <si>
    <t>testGetOpsForPackage_opsAreLogged</t>
  </si>
  <si>
    <t>testGetHistoricalPackageOps</t>
  </si>
  <si>
    <t>testGetAllHistoricPackageOps</t>
  </si>
  <si>
    <t>testMapping</t>
  </si>
  <si>
    <t>testSystemActivitiesAllowed</t>
  </si>
  <si>
    <t>testServiceDistractionOptimized</t>
  </si>
  <si>
    <t>testModeAndProviderApisConsistent</t>
  </si>
  <si>
    <t>testStoreAudioAlbumsInternal</t>
  </si>
  <si>
    <t>testStoreAudioAlbumsExternal</t>
  </si>
  <si>
    <t>testStoreAudioArtistsInternal</t>
  </si>
  <si>
    <t>testStoreAudioArtistsExternal</t>
  </si>
  <si>
    <t>testStoreAudioArtistsAlbumsInternal</t>
  </si>
  <si>
    <t>testStoreAudioArtistsAlbumsExternal</t>
  </si>
  <si>
    <t>testStoreAudioMediaInternal</t>
  </si>
  <si>
    <t>testStoreAudioMediaExternal</t>
  </si>
  <si>
    <t>test_bothFeaturesDeclared</t>
  </si>
  <si>
    <t>testStoreAudioPlaylistsInternal</t>
  </si>
  <si>
    <t>testStoreAudioPlaylistsMembersInternal</t>
  </si>
  <si>
    <t>testEnablingAndDisablingBackupService</t>
  </si>
  <si>
    <t>testBackupServiceEnabling</t>
  </si>
  <si>
    <t>testSinglePointAdaptation</t>
  </si>
  <si>
    <t>testCctToIlluminantdXyz</t>
  </si>
  <si>
    <t>testCctToIlluminantdXyzErrors</t>
  </si>
  <si>
    <t>testContentDirectoryUri</t>
  </si>
  <si>
    <t>testContentPhotoUri</t>
  </si>
  <si>
    <t>testSignature</t>
  </si>
  <si>
    <t>testSourcePosition_respectsMaxInViewBounds</t>
  </si>
  <si>
    <t>testProfileWifiCleanup</t>
  </si>
  <si>
    <t>testNotifySession2Created_withDestroyedToken_shouldThrowIAE</t>
  </si>
  <si>
    <t>testNotifySession2Destroyed_withLiveToken_shouldThrowIAE</t>
  </si>
  <si>
    <t>testLaunchAnotherActivity_serviceDisabledActivity</t>
  </si>
  <si>
    <t>testSimpleLifecycle_serviceDisabledActivity</t>
  </si>
  <si>
    <t>testDisabledByFlagSecureAndService</t>
  </si>
  <si>
    <t>testDisabledByAppAndAndService</t>
  </si>
  <si>
    <t>testGetAllCrashes</t>
  </si>
  <si>
    <t>testValidCrash</t>
  </si>
  <si>
    <t>testMissingName</t>
  </si>
  <si>
    <t>testSIGABRT</t>
  </si>
  <si>
    <t>testFaultAddressBelowMin</t>
  </si>
  <si>
    <t>testIgnoreMinAddressCheck</t>
  </si>
  <si>
    <t>testBadAbortMessage</t>
  </si>
  <si>
    <t>testGoodAndBadCrashes</t>
  </si>
  <si>
    <t>testShowUpdateWhenUserChangedOptionalValueFromDatasetAndRequiredNotFromDataset</t>
  </si>
  <si>
    <t>testRetentionWeeks</t>
  </si>
  <si>
    <t>testUserTriggered</t>
  </si>
  <si>
    <t>testUndefined</t>
  </si>
  <si>
    <t>testUsageInfoRequired</t>
  </si>
  <si>
    <t>testTrashUntrash</t>
  </si>
  <si>
    <t>testTrashExecutes</t>
  </si>
  <si>
    <t>testAddRemoveAnimationListener</t>
  </si>
  <si>
    <t>testScaleChangeCallbackMatchesGetScale</t>
  </si>
  <si>
    <t>testLoadDataWithBaseUrl</t>
  </si>
  <si>
    <t>testRequiredBluetoothProfilesExist</t>
  </si>
  <si>
    <t>testBuilder_invalidAction</t>
  </si>
  <si>
    <t>testAfterBuild_setAction</t>
  </si>
  <si>
    <t>testAfterBuild_setUri</t>
  </si>
  <si>
    <t>testSetGetUri</t>
  </si>
  <si>
    <t>testSetGetAction</t>
  </si>
  <si>
    <t>testSetContentCaptureFeatureEnabled_notService</t>
  </si>
  <si>
    <t>testCompatibilityWALIsDefaultWhenSupported</t>
  </si>
  <si>
    <t>testGetServiceState</t>
  </si>
  <si>
    <t>testMmsInsert_insertFailsWhenNotDefault</t>
  </si>
  <si>
    <t>testMmsQuery_canViewSendReqMessageIfNotDefault</t>
  </si>
  <si>
    <t>testMmsQuery_cannotViewNotificationIndMessagesIfNotDefault</t>
  </si>
  <si>
    <t>migratedRoleHoldersNotEmpty</t>
  </si>
  <si>
    <t>backgroundLocationDoesNotInheritGrantedPermissionState</t>
  </si>
  <si>
    <t>testGetAzimuth</t>
  </si>
  <si>
    <t>testGetElevation</t>
  </si>
  <si>
    <t>testGetPrn</t>
  </si>
  <si>
    <t>testGetSnr</t>
  </si>
  <si>
    <t>testHasAlmanac</t>
  </si>
  <si>
    <t>testHasEphemeris</t>
  </si>
  <si>
    <t>testUsedInFix</t>
  </si>
  <si>
    <t>testGetSatellites</t>
  </si>
  <si>
    <t>testGetTimeToFirstFix</t>
  </si>
  <si>
    <t>testGpsStatusListener</t>
  </si>
  <si>
    <t>testBubbleMetadataBuilder_throwForNoTitle</t>
  </si>
  <si>
    <t>testAccessElapsedRealtimeUncertaintyNanos</t>
  </si>
  <si>
    <t>testGetPackage</t>
  </si>
  <si>
    <t>testGetKey</t>
  </si>
  <si>
    <t>testGetExplanation</t>
  </si>
  <si>
    <t>testGetUser</t>
  </si>
  <si>
    <t>testGetSignals</t>
  </si>
  <si>
    <t>testParcelling</t>
  </si>
  <si>
    <t>testOnNotificationEnqueued</t>
  </si>
  <si>
    <t>testAdjustNotification_userSentimentKey</t>
  </si>
  <si>
    <t>testAdjustNotification_importanceKey</t>
  </si>
  <si>
    <t>testAdjustNotification_smartActionKey</t>
  </si>
  <si>
    <t>testAdjustNotification_smartReplyKey</t>
  </si>
  <si>
    <t>testOnActionInvoked_methodExists</t>
  </si>
  <si>
    <t>testOnNotificationDirectReplied_methodExists</t>
  </si>
  <si>
    <t>testOnNotificationExpansionChanged_methodExists</t>
  </si>
  <si>
    <t>testOnNotificationsSeen_methodExists</t>
  </si>
  <si>
    <t>testOnSuggestedReplySent_methodExists</t>
  </si>
  <si>
    <t>testCannotSetOffMode</t>
  </si>
  <si>
    <t>testAddPasspointConfigWithUserCredential</t>
  </si>
  <si>
    <t>testAddPasspointConfigWithCertCredential</t>
  </si>
  <si>
    <t>testAddPasspointConfigWithSimCredential</t>
  </si>
  <si>
    <t>testSimpleValue</t>
  </si>
  <si>
    <t>testMissingValue</t>
  </si>
  <si>
    <t>testBuilderReuse</t>
  </si>
  <si>
    <t>testDisallowSetUserIcon_allowed</t>
  </si>
  <si>
    <t>testSimCardPresent</t>
  </si>
  <si>
    <t>testTelephonyApisAreAccessible</t>
  </si>
  <si>
    <t>acceptSameStyleFontInFamilyTest</t>
  </si>
  <si>
    <t>testSameStyleFamilyExceptionIgnoringTest</t>
  </si>
  <si>
    <t>testNXQuery</t>
  </si>
  <si>
    <t>testSettingSubscriptionMeteredNess</t>
  </si>
  <si>
    <t>testServiceState</t>
  </si>
  <si>
    <t>testMediaTimestampCopyCtor</t>
  </si>
  <si>
    <t>testSubtitleDataCopyCtor</t>
  </si>
  <si>
    <t>testTimedMetaDataCopyCtor</t>
  </si>
  <si>
    <t>testNodeName</t>
  </si>
  <si>
    <t>testPlaybackFailsIfDataSourceCallbackReturnsAnError</t>
  </si>
  <si>
    <t>testCallbackDataSourceDesc</t>
  </si>
  <si>
    <t>testDirectories_Secondary</t>
  </si>
  <si>
    <t>testGetDefault</t>
  </si>
  <si>
    <t>test_Y_U_NO_PASS_QUESTION_MARK</t>
  </si>
  <si>
    <t>testProvideCallIdentificationForIncoming</t>
  </si>
  <si>
    <t>testProvideCallIdentificationForOutgoing</t>
  </si>
  <si>
    <t>testParcelUnparcel</t>
  </si>
  <si>
    <t>testReportNuisanceInvalid</t>
  </si>
  <si>
    <t>testReportNuisanceIncoming</t>
  </si>
  <si>
    <t>testMediaStackPermissions</t>
  </si>
  <si>
    <t>lNoUpdate</t>
  </si>
  <si>
    <t>pNoUpdate</t>
  </si>
  <si>
    <t>qNoUpdate</t>
  </si>
  <si>
    <t>lToPUpdate</t>
  </si>
  <si>
    <t>lToQUpdate</t>
  </si>
  <si>
    <t>pToPUpdate</t>
  </si>
  <si>
    <t>pToQUpdate</t>
  </si>
  <si>
    <t>qToPUpdate</t>
  </si>
  <si>
    <t>pToPUpdateGranted</t>
  </si>
  <si>
    <t>pToQUpdateGranted</t>
  </si>
  <si>
    <t>qToPUpdateGranted</t>
  </si>
  <si>
    <t>preserveUserSetDuringPToQUpdate</t>
  </si>
  <si>
    <t>preserveUserSetDuringQToPUpdate</t>
  </si>
  <si>
    <t>dontCreateSystemFixedGrantedDuringPToQUpdate</t>
  </si>
  <si>
    <t>grandfatheredLNoUpdate</t>
  </si>
  <si>
    <t>grandfatheredPNoUpdate</t>
  </si>
  <si>
    <t>grandfatheredQNoUpdate</t>
  </si>
  <si>
    <t>grandfatheredLToPUpdate</t>
  </si>
  <si>
    <t>grandfatheredLToQUpdate</t>
  </si>
  <si>
    <t>grandfatheredPToQUpdate</t>
  </si>
  <si>
    <t>grandfatheredQToPUpdate</t>
  </si>
  <si>
    <t>testOffHostCardEmulationFeatures</t>
  </si>
  <si>
    <t>testMandatoryLogicalOutputCombinations</t>
  </si>
  <si>
    <t>testGameRotationVectorFifoLength</t>
  </si>
  <si>
    <t>testDelegationPackageInstallation</t>
  </si>
  <si>
    <t>testBadReadType</t>
  </si>
  <si>
    <t>testBadWireType</t>
  </si>
  <si>
    <t>testImageCaptureWithoutLocationAccess</t>
  </si>
  <si>
    <t>testVideoCaptureWithoutLocationAccess</t>
  </si>
  <si>
    <t>notificationIsShownAgainAfterUninstallAndReinstall</t>
  </si>
  <si>
    <t>testNullables</t>
  </si>
  <si>
    <t>testQueryWithInetAddressCallback</t>
  </si>
  <si>
    <t>testRequestBugreportLogged</t>
  </si>
  <si>
    <t>testStoreAudioGenresInternal</t>
  </si>
  <si>
    <t>testStoreAudioGenresMembersInternal</t>
  </si>
  <si>
    <t>testStoreImagesMediaInternal</t>
  </si>
  <si>
    <t>testStoreVideoMediaInternal</t>
  </si>
  <si>
    <t>callDataChanged</t>
  </si>
  <si>
    <t>testUriDataSourceDesc</t>
  </si>
  <si>
    <t>testUriDataSourceDescWithNullArguments</t>
  </si>
  <si>
    <t>testCAR_CLEARKEY_AUDIO_DOWNLOADED_V0_SYNC</t>
  </si>
  <si>
    <t>testCAR_CLEARKEY_AUDIO_DOWNLOADED_V1_ASYNC</t>
  </si>
  <si>
    <t>testCAR_CLEARKEY_AUDIO_DOWNLOADED_V2_SYNC_CONFIG</t>
  </si>
  <si>
    <t>testCAR_CLEARKEY_AUDIO_DOWNLOADED_V3_ASYNC_DRMPREPARED</t>
  </si>
  <si>
    <t>testCAR_CLEARKEY_AUDIO_DOWNLOADED_V4_OFFLINE_KEY</t>
  </si>
  <si>
    <t>testCAR_CLEARKEY_AUDIO_DOWNLOADED_V5_ASYNC_CALLBACKS</t>
  </si>
  <si>
    <t>testCAR_CLEARKEY_AUDIO_DOWNLOADED_V6_ASYNC_KEYREQUEST_ERR_TEST</t>
  </si>
  <si>
    <t>testVorbisCrash</t>
  </si>
  <si>
    <t>testPlayNullSourcePath</t>
  </si>
  <si>
    <t>testPlayAudioFromDataURI</t>
  </si>
  <si>
    <t>testPlayAudio</t>
  </si>
  <si>
    <t>testConcurentPlayAudio</t>
  </si>
  <si>
    <t>testPlayAudioLooping</t>
  </si>
  <si>
    <t>testPlayMidi</t>
  </si>
  <si>
    <t>testPlayAudioTwice</t>
  </si>
  <si>
    <t>testPlayVideoWithCookies</t>
  </si>
  <si>
    <t>testVideoSurfaceResetting</t>
  </si>
  <si>
    <t>testRecordedVideoPlayback0</t>
  </si>
  <si>
    <t>testRecordedVideoPlayback90</t>
  </si>
  <si>
    <t>testRecordedVideoPlayback180</t>
  </si>
  <si>
    <t>testRecordedVideoPlayback270</t>
  </si>
  <si>
    <t>testPlaylist</t>
  </si>
  <si>
    <t>testClearNextDataSources</t>
  </si>
  <si>
    <t>testSetPlaybackParamsSpeeds</t>
  </si>
  <si>
    <t>testPlaybackRate</t>
  </si>
  <si>
    <t>testSeekModes</t>
  </si>
  <si>
    <t>testGetTimestamp</t>
  </si>
  <si>
    <t>testLocalVideo_MKV_H265_1280x720_500kbps_25fps_AAC_Stereo_128kbps_44100Hz</t>
  </si>
  <si>
    <t>testLocalVideo_MP4_H264_480x360_500kbps_25fps_AAC_Stereo_128kbps_44110Hz</t>
  </si>
  <si>
    <t>testLocalVideo_MP4_H264_480x360_500kbps_30fps_AAC_Stereo_128kbps_44110Hz</t>
  </si>
  <si>
    <t>testLocalVideo_MP4_H264_480x360_1000kbps_25fps_AAC_Stereo_128kbps_44110Hz</t>
  </si>
  <si>
    <t>testLocalVideo_MP4_H264_480x360_1000kbps_30fps_AAC_Stereo_128kbps_44110Hz</t>
  </si>
  <si>
    <t>testLocalVideo_MP4_H264_480x360_1350kbps_25fps_AAC_Stereo_128kbps_44110Hz</t>
  </si>
  <si>
    <t>testLocalVideo_MP4_H264_480x360_1350kbps_30fps_AAC_Stereo_128kbps_44110Hz</t>
  </si>
  <si>
    <t>testLocalVideo_MP4_H264_480x360_1350kbps_30fps_AAC_Stereo_128kbps_44110Hz_frag</t>
  </si>
  <si>
    <t>testLocalVideo_MP4_H264_480x360_1350kbps_30fps_AAC_Stereo_192kbps_44110Hz</t>
  </si>
  <si>
    <t>testLocalVideo_3gp_H263_176x144_56kbps_12fps_AAC_Mono_24kbps_11025Hz</t>
  </si>
  <si>
    <t>testLocalVideo_3gp_H263_176x144_56kbps_12fps_AAC_Mono_24kbps_22050Hz</t>
  </si>
  <si>
    <t>testLocalVideo_3gp_H263_176x144_56kbps_12fps_AAC_Stereo_24kbps_11025Hz</t>
  </si>
  <si>
    <t>testLocalVideo_3gp_H263_176x144_56kbps_12fps_AAC_Stereo_24kbps_22050Hz</t>
  </si>
  <si>
    <t>testLocalVideo_3gp_H263_176x144_56kbps_12fps_AAC_Stereo_128kbps_11025Hz</t>
  </si>
  <si>
    <t>testLocalVideo_3gp_H263_176x144_56kbps_12fps_AAC_Stereo_128kbps_22050Hz</t>
  </si>
  <si>
    <t>testLocalVideo_3gp_H263_176x144_56kbps_25fps_AAC_Mono_24kbps_11025Hz</t>
  </si>
  <si>
    <t>testLocalVideo_3gp_H263_176x144_56kbps_25fps_AAC_Mono_24kbps_22050Hz</t>
  </si>
  <si>
    <t>testLocalVideo_3gp_H263_176x144_56kbps_25fps_AAC_Stereo_24kbps_11025Hz</t>
  </si>
  <si>
    <t>testLocalVideo_3gp_H263_176x144_56kbps_25fps_AAC_Stereo_24kbps_22050Hz</t>
  </si>
  <si>
    <t>testLocalVideo_3gp_H263_176x144_56kbps_25fps_AAC_Stereo_128kbps_11025Hz</t>
  </si>
  <si>
    <t>testLocalVideo_3gp_H263_176x144_56kbps_25fps_AAC_Stereo_128kbps_22050Hz</t>
  </si>
  <si>
    <t>testLocalVideo_3gp_H263_176x144_300kbps_12fps_AAC_Mono_24kbps_11025Hz</t>
  </si>
  <si>
    <t>testLocalVideo_3gp_H263_176x144_300kbps_12fps_AAC_Mono_24kbps_22050Hz</t>
  </si>
  <si>
    <t>testLocalVideo_3gp_H263_176x144_300kbps_12fps_AAC_Stereo_24kbps_11025Hz</t>
  </si>
  <si>
    <t>testLocalVideo_3gp_H263_176x144_300kbps_12fps_AAC_Stereo_24kbps_22050Hz</t>
  </si>
  <si>
    <t>testLocalVideo_3gp_H263_176x144_300kbps_12fps_AAC_Stereo_128kbps_11025Hz</t>
  </si>
  <si>
    <t>testLocalVideo_3gp_H263_176x144_300kbps_12fps_AAC_Stereo_128kbps_22050Hz</t>
  </si>
  <si>
    <t>testLocalVideo_3gp_H263_176x144_300kbps_25fps_AAC_Mono_24kbps_11025Hz</t>
  </si>
  <si>
    <t>testLocalVideo_3gp_H263_176x144_300kbps_25fps_AAC_Mono_24kbps_22050Hz</t>
  </si>
  <si>
    <t>testLocalVideo_3gp_H263_176x144_300kbps_25fps_AAC_Stereo_24kbps_11025Hz</t>
  </si>
  <si>
    <t>testLocalVideo_3gp_H263_176x144_300kbps_25fps_AAC_Stereo_24kbps_22050Hz</t>
  </si>
  <si>
    <t>testLocalVideo_3gp_H263_176x144_300kbps_25fps_AAC_Stereo_128kbps_11025Hz</t>
  </si>
  <si>
    <t>testLocalVideo_3gp_H263_176x144_300kbps_25fps_AAC_Stereo_128kbps_22050Hz</t>
  </si>
  <si>
    <t>testDeselectTrackForSubtitleTracks</t>
  </si>
  <si>
    <t>testChangeSubtitleTrack</t>
  </si>
  <si>
    <t>testGetTrackInfoForVideoWithSubtitleTracks</t>
  </si>
  <si>
    <t>testRecordAndPlay</t>
  </si>
  <si>
    <t>testPlaybackFromProxyFileDescriptorCallback</t>
  </si>
  <si>
    <t>testNullDataSourceDescIsRejected</t>
  </si>
  <si>
    <t>testProxyFileDescriptorCallbackIsClosedOnReset</t>
  </si>
  <si>
    <t>testPlaybackFailsIfProxyFileDescriptorCallbackThrows</t>
  </si>
  <si>
    <t>testClose</t>
  </si>
  <si>
    <t>testConsecutiveSeeks</t>
  </si>
  <si>
    <t>testFileDataSourceDesc</t>
  </si>
  <si>
    <t>testStartEndPositions</t>
  </si>
  <si>
    <t>testCancelPendingCommands</t>
  </si>
  <si>
    <t>testHandleFileDataSourceDesc</t>
  </si>
  <si>
    <t>test_mediaPlayer2_preferredDevice</t>
  </si>
  <si>
    <t>test_mediaPlayer2_getRoutedDevice</t>
  </si>
  <si>
    <t>test_MediaPlayer2_RoutingListener</t>
  </si>
  <si>
    <t>test_MediaPlayer2_RoutingChangedCallback</t>
  </si>
  <si>
    <t>test_mediaPlayer2_incallMusicRoutingPermissions</t>
  </si>
  <si>
    <t>testHTTP_H263_AMR_Video1</t>
  </si>
  <si>
    <t>testHTTP_H263_AMR_Video2</t>
  </si>
  <si>
    <t>testHTTP_MPEG4SP_AAC_Video1</t>
  </si>
  <si>
    <t>testHTTP_MPEG4SP_AAC_Video2</t>
  </si>
  <si>
    <t>testHTTP_H264Base_AAC_Video1</t>
  </si>
  <si>
    <t>testHTTP_H264Base_AAC_Video2</t>
  </si>
  <si>
    <t>testHLS</t>
  </si>
  <si>
    <t>testHlsWithHeadersCookies</t>
  </si>
  <si>
    <t>testHlsSampleAes_bbb_audio_only_overridable</t>
  </si>
  <si>
    <t>testHlsSampleAes_bbb_unmuxed_1500k</t>
  </si>
  <si>
    <t>testPlayMp3Stream1Ssl</t>
  </si>
  <si>
    <t>testPlayHlsStream</t>
  </si>
  <si>
    <t>testPlayHlsStreamWithQueryString</t>
  </si>
  <si>
    <t>testPlayHlsStreamWithRedirect</t>
  </si>
  <si>
    <t>testPlayHlsStreamWithTimedId3</t>
  </si>
  <si>
    <t>testBlockingReadRelease</t>
  </si>
  <si>
    <t>testSimpleSessionLifecycle</t>
  </si>
  <si>
    <t>testGetServiceComponentName</t>
  </si>
  <si>
    <t>testGetServiceComponentName_onUiThread</t>
  </si>
  <si>
    <t>testIsContentCaptureFeatureEnabled_onUiThread</t>
  </si>
  <si>
    <t>testDisableContentCaptureService_onUiThread</t>
  </si>
  <si>
    <t>testOnConnectionEvents</t>
  </si>
  <si>
    <t>testSimpleSessionLifecycle_noAnimation</t>
  </si>
  <si>
    <t>testDefaultLifecycle</t>
  </si>
  <si>
    <t>testGetContentCapture_disabledWhenNoService</t>
  </si>
  <si>
    <t>testGetContentCapture_enabledWhenNoService</t>
  </si>
  <si>
    <t>testLaunchAnotherActivity</t>
  </si>
  <si>
    <t>testLaunchAnotherActivity_onTopOfIt</t>
  </si>
  <si>
    <t>testAddAndRemoveNoImportantChild</t>
  </si>
  <si>
    <t>testAddAndRemoveImportantChild</t>
  </si>
  <si>
    <t>testAddImportantChildAfterSessionStarted</t>
  </si>
  <si>
    <t>testAddAndRemoveImportantChildOnDifferentSession</t>
  </si>
  <si>
    <t>testDinamicallyManageChildlessSiblingSessions</t>
  </si>
  <si>
    <t>testDinamicallyAddOneChildOnAnotherSession_manuallyCloseSession</t>
  </si>
  <si>
    <t>testDinamicallyAddOneChildOnAnotherSession_autoCloseSession</t>
  </si>
  <si>
    <t>testDinamicallyManageSiblingSessions</t>
  </si>
  <si>
    <t>testNestedSessions_simplestScenario</t>
  </si>
  <si>
    <t>testDinamicallyManageChildlessNestedSessions</t>
  </si>
  <si>
    <t>testRemoveChildrenFromDifferentSessions</t>
  </si>
  <si>
    <t>testIsContentCaptureFeatureEnabled_notService</t>
  </si>
  <si>
    <t>testSetContentCaptureFeatureEnabled_disabledBySettings</t>
  </si>
  <si>
    <t>testSetContentCaptureFeatureEnabled_disabledThenReEnabledBySettings</t>
  </si>
  <si>
    <t>testSetContentCaptureFeatureEnabled_disabledByApi</t>
  </si>
  <si>
    <t>testSetContentCaptureFeatureEnabled_disabledThenReEnabledByApi</t>
  </si>
  <si>
    <t>testSetContentCaptureFeatureEnabled_disabledByDeviceConfig</t>
  </si>
  <si>
    <t>testSetContentCaptureFeatureEnabled_disabledThenReEnabledByDeviceConfig</t>
  </si>
  <si>
    <t>testSimpleLifecycle_defaultSession</t>
  </si>
  <si>
    <t>testSimpleLifecycle_rootViewSession</t>
  </si>
  <si>
    <t>testSimpleLifecycle_changeContextAfterCreate</t>
  </si>
  <si>
    <t>testSimpleLifecycle_changeContextOnCreate</t>
  </si>
  <si>
    <t>testTextChanged</t>
  </si>
  <si>
    <t>testTextChangeBuffer</t>
  </si>
  <si>
    <t>testDisabledByFlagSecure</t>
  </si>
  <si>
    <t>testDisabledByApp</t>
  </si>
  <si>
    <t>testDisabledFlagSecureAndByApp</t>
  </si>
  <si>
    <t>testUserDataRemovalRequest_forEverything</t>
  </si>
  <si>
    <t>testUserDataRemovalRequest_oneId</t>
  </si>
  <si>
    <t>testUserDataRemovalRequest_manyIds</t>
  </si>
  <si>
    <t>testAddChildren_rightAway</t>
  </si>
  <si>
    <t>testAddChildren_afterAnimation</t>
  </si>
  <si>
    <t>testWhitelist_packageNotWhitelisted</t>
  </si>
  <si>
    <t>testWhitelist_activityNotWhitelisted</t>
  </si>
  <si>
    <t>testNfcFeatures</t>
  </si>
  <si>
    <t>testParcelUnparcel_minimumEvent</t>
  </si>
  <si>
    <t>testFullEvent</t>
  </si>
  <si>
    <t>testParcelUnparcel_fullEvent</t>
  </si>
  <si>
    <t>testBuilder_illegal_end_position</t>
  </si>
  <si>
    <t>testBuilder_illegal_start_end_position</t>
  </si>
  <si>
    <t>testSetMetadata</t>
  </si>
  <si>
    <t>testBufferingParamsBuilderAndGet</t>
  </si>
  <si>
    <t>testBufferingParamsDescribeContents</t>
  </si>
  <si>
    <t>testBufferingParamsWriteToParcel</t>
  </si>
  <si>
    <t>testExternalStorageIsolated</t>
  </si>
  <si>
    <t>testExternalStorageIsolatedLegacy</t>
  </si>
  <si>
    <t>testTabReuse</t>
  </si>
  <si>
    <t>testTabExhaustion</t>
  </si>
  <si>
    <t>testBrowserPrivateDataAccess</t>
  </si>
  <si>
    <t>testPerfEvent</t>
  </si>
  <si>
    <t>testPerfEvent2</t>
  </si>
  <si>
    <t>testFutex</t>
  </si>
  <si>
    <t>testNvmapIocFromId</t>
  </si>
  <si>
    <t>testPingPongRoot</t>
  </si>
  <si>
    <t>testPipeReadV</t>
  </si>
  <si>
    <t>testCVE20141710</t>
  </si>
  <si>
    <t>testLocalVideo_mkv_mp3_frame_incomplete</t>
  </si>
  <si>
    <t>dummyTest</t>
  </si>
  <si>
    <t>testXattrInKernel</t>
  </si>
  <si>
    <t>testExynosRootingVuln</t>
  </si>
  <si>
    <t>testExynosKernelMemoryRead</t>
  </si>
  <si>
    <t>testDownloadManagerUpdates</t>
  </si>
  <si>
    <t>testDownloadManager_mediaStoreUpdates</t>
  </si>
  <si>
    <t>test_android_CVE_2017_13309</t>
  </si>
  <si>
    <t>appsWithSharedUidsSharePermissions</t>
  </si>
  <si>
    <t>testCTSAppDataContext</t>
  </si>
  <si>
    <t>testFileContexts</t>
  </si>
  <si>
    <t>testDownloadManager_mediaStoreEntry</t>
  </si>
  <si>
    <t>testAddCompletedDownload_mediaStoreEntry</t>
  </si>
  <si>
    <t>testVideoCaptureWithInadequeteLocationPermissions</t>
  </si>
  <si>
    <t>testWhenFeatureDisabledAppOpsProperlySet</t>
  </si>
  <si>
    <t>testDoubleTapNoFocus</t>
  </si>
  <si>
    <t>testDoubleTapAndHoldNoFocus</t>
  </si>
  <si>
    <t>testRedirectedCall</t>
  </si>
  <si>
    <t>testHardwareYear</t>
  </si>
  <si>
    <t>testSecurityExceptionsCreateTunnelInterface</t>
  </si>
  <si>
    <t>testSecurityExceptionsBuildTunnelTransform</t>
  </si>
  <si>
    <t>testCantAddMoreThanOneGuestUser</t>
  </si>
  <si>
    <t>testStorageDoesNotChangeOnUpdate</t>
  </si>
  <si>
    <t>testDirectBootAwareAppIsEncryptionAware</t>
  </si>
  <si>
    <t>testInstallUpdate_failWrongVersion</t>
  </si>
  <si>
    <t>testGrantReadPermissionFromStartActivity</t>
  </si>
  <si>
    <t>testGrantWritePermissionFromStartActivity</t>
  </si>
  <si>
    <t>testGrantReadPathPermissionFromStartActivity</t>
  </si>
  <si>
    <t>testGrantWritePathPermissionFromStartActivity</t>
  </si>
  <si>
    <t>testComparisonByInt</t>
  </si>
  <si>
    <t>testComparisonByString</t>
  </si>
  <si>
    <t>testResolveVersionString</t>
  </si>
  <si>
    <t>testResolveMisspelledVersionString</t>
  </si>
  <si>
    <t>testInvokeMethodWithStringAndContextArgs</t>
  </si>
  <si>
    <t>testInvokeMethodWithContextAndStringArgs</t>
  </si>
  <si>
    <t>testMapPut</t>
  </si>
  <si>
    <t>testStaticMapPut</t>
  </si>
  <si>
    <t>testFile</t>
  </si>
  <si>
    <t>testInvalidConstructor</t>
  </si>
  <si>
    <t>testPassOnRetryableException</t>
  </si>
  <si>
    <t>testPassOnRetryableExceptionWithTimeout</t>
  </si>
  <si>
    <t>testFailOnRetryableException</t>
  </si>
  <si>
    <t>testPassWhenDisabledAndStatementPass</t>
  </si>
  <si>
    <t>testFailWhenDisabledAndStatementThrowsRetryableException</t>
  </si>
  <si>
    <t>testFailWhenDisabledAndStatementThrowsNonRetryableException</t>
  </si>
  <si>
    <t>testEmptyRule_testPass</t>
  </si>
  <si>
    <t>testEmptyRule_testFails</t>
  </si>
  <si>
    <t>testEmptyRule_testFails_withDumper</t>
  </si>
  <si>
    <t>testOnlyTestFails</t>
  </si>
  <si>
    <t>testOnlyTestFails_withDumper</t>
  </si>
  <si>
    <t>testTestPass_oneRunnerFails</t>
  </si>
  <si>
    <t>testTestPass_oneRunnerFails_withDumper</t>
  </si>
  <si>
    <t>testTestPass_oneExtraExceptionThrownAsCallable</t>
  </si>
  <si>
    <t>testTestPass_oneExtraExceptionThrown</t>
  </si>
  <si>
    <t>testTestPass_oneExtraExceptionThrown_withDumper</t>
  </si>
  <si>
    <t>testThrowTheKitchenSinkAKAEverybodyThrows</t>
  </si>
  <si>
    <t>testIgnoreAssumptionViolatedException</t>
  </si>
  <si>
    <t>testThrowTheKitchenSinkAKAEverybodyThrows_withDumper</t>
  </si>
  <si>
    <t>testSetAndRestoreOnSuccess</t>
  </si>
  <si>
    <t>testDontSetIfSameValueOnSuccess</t>
  </si>
  <si>
    <t>testSetButDontRestoreIfSameValueOnSuccess</t>
  </si>
  <si>
    <t>testDontSetButRestoreIfValueChangedOnSuccess</t>
  </si>
  <si>
    <t>testSetAndRestoreOnFailure</t>
  </si>
  <si>
    <t>testDontSetIfSameValueOnFailure</t>
  </si>
  <si>
    <t>testSetButDontRestoreIfSameValueOnFailure</t>
  </si>
  <si>
    <t>testDontSetButRestoreIfValueChangedOnFailure</t>
  </si>
  <si>
    <t>testRestoreOnSuccess</t>
  </si>
  <si>
    <t>testRestoreOnFailure</t>
  </si>
  <si>
    <t>testDoNotRestoreWhenNotChanged</t>
  </si>
  <si>
    <t>testDoNotRestoreOnFailure</t>
  </si>
  <si>
    <t>testGetters</t>
  </si>
  <si>
    <t>testIncrease</t>
  </si>
  <si>
    <t>testRun_invalidArgs</t>
  </si>
  <si>
    <t>testRun_successOnFirstAttempt</t>
  </si>
  <si>
    <t>testRun_successOnSecondAttempt</t>
  </si>
  <si>
    <t>testRun_allAttemptsFailed</t>
  </si>
  <si>
    <t>testStorageTargetingSdk28DefaultNotWhitelistedHasIsolatedAccess</t>
  </si>
  <si>
    <t>testStorageTargetingSdk28OptInNotWhitelistedHasIsolatedAccess</t>
  </si>
  <si>
    <t>testGrantReadUriActivityPermissionToSelf</t>
  </si>
  <si>
    <t>testGrantWriteUriActivityPermissionToSelf</t>
  </si>
  <si>
    <t>testGrantReadUriActivityPrivateToSelf</t>
  </si>
  <si>
    <t>testGrantWriteUriActivityPrivateToSelf</t>
  </si>
  <si>
    <t>testGrantReadUriServicePermissionToSelf</t>
  </si>
  <si>
    <t>testGrantWriteUriServicePermissionToSelf</t>
  </si>
  <si>
    <t>testGrantReadUriServicePrivateToSelf</t>
  </si>
  <si>
    <t>testGrantWriteUriServicePrivateToSelf</t>
  </si>
  <si>
    <t>testGrantPermissionNonGrantingFail</t>
  </si>
  <si>
    <t>testGrantPermissionOutsideGrantingFail</t>
  </si>
  <si>
    <t>testGrantPrivateNonGrantingFail</t>
  </si>
  <si>
    <t>testGrantAmbiguousNonGrantingFail</t>
  </si>
  <si>
    <t>testGrantPrivateOutsideGrantingFail</t>
  </si>
  <si>
    <t>testGrantReadPermissionFromStartService</t>
  </si>
  <si>
    <t>testGrantWritePermissionFromStartService</t>
  </si>
  <si>
    <t>testGrantReadPrivateFromStartService</t>
  </si>
  <si>
    <t>testGrantWritePrivateFromStartService</t>
  </si>
  <si>
    <t>testGrantReadUriActivityPathPermissionToSelf</t>
  </si>
  <si>
    <t>testGrantWriteUriActivityPathPermissionToSelf</t>
  </si>
  <si>
    <t>testGrantReadUriActivitySubPathPermissionToSelf</t>
  </si>
  <si>
    <t>testGrantWriteUriActivitySubPathPermissionToSelf</t>
  </si>
  <si>
    <t>testGrantReadPathPermissionFromStartService</t>
  </si>
  <si>
    <t>testGrantWritePathPermissionFromStartService</t>
  </si>
  <si>
    <t>testSession2Token_extrasSetToNull</t>
  </si>
  <si>
    <t>testCreateSocket</t>
  </si>
  <si>
    <t>test_createSocket_simple</t>
  </si>
  <si>
    <t>test_createSocket_wrapping</t>
  </si>
  <si>
    <t>test_createSocket_bind</t>
  </si>
  <si>
    <t>testVoiceMailNumber</t>
  </si>
  <si>
    <t>testLockTaskAfterReboot_deviceOwnerUser</t>
  </si>
  <si>
    <t>testLockTaskAfterReboot_tryOpeningSettings_deviceOwnerUser</t>
  </si>
  <si>
    <t>testLockTask_affiliatedSecondaryUser</t>
  </si>
  <si>
    <t>testPocBug_68320413</t>
  </si>
  <si>
    <t>testSuspendPackage</t>
  </si>
  <si>
    <t>testSuspendPackageWithPackageManager</t>
  </si>
  <si>
    <t>internetPanel_correctTitle</t>
  </si>
  <si>
    <t>volumePanel_correctTitle</t>
  </si>
  <si>
    <t>nfcPanel_correctTitle</t>
  </si>
  <si>
    <t>wifiPanel_correctTitle</t>
  </si>
  <si>
    <t>defaultMap_15715370</t>
  </si>
  <si>
    <t>defaultMap_78909</t>
  </si>
  <si>
    <t>defaultMap_16978217</t>
  </si>
  <si>
    <t>testCommon</t>
  </si>
  <si>
    <t>defaultMap_18390752</t>
  </si>
  <si>
    <t>defaultMap_30207891</t>
  </si>
  <si>
    <t>defaultMap_30793548</t>
  </si>
  <si>
    <t>defaultMap_37167977</t>
  </si>
  <si>
    <t>defaultMap_70851634_mimeTypeFromExtension</t>
  </si>
  <si>
    <t>defaultMap_70851634_extensionFromMimeType</t>
  </si>
  <si>
    <t>defaultMap_112162449_audio</t>
  </si>
  <si>
    <t>defaultMap_112162449_video</t>
  </si>
  <si>
    <t>defaultMap_112162449_image</t>
  </si>
  <si>
    <t>defaultMap_120135571_audio</t>
  </si>
  <si>
    <t>defaultMap_136096979_ota</t>
  </si>
  <si>
    <t>defaultMap_wifiConfig_xml</t>
  </si>
  <si>
    <t>defaultMap_NonLowercaseMimeType</t>
  </si>
  <si>
    <t>defaultMap_CaseInsensitiveKeys</t>
  </si>
  <si>
    <t>defaultMap_invalid_empty</t>
  </si>
  <si>
    <t>defaultMap_invalid_null</t>
  </si>
  <si>
    <t>defaultMap_invalid</t>
  </si>
  <si>
    <t>testViewEventCrossProfile_intentReceivedWhenWhitelisted</t>
  </si>
  <si>
    <t>testNotificationManagerBubblePolicy_noFlag_notEmbeddable</t>
  </si>
  <si>
    <t>testNotificationManagerBubblePolicy_noFlag_notDocumentLaunchModeAlways</t>
  </si>
  <si>
    <t>testOnOutgoingCallEmergencyNumberChanged</t>
  </si>
  <si>
    <t>testLogHdAndWifi</t>
  </si>
  <si>
    <t>testGetProvidersWithCriteria</t>
  </si>
  <si>
    <t>testLocationUpdatesWithLocationListener</t>
  </si>
  <si>
    <t>testReplaceRealProvidersWithMocks</t>
  </si>
  <si>
    <t>testLocationUpdatesWithLocationListenerAndLooper</t>
  </si>
  <si>
    <t>testSingleUpdateWithLocationListenerAndLooper</t>
  </si>
  <si>
    <t>testLocationUpdatesWithCriteriaAndPendingIntent</t>
  </si>
  <si>
    <t>testSingleUpdateWithCriteriaAndPendingIntent</t>
  </si>
  <si>
    <t>testLocationUpdatesWithCriteriaAndLocationListenerAndLooper</t>
  </si>
  <si>
    <t>testSingleUpdateWithCriteriaAndLocationListenerAndLooper</t>
  </si>
  <si>
    <t>testSingleUpdateWithPendingIntent</t>
  </si>
  <si>
    <t>testNmeaListener</t>
  </si>
  <si>
    <t>testLocationShouldStillBeMarkedMockWhenProvidersDoNotMatch</t>
  </si>
  <si>
    <t>testGnssStatusListener</t>
  </si>
  <si>
    <t>testEnterProximity</t>
  </si>
  <si>
    <t>testEnterProximity_noexpire</t>
  </si>
  <si>
    <t>testExitProximity</t>
  </si>
  <si>
    <t>testInitiallyWithinProximity</t>
  </si>
  <si>
    <t>testGetGpsProvider_notAllowed</t>
  </si>
  <si>
    <t>testGetFineProvider_notAllowed</t>
  </si>
  <si>
    <t>testGetNetworkProvider_allowed</t>
  </si>
  <si>
    <t>testGetCoarseProvider_allowed</t>
  </si>
  <si>
    <t>testGetNetworkProviderLocationUpdates_withIntent</t>
  </si>
  <si>
    <t>testGetNetworkProviderLocationUpdates_withListener</t>
  </si>
  <si>
    <t>testGetCoarseLocationUpdates_withIntent</t>
  </si>
  <si>
    <t>testGetCoarseLocationUpdates_withListener</t>
  </si>
  <si>
    <t>testCellIdentityNr_Override</t>
  </si>
  <si>
    <t>testCellCellSignalStrength_Override</t>
  </si>
  <si>
    <t>testPlaybackFromAMedia2DataSource</t>
  </si>
  <si>
    <t>testNullMedia2DataSourceIsRejected</t>
  </si>
  <si>
    <t>testMedia2DataSourceIsClosedOnReset</t>
  </si>
  <si>
    <t>testPlaybackFailsIfMedia2DataSourceThrows</t>
  </si>
  <si>
    <t>testPlaybackFailsIfMedia2DataSourceReturnsAnError</t>
  </si>
  <si>
    <t>testLaunchPipActivity</t>
  </si>
  <si>
    <t>testBidiVisibleEnd</t>
  </si>
  <si>
    <t>testBubbleMetadataBuilder_throwForBitmapIcon</t>
  </si>
  <si>
    <t>testAllMethodsExist</t>
  </si>
  <si>
    <t>testAck</t>
  </si>
  <si>
    <t>testTFLite</t>
  </si>
  <si>
    <t>testHdmiCecAvailability</t>
  </si>
  <si>
    <t>testAddingSync</t>
  </si>
  <si>
    <t>testHardwareModelName</t>
  </si>
  <si>
    <t>testGetName</t>
  </si>
  <si>
    <t>testMeetsCriteria</t>
  </si>
  <si>
    <t>testSettingInjectorService</t>
  </si>
  <si>
    <t>testSplitsInstall</t>
  </si>
  <si>
    <t>testSplitsUpdate</t>
  </si>
  <si>
    <t>testSplitsUninstall</t>
  </si>
  <si>
    <t>testSplitsRemove</t>
  </si>
  <si>
    <t>testNoAccessToPasswordThruMixedCase</t>
  </si>
  <si>
    <t>testNoAccessViaSubqueries</t>
  </si>
  <si>
    <t>testNoAccessToUserWithDifferentUri</t>
  </si>
  <si>
    <t>testNoAccessToPasswordThruSort</t>
  </si>
  <si>
    <t>testNoAccessToUser</t>
  </si>
  <si>
    <t>testNoAccessToPassword</t>
  </si>
  <si>
    <t>testAppInstalls</t>
  </si>
  <si>
    <t>openAppDetailsAndSetDefaultAppThenIsDefaultApp</t>
  </si>
  <si>
    <t>testLockTask_defaultDialer</t>
  </si>
  <si>
    <t>testFailInstallAnotherSessionAlreadyInProgress_BothMultiPackage</t>
  </si>
  <si>
    <t>testGetActiveStagedSessionNoSessionActive</t>
  </si>
  <si>
    <t>testSendSmsMessage</t>
  </si>
  <si>
    <t>testSendSmsDataMessage</t>
  </si>
  <si>
    <t>testWifiConnection</t>
  </si>
  <si>
    <t>testKeyDowngradeFailIfMismatch</t>
  </si>
  <si>
    <t>testAfterRotationOldKeyIsRejected</t>
  </si>
  <si>
    <t>testClearPassword</t>
  </si>
  <si>
    <t>testResetPassword_nycRestrictions</t>
  </si>
  <si>
    <t>testPasswordQuality_something</t>
  </si>
  <si>
    <t>testPasswordQuality_numeric</t>
  </si>
  <si>
    <t>testPasswordQuality_alphabetic</t>
  </si>
  <si>
    <t>testPasswordQuality_alphanumeric</t>
  </si>
  <si>
    <t>testPasswordQuality_complexUpperCase</t>
  </si>
  <si>
    <t>testPasswordQuality_complexLowerCase</t>
  </si>
  <si>
    <t>testPasswordQuality_complexLetters</t>
  </si>
  <si>
    <t>testPasswordQuality_complexNumeric</t>
  </si>
  <si>
    <t>testPasswordQuality_complexSymbols</t>
  </si>
  <si>
    <t>testPasswordQuality_complexNonLetter</t>
  </si>
  <si>
    <t>testResetPassword</t>
  </si>
  <si>
    <t>testResetPasswordManagedProfile</t>
  </si>
  <si>
    <t>testResetPasswordDisabled</t>
  </si>
  <si>
    <t>testRunDeviceOwnerPasswordTest</t>
  </si>
  <si>
    <t>performShortcut_withoutPermission_fails</t>
  </si>
  <si>
    <t>performShortcut_withPermission_succeeds</t>
  </si>
  <si>
    <t>testAdminServiceIsBound</t>
  </si>
  <si>
    <t>testMkvWithoutCueSeek</t>
  </si>
  <si>
    <t>testCropTooWideAnimated</t>
  </si>
  <si>
    <t>testCropResizeAnimated</t>
  </si>
  <si>
    <t>testGetSmsMessagesForFinancialAppPermissionNotRequested</t>
  </si>
  <si>
    <t>testTintedStrokeWithoutSolidColor</t>
  </si>
  <si>
    <t>testPocBug_120644655</t>
  </si>
  <si>
    <t>testContributedMedia</t>
  </si>
  <si>
    <t>testAddDisallowAddManagedProfileRestriction</t>
  </si>
  <si>
    <t>testClearDisallowAddManagedProfileRestriction</t>
  </si>
  <si>
    <t>testAddDisallowRemoveManagedProfileRestriction</t>
  </si>
  <si>
    <t>testClearDisallowRemoveManagedProfileRestriction</t>
  </si>
  <si>
    <t>testCannotRemoveProfileIfRestrictionSet</t>
  </si>
  <si>
    <t>testFeatureConsistent</t>
  </si>
  <si>
    <t>testIncludePending</t>
  </si>
  <si>
    <t>testSetRestrictionMode_missingPermission_throwsException</t>
  </si>
  <si>
    <t>testGetRestrictionMode_missingPermission_throwsException</t>
  </si>
  <si>
    <t>testSaveUxRestrictionsConfigurationForNextBoot_missingPermission_throwsException</t>
  </si>
  <si>
    <t>testStorageTargetingSdk30_cannotOptOut</t>
  </si>
  <si>
    <t>testImageCaptureWithInadequeteLocationPermissions</t>
  </si>
  <si>
    <t>testNotificationManagerBubblePolicy_noFlagForAppNotForeground</t>
  </si>
  <si>
    <t>testNotificationManagerBubblePolicy_flagForAppForeground</t>
  </si>
  <si>
    <t>testNdkDataSpaceF16Extended</t>
  </si>
  <si>
    <t>testNdkDataSpaceNonExtended</t>
  </si>
  <si>
    <t>testNdkDataSpace</t>
  </si>
  <si>
    <t>testNdkDataSpaceAlpha8</t>
  </si>
  <si>
    <t>testNdkDataSpaceNullBitmap</t>
  </si>
  <si>
    <t>testWifiWatchdog</t>
  </si>
  <si>
    <t>testProvisionManagedProfileAllowed</t>
  </si>
  <si>
    <t>testCanRemoveManagedProfile</t>
  </si>
  <si>
    <t>testCannotStartManagedProfileInBackground</t>
  </si>
  <si>
    <t>testCannotStopManagedProfile</t>
  </si>
  <si>
    <t>testCannotLogoutManagedProfile</t>
  </si>
  <si>
    <t>testEnableProfile</t>
  </si>
  <si>
    <t>testBindDeviceAdminServiceAsUser_corpOwnedManagedProfile</t>
  </si>
  <si>
    <t>testBindDeviceAdminServiceAsUser_corpOwnedManagedProfileWithManagedProvisioning</t>
  </si>
  <si>
    <t>testBindDeviceAdminServiceAsUser_canBindEvenIfProfileNotEnabled</t>
  </si>
  <si>
    <t>testBindDeviceAdminServiceAsUser_byodPlusDeviceOwnerCannotBind</t>
  </si>
  <si>
    <t>testBindDeviceAdminServiceAsUser_compPlusSecondaryUser</t>
  </si>
  <si>
    <t>testCanRemoveProfileEvenIfDisallowRemoveUserSet</t>
  </si>
  <si>
    <t>testDoCanRemoveProfileEvenIfUserRestrictionSet</t>
  </si>
  <si>
    <t>testTransferAffiliatedProfileOwnershipCompleteCallback</t>
  </si>
  <si>
    <t>testTransferAffiliatedProfileOwnershipInComp</t>
  </si>
  <si>
    <t>testBubbleMetadataBuilder_throwForNoIcon</t>
  </si>
  <si>
    <t>testDefaultTrustAgent_onlyHaveCarBleTrustAgent</t>
  </si>
  <si>
    <t>testDecodeResourceSampled</t>
  </si>
  <si>
    <t>testVoiceCallAudioSourcePermissions</t>
  </si>
  <si>
    <t>testGetService</t>
  </si>
  <si>
    <t>testNoNetlinkRouteBind</t>
  </si>
  <si>
    <t>testLogEntries</t>
  </si>
  <si>
    <t>testImageCapture</t>
  </si>
  <si>
    <t>testSystemUpdatePolicy</t>
  </si>
  <si>
    <t>testEncodeP3</t>
  </si>
  <si>
    <t>testRcs1To1Thread_isGroupReturnsFalse</t>
  </si>
  <si>
    <t>testRcs1To1Thread_fallbackThreadIdCanBeSet</t>
  </si>
  <si>
    <t>testCreateRcsEvent_canSaveAndQueryGroupThreadParticipantJoinedEvent</t>
  </si>
  <si>
    <t>testCreateRcsEvent_canSaveAndQueryGroupThreadNameChangedEvent</t>
  </si>
  <si>
    <t>testCreateRcsEvent_canSaveAndQueryParticipantAliasChangedEvent</t>
  </si>
  <si>
    <t>testCreateRcsEvent_canSaveAndQueryGroupThreadParticipantLeftEvent</t>
  </si>
  <si>
    <t>testCreateRcsEvent_canSaveAndQueryGroupThreadIconChangedEvent</t>
  </si>
  <si>
    <t>testCreateRcsParticipant_returnsValidParticipant</t>
  </si>
  <si>
    <t>testCreateRcsParticipant_shouldNotCrashForExistingCanonicalAddress</t>
  </si>
  <si>
    <t>testRcsProvider_shouldNotHaveAccess</t>
  </si>
  <si>
    <t>testGetIntentForBackgroundReceiversWithPermission</t>
  </si>
  <si>
    <t>testStagefright_cve_2019_10488</t>
  </si>
  <si>
    <t>testGetDocuments</t>
  </si>
  <si>
    <t>testStagefrightANR_cve_2018_11285</t>
  </si>
  <si>
    <t>testOnRoutesAdded</t>
  </si>
  <si>
    <t>testOnRoutesRemoved</t>
  </si>
  <si>
    <t>testRouteFeatures</t>
  </si>
  <si>
    <t>testRouterOnSessionCreated</t>
  </si>
  <si>
    <t>testGetRoutingControllers</t>
  </si>
  <si>
    <t>testSelectAndTransferAndRelease</t>
  </si>
  <si>
    <t>testControlVolumeWithManager</t>
  </si>
  <si>
    <t>testVolumeHandling</t>
  </si>
  <si>
    <t>testSetOnContentApplyWindowInsetsListener_defaultLegacy_none</t>
  </si>
  <si>
    <t>testDecodeShortInput</t>
  </si>
  <si>
    <t>testPrimaryNoAccess</t>
  </si>
  <si>
    <t>testRouteInfoEquality</t>
  </si>
  <si>
    <t>testControlVolumeWithRouter</t>
  </si>
  <si>
    <t>testRendering800x480AvcRotated090</t>
  </si>
  <si>
    <t>testRendering800x480AvcRotated180</t>
  </si>
  <si>
    <t>testRendering800x480AvcRotated270</t>
  </si>
  <si>
    <t>testRendering800x480AvcRotated360</t>
  </si>
  <si>
    <t>testRendering800x480HevcRotated090</t>
  </si>
  <si>
    <t>testRendering800x480HevcRotated180</t>
  </si>
  <si>
    <t>testRendering800x480HevcRotated270</t>
  </si>
  <si>
    <t>testRendering800x480HevcRotated360</t>
  </si>
  <si>
    <t>testRendering800x480Vp8Rotated090</t>
  </si>
  <si>
    <t>testRendering800x480Vp8Rotated180</t>
  </si>
  <si>
    <t>testRendering800x480Vp8Rotated270</t>
  </si>
  <si>
    <t>testRendering800x480Vp8Rotated360</t>
  </si>
  <si>
    <t>testRendering800x480Vp9Rotated090</t>
  </si>
  <si>
    <t>testRendering800x480Vp9Rotated180</t>
  </si>
  <si>
    <t>testRendering800x480Vp9Rotated270</t>
  </si>
  <si>
    <t>testRendering800x480Vp9Rotated360</t>
  </si>
  <si>
    <t>testRendering800x480Av1Rotated090</t>
  </si>
  <si>
    <t>testRendering800x480Av1Rotated180</t>
  </si>
  <si>
    <t>testRendering800x480Av1Rotated270</t>
  </si>
  <si>
    <t>testRendering800x480Av1Rotated360</t>
  </si>
  <si>
    <t>testObjectDoubleFree</t>
  </si>
  <si>
    <t>testExceptionOverwritesObject</t>
  </si>
  <si>
    <t>testTakeScreenshot_GetDefaultColorScreenshot</t>
  </si>
  <si>
    <t>testTakeScreenshotWithNormalWindow_GetContrastingColorScreenshot</t>
  </si>
  <si>
    <t>testTakeScreenshotWithSecureWindow_GetSecureWindowColorScreenshot</t>
  </si>
  <si>
    <t>testTakeScreenshotWithCallback_GetCallbackReturn</t>
  </si>
  <si>
    <t>testPrimaryOtherPackageWriteAccess</t>
  </si>
  <si>
    <t>testMovePackageSpecificPaths</t>
  </si>
  <si>
    <t>testROAccess</t>
  </si>
  <si>
    <t>testMoveAway</t>
  </si>
  <si>
    <t>testMoveBack</t>
  </si>
  <si>
    <t>testNoOpClassifier</t>
  </si>
  <si>
    <t>testOnCallDisconnectCauseChangedWithoutPermission</t>
  </si>
  <si>
    <t>testOnImsCallDisconnectCauseChangedWithoutPermission</t>
  </si>
  <si>
    <t>testOnPreciseDataConnectionStateChangedWithoutPermission</t>
  </si>
  <si>
    <t>testLocationPermissionsCannotBeGranted</t>
  </si>
  <si>
    <t>testLocationPermissions</t>
  </si>
  <si>
    <t>testRelinquishDeviceWhenHasRestriction</t>
  </si>
  <si>
    <t>testStrictQuery</t>
  </si>
  <si>
    <t>testStrictQueryProjection</t>
  </si>
  <si>
    <t>testStrictQueryWhere</t>
  </si>
  <si>
    <t>testStrictQueryGroupBy</t>
  </si>
  <si>
    <t>testStrictQueryHaving</t>
  </si>
  <si>
    <t>testStrictQueryOrderBy</t>
  </si>
  <si>
    <t>testStrictQueryLimit</t>
  </si>
  <si>
    <t>testCallSliceUri_ValidAuthority</t>
  </si>
  <si>
    <t>testCallSliceUri_ShadyAuthority</t>
  </si>
  <si>
    <t>testStagefright_cve_2019_10489</t>
  </si>
  <si>
    <t>testGnssAntennaInfoCallbackRegistration</t>
  </si>
  <si>
    <t>testCreateGnssAntennaInfoAndGetValues</t>
  </si>
  <si>
    <t>testRegisterGnssAntennaInfoCallback</t>
  </si>
  <si>
    <t>testGifts</t>
  </si>
  <si>
    <t>longPress_showsPowerMenu</t>
  </si>
  <si>
    <t>testCombineUserId</t>
  </si>
  <si>
    <t>testCaptureMatchingUserId</t>
  </si>
  <si>
    <t>testCaptureExcludeUserId</t>
  </si>
  <si>
    <t>testRequestCreateControllerWithNullRoute</t>
  </si>
  <si>
    <t>testRequestCreateControllerWithSystemRoute</t>
  </si>
  <si>
    <t>testNoExecuteOnly</t>
  </si>
  <si>
    <t>testSetFrameRate</t>
  </si>
  <si>
    <t>testRequestSetLocationProviderAllowedTest</t>
  </si>
  <si>
    <t>testRequestSetLocationProviderAllowed</t>
  </si>
  <si>
    <t>testRequestSetLocationProviderEnabled_failIfNotDeviceOwner</t>
  </si>
  <si>
    <t>testAccessibilityServicesHtmlDescription</t>
  </si>
  <si>
    <t>testAccessibilityServicesAnimatedImageResource</t>
  </si>
  <si>
    <t>testTargetingSdk30_withRequireScopedStorageCompatChangeDisabled_canOptOut</t>
  </si>
  <si>
    <t>testTargetingSdk30_withAllScopedStorageCompatChangesDisabled_hasFullAccess</t>
  </si>
  <si>
    <t>testTargetingSdk30_withEnableScopedStorageOnlyDisabled_isNoOp</t>
  </si>
  <si>
    <t>testSetSchema</t>
  </si>
  <si>
    <t>testPutDocuments</t>
  </si>
  <si>
    <t>test_llndkLibraries</t>
  </si>
  <si>
    <t>test_vndkSpLibraries</t>
  </si>
  <si>
    <t>test_vndkLibraries</t>
  </si>
  <si>
    <t>test_frameworkOnlyLibraries</t>
  </si>
  <si>
    <t>testSetPolicyDataEnabled</t>
  </si>
  <si>
    <t>testCompatDefault22</t>
  </si>
  <si>
    <t>testCompatRevoked22</t>
  </si>
  <si>
    <t>testNoRuntimePrompt22</t>
  </si>
  <si>
    <t>testDefault23</t>
  </si>
  <si>
    <t>testGranted23</t>
  </si>
  <si>
    <t>testInteractiveGrant23</t>
  </si>
  <si>
    <t>testRuntimeGroupGrantSpecificity23</t>
  </si>
  <si>
    <t>testRuntimeGroupGrantExpansion23</t>
  </si>
  <si>
    <t>testRuntimeGroupGrantExpansion25</t>
  </si>
  <si>
    <t>testRuntimeGroupGrantExpansion26</t>
  </si>
  <si>
    <t>testRuntimeGroupGrantExpansionLatest</t>
  </si>
  <si>
    <t>testCancelledPermissionRequest23</t>
  </si>
  <si>
    <t>testRequestGrantedPermission23</t>
  </si>
  <si>
    <t>testDenialWithPrejudice23</t>
  </si>
  <si>
    <t>testRevokeAffectsWholeGroup23</t>
  </si>
  <si>
    <t>testGrantPreviouslyRevokedWithPrejudiceShowsPrompt23</t>
  </si>
  <si>
    <t>testRequestNonRuntimePermission23</t>
  </si>
  <si>
    <t>testRequestNonExistentPermission23</t>
  </si>
  <si>
    <t>testRequestPermissionFromTwoGroups23</t>
  </si>
  <si>
    <t>testUpgradeKeepsPermissions</t>
  </si>
  <si>
    <t>testNoDowngradePermissionModel</t>
  </si>
  <si>
    <t>testNoResidualPermissionsOnUninstall</t>
  </si>
  <si>
    <t>testRevokePropagatedOnUpgradeOldToNewModel</t>
  </si>
  <si>
    <t>testRevokePropagatedOnUpgradeNewToNewModel</t>
  </si>
  <si>
    <t>testNoProtectionFlagsAddedToNonSignatureProtectionPermissions25</t>
  </si>
  <si>
    <t>testLegacyAppAccessSerial</t>
  </si>
  <si>
    <t>testNullPermissionRequest</t>
  </si>
  <si>
    <t>testNullAndRealPermission</t>
  </si>
  <si>
    <t>testInvalidPermission</t>
  </si>
  <si>
    <t>testPermissionSplit28</t>
  </si>
  <si>
    <t>testPermissionNotSplit29</t>
  </si>
  <si>
    <t>testRequestOnlyBackgroundNotPossible</t>
  </si>
  <si>
    <t>testRequestBoth</t>
  </si>
  <si>
    <t>testRequestBothInSequence</t>
  </si>
  <si>
    <t>testRequestBothButGrantInSequence</t>
  </si>
  <si>
    <t>testDenyBackgroundWithPrejudice</t>
  </si>
  <si>
    <t>testPermissionNotSplitLatest</t>
  </si>
  <si>
    <t>testDenyCalendarDuringReview</t>
  </si>
  <si>
    <t>testDenyGrantCalendarDuringReview</t>
  </si>
  <si>
    <t>testDenyGrantDenyCalendarDuringReview</t>
  </si>
  <si>
    <t>testCancelReview</t>
  </si>
  <si>
    <t>testReviewPermissionWhenServiceIsBound</t>
  </si>
  <si>
    <t>testGrantDialogToSettingsNoOp</t>
  </si>
  <si>
    <t>testGrantDialogToSettingsDowngrade</t>
  </si>
  <si>
    <t>testCannotEscalateNonRuntimePermissionsToRuntime</t>
  </si>
  <si>
    <t>testhasAnyFeaturesReturnsFalse</t>
  </si>
  <si>
    <t>testhasAnyFeaturesReturnsTrue</t>
  </si>
  <si>
    <t>testWipeData</t>
  </si>
  <si>
    <t>testWipeDataWithReason</t>
  </si>
  <si>
    <t>testIsTelephonyPackagesKnown</t>
  </si>
  <si>
    <t>testIsDataCapableExists</t>
  </si>
  <si>
    <t>testWifiMigrationConfigStoreDataBuilder</t>
  </si>
  <si>
    <t>testUpdateMccMncConfiguration</t>
  </si>
  <si>
    <t>testOnAlwaysReportedSignalStrengthChanged</t>
  </si>
  <si>
    <t>testOnAlwaysReportedSignalStrengthChangedWithoutPermission</t>
  </si>
  <si>
    <t>testGetCallForwarding</t>
  </si>
  <si>
    <t>testSetCallForwarding</t>
  </si>
  <si>
    <t>testGetCallWaitingStatus</t>
  </si>
  <si>
    <t>testSetCallWaitingStatus</t>
  </si>
  <si>
    <t>shouldHaveLinkerConfigAtExpectedLocation</t>
  </si>
  <si>
    <t>shouldNotAccessSystemFromVendorExceptVndk</t>
  </si>
  <si>
    <t>testBubbleMetadataBuilder_shortcutOverwritesIconIntent</t>
  </si>
  <si>
    <t>testBubbleMetadataBuilder_intentIconOverwritesShortcut</t>
  </si>
  <si>
    <t>foo</t>
  </si>
  <si>
    <t>bar</t>
  </si>
  <si>
    <t>testBootReasonProperty_shutdown_aborted</t>
  </si>
  <si>
    <t>testBootReasonProperty_mount_userdata_failed</t>
  </si>
  <si>
    <t>resolveInCallIntent</t>
  </si>
  <si>
    <t>testRotateAndCropCharacteristics</t>
  </si>
  <si>
    <t>testResetToEmpty</t>
  </si>
  <si>
    <t>testUndefinedGroupIsNullAfterAdd</t>
  </si>
  <si>
    <t>testUndefinedGroupIsNullAfterSet</t>
  </si>
  <si>
    <t>testUndefinedGroupIsNullAfterRemove</t>
  </si>
  <si>
    <t>testUndefinedGroupIsNullAfterClear</t>
  </si>
  <si>
    <t>testDefinedGroupNotNullAfterSetEmpty</t>
  </si>
  <si>
    <t>testDefinedGroupNotNullAfterSetNull</t>
  </si>
  <si>
    <t>testPocBug_33139050</t>
  </si>
  <si>
    <t>testPocCVE_2017_0589</t>
  </si>
  <si>
    <t>testFailInstallAnotherSessionAlreadyInProgress_MultiPackageSinglePackage</t>
  </si>
  <si>
    <t>testTakeScreenshotWithNonDefaultDisplay_GetIllegalArgumentException</t>
  </si>
  <si>
    <t>testNotificationManagerBubblePolicy_flagForPhonecallFailsNoForeground</t>
  </si>
  <si>
    <t>testNotificationManagerBubblePolicy_flagForPhonecallFailsNoCategory</t>
  </si>
  <si>
    <t>testNotificationManagerBubblePolicy_flagForPhonecallFailsNoMetadata</t>
  </si>
  <si>
    <t>testAccessNetworkInfoProperties</t>
  </si>
  <si>
    <t>testAddCompletedDownload</t>
  </si>
  <si>
    <t>testAddCompletedDownload_invalidPublicDir</t>
  </si>
  <si>
    <t>testDeviceOwnerCannotGetDeviceIdentifiersWithoutPermission</t>
  </si>
  <si>
    <t>testProfileOwnerCannotGetDeviceIdentifiersWithoutPermission</t>
  </si>
  <si>
    <t>testInstallWithIdSigAndV3Digest</t>
  </si>
  <si>
    <t>testInstallWithIdSigAndV2V3Digest</t>
  </si>
  <si>
    <t>testCanSuspendWhenProfileOwner</t>
  </si>
  <si>
    <t>testUnsuspendedOnUninstallBlocked</t>
  </si>
  <si>
    <t>testStagefright_bug_68953854</t>
  </si>
  <si>
    <t>testPresentationFollowsDisplayFlag</t>
  </si>
  <si>
    <t>testPresentationAllowedOnPresentationDisplay</t>
  </si>
  <si>
    <t>testPresentationBlockedOnNonPresentationDisplay</t>
  </si>
  <si>
    <t>testNightModeYesPersisted</t>
  </si>
  <si>
    <t>testNightModeAutoPersisted</t>
  </si>
  <si>
    <t>testNightModeAutoNotPersistedCarMode</t>
  </si>
  <si>
    <t>testInlineSuggestionsRequestParcelizeDeparcelize</t>
  </si>
  <si>
    <t>testReadFromParcel</t>
  </si>
  <si>
    <t>testStagefright_bug_26366256</t>
  </si>
  <si>
    <t>testStagefright_bug_68664359</t>
  </si>
  <si>
    <t>testStagefright_bug_110435401</t>
  </si>
  <si>
    <t>testSetScreenCaptureDisabledOnParent</t>
  </si>
  <si>
    <t>testCapabilityDiscoveryIntentReceiverExists</t>
  </si>
  <si>
    <t>getAccessibilityShortcut_assignedShortcutTarget_returnAssignedTarget</t>
  </si>
  <si>
    <t>getAccessibilityShortcut_multipleTargets_returnMultipleTargets</t>
  </si>
  <si>
    <t>testSetManagedProfileMaximumTimeOffLogged</t>
  </si>
  <si>
    <t>testPoc_cve_2018_9471</t>
  </si>
  <si>
    <t>testBuildIkeSaProposal</t>
  </si>
  <si>
    <t>testInvalidHeaderSniff</t>
  </si>
  <si>
    <t>testAccelerometerAshmemNormalUidIdle</t>
  </si>
  <si>
    <t>testGyroscopeAshmemNormalUidIdle</t>
  </si>
  <si>
    <t>testMagneticFieldAshmemNormalUidIdle</t>
  </si>
  <si>
    <t>testAccelerometerAshmemFastUidIdle</t>
  </si>
  <si>
    <t>testGyroscopeAshmemFastUidIdle</t>
  </si>
  <si>
    <t>testMagneticFieldAshmemFastUidIdle</t>
  </si>
  <si>
    <t>testAccelerometerAshmemVeryFastUidIdle</t>
  </si>
  <si>
    <t>testGyroscopeAshmemVeryFastUidIdle</t>
  </si>
  <si>
    <t>testMagneticFieldAshmemVeryFastUidIdle</t>
  </si>
  <si>
    <t>testAccelerometerHardwareBufferNormalUidIdle</t>
  </si>
  <si>
    <t>testGyroscopeHardwareBufferNormalUidIdle</t>
  </si>
  <si>
    <t>testMagneticFieldHardwareBufferNormalUidIdle</t>
  </si>
  <si>
    <t>testAccelerometerHardwareBufferFastUidIdle</t>
  </si>
  <si>
    <t>testGyroscopeHardwareBufferFastUidIdle</t>
  </si>
  <si>
    <t>testMagneticFieldHardwareBufferFastUidIdle</t>
  </si>
  <si>
    <t>testAccelerometerHardwareBufferVeryFastUidIdle</t>
  </si>
  <si>
    <t>testGyroscopeHardwareBufferVeryFastUidIdle</t>
  </si>
  <si>
    <t>testMagneticFieldHardwareBufferVeryFastUidIdle</t>
  </si>
  <si>
    <t>testParcelDhcpInfo</t>
  </si>
  <si>
    <t>test_isConfirmationRequired</t>
  </si>
  <si>
    <t>test_setAllowedAuthenticators</t>
  </si>
  <si>
    <t>testPocCVE_2018_9536</t>
  </si>
  <si>
    <t>testPtraceSeccomp_CVE_2019_2054</t>
  </si>
  <si>
    <t>testPocCVE_2017_0597</t>
  </si>
  <si>
    <t>testPocCVE_2019_2007</t>
  </si>
  <si>
    <t>unableToGetNullClass</t>
  </si>
  <si>
    <t>unableToPutNullClass</t>
  </si>
  <si>
    <t>noInstanceReturnsNull</t>
  </si>
  <si>
    <t>putRetained</t>
  </si>
  <si>
    <t>putInOnStopRetained</t>
  </si>
  <si>
    <t>putInOnDestroyRetained</t>
  </si>
  <si>
    <t>putNotRetainedForNonConfigurationChangeRestarts</t>
  </si>
  <si>
    <t>lastPutRetained</t>
  </si>
  <si>
    <t>putNullRemovesInstance</t>
  </si>
  <si>
    <t>putInstanceRetainedAcrossMultipleRecreations</t>
  </si>
  <si>
    <t>putNullRemovesInstanceAfterBeingRetained</t>
  </si>
  <si>
    <t>storingIncorrectTypeThrows</t>
  </si>
  <si>
    <t>testAddListener_noPermission</t>
  </si>
  <si>
    <t>testRemoveListener_noPermission</t>
  </si>
  <si>
    <t>testLifecycleListener</t>
  </si>
  <si>
    <t>testGuestUserResumeToNewGuestUser</t>
  </si>
  <si>
    <t>testPersistentUserResumeToUser</t>
  </si>
  <si>
    <t>testPackageInstalledForSystemAndFullUser</t>
  </si>
  <si>
    <t>testPackageInstalledForFullUserOnly</t>
  </si>
  <si>
    <t>testThermalDataEnable</t>
  </si>
  <si>
    <t>testPolicyDataEnable</t>
  </si>
  <si>
    <t>testCarrierDataEnable</t>
  </si>
  <si>
    <t>testUserDataEnable</t>
  </si>
  <si>
    <t>testAddUserRestrictionDisallowAddUser_onParent</t>
  </si>
  <si>
    <t>testHasUserRestrictionDisallowAddUser</t>
  </si>
  <si>
    <t>testClearUserRestrictionDisallowAddUser</t>
  </si>
  <si>
    <t>testUserRestrictionsSetOnParentAreEnforced</t>
  </si>
  <si>
    <t>testDoNetworkWithoutTagging</t>
  </si>
  <si>
    <t>testDoNetworkWithTagging</t>
  </si>
  <si>
    <t>testSanityCheck</t>
  </si>
  <si>
    <t>testInstallTargetRWithV2V2Signers</t>
  </si>
  <si>
    <t>removeSmsRoleHolderThenDialerRoleAppOpIsNotDenied</t>
  </si>
  <si>
    <t>testShimApkIsPreInstalledInShimApex</t>
  </si>
  <si>
    <t>testFeatureTrue</t>
  </si>
  <si>
    <t>testFeatureFalse</t>
  </si>
  <si>
    <t>cect_11_2_15_9_ReportAudioStatus</t>
  </si>
  <si>
    <t>testPocCVE_2015_6632</t>
  </si>
  <si>
    <t>testPocCVE_2017_0778</t>
  </si>
  <si>
    <t>testPocCVE_2017_0851</t>
  </si>
  <si>
    <t>testWithChangeDisabled</t>
  </si>
  <si>
    <t>testPocCVE_2017_13250</t>
  </si>
  <si>
    <t>testPocCVE_2017_0726</t>
  </si>
  <si>
    <t>testOpenFilter</t>
  </si>
  <si>
    <t>testOpenLnb</t>
  </si>
  <si>
    <t>testLnbSetTone</t>
  </si>
  <si>
    <t>testLnbSetPosistion</t>
  </si>
  <si>
    <t>testSetAndGetCameraDisabled_onParent</t>
  </si>
  <si>
    <t>testCannotAddSecondaryUser</t>
  </si>
  <si>
    <t>testPocCVE_2019_9313</t>
  </si>
  <si>
    <t>testPocCVE_2019_2126</t>
  </si>
  <si>
    <t>testPocCVE_2017_0697</t>
  </si>
  <si>
    <t>testPocCVE_2019_9347</t>
  </si>
  <si>
    <t>testGetRandomizedMacAddress</t>
  </si>
  <si>
    <t>testRandomizedWifiMacAddress</t>
  </si>
  <si>
    <t>testWakeLockDuration</t>
  </si>
  <si>
    <t>testServiceForegroundDuration</t>
  </si>
  <si>
    <t>testBleScans</t>
  </si>
  <si>
    <t>testJobBgVsFg</t>
  </si>
  <si>
    <t>testSyncBgVsFg</t>
  </si>
  <si>
    <t>testRealtime</t>
  </si>
  <si>
    <t>testSyncs</t>
  </si>
  <si>
    <t>testNoManagedUsersIfLowRamDevice</t>
  </si>
  <si>
    <t>testManagedProfilesSupportedWithLockScreenOnly</t>
  </si>
  <si>
    <t>testSetInstallPackageConflictingInstaller</t>
  </si>
  <si>
    <t>testExtractorGetCachedDuration</t>
  </si>
  <si>
    <t>testExtractorHasCacheReachedEndOfStream</t>
  </si>
  <si>
    <t>testVideoPresentationTimeStampsMatch</t>
  </si>
  <si>
    <t>testFlacIdentity</t>
  </si>
  <si>
    <t>testFlacMovExtraction</t>
  </si>
  <si>
    <t>testAdvance</t>
  </si>
  <si>
    <t>testSetInstallPackageBadTarget</t>
  </si>
  <si>
    <t>testEncodeSurfaceH264720p</t>
  </si>
  <si>
    <t>testEncodeSurfaceVp8720p</t>
  </si>
  <si>
    <t>testEncodeSurfaceHevc720p</t>
  </si>
  <si>
    <t>testEncodeSurfaceH264360p</t>
  </si>
  <si>
    <t>testEncodeSurfaceVp8360p</t>
  </si>
  <si>
    <t>testEncodeSurfaceHevc360p</t>
  </si>
  <si>
    <t>testEncodeDynamicSyncFrameH264720p</t>
  </si>
  <si>
    <t>testEncodeDynamicSyncFrameVp8720p</t>
  </si>
  <si>
    <t>testEncodeDynamicSyncFrameHevc720p</t>
  </si>
  <si>
    <t>testEncodeDynamicSyncFrameH264360p</t>
  </si>
  <si>
    <t>testEncodeDynamicSyncFrameVp8360p</t>
  </si>
  <si>
    <t>testEncodeDynamicSyncFrameHevc360p</t>
  </si>
  <si>
    <t>testEncodeDynamicBitrateH264720p</t>
  </si>
  <si>
    <t>testEncodeDynamicBitrateVp8720p</t>
  </si>
  <si>
    <t>testEncodeDynamicBitrateHevc720p</t>
  </si>
  <si>
    <t>testEncodeDynamicBitrateH264360p</t>
  </si>
  <si>
    <t>testEncodeDynamicBitrateVp8360p</t>
  </si>
  <si>
    <t>testEncodeDynamicBitrateHevc360p</t>
  </si>
  <si>
    <t>testEncodePersistentSurface720p</t>
  </si>
  <si>
    <t>testEncodePersistentSurface360p</t>
  </si>
  <si>
    <t>testMemInfoDump</t>
  </si>
  <si>
    <t>testLockTaskIsActive</t>
  </si>
  <si>
    <t>testThrowException</t>
  </si>
  <si>
    <t>testThrowExceptionWithIntFormat</t>
  </si>
  <si>
    <t>testThrowNullPointerException</t>
  </si>
  <si>
    <t>testThrowRuntimeException</t>
  </si>
  <si>
    <t>testIOException</t>
  </si>
  <si>
    <t>testLogException</t>
  </si>
  <si>
    <t>testFileDescriptorCreate</t>
  </si>
  <si>
    <t>testFileDescriptorGetNull</t>
  </si>
  <si>
    <t>testFileDescriptorGetNonNull</t>
  </si>
  <si>
    <t>testFileDescriptorSetNull</t>
  </si>
  <si>
    <t>testFileDescriptorSetNonNull</t>
  </si>
  <si>
    <t>testFileDescriptorSetCompatQRNonNull</t>
  </si>
  <si>
    <t>testNioHeapByteBuffer</t>
  </si>
  <si>
    <t>testNioDirectHeapByteBuffer</t>
  </si>
  <si>
    <t>testNioDirectNonHeapByteBuffer</t>
  </si>
  <si>
    <t>testNioHeapShortBuffer</t>
  </si>
  <si>
    <t>testNioHeapIntBuffer</t>
  </si>
  <si>
    <t>testNioHeapFloatBuffer</t>
  </si>
  <si>
    <t>testNioHeapDoubleBuffer</t>
  </si>
  <si>
    <t>testNioWrappedHeapByteBuffer</t>
  </si>
  <si>
    <t>testGetReferent</t>
  </si>
  <si>
    <t>testCreateString</t>
  </si>
  <si>
    <t>testCreateStringArray</t>
  </si>
  <si>
    <t>testPocCVE_2017_13205</t>
  </si>
  <si>
    <t>testDoubleTapAndHoldAccessibilityFocus_performsLongClick</t>
  </si>
  <si>
    <t>testCantSetAttrOtherAppsFile</t>
  </si>
  <si>
    <t>testPrimaryProfile_cannotAccessWorkCalendarsWhenDisabled</t>
  </si>
  <si>
    <t>testPrimaryProfile_cannotAccessWorkEventsWhenDisabled</t>
  </si>
  <si>
    <t>testPrimaryProfile_cannotAccessWorkInstancesWhenDisabled</t>
  </si>
  <si>
    <t>testPrimaryProfile_getCorrectWorkCalendarsWhenEnabled</t>
  </si>
  <si>
    <t>testPrimaryProfile_getCorrectWorkEventsWhenEnabled</t>
  </si>
  <si>
    <t>testPrimaryProfile_getCorrectWorkInstancesWhenEnabled</t>
  </si>
  <si>
    <t>testPrimaryProfile_getCorrectWorkInstancesByDayWhenEnabled</t>
  </si>
  <si>
    <t>testPrimaryProfile_canAccessWorkInstancesSearch1</t>
  </si>
  <si>
    <t>testPrimaryProfile_canAccessWorkInstancesSearch2</t>
  </si>
  <si>
    <t>testPrimaryProfile_canAccessWorkInstancesSearchByDay</t>
  </si>
  <si>
    <t>testPrimaryProfile_getExceptionWhenQueryNonWhitelistedColumns</t>
  </si>
  <si>
    <t>testViewEventCrossProfile_intentFailedWhenNotWhitelisted</t>
  </si>
  <si>
    <t>testWhitelistManagedProfilePackage</t>
  </si>
  <si>
    <t>testWhitelistAllPackages</t>
  </si>
  <si>
    <t>testCleanupWhitelist</t>
  </si>
  <si>
    <t>testAddTestCalendarDataForWorkProfile</t>
  </si>
  <si>
    <t>testCleanupTestCalendarDataForWorkProfile</t>
  </si>
  <si>
    <t>testEnableCrossProfileCalendarSettings</t>
  </si>
  <si>
    <t>testDisableCrossProfileCalendarSettings</t>
  </si>
  <si>
    <t>testCrossProfileCalendar</t>
  </si>
  <si>
    <t>testMp4Metadata</t>
  </si>
  <si>
    <t>testPocCVE_2018_9491</t>
  </si>
  <si>
    <t>testPocCVE_2018_9472</t>
  </si>
  <si>
    <t>testPocCVE_2016_4658</t>
  </si>
  <si>
    <t>testPocCVE_2016_5131</t>
  </si>
  <si>
    <t>testPocCVE_2017_0814</t>
  </si>
  <si>
    <t>testSetDataEnabled</t>
  </si>
  <si>
    <t>testAllKeys</t>
  </si>
  <si>
    <t>testAllMotions</t>
  </si>
  <si>
    <t>testExifByteOrderIIPngForReadAndWrite</t>
  </si>
  <si>
    <t>testExifByteOrderIIWebpForRead</t>
  </si>
  <si>
    <t>testPngWithoutExifForWrite</t>
  </si>
  <si>
    <t>testSetInstallPackage</t>
  </si>
  <si>
    <t>testFindNextFocusDoesNotReturnItself</t>
  </si>
  <si>
    <t>testFindPreviousFocusDoesNotReturnItself</t>
  </si>
  <si>
    <t>testPermissionPolicy</t>
  </si>
  <si>
    <t>testPermissionMixedPolicies</t>
  </si>
  <si>
    <t>testAutoGrantMultiplePermissionsInGroup</t>
  </si>
  <si>
    <t>testPermissionGrantOfDisallowedPermissionWhileOtherPermIsGranted</t>
  </si>
  <si>
    <t>testPermissionUpdate_setDeniedState</t>
  </si>
  <si>
    <t>testPermissionUpdate_checkDenied</t>
  </si>
  <si>
    <t>testPermissionUpdate_setGrantedState</t>
  </si>
  <si>
    <t>testPermissionUpdate_setAutoGrantedPolicy</t>
  </si>
  <si>
    <t>testPermissionUpdate_checkGranted</t>
  </si>
  <si>
    <t>testPermissionGrantStateAppPreMDeviceAdminPreQ</t>
  </si>
  <si>
    <t>testPermissionGrantStatePreMApp</t>
  </si>
  <si>
    <t>testSimpleDecodeNative</t>
  </si>
  <si>
    <t>testIncorrectContextUseOnGetDisplay</t>
  </si>
  <si>
    <t>testIncorrectContextUse_GetDisplay</t>
  </si>
  <si>
    <t>testNoExemptionsForBinderInVendorBan</t>
  </si>
  <si>
    <t>testCallerCheck</t>
  </si>
  <si>
    <t>testServiceSupressingA11yServices_a11yServiceStartsWhenDestroyed</t>
  </si>
  <si>
    <t>testInstallerChecksumsTrustNone</t>
  </si>
  <si>
    <t>testInstallerChecksumsTrustAll</t>
  </si>
  <si>
    <t>testInstallerChecksumsTrustInstaller</t>
  </si>
  <si>
    <t>testInstallerChecksumsTrustWrongInstaller</t>
  </si>
  <si>
    <t>testInstallerChecksumsTrustAllWrongName</t>
  </si>
  <si>
    <t>testInstallerChecksumsUpdate</t>
  </si>
  <si>
    <t>testSetSmscAddress</t>
  </si>
  <si>
    <t>testCantSetUserRestriction</t>
  </si>
  <si>
    <t>testIncorrectContextUse_GetGestureDetector</t>
  </si>
  <si>
    <t>testMediaSandboxed</t>
  </si>
  <si>
    <t>testMediaSandboxed28</t>
  </si>
  <si>
    <t>testMediaSandboxed29</t>
  </si>
  <si>
    <t>testSandboxed</t>
  </si>
  <si>
    <t>testNotSandboxed</t>
  </si>
  <si>
    <t>testIndicatorShownWhileRecordingUsingAudioRecordApi</t>
  </si>
  <si>
    <t>testIndicatorShownWhileRecordingUsingMediaRecorderApi</t>
  </si>
  <si>
    <t>testIndicatorShownWhileRecordingUsingAudioRecordApiAndForceStopped</t>
  </si>
  <si>
    <t>testIndicatorShownWhileRecordingUsingMediaRecorderApiAndForceStopped</t>
  </si>
  <si>
    <t>testIndicatorShownWhileRecordingUsingAudioRecordApiAndCrashed</t>
  </si>
  <si>
    <t>testIndicatorShownWhileRecordingUsingMediaRecorderApiAndCrashed</t>
  </si>
  <si>
    <t>testIndicatorShownWhileRecordingUsingBothApisSimultaneously</t>
  </si>
  <si>
    <t>testImeVisibilityWhenEditorInDialogClearedFocusAfterUnlocked</t>
  </si>
  <si>
    <t>testRepeatedArguments</t>
  </si>
  <si>
    <t>testCanRenameHiddenFile</t>
  </si>
  <si>
    <t>testCompatFeatureDisabled</t>
  </si>
  <si>
    <t>testValidLocationMode</t>
  </si>
  <si>
    <t>testLocationAllDisabled</t>
  </si>
  <si>
    <t>testLocationRequestThrottling</t>
  </si>
  <si>
    <t>testAddNewIncomingConference_onReject</t>
  </si>
  <si>
    <t>testCreateFailedConference</t>
  </si>
  <si>
    <t>testPocCVE_2017_0817</t>
  </si>
  <si>
    <t>testPocCVE_2017_0670</t>
  </si>
  <si>
    <t>testPocCVE_2017_13234</t>
  </si>
  <si>
    <t>testWindowDockAndUndock_dividerWindowAppearsAndDisappears</t>
  </si>
  <si>
    <t>testHomeVisibilityListener</t>
  </si>
  <si>
    <t>setAndGet</t>
  </si>
  <si>
    <t>createFromPaint</t>
  </si>
  <si>
    <t>setFromPaint</t>
  </si>
  <si>
    <t>applyToPaint</t>
  </si>
  <si>
    <t>testBuilderWithWpa3EnterpriseSuiteBRsa</t>
  </si>
  <si>
    <t>testSetOnReceiveContentCallback</t>
  </si>
  <si>
    <t>testTextView_getAndSetOnReceiveContentCallback</t>
  </si>
  <si>
    <t>testDefaultReceiver_getSupportedMimeTypes</t>
  </si>
  <si>
    <t>testIwlanMode</t>
  </si>
  <si>
    <t>testAvailableAwareResources</t>
  </si>
  <si>
    <t>testRemoveByTypes</t>
  </si>
  <si>
    <t>testGetRestrictBackgroundStatus_disabled</t>
  </si>
  <si>
    <t>testGetRestrictBackgroundStatus_whitelisted</t>
  </si>
  <si>
    <t>testGetRestrictBackgroundStatus_enabled</t>
  </si>
  <si>
    <t>testGetRestrictBackgroundStatus_blacklisted</t>
  </si>
  <si>
    <t>testGetRestrictBackgroundStatus_requiredWhitelistedPackages</t>
  </si>
  <si>
    <t>testBroadcastNotSentOnUnsupportedDevices</t>
  </si>
  <si>
    <t>testDataAndBatterySaverModes_meteredNetwork</t>
  </si>
  <si>
    <t>testDataAndBatterySaverModes_nonMeteredNetwork</t>
  </si>
  <si>
    <t>testDozeAndBatterySaverMode_powerSaveWhitelists</t>
  </si>
  <si>
    <t>testDozeAndAppIdle_powerSaveWhitelists</t>
  </si>
  <si>
    <t>testAppIdleAndDoze_tempPowerSaveWhitelists</t>
  </si>
  <si>
    <t>testAppIdleAndBatterySaver_tempPowerSaveWhitelists</t>
  </si>
  <si>
    <t>testDozeAndAppIdle_appIdleWhitelist</t>
  </si>
  <si>
    <t>testAppIdleAndDoze_tempPowerSaveAndAppIdleWhitelists</t>
  </si>
  <si>
    <t>testAppIdleAndBatterySaver_tempPowerSaveAndAppIdleWhitelists</t>
  </si>
  <si>
    <t>testOnBlockedStatusChanged_dataSaver</t>
  </si>
  <si>
    <t>testOnBlockedStatusChanged_powerSaver</t>
  </si>
  <si>
    <t>testAppAllowed</t>
  </si>
  <si>
    <t>testAppDisallowed</t>
  </si>
  <si>
    <t>testGetConnectionOwnerUidSecurity</t>
  </si>
  <si>
    <t>testSetProxy</t>
  </si>
  <si>
    <t>testSetProxyDisallowedApps</t>
  </si>
  <si>
    <t>testNoProxy</t>
  </si>
  <si>
    <t>testBindToNetworkWithProxy</t>
  </si>
  <si>
    <t>testVpnMeterednessWithNoUnderlyingNetwork</t>
  </si>
  <si>
    <t>testVpnMeterednessWithNullUnderlyingNetwork</t>
  </si>
  <si>
    <t>testVpnMeterednessWithNonNullUnderlyingNetwork</t>
  </si>
  <si>
    <t>testAlwaysMeteredVpnWithNullUnderlyingNetwork</t>
  </si>
  <si>
    <t>testAlwaysMeteredVpnWithNonNullUnderlyingNetwork</t>
  </si>
  <si>
    <t>testB141603906</t>
  </si>
  <si>
    <t>testDownloadWithDownloadManagerDisallowed</t>
  </si>
  <si>
    <t>testMinAcqExpires</t>
  </si>
  <si>
    <t>testProcSysctls</t>
  </si>
  <si>
    <t>testAcceptRaRtInfoMinMaxPlen</t>
  </si>
  <si>
    <t>testRouterSolicitations</t>
  </si>
  <si>
    <t>testConnectivityChanged_manifestRequestOnly_shouldNotReceiveIntent</t>
  </si>
  <si>
    <t>testConnectivityChanged_manifestRequestOnlyPreN_shouldReceiveIntent</t>
  </si>
  <si>
    <t>testConnectivityChanged_whenRegistered_shouldReceiveIntent</t>
  </si>
  <si>
    <t>testAirplaneMode</t>
  </si>
  <si>
    <t>testRegisterConnectivityDiagnosticsCallback</t>
  </si>
  <si>
    <t>testRegisterCallbackWithCarrierPrivileges</t>
  </si>
  <si>
    <t>testRegisterDuplicateConnectivityDiagnosticsCallback</t>
  </si>
  <si>
    <t>testUnregisterConnectivityDiagnosticsCallback</t>
  </si>
  <si>
    <t>testUnregisterUnknownConnectivityDiagnosticsCallback</t>
  </si>
  <si>
    <t>testOnConnectivityReportAvailable</t>
  </si>
  <si>
    <t>testOnDataStallSuspected_DnsEvents</t>
  </si>
  <si>
    <t>testOnDataStallSuspected_TcpMetrics</t>
  </si>
  <si>
    <t>testOnDataStallSuspected_UnknownDetectionMethod</t>
  </si>
  <si>
    <t>testOnNetworkConnectivityReportedTrue</t>
  </si>
  <si>
    <t>testOnNetworkConnectivityReportedFalse</t>
  </si>
  <si>
    <t>testIsNetworkTypeValid</t>
  </si>
  <si>
    <t>testGetActiveNetworkInfo</t>
  </si>
  <si>
    <t>testGetActiveNetwork</t>
  </si>
  <si>
    <t>testGetNetworkInfo</t>
  </si>
  <si>
    <t>testGetAllNetworkInfo</t>
  </si>
  <si>
    <t>testOpenConnection</t>
  </si>
  <si>
    <t>testStartUsingNetworkFeature</t>
  </si>
  <si>
    <t>testIsNetworkSupported</t>
  </si>
  <si>
    <t>testRegisterNetworkCallback</t>
  </si>
  <si>
    <t>testRegisterNetworkCallback_withPendingIntent</t>
  </si>
  <si>
    <t>testRequestNetworkCallback</t>
  </si>
  <si>
    <t>testRequestNetworkCallback_onUnavailable</t>
  </si>
  <si>
    <t>testRestrictedNetworks</t>
  </si>
  <si>
    <t>testGetMultipathPreference</t>
  </si>
  <si>
    <t>testMajorMinorVersionCompare</t>
  </si>
  <si>
    <t>testKeepaliveWifiUnsupported</t>
  </si>
  <si>
    <t>testCreateTcpKeepalive</t>
  </si>
  <si>
    <t>testSocketKeepaliveLimitWifi</t>
  </si>
  <si>
    <t>testSocketKeepaliveLimitTelephony</t>
  </si>
  <si>
    <t>testSocketKeepaliveUnprivileged</t>
  </si>
  <si>
    <t>testRestrictedNetworkPermission</t>
  </si>
  <si>
    <t>testSetAirplaneMode</t>
  </si>
  <si>
    <t>testGetCaptivePortalServerUrl</t>
  </si>
  <si>
    <t>testCredentials</t>
  </si>
  <si>
    <t>testRawQuery</t>
  </si>
  <si>
    <t>testRawQueryInline</t>
  </si>
  <si>
    <t>testRawQueryBlob</t>
  </si>
  <si>
    <t>testRawQueryBlobInline</t>
  </si>
  <si>
    <t>testRawQueryRoot</t>
  </si>
  <si>
    <t>testRawQueryRootInline</t>
  </si>
  <si>
    <t>testRawQueryNXDomain</t>
  </si>
  <si>
    <t>testRawQueryNXDomainInline</t>
  </si>
  <si>
    <t>testRawQueryNXDomainWithPrivateDns</t>
  </si>
  <si>
    <t>testRawQueryNXDomainInlineWithPrivateDns</t>
  </si>
  <si>
    <t>testRawQueryCancel</t>
  </si>
  <si>
    <t>testRawQueryBlobCancel</t>
  </si>
  <si>
    <t>testCancelBeforeQuery</t>
  </si>
  <si>
    <t>testQueryForInetAddress</t>
  </si>
  <si>
    <t>testQueryForInetAddressInline</t>
  </si>
  <si>
    <t>testQueryForInetAddressIpv4</t>
  </si>
  <si>
    <t>testQueryForInetAddressIpv4Inline</t>
  </si>
  <si>
    <t>testQueryForInetAddressIpv6</t>
  </si>
  <si>
    <t>testQueryForInetAddressIpv6Inline</t>
  </si>
  <si>
    <t>testContinuousQueries</t>
  </si>
  <si>
    <t>testContinuousQueriesInline</t>
  </si>
  <si>
    <t>testQueryCancelForInetAddress</t>
  </si>
  <si>
    <t>testPrivateDnsBypass</t>
  </si>
  <si>
    <t>testBuildIkev2VpnProfilePsk</t>
  </si>
  <si>
    <t>testBuildIkev2VpnProfileUsernamePassword</t>
  </si>
  <si>
    <t>testBuildIkev2VpnProfileDigitalSignature</t>
  </si>
  <si>
    <t>testProvisionVpnProfileNoPreviousConsent</t>
  </si>
  <si>
    <t>testProvisionVpnProfilePlatformVpnConsented</t>
  </si>
  <si>
    <t>testProvisionVpnProfileVpnServiceConsented</t>
  </si>
  <si>
    <t>testProvisionVpnProfileAllPreConsented</t>
  </si>
  <si>
    <t>testDeleteVpnProfile</t>
  </si>
  <si>
    <t>testStartVpnProfileNoPreviousConsent</t>
  </si>
  <si>
    <t>testStartStopVpnProfileV4</t>
  </si>
  <si>
    <t>testStartStopVpnProfileV6</t>
  </si>
  <si>
    <t>parseNumericAddress</t>
  </si>
  <si>
    <t>test_parseNonNumericAddress</t>
  </si>
  <si>
    <t>test_parseNumericAddress_null</t>
  </si>
  <si>
    <t>test_isNumericAddress</t>
  </si>
  <si>
    <t>test_isNotNumericAddress</t>
  </si>
  <si>
    <t>test_isNumericAddress_null</t>
  </si>
  <si>
    <t>testParcel</t>
  </si>
  <si>
    <t>testJavaTcpSocketPair</t>
  </si>
  <si>
    <t>testJavaUdpSocketPair</t>
  </si>
  <si>
    <t>testJavaUdpSocketPairUnconnected</t>
  </si>
  <si>
    <t>testNativeTcpSocketPair</t>
  </si>
  <si>
    <t>testNativeUdpSocketPair</t>
  </si>
  <si>
    <t>testNativeUdpSocketPairUnconnected</t>
  </si>
  <si>
    <t>testIkeOverUdpEncapSocket</t>
  </si>
  <si>
    <t>testInterfaceCountersUdp4</t>
  </si>
  <si>
    <t>testInterfaceCountersUdp6</t>
  </si>
  <si>
    <t>testInterfaceCountersUdp4UdpEncap</t>
  </si>
  <si>
    <t>testAesCbcHmacMd5Tcp4</t>
  </si>
  <si>
    <t>testAesCbcHmacMd5Tcp6</t>
  </si>
  <si>
    <t>testAesCbcHmacMd5Udp4</t>
  </si>
  <si>
    <t>testAesCbcHmacMd5Udp6</t>
  </si>
  <si>
    <t>testAesCbcHmacSha1Tcp4</t>
  </si>
  <si>
    <t>testAesCbcHmacSha1Tcp6</t>
  </si>
  <si>
    <t>testAesCbcHmacSha1Udp4</t>
  </si>
  <si>
    <t>testAesCbcHmacSha1Udp6</t>
  </si>
  <si>
    <t>testAesCbcHmacSha256Tcp4</t>
  </si>
  <si>
    <t>testAesCbcHmacSha256Tcp6</t>
  </si>
  <si>
    <t>testAesCbcHmacSha256Udp4</t>
  </si>
  <si>
    <t>testAesCbcHmacSha256Udp6</t>
  </si>
  <si>
    <t>testAesCbcHmacSha384Tcp4</t>
  </si>
  <si>
    <t>testAesCbcHmacSha384Tcp6</t>
  </si>
  <si>
    <t>testAesCbcHmacSha384Udp4</t>
  </si>
  <si>
    <t>testAesCbcHmacSha384Udp6</t>
  </si>
  <si>
    <t>testAesCbcHmacSha512Tcp4</t>
  </si>
  <si>
    <t>testAesCbcHmacSha512Tcp6</t>
  </si>
  <si>
    <t>testAesCbcHmacSha512Udp4</t>
  </si>
  <si>
    <t>testAesCbcHmacSha512Udp6</t>
  </si>
  <si>
    <t>testAesGcm64Tcp4</t>
  </si>
  <si>
    <t>testAesGcm64Tcp6</t>
  </si>
  <si>
    <t>testAesGcm64Udp4</t>
  </si>
  <si>
    <t>testAesGcm64Udp6</t>
  </si>
  <si>
    <t>testAesGcm96Tcp4</t>
  </si>
  <si>
    <t>testAesGcm96Tcp6</t>
  </si>
  <si>
    <t>testAesGcm96Udp4</t>
  </si>
  <si>
    <t>testAesGcm96Udp6</t>
  </si>
  <si>
    <t>testAesGcm128Tcp4</t>
  </si>
  <si>
    <t>testAesGcm128Tcp6</t>
  </si>
  <si>
    <t>testAesGcm128Udp4</t>
  </si>
  <si>
    <t>testAesGcm128Udp6</t>
  </si>
  <si>
    <t>testAesCbcHmacMd5Tcp4UdpEncap</t>
  </si>
  <si>
    <t>testAesCbcHmacMd5Udp4UdpEncap</t>
  </si>
  <si>
    <t>testAesCbcHmacSha1Tcp4UdpEncap</t>
  </si>
  <si>
    <t>testAesCbcHmacSha1Udp4UdpEncap</t>
  </si>
  <si>
    <t>testAesCbcHmacSha256Tcp4UdpEncap</t>
  </si>
  <si>
    <t>testAesCbcHmacSha256Udp4UdpEncap</t>
  </si>
  <si>
    <t>testAesCbcHmacSha384Tcp4UdpEncap</t>
  </si>
  <si>
    <t>testAesCbcHmacSha384Udp4UdpEncap</t>
  </si>
  <si>
    <t>testAesCbcHmacSha512Tcp4UdpEncap</t>
  </si>
  <si>
    <t>testAesCbcHmacSha512Udp4UdpEncap</t>
  </si>
  <si>
    <t>testAesGcm64Tcp4UdpEncap</t>
  </si>
  <si>
    <t>testAesGcm64Udp4UdpEncap</t>
  </si>
  <si>
    <t>testAesGcm96Tcp4UdpEncap</t>
  </si>
  <si>
    <t>testAesGcm96Udp4UdpEncap</t>
  </si>
  <si>
    <t>testAesGcm128Tcp4UdpEncap</t>
  </si>
  <si>
    <t>testAesGcm128Udp4UdpEncap</t>
  </si>
  <si>
    <t>testCryptUdp4</t>
  </si>
  <si>
    <t>testAuthUdp4</t>
  </si>
  <si>
    <t>testCryptUdp6</t>
  </si>
  <si>
    <t>testAuthUdp6</t>
  </si>
  <si>
    <t>testCryptTcp4</t>
  </si>
  <si>
    <t>testAuthTcp4</t>
  </si>
  <si>
    <t>testCryptTcp6</t>
  </si>
  <si>
    <t>testAuthTcp6</t>
  </si>
  <si>
    <t>testCryptUdp4UdpEncap</t>
  </si>
  <si>
    <t>testAuthUdp4UdpEncap</t>
  </si>
  <si>
    <t>testCryptTcp4UdpEncap</t>
  </si>
  <si>
    <t>testAuthTcp4UdpEncap</t>
  </si>
  <si>
    <t>testOpenUdpEncapSocketSpecificPort</t>
  </si>
  <si>
    <t>testOpenUdpEncapSocketRandomPort</t>
  </si>
  <si>
    <t>testSecurityExceptionCreateTunnelInterfaceWithoutAppop</t>
  </si>
  <si>
    <t>testSecurityExceptionBuildTunnelTransformWithoutAppop</t>
  </si>
  <si>
    <t>testTransportInTunnelModeV4InV4</t>
  </si>
  <si>
    <t>testTransportInTunnelModeV4InV4Reflected</t>
  </si>
  <si>
    <t>testTransportInTunnelModeV4InV4UdpEncap</t>
  </si>
  <si>
    <t>testTransportInTunnelModeV4InV4UdpEncapReflected</t>
  </si>
  <si>
    <t>testTransportInTunnelModeV4InV6</t>
  </si>
  <si>
    <t>testTransportInTunnelModeV4InV6Reflected</t>
  </si>
  <si>
    <t>testTransportInTunnelModeV6InV4</t>
  </si>
  <si>
    <t>testTransportInTunnelModeV6InV4Reflected</t>
  </si>
  <si>
    <t>testTransportInTunnelModeV6InV4UdpEncap</t>
  </si>
  <si>
    <t>testTransportInTunnelModeV6InV4UdpEncapReflected</t>
  </si>
  <si>
    <t>testTransportInTunnelModeV6InV6</t>
  </si>
  <si>
    <t>testTransportInTunnelModeV6InV6Reflected</t>
  </si>
  <si>
    <t>testTunnelV4InV4</t>
  </si>
  <si>
    <t>testTunnelV4InV4Reflected</t>
  </si>
  <si>
    <t>testTunnelV4InV4UdpEncap</t>
  </si>
  <si>
    <t>testTunnelV4InV4UdpEncapReflected</t>
  </si>
  <si>
    <t>testTunnelV4InV6</t>
  </si>
  <si>
    <t>testTunnelV4InV6Reflected</t>
  </si>
  <si>
    <t>testTunnelV6InV4</t>
  </si>
  <si>
    <t>testTunnelV6InV4Reflected</t>
  </si>
  <si>
    <t>testTunnelV6InV4UdpEncap</t>
  </si>
  <si>
    <t>testTunnelV6InV4UdpEncapReflected</t>
  </si>
  <si>
    <t>testTunnelV6InV6</t>
  </si>
  <si>
    <t>testTunnelV6InV6Reflected</t>
  </si>
  <si>
    <t>testLocalServerSocket</t>
  </si>
  <si>
    <t>testNewLocalSocketAddressWithDefaultNamespace</t>
  </si>
  <si>
    <t>testLocalConnections</t>
  </si>
  <si>
    <t>testAvailable</t>
  </si>
  <si>
    <t>testLocalSocketCreatedFromFileDescriptor</t>
  </si>
  <si>
    <t>testFlush</t>
  </si>
  <si>
    <t>testMacAddress</t>
  </si>
  <si>
    <t>testConstructorInputValidation</t>
  </si>
  <si>
    <t>testMatches</t>
  </si>
  <si>
    <t>testLinkLocalFromMacGeneration</t>
  </si>
  <si>
    <t>testParcelMacAddress</t>
  </si>
  <si>
    <t>testParseMailToURI</t>
  </si>
  <si>
    <t>testGetaddrinfo</t>
  </si>
  <si>
    <t>testSetprocnetwork</t>
  </si>
  <si>
    <t>testSetsocknetwork</t>
  </si>
  <si>
    <t>testNativeDatagramTransmission</t>
  </si>
  <si>
    <t>testNoSuchNetwork</t>
  </si>
  <si>
    <t>testNetworkHandle</t>
  </si>
  <si>
    <t>testResNApi</t>
  </si>
  <si>
    <t>testResNApiNXDomainPrivateDns</t>
  </si>
  <si>
    <t>testCapabilities</t>
  </si>
  <si>
    <t>testTemporarilyNotMeteredCapability</t>
  </si>
  <si>
    <t>testTransports</t>
  </si>
  <si>
    <t>testSpecifier</t>
  </si>
  <si>
    <t>testRequestorPackageName</t>
  </si>
  <si>
    <t>testCanBeSatisfiedBy</t>
  </si>
  <si>
    <t>testInvariantInCanBeSatisfiedBy</t>
  </si>
  <si>
    <t>testRequestorUid</t>
  </si>
  <si>
    <t>testAccessUidStatsFromBinder</t>
  </si>
  <si>
    <t>testGetWatchlistConfigHash</t>
  </si>
  <si>
    <t>testBuildDirectProxy</t>
  </si>
  <si>
    <t>testBuildPacProxy</t>
  </si>
  <si>
    <t>testIsValid</t>
  </si>
  <si>
    <t>testAccessProperties</t>
  </si>
  <si>
    <t>lookupScore_constantCurve</t>
  </si>
  <si>
    <t>lookupScore_changingCurve</t>
  </si>
  <si>
    <t>lookupScore_linearCurve</t>
  </si>
  <si>
    <t>testDefaultConfiguration</t>
  </si>
  <si>
    <t>createSocket_io_error_expected</t>
  </si>
  <si>
    <t>createSocket_simple_with_hostname_verification</t>
  </si>
  <si>
    <t>createSocket_wrapped_with_hostname_verification</t>
  </si>
  <si>
    <t>createSocket_bound_with_hostname_verification</t>
  </si>
  <si>
    <t>createSocket_simple_no_hostname_verification</t>
  </si>
  <si>
    <t>createSocket_bound_no_hostname_verification</t>
  </si>
  <si>
    <t>testTheaterMode</t>
  </si>
  <si>
    <t>testValidMobileStats</t>
  </si>
  <si>
    <t>testValidTotalStats</t>
  </si>
  <si>
    <t>testValidPacketStats</t>
  </si>
  <si>
    <t>testThreadStatsTag</t>
  </si>
  <si>
    <t>testTrafficStatsForLocalhost</t>
  </si>
  <si>
    <t>testBuildUpon</t>
  </si>
  <si>
    <t>testStringUri</t>
  </si>
  <si>
    <t>testEncodeAndDecode</t>
  </si>
  <si>
    <t>testDecode_emptyString_returnsEmptyString</t>
  </si>
  <si>
    <t>testDecode_null_returnsNull</t>
  </si>
  <si>
    <t>testDecode_wrongHexDigit</t>
  </si>
  <si>
    <t>testDecode_secondHexDigitWrong</t>
  </si>
  <si>
    <t>testDecode_endsWithPercent_appendsUnknownCharacter</t>
  </si>
  <si>
    <t>testDecode_plusNotConverted</t>
  </si>
  <si>
    <t>testDecode_lastCharacter</t>
  </si>
  <si>
    <t>testDecode_secondRowOfEncoded</t>
  </si>
  <si>
    <t>testFromFile</t>
  </si>
  <si>
    <t>testQueryParameters</t>
  </si>
  <si>
    <t>testPathOperations</t>
  </si>
  <si>
    <t>testHierarchicalUris</t>
  </si>
  <si>
    <t>testNormalizeScheme</t>
  </si>
  <si>
    <t>testToSafeString_tel</t>
  </si>
  <si>
    <t>testToSafeString_sip</t>
  </si>
  <si>
    <t>testToSafeString_sms</t>
  </si>
  <si>
    <t>testToSafeString_smsto</t>
  </si>
  <si>
    <t>testToSafeString_mailto</t>
  </si>
  <si>
    <t>testToSafeString_nfc</t>
  </si>
  <si>
    <t>testToSafeString_http</t>
  </si>
  <si>
    <t>testToSafeString_https</t>
  </si>
  <si>
    <t>testToSafeString_ftp</t>
  </si>
  <si>
    <t>testToSafeString_rtsp</t>
  </si>
  <si>
    <t>testToSafeString_notSupport</t>
  </si>
  <si>
    <t>testBuilderOperations</t>
  </si>
  <si>
    <t>testUrlQuerySanitizer</t>
  </si>
  <si>
    <t>testScriptUrlOk_73822755</t>
  </si>
  <si>
    <t>testScriptUrlBlocked_73822755</t>
  </si>
  <si>
    <t>testSanitize</t>
  </si>
  <si>
    <t>testEstablish</t>
  </si>
  <si>
    <t>testProtect_DatagramSocket</t>
  </si>
  <si>
    <t>testProtect_Socket</t>
  </si>
  <si>
    <t>testProtect_int</t>
  </si>
  <si>
    <t>testTunDevice</t>
  </si>
  <si>
    <t>testLoopbackPing</t>
  </si>
  <si>
    <t>testGetCodec</t>
  </si>
  <si>
    <t>testGetCodecs</t>
  </si>
  <si>
    <t>testTraffic</t>
  </si>
  <si>
    <t>testSetMode</t>
  </si>
  <si>
    <t>testDoubleClear</t>
  </si>
  <si>
    <t>testV4Stream</t>
  </si>
  <si>
    <t>testV6Stream</t>
  </si>
  <si>
    <t>testSetDtmfType</t>
  </si>
  <si>
    <t>testSetCodec</t>
  </si>
  <si>
    <t>testDoubleRelease</t>
  </si>
  <si>
    <t>testStartTetheringWithStateChangeBroadcast</t>
  </si>
  <si>
    <t>testTetheringRequest</t>
  </si>
  <si>
    <t>testRegisterTetheringEventCallback</t>
  </si>
  <si>
    <t>testGetTetherableInterfaceRegexps</t>
  </si>
  <si>
    <t>testStopAllTethering</t>
  </si>
  <si>
    <t>testEnableTetheringPermission</t>
  </si>
  <si>
    <t>testRequestLatestEntitlementResult</t>
  </si>
  <si>
    <t>testTetheringUpstream</t>
  </si>
  <si>
    <t>testControlsSameSession</t>
  </si>
  <si>
    <t>testCreatePacProcessor</t>
  </si>
  <si>
    <t>testDefaultNetworkIsNull</t>
  </si>
  <si>
    <t>testSetNetwork</t>
  </si>
  <si>
    <t>mediaOutputPanel_withPackageNameExtra_correctPackage</t>
  </si>
  <si>
    <t>mediaOutputPanel_noPutPackageNameExtra_correctPackage</t>
  </si>
  <si>
    <t>mediaOutputPanel_correctTitle</t>
  </si>
  <si>
    <t>mediaOutputPanel_doneClosesPanel</t>
  </si>
  <si>
    <t>mediaOutputPanel_seeMoreButton_doNothing</t>
  </si>
  <si>
    <t>testGetServiceComponentBeforeConnection</t>
  </si>
  <si>
    <t>testIdleJobStartsOnlyWhenIdle_carEndsIdle</t>
  </si>
  <si>
    <t>testBuildWithAllEapMethods</t>
  </si>
  <si>
    <t>testBuildTransportModeParamsWithDefaultValues</t>
  </si>
  <si>
    <t>testBuildTunnelModeParamsWithDefaultValues</t>
  </si>
  <si>
    <t>testBuildTransportModeParamsWithCustomizedValues</t>
  </si>
  <si>
    <t>testBuildTunnelModeParamsWithCustomizedValues</t>
  </si>
  <si>
    <t>testBuildChildSessionParamsWithConfigReq</t>
  </si>
  <si>
    <t>testIkeDerAsn1DnIdentification</t>
  </si>
  <si>
    <t>testIkeFqdnIdentification</t>
  </si>
  <si>
    <t>testIkeIpv4AddrIdentification</t>
  </si>
  <si>
    <t>testIkeIpv6AddrIdentification</t>
  </si>
  <si>
    <t>testIkeKeyIdIdentification</t>
  </si>
  <si>
    <t>testIkeRfc822AddrIdentification</t>
  </si>
  <si>
    <t>testIkeSessionSetupAndChildSessionSetupWithTransportMode</t>
  </si>
  <si>
    <t>testBuildWithMinimumSet</t>
  </si>
  <si>
    <t>testSetLifetimes</t>
  </si>
  <si>
    <t>testSetDpdDelay</t>
  </si>
  <si>
    <t>testSetRetransmissionTimeouts</t>
  </si>
  <si>
    <t>testSetPcscfConfigRequests</t>
  </si>
  <si>
    <t>testAddIkeOption</t>
  </si>
  <si>
    <t>testRemoveIkeOption</t>
  </si>
  <si>
    <t>testBuildWithPsk</t>
  </si>
  <si>
    <t>testBuildWithEap</t>
  </si>
  <si>
    <t>testBuildWithEapOnlyAuth</t>
  </si>
  <si>
    <t>testThrowBuildEapOnlyAuthWithUnsafeMethod</t>
  </si>
  <si>
    <t>testBuildWithDigitalSignature</t>
  </si>
  <si>
    <t>testBuildWithDigitalSignatureAndIntermediateCerts</t>
  </si>
  <si>
    <t>testIkeSessionSetupAndChildSessionSetupWithTunnelMode</t>
  </si>
  <si>
    <t>testIkeSessionSetupAndChildSessionSetupWithTunnelModeV6</t>
  </si>
  <si>
    <t>testIkeSessionKillWithTunnelMode</t>
  </si>
  <si>
    <t>testIkeInitFail</t>
  </si>
  <si>
    <t>testIkeAuthHandlesAuthFailNotification</t>
  </si>
  <si>
    <t>testIkeAuthHandlesFirstChildCreationFail</t>
  </si>
  <si>
    <t>testRekeyIke</t>
  </si>
  <si>
    <t>testRekeyTransportModeChildSa</t>
  </si>
  <si>
    <t>testBuildIkeSaProposalWithNormalModeCipher</t>
  </si>
  <si>
    <t>testBuildIkeSaProposalWithCombinedModeCipher</t>
  </si>
  <si>
    <t>testBuildIkeSaProposalWithCombinedModeCipherAndIntegrityNone</t>
  </si>
  <si>
    <t>testBuildChildSaProposalWithNormalModeCipher</t>
  </si>
  <si>
    <t>testBuildChildProposalWithCombinedModeCipher</t>
  </si>
  <si>
    <t>testBuildChildProposalWithCombinedModeCipherAndIntegrityNone</t>
  </si>
  <si>
    <t>testBuildChildSaProposalWithOnlyCiphers</t>
  </si>
  <si>
    <t>testGetApnTypesStringFromBitmaskWithDefault</t>
  </si>
  <si>
    <t>testGetApnTypesStringFromBitmaskWithSingleValue</t>
  </si>
  <si>
    <t>testGetApnTypesStringFromBitmaskWithSeveralValues</t>
  </si>
  <si>
    <t>inheritGrantedPermissionStateStorage</t>
  </si>
  <si>
    <t>testOnOutgoingSmsEmergencyNumberChangedByRegisterPhoneStateListener</t>
  </si>
  <si>
    <t>testOnActiveDataSubscriptionIdChangedByRegisterPhoneStateListener</t>
  </si>
  <si>
    <t>testOnBarringInfoChangedByRegisterPhoneStateListener</t>
  </si>
  <si>
    <t>testOnRegistrationFailedByRegisterPhoneStateListener</t>
  </si>
  <si>
    <t>testOnCellLocationChangedByRegisterPhoneStateListener</t>
  </si>
  <si>
    <t>testOnCallStateChangedByRegisterPhoneStateListener</t>
  </si>
  <si>
    <t>testOnDataConnectionStateChangedByRegisterPhoneStateListener</t>
  </si>
  <si>
    <t>testOnDataActivityByRegisterPhoneStateListener</t>
  </si>
  <si>
    <t>testOnCellInfoChangedByRegisterPhoneStateListener</t>
  </si>
  <si>
    <t>testOnUserMobileDataStateChangedByRegisterPhoneStateListener</t>
  </si>
  <si>
    <t>testOSrvccStateChangedByRegisterPhoneStateListener</t>
  </si>
  <si>
    <t>testOnRadioPowerStateChangedByRegisterPhoneStateListener</t>
  </si>
  <si>
    <t>testOnVoiceActivationStateChangedByRegisterPhoneStateListener</t>
  </si>
  <si>
    <t>testOnPreciseDataConnectionStateChangedByRegisterPhoneStateListener</t>
  </si>
  <si>
    <t>testOnDisplayInfoChangedByRegisterPhoneStateListener</t>
  </si>
  <si>
    <t>testOnCallForwardingIndicatorChangedByRegisterPhoneStateListener</t>
  </si>
  <si>
    <t>testOnServiceStateChangedByRegisterPhoneStateListener</t>
  </si>
  <si>
    <t>testOnUnRegisterFollowedByRegisterPhoneStateListener</t>
  </si>
  <si>
    <t>testOnSignalStrengthsChangedByRegisterPhoneStateListener</t>
  </si>
  <si>
    <t>testOnMessageWaitingIndicatorChangedByRegisterPhoneStateListener</t>
  </si>
  <si>
    <t>testOnPreciseCallStateChangedByRegisterPhoneStateListener</t>
  </si>
  <si>
    <t>testOnCallDisconnectCauseChangedByRegisterPhoneStateListener</t>
  </si>
  <si>
    <t>testOnImsCallDisconnectCauseChangedByRegisterPhoneStateListener</t>
  </si>
  <si>
    <t>testRegisterPhoneStateListener</t>
  </si>
  <si>
    <t>testStandaloneDataForRead</t>
  </si>
  <si>
    <t>testBadArgument</t>
  </si>
  <si>
    <t>testValidValues</t>
  </si>
  <si>
    <t>testSetAndGetPasswordQuality_onParent</t>
  </si>
  <si>
    <t>testWriteExternalStorage</t>
  </si>
  <si>
    <t>noopTest</t>
  </si>
  <si>
    <t>testTypePathConformity</t>
  </si>
  <si>
    <t>testCreateFileInAppExternalDir</t>
  </si>
  <si>
    <t>testCreateFileInOtherAppExternalDir</t>
  </si>
  <si>
    <t>testContributeMediaFile</t>
  </si>
  <si>
    <t>testCreateAndDeleteEmptyDir</t>
  </si>
  <si>
    <t>testOpendirRestrictions</t>
  </si>
  <si>
    <t>testLowLevelFileIO</t>
  </si>
  <si>
    <t>testListDirectoriesWithMediaFiles</t>
  </si>
  <si>
    <t>testListFilesFromExternalMediaDirectory</t>
  </si>
  <si>
    <t>testMetaDataRedaction</t>
  </si>
  <si>
    <t>testVfsCacheConsistency</t>
  </si>
  <si>
    <t>testCaseInsensitivity</t>
  </si>
  <si>
    <t>testRenameAndReplaceFile</t>
  </si>
  <si>
    <t>testRenameDirectory</t>
  </si>
  <si>
    <t>testSystemGalleryAppHasFullAccessToImages</t>
  </si>
  <si>
    <t>testSystemGalleryAppHasNoFullAccessToAudio</t>
  </si>
  <si>
    <t>testSystemGalleryCanRenameImageAndVideoDirs</t>
  </si>
  <si>
    <t>testHiddenFiles</t>
  </si>
  <si>
    <t>testCreateCanRestoreDeletedRowId</t>
  </si>
  <si>
    <t>testRenameCanRestoreDeletedRowId</t>
  </si>
  <si>
    <t>testQueryOtherAppsFiles</t>
  </si>
  <si>
    <t>testReadWriteFilesInOtherAppExternalDir</t>
  </si>
  <si>
    <t>testCantDeleteOtherAppsContents</t>
  </si>
  <si>
    <t>testDeleteAlreadyUnlinkedFile</t>
  </si>
  <si>
    <t>testListDirectoriesWithNonMediaFiles</t>
  </si>
  <si>
    <t>testListFilesFromExternalFilesDirectory</t>
  </si>
  <si>
    <t>testCallingIdentityCacheInvalidation</t>
  </si>
  <si>
    <t>testRenameFile</t>
  </si>
  <si>
    <t>testRenameFileType</t>
  </si>
  <si>
    <t>testRenameFileNotOwned</t>
  </si>
  <si>
    <t>testRenameDirectoryNotOwned</t>
  </si>
  <si>
    <t>testRenameEmptyDirectory</t>
  </si>
  <si>
    <t>testCantAccessOtherAppsContents</t>
  </si>
  <si>
    <t>testSystemGalleryCanRenameImagesAndVideos</t>
  </si>
  <si>
    <t>testCanWriteToDCIMCameraWithNomedia</t>
  </si>
  <si>
    <t>testHiddenDirectory_nomedia</t>
  </si>
  <si>
    <t>testListHiddenFile</t>
  </si>
  <si>
    <t>testOpenPendingAndTrashed</t>
  </si>
  <si>
    <t>testDeletePendingAndTrashed</t>
  </si>
  <si>
    <t>testListPendingAndTrashed</t>
  </si>
  <si>
    <t>testSystemGalleryQueryOtherAppsFiles</t>
  </si>
  <si>
    <t>testCantCreateOrRenameFileWithInvalidName</t>
  </si>
  <si>
    <t>testRenameWithSpecialChars</t>
  </si>
  <si>
    <t>testPendingFromFuse</t>
  </si>
  <si>
    <t>testScanUpdatesMetadataForRenamedHiddenFile</t>
  </si>
  <si>
    <t>testTvInputServiceSession</t>
  </si>
  <si>
    <t>testTvInputServiceRecordingSession</t>
  </si>
  <si>
    <t>testFgsStartTempAllowList</t>
  </si>
  <si>
    <t>testShellSubscription</t>
  </si>
  <si>
    <t>testShellSubscriptionReconnect</t>
  </si>
  <si>
    <t>testStatsActiveMetricDirectoryExists</t>
  </si>
  <si>
    <t>testStatsDataDirectoryExists</t>
  </si>
  <si>
    <t>testStatsMetadataDirectoryExists</t>
  </si>
  <si>
    <t>testStatsServiceDirectoryExists</t>
  </si>
  <si>
    <t>testTrainInfoDirectoryExists</t>
  </si>
  <si>
    <t>testRunningOnWorkProfile</t>
  </si>
  <si>
    <t>testHevcTranscoding1080PVideo1FrameWithAudio</t>
  </si>
  <si>
    <t>testProvisioningManagerNotifyAutoConfig</t>
  </si>
  <si>
    <t>cect_10_2_3_1_RebootLogicalAddress</t>
  </si>
  <si>
    <t>testListUnsupportedFileType</t>
  </si>
  <si>
    <t>testCantRenameToTopLevelDirectory</t>
  </si>
  <si>
    <t>testCantAccessOtherAppsExternalDirs</t>
  </si>
  <si>
    <t>testCanCreateDefaultDirectory</t>
  </si>
  <si>
    <t>testWallpaperApisNoPermission</t>
  </si>
  <si>
    <t>testResetFocusAppearanceDataAfterServiceDisabled</t>
  </si>
  <si>
    <t>testApplication</t>
  </si>
  <si>
    <t>testOnTrimMemory</t>
  </si>
  <si>
    <t>testGetAudioDeviceMediaPlayerStart</t>
  </si>
  <si>
    <t>testDangerousPermissionState</t>
  </si>
  <si>
    <t>testIsProviderEnabled</t>
  </si>
  <si>
    <t>testTextView_getAutofillType_noCustomReceiver</t>
  </si>
  <si>
    <t>testTextView_getAutofillType_customReceiver</t>
  </si>
  <si>
    <t>testTextView_getAutofillType_customReceiver_oldTargetSdk</t>
  </si>
  <si>
    <t>testAutofill_customReceiver_unsupportedMimeType</t>
  </si>
  <si>
    <t>testAutofill_oldTargetSdk</t>
  </si>
  <si>
    <t>testPasswordMinimumRestrictions</t>
  </si>
  <si>
    <t>testSetStrength</t>
  </si>
  <si>
    <t>testSetStrengthInvalid</t>
  </si>
  <si>
    <t>testNDSManager</t>
  </si>
  <si>
    <t>testSetInvalidFontScaleValueRejected</t>
  </si>
  <si>
    <t>launchBaseActivity_withThemeBaseV23_themeApplied</t>
  </si>
  <si>
    <t>launchBaseActivity_withThemeFeature_themeApplied</t>
  </si>
  <si>
    <t>launchBaseActivity_withThemeFeatureV23_themeApplied</t>
  </si>
  <si>
    <t>launchFeatureActivity_withThemeBase_themeApplied</t>
  </si>
  <si>
    <t>launchFeatureActivity_withThemeBaseV23_themeApplied</t>
  </si>
  <si>
    <t>launchFeatureActivity_withThemeFeature_themeApplied</t>
  </si>
  <si>
    <t>launchFeatureActivity_withThemeFeatureV23_themeApplied</t>
  </si>
  <si>
    <t>testTransportInfoRetrievalNotAllowedForForegroundActivityWithNoLocationPermission</t>
  </si>
  <si>
    <t>testTransportInfoRetrievalAllowedForForegroundActivityWithFineLocationPermission</t>
  </si>
  <si>
    <t>testTransportInfoRetrievalAllowedForBackgroundServiceWithBackgroundLocationPermission</t>
  </si>
  <si>
    <t>testTransportInfoRetrievalNotAllowedForBackgroundServiceWithFineLocationPermission</t>
  </si>
  <si>
    <t>testProfileOwnerCanGetDeviceIdentifiers</t>
  </si>
  <si>
    <t>testDownloadableSubscriptionBuilder_throwException_emptyActivationCode</t>
  </si>
  <si>
    <t>testEntropyConsumption</t>
  </si>
  <si>
    <t>testSetSupportSlowMotion</t>
  </si>
  <si>
    <t>testProfileInheritsEphemeral</t>
  </si>
  <si>
    <t>testSecurePublicSettingsKeysAreReadable</t>
  </si>
  <si>
    <t>testSystemPublicSettingsKeysAreReadable</t>
  </si>
  <si>
    <t>testGlobalPublicSettingsKeysAreReadable</t>
  </si>
  <si>
    <t>testSecureSomeHiddenSettingsKeysAreReadable</t>
  </si>
  <si>
    <t>testSystemSomeHiddenSettingsKeysAreReadable</t>
  </si>
  <si>
    <t>testGlobalSomeHiddenSettingsKeysAreReadable</t>
  </si>
  <si>
    <t>testGrantForegroundRuntimePermission22</t>
  </si>
  <si>
    <t>id_notSet_returnsNull</t>
  </si>
  <si>
    <t>querySavedInstanceState_works</t>
  </si>
  <si>
    <t>queryPersistentState_works</t>
  </si>
  <si>
    <t>queryName_customValueOnLogger_works</t>
  </si>
  <si>
    <t>queryActivityClass_works</t>
  </si>
  <si>
    <t>testGetNetworkSuggestionUserApprovalStatus</t>
  </si>
  <si>
    <t>testHdmiControlManager</t>
  </si>
  <si>
    <t>testGetHdmiClient</t>
  </si>
  <si>
    <t>testHdmiClientType</t>
  </si>
  <si>
    <t>testHdmiCecConfig_HdmiCecEnabled</t>
  </si>
  <si>
    <t>testHdmiCecConfig_HdmiCecEnabled_Listener</t>
  </si>
  <si>
    <t>testHdmiCecConfig_HdmiCecVersion</t>
  </si>
  <si>
    <t>testHdmiCecConfig_PowerControlMode</t>
  </si>
  <si>
    <t>testHdmiCecConfig_PowerStateChangeOnActiveSourceLost</t>
  </si>
  <si>
    <t>testHdmiCecConfig_SystemAudioModeMuting</t>
  </si>
  <si>
    <t>testVulkanUnsupportedFormat</t>
  </si>
  <si>
    <t>testVulkanSupportedFormat</t>
  </si>
  <si>
    <t>testUnlock</t>
  </si>
  <si>
    <t>testDefaultEnableRestrictedBucketOff</t>
  </si>
  <si>
    <t>userHandle_returnsUserHandle</t>
  </si>
  <si>
    <t>resolve_doesNotExist_returnsNull</t>
  </si>
  <si>
    <t>remove_userDoesNotExist_throwsException</t>
  </si>
  <si>
    <t>remove_userExists_removesUser</t>
  </si>
  <si>
    <t>testGetPackagesForUidCrossUserGrant</t>
  </si>
  <si>
    <t>testGetPackagesForUidCrossUserNoGrant</t>
  </si>
  <si>
    <t>testGetPackagesForUidVisibility_currentUser</t>
  </si>
  <si>
    <t>testGetPackagesForUidVisibility_anotherUserCrossUserGrant</t>
  </si>
  <si>
    <t>testGetPackagesForUidVisibility_anotherUserCrossUserNoGrant</t>
  </si>
  <si>
    <t>query_itemUri_returnsCorrectRow</t>
  </si>
  <si>
    <t>insertAdn_nameContainingUnsupportedCharacters_throwsCorrectException</t>
  </si>
  <si>
    <t>update_nameContainingUnsupportedCharacters_throwsCorrectException</t>
  </si>
  <si>
    <t>validateName_emptyName</t>
  </si>
  <si>
    <t>validateName_lengthLimit</t>
  </si>
  <si>
    <t>validateName_supportedCharacters</t>
  </si>
  <si>
    <t>fontManager_updateFontFile_nullPfd</t>
  </si>
  <si>
    <t>fontManager_updateFontFile_nullSignature</t>
  </si>
  <si>
    <t>createUser_doesNotSpecifyName_throwsIllegalStateException</t>
  </si>
  <si>
    <t>testAlarmManagerServiceDump</t>
  </si>
  <si>
    <t>testConnectionSuccess</t>
  </si>
  <si>
    <t>testEngineNotAvailableConnectionFailure</t>
  </si>
  <si>
    <t>testShutdownStateCleared</t>
  </si>
  <si>
    <t>testShutdownServiceUnbound</t>
  </si>
  <si>
    <t>testInstallOnlySplitHasFsvSig</t>
  </si>
  <si>
    <t>testGetPowerSaverMode_requiresPermissions</t>
  </si>
  <si>
    <t>testPidAndUidForwarding</t>
  </si>
  <si>
    <t>testStretchLeftAndCatch</t>
  </si>
  <si>
    <t>testStretchRightAndCatch</t>
  </si>
  <si>
    <t>testStretchTopAndCatch</t>
  </si>
  <si>
    <t>testStretchBottomAndCatch</t>
  </si>
  <si>
    <t>testCompatFeatureDisabledUserdebugBuild</t>
  </si>
  <si>
    <t>testBatteryStatsServiceDump</t>
  </si>
  <si>
    <t>uninstall_packageDoesNotExist_throwsException</t>
  </si>
  <si>
    <t>testGetDeviceProductInfo</t>
  </si>
  <si>
    <t>testStartProfile</t>
  </si>
  <si>
    <t>testStopProfile</t>
  </si>
  <si>
    <t>testStopAndRestartProfile</t>
  </si>
  <si>
    <t>testStopAndRestartProfile_dontWaitForBroadcast</t>
  </si>
  <si>
    <t>testStartProfileWithoutPermission_throwsException</t>
  </si>
  <si>
    <t>testStopProfileWithoutPermission_throwsException</t>
  </si>
  <si>
    <t>testStartFullUserAsProfile_throwsException</t>
  </si>
  <si>
    <t>testStopFullUserAsProfile_throwsException</t>
  </si>
  <si>
    <t>testStartTvProfile</t>
  </si>
  <si>
    <t>testStopTvProfile</t>
  </si>
  <si>
    <t>supportedTypes_androidVersionLessThan11_returnsNull</t>
  </si>
  <si>
    <t>supportedType_invalidType_androidVersionLessThan11_returnsNull</t>
  </si>
  <si>
    <t>supportedType_validType_androidVersionLessThan11_returnsNull</t>
  </si>
  <si>
    <t>bug136096979_ota</t>
  </si>
  <si>
    <t>testUnregisterWithPropertyId</t>
  </si>
  <si>
    <t>testGetNrState</t>
  </si>
  <si>
    <t>testUsageToString_returnCorrectStrings</t>
  </si>
  <si>
    <t>testUsageToString_unknownUsage</t>
  </si>
  <si>
    <t>testIncludeExcludeRules</t>
  </si>
  <si>
    <t>testNotifySession2Created</t>
  </si>
  <si>
    <t>query_returnsEmptyCursor</t>
  </si>
  <si>
    <t>testHandlesConfigChanges</t>
  </si>
  <si>
    <t>registerCarVolumeCallback_nullCallback_throwsNPE</t>
  </si>
  <si>
    <t>registerCarVolumeCallback_nonNullCallback_throwsPermissionError</t>
  </si>
  <si>
    <t>registerCarVolumeCallback_withPermission_receivesCallback</t>
  </si>
  <si>
    <t>unregisterCarVolumeCallback_nullCallback_throws</t>
  </si>
  <si>
    <t>unregisterCarVolumeCallback_unregisteredCallback_doesNotReceiveCallback</t>
  </si>
  <si>
    <t>unregisterCarVolumeCallback_withoutPermission_throws</t>
  </si>
  <si>
    <t>unregisterCarVolumeCallback_noLongerReceivesCallback</t>
  </si>
  <si>
    <t>testOnAllowedNetworkTypesChangedByRegisterPhoneStateListener</t>
  </si>
  <si>
    <t>differentUserSpecifiedByUserReference_queryWorks</t>
  </si>
  <si>
    <t>startUser_userIsStopping_noBroadcastIsReceived</t>
  </si>
  <si>
    <t>testBuilder_Encrypted_Success</t>
  </si>
  <si>
    <t>testRemoteResource</t>
  </si>
  <si>
    <t>testBuilder_nullSpecs</t>
  </si>
  <si>
    <t>testBuilder_nullRequests</t>
  </si>
  <si>
    <t>testBuilder_validRequests</t>
  </si>
  <si>
    <t>testBuilder_validAddRequests</t>
  </si>
  <si>
    <t>testBuilder_nullTranslation</t>
  </si>
  <si>
    <t>testBuilder_changeTranslationStatus</t>
  </si>
  <si>
    <t>testStyle</t>
  </si>
  <si>
    <t>testSetHotwordDetectionConfig_noHotwordDetectionComponentName_returnFailure</t>
  </si>
  <si>
    <t>testGetCarrierBandwidth</t>
  </si>
  <si>
    <t>testOnLinkCapacityEstimateChangedByRegisterPhoneStateListener</t>
  </si>
  <si>
    <t>testGetPhoneCapability</t>
  </si>
  <si>
    <t>testNotWhitelisted_byService_alreadyRunning</t>
  </si>
  <si>
    <t>testRinseAndRepeat_alreadyRunning</t>
  </si>
  <si>
    <t>doesntRecycleWhenViewIdDoesntMatchSync</t>
  </si>
  <si>
    <t>doesntRecycleWhenViewIdDoesntMatchAsync</t>
  </si>
  <si>
    <t>testCanRecycleView</t>
  </si>
  <si>
    <t>testGetSupportedLocales</t>
  </si>
  <si>
    <t>testProvisionDeviceOwner</t>
  </si>
  <si>
    <t>testProvisionDeviceOwner_withAllSystemAppsEnabled</t>
  </si>
  <si>
    <t>testIsManagedProfile</t>
  </si>
  <si>
    <t>testProvisionManagedProfile</t>
  </si>
  <si>
    <t>testProvisionManagedProfile_accountCopy</t>
  </si>
  <si>
    <t>testVerifyAdminExtraBundle</t>
  </si>
  <si>
    <t>testVerifySuccessfulIntentWasReceived</t>
  </si>
  <si>
    <t>testAccountExist</t>
  </si>
  <si>
    <t>testAccountNotExist</t>
  </si>
  <si>
    <t>testDeviceOwnerProvisioning</t>
  </si>
  <si>
    <t>testManagedProfileProvisioning</t>
  </si>
  <si>
    <t>testEXTRA_PROVISIONING_ADMIN_EXTRAS_BUNDLE</t>
  </si>
  <si>
    <t>testAccountMigration</t>
  </si>
  <si>
    <t>testAccountCopy</t>
  </si>
  <si>
    <t>testWebview</t>
  </si>
  <si>
    <t>testNumDynamicShortcuts</t>
  </si>
  <si>
    <t>testWithManifest</t>
  </si>
  <si>
    <t>testChangeActivity</t>
  </si>
  <si>
    <t>testWithPinned</t>
  </si>
  <si>
    <t>install_packageIsInstalled</t>
  </si>
  <si>
    <t>testResamplingEventConnections</t>
  </si>
  <si>
    <t>testSensorDefaultVerifications</t>
  </si>
  <si>
    <t>testEquals_failure_differentVersion</t>
  </si>
  <si>
    <t>testVideoSampleFileOffsetByGetSampleFormat</t>
  </si>
  <si>
    <t>testAudioSampleFileOffsetByGetSampleFormat</t>
  </si>
  <si>
    <t>testGetTrackCountNative</t>
  </si>
  <si>
    <t>testGetTrackFormatNative</t>
  </si>
  <si>
    <t>testSimpleAppendNative</t>
  </si>
  <si>
    <t>testAppendGetTrackCountNative</t>
  </si>
  <si>
    <t>testAppendNoSamplesNative</t>
  </si>
  <si>
    <t>testIgnoreLastGOPAppend</t>
  </si>
  <si>
    <t>testAppendGetTrackFormatNative</t>
  </si>
  <si>
    <t>testPocCVE_2017_13190</t>
  </si>
  <si>
    <t>requestEmptyRoleThenDeniedAutomatically</t>
  </si>
  <si>
    <t>testBasicUsage</t>
  </si>
  <si>
    <t>testRunningAndRecentStartUsage</t>
  </si>
  <si>
    <t>testRunningAndRecentNoteUsage</t>
  </si>
  <si>
    <t>testMultipleUsageOnlyMostRecentShown</t>
  </si>
  <si>
    <t>testProxyUsageStart</t>
  </si>
  <si>
    <t>testSelfBlameProxyDoesntShowAttribution</t>
  </si>
  <si>
    <t>canonicalName</t>
  </si>
  <si>
    <t>testUidForegroundDuration</t>
  </si>
  <si>
    <t>testMediaPerformanceClass</t>
  </si>
  <si>
    <t>testUpdateShortcutVisibility_GrantShortcutAccess</t>
  </si>
  <si>
    <t>testCreateContext_WithRenouncedPermissions</t>
  </si>
  <si>
    <t>testExpeditedJobBypassesSimultaneousFirewalls</t>
  </si>
  <si>
    <t>testSetViewId</t>
  </si>
  <si>
    <t>testSetViewIdFailsOnMultipleLayouts</t>
  </si>
  <si>
    <t>testExternalTimeSuggestionParcelable</t>
  </si>
  <si>
    <t>testSetPowerCap</t>
  </si>
  <si>
    <t>testMTPAppWithoutPlatformSignatureCannotAccessAndroidDirs</t>
  </si>
  <si>
    <t>testMTPAppWithPlatformSignatureCanAccessAndroidDirs</t>
  </si>
  <si>
    <t>testExternalStorageProviderAndDownloadsProvider</t>
  </si>
  <si>
    <t>testIsActive</t>
  </si>
  <si>
    <t>testGlobalGetDocuments_exist</t>
  </si>
  <si>
    <t>testGlobalGetDocuments_nonexist</t>
  </si>
  <si>
    <t>testRequestBluetoothPermission30_GrantLocation_RevokeNearby</t>
  </si>
  <si>
    <t>testMissingFields</t>
  </si>
  <si>
    <t>buildSearchSpecWithoutTermMatchType</t>
  </si>
  <si>
    <t>testParcelUnparcelImsConfiguration</t>
  </si>
  <si>
    <t>testServiceAvailable</t>
  </si>
  <si>
    <t>testDupFilesExist</t>
  </si>
  <si>
    <t>testCheckCarrierPrivilegesForPackageAnyPhoneEnforcesReadPrivilege</t>
  </si>
  <si>
    <t>testJobSchedulerServiceDump</t>
  </si>
  <si>
    <t>testNotificationRecords</t>
  </si>
  <si>
    <t>testRankingConfig</t>
  </si>
  <si>
    <t>testZenMode</t>
  </si>
  <si>
    <t>testInputMethod</t>
  </si>
  <si>
    <t>testEdgeEffectType</t>
  </si>
  <si>
    <t>testDefaultPowerPolicyStateMachine</t>
  </si>
  <si>
    <t>testPowerPolicyChange</t>
  </si>
  <si>
    <t>testPowerPolicySuspendToRAM</t>
  </si>
  <si>
    <t>testNewPowerPolicy</t>
  </si>
  <si>
    <t>testOpenOutputStream_default_truncatesFile</t>
  </si>
  <si>
    <t>testDeviceOwnerCanRemoveConfig</t>
  </si>
  <si>
    <t>internalPadding_shouldBePositive</t>
  </si>
  <si>
    <t>testForegroundService_deferredExistingNotification</t>
  </si>
  <si>
    <t>testGetPackageUidCrossUserGrant</t>
  </si>
  <si>
    <t>testGetPackageUidCrossUserNoGrant</t>
  </si>
  <si>
    <t>testGetPackageGidsCrossUserGrant</t>
  </si>
  <si>
    <t>testGetPackageGidsCrossUserNoGrant</t>
  </si>
  <si>
    <t>testGetPackageUidVisibility_currentUser</t>
  </si>
  <si>
    <t>testGetPackageUidVisibility_anotherUserCrossUserGrant</t>
  </si>
  <si>
    <t>testGetPackageUidVisibility_anotherUserCrossUserNoGrant</t>
  </si>
  <si>
    <t>testGetPackageGidsVisibility_currentUser</t>
  </si>
  <si>
    <t>testGetPackageGidsVisibility_anotherUserCrossUserGrant</t>
  </si>
  <si>
    <t>testGetPackageGidsVisibility_anotherUserCrossUserNoGrant</t>
  </si>
  <si>
    <t>testA11yWindowInfoHasCorrectLayer</t>
  </si>
  <si>
    <t>testA11yWindowInfoAndA11yNodeInfoHasCorrectBoundsInScreen</t>
  </si>
  <si>
    <t>testA11yWindowNotifyWhenResizeWindowInActivityView</t>
  </si>
  <si>
    <t>testA11yWindowNotifyWhenResizeWindowInActivityViewAfterServiceOffAndOn</t>
  </si>
  <si>
    <t>withPermissions_androidSAndAbove_restoresPreviousPermissionContext</t>
  </si>
  <si>
    <t>testManageCountryCodeMethodsOnROrOlder</t>
  </si>
  <si>
    <t>testResizeActivityView</t>
  </si>
  <si>
    <t>testAppStoppedWithVisibilityGone</t>
  </si>
  <si>
    <t>testAppStoppedWithVisibilityInvisible</t>
  </si>
  <si>
    <t>testAppStopAndStartWithVisibilityChange</t>
  </si>
  <si>
    <t>testPocCVE_2020_0408</t>
  </si>
  <si>
    <t>testInstallBaseWithFsvSigIncrementally</t>
  </si>
  <si>
    <t>testInstallEverythingWithFsvSigIncrementally</t>
  </si>
  <si>
    <t>setDeviceOwner_userAlreadyOnDevice_throwsException</t>
  </si>
  <si>
    <t>testSetUserControlDisabledPackages</t>
  </si>
  <si>
    <t>testSingleTranslation_deprecatedSyncCreateTranslator</t>
  </si>
  <si>
    <t>testImeDisableClientSuggestions_showDropdownUi</t>
  </si>
  <si>
    <t>testImeDisableClientSuggestions_fallbackThenShowInline</t>
  </si>
  <si>
    <t>testImeDisableServiceSuggestions_fallbackThenShowDropdownUi</t>
  </si>
  <si>
    <t>testImeDisableServiceSuggestions_fallbackDropdownUi</t>
  </si>
  <si>
    <t>testIsLockTaskPermitted_includesPolicyExemptApps</t>
  </si>
  <si>
    <t>testLockTask_policyExemptApps</t>
  </si>
  <si>
    <t>testCannotAccessApis</t>
  </si>
  <si>
    <t>testEnablingSecurityLogging</t>
  </si>
  <si>
    <t>testGenerateLogs</t>
  </si>
  <si>
    <t>testVerifyGeneratedLogs</t>
  </si>
  <si>
    <t>testSecurityLoggingRetrievalRateLimited</t>
  </si>
  <si>
    <t>testDisablingSecurityLogging</t>
  </si>
  <si>
    <t>testHotwordDetectionService_withoutAllowTriggerPermission_triggerFailure</t>
  </si>
  <si>
    <t>testInstallSysTrace</t>
  </si>
  <si>
    <t>testBuilder_mixingAdders</t>
  </si>
  <si>
    <t>testDeprecatedConfig</t>
  </si>
  <si>
    <t>testSettingsKeysNotReadableForAfterR</t>
  </si>
  <si>
    <t>testSettingsKeysReadableForRMinus</t>
  </si>
  <si>
    <t>testNfcSetControllerAlwaysOnPermission</t>
  </si>
  <si>
    <t>testOemManagedBytesTransfer</t>
  </si>
  <si>
    <t>testAppLinks_verificationStatus</t>
  </si>
  <si>
    <t>testAppLinks_enabledStatus</t>
  </si>
  <si>
    <t>testNetworkInterface</t>
  </si>
  <si>
    <t>testIsUiContextOnInputMethodService</t>
  </si>
  <si>
    <t>testKeyManagement</t>
  </si>
  <si>
    <t>testGenerateKeyPairLogged</t>
  </si>
  <si>
    <t>testDelegatedCertInstallerDirectly</t>
  </si>
  <si>
    <t>testSetKeyGrant</t>
  </si>
  <si>
    <t>testSetKeyPairCertificateLogged</t>
  </si>
  <si>
    <t>testInstallWithIdSigNoDigesting</t>
  </si>
  <si>
    <t>testDocument_toBuilder</t>
  </si>
  <si>
    <t>whereActivity_customValueOnLogger_works</t>
  </si>
  <si>
    <t>whereActivity_customValueOnLogger_skipsNonMatching</t>
  </si>
  <si>
    <t>matches_className_doesMatch_returnsTrue</t>
  </si>
  <si>
    <t>matches_className_doesNotMatch_returnsFalse</t>
  </si>
  <si>
    <t>matches_simpleName_doesMatch_returnsTrue</t>
  </si>
  <si>
    <t>matches_simpleName_doesNotMatch_returnsFalse</t>
  </si>
  <si>
    <t>testLockTask</t>
  </si>
  <si>
    <t>internetPanel_seeMoreButton_launchesIntoSettings</t>
  </si>
  <si>
    <t>testTunneledVideoPeekDefaultHevc</t>
  </si>
  <si>
    <t>testTunneledVideoPeekDefaultAvc</t>
  </si>
  <si>
    <t>testTunneledVideoPeekDefaultVp9</t>
  </si>
  <si>
    <t>testDefaultNotInSettings</t>
  </si>
  <si>
    <t>testUninstalledPkgsNotInSettings</t>
  </si>
  <si>
    <t>testMultipleDevOptionsAngleDefault</t>
  </si>
  <si>
    <t>testMultipleDevOptionsAngleNativeUninstall</t>
  </si>
  <si>
    <t>testEmptyRulesFile</t>
  </si>
  <si>
    <t>testEnableAngleRulesFile</t>
  </si>
  <si>
    <t>test720p</t>
  </si>
  <si>
    <t>testLoadingProgressPersistsAfterReboot</t>
  </si>
  <si>
    <t>testItemWithNegativeEstimatedBytes</t>
  </si>
  <si>
    <t>resetLogs_get_doesNotReturnLogs</t>
  </si>
  <si>
    <t>resetLogs_differentPackage_get_doesNotReturnLogs</t>
  </si>
  <si>
    <t>resetLogs_next_doesNotReturnLogs</t>
  </si>
  <si>
    <t>resetLogs_differentPackage_next_doesNotReturnLogs</t>
  </si>
  <si>
    <t>get_nothingLogged_returnsNull</t>
  </si>
  <si>
    <t>get_differentPackage_nothingLogged_returnsNull</t>
  </si>
  <si>
    <t>next_nothingLogged_returnsNull</t>
  </si>
  <si>
    <t>next_differentPackage_nothingLogged_returnsNull</t>
  </si>
  <si>
    <t>get_loggedOnTwoPackages_returnsEventFromQueriedPackage</t>
  </si>
  <si>
    <t>next_loggedOnTwoPackages_returnsEventFromQueriedPackage</t>
  </si>
  <si>
    <t>get_alreadyLogged_returnsEvent</t>
  </si>
  <si>
    <t>get_differentPackage_alreadyLogged_returnsEvent</t>
  </si>
  <si>
    <t>next_alreadyLogged_returnsFirstEvent</t>
  </si>
  <si>
    <t>next_differentPackage_alreadyLogged_returnsFirstEvent</t>
  </si>
  <si>
    <t>next_hasReturnedAllEvents_returnsNull</t>
  </si>
  <si>
    <t>next_differentPackage_hasReturnedAllEvents_returnsNull</t>
  </si>
  <si>
    <t>next_previouslyCalledNext_returnsNextUnseenEvent</t>
  </si>
  <si>
    <t>next_differentPackage_previouslyCalledNext_returnsNextUnseenEvent</t>
  </si>
  <si>
    <t>next_previouslyPolled_returnsNextUnseenEvent</t>
  </si>
  <si>
    <t>next_differentPackage_previouslyPolled_returnsNextUnseenEvent</t>
  </si>
  <si>
    <t>poll_previouslyCalledNext_returnsNextUnseenEvent</t>
  </si>
  <si>
    <t>poll_differentPackage_previouslyCalledNext_returnsNextUnseenEvent</t>
  </si>
  <si>
    <t>get_loggedPreviouslyWithDifferentData_returnsCorrectEvent</t>
  </si>
  <si>
    <t>get_differentPackage_loggedPreviouslyWithDifferentData_returnsCorrectEvent</t>
  </si>
  <si>
    <t>next_loggedPreviouslyWithDifferentData_returnsCorrectEvent</t>
  </si>
  <si>
    <t>next_differentPackage_loggedPreviouslyWithDifferentData_returnsCorrectEvent</t>
  </si>
  <si>
    <t>get_multipleLoggedEvents_returnsFirstEvent</t>
  </si>
  <si>
    <t>get_differentPackage_multipleLoggedEvents_returnsFirstEvent</t>
  </si>
  <si>
    <t>get_multipleCalls_alwaysReturnsFirstEvent</t>
  </si>
  <si>
    <t>get_differentPackage_multipleCalls_alwaysReturnsFirstEvent</t>
  </si>
  <si>
    <t>get_loggedAfter_returnsNull</t>
  </si>
  <si>
    <t>get_differentPackage_loggedAfter_returnsNull</t>
  </si>
  <si>
    <t>next_loggedAfter_returnsNull</t>
  </si>
  <si>
    <t>next_differentPackage_loggedAfter_returnsNull</t>
  </si>
  <si>
    <t>next_loggedAfterPreviousCallToNext_returnsNewEvent</t>
  </si>
  <si>
    <t>next_differentPackage_loggedAfterPreviousCallToNext_returnsNewEvent</t>
  </si>
  <si>
    <t>next_calledOnSeparateQuery_returnsFromStartsAgain</t>
  </si>
  <si>
    <t>next_differentPackage_calledOnSeparateQuery_returnsFromStartsAgain</t>
  </si>
  <si>
    <t>get_obeysLambdaFilter</t>
  </si>
  <si>
    <t>get_differentPackage_obeysLambdaFilter</t>
  </si>
  <si>
    <t>next_obeysLambdaFilter</t>
  </si>
  <si>
    <t>next_differentPackage_obeysLambdaFilter</t>
  </si>
  <si>
    <t>get_obeysMultipleLambdaFilters</t>
  </si>
  <si>
    <t>get_differentPackage_obeysMultipleLambdaFilters</t>
  </si>
  <si>
    <t>next_obeysMultipleLambdaFilters</t>
  </si>
  <si>
    <t>next_differentPackage_obeysMultipleLambdaFilters</t>
  </si>
  <si>
    <t>testUninstallPackageWithKeepDataAndReboot</t>
  </si>
  <si>
    <t>testVboWithVaryingIndexBufferNumbers</t>
  </si>
  <si>
    <t>testVboVsNonVboPerfGeometry0</t>
  </si>
  <si>
    <t>testVboVsNonVboPerfGeometry1</t>
  </si>
  <si>
    <t>testResetPasswordWithTokenLogged</t>
  </si>
  <si>
    <t>testLockTaskCanLaunchDefaultDialer</t>
  </si>
  <si>
    <t>testLockTaskCanLaunchEmergencyDialer</t>
  </si>
  <si>
    <t>testLockTask_emergencyDialer</t>
  </si>
  <si>
    <t>testLockTaskIsExitedIfNotAllowed</t>
  </si>
  <si>
    <t>testLockTask_exitIfNoLongerAllowed</t>
  </si>
  <si>
    <t>testStartLockTask_noAsserts</t>
  </si>
  <si>
    <t>testCleanupLockTask_noAsserts</t>
  </si>
  <si>
    <t>testLockTaskIsActiveAndCantBeInterrupted</t>
  </si>
  <si>
    <t>testLockTaskAfterReboot</t>
  </si>
  <si>
    <t>testLockTaskAfterReboot_tryOpeningSettings</t>
  </si>
  <si>
    <t>testTransferTime</t>
  </si>
  <si>
    <t>testLogcat</t>
  </si>
  <si>
    <t>testCreateSessionInStoppedUser</t>
  </si>
  <si>
    <t>createSessionInStoppedUser</t>
  </si>
  <si>
    <t>testSeparateProfileChallengePermissions</t>
  </si>
  <si>
    <t>testRingtoneSync</t>
  </si>
  <si>
    <t>testRingtoneDisableSync</t>
  </si>
  <si>
    <t>testNotificationDisableSync</t>
  </si>
  <si>
    <t>testAlarmDisableSync</t>
  </si>
  <si>
    <t>testRingtoneSyncAutoDisableRingtone</t>
  </si>
  <si>
    <t>testRingtoneSyncAutoDisableNotification</t>
  </si>
  <si>
    <t>testRingtoneSyncAutoDisableAlarm</t>
  </si>
  <si>
    <t>testClearSharedPrefs</t>
  </si>
  <si>
    <t>testCheckSharedPrefsDontExist</t>
  </si>
  <si>
    <t>testSaveValuesToSharedPrefs</t>
  </si>
  <si>
    <t>testCheckSharedPrefsExist</t>
  </si>
  <si>
    <t>testAddNetworkPrivilegedFailureBadEnterpriseConfig</t>
  </si>
  <si>
    <t>testCropRect</t>
  </si>
  <si>
    <t>testRollbackDataPolicy_Manifest</t>
  </si>
  <si>
    <t>testNullComponentThrowsException</t>
  </si>
  <si>
    <t>testSetApplicationRestrictions</t>
  </si>
  <si>
    <t>testSupportMessage</t>
  </si>
  <si>
    <t>testKeyCodeToString</t>
  </si>
  <si>
    <t>testAxisFromToString</t>
  </si>
  <si>
    <t>testPackageOverrideFlagPackageNotInstalled</t>
  </si>
  <si>
    <t>testFormatChange</t>
  </si>
  <si>
    <t>testAccessAccuracy</t>
  </si>
  <si>
    <t>testAccessVerticalAccuracy</t>
  </si>
  <si>
    <t>testAccessSpeedAccuracy</t>
  </si>
  <si>
    <t>testAccessBearingAccuracy</t>
  </si>
  <si>
    <t>testAccessAltitude</t>
  </si>
  <si>
    <t>testAccessBearing</t>
  </si>
  <si>
    <t>testAccessExtras</t>
  </si>
  <si>
    <t>testAccessLatitude</t>
  </si>
  <si>
    <t>testAccessLongitude</t>
  </si>
  <si>
    <t>testAccessProvider</t>
  </si>
  <si>
    <t>testAccessSpeed</t>
  </si>
  <si>
    <t>testAccessTime</t>
  </si>
  <si>
    <t>testAccessElapsedRealtime</t>
  </si>
  <si>
    <t>testSetMock</t>
  </si>
  <si>
    <t>testStartForegroundTimeout</t>
  </si>
  <si>
    <t>testSecondStartForeground</t>
  </si>
  <si>
    <t>testIEC61937_Errors</t>
  </si>
  <si>
    <t>testDefaultSmsApplication</t>
  </si>
  <si>
    <t>testSetDefaultSmsApplication_failIfNotDeviceOwner</t>
  </si>
  <si>
    <t>testSetUserControlDisabledPackages_singleUser_verifyMetricIsLogged</t>
  </si>
  <si>
    <t>testSetUserControlDisabledPackages_multiUser_verifyMetricIsLogged</t>
  </si>
  <si>
    <t>testSharingFromProfile</t>
  </si>
  <si>
    <t>testDisallowSharingIntoPersonalFromProfile</t>
  </si>
  <si>
    <t>testResetPasswordWithToken</t>
  </si>
  <si>
    <t>testCreateAndManageUser_LowStorage</t>
  </si>
  <si>
    <t>testSetUserControlDisabledPackages_singleUser_verifyPackageNotStopped</t>
  </si>
  <si>
    <t>testSetUserControlDisabledPackages_multiUser_verifyPackageNotStopped</t>
  </si>
  <si>
    <t>testScreenCaptureDisabled_allowedPrimaryUser</t>
  </si>
  <si>
    <t>testEnrollmentSpecificIdCorrectCalculation</t>
  </si>
  <si>
    <t>testEnrollmentSpecificIdCorrectCalculationLogged</t>
  </si>
  <si>
    <t>testEnrollmentSpecificIdEmptyAndMultipleSet</t>
  </si>
  <si>
    <t>testThrowsWhenTryingToReSetOrganizationId</t>
  </si>
  <si>
    <t>testAccountManagementDisabled_setterAndGetter</t>
  </si>
  <si>
    <t>testAccountManagementDisabled_profileAndDeviceOwnerCanAddAccount</t>
  </si>
  <si>
    <t>testUserRestriction_profileAndDeviceOwnerCanAddAndRemoveAccount</t>
  </si>
  <si>
    <t>testRemoveAccount_noUserRestriction</t>
  </si>
  <si>
    <t>testAccountManagement_deviceAndProfileOwnerAlwaysAllowed</t>
  </si>
  <si>
    <t>testSetUserControlDisabledPackages_failIfNotDeviceOwner</t>
  </si>
  <si>
    <t>testGetUserControlDisabledPackages_failIfNotDeviceOwner</t>
  </si>
  <si>
    <t>testSharingFromPersonalFails</t>
  </si>
  <si>
    <t>testSharingFromPersonalSucceeds</t>
  </si>
  <si>
    <t>testEnableSharingIntoProfile</t>
  </si>
  <si>
    <t>testDisableSharingIntoProfile</t>
  </si>
  <si>
    <t>testDisallowSharingIntoProfileFromPersonal</t>
  </si>
  <si>
    <t>testOnlyFbeDevicesSupportUserspaceReboot</t>
  </si>
  <si>
    <t>testDeviceSupportsUserspaceReboot</t>
  </si>
  <si>
    <t>testDeviceDoesNotSupportUserspaceReboot</t>
  </si>
  <si>
    <t>testUserspaceReboot</t>
  </si>
  <si>
    <t>testUserspaceRebootWithCheckpoint</t>
  </si>
  <si>
    <t>testUserspaceReboot_verifyCeStorageIsUnlocked</t>
  </si>
  <si>
    <t>testUserspaceRebootWithCheckpoint_verifyCeStorageIsUnlocked</t>
  </si>
  <si>
    <t>testUserspaceRebootFailsKillingProcesses</t>
  </si>
  <si>
    <t>testUserspaceRebootWatchdogTriggers</t>
  </si>
  <si>
    <t>testUserspaceRebootIsSupported</t>
  </si>
  <si>
    <t>testUserspaceRebootIsNotSupported</t>
  </si>
  <si>
    <t>prepareFile</t>
  </si>
  <si>
    <t>testVerifyCeStorageUnlocked</t>
  </si>
  <si>
    <t>testVerifyReceivedLockedBootCompletedBroadcast</t>
  </si>
  <si>
    <t>testVerifyReceivedBootCompletedBroadcast</t>
  </si>
  <si>
    <t>oneDefaultHandlerForVideoRoot</t>
  </si>
  <si>
    <t>oneDefaultHandlerForImageRoot</t>
  </si>
  <si>
    <t>oneDefaultHandlerForAudioRoot</t>
  </si>
  <si>
    <t>oneDefaultHandlerForDocumentRoot</t>
  </si>
  <si>
    <t>oneDefaultHandlerForManageStorage</t>
  </si>
  <si>
    <t>testWindowAnimationFrameStats</t>
  </si>
  <si>
    <t>testWindowAnimationFrameStatsNoAnimation</t>
  </si>
  <si>
    <t>testPocCVE_2018_9428</t>
  </si>
  <si>
    <t>testAddAccountExplicitly</t>
  </si>
  <si>
    <t>testRemoveAccountExplicitly</t>
  </si>
  <si>
    <t>testCannotSetDeviceOwnerWhenAccountPresent</t>
  </si>
  <si>
    <t>collectSharedLibraryPaths</t>
  </si>
  <si>
    <t>testTunneledVideoPeekOffHevc</t>
  </si>
  <si>
    <t>testTunneledVideoPeekOffAvc</t>
  </si>
  <si>
    <t>testTunneledVideoPeekOffVp9</t>
  </si>
  <si>
    <t>testTunneledAccurateVideoFlushHevc</t>
  </si>
  <si>
    <t>testTunneledAccurateVideoFlushAvc</t>
  </si>
  <si>
    <t>testTunneledAccurateVideoFlushVp9</t>
  </si>
  <si>
    <t>testTunneledAudioTimestampProgressHevc</t>
  </si>
  <si>
    <t>testTunneledAudioTimestampProgressAvc</t>
  </si>
  <si>
    <t>testTunneledAudioTimestampProgressVp9</t>
  </si>
  <si>
    <t>cectVerifyStartupMessages</t>
  </si>
  <si>
    <t>testNullSaltOrInfo</t>
  </si>
  <si>
    <t>testInvalidCodeSize</t>
  </si>
  <si>
    <t>testVectors</t>
  </si>
  <si>
    <t>testIsAudioDescriptionEnabled</t>
  </si>
  <si>
    <t>construct_nullTestApis_throwsException</t>
  </si>
  <si>
    <t>setDeviceOwner_nullUser_throwsException</t>
  </si>
  <si>
    <t>setDeviceOwner_userDoesNotExist_throwsException</t>
  </si>
  <si>
    <t>setAsDeviceOwner_userHandle_null_throwsException</t>
  </si>
  <si>
    <t>setAsDeviceOwner_userHandle_nonExistingUser_throwsException</t>
  </si>
  <si>
    <t>setAsDeviceOwner_userHandle_alreadySet_doesNothing</t>
  </si>
  <si>
    <t>setAsDeviceOwner_userHandle_alreadyHasDeviceOwner_replacesDeviceOwner</t>
  </si>
  <si>
    <t>setAsDeviceOwner_userHandle_doesNotHaveDeviceOwner_setsDeviceOwner</t>
  </si>
  <si>
    <t>setAsDeviceOwner_userReference_null_throwsException</t>
  </si>
  <si>
    <t>setAsDeviceOwner_userReference_nonExistingUser_throwsException</t>
  </si>
  <si>
    <t>setAsDeviceOwner_userReference_alreadySet_doesNothing</t>
  </si>
  <si>
    <t>testGetDeviceAccountNameAndType_haveSameNullness</t>
  </si>
  <si>
    <t>testRawContactCreate_nullAccountUsesLocalAccount</t>
  </si>
  <si>
    <t>testRemoveUnsafeExtras</t>
  </si>
  <si>
    <t>testCameraPolicy</t>
  </si>
  <si>
    <t>testOtpAfterQuiescentBootWakeup</t>
  </si>
  <si>
    <t>testRsaKeyGen</t>
  </si>
  <si>
    <t>testMultiUser_canInteractAsAnotherUser</t>
  </si>
  <si>
    <t>testPutDocumentsAsAnotherUser</t>
  </si>
  <si>
    <t>testGetDocumentsAsAnotherUser_exist</t>
  </si>
  <si>
    <t>resolve_nonExistingPackage_returnsNull</t>
  </si>
  <si>
    <t>resolve_existingPackage_returnsPackage</t>
  </si>
  <si>
    <t>install_alreadyInstalled_installsInUser</t>
  </si>
  <si>
    <t>uninstallForAllUsers_isUninstalledForAllUsers</t>
  </si>
  <si>
    <t>uninstall_packageIsUninstalled</t>
  </si>
  <si>
    <t>grantPermission_permissionIsGranted</t>
  </si>
  <si>
    <t>grantPermission_permissionIsUserSpecific_permissionIsGrantedOnlyForThatUser</t>
  </si>
  <si>
    <t>denyPermission_permissionIsNotGranted</t>
  </si>
  <si>
    <t>denyPermission_installPermission_throwsException</t>
  </si>
  <si>
    <t>denyPermission_alreadyDenied_doesNothing</t>
  </si>
  <si>
    <t>denyPermission_permissionIsUserSpecific_permissionIsDeniedOnlyForThatUser</t>
  </si>
  <si>
    <t>all_containsKnownPackage</t>
  </si>
  <si>
    <t>keepUninstalledPackages_packageIsUninstalled_packageStillResolves</t>
  </si>
  <si>
    <t>resolve_returnsNenePackage</t>
  </si>
  <si>
    <t>queryFdn_noFdnRecords_returnsEmptyCursor</t>
  </si>
  <si>
    <t>querySdn_returnsCursorWithSdnRecords</t>
  </si>
  <si>
    <t>queryFdn_nonEmpty_returnsFdnRecordsFromSim</t>
  </si>
  <si>
    <t>testExtensionProvider_hasValidVersion</t>
  </si>
  <si>
    <t>testExtensionInterface_setExtensionCallback</t>
  </si>
  <si>
    <t>testExtensionInterface_getWindowLayoutInfo</t>
  </si>
  <si>
    <t>testExtensionInterface_onWindowLayoutChangeListenerAdded</t>
  </si>
  <si>
    <t>testExtensionInterface_onWindowLayoutChangeListenerRemoved</t>
  </si>
  <si>
    <t>testExtensionInterface_onDeviceStateListenersChanged</t>
  </si>
  <si>
    <t>testGetWindowLayoutInfo_configChanged_windowLayoutUpdates</t>
  </si>
  <si>
    <t>testGetWindowLayoutInfo_windowRecreated_windowLayoutUpdates</t>
  </si>
  <si>
    <t>testTwoFileDescriptorsWorkIndependently</t>
  </si>
  <si>
    <t>testGetSetPendingIntentBackgroundActivityLaunchAllowed</t>
  </si>
  <si>
    <t>testPendingIntentActivity_whenActivityAllowsBal_isNotBlocked</t>
  </si>
  <si>
    <t>testPendingIntentActivity_whenActivityDoesNotAllowBal_isBlocked</t>
  </si>
  <si>
    <t>resolve_doesExist_returnsUser</t>
  </si>
  <si>
    <t>resolve_doesExist_userHasCorrectDetails</t>
  </si>
  <si>
    <t>id_returnsId</t>
  </si>
  <si>
    <t>construct_idNotSet_throwsNullPointerException</t>
  </si>
  <si>
    <t>serialNo_returnsSerialNo</t>
  </si>
  <si>
    <t>serialNo_notSet_returnsNull</t>
  </si>
  <si>
    <t>name_returnsName</t>
  </si>
  <si>
    <t>name_notSet_returnsNull</t>
  </si>
  <si>
    <t>type_returnsName</t>
  </si>
  <si>
    <t>type_notSet_returnsNull</t>
  </si>
  <si>
    <t>hasProfileOwner_returnsHasProfileOwner</t>
  </si>
  <si>
    <t>hasProfileOwner_notSet_returnsNull</t>
  </si>
  <si>
    <t>isPrimary_returnsIsPrimary</t>
  </si>
  <si>
    <t>isPrimary_notSet_returnsNull</t>
  </si>
  <si>
    <t>parent_returnsParent</t>
  </si>
  <si>
    <t>testPermissionGrantStateDenied_permissionRemainsDenied</t>
  </si>
  <si>
    <t>testPermissionGrantStateGranted_permissionRemainsGranted</t>
  </si>
  <si>
    <t>testPermissionGrantStateGranted_userNotifiedOfLocationPermission</t>
  </si>
  <si>
    <t>testPermissionGrantState_developmentPermission</t>
  </si>
  <si>
    <t>testSensorsRelatedPermissionsCannotBeGranted</t>
  </si>
  <si>
    <t>testSensorsRelatedPermissionsCanBeDenied</t>
  </si>
  <si>
    <t>testStateOfSensorsRelatedPermissionsCannotBeRead</t>
  </si>
  <si>
    <t>testPermissionGrant</t>
  </si>
  <si>
    <t>testPermissionGrant_developmentPermission</t>
  </si>
  <si>
    <t>testGrantOfSensorsRelatedPermissions</t>
  </si>
  <si>
    <t>testDenyOfSensorsRelatedPermissions</t>
  </si>
  <si>
    <t>testLocationPermissionGrantNotifies</t>
  </si>
  <si>
    <t>testMatchesCallFilter_noPermissions</t>
  </si>
  <si>
    <t>testMatchesCallFilter_listenerPermissionOnly</t>
  </si>
  <si>
    <t>testMatchesCallFilter_contactsPermissionOnly</t>
  </si>
  <si>
    <t>testInstallCaCertLogged</t>
  </si>
  <si>
    <t>recycleWhenViewIdDoesntMatchFailsInSimpleLayoutSync</t>
  </si>
  <si>
    <t>recycleWhenViewIdDoesntMatchFailsInSimpleLayoutAsync</t>
  </si>
  <si>
    <t>testCarWatchdogWithShareUserId</t>
  </si>
  <si>
    <t>testCanAccessApis</t>
  </si>
  <si>
    <t>testManagedProvisioningPreInstalled</t>
  </si>
  <si>
    <t>testUid</t>
  </si>
  <si>
    <t>testPid</t>
  </si>
  <si>
    <t>testSharedFilterTwoProcessesOpenTwice</t>
  </si>
  <si>
    <t>testSharedFilterTwoProcessesCloseInOriginalFilter</t>
  </si>
  <si>
    <t>testSharedFilterTwoProcessesReleaseInOriginalFilter</t>
  </si>
  <si>
    <t>testDelegateReceivesScopeChangedBroadcast</t>
  </si>
  <si>
    <t>testCantDelegateToUninstalledPackage</t>
  </si>
  <si>
    <t>testCanRetrieveDelegates</t>
  </si>
  <si>
    <t>testDeviceOwnerOrManagedPoOnlyDelegations</t>
  </si>
  <si>
    <t>testDeviceOwnerOrOrgOwnedManagedPoOnlyDelegations</t>
  </si>
  <si>
    <t>testExclusiveDelegations</t>
  </si>
  <si>
    <t>testSettingAdminComponentNameThrowsException</t>
  </si>
  <si>
    <t>testWebViewVersionApiOnUiThread</t>
  </si>
  <si>
    <t>testWebViewVersionApi</t>
  </si>
  <si>
    <t>isDeviceOwnerApp_versionGreaterThanEqual_S_V2_noPermission_throwsException</t>
  </si>
  <si>
    <t>isDeviceOwnerApp_versionLessThan_S_V2_noPermission_noException</t>
  </si>
  <si>
    <t>testGetWebViewLooperOnUiThread</t>
  </si>
  <si>
    <t>testGetWebViewLooperFromUiThread</t>
  </si>
  <si>
    <t>testGetWebViewLooperCreatedOnBackgroundThreadFromInstThread</t>
  </si>
  <si>
    <t>testPasswordQuality_featureUnsupported_returnsUnspecified</t>
  </si>
  <si>
    <t>testPasswordQuality_featureSupported_returnsValueSet</t>
  </si>
  <si>
    <t>testPasswordMinimumLength_featureSupported_returnsValueSet</t>
  </si>
  <si>
    <t>testPasswordMinimumNumeric_returnsValueSet</t>
  </si>
  <si>
    <t>testPasswordMinimumLowerCase_returnsValueSet</t>
  </si>
  <si>
    <t>testPasswordMinimumUpperCase_returnsValueSet</t>
  </si>
  <si>
    <t>testPasswordMinimumLetters_returnsValueSet</t>
  </si>
  <si>
    <t>testPasswordMinimumSymbols_returnsValueSet</t>
  </si>
  <si>
    <t>testPasswordMinimumNonLetter_returnsValueSet</t>
  </si>
  <si>
    <t>testHeuristics</t>
  </si>
  <si>
    <t>startService_serviceDoesNotExist_startsLoggingService</t>
  </si>
  <si>
    <t>launchEventLibService_logsServiceCreatedEvent</t>
  </si>
  <si>
    <t>launchEventLibService_withGeneratedServiceClass_logsServiceCreatedEventWithCorrectClassName</t>
  </si>
  <si>
    <t>testNotifyChange_VerifyUserId</t>
  </si>
  <si>
    <t>testOpenRangingSessionWithBadParams</t>
  </si>
  <si>
    <t>testToggleSplitScreen</t>
  </si>
  <si>
    <t>testGetDeviceAccountName_returnsNull</t>
  </si>
  <si>
    <t>testGetDeviceAccountType_returnsNull</t>
  </si>
  <si>
    <t>testAccountManagement_userRestrictionAddAccount</t>
  </si>
  <si>
    <t>testAccountManagement_userRestrictionRemoveAccount</t>
  </si>
  <si>
    <t>testAccountManagement_disabledAddAccount</t>
  </si>
  <si>
    <t>testAccountManagement_disabledRemoveAccount</t>
  </si>
  <si>
    <t>testLockNowLogged</t>
  </si>
  <si>
    <t>testLockNow_onParent_isSupported</t>
  </si>
  <si>
    <t>testPackageServiceDump</t>
  </si>
  <si>
    <t>testResetPasswordDeprecated</t>
  </si>
  <si>
    <t>testInterruptInputWithTakeSnapshotSupport</t>
  </si>
  <si>
    <t>testInterruptInputWithoutTakeSnapshotSupport</t>
  </si>
  <si>
    <t>systemRoleDoesNotOverrideUserRevokedPermission</t>
  </si>
  <si>
    <t>testEnableAndDisableAdvertising</t>
  </si>
  <si>
    <t>testSetAdvertisingData</t>
  </si>
  <si>
    <t>testSetScanResponseData</t>
  </si>
  <si>
    <t>testSetAdvertisingParameters</t>
  </si>
  <si>
    <t>testAdtsWithConstantBitrateSeeking</t>
  </si>
  <si>
    <t>testReuse</t>
  </si>
  <si>
    <t>testCaptureMatchingAllowedUsage</t>
  </si>
  <si>
    <t>testPlayStaticData</t>
  </si>
  <si>
    <t>testPlayStreamData</t>
  </si>
  <si>
    <t>testIsCommunalMode_returnsCorrectValue</t>
  </si>
  <si>
    <t>testAddCommunalModeListener_callbackInvoked</t>
  </si>
  <si>
    <t>testAddRemoveCommunalModeListener_callbackNotInvoked</t>
  </si>
  <si>
    <t>testMultiDeviceTest</t>
  </si>
  <si>
    <t>testFallbackSpacing_Metrics</t>
  </si>
  <si>
    <t>testFallbackSpacing_Layout</t>
  </si>
  <si>
    <t>testFallbackSpacing</t>
  </si>
  <si>
    <t>testEmptyCharArray</t>
  </si>
  <si>
    <t>testNullTextArgument_String</t>
  </si>
  <si>
    <t>testNullTextArgument_CharArgument</t>
  </si>
  <si>
    <t>testSmallStartArgument_String</t>
  </si>
  <si>
    <t>testSmallStartArgument_CharArray</t>
  </si>
  <si>
    <t>testLargeStartArgument_String</t>
  </si>
  <si>
    <t>testLargeStartArgument_CharArray</t>
  </si>
  <si>
    <t>testSmallCountArgument_String</t>
  </si>
  <si>
    <t>testSmalCountArgument_CharArray</t>
  </si>
  <si>
    <t>testLargeCountArgument_String</t>
  </si>
  <si>
    <t>testLargeCountArgument_CharArray</t>
  </si>
  <si>
    <t>testSmallCtxStartArgument_String</t>
  </si>
  <si>
    <t>testSmallCtxStartArgument_CharArray</t>
  </si>
  <si>
    <t>testLargeCtxStartArgument_String</t>
  </si>
  <si>
    <t>testLargeCtxStartArgument_CharArray</t>
  </si>
  <si>
    <t>testSmallCtxCountArgument_String</t>
  </si>
  <si>
    <t>testSmalCtxCountArgument_CharArray</t>
  </si>
  <si>
    <t>testLargeCtxCountArgument_String</t>
  </si>
  <si>
    <t>testLargeCtxCountArgument_CharArray</t>
  </si>
  <si>
    <t>testSmallNullOutArgument_String</t>
  </si>
  <si>
    <t>testSmalNullOutArgument_CharArray</t>
  </si>
  <si>
    <t>testAllColorsBelongToSameFamily</t>
  </si>
  <si>
    <t>testHandwritingStartAndFinish</t>
  </si>
  <si>
    <t>testNotify_blockedChannelGroup</t>
  </si>
  <si>
    <t>testWhenOneSelfActivityWindow_allowsTouch</t>
  </si>
  <si>
    <t>testWhenActivityChildWindowWithDifferentTokenFromDifferentApp_blocksTouch</t>
  </si>
  <si>
    <t>testWhenActivityChildWindowWithDifferentTokenFromSameApp_allowsTouch</t>
  </si>
  <si>
    <t>testGoogH265Image</t>
  </si>
  <si>
    <t>testGoogH264Image</t>
  </si>
  <si>
    <t>testGoogH263Image</t>
  </si>
  <si>
    <t>testGoogMpeg4Image</t>
  </si>
  <si>
    <t>testGoogVP8Image</t>
  </si>
  <si>
    <t>testGoogVP9Image</t>
  </si>
  <si>
    <t>testOtherH265Image</t>
  </si>
  <si>
    <t>testOtherH264Image</t>
  </si>
  <si>
    <t>testOtherH263Image</t>
  </si>
  <si>
    <t>testOtherMpeg4Image</t>
  </si>
  <si>
    <t>testOtherVP8Image</t>
  </si>
  <si>
    <t>testOtherVP9Image</t>
  </si>
  <si>
    <t>testGoogH265ImageReader</t>
  </si>
  <si>
    <t>testGoogH264ImageReader</t>
  </si>
  <si>
    <t>testGoogH263ImageReader</t>
  </si>
  <si>
    <t>testGoogMpeg4ImageReader</t>
  </si>
  <si>
    <t>testGoogVP8ImageReader</t>
  </si>
  <si>
    <t>testGoogVP9ImageReader</t>
  </si>
  <si>
    <t>testOtherH265ImageReader</t>
  </si>
  <si>
    <t>testOtherH264ImageReader</t>
  </si>
  <si>
    <t>testOtherH263ImageReader</t>
  </si>
  <si>
    <t>testOtherMpeg4ImageReader</t>
  </si>
  <si>
    <t>testOtherVP8ImageReader</t>
  </si>
  <si>
    <t>testOtherVP9ImageReader</t>
  </si>
  <si>
    <t>testHwAVCDecode360pForFlexibleYuv</t>
  </si>
  <si>
    <t>testSwAVCDecode360pForFlexibleYuv</t>
  </si>
  <si>
    <t>testPostExtendedFrameCallbackWithoutDelay</t>
  </si>
  <si>
    <t>testPostExtendedFrameCallbackFrameDataVsyncIdValid</t>
  </si>
  <si>
    <t>testPostExtendedFrameCallbackFrameDataDeadlineInFuture</t>
  </si>
  <si>
    <t>testPostExtendedFrameCallbackFrameDataExpectedPresentTimeInFuture</t>
  </si>
  <si>
    <t>testPostNullExtendedFrameCallback</t>
  </si>
  <si>
    <t>testRemoveNullExtendedFrameCallback</t>
  </si>
  <si>
    <t>testWhenOneSelfActivityChildWindow_allowsTouch</t>
  </si>
  <si>
    <t>testInstallAppTwice</t>
  </si>
  <si>
    <t>testForceDark_default</t>
  </si>
  <si>
    <t>testForceDark_rendersDark</t>
  </si>
  <si>
    <t>testfromUtf8Text</t>
  </si>
  <si>
    <t>testFromString</t>
  </si>
  <si>
    <t>testStartWaveformNotEqualsDifferentRepeatIndex</t>
  </si>
  <si>
    <t>testStartWaveformFailsRepeatIndexOutOfBounds</t>
  </si>
  <si>
    <t>getActualDefaultRingtoneUri_notification_matchesSettingsProviderNotificationSound</t>
  </si>
  <si>
    <t>getActualDefaultRingtoneUri_alarm_matchesSettingsProviderAlarmAlert</t>
  </si>
  <si>
    <t>setActualDefaultRingtoneUri_ringtone_setsSyncParentSoundsToFalse</t>
  </si>
  <si>
    <t>getActualDefaultRingtoneUri_ringtone_syncParentSoundsIsFalse_returnsSetRingtone</t>
  </si>
  <si>
    <t>getActualDefaultRingtoneUri_ringtone_syncParentSoundsIsTrue_returnsDefaultRingtone</t>
  </si>
  <si>
    <t>getActualDefaultRingtoneUri_ringtone_syncParentSoundsIsFalseAndUriWasPreviouslySet_returnsPreviouslySetRingtone</t>
  </si>
  <si>
    <t>setActualDefaultRingtoneUri_notification_setsSyncParentSoundsToFalse</t>
  </si>
  <si>
    <t>getActualDefaultRingtoneUri_notification_syncParentSoundsIsFalse_returnsSetRingtone</t>
  </si>
  <si>
    <t>getActualDefaultRingtoneUri_notification_syncParentSoundsIsTrue_returnsDefaultRingtone</t>
  </si>
  <si>
    <t>getActualDefaultRingtoneUri_notification_syncParentSoundsIsFalseAndUriWasPreviouslySet_returnsPreviouslySetRingtone</t>
  </si>
  <si>
    <t>setActualDefaultRingtoneUri_alarm_setsSyncParentSoundsToFalse</t>
  </si>
  <si>
    <t>getActualDefaultRingtoneUri_alarm_syncParentSoundsIsFalse_returnsSetRingtone</t>
  </si>
  <si>
    <t>getActualDefaultRingtoneUri_alarm_syncParentSoundsIsFalseAndUriWasPreviouslySet_returnsPreviouslySetRingtone</t>
  </si>
  <si>
    <t>testGetNearbyNotificationStreamingPolicy_defaultToSameManagedAccountOnly</t>
  </si>
  <si>
    <t>testSetNearbyNotificationStreamingPolicy_changesPolicy</t>
  </si>
  <si>
    <t>testGetNearbyAppStreamingPolicy_defaultToSameManagedAccountOnly</t>
  </si>
  <si>
    <t>testSetNearbyAppStreamingPolicy_changesPolicy</t>
  </si>
  <si>
    <t>testNextActivePreset</t>
  </si>
  <si>
    <t>testGroupNextActivePreset</t>
  </si>
  <si>
    <t>testPreviousActivePreset</t>
  </si>
  <si>
    <t>testGroupPreviousActivePreset</t>
  </si>
  <si>
    <t>testAppInstall</t>
  </si>
  <si>
    <t>testPermissionMigration</t>
  </si>
  <si>
    <t>testDataMigration</t>
  </si>
  <si>
    <t>testKeyMigration</t>
  </si>
  <si>
    <t>testDeviceSummary</t>
  </si>
  <si>
    <t>testUserSummary</t>
  </si>
  <si>
    <t>testAppSummary</t>
  </si>
  <si>
    <t>testAppDetails</t>
  </si>
  <si>
    <t>testUidDetails</t>
  </si>
  <si>
    <t>testTagDetails</t>
  </si>
  <si>
    <t>testUidTagStateDetails</t>
  </si>
  <si>
    <t>setMenuLanguageIsDisabled</t>
  </si>
  <si>
    <t>setMenuLanguageNotHandledWhenDisabled</t>
  </si>
  <si>
    <t>testGetDispatcherOnView</t>
  </si>
  <si>
    <t>testBroadcastInfoRequest</t>
  </si>
  <si>
    <t>testBroadcastInfoResponse</t>
  </si>
  <si>
    <t>testPreCreateUser_fullUser</t>
  </si>
  <si>
    <t>testPreCreateUser_guestUser</t>
  </si>
  <si>
    <t>testCannotStartActivity</t>
  </si>
  <si>
    <t>testCannotGetProfileSwitchingLabel</t>
  </si>
  <si>
    <t>testCannotGetProfileSwitchingIconDrawable</t>
  </si>
  <si>
    <t>testCannotStartActivityByIntentWithNoPermissions</t>
  </si>
  <si>
    <t>testCanStartActivityByIntentWithInteractAcrossProfilesPermission</t>
  </si>
  <si>
    <t>testCannotStartActivityByIntentWithStartCrossProfileActivitiesPermission</t>
  </si>
  <si>
    <t>testCanStartActivityByIntentWithInteractAcrossUsersPermission</t>
  </si>
  <si>
    <t>testCanStartActivityByIntentWithInteractAcrossUsersFullPermission</t>
  </si>
  <si>
    <t>testCannotStartActivityWithImplicitIntent</t>
  </si>
  <si>
    <t>testCanStartMainActivityByIntent</t>
  </si>
  <si>
    <t>testCanStartMainActivityByIntent_withOptionsBundle</t>
  </si>
  <si>
    <t>testCanStartNonMainActivityByIntent</t>
  </si>
  <si>
    <t>testStartActivityIntent_sameTaskByDefault</t>
  </si>
  <si>
    <t>testStartActivityIntent_crossProfile_returnsResult</t>
  </si>
  <si>
    <t>testStartActivityByIntent_noAsserts</t>
  </si>
  <si>
    <t>testCanStartMainActivityByComponent</t>
  </si>
  <si>
    <t>testCanStartMainActivityByComponentWithStartCrossProfileActivitiesPermission</t>
  </si>
  <si>
    <t>testCanStartNonMainActivityByComponent</t>
  </si>
  <si>
    <t>testCanStartNonMainActivityByComponentWithStartCrossProfileActivitiesPermission</t>
  </si>
  <si>
    <t>testCanStartNotExportedActivityByIntent</t>
  </si>
  <si>
    <t>testCannotStartNotExportedActivityByComponent</t>
  </si>
  <si>
    <t>testCannotStartActivityInOtherPackageByIntent</t>
  </si>
  <si>
    <t>testCannotStartActivityInOtherPackageByComponent</t>
  </si>
  <si>
    <t>testTargetUserIsIngetTargetUserProfiles</t>
  </si>
  <si>
    <t>testCanStartMainActivity</t>
  </si>
  <si>
    <t>testCannotStartNotExportedActivity</t>
  </si>
  <si>
    <t>testCannotStartNonMainActivity</t>
  </si>
  <si>
    <t>testCannotStartActivityInOtherPackage</t>
  </si>
  <si>
    <t>testGetProfileSwitchingLabel</t>
  </si>
  <si>
    <t>testGetProfileSwitchingIconDrawable</t>
  </si>
  <si>
    <t>testStartMainActivity_noAsserts</t>
  </si>
  <si>
    <t>testGetTargetUserProfiles_noAsserts</t>
  </si>
  <si>
    <t>testPrimaryUserToPrimaryUser</t>
  </si>
  <si>
    <t>testPrimaryUserToManagedProfile</t>
  </si>
  <si>
    <t>testManagedProfileToPrimaryUser</t>
  </si>
  <si>
    <t>testStartActivityComponent</t>
  </si>
  <si>
    <t>testStartActivityIntent</t>
  </si>
  <si>
    <t>testStartActivityIntentPermissions</t>
  </si>
  <si>
    <t>testStartActivityIntent_isLogged</t>
  </si>
  <si>
    <t>testPrimaryUserToSecondaryUser</t>
  </si>
  <si>
    <t>testSecondaryUserToManagedProfile</t>
  </si>
  <si>
    <t>testManagedProfileToSecondaryUser</t>
  </si>
  <si>
    <t>testStartMainActivity_logged</t>
  </si>
  <si>
    <t>testGetTargetUserProfiles_logged</t>
  </si>
  <si>
    <t>testCanRequestInteractAcrossProfiles_returnsFalse</t>
  </si>
  <si>
    <t>testCanRequestInteractAcrossProfiles_returnsTrue</t>
  </si>
  <si>
    <t>testCanInteractAcrossProfiles_withAppOpEnabled_returnsTrue</t>
  </si>
  <si>
    <t>testCanInteractAcrossProfiles_withCrossProfilesPermission_returnsTrue</t>
  </si>
  <si>
    <t>testCanInteractAcrossProfiles_withCrossUsersPermission_returnsTrue</t>
  </si>
  <si>
    <t>testCanInteractAcrossProfiles_withCrossUsersFullPermission_returnsTrue</t>
  </si>
  <si>
    <t>testCanInteractAcrossProfiles_withAppOpDisabledOnCallingProfile_returnsFalse</t>
  </si>
  <si>
    <t>testCanInteractAcrossProfiles_withAppOpDisabledOnOtherProfiles_returnsFalse</t>
  </si>
  <si>
    <t>testCanInteractAcrossProfiles_withNoOtherProfile_returnsFalse</t>
  </si>
  <si>
    <t>testCreateRequestInteractAcrossProfilesIntent_canRequestInteraction_returnsIntent</t>
  </si>
  <si>
    <t>testCreateRequestInteractAcrossProfilesIntent_canNotRequestInteraction_throwsSecurityException</t>
  </si>
  <si>
    <t>testCreateRequestInteractAcrossProfilesIntent_noAsserts</t>
  </si>
  <si>
    <t>testSetCrossProfilePackages_noAsserts</t>
  </si>
  <si>
    <t>testCanRequestInteractAcrossProfiles_fromPersonalProfile_returnsTrue</t>
  </si>
  <si>
    <t>testCanRequestInteractAcrossProfiles_fromWorkProfile_returnsTrue</t>
  </si>
  <si>
    <t>testCanRequestInteractAcrossProfiles_noOtherProfiles_ReturnsFalse</t>
  </si>
  <si>
    <t>testCanRequestInteractAcrossProfiles_packageNotAllowed_returnsTrue</t>
  </si>
  <si>
    <t>testCanRequestInteractAcrossProfiles_packageNotInstalled_returnsTrue</t>
  </si>
  <si>
    <t>testCanRequestInteractAcrossProfiles_permissionNotRequested_returnsFalse</t>
  </si>
  <si>
    <t>testCanRequestInteractAcrossProfiles_profileOwner_returnsFalse</t>
  </si>
  <si>
    <t>testCanInteractAcrossProfiles_fromWorkProfile_returnsTrue</t>
  </si>
  <si>
    <t>testCanInteractAcrossProfiles_withAppOpDisabled_returnsFalse</t>
  </si>
  <si>
    <t>testCreateRequestInteractAcrossProfilesIntent_fromWorkProfile_returnsIntent</t>
  </si>
  <si>
    <t>getTargetUserProfiles_callingFromWorkProfile_doesNotContainSecondaryUser</t>
  </si>
  <si>
    <t>getTargetUserProfiles_callingFromPrimaryUser_containsWorkProfile</t>
  </si>
  <si>
    <t>getTargetUserProfiles_callingFromPrimaryUser_appNotInstalledInWorkProfile_doesNotContainWorkProfile</t>
  </si>
  <si>
    <t>getTargetUserProfiles_callingFromSecondaryUser_doesNotContainWorkProfile</t>
  </si>
  <si>
    <t>startMainActivity_callingFromPrimaryUser_targetIsWorkProfile_launches</t>
  </si>
  <si>
    <t>startMainActivity_callingFromPrimaryUser_logged</t>
  </si>
  <si>
    <t>startMainActivity_callingFromPrimaryUser_targetIsSecondaryUser_throwsSecurityException</t>
  </si>
  <si>
    <t>startMainActivity_callingFromSecondaryUser_targetIsWorkProfile_throwsSecurityException</t>
  </si>
  <si>
    <t>getProfileSwitchingLabel_callingFromPrimaryUser_targetIsSecondaryUser_throwsSecurityException</t>
  </si>
  <si>
    <t>getProfileSwitchingLabel_callingFromSecondaryUser_targetIsWorkProfile_throwsSecurityException</t>
  </si>
  <si>
    <t>getProfileSwitchingLabel_callingFromPrimaryUser_targetIsWorkProfile_notNull</t>
  </si>
  <si>
    <t>getProfileSwitchingLabelIconDrawable_callingFromPrimaryUser_targetIsSecondaryUser_throwsSecurityException</t>
  </si>
  <si>
    <t>getProfileSwitchingLabelIconDrawable_callingFromSecondaryUser_targetIsWorkProfile_throwsSecurityException</t>
  </si>
  <si>
    <t>getProfileSwitchingIconDrawable_callingFromPrimaryUser_targetIsWorkProfile_notNull</t>
  </si>
  <si>
    <t>canRequestInteractAcrossProfiles_fromPersonalProfile_returnsTrue</t>
  </si>
  <si>
    <t>setSequenceTest_startListening_segment_endofsession</t>
  </si>
  <si>
    <t>testCallEndpoint</t>
  </si>
  <si>
    <t>testPlaceCallOnEndpoint</t>
  </si>
  <si>
    <t>testCallEndpointSessionActivation_pushCall</t>
  </si>
  <si>
    <t>testCallEndpointSessionActivation_answerCall</t>
  </si>
  <si>
    <t>testCallEndpointSessionActivationRejected</t>
  </si>
  <si>
    <t>testCallEndpointSessionActivationTimeout</t>
  </si>
  <si>
    <t>testCallEndpointsRegistration</t>
  </si>
  <si>
    <t>testGetHapGroup</t>
  </si>
  <si>
    <t>testGetFeatures</t>
  </si>
  <si>
    <t>testBuilderSetRequiredFeaturesWithNull</t>
  </si>
  <si>
    <t>testEmptyTest</t>
  </si>
  <si>
    <t>testGetGameModeInfo</t>
  </si>
  <si>
    <t>resumeOnReboot_SingleUser_Success</t>
  </si>
  <si>
    <t>cect_11_2_6_3_SetValidMenuLanguage</t>
  </si>
  <si>
    <t>testAMRNBEncoders</t>
  </si>
  <si>
    <t>testAMRWBEncoders</t>
  </si>
  <si>
    <t>testOpusEncoders</t>
  </si>
  <si>
    <t>testEncodeDecodeVideoFromBufferToBufferQCIF</t>
  </si>
  <si>
    <t>testEncodeDecodeVideoFromBufferToBufferQVGA</t>
  </si>
  <si>
    <t>testEncodeDecodeVideoFromBufferToBuffer720p</t>
  </si>
  <si>
    <t>testVP8EncodeDecodeVideoFromBufferToBufferQCIF</t>
  </si>
  <si>
    <t>testVP8EncodeDecodeVideoFromBufferToBufferQVGA</t>
  </si>
  <si>
    <t>testVP8EncodeDecodeVideoFromBufferToBuffer720p</t>
  </si>
  <si>
    <t>testEncodeDecodeVideoFromBufferToSurfaceQCIF</t>
  </si>
  <si>
    <t>testEncodeDecodeVideoFromBufferToSurfaceQVGA</t>
  </si>
  <si>
    <t>testEncodeDecodeVideoFromBufferToSurface720p</t>
  </si>
  <si>
    <t>testVP8EncodeDecodeVideoFromBufferToSurfaceQCIF</t>
  </si>
  <si>
    <t>testVP8EncodeDecodeVideoFromBufferToSurfaceQVGA</t>
  </si>
  <si>
    <t>testVP8EncodeDecodeVideoFromBufferToSurface720p</t>
  </si>
  <si>
    <t>testEncodeDecodeVideoFromSurfaceToSurfaceQCIF</t>
  </si>
  <si>
    <t>testEncodeDecodeVideoFromSurfaceToSurfaceQVGA</t>
  </si>
  <si>
    <t>testEncodeDecodeVideoFromSurfaceToSurface720p</t>
  </si>
  <si>
    <t>testEncodeDecodeVideoFromPersistentSurfaceToSurfaceQCIF</t>
  </si>
  <si>
    <t>testEncodeDecodeVideoFromPersistentSurfaceToSurfaceQVGA</t>
  </si>
  <si>
    <t>testEncodeDecodeVideoFromPersistentSurfaceToSurface720p</t>
  </si>
  <si>
    <t>testVP8EncodeDecodeVideoFromSurfaceToSurfaceQCIF</t>
  </si>
  <si>
    <t>testVP8EncodeDecodeVideoFromSurfaceToSurfaceQVGA</t>
  </si>
  <si>
    <t>testVP8EncodeDecodeVideoFromSurfaceToSurface720p</t>
  </si>
  <si>
    <t>testVP8EncodeDecodeVideoFromPersistentSurfaceToSurfaceQCIF</t>
  </si>
  <si>
    <t>testVP8EncodeDecodeVideoFromPersistentSurfaceToSurfaceQVGA</t>
  </si>
  <si>
    <t>testVP8EncodeDecodeVideoFromPersistentSurfaceToSurface720p</t>
  </si>
  <si>
    <t>testGoogH265FlexMinMin</t>
  </si>
  <si>
    <t>testGoogH265SurfMinMin</t>
  </si>
  <si>
    <t>testGoogH264FlexMinMin</t>
  </si>
  <si>
    <t>testGoogH264SurfMinMin</t>
  </si>
  <si>
    <t>testGoogH263FlexMinMin</t>
  </si>
  <si>
    <t>testGoogH263SurfMinMin</t>
  </si>
  <si>
    <t>testGoogMpeg4FlexMinMin</t>
  </si>
  <si>
    <t>testGoogMpeg4SurfMinMin</t>
  </si>
  <si>
    <t>testGoogVP8FlexMinMin</t>
  </si>
  <si>
    <t>testGoogVP8SurfMinMin</t>
  </si>
  <si>
    <t>testGoogVP9FlexMinMin</t>
  </si>
  <si>
    <t>testGoogVP9SurfMinMin</t>
  </si>
  <si>
    <t>testOtherH264FlexMinMin</t>
  </si>
  <si>
    <t>testOtherH264SurfMinMin</t>
  </si>
  <si>
    <t>testOtherH263FlexMinMin</t>
  </si>
  <si>
    <t>testOtherH263SurfMinMin</t>
  </si>
  <si>
    <t>testOtherMpeg4FlexMinMin</t>
  </si>
  <si>
    <t>testOtherMpeg4SurfMinMin</t>
  </si>
  <si>
    <t>testOtherVP8FlexMinMin</t>
  </si>
  <si>
    <t>testOtherVP8SurfMinMin</t>
  </si>
  <si>
    <t>testOtherVP9FlexMinMin</t>
  </si>
  <si>
    <t>testOtherVP9SurfMinMin</t>
  </si>
  <si>
    <t>testGoogH265FlexMinMax</t>
  </si>
  <si>
    <t>testGoogH265SurfMinMax</t>
  </si>
  <si>
    <t>testGoogH264FlexMinMax</t>
  </si>
  <si>
    <t>testGoogH264SurfMinMax</t>
  </si>
  <si>
    <t>testGoogH263FlexMinMax</t>
  </si>
  <si>
    <t>testGoogH263SurfMinMax</t>
  </si>
  <si>
    <t>testGoogMpeg4FlexMinMax</t>
  </si>
  <si>
    <t>testGoogMpeg4SurfMinMax</t>
  </si>
  <si>
    <t>testGoogVP8FlexMinMax</t>
  </si>
  <si>
    <t>testGoogVP8SurfMinMax</t>
  </si>
  <si>
    <t>testGoogVP9FlexMinMax</t>
  </si>
  <si>
    <t>testGoogVP9SurfMinMax</t>
  </si>
  <si>
    <t>testOtherH264FlexMinMax</t>
  </si>
  <si>
    <t>testOtherH264SurfMinMax</t>
  </si>
  <si>
    <t>testOtherH263FlexMinMax</t>
  </si>
  <si>
    <t>testOtherH263SurfMinMax</t>
  </si>
  <si>
    <t>testOtherMpeg4FlexMinMax</t>
  </si>
  <si>
    <t>testOtherMpeg4SurfMinMax</t>
  </si>
  <si>
    <t>testOtherVP8FlexMinMax</t>
  </si>
  <si>
    <t>testOtherVP8SurfMinMax</t>
  </si>
  <si>
    <t>testOtherVP9FlexMinMax</t>
  </si>
  <si>
    <t>testOtherVP9SurfMinMax</t>
  </si>
  <si>
    <t>testGoogH265FlexMaxMin</t>
  </si>
  <si>
    <t>testGoogH265SurfMaxMin</t>
  </si>
  <si>
    <t>testGoogH264FlexMaxMin</t>
  </si>
  <si>
    <t>testGoogH264SurfMaxMin</t>
  </si>
  <si>
    <t>testGoogH263FlexMaxMin</t>
  </si>
  <si>
    <t>testGoogH263SurfMaxMin</t>
  </si>
  <si>
    <t>testGoogMpeg4FlexMaxMin</t>
  </si>
  <si>
    <t>testGoogMpeg4SurfMaxMin</t>
  </si>
  <si>
    <t>testGoogVP8FlexMaxMin</t>
  </si>
  <si>
    <t>testGoogVP8SurfMaxMin</t>
  </si>
  <si>
    <t>testGoogVP9FlexMaxMin</t>
  </si>
  <si>
    <t>testGoogVP9SurfMaxMin</t>
  </si>
  <si>
    <t>testOtherH264FlexMaxMin</t>
  </si>
  <si>
    <t>testOtherH264SurfMaxMin</t>
  </si>
  <si>
    <t>testOtherH263FlexMaxMin</t>
  </si>
  <si>
    <t>testOtherH263SurfMaxMin</t>
  </si>
  <si>
    <t>testOtherMpeg4FlexMaxMin</t>
  </si>
  <si>
    <t>testOtherMpeg4SurfMaxMin</t>
  </si>
  <si>
    <t>testOtherVP8FlexMaxMin</t>
  </si>
  <si>
    <t>testOtherVP8SurfMaxMin</t>
  </si>
  <si>
    <t>testOtherVP9FlexMaxMin</t>
  </si>
  <si>
    <t>testOtherVP9SurfMaxMin</t>
  </si>
  <si>
    <t>testGoogH265FlexMaxMax</t>
  </si>
  <si>
    <t>testGoogH265SurfMaxMax</t>
  </si>
  <si>
    <t>testGoogH264FlexMaxMax</t>
  </si>
  <si>
    <t>testGoogH264SurfMaxMax</t>
  </si>
  <si>
    <t>testGoogH263FlexMaxMax</t>
  </si>
  <si>
    <t>testGoogH263SurfMaxMax</t>
  </si>
  <si>
    <t>testGoogMpeg4FlexMaxMax</t>
  </si>
  <si>
    <t>testGoogMpeg4SurfMaxMax</t>
  </si>
  <si>
    <t>testGoogVP8FlexMaxMax</t>
  </si>
  <si>
    <t>testGoogVP8SurfMaxMax</t>
  </si>
  <si>
    <t>testGoogVP9FlexMaxMax</t>
  </si>
  <si>
    <t>testGoogVP9SurfMaxMax</t>
  </si>
  <si>
    <t>testOtherH264FlexMaxMax</t>
  </si>
  <si>
    <t>testOtherH264SurfMaxMax</t>
  </si>
  <si>
    <t>testOtherH263FlexMaxMax</t>
  </si>
  <si>
    <t>testOtherH263SurfMaxMax</t>
  </si>
  <si>
    <t>testOtherMpeg4FlexMaxMax</t>
  </si>
  <si>
    <t>testOtherMpeg4SurfMaxMax</t>
  </si>
  <si>
    <t>testOtherVP8FlexMaxMax</t>
  </si>
  <si>
    <t>testOtherVP8SurfMaxMax</t>
  </si>
  <si>
    <t>testOtherVP9FlexMaxMax</t>
  </si>
  <si>
    <t>testOtherVP9SurfMaxMax</t>
  </si>
  <si>
    <t>testGoogH265FlexNearMinMin</t>
  </si>
  <si>
    <t>testGoogH265SurfNearMinMin</t>
  </si>
  <si>
    <t>testGoogH264FlexNearMinMin</t>
  </si>
  <si>
    <t>testGoogH264SurfNearMinMin</t>
  </si>
  <si>
    <t>testGoogH263FlexNearMinMin</t>
  </si>
  <si>
    <t>testGoogH263SurfNearMinMin</t>
  </si>
  <si>
    <t>testGoogMpeg4FlexNearMinMin</t>
  </si>
  <si>
    <t>testGoogMpeg4SurfNearMinMin</t>
  </si>
  <si>
    <t>testGoogVP8FlexNearMinMin</t>
  </si>
  <si>
    <t>testGoogVP8SurfNearMinMin</t>
  </si>
  <si>
    <t>testGoogVP9FlexNearMinMin</t>
  </si>
  <si>
    <t>testGoogVP9SurfNearMinMin</t>
  </si>
  <si>
    <t>testOtherH264FlexNearMinMin</t>
  </si>
  <si>
    <t>testOtherH264SurfNearMinMin</t>
  </si>
  <si>
    <t>testOtherH263FlexNearMinMin</t>
  </si>
  <si>
    <t>testOtherH263SurfNearMinMin</t>
  </si>
  <si>
    <t>testOtherMpeg4FlexNearMinMin</t>
  </si>
  <si>
    <t>testOtherMpeg4SurfNearMinMin</t>
  </si>
  <si>
    <t>testOtherVP8FlexNearMinMin</t>
  </si>
  <si>
    <t>testOtherVP8SurfNearMinMin</t>
  </si>
  <si>
    <t>testOtherVP9FlexNearMinMin</t>
  </si>
  <si>
    <t>testOtherVP9SurfNearMinMin</t>
  </si>
  <si>
    <t>testGoogH265FlexNearMinMax</t>
  </si>
  <si>
    <t>testGoogH265SurfNearMinMax</t>
  </si>
  <si>
    <t>testGoogH264FlexNearMinMax</t>
  </si>
  <si>
    <t>testGoogH264SurfNearMinMax</t>
  </si>
  <si>
    <t>testGoogH263FlexNearMinMax</t>
  </si>
  <si>
    <t>testGoogH263SurfNearMinMax</t>
  </si>
  <si>
    <t>testGoogMpeg4FlexNearMinMax</t>
  </si>
  <si>
    <t>testGoogMpeg4SurfNearMinMax</t>
  </si>
  <si>
    <t>testGoogVP8FlexNearMinMax</t>
  </si>
  <si>
    <t>testGoogVP8SurfNearMinMax</t>
  </si>
  <si>
    <t>testGoogVP9FlexNearMinMax</t>
  </si>
  <si>
    <t>testGoogVP9SurfNearMinMax</t>
  </si>
  <si>
    <t>testOtherH264FlexNearMinMax</t>
  </si>
  <si>
    <t>testOtherH264SurfNearMinMax</t>
  </si>
  <si>
    <t>testOtherH263FlexNearMinMax</t>
  </si>
  <si>
    <t>testOtherH263SurfNearMinMax</t>
  </si>
  <si>
    <t>testOtherMpeg4FlexNearMinMax</t>
  </si>
  <si>
    <t>testOtherMpeg4SurfNearMinMax</t>
  </si>
  <si>
    <t>testOtherVP8FlexNearMinMax</t>
  </si>
  <si>
    <t>testOtherVP8SurfNearMinMax</t>
  </si>
  <si>
    <t>testOtherVP9FlexNearMinMax</t>
  </si>
  <si>
    <t>testOtherVP9SurfNearMinMax</t>
  </si>
  <si>
    <t>testGoogH265FlexNearMaxMin</t>
  </si>
  <si>
    <t>testGoogH265SurfNearMaxMin</t>
  </si>
  <si>
    <t>testGoogH264FlexNearMaxMin</t>
  </si>
  <si>
    <t>testGoogH264SurfNearMaxMin</t>
  </si>
  <si>
    <t>testGoogH263FlexNearMaxMin</t>
  </si>
  <si>
    <t>testGoogH263SurfNearMaxMin</t>
  </si>
  <si>
    <t>testGoogMpeg4FlexNearMaxMin</t>
  </si>
  <si>
    <t>testGoogMpeg4SurfNearMaxMin</t>
  </si>
  <si>
    <t>testGoogVP8FlexNearMaxMin</t>
  </si>
  <si>
    <t>testGoogVP8SurfNearMaxMin</t>
  </si>
  <si>
    <t>testGoogVP9FlexNearMaxMin</t>
  </si>
  <si>
    <t>testGoogVP9SurfNearMaxMin</t>
  </si>
  <si>
    <t>testOtherH264FlexNearMaxMin</t>
  </si>
  <si>
    <t>testOtherH264SurfNearMaxMin</t>
  </si>
  <si>
    <t>testOtherH263FlexNearMaxMin</t>
  </si>
  <si>
    <t>testOtherH263SurfNearMaxMin</t>
  </si>
  <si>
    <t>testOtherMpeg4FlexNearMaxMin</t>
  </si>
  <si>
    <t>testOtherMpeg4SurfNearMaxMin</t>
  </si>
  <si>
    <t>testOtherVP8FlexNearMaxMin</t>
  </si>
  <si>
    <t>testOtherVP8SurfNearMaxMin</t>
  </si>
  <si>
    <t>testOtherVP9FlexNearMaxMin</t>
  </si>
  <si>
    <t>testOtherVP9SurfNearMaxMin</t>
  </si>
  <si>
    <t>testGoogH265FlexNearMaxMax</t>
  </si>
  <si>
    <t>testGoogH265SurfNearMaxMax</t>
  </si>
  <si>
    <t>testGoogH264FlexNearMaxMax</t>
  </si>
  <si>
    <t>testGoogH264SurfNearMaxMax</t>
  </si>
  <si>
    <t>testGoogH263FlexNearMaxMax</t>
  </si>
  <si>
    <t>testGoogH263SurfNearMaxMax</t>
  </si>
  <si>
    <t>testGoogMpeg4FlexNearMaxMax</t>
  </si>
  <si>
    <t>testGoogMpeg4SurfNearMaxMax</t>
  </si>
  <si>
    <t>testGoogVP8FlexNearMaxMax</t>
  </si>
  <si>
    <t>testGoogVP8SurfNearMaxMax</t>
  </si>
  <si>
    <t>testGoogVP9FlexNearMaxMax</t>
  </si>
  <si>
    <t>testGoogVP9SurfNearMaxMax</t>
  </si>
  <si>
    <t>testOtherH264FlexNearMaxMax</t>
  </si>
  <si>
    <t>testOtherH264SurfNearMaxMax</t>
  </si>
  <si>
    <t>testOtherH263FlexNearMaxMax</t>
  </si>
  <si>
    <t>testOtherH263SurfNearMaxMax</t>
  </si>
  <si>
    <t>testOtherMpeg4FlexNearMaxMax</t>
  </si>
  <si>
    <t>testOtherMpeg4SurfNearMaxMax</t>
  </si>
  <si>
    <t>testOtherVP8FlexNearMaxMax</t>
  </si>
  <si>
    <t>testOtherVP8SurfNearMaxMax</t>
  </si>
  <si>
    <t>testOtherVP9FlexNearMaxMax</t>
  </si>
  <si>
    <t>testOtherVP9SurfNearMaxMax</t>
  </si>
  <si>
    <t>testGoogH265FlexArbitraryW</t>
  </si>
  <si>
    <t>testGoogH265SurfArbitraryW</t>
  </si>
  <si>
    <t>testGoogH264FlexArbitraryW</t>
  </si>
  <si>
    <t>testGoogH264SurfArbitraryW</t>
  </si>
  <si>
    <t>testGoogH263FlexArbitraryW</t>
  </si>
  <si>
    <t>testGoogH263SurfArbitraryW</t>
  </si>
  <si>
    <t>testGoogMpeg4FlexArbitraryW</t>
  </si>
  <si>
    <t>testGoogMpeg4SurfArbitraryW</t>
  </si>
  <si>
    <t>testGoogVP8FlexArbitraryW</t>
  </si>
  <si>
    <t>testGoogVP8SurfArbitraryW</t>
  </si>
  <si>
    <t>testGoogVP9FlexArbitraryW</t>
  </si>
  <si>
    <t>testGoogVP9SurfArbitraryW</t>
  </si>
  <si>
    <t>testOtherH264FlexArbitraryW</t>
  </si>
  <si>
    <t>testOtherH264SurfArbitraryW</t>
  </si>
  <si>
    <t>testOtherH263FlexArbitraryW</t>
  </si>
  <si>
    <t>testOtherH263SurfArbitraryW</t>
  </si>
  <si>
    <t>testOtherMpeg4FlexArbitraryW</t>
  </si>
  <si>
    <t>testOtherMpeg4SurfArbitraryW</t>
  </si>
  <si>
    <t>testOtherVP8FlexArbitraryW</t>
  </si>
  <si>
    <t>testOtherVP8SurfArbitraryW</t>
  </si>
  <si>
    <t>testOtherVP9FlexArbitraryW</t>
  </si>
  <si>
    <t>testOtherVP9SurfArbitraryW</t>
  </si>
  <si>
    <t>testGoogH265FlexArbitraryH</t>
  </si>
  <si>
    <t>testGoogH265SurfArbitraryH</t>
  </si>
  <si>
    <t>testGoogH264FlexArbitraryH</t>
  </si>
  <si>
    <t>testGoogH264SurfArbitraryH</t>
  </si>
  <si>
    <t>testGoogH263FlexArbitraryH</t>
  </si>
  <si>
    <t>testGoogH263SurfArbitraryH</t>
  </si>
  <si>
    <t>testGoogMpeg4FlexArbitraryH</t>
  </si>
  <si>
    <t>testGoogMpeg4SurfArbitraryH</t>
  </si>
  <si>
    <t>testGoogVP8FlexArbitraryH</t>
  </si>
  <si>
    <t>testGoogVP8SurfArbitraryH</t>
  </si>
  <si>
    <t>testGoogVP9FlexArbitraryH</t>
  </si>
  <si>
    <t>testGoogVP9SurfArbitraryH</t>
  </si>
  <si>
    <t>testOtherH264FlexArbitraryH</t>
  </si>
  <si>
    <t>testOtherH264SurfArbitraryH</t>
  </si>
  <si>
    <t>testOtherH263FlexArbitraryH</t>
  </si>
  <si>
    <t>testOtherH263SurfArbitraryH</t>
  </si>
  <si>
    <t>testOtherMpeg4FlexArbitraryH</t>
  </si>
  <si>
    <t>testOtherMpeg4SurfArbitraryH</t>
  </si>
  <si>
    <t>testOtherVP8FlexArbitraryH</t>
  </si>
  <si>
    <t>testOtherVP8SurfArbitraryH</t>
  </si>
  <si>
    <t>testOtherVP9FlexArbitraryH</t>
  </si>
  <si>
    <t>testOtherVP9SurfArbitraryH</t>
  </si>
  <si>
    <t>testGoogH265FlexQCIF</t>
  </si>
  <si>
    <t>testGoogH265SurfQCIF</t>
  </si>
  <si>
    <t>testGoogH264FlexQCIF</t>
  </si>
  <si>
    <t>testGoogH264SurfQCIF</t>
  </si>
  <si>
    <t>testGoogH263FlexQCIF</t>
  </si>
  <si>
    <t>testGoogH263SurfQCIF</t>
  </si>
  <si>
    <t>testGoogMpeg4FlexQCIF</t>
  </si>
  <si>
    <t>testGoogMpeg4SurfQCIF</t>
  </si>
  <si>
    <t>testGoogVP8FlexQCIF</t>
  </si>
  <si>
    <t>testGoogVP8SurfQCIF</t>
  </si>
  <si>
    <t>testGoogVP9FlexQCIF</t>
  </si>
  <si>
    <t>testGoogVP9SurfQCIF</t>
  </si>
  <si>
    <t>testOtherH264FlexQCIF</t>
  </si>
  <si>
    <t>testOtherH264SurfQCIF</t>
  </si>
  <si>
    <t>testOtherH263FlexQCIF</t>
  </si>
  <si>
    <t>testOtherH263SurfQCIF</t>
  </si>
  <si>
    <t>testOtherMpeg4FlexQCIF</t>
  </si>
  <si>
    <t>testOtherMpeg4SurfQCIF</t>
  </si>
  <si>
    <t>testOtherVP8FlexQCIF</t>
  </si>
  <si>
    <t>testOtherVP8SurfQCIF</t>
  </si>
  <si>
    <t>testOtherVP9FlexQCIF</t>
  </si>
  <si>
    <t>testOtherVP9SurfQCIF</t>
  </si>
  <si>
    <t>testGoogH265Flex480p</t>
  </si>
  <si>
    <t>testGoogH265Surf480p</t>
  </si>
  <si>
    <t>testGoogH264Flex480p</t>
  </si>
  <si>
    <t>testGoogH264Surf480p</t>
  </si>
  <si>
    <t>testGoogH263Flex480p</t>
  </si>
  <si>
    <t>testGoogH263Surf480p</t>
  </si>
  <si>
    <t>testGoogMpeg4Flex480p</t>
  </si>
  <si>
    <t>testGoogMpeg4Surf480p</t>
  </si>
  <si>
    <t>testGoogVP8Flex480p</t>
  </si>
  <si>
    <t>testGoogVP8Surf480p</t>
  </si>
  <si>
    <t>testGoogVP9Flex480p</t>
  </si>
  <si>
    <t>testGoogVP9Surf480p</t>
  </si>
  <si>
    <t>testOtherH264Flex480p</t>
  </si>
  <si>
    <t>testOtherH264Surf480p</t>
  </si>
  <si>
    <t>testOtherH263Flex480p</t>
  </si>
  <si>
    <t>testOtherH263Surf480p</t>
  </si>
  <si>
    <t>testOtherMpeg4Flex480p</t>
  </si>
  <si>
    <t>testOtherMpeg4Surf480p</t>
  </si>
  <si>
    <t>testOtherVP8Flex480p</t>
  </si>
  <si>
    <t>testOtherVP8Surf480p</t>
  </si>
  <si>
    <t>testOtherVP9Flex480p</t>
  </si>
  <si>
    <t>testOtherVP9Surf480p</t>
  </si>
  <si>
    <t>testGoogH265Flex720p</t>
  </si>
  <si>
    <t>testGoogH265Surf720p</t>
  </si>
  <si>
    <t>testGoogH264Flex720p</t>
  </si>
  <si>
    <t>testGoogH264Surf720p</t>
  </si>
  <si>
    <t>testGoogH263Flex720p</t>
  </si>
  <si>
    <t>testGoogH263Surf720p</t>
  </si>
  <si>
    <t>testGoogMpeg4Flex720p</t>
  </si>
  <si>
    <t>testGoogMpeg4Surf720p</t>
  </si>
  <si>
    <t>testGoogVP8Flex720p</t>
  </si>
  <si>
    <t>testGoogVP8Surf720p</t>
  </si>
  <si>
    <t>testGoogVP9Flex720p</t>
  </si>
  <si>
    <t>testGoogVP9Surf720p</t>
  </si>
  <si>
    <t>testOtherH264Flex720p</t>
  </si>
  <si>
    <t>testOtherH264Surf720p</t>
  </si>
  <si>
    <t>testOtherH263Flex720p</t>
  </si>
  <si>
    <t>testOtherH263Surf720p</t>
  </si>
  <si>
    <t>testOtherMpeg4Flex720p</t>
  </si>
  <si>
    <t>testOtherMpeg4Surf720p</t>
  </si>
  <si>
    <t>testOtherVP8Flex720p</t>
  </si>
  <si>
    <t>testOtherVP8Surf720p</t>
  </si>
  <si>
    <t>testOtherVP9Flex720p</t>
  </si>
  <si>
    <t>testOtherVP9Surf720p</t>
  </si>
  <si>
    <t>testGoogH265Flex1080p</t>
  </si>
  <si>
    <t>testGoogH265Surf1080p</t>
  </si>
  <si>
    <t>testGoogH264Flex1080p</t>
  </si>
  <si>
    <t>testGoogH264Surf1080p</t>
  </si>
  <si>
    <t>testGoogH263Flex1080p</t>
  </si>
  <si>
    <t>testGoogH263Surf1080p</t>
  </si>
  <si>
    <t>testGoogMpeg4Flex1080p</t>
  </si>
  <si>
    <t>testGoogMpeg4Surf1080p</t>
  </si>
  <si>
    <t>testGoogVP8Flex1080p</t>
  </si>
  <si>
    <t>testGoogVP8Surf1080p</t>
  </si>
  <si>
    <t>testGoogVP9Flex1080p</t>
  </si>
  <si>
    <t>testGoogVP9Surf1080p</t>
  </si>
  <si>
    <t>testOtherH264Flex1080p</t>
  </si>
  <si>
    <t>testOtherH264Surf1080p</t>
  </si>
  <si>
    <t>testOtherH263Flex1080p</t>
  </si>
  <si>
    <t>testOtherH263Surf1080p</t>
  </si>
  <si>
    <t>testOtherMpeg4Flex1080p</t>
  </si>
  <si>
    <t>testOtherMpeg4Surf1080p</t>
  </si>
  <si>
    <t>testOtherVP8Flex1080p</t>
  </si>
  <si>
    <t>testOtherVP8Surf1080p</t>
  </si>
  <si>
    <t>testOtherVP9Flex1080p</t>
  </si>
  <si>
    <t>testOtherVP9Surf1080p</t>
  </si>
  <si>
    <t>testGoogH265Flex360pWithIntraRefresh</t>
  </si>
  <si>
    <t>testGoogH264Flex360pWithIntraRefresh</t>
  </si>
  <si>
    <t>testGoogH263Flex360pWithIntraRefresh</t>
  </si>
  <si>
    <t>testGoogMpeg4Flex360pWithIntraRefresh</t>
  </si>
  <si>
    <t>testGoogVP8Flex360pWithIntraRefresh</t>
  </si>
  <si>
    <t>testOtherH264Flex360pWithIntraRefresh</t>
  </si>
  <si>
    <t>testOtherH263FlexQCIFWithIntraRefresh</t>
  </si>
  <si>
    <t>testOtherMpeg4Flex360pWithIntraRefresh</t>
  </si>
  <si>
    <t>testOtherVP8Flex360pWithIntraRefresh</t>
  </si>
  <si>
    <t>testH264Flex720p30fps4Mbps</t>
  </si>
  <si>
    <t>testH264Surf720p30fps4Mbps</t>
  </si>
  <si>
    <t>testH264Flex1080p30fps10Mbps</t>
  </si>
  <si>
    <t>testH264Surf1080p30fps10Mbps</t>
  </si>
  <si>
    <t>testVP8LowQualitySDSupport</t>
  </si>
  <si>
    <t>testVP8HighQualitySDSupport</t>
  </si>
  <si>
    <t>testVP8Flex180p30fps800kbps</t>
  </si>
  <si>
    <t>testVP8Surf180p30fps800kbps</t>
  </si>
  <si>
    <t>testVP8Flex360p30fps2Mbps</t>
  </si>
  <si>
    <t>testVP8Surf360p30fps2Mbps</t>
  </si>
  <si>
    <t>testCreateSmartspaceDefaultUiTemplateData</t>
  </si>
  <si>
    <t>testCreateSmartspaceIcon</t>
  </si>
  <si>
    <t>testCreateSmartspaceHeadToHeadUiTemplateData</t>
  </si>
  <si>
    <t>testCreateSmartspaceSubCardUiTemplateData</t>
  </si>
  <si>
    <t>testCreateSmartspaceSubImageUiTemplateData</t>
  </si>
  <si>
    <t>testCreateSmartspaceSubListUiTemplateData</t>
  </si>
  <si>
    <t>testCreateSmartspaceTapAction</t>
  </si>
  <si>
    <t>testGetAllPresetsInfo</t>
  </si>
  <si>
    <t>testBluetooth</t>
  </si>
  <si>
    <t>testGetsExpectedDelegationScopes</t>
  </si>
  <si>
    <t>testDifferentPackageNameThrowsException</t>
  </si>
  <si>
    <t>testBasicVP8CBR</t>
  </si>
  <si>
    <t>testBasicVP8VBR</t>
  </si>
  <si>
    <t>testBasicVP9CBR</t>
  </si>
  <si>
    <t>testBasicVP9VBR</t>
  </si>
  <si>
    <t>testBasicAVCCBR</t>
  </si>
  <si>
    <t>testBasicAVCVBR</t>
  </si>
  <si>
    <t>testBasicHEVCCBR</t>
  </si>
  <si>
    <t>testBasicHEVCVBR</t>
  </si>
  <si>
    <t>testAsyncEncodingVP8CBR</t>
  </si>
  <si>
    <t>testAsyncEncodingVP8VBR</t>
  </si>
  <si>
    <t>testAsyncEncodingVP9CBR</t>
  </si>
  <si>
    <t>testAsyncEncodingVP9VBR</t>
  </si>
  <si>
    <t>testAsyncEncodingAVCCBR</t>
  </si>
  <si>
    <t>testAsyncEncodingAVCVBR</t>
  </si>
  <si>
    <t>testAsyncEncodingHEVCCBR</t>
  </si>
  <si>
    <t>testAsyncEncodingHEVCVBR</t>
  </si>
  <si>
    <t>testSyncFrameVP8CBR</t>
  </si>
  <si>
    <t>testSyncFrameVP8VBR</t>
  </si>
  <si>
    <t>testSyncFrameVP8NdkCBR</t>
  </si>
  <si>
    <t>testSyncFrameVP8NdkVBR</t>
  </si>
  <si>
    <t>testSyncFrameVP9CBR</t>
  </si>
  <si>
    <t>testSyncFrameVP9VBR</t>
  </si>
  <si>
    <t>testSyncFrameVP9NdkCBR</t>
  </si>
  <si>
    <t>testSyncFrameVP9NdkVBR</t>
  </si>
  <si>
    <t>testSyncFrameAVCCBR</t>
  </si>
  <si>
    <t>testSyncFrameAVCVBR</t>
  </si>
  <si>
    <t>testSyncFrameAVCNdkCBR</t>
  </si>
  <si>
    <t>testSyncFrameAVCNdkVBR</t>
  </si>
  <si>
    <t>testSyncFrameHEVCCBR</t>
  </si>
  <si>
    <t>testSyncFrameHEVCVBR</t>
  </si>
  <si>
    <t>testSyncFrameHEVCNdkCBR</t>
  </si>
  <si>
    <t>testSyncFrameHEVCNdkVBR</t>
  </si>
  <si>
    <t>testDynamicBitrateChangeVP8CBR</t>
  </si>
  <si>
    <t>testDynamicBitrateChangeVP8VBR</t>
  </si>
  <si>
    <t>testDynamicBitrateChangeVP8NdkCBR</t>
  </si>
  <si>
    <t>testDynamicBitrateChangeVP8NdkVBR</t>
  </si>
  <si>
    <t>testDynamicBitrateChangeVP9CBR</t>
  </si>
  <si>
    <t>testDynamicBitrateChangeVP9VBR</t>
  </si>
  <si>
    <t>testDynamicBitrateChangeVP9NdkCBR</t>
  </si>
  <si>
    <t>testDynamicBitrateChangeVP9NdkVBR</t>
  </si>
  <si>
    <t>testDynamicBitrateChangeAVCCBR</t>
  </si>
  <si>
    <t>testDynamicBitrateChangeAVCVBR</t>
  </si>
  <si>
    <t>testDynamicBitrateChangeAVCNdkCBR</t>
  </si>
  <si>
    <t>testDynamicBitrateChangeAVCNdkVBR</t>
  </si>
  <si>
    <t>testDynamicBitrateChangeHEVCCBR</t>
  </si>
  <si>
    <t>testDynamicBitrateChangeHEVCVBR</t>
  </si>
  <si>
    <t>testDynamicBitrateChangeHEVCNdkCBR</t>
  </si>
  <si>
    <t>testDynamicBitrateChangeHEVCNdkVBR</t>
  </si>
  <si>
    <t>testEncoderQualityVP8CBR</t>
  </si>
  <si>
    <t>testEncoderQualityVP8VBR</t>
  </si>
  <si>
    <t>testEncoderQualityVP9CBR</t>
  </si>
  <si>
    <t>testEncoderQualityVP9VBR</t>
  </si>
  <si>
    <t>testEncoderQualityAVCCBR</t>
  </si>
  <si>
    <t>testEncoderQualityAVCVBR</t>
  </si>
  <si>
    <t>testEncoderQualityHEVCCBR</t>
  </si>
  <si>
    <t>testEncoderQualityHEVCVBR</t>
  </si>
  <si>
    <t>testParallelEncodingAndDecodingVP8</t>
  </si>
  <si>
    <t>testParallelEncodingAndDecodingVP9</t>
  </si>
  <si>
    <t>testParallelEncodingAndDecodingAVC</t>
  </si>
  <si>
    <t>testParallelEncodingAndDecodingHEVC</t>
  </si>
  <si>
    <t>shouldSaveSharedPreferences</t>
  </si>
  <si>
    <t>testBroadastResponseStats_packageName</t>
  </si>
  <si>
    <t>testAvcCount0320x0240</t>
  </si>
  <si>
    <t>testAvcGoog1Perf0320x0240</t>
  </si>
  <si>
    <t>testAvcOther0Perf0320x0240</t>
  </si>
  <si>
    <t>testAvcOther1Perf0320x0240</t>
  </si>
  <si>
    <t>testAvcOther2Perf0320x0240</t>
  </si>
  <si>
    <t>testAvcOther3Perf0320x0240</t>
  </si>
  <si>
    <t>testAvcCount0720x0480</t>
  </si>
  <si>
    <t>testAvcGoog0Perf0720x0480</t>
  </si>
  <si>
    <t>testAvcGoog1Perf0720x0480</t>
  </si>
  <si>
    <t>testAvcOther0Perf0720x0480</t>
  </si>
  <si>
    <t>testAvcOther1Perf0720x0480</t>
  </si>
  <si>
    <t>testAvcOther2Perf0720x0480</t>
  </si>
  <si>
    <t>testAvcOther3Perf0720x0480</t>
  </si>
  <si>
    <t>testAvcCount1280x0720</t>
  </si>
  <si>
    <t>testAvcGoog0Perf1280x0720</t>
  </si>
  <si>
    <t>testAvcGoog1Perf1280x0720</t>
  </si>
  <si>
    <t>testAvcOther0Perf1280x0720</t>
  </si>
  <si>
    <t>testAvcOther1Perf1280x0720</t>
  </si>
  <si>
    <t>testAvcOther2Perf1280x0720</t>
  </si>
  <si>
    <t>testAvcOther3Perf1280x0720</t>
  </si>
  <si>
    <t>testAvcCount1920x1080</t>
  </si>
  <si>
    <t>testAvcGoog0Perf1920x1080</t>
  </si>
  <si>
    <t>testAvcGoog1Perf1920x1080</t>
  </si>
  <si>
    <t>testAvcOther0Perf1920x1080</t>
  </si>
  <si>
    <t>testAvcOther1Perf1920x1080</t>
  </si>
  <si>
    <t>testAvcOther2Perf1920x1080</t>
  </si>
  <si>
    <t>testAvcOther3Perf1920x1080</t>
  </si>
  <si>
    <t>testH263Count0176x0144</t>
  </si>
  <si>
    <t>testH263Goog0Perf0176x0144</t>
  </si>
  <si>
    <t>testH263Goog1Perf0176x0144</t>
  </si>
  <si>
    <t>testH263Other0Perf0176x0144</t>
  </si>
  <si>
    <t>testH263Other1Perf0176x0144</t>
  </si>
  <si>
    <t>testH263Count0352x0288</t>
  </si>
  <si>
    <t>testH263Goog0Perf0352x0288</t>
  </si>
  <si>
    <t>testH263Goog1Perf0352x0288</t>
  </si>
  <si>
    <t>testH263Other0Perf0352x0288</t>
  </si>
  <si>
    <t>testH263Other1Perf0352x0288</t>
  </si>
  <si>
    <t>testHevcCount0352x0288</t>
  </si>
  <si>
    <t>testHevcGoog0Perf0352x0288</t>
  </si>
  <si>
    <t>testHevcGoog1Perf0352x0288</t>
  </si>
  <si>
    <t>testHevcOther0Perf0352x0288</t>
  </si>
  <si>
    <t>testHevcOther1Perf0352x0288</t>
  </si>
  <si>
    <t>testHevcOther2Perf0352x0288</t>
  </si>
  <si>
    <t>testHevcOther3Perf0352x0288</t>
  </si>
  <si>
    <t>testHevcCount0640x0360</t>
  </si>
  <si>
    <t>testHevcGoog0Perf0640x0360</t>
  </si>
  <si>
    <t>testHevcGoog1Perf0640x0360</t>
  </si>
  <si>
    <t>testHevcOther0Perf0640x0360</t>
  </si>
  <si>
    <t>testHevcOther1Perf0640x0360</t>
  </si>
  <si>
    <t>testHevcOther2Perf0640x0360</t>
  </si>
  <si>
    <t>testHevcOther3Perf0640x0360</t>
  </si>
  <si>
    <t>testHevcCount0720x0480</t>
  </si>
  <si>
    <t>testHevcGoog0Perf0720x0480</t>
  </si>
  <si>
    <t>testHevcGoog1Perf0720x0480</t>
  </si>
  <si>
    <t>testHevcOther0Perf0720x0480</t>
  </si>
  <si>
    <t>testHevcOther1Perf0720x0480</t>
  </si>
  <si>
    <t>testHevcOther2Perf0720x0480</t>
  </si>
  <si>
    <t>testHevcOther3Perf0720x0480</t>
  </si>
  <si>
    <t>testHevcCount1280x0720</t>
  </si>
  <si>
    <t>testHevcGoog0Perf1280x0720</t>
  </si>
  <si>
    <t>testHevcGoog1Perf1280x0720</t>
  </si>
  <si>
    <t>testHevcOther0Perf1280x0720</t>
  </si>
  <si>
    <t>testHevcOther1Perf1280x0720</t>
  </si>
  <si>
    <t>testHevcOther2Perf1280x0720</t>
  </si>
  <si>
    <t>testHevcOther3Perf1280x0720</t>
  </si>
  <si>
    <t>testHevcCount1920x1080</t>
  </si>
  <si>
    <t>testHevcGoog0Perf1920x1080</t>
  </si>
  <si>
    <t>testHevcGoog1Perf1920x1080</t>
  </si>
  <si>
    <t>testHevcOther0Perf1920x1080</t>
  </si>
  <si>
    <t>testHevcOther1Perf1920x1080</t>
  </si>
  <si>
    <t>testHevcOther2Perf1920x1080</t>
  </si>
  <si>
    <t>testHevcOther3Perf1920x1080</t>
  </si>
  <si>
    <t>testHevcCount3840x2160</t>
  </si>
  <si>
    <t>testHevcGoog0Perf3840x2160</t>
  </si>
  <si>
    <t>testHevcGoog1Perf3840x2160</t>
  </si>
  <si>
    <t>testHevcOther0Perf3840x2160</t>
  </si>
  <si>
    <t>testHevcOther1Perf3840x2160</t>
  </si>
  <si>
    <t>testHevcOther2Perf3840x2160</t>
  </si>
  <si>
    <t>testHevcOther3Perf3840x2160</t>
  </si>
  <si>
    <t>testMpeg4Count0176x0144</t>
  </si>
  <si>
    <t>testMpeg4Goog0Perf0176x0144</t>
  </si>
  <si>
    <t>testMpeg4Goog1Perf0176x0144</t>
  </si>
  <si>
    <t>testMpeg4Other0Perf0176x0144</t>
  </si>
  <si>
    <t>testMpeg4Other1Perf0176x0144</t>
  </si>
  <si>
    <t>testMpeg4Other2Perf0176x0144</t>
  </si>
  <si>
    <t>testMpeg4Other3Perf0176x0144</t>
  </si>
  <si>
    <t>testMpeg4Count0480x0360</t>
  </si>
  <si>
    <t>testMpeg4Goog0Perf0480x0360</t>
  </si>
  <si>
    <t>testMpeg4Goog1Perf0480x0360</t>
  </si>
  <si>
    <t>testMpeg4Other0Perf0480x0360</t>
  </si>
  <si>
    <t>testMpeg4Other1Perf0480x0360</t>
  </si>
  <si>
    <t>testMpeg4Other2Perf0480x0360</t>
  </si>
  <si>
    <t>testMpeg4Other3Perf0480x0360</t>
  </si>
  <si>
    <t>testMpeg4Count1280x0720</t>
  </si>
  <si>
    <t>testMpeg4Goog0Perf1280x0720</t>
  </si>
  <si>
    <t>testMpeg4Goog1Perf1280x0720</t>
  </si>
  <si>
    <t>testMpeg4Other0Perf1280x0720</t>
  </si>
  <si>
    <t>testMpeg4Other1Perf1280x0720</t>
  </si>
  <si>
    <t>testMpeg4Other2Perf1280x0720</t>
  </si>
  <si>
    <t>testMpeg4Other3Perf1280x0720</t>
  </si>
  <si>
    <t>testVp8Count0320x0180</t>
  </si>
  <si>
    <t>testVp8Goog0Perf0320x0180</t>
  </si>
  <si>
    <t>testVp8Goog1Perf0320x0180</t>
  </si>
  <si>
    <t>testVp8Other0Perf0320x0180</t>
  </si>
  <si>
    <t>testVp8Other1Perf0320x0180</t>
  </si>
  <si>
    <t>testVp8Count0640x0360</t>
  </si>
  <si>
    <t>testVp8Goog0Perf0640x0360</t>
  </si>
  <si>
    <t>testVp8Goog1Perf0640x0360</t>
  </si>
  <si>
    <t>testVp8Other0Perf0640x0360</t>
  </si>
  <si>
    <t>testVp8Other1Perf0640x0360</t>
  </si>
  <si>
    <t>testVp8Count1280x0720</t>
  </si>
  <si>
    <t>testVp8Goog0Perf1280x0720</t>
  </si>
  <si>
    <t>testVp8Goog1Perf1280x0720</t>
  </si>
  <si>
    <t>testVp8Other0Perf1280x0720</t>
  </si>
  <si>
    <t>testVp8Other1Perf1280x0720</t>
  </si>
  <si>
    <t>testVp8Count1920x1080</t>
  </si>
  <si>
    <t>testVp8Goog0Perf1920x1080</t>
  </si>
  <si>
    <t>testVp8Goog1Perf1920x1080</t>
  </si>
  <si>
    <t>testVp8Other0Perf1920x1080</t>
  </si>
  <si>
    <t>testVp8Other1Perf1920x1080</t>
  </si>
  <si>
    <t>testVp9Count0320x0180</t>
  </si>
  <si>
    <t>testVp9Goog0Perf0320x0180</t>
  </si>
  <si>
    <t>testVp9Goog1Perf0320x0180</t>
  </si>
  <si>
    <t>testVp9Other0Perf0320x0180</t>
  </si>
  <si>
    <t>testVp9Other1Perf0320x0180</t>
  </si>
  <si>
    <t>testVp9Other2Perf0320x0180</t>
  </si>
  <si>
    <t>testVp9Other3Perf0320x0180</t>
  </si>
  <si>
    <t>testVp9Count0640x0360</t>
  </si>
  <si>
    <t>testVp9Goog0Perf0640x0360</t>
  </si>
  <si>
    <t>testVp9Goog1Perf0640x0360</t>
  </si>
  <si>
    <t>testVp9Other0Perf0640x0360</t>
  </si>
  <si>
    <t>testVp9Other1Perf0640x0360</t>
  </si>
  <si>
    <t>testVp9Other2Perf0640x0360</t>
  </si>
  <si>
    <t>testVp9Other3Perf0640x0360</t>
  </si>
  <si>
    <t>testVp9Count1280x0720</t>
  </si>
  <si>
    <t>testVp9Goog0Perf1280x0720</t>
  </si>
  <si>
    <t>testVp9Goog1Perf1280x0720</t>
  </si>
  <si>
    <t>testVp9Other0Perf1280x0720</t>
  </si>
  <si>
    <t>testVp9Other1Perf1280x0720</t>
  </si>
  <si>
    <t>testVp9Other2Perf1280x0720</t>
  </si>
  <si>
    <t>testVp9Other3Perf1280x0720</t>
  </si>
  <si>
    <t>testVp9Count1920x1080</t>
  </si>
  <si>
    <t>testVp9Goog0Perf1920x1080</t>
  </si>
  <si>
    <t>testVp9Goog1Perf1920x1080</t>
  </si>
  <si>
    <t>testVp9Other0Perf1920x1080</t>
  </si>
  <si>
    <t>testVp9Other1Perf1920x1080</t>
  </si>
  <si>
    <t>testVp9Other2Perf1920x1080</t>
  </si>
  <si>
    <t>testVp9Other3Perf1920x1080</t>
  </si>
  <si>
    <t>testVp9Count3840x2160</t>
  </si>
  <si>
    <t>testVp9Goog0Perf3840x2160</t>
  </si>
  <si>
    <t>testVp9Goog1Perf3840x2160</t>
  </si>
  <si>
    <t>testVp9Other0Perf3840x2160</t>
  </si>
  <si>
    <t>testVp9Other1Perf3840x2160</t>
  </si>
  <si>
    <t>testVp9Other2Perf3840x2160</t>
  </si>
  <si>
    <t>testVp9Other3Perf3840x2160</t>
  </si>
  <si>
    <t>testSetSchemaTypeVisibleForRole</t>
  </si>
  <si>
    <t>testCreateText_builderWithMiddleTrunctAtType</t>
  </si>
  <si>
    <t>testPersonalApp_canAccessWorkProfileContents</t>
  </si>
  <si>
    <t>testActivityOptionsBundle_fromBundle</t>
  </si>
  <si>
    <t>testGetMaxCodecType</t>
  </si>
  <si>
    <t>test_ServiceRegisterer</t>
  </si>
  <si>
    <t>testExternalCallAudioState</t>
  </si>
  <si>
    <t>testVideoEditQCIF</t>
  </si>
  <si>
    <t>testVideoEditQVGA</t>
  </si>
  <si>
    <t>testVideoEdit720p</t>
  </si>
  <si>
    <t>testSingleServiceSearch</t>
  </si>
  <si>
    <t>testVP9Other</t>
  </si>
  <si>
    <t>testVP9Goog</t>
  </si>
  <si>
    <t>testPostBootOptimizationCompleted</t>
  </si>
  <si>
    <t>subscriptionsChange_notifiesObserver</t>
  </si>
  <si>
    <t>testSelectionEvent_placeholder</t>
  </si>
  <si>
    <t>setUserProvisioningState_unmanagedDevice_stateUserUnmanaged_doesNotThrowIllegalStateException</t>
  </si>
  <si>
    <t>test_setVolume</t>
  </si>
  <si>
    <t>testGetCodecStatus</t>
  </si>
  <si>
    <t>testSetCodecConfigPreference</t>
  </si>
  <si>
    <t>testGetProfiles</t>
  </si>
  <si>
    <t>testLimitedAxesImuConfiguration</t>
  </si>
  <si>
    <t>testNotifyCarrierPrivilegesChanged</t>
  </si>
  <si>
    <t>testActivityLaunchInExpandedTaskFragment_AboveEmbeddedTask</t>
  </si>
  <si>
    <t>testActivityLaunchAboveEmbeddedTaskInTaskFragment</t>
  </si>
  <si>
    <t>testActivityLaunchToEmbeddedTaskInTaskFragment</t>
  </si>
  <si>
    <t>testStartActivityInTaskFragment_createNewTask</t>
  </si>
  <si>
    <t>testLineBreakConfigEquals</t>
  </si>
  <si>
    <t>test_registerServiceLifecycleCallback</t>
  </si>
  <si>
    <t>testSetUninstallBlockedLogged</t>
  </si>
  <si>
    <t>testSetUninstallBlocked_failIfNotProfileOwner</t>
  </si>
  <si>
    <t>testSetUninstallBlocked_succeedForNotInstalledApps</t>
  </si>
  <si>
    <t>testNetworkLogging</t>
  </si>
  <si>
    <t>testHasKeyPair_failIfNotOwner</t>
  </si>
  <si>
    <t>testGetKeyPairGrants_failIfNotOwner</t>
  </si>
  <si>
    <t>testGetFirstInstallTime</t>
  </si>
  <si>
    <t>testPackageFullyRemovedBroadcastAfterUninstall</t>
  </si>
  <si>
    <t>testUserPhotoSetUp</t>
  </si>
  <si>
    <t>testReadInBackground_requiresPermission</t>
  </si>
  <si>
    <t>testConnectNetworkHasAutomotiveFeature</t>
  </si>
  <si>
    <t>testDisconnectNetworkHasAutomotiveFeature</t>
  </si>
  <si>
    <t>internetDialog_correctPackage</t>
  </si>
  <si>
    <t>internetDialog_doneClosesDialog</t>
  </si>
  <si>
    <t>testRebuild_noSupportedException</t>
  </si>
  <si>
    <t>testUntrustedModeTaskFragment_setBoundsOutsideOfParentBounds</t>
  </si>
  <si>
    <t>testUntrustedModeTaskFragment_setAppBoundsOutsideOfParentAppBounds</t>
  </si>
  <si>
    <t>testUntrustedModeTaskFragment_setSetScreenWidthHeightGreaterThanParent</t>
  </si>
  <si>
    <t>testUntrustedModeTaskFragment_startActivityInTaskFragmentOutsideOfParentBounds</t>
  </si>
  <si>
    <t>testUntrustedModeTaskFragment_reparentChildrenOutsideOfParentBounds</t>
  </si>
  <si>
    <t>testDontDedupeByDefault</t>
  </si>
  <si>
    <t>testSetDeduplicationPackageOrder</t>
  </si>
  <si>
    <t>testBuilderSetAllowedPackagesWithNull</t>
  </si>
  <si>
    <t>testBuilderSetDeduplicationPackageOrderWithNull</t>
  </si>
  <si>
    <t>testLowQualitySDSupport</t>
  </si>
  <si>
    <t>testHighQualitySDSupport</t>
  </si>
  <si>
    <t>testTaskFragmentConfigChange_allowedTrustedMode_sameUid</t>
  </si>
  <si>
    <t>testTaskFragmentConfigChange_disallowedUntrustedMode</t>
  </si>
  <si>
    <t>setPreferentialNetworkServiceConfig_withRequiredPermission</t>
  </si>
  <si>
    <t>test_BluetoothHidDeviceAppQosSettings</t>
  </si>
  <si>
    <t>test_getServiceType</t>
  </si>
  <si>
    <t>test_getLatency</t>
  </si>
  <si>
    <t>test_getPeakBandwidth</t>
  </si>
  <si>
    <t>test_getTokenBucketSize</t>
  </si>
  <si>
    <t>test_getTokenRate</t>
  </si>
  <si>
    <t>audioCapture_shouldCaptureAppPlaybackFrequency</t>
  </si>
  <si>
    <t>audioInjection_appShouldRecordInjectedFrequency</t>
  </si>
  <si>
    <t>test_startAdvertisingSetWithCallbackAndHandler</t>
  </si>
  <si>
    <t>test_startAdvertisingSetWithDurationAndCallback</t>
  </si>
  <si>
    <t>test_startAdvertisingSetWithDurationCallbackAndHandler</t>
  </si>
  <si>
    <t>testUseTargetActivityForQuickAccess_isFalse</t>
  </si>
  <si>
    <t>testUseTargetActivityForQuickAccess_serviceSpecifies_isTrue</t>
  </si>
  <si>
    <t>testUpdateConfigurationWithCapabilitiesRequiresAutomotiveFeature</t>
  </si>
  <si>
    <t>testStartUser</t>
  </si>
  <si>
    <t>testUnlockUser</t>
  </si>
  <si>
    <t>testStopAllTaskForUser</t>
  </si>
  <si>
    <t>testSensorOperations</t>
  </si>
  <si>
    <t>testWhenOneSawWindowAboveThreshold_blocksTouch</t>
  </si>
  <si>
    <t>testWhenOneSawWindowAboveThresholdAndSelfSawWindow_blocksTouch</t>
  </si>
  <si>
    <t>testWhenThresholdIs0AndSawWindowAboveThreshold_blocksTouch</t>
  </si>
  <si>
    <t>testUpdateDeviceStatsPermission</t>
  </si>
  <si>
    <t>testGetStatsOfOtherUid</t>
  </si>
  <si>
    <t>testFlexMinMin</t>
  </si>
  <si>
    <t>testSurfMinMin</t>
  </si>
  <si>
    <t>testFlexMinMax</t>
  </si>
  <si>
    <t>testSurfMinMax</t>
  </si>
  <si>
    <t>testFlexMaxMin</t>
  </si>
  <si>
    <t>testSurfMaxMin</t>
  </si>
  <si>
    <t>testFlexMaxMax</t>
  </si>
  <si>
    <t>testSurfMaxMax</t>
  </si>
  <si>
    <t>testFlexNearMinMin</t>
  </si>
  <si>
    <t>testSurfNearMinMin</t>
  </si>
  <si>
    <t>testFlexNearMinMax</t>
  </si>
  <si>
    <t>testSurfNearMinMax</t>
  </si>
  <si>
    <t>testFlexNearMaxMin</t>
  </si>
  <si>
    <t>testSurfNearMaxMin</t>
  </si>
  <si>
    <t>testFlexNearMaxMax</t>
  </si>
  <si>
    <t>testSurfNearMaxMax</t>
  </si>
  <si>
    <t>testFlexArbitraryW</t>
  </si>
  <si>
    <t>testSurfArbitraryW</t>
  </si>
  <si>
    <t>testFlexArbitraryH</t>
  </si>
  <si>
    <t>testSurfArbitraryH</t>
  </si>
  <si>
    <t>testFlexQCIF</t>
  </si>
  <si>
    <t>testSurfQCIF</t>
  </si>
  <si>
    <t>testFlex480p</t>
  </si>
  <si>
    <t>testSurf480p</t>
  </si>
  <si>
    <t>testFlex720p</t>
  </si>
  <si>
    <t>testSurf720p</t>
  </si>
  <si>
    <t>testFlex1080p</t>
  </si>
  <si>
    <t>testSurf1080p</t>
  </si>
  <si>
    <t>testFlex360pWithIntraRefresh</t>
  </si>
  <si>
    <t>testFlexQVGA20fps384kbps</t>
  </si>
  <si>
    <t>testSurfQVGA20fps384kbps</t>
  </si>
  <si>
    <t>testFlex480p30fps2Mbps</t>
  </si>
  <si>
    <t>testSurf480p30fps2Mbps</t>
  </si>
  <si>
    <t>testFlex720p30fps4Mbps</t>
  </si>
  <si>
    <t>testSurf720p30fps4Mbps</t>
  </si>
  <si>
    <t>testFlex1080p30fps10Mbps</t>
  </si>
  <si>
    <t>testSurf1080p30fps10Mbps</t>
  </si>
  <si>
    <t>scheduleExactAlarmPermissionStateChangedSentDenyList</t>
  </si>
  <si>
    <t>denyListedChangesCanScheduleExactAlarms</t>
  </si>
  <si>
    <t>testAtom_TimeZoneDetectorState</t>
  </si>
  <si>
    <t>noNotificationIfFeatureDisabled</t>
  </si>
  <si>
    <t>noNotificationIfSafetyCenterDisabled</t>
  </si>
  <si>
    <t>notificationIsShown</t>
  </si>
  <si>
    <t>notificationIsShownOnlyOnce</t>
  </si>
  <si>
    <t>notificationIsShownAgainAfterClear</t>
  </si>
  <si>
    <t>removeNotificationOnUninstall</t>
  </si>
  <si>
    <t>notificationIsNotShownAfterDisableAppNotificationListener</t>
  </si>
  <si>
    <t>testHotwordDetectionService_onDetectFromExternalSource_success</t>
  </si>
  <si>
    <t>setAlarmClockWithoutPermission</t>
  </si>
  <si>
    <t>setAlarmClockWithoutPermissionWithWhitelist</t>
  </si>
  <si>
    <t>setExactAwiWithoutPermissionWithWhitelist</t>
  </si>
  <si>
    <t>testOptionsMenuKey</t>
  </si>
  <si>
    <t>testOpenOptionsMenu</t>
  </si>
  <si>
    <t>testGetDefaultVibrator</t>
  </si>
  <si>
    <t>testSingleVibratorIsPresent</t>
  </si>
  <si>
    <t>testSingleVibratorAmplitudeAndFrequencyControls</t>
  </si>
  <si>
    <t>testSingleVibratorFrequencyProfile</t>
  </si>
  <si>
    <t>testSingleVibratorEffectAndPrimitiveSupport</t>
  </si>
  <si>
    <t>testSingleVibratorVibrateAndCancel</t>
  </si>
  <si>
    <t>testGetId</t>
  </si>
  <si>
    <t>testHasVibrator</t>
  </si>
  <si>
    <t>shouldAllowBypassingDevicePolicyManagementRoleQualification_noUsersAndAccounts_returnsTrue</t>
  </si>
  <si>
    <t>shouldAllowBypassingDevicePolicyManagementRoleQualification_withUsers_returnsFalse</t>
  </si>
  <si>
    <t>shouldAllowBypassingDevicePolicyManagementRoleQualification_withProfile_returnsFalse</t>
  </si>
  <si>
    <t>test_addSource</t>
  </si>
  <si>
    <t>test_modifySource</t>
  </si>
  <si>
    <t>test_startSearchingForSources</t>
  </si>
  <si>
    <t>computePerformanceClass_bothNotR</t>
  </si>
  <si>
    <t>computePerformanceClass_onlyOneR</t>
  </si>
  <si>
    <t>computePerformanceClass_bothR</t>
  </si>
  <si>
    <t>computePerformanceClass_onlyOneS</t>
  </si>
  <si>
    <t>computePerformanceClass_bothS</t>
  </si>
  <si>
    <t>testPushBlankBuffersOnStopVp9</t>
  </si>
  <si>
    <t>testPushBlankBuffersOnStopAvc</t>
  </si>
  <si>
    <t>testIsImportanceLockedByOEM</t>
  </si>
  <si>
    <t>testGetWallpaperDimAmountWithNoPermission_shouldThrowException</t>
  </si>
  <si>
    <t>testSetWallpaperDimAmountWithNoPermission_shouldThrowException</t>
  </si>
  <si>
    <t>setWallpaperDimAmount_withinBound_shouldSetDimAmount</t>
  </si>
  <si>
    <t>setWallpaperDimAmountBeyondRange_shouldBeBounded</t>
  </si>
  <si>
    <t>setWallpaperDimAmount_changingWallpaperShouldRemainDimmed</t>
  </si>
  <si>
    <t>colorHintsOnDimTest</t>
  </si>
  <si>
    <t>testImeAutofillDefaultSupportedLocalesIsEmpty_changeDisabled</t>
  </si>
  <si>
    <t>testDismissSave_byFocusingOutside</t>
  </si>
  <si>
    <t>testReqSecureWithUnsecureDecodeSupport</t>
  </si>
  <si>
    <t>testReqMultiSecureDecodeSupport</t>
  </si>
  <si>
    <t>testReqSecureDecodeSupport</t>
  </si>
  <si>
    <t>testDirectBootEmulated</t>
  </si>
  <si>
    <t>test_getMessageAccessPermission</t>
  </si>
  <si>
    <t>test_getPhonebookAccessPermission</t>
  </si>
  <si>
    <t>test_getSimAccessPermission</t>
  </si>
  <si>
    <t>testPhonebookAccessPermission</t>
  </si>
  <si>
    <t>testMessageAccessPermission</t>
  </si>
  <si>
    <t>testSimAccessPermission</t>
  </si>
  <si>
    <t>testSetGetDiscoverableTimeout</t>
  </si>
  <si>
    <t>testWidevineSupport</t>
  </si>
  <si>
    <t>getInputMethodWindowVisibleHeight_returnsZeroIfNotFocused</t>
  </si>
  <si>
    <t>testNestedProperties_unusualPaths</t>
  </si>
  <si>
    <t>testMandatoryDeviceidAttestation</t>
  </si>
  <si>
    <t>testInstallV41WrongBlockId</t>
  </si>
  <si>
    <t>testInstallV41LegacyV4</t>
  </si>
  <si>
    <t>testInstallV41WrongDigest</t>
  </si>
  <si>
    <t>testExpectedBaseFilesExist</t>
  </si>
  <si>
    <t>testTooFewArgs</t>
  </si>
  <si>
    <t>testStaging_stagingDirIsFile</t>
  </si>
  <si>
    <t>testStaging_uninstall_currentDirIsFile</t>
  </si>
  <si>
    <t>testStaging_uninstall_noCurrent</t>
  </si>
  <si>
    <t>testStaging_uninstall_withCurrent</t>
  </si>
  <si>
    <t>testStaging_install_currentDirIsFile</t>
  </si>
  <si>
    <t>testStaging_install_noCurrent</t>
  </si>
  <si>
    <t>testStaging_install_withCurrent</t>
  </si>
  <si>
    <t>testStaging_install_withCurrent_invalidStaged</t>
  </si>
  <si>
    <t>testNoCurrentDataDir</t>
  </si>
  <si>
    <t>testCurrentDataDirIsFile</t>
  </si>
  <si>
    <t>testMissingDataDirDistroVersionFile</t>
  </si>
  <si>
    <t>testShortDataDirDistroVersionFile</t>
  </si>
  <si>
    <t>testCorruptDistroVersionFile</t>
  </si>
  <si>
    <t>testInvalidMajorDistroVersion_older</t>
  </si>
  <si>
    <t>testInvalidMajorDistroVersion_newer</t>
  </si>
  <si>
    <t>testInvalidMinorDistroVersion_older</t>
  </si>
  <si>
    <t>testValidMinorDistroVersion_newer</t>
  </si>
  <si>
    <t>testSystemTzVersionFileMissing</t>
  </si>
  <si>
    <t>testSystemTzVersionFileCorrupt</t>
  </si>
  <si>
    <t>testSystemTzRulesOlder</t>
  </si>
  <si>
    <t>testSystemTzVersionSame</t>
  </si>
  <si>
    <t>testSystemTzVersionNewer</t>
  </si>
  <si>
    <t>testVulnerableActivityPresence</t>
  </si>
  <si>
    <t>testStderrWarning</t>
  </si>
  <si>
    <t>testLocationAppOpIsIgnoredForAppsWhenLocationIsDisabled</t>
  </si>
  <si>
    <t>testTunneledAudioPtsGapsHevc</t>
  </si>
  <si>
    <t>testTunneledAudioTimestampProgressWithUnderrunHevc</t>
  </si>
  <si>
    <t>mediaOutputDialog_correctDialog</t>
  </si>
  <si>
    <t>testVp9HdrStaticMetadata</t>
  </si>
  <si>
    <t>testAV1HdrStaticMetadata</t>
  </si>
  <si>
    <t>testH265HDR10StaticMetadata</t>
  </si>
  <si>
    <t>testVp9Hdr10PlusMetadata</t>
  </si>
  <si>
    <t>testH265Hdr10PlusMetadata</t>
  </si>
  <si>
    <t>testVp9HdrToSdr</t>
  </si>
  <si>
    <t>testAV1HdrToSdr</t>
  </si>
  <si>
    <t>testH265HDR10ToSdr</t>
  </si>
  <si>
    <t>testVp9Hdr10PlusToSdr</t>
  </si>
  <si>
    <t>testH265Hdr10PlusToSdr</t>
  </si>
  <si>
    <t>testHDRMetadata</t>
  </si>
  <si>
    <t>testSeamendcAgainstPrecompiledPolicies</t>
  </si>
  <si>
    <t>testSeamendcAgainstSecilc</t>
  </si>
  <si>
    <t>testOnlyAllowedlistedChangesAreOverridable</t>
  </si>
  <si>
    <t>testOnRangingOpened_OnOpenSuccessCalled</t>
  </si>
  <si>
    <t>testOnRangingOpened_OnServiceDiscoveredConnectedCalled</t>
  </si>
  <si>
    <t>testOnRangingOpened_CannotOpenClosedSession</t>
  </si>
  <si>
    <t>testOnRangingClosed_OnClosedCalledWhenSessionNotOpen</t>
  </si>
  <si>
    <t>testOnRangingClosed_OnClosedCalled</t>
  </si>
  <si>
    <t>testOnRangingResult_OnReportReceivedCalled</t>
  </si>
  <si>
    <t>testStart_CannotStartIfAlreadyStarted</t>
  </si>
  <si>
    <t>testStop_CannotStopIfAlreadyStopped</t>
  </si>
  <si>
    <t>testStop_CannotStopIfOpenFailed</t>
  </si>
  <si>
    <t>testCallbacks_OnlyWhenOpened</t>
  </si>
  <si>
    <t>testClose_NoCallbackUntilInvoked</t>
  </si>
  <si>
    <t>testClose_OnClosedCalled</t>
  </si>
  <si>
    <t>testClose_CannotInteractFurther</t>
  </si>
  <si>
    <t>testOnRangingResult_OnReportReceivedCalledWhenOpen</t>
  </si>
  <si>
    <t>testOnRangingResult_OnReportReceivedNotCalledWhenNotOpen</t>
  </si>
  <si>
    <t>testAllChecksums</t>
  </si>
  <si>
    <t>test_getProfileProxy</t>
  </si>
  <si>
    <t>testSetMediaButtonBroadcastReceiver_withForeignPackageName_fails</t>
  </si>
  <si>
    <t>testVersion</t>
  </si>
  <si>
    <t>testCarServiceHelperServiceDump</t>
  </si>
  <si>
    <t>testPocCVE_2019_2133</t>
  </si>
  <si>
    <t>testPocCVE_2019_2134</t>
  </si>
  <si>
    <t>testCloudSearchServiceConnection</t>
  </si>
  <si>
    <t>testSuccessfulSearch</t>
  </si>
  <si>
    <t>testUnsuccessfulSearch</t>
  </si>
  <si>
    <t>testInvalidServiceSearch</t>
  </si>
  <si>
    <t>testMultipleCallbacksSearch</t>
  </si>
  <si>
    <t>testCreateSearchRequest</t>
  </si>
  <si>
    <t>testCreateSearchResponse</t>
  </si>
  <si>
    <t>testCreateSearchResult</t>
  </si>
  <si>
    <t>testSaveDialogHeightIsSameWithDefaultWhenNotSetInConfig</t>
  </si>
  <si>
    <t>testSaveDialogHeightIsSameWithConfig</t>
  </si>
  <si>
    <t>testSaveDialogWrapAroundContent</t>
  </si>
  <si>
    <t>testNoExemptionsForSocketsBetweenCoreAndVendorBan</t>
  </si>
  <si>
    <t>testNoExemptionsForVendorExecutingCore</t>
  </si>
  <si>
    <t>testReportMobileRadioPowerState</t>
  </si>
  <si>
    <t>testReportWifiRadioPowerState</t>
  </si>
  <si>
    <t>testReportRadioPowerState</t>
  </si>
  <si>
    <t>test_closeProfileProxy</t>
  </si>
  <si>
    <t>testCloseProfileProxy</t>
  </si>
  <si>
    <t>testIsPresent</t>
  </si>
  <si>
    <t>testFlushNative</t>
  </si>
  <si>
    <t>testAvcGoog0Qual0320x0240</t>
  </si>
  <si>
    <t>testAvcGoog0Perf0320x0240</t>
  </si>
  <si>
    <t>testAvcGoog1Qual0320x0240</t>
  </si>
  <si>
    <t>testAvcOther0Qual0320x0240</t>
  </si>
  <si>
    <t>testAvcOther1Qual0320x0240</t>
  </si>
  <si>
    <t>testAvcOther2Qual0320x0240</t>
  </si>
  <si>
    <t>testAvcOther3Qual0320x0240</t>
  </si>
  <si>
    <t>testAvcGoog0Qual0720x0480</t>
  </si>
  <si>
    <t>testAvcGoog1Qual0720x0480</t>
  </si>
  <si>
    <t>testAvcOther0Qual0720x0480</t>
  </si>
  <si>
    <t>testAvcOther1Qual0720x0480</t>
  </si>
  <si>
    <t>testAvcOther2Qual0720x0480</t>
  </si>
  <si>
    <t>testAvcOther3Qual0720x0480</t>
  </si>
  <si>
    <t>testAvcGoog0Qual1280x0720</t>
  </si>
  <si>
    <t>testAvcGoog1Qual1280x0720</t>
  </si>
  <si>
    <t>testAvcOther0Qual1280x0720</t>
  </si>
  <si>
    <t>testAvcOther1Qual1280x0720</t>
  </si>
  <si>
    <t>testAvcOther2Qual1280x0720</t>
  </si>
  <si>
    <t>testAvcOther3Qual1280x0720</t>
  </si>
  <si>
    <t>testAvcGoog0Qual1920x1080</t>
  </si>
  <si>
    <t>testAvcGoog1Qual1920x1080</t>
  </si>
  <si>
    <t>testAvcOther0Qual1920x1080</t>
  </si>
  <si>
    <t>testAvcOther1Qual1920x1080</t>
  </si>
  <si>
    <t>testAvcOther2Qual1920x1080</t>
  </si>
  <si>
    <t>testAvcOther3Qual1920x1080</t>
  </si>
  <si>
    <t>testH263Goog0Qual0176x0144</t>
  </si>
  <si>
    <t>testH263Goog1Qual0176x0144</t>
  </si>
  <si>
    <t>testH263Other0Qual0176x0144</t>
  </si>
  <si>
    <t>testH263Other1Qual0176x0144</t>
  </si>
  <si>
    <t>testH263Goog0Qual0352x0288</t>
  </si>
  <si>
    <t>testH263Goog1Qual0352x0288</t>
  </si>
  <si>
    <t>testH263Other0Qual0352x0288</t>
  </si>
  <si>
    <t>testH263Other1Qual0352x0288</t>
  </si>
  <si>
    <t>testH263Count0704x0576</t>
  </si>
  <si>
    <t>testH263Goog0Qual0704x0576</t>
  </si>
  <si>
    <t>testH263Goog0Perf0704x0576</t>
  </si>
  <si>
    <t>testH263Other0Qual0704x0576</t>
  </si>
  <si>
    <t>testH263Other0Perf0704x0576</t>
  </si>
  <si>
    <t>testH263Other1Qual0704x0576</t>
  </si>
  <si>
    <t>testH263Other1Perf0704x0576</t>
  </si>
  <si>
    <t>testH263Count1408x1152</t>
  </si>
  <si>
    <t>testH263Goog0Qual1408x1152</t>
  </si>
  <si>
    <t>testH263Goog0Perf1408x1152</t>
  </si>
  <si>
    <t>testH263Other0Qual1408x1152</t>
  </si>
  <si>
    <t>testH263Other0Perf1408x1152</t>
  </si>
  <si>
    <t>testH263Other1Qual1408x1152</t>
  </si>
  <si>
    <t>testH263Other1Perf1408x1152</t>
  </si>
  <si>
    <t>testHevcCount0320x0240</t>
  </si>
  <si>
    <t>testHevcGoog0Qual0320x0240</t>
  </si>
  <si>
    <t>testHevcGoog0Perf0320x0240</t>
  </si>
  <si>
    <t>testHevcGoog1Qual0320x0240</t>
  </si>
  <si>
    <t>testHevcGoog1Perf0320x0240</t>
  </si>
  <si>
    <t>testHevcOther0Qual0320x0240</t>
  </si>
  <si>
    <t>testHevcOther0Perf0320x0240</t>
  </si>
  <si>
    <t>testHevcOther1Qual0320x0240</t>
  </si>
  <si>
    <t>testHevcOther1Perf0320x0240</t>
  </si>
  <si>
    <t>testHevcOther2Qual0320x0240</t>
  </si>
  <si>
    <t>testHevcOther2Perf0320x0240</t>
  </si>
  <si>
    <t>testHevcOther3Qual0320x0240</t>
  </si>
  <si>
    <t>testHevcOther3Perf0320x0240</t>
  </si>
  <si>
    <t>testHevcGoog0Qual0720x0480</t>
  </si>
  <si>
    <t>testHevcGoog1Qual0720x0480</t>
  </si>
  <si>
    <t>testHevcOther0Qual0720x0480</t>
  </si>
  <si>
    <t>testHevcOther1Qual0720x0480</t>
  </si>
  <si>
    <t>testHevcOther2Qual0720x0480</t>
  </si>
  <si>
    <t>testHevcOther3Qual0720x0480</t>
  </si>
  <si>
    <t>testHevcGoog0Qual1280x0720</t>
  </si>
  <si>
    <t>testHevcGoog1Qual1280x0720</t>
  </si>
  <si>
    <t>testHevcOther0Qual1280x0720</t>
  </si>
  <si>
    <t>testHevcOther1Qual1280x0720</t>
  </si>
  <si>
    <t>testHevcOther2Qual1280x0720</t>
  </si>
  <si>
    <t>testHevcOther3Qual1280x0720</t>
  </si>
  <si>
    <t>testHevcGoog0Qual1920x1080</t>
  </si>
  <si>
    <t>testHevcGoog1Qual1920x1080</t>
  </si>
  <si>
    <t>testHevcOther0Qual1920x1080</t>
  </si>
  <si>
    <t>testHevcOther1Qual1920x1080</t>
  </si>
  <si>
    <t>testHevcOther2Qual1920x1080</t>
  </si>
  <si>
    <t>testHevcOther3Qual1920x1080</t>
  </si>
  <si>
    <t>testHevcGoog0Qual3840x2160</t>
  </si>
  <si>
    <t>testHevcGoog1Qual3840x2160</t>
  </si>
  <si>
    <t>testHevcOther0Qual3840x2160</t>
  </si>
  <si>
    <t>testHevcOther1Qual3840x2160</t>
  </si>
  <si>
    <t>testHevcOther2Qual3840x2160</t>
  </si>
  <si>
    <t>testHevcOther3Qual3840x2160</t>
  </si>
  <si>
    <t>testMpeg2Count0176x0144</t>
  </si>
  <si>
    <t>testMpeg2Goog0Qual0176x0144</t>
  </si>
  <si>
    <t>testMpeg2Goog0Perf0176x0144</t>
  </si>
  <si>
    <t>testMpeg2Goog1Qual0176x0144</t>
  </si>
  <si>
    <t>testMpeg2Goog1Perf0176x0144</t>
  </si>
  <si>
    <t>testMpeg2Other0Qual0176x0144</t>
  </si>
  <si>
    <t>testMpeg2Other0Perf0176x0144</t>
  </si>
  <si>
    <t>testMpeg2Other1Qual0176x0144</t>
  </si>
  <si>
    <t>testMpeg2Other1Perf0176x0144</t>
  </si>
  <si>
    <t>testMpeg2Other2Qual0176x0144</t>
  </si>
  <si>
    <t>testMpeg2Other2Perf0176x0144</t>
  </si>
  <si>
    <t>testMpeg2Other3Qual0176x0144</t>
  </si>
  <si>
    <t>testMpeg2Other3Perf0176x0144</t>
  </si>
  <si>
    <t>testMpeg2Count0352x0288</t>
  </si>
  <si>
    <t>testMpeg2Goog0Qual0352x0288</t>
  </si>
  <si>
    <t>testMpeg2Goog0Perf0352x0288</t>
  </si>
  <si>
    <t>testMpeg2Goog1Qual0352x0288</t>
  </si>
  <si>
    <t>testMpeg2Goog1Perf0352x0288</t>
  </si>
  <si>
    <t>testMpeg2Other0Qual0352x0288</t>
  </si>
  <si>
    <t>testMpeg2Other0Perf0352x0288</t>
  </si>
  <si>
    <t>testMpeg2Other1Qual0352x0288</t>
  </si>
  <si>
    <t>testMpeg2Other1Perf0352x0288</t>
  </si>
  <si>
    <t>testMpeg2Other2Qual0352x0288</t>
  </si>
  <si>
    <t>testMpeg2Other2Perf0352x0288</t>
  </si>
  <si>
    <t>testMpeg2Other3Qual0352x0288</t>
  </si>
  <si>
    <t>testMpeg2Other3Perf0352x0288</t>
  </si>
  <si>
    <t>testMpeg2Count0640x0480</t>
  </si>
  <si>
    <t>testMpeg2Goog0Qual0640x0480</t>
  </si>
  <si>
    <t>testMpeg2Goog0Perf0640x0480</t>
  </si>
  <si>
    <t>testMpeg2Goog1Qual0640x0480</t>
  </si>
  <si>
    <t>testMpeg2Goog1Perf0640x0480</t>
  </si>
  <si>
    <t>testMpeg2Other0Qual0640x0480</t>
  </si>
  <si>
    <t>testMpeg2Other0Perf0640x0480</t>
  </si>
  <si>
    <t>testMpeg2Other1Qual0640x0480</t>
  </si>
  <si>
    <t>testMpeg2Other1Perf0640x0480</t>
  </si>
  <si>
    <t>testMpeg2Other2Qual0640x0480</t>
  </si>
  <si>
    <t>testMpeg2Other2Perf0640x0480</t>
  </si>
  <si>
    <t>testMpeg2Other3Qual0640x0480</t>
  </si>
  <si>
    <t>testMpeg2Other3Perf0640x0480</t>
  </si>
  <si>
    <t>testMpeg2Count1280x0720</t>
  </si>
  <si>
    <t>testMpeg2Goog0Qual1280x0720</t>
  </si>
  <si>
    <t>testMpeg2Goog0Perf1280x0720</t>
  </si>
  <si>
    <t>testMpeg2Goog1Qual1280x0720</t>
  </si>
  <si>
    <t>testMpeg2Goog1Perf1280x0720</t>
  </si>
  <si>
    <t>testMpeg2Other0Qual1280x0720</t>
  </si>
  <si>
    <t>testMpeg2Other0Perf1280x0720</t>
  </si>
  <si>
    <t>testMpeg2Other1Qual1280x0720</t>
  </si>
  <si>
    <t>testMpeg2Other1Perf1280x0720</t>
  </si>
  <si>
    <t>testMpeg2Other2Qual1280x0720</t>
  </si>
  <si>
    <t>testMpeg2Other2Perf1280x0720</t>
  </si>
  <si>
    <t>testMpeg2Other3Qual1280x0720</t>
  </si>
  <si>
    <t>testMpeg2Other3Perf1280x0720</t>
  </si>
  <si>
    <t>testMpeg2Count1920x1080</t>
  </si>
  <si>
    <t>testMpeg2Goog0Qual1920x1080</t>
  </si>
  <si>
    <t>testMpeg2Goog0Perf1920x1080</t>
  </si>
  <si>
    <t>testMpeg2Goog1Qual1920x1080</t>
  </si>
  <si>
    <t>testMpeg2Goog1Perf1920x1080</t>
  </si>
  <si>
    <t>testMpeg2Other0Qual1920x1080</t>
  </si>
  <si>
    <t>testMpeg2Other0Perf1920x1080</t>
  </si>
  <si>
    <t>testMpeg2Other1Qual1920x1080</t>
  </si>
  <si>
    <t>testMpeg2Other1Perf1920x1080</t>
  </si>
  <si>
    <t>testMpeg2Other2Qual1920x1080</t>
  </si>
  <si>
    <t>testMpeg2Other2Perf1920x1080</t>
  </si>
  <si>
    <t>testMpeg2Other3Qual1920x1080</t>
  </si>
  <si>
    <t>testMpeg2Other3Perf1920x1080</t>
  </si>
  <si>
    <t>testMpeg4Goog0Qual0176x0144</t>
  </si>
  <si>
    <t>testMpeg4Goog1Qual0176x0144</t>
  </si>
  <si>
    <t>testMpeg4Other0Qual0176x0144</t>
  </si>
  <si>
    <t>testMpeg4Other1Qual0176x0144</t>
  </si>
  <si>
    <t>testMpeg4Other2Qual0176x0144</t>
  </si>
  <si>
    <t>testMpeg4Other3Qual0176x0144</t>
  </si>
  <si>
    <t>testMpeg4Count0352x0288</t>
  </si>
  <si>
    <t>testMpeg4Goog0Qual0352x0288</t>
  </si>
  <si>
    <t>testMpeg4Goog0Perf0352x0288</t>
  </si>
  <si>
    <t>testMpeg4Goog1Qual0352x0288</t>
  </si>
  <si>
    <t>testMpeg4Goog1Perf0352x0288</t>
  </si>
  <si>
    <t>testMpeg4Other0Qual0352x0288</t>
  </si>
  <si>
    <t>testMpeg4Other0Perf0352x0288</t>
  </si>
  <si>
    <t>testMpeg4Other1Qual0352x0288</t>
  </si>
  <si>
    <t>testMpeg4Other1Perf0352x0288</t>
  </si>
  <si>
    <t>testMpeg4Other2Qual0352x0288</t>
  </si>
  <si>
    <t>testMpeg4Other2Perf0352x0288</t>
  </si>
  <si>
    <t>testMpeg4Other3Qual0352x0288</t>
  </si>
  <si>
    <t>testMpeg4Other3Perf0352x0288</t>
  </si>
  <si>
    <t>testMpeg4Count0640x0480</t>
  </si>
  <si>
    <t>testMpeg4Goog0Qual0640x0480</t>
  </si>
  <si>
    <t>testMpeg4Goog0Perf0640x0480</t>
  </si>
  <si>
    <t>testMpeg4Goog1Qual0640x0480</t>
  </si>
  <si>
    <t>testMpeg4Goog1Perf0640x0480</t>
  </si>
  <si>
    <t>testMpeg4Other0Qual0640x0480</t>
  </si>
  <si>
    <t>testMpeg4Other0Perf0640x0480</t>
  </si>
  <si>
    <t>testMpeg4Other1Qual0640x0480</t>
  </si>
  <si>
    <t>testMpeg4Other1Perf0640x0480</t>
  </si>
  <si>
    <t>testMpeg4Other2Qual0640x0480</t>
  </si>
  <si>
    <t>testMpeg4Other2Perf0640x0480</t>
  </si>
  <si>
    <t>testMpeg4Other3Qual0640x0480</t>
  </si>
  <si>
    <t>testMpeg4Other3Perf0640x0480</t>
  </si>
  <si>
    <t>testMpeg4Goog0Qual1280x0720</t>
  </si>
  <si>
    <t>testMpeg4Goog1Qual1280x0720</t>
  </si>
  <si>
    <t>testMpeg4Other0Qual1280x0720</t>
  </si>
  <si>
    <t>testMpeg4Other1Qual1280x0720</t>
  </si>
  <si>
    <t>testMpeg4Other2Qual1280x0720</t>
  </si>
  <si>
    <t>testMpeg4Other3Qual1280x0720</t>
  </si>
  <si>
    <t>testVp8Goog0Qual0320x0180</t>
  </si>
  <si>
    <t>testVp8Goog1Qual0320x0180</t>
  </si>
  <si>
    <t>testVp8Other0Qual0320x0180</t>
  </si>
  <si>
    <t>testVp8Other1Qual0320x0180</t>
  </si>
  <si>
    <t>testVp8Goog0Qual0640x0360</t>
  </si>
  <si>
    <t>testVp8Goog1Qual0640x0360</t>
  </si>
  <si>
    <t>testVp8Other0Qual0640x0360</t>
  </si>
  <si>
    <t>testVp8Other1Qual0640x0360</t>
  </si>
  <si>
    <t>testVp8Goog0Qual1280x0720</t>
  </si>
  <si>
    <t>testVp8Goog1Qual1280x0720</t>
  </si>
  <si>
    <t>testVp8Other0Qual1280x0720</t>
  </si>
  <si>
    <t>testVp8Other1Qual1280x0720</t>
  </si>
  <si>
    <t>testVp8Goog0Qual1920x1080</t>
  </si>
  <si>
    <t>testVp8Goog1Qual1920x1080</t>
  </si>
  <si>
    <t>testVp8Other0Qual1920x1080</t>
  </si>
  <si>
    <t>testVp8Other1Qual1920x1080</t>
  </si>
  <si>
    <t>testVp9Goog0Qual0320x0180</t>
  </si>
  <si>
    <t>testVp9Goog1Qual0320x0180</t>
  </si>
  <si>
    <t>testVp9Other0Qual0320x0180</t>
  </si>
  <si>
    <t>testVp9Other1Qual0320x0180</t>
  </si>
  <si>
    <t>testVp9Other2Qual0320x0180</t>
  </si>
  <si>
    <t>testVp9Other3Qual0320x0180</t>
  </si>
  <si>
    <t>testVp9Goog0Qual0640x0360</t>
  </si>
  <si>
    <t>testVp9Goog1Qual0640x0360</t>
  </si>
  <si>
    <t>testVp9Other0Qual0640x0360</t>
  </si>
  <si>
    <t>testVp9Other1Qual0640x0360</t>
  </si>
  <si>
    <t>testVp9Other2Qual0640x0360</t>
  </si>
  <si>
    <t>testVp9Other3Qual0640x0360</t>
  </si>
  <si>
    <t>testVp9Goog0Qual1280x0720</t>
  </si>
  <si>
    <t>testVp9Goog1Qual1280x0720</t>
  </si>
  <si>
    <t>testVp9Other0Qual1280x0720</t>
  </si>
  <si>
    <t>testVp9Other1Qual1280x0720</t>
  </si>
  <si>
    <t>testVp9Other2Qual1280x0720</t>
  </si>
  <si>
    <t>testVp9Other3Qual1280x0720</t>
  </si>
  <si>
    <t>testVp9Goog0Qual1920x1080</t>
  </si>
  <si>
    <t>testVp9Goog1Qual1920x1080</t>
  </si>
  <si>
    <t>testVp9Other0Qual1920x1080</t>
  </si>
  <si>
    <t>testVp9Other1Qual1920x1080</t>
  </si>
  <si>
    <t>testVp9Other2Qual1920x1080</t>
  </si>
  <si>
    <t>testVp9Other3Qual1920x1080</t>
  </si>
  <si>
    <t>testVp9Goog0Qual3840x2160</t>
  </si>
  <si>
    <t>testVp9Goog1Qual3840x2160</t>
  </si>
  <si>
    <t>testVp9Other0Qual3840x2160</t>
  </si>
  <si>
    <t>testVp9Other1Qual3840x2160</t>
  </si>
  <si>
    <t>testVp9Other2Qual3840x2160</t>
  </si>
  <si>
    <t>testVp9Other3Qual3840x2160</t>
  </si>
  <si>
    <t>testConstructs</t>
  </si>
  <si>
    <t>testInvalidRadians</t>
  </si>
  <si>
    <t>testInvalidErrorRadians</t>
  </si>
  <si>
    <t>testInvalidConfidence</t>
  </si>
  <si>
    <t>testInvalidRssi</t>
  </si>
  <si>
    <t>testFromBytes_Short</t>
  </si>
  <si>
    <t>testFromBytes_Extended</t>
  </si>
  <si>
    <t>testParcel_Short</t>
  </si>
  <si>
    <t>testParcel_Extended</t>
  </si>
  <si>
    <t>testRegisterServiceWrappers_failsWhenCalledOutsideOfSystemServiceRegistry</t>
  </si>
  <si>
    <t>testGetSpecificationInfo</t>
  </si>
  <si>
    <t>testGetSpecificationInfoWithChipId</t>
  </si>
  <si>
    <t>testGetChipInfos</t>
  </si>
  <si>
    <t>testGetSpecificationInfoWithInvalidChipId</t>
  </si>
  <si>
    <t>testGetSpecificationInfoWithoutUwbPrivileged</t>
  </si>
  <si>
    <t>testGetSpecificationInfoWithChipIdWithoutUwbPrivileged</t>
  </si>
  <si>
    <t>testElapsedRealtimeResolutionNanos</t>
  </si>
  <si>
    <t>testElapsedRealtimeResolutionNanosWithChipId</t>
  </si>
  <si>
    <t>testElapsedRealtimeResolutionNanosWithInvalidChipId</t>
  </si>
  <si>
    <t>testElapsedRealtimeResolutionNanosWithoutUwbPrivileged</t>
  </si>
  <si>
    <t>testElapsedRealtimeResolutionNanosWithChipIdWithoutUwbPrivileged</t>
  </si>
  <si>
    <t>testAddServiceProfileWithoutUwbPrivileged</t>
  </si>
  <si>
    <t>testRemoveServiceProfileWithoutUwbPrivileged</t>
  </si>
  <si>
    <t>testGetAllServiceProfilesWithoutUwbPrivileged</t>
  </si>
  <si>
    <t>testGetAdfProvisioningAuthoritiesWithoutUwbPrivileged</t>
  </si>
  <si>
    <t>testGetAdfCertificateInfoWithoutUwbPrivileged</t>
  </si>
  <si>
    <t>testGetChipInfosWithoutUwbPrivileged</t>
  </si>
  <si>
    <t>testSendVendorUciWithoutUwbPrivileged</t>
  </si>
  <si>
    <t>testProvisionProfileAdfByScriptWithoutUwbPrivileged</t>
  </si>
  <si>
    <t>testRemoveProfileAdfWithoutUwbPrivileged</t>
  </si>
  <si>
    <t>testRegisterVendorUciCallbackWithoutUwbPrivileged</t>
  </si>
  <si>
    <t>testUnregisterVendorUciCallbackWithoutUwbPrivileged</t>
  </si>
  <si>
    <t>testInvalidCallbackUnregisterVendorUciCallback</t>
  </si>
  <si>
    <t>testOpenRangingSessionWithInvalidChipId</t>
  </si>
  <si>
    <t>testOpenRangingSessionWithChipIdWithBadParams</t>
  </si>
  <si>
    <t>testOpenRangingSessionWithInvalidChipIdWithBadParams</t>
  </si>
  <si>
    <t>testOpenRangingSessionWithoutUwbPrivileged</t>
  </si>
  <si>
    <t>testOpenRangingSessionWithChipIdWithoutUwbPrivileged</t>
  </si>
  <si>
    <t>testOpenRangingSessionWithoutUwbRanging</t>
  </si>
  <si>
    <t>testOpenRangingSessionWithChipIdWithoutUwbRanging</t>
  </si>
  <si>
    <t>testOpenRangingSessionWithoutUwbRangingInNextAttributeSource</t>
  </si>
  <si>
    <t>testOpenRangingSessionWithChipIdWithoutUwbRangingInNextAttributeSource</t>
  </si>
  <si>
    <t>testFiraRangingSession</t>
  </si>
  <si>
    <t>testUwbStateToggle</t>
  </si>
  <si>
    <t>testSendVendorUciMessage</t>
  </si>
  <si>
    <t>testSendVendorUciMessageWithFragmentedPackets</t>
  </si>
  <si>
    <t>testSetApplicationHidden_systemPackage</t>
  </si>
  <si>
    <t>testSetApplicationHidden_nonSystemPackage</t>
  </si>
  <si>
    <t>testSetApplicationHidden_nonSystemPackageStackTrace</t>
  </si>
  <si>
    <t>testSetAutoTimeRequired</t>
  </si>
  <si>
    <t>testSetAutoTimeEnabled</t>
  </si>
  <si>
    <t>testSetAutoTimeZoneEnabled</t>
  </si>
  <si>
    <t>testSetTime</t>
  </si>
  <si>
    <t>testSetTime_failWhenAutoTimeEnabled</t>
  </si>
  <si>
    <t>testSetTimeZone_failIfAutoTimeZoneEnabled</t>
  </si>
  <si>
    <t>testCannotCallAutoTimeMethodsOnParentProfile</t>
  </si>
  <si>
    <t>getPasswordComplexity_none</t>
  </si>
  <si>
    <t>getPasswordComplexity_alphanumeric6_high</t>
  </si>
  <si>
    <t>getPasswordComplexity_alphanumeric5_medium</t>
  </si>
  <si>
    <t>getPasswordComplexity_alphanumeric4_medium</t>
  </si>
  <si>
    <t>getPasswordComplexity_alphabetic6_high</t>
  </si>
  <si>
    <t>getPasswordComplexity_alphabetic5_medium</t>
  </si>
  <si>
    <t>getPasswordComplexity_alphabetic4_medium</t>
  </si>
  <si>
    <t>getPasswordComplexity_numericComplex8_high</t>
  </si>
  <si>
    <t>getPasswordComplexity_numericComplex7_medium</t>
  </si>
  <si>
    <t>getPasswordComplexity_numericComplex4_medium</t>
  </si>
  <si>
    <t>getPasswordComplexity_numeric16_low</t>
  </si>
  <si>
    <t>getPasswordComplexity_numeric4_low</t>
  </si>
  <si>
    <t>getPasswordComplexity_pattern9_low</t>
  </si>
  <si>
    <t>getPasswordComplexity_pattern4_low</t>
  </si>
  <si>
    <t>testApplicationHidden</t>
  </si>
  <si>
    <t>testApplicationHidden_cannotHidePolicyExemptApps</t>
  </si>
  <si>
    <t>testNoHiddenActivityInProfile</t>
  </si>
  <si>
    <t>testHasLauncherActivityAppHasAppDetailsActivityInjected</t>
  </si>
  <si>
    <t>testGetSetSyntheticAppDetailsActivityEnabled</t>
  </si>
  <si>
    <t>testApplicationHiddenParent</t>
  </si>
  <si>
    <t>testAddCrossProfileIntentFilter_primary</t>
  </si>
  <si>
    <t>testAddCrossProfileIntentFilter_all</t>
  </si>
  <si>
    <t>testAddCrossProfileIntentFilter_work</t>
  </si>
  <si>
    <t>testAddCrossProfileIntentFilter_managed</t>
  </si>
  <si>
    <t>testCrossProfileIntentFilters</t>
  </si>
  <si>
    <t>testPermissionGrantStateDenied_mixedPolicies</t>
  </si>
  <si>
    <t>testPermissionGrantStateGranted_mixedPolicies</t>
  </si>
  <si>
    <t>testMicrophoneMute</t>
  </si>
  <si>
    <t>testMicrophoneMuteIntent</t>
  </si>
  <si>
    <t>testSpeakerphoneIntent</t>
  </si>
  <si>
    <t>testSoundEffects</t>
  </si>
  <si>
    <t>testCheckingZenModeBlockDoesNotRequireNotificationPolicyAccess</t>
  </si>
  <si>
    <t>testMusicActive</t>
  </si>
  <si>
    <t>testAccessMode</t>
  </si>
  <si>
    <t>testSetSurroundFormatEnabled</t>
  </si>
  <si>
    <t>testSetEncodedSurroundMode</t>
  </si>
  <si>
    <t>testRouting</t>
  </si>
  <si>
    <t>testVibrateNotification</t>
  </si>
  <si>
    <t>testVibrateRinger</t>
  </si>
  <si>
    <t>testAccessRingMode</t>
  </si>
  <si>
    <t>testSetRingerModePolicyAccess</t>
  </si>
  <si>
    <t>testVolume</t>
  </si>
  <si>
    <t>testAccessibilityVolume</t>
  </si>
  <si>
    <t>testSetVoiceCallVolumeToZeroPermission</t>
  </si>
  <si>
    <t>testMuteFixedVolume</t>
  </si>
  <si>
    <t>testMuteDndUnaffectedStreams</t>
  </si>
  <si>
    <t>testSetInvalidRingerMode</t>
  </si>
  <si>
    <t>testAdjustVolumeInTotalSilenceMode</t>
  </si>
  <si>
    <t>testAdjustVolumeInAlarmsOnlyMode</t>
  </si>
  <si>
    <t>testSetStreamVolumeInTotalSilenceMode</t>
  </si>
  <si>
    <t>testSetStreamVolumeInAlarmsOnlyMode</t>
  </si>
  <si>
    <t>testSetStreamVolumeInPriorityOnlyMode</t>
  </si>
  <si>
    <t>testAdjustVolumeInPriorityOnly</t>
  </si>
  <si>
    <t>testPriorityOnlyMuteAll</t>
  </si>
  <si>
    <t>testPriorityOnlyMediaAllowed</t>
  </si>
  <si>
    <t>testPriorityOnlySystemAllowed</t>
  </si>
  <si>
    <t>testPriorityOnlySystemDisallowedWithRingerMuted</t>
  </si>
  <si>
    <t>testPriorityOnlyAlarmsAllowed</t>
  </si>
  <si>
    <t>testPriorityOnlyRingerAllowed</t>
  </si>
  <si>
    <t>testPriorityOnlyChannelsCanBypassDnd</t>
  </si>
  <si>
    <t>testAdjustVolumeWithIllegalDirection</t>
  </si>
  <si>
    <t>testGetStreamVolumeDbWithIllegalArguments</t>
  </si>
  <si>
    <t>testGetStreamVolumeDb</t>
  </si>
  <si>
    <t>testAdjustSuggestedStreamVolumeWithIllegalArguments</t>
  </si>
  <si>
    <t>testGetMicrophones</t>
  </si>
  <si>
    <t>testIsHapticPlaybackSupported</t>
  </si>
  <si>
    <t>testGetAudioHwSyncForSession</t>
  </si>
  <si>
    <t>testAllowedCapturePolicy</t>
  </si>
  <si>
    <t>testIsHdmiSystemAudidoSupported</t>
  </si>
  <si>
    <t>testIsBluetoothScoAvailableOffCall</t>
  </si>
  <si>
    <t>testStartStopBluetoothSco</t>
  </si>
  <si>
    <t>testStartStopBluetoothScoVirtualCall</t>
  </si>
  <si>
    <t>testGetAdditionalOutputDeviceDelay</t>
  </si>
  <si>
    <t>testPreferredDevicesForStrategy</t>
  </si>
  <si>
    <t>testPreferredDeviceForCapturePreset</t>
  </si>
  <si>
    <t>testGetDevices</t>
  </si>
  <si>
    <t>kernelModule</t>
  </si>
  <si>
    <t>testVibrator</t>
  </si>
  <si>
    <t>https://github.com/aosp/cts/commit/7ca56dfb7d78d0050a3da3d87c040ca7910b3344</t>
  </si>
  <si>
    <t>duplicate commit</t>
  </si>
  <si>
    <t>is this a real test?</t>
  </si>
  <si>
    <t>duplicate commit?? - row 616</t>
  </si>
  <si>
    <t>duplicate commit - check the previous commit</t>
  </si>
  <si>
    <t>duplicate commit?? - check the previous commit</t>
  </si>
  <si>
    <t>not a test</t>
  </si>
  <si>
    <t>missing a test file in this commit</t>
  </si>
  <si>
    <t>- missing a test file in this commit. Also, duplicate commit</t>
  </si>
  <si>
    <t>couldn't find the test</t>
  </si>
  <si>
    <t>private class</t>
  </si>
  <si>
    <t>missing test??</t>
  </si>
  <si>
    <t>missing tests??</t>
  </si>
  <si>
    <t>private test</t>
  </si>
  <si>
    <t>problem with our tool??</t>
  </si>
  <si>
    <t>renamed to deleted tests</t>
  </si>
  <si>
    <t>testGetProviders_Criteria</t>
  </si>
  <si>
    <t>missing test above this test is actually removed</t>
  </si>
  <si>
    <t>issue in tool</t>
  </si>
  <si>
    <t>issue with the tool??</t>
  </si>
  <si>
    <t>duplicate commit??/missing tests</t>
  </si>
  <si>
    <t>issue with the tool</t>
  </si>
  <si>
    <t>duplicate commit ?</t>
  </si>
  <si>
    <t>setUserControlDisabledPackages_verifyMetricIsLogged</t>
  </si>
  <si>
    <t>duplicate??</t>
  </si>
  <si>
    <t>duplicate???</t>
  </si>
  <si>
    <t>issue with our tool??</t>
  </si>
  <si>
    <t>duplicate??/missing tests</t>
  </si>
  <si>
    <t>all lines are deleted</t>
  </si>
  <si>
    <t>remaned and refactored along with varialbe</t>
  </si>
  <si>
    <t>looks like refactor</t>
  </si>
  <si>
    <t>include are refactored and excludes are deleted</t>
  </si>
  <si>
    <t>issue in tool?</t>
  </si>
  <si>
    <t>testSetStroke is refactored but this one is deleted</t>
  </si>
  <si>
    <t>empty test; commented body</t>
  </si>
  <si>
    <t>documentInfoNothingSet</t>
  </si>
  <si>
    <t>documentInfoUnknownPageCount</t>
  </si>
  <si>
    <t>documentInfoZeroPageCount</t>
  </si>
  <si>
    <t>documentInfoOnePageCount</t>
  </si>
  <si>
    <t>documentInfoThreePageCount</t>
  </si>
  <si>
    <t>documentInfoContentTypePhoto</t>
  </si>
  <si>
    <t>documentInfoContentTypeUnknown</t>
  </si>
  <si>
    <t>documentInfoContentTypeNonDefined</t>
  </si>
  <si>
    <t>replaced with empty test</t>
  </si>
  <si>
    <t>others tests in file are refactored but this one is deleted</t>
  </si>
  <si>
    <t>one test is used instead of two</t>
  </si>
  <si>
    <t>??</t>
  </si>
  <si>
    <t>is this testcase?</t>
  </si>
  <si>
    <t>one is deleted</t>
  </si>
  <si>
    <t>refactored with kotlin</t>
  </si>
  <si>
    <t>is test?</t>
  </si>
  <si>
    <t xml:space="preserve">isHdmiCecFeatureSupported moved into before of HdmiCecUtils.java </t>
  </si>
  <si>
    <t>testFeatureTrue,
 testFeatureFalse</t>
  </si>
  <si>
    <t>modified as above</t>
  </si>
  <si>
    <t>written in kotlin</t>
  </si>
  <si>
    <t>replaced with test in kotlin</t>
  </si>
  <si>
    <t>Couldn't find the tests in the commit</t>
  </si>
  <si>
    <t>split into multiple individual tests</t>
  </si>
  <si>
    <t xml:space="preserve">refactored by launchBaseActivity_withThemeBaseLt_baseLtApplied and 
helper assertActivityLaunchedAndThemeApplied </t>
  </si>
  <si>
    <t>one is refactored and one is deleted</t>
  </si>
  <si>
    <t>private</t>
  </si>
  <si>
    <t>testParcelable</t>
  </si>
  <si>
    <t>one test is just calling another</t>
  </si>
  <si>
    <t>getActualDefaultRingtoneUri_ringtone_matchesSettingsProviderRingtone, 
getActualDefaultRingtoneUri_notification_matchesSettingsProviderNotificationSound,
getActualDefaultRingtoneUri_alarm_matchesSettingsProviderAlarmAlert</t>
  </si>
  <si>
    <t>exists_nonExistingPackage_returnsFalse</t>
  </si>
  <si>
    <t>exists_existingPackage_returnsTrue</t>
  </si>
  <si>
    <t>installExisting_alreadyInstalled_installsInUser</t>
  </si>
  <si>
    <t>getNearbyNotificationStreamingPolicy_defaultToSameManagedAccountOnly</t>
  </si>
  <si>
    <t>getNearbyAppStreamingPolicy_defaultToSameManagedAccountOnly</t>
  </si>
  <si>
    <t>kotlin</t>
  </si>
  <si>
    <t>runAudioCaptureTest helper function</t>
  </si>
  <si>
    <t>runAudioInjectionTest helper function</t>
  </si>
  <si>
    <t>moved to kotlin</t>
  </si>
  <si>
    <t>isApplicationHidden_systemApp_isHidden_returnsTrue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</si>
</sst>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sues.apache.org/jira/browse/LANG-607%20StringUtils%20methods%20do%20not%20handle%20Unicode%202.0+%20supplementary%20characters%20correctly.&#xA;&#xA;git-svn-id:%20https://svn.apache.org/repos/asf/commons/proper/lang/trunk@923525%2013f79535-47bb-0310-9956-ffa450edef6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aosp/cts/commit/7ca56dfb7d78d0050a3da3d87c040ca7910b3344" TargetMode="External"/></Relationships>
</file>

<file path=xl/worksheets/sheet1.xml><?xml version="1.0" encoding="utf-8"?>
<worksheet xmlns="http://schemas.openxmlformats.org/spreadsheetml/2006/main" xmlns:r="http://schemas.openxmlformats.org/officeDocument/2006/relationships">
  <dimension ref="A1:N971"/>
  <sheetViews>
    <sheetView tabSelected="1"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B2">
        <f>HYPERLINK("https://github.com/apache/commons-lang/commit/e950d9b37e97f8573f0655520b88900e8acb2869", "e950d9b37e97f8573f0655520b88900e8acb2869")</f>
        <v>0</v>
      </c>
      <c r="C2">
        <f>HYPERLINK("https://github.com/apache/commons-lang/commit/742a42dbf347f6244dd37a7edee72ec2f8ca977f", "742a42dbf347f6244dd37a7edee72ec2f8ca977f")</f>
        <v>0</v>
      </c>
      <c r="D2" t="s">
        <v>149</v>
      </c>
      <c r="E2" t="s">
        <v>170</v>
      </c>
      <c r="F2" t="s">
        <v>305</v>
      </c>
      <c r="G2" t="s">
        <v>446</v>
      </c>
      <c r="H2" t="s">
        <v>569</v>
      </c>
      <c r="I2" t="s">
        <v>1357</v>
      </c>
      <c r="J2" t="s">
        <v>1357</v>
      </c>
      <c r="K2" t="s">
        <v>1357</v>
      </c>
      <c r="L2" t="s">
        <v>1357</v>
      </c>
      <c r="M2" t="s">
        <v>1360</v>
      </c>
    </row>
    <row r="3" spans="1:14">
      <c r="A3" t="s">
        <v>15</v>
      </c>
      <c r="B3">
        <f>HYPERLINK("https://github.com/apache/commons-lang/commit/3e5b0bd6a09fc0234b1e5a59d2ad4a5527b272fc", "3e5b0bd6a09fc0234b1e5a59d2ad4a5527b272fc")</f>
        <v>0</v>
      </c>
      <c r="C3">
        <f>HYPERLINK("https://github.com/apache/commons-lang/commit/da494749636b64fd60aae0bc60d07b6539169ada", "da494749636b64fd60aae0bc60d07b6539169ada")</f>
        <v>0</v>
      </c>
      <c r="D3" t="s">
        <v>150</v>
      </c>
      <c r="E3" t="s">
        <v>171</v>
      </c>
      <c r="F3" t="s">
        <v>306</v>
      </c>
      <c r="G3" t="s">
        <v>447</v>
      </c>
      <c r="H3" t="s">
        <v>570</v>
      </c>
      <c r="I3" t="s">
        <v>1358</v>
      </c>
      <c r="J3" t="s">
        <v>1358</v>
      </c>
      <c r="K3" t="s">
        <v>1358</v>
      </c>
      <c r="L3" t="s">
        <v>1358</v>
      </c>
    </row>
    <row r="4" spans="1:14">
      <c r="H4" t="s">
        <v>571</v>
      </c>
      <c r="I4" t="s">
        <v>1358</v>
      </c>
      <c r="J4" t="s">
        <v>1358</v>
      </c>
      <c r="K4" t="s">
        <v>1358</v>
      </c>
      <c r="L4" t="s">
        <v>1358</v>
      </c>
    </row>
    <row r="5" spans="1:14">
      <c r="H5" t="s">
        <v>572</v>
      </c>
      <c r="I5" t="s">
        <v>1358</v>
      </c>
      <c r="J5" t="s">
        <v>1358</v>
      </c>
      <c r="K5" t="s">
        <v>1358</v>
      </c>
      <c r="L5" t="s">
        <v>1358</v>
      </c>
    </row>
    <row r="6" spans="1:14">
      <c r="H6" t="s">
        <v>573</v>
      </c>
      <c r="I6" t="s">
        <v>1358</v>
      </c>
      <c r="J6" t="s">
        <v>1358</v>
      </c>
      <c r="K6" t="s">
        <v>1358</v>
      </c>
      <c r="L6" t="s">
        <v>1358</v>
      </c>
    </row>
    <row r="7" spans="1:14">
      <c r="H7" t="s">
        <v>574</v>
      </c>
      <c r="I7" t="s">
        <v>1358</v>
      </c>
      <c r="J7" t="s">
        <v>1358</v>
      </c>
      <c r="K7" t="s">
        <v>1358</v>
      </c>
      <c r="L7" t="s">
        <v>1358</v>
      </c>
    </row>
    <row r="8" spans="1:14">
      <c r="H8" t="s">
        <v>575</v>
      </c>
      <c r="I8" t="s">
        <v>1358</v>
      </c>
      <c r="J8" t="s">
        <v>1358</v>
      </c>
      <c r="K8" t="s">
        <v>1358</v>
      </c>
      <c r="L8" t="s">
        <v>1358</v>
      </c>
    </row>
    <row r="9" spans="1:14">
      <c r="H9" t="s">
        <v>576</v>
      </c>
      <c r="I9" t="s">
        <v>1358</v>
      </c>
      <c r="J9" t="s">
        <v>1358</v>
      </c>
      <c r="K9" t="s">
        <v>1358</v>
      </c>
      <c r="L9" t="s">
        <v>1358</v>
      </c>
    </row>
    <row r="10" spans="1:14">
      <c r="H10" t="s">
        <v>577</v>
      </c>
      <c r="I10" t="s">
        <v>1358</v>
      </c>
      <c r="J10" t="s">
        <v>1358</v>
      </c>
      <c r="K10" t="s">
        <v>1358</v>
      </c>
      <c r="L10" t="s">
        <v>1358</v>
      </c>
    </row>
    <row r="11" spans="1:14">
      <c r="H11" t="s">
        <v>578</v>
      </c>
      <c r="I11" t="s">
        <v>1358</v>
      </c>
      <c r="J11" t="s">
        <v>1358</v>
      </c>
      <c r="K11" t="s">
        <v>1358</v>
      </c>
      <c r="L11" t="s">
        <v>1358</v>
      </c>
    </row>
    <row r="12" spans="1:14">
      <c r="H12" t="s">
        <v>579</v>
      </c>
      <c r="I12" t="s">
        <v>1358</v>
      </c>
      <c r="J12" t="s">
        <v>1358</v>
      </c>
      <c r="K12" t="s">
        <v>1358</v>
      </c>
      <c r="L12" t="s">
        <v>1358</v>
      </c>
    </row>
    <row r="13" spans="1:14">
      <c r="H13" t="s">
        <v>580</v>
      </c>
      <c r="I13" t="s">
        <v>1358</v>
      </c>
      <c r="J13" t="s">
        <v>1358</v>
      </c>
      <c r="K13" t="s">
        <v>1358</v>
      </c>
      <c r="L13" t="s">
        <v>1358</v>
      </c>
    </row>
    <row r="14" spans="1:14">
      <c r="H14" t="s">
        <v>581</v>
      </c>
      <c r="I14" t="s">
        <v>1358</v>
      </c>
      <c r="J14" t="s">
        <v>1358</v>
      </c>
      <c r="K14" t="s">
        <v>1358</v>
      </c>
      <c r="L14" t="s">
        <v>1358</v>
      </c>
    </row>
    <row r="15" spans="1:14">
      <c r="H15" t="s">
        <v>582</v>
      </c>
      <c r="I15" t="s">
        <v>1358</v>
      </c>
      <c r="J15" t="s">
        <v>1358</v>
      </c>
      <c r="K15" t="s">
        <v>1358</v>
      </c>
      <c r="L15" t="s">
        <v>1358</v>
      </c>
    </row>
    <row r="16" spans="1:14">
      <c r="H16" t="s">
        <v>583</v>
      </c>
      <c r="I16" t="s">
        <v>1358</v>
      </c>
      <c r="J16" t="s">
        <v>1358</v>
      </c>
      <c r="K16" t="s">
        <v>1358</v>
      </c>
      <c r="L16" t="s">
        <v>1358</v>
      </c>
    </row>
    <row r="17" spans="1:14">
      <c r="H17" t="s">
        <v>584</v>
      </c>
      <c r="I17" t="s">
        <v>1358</v>
      </c>
      <c r="J17" t="s">
        <v>1358</v>
      </c>
      <c r="K17" t="s">
        <v>1358</v>
      </c>
      <c r="L17" t="s">
        <v>1358</v>
      </c>
    </row>
    <row r="18" spans="1:14">
      <c r="H18" t="s">
        <v>585</v>
      </c>
      <c r="I18" t="s">
        <v>1358</v>
      </c>
      <c r="J18" t="s">
        <v>1358</v>
      </c>
      <c r="K18" t="s">
        <v>1358</v>
      </c>
      <c r="L18" t="s">
        <v>1358</v>
      </c>
    </row>
    <row r="19" spans="1:14">
      <c r="H19" t="s">
        <v>586</v>
      </c>
      <c r="I19" t="s">
        <v>1358</v>
      </c>
      <c r="J19" t="s">
        <v>1358</v>
      </c>
      <c r="K19" t="s">
        <v>1358</v>
      </c>
      <c r="L19" t="s">
        <v>1358</v>
      </c>
    </row>
    <row r="20" spans="1:14">
      <c r="H20" t="s">
        <v>587</v>
      </c>
      <c r="I20" t="s">
        <v>1358</v>
      </c>
      <c r="J20" t="s">
        <v>1358</v>
      </c>
      <c r="K20" t="s">
        <v>1358</v>
      </c>
      <c r="L20" t="s">
        <v>1358</v>
      </c>
    </row>
    <row r="21" spans="1:14">
      <c r="A21" t="s">
        <v>16</v>
      </c>
      <c r="B21">
        <f>HYPERLINK("https://github.com/apache/commons-lang/commit/dee1c299751cfaa830ba28ab9fb3015e9e1eb28f", "dee1c299751cfaa830ba28ab9fb3015e9e1eb28f")</f>
        <v>0</v>
      </c>
      <c r="C21">
        <f>HYPERLINK("https://github.com/apache/commons-lang/commit/5cab6528eae28321fcd7bea44e83bd46e91fac63", "5cab6528eae28321fcd7bea44e83bd46e91fac63")</f>
        <v>0</v>
      </c>
      <c r="D21" t="s">
        <v>150</v>
      </c>
      <c r="E21" t="s">
        <v>172</v>
      </c>
      <c r="F21" t="s">
        <v>307</v>
      </c>
      <c r="G21" t="s">
        <v>448</v>
      </c>
      <c r="H21" t="s">
        <v>588</v>
      </c>
      <c r="I21" t="s">
        <v>1357</v>
      </c>
      <c r="J21" t="s">
        <v>1357</v>
      </c>
      <c r="K21" t="s">
        <v>1357</v>
      </c>
      <c r="L21" t="s">
        <v>1357</v>
      </c>
      <c r="N21" t="s">
        <v>1368</v>
      </c>
    </row>
    <row r="22" spans="1:14">
      <c r="H22" t="s">
        <v>589</v>
      </c>
      <c r="I22" t="s">
        <v>1357</v>
      </c>
      <c r="J22" t="s">
        <v>1357</v>
      </c>
      <c r="K22" t="s">
        <v>1357</v>
      </c>
      <c r="L22" t="s">
        <v>1357</v>
      </c>
      <c r="N22" t="s">
        <v>1368</v>
      </c>
    </row>
    <row r="23" spans="1:14">
      <c r="H23" t="s">
        <v>570</v>
      </c>
      <c r="I23" t="s">
        <v>1357</v>
      </c>
      <c r="J23" t="s">
        <v>1357</v>
      </c>
      <c r="K23" t="s">
        <v>1357</v>
      </c>
      <c r="L23" t="s">
        <v>1357</v>
      </c>
      <c r="N23" t="s">
        <v>1368</v>
      </c>
    </row>
    <row r="24" spans="1:14">
      <c r="H24" t="s">
        <v>571</v>
      </c>
      <c r="I24" t="s">
        <v>1357</v>
      </c>
      <c r="J24" t="s">
        <v>1357</v>
      </c>
      <c r="K24" t="s">
        <v>1357</v>
      </c>
      <c r="L24" t="s">
        <v>1357</v>
      </c>
      <c r="N24" t="s">
        <v>1368</v>
      </c>
    </row>
    <row r="25" spans="1:14">
      <c r="H25" t="s">
        <v>572</v>
      </c>
      <c r="I25" t="s">
        <v>1357</v>
      </c>
      <c r="J25" t="s">
        <v>1357</v>
      </c>
      <c r="K25" t="s">
        <v>1357</v>
      </c>
      <c r="L25" t="s">
        <v>1357</v>
      </c>
      <c r="N25" t="s">
        <v>1368</v>
      </c>
    </row>
    <row r="26" spans="1:14">
      <c r="H26" t="s">
        <v>573</v>
      </c>
      <c r="I26" t="s">
        <v>1357</v>
      </c>
      <c r="J26" t="s">
        <v>1357</v>
      </c>
      <c r="K26" t="s">
        <v>1357</v>
      </c>
      <c r="L26" t="s">
        <v>1357</v>
      </c>
      <c r="N26" t="s">
        <v>1368</v>
      </c>
    </row>
    <row r="27" spans="1:14">
      <c r="H27" t="s">
        <v>574</v>
      </c>
      <c r="I27" t="s">
        <v>1357</v>
      </c>
      <c r="J27" t="s">
        <v>1357</v>
      </c>
      <c r="K27" t="s">
        <v>1357</v>
      </c>
      <c r="L27" t="s">
        <v>1357</v>
      </c>
      <c r="N27" t="s">
        <v>1368</v>
      </c>
    </row>
    <row r="28" spans="1:14">
      <c r="H28" t="s">
        <v>575</v>
      </c>
      <c r="I28" t="s">
        <v>1357</v>
      </c>
      <c r="J28" t="s">
        <v>1357</v>
      </c>
      <c r="K28" t="s">
        <v>1357</v>
      </c>
      <c r="L28" t="s">
        <v>1357</v>
      </c>
      <c r="N28" t="s">
        <v>1368</v>
      </c>
    </row>
    <row r="29" spans="1:14">
      <c r="H29" t="s">
        <v>576</v>
      </c>
      <c r="I29" t="s">
        <v>1357</v>
      </c>
      <c r="J29" t="s">
        <v>1357</v>
      </c>
      <c r="K29" t="s">
        <v>1357</v>
      </c>
      <c r="L29" t="s">
        <v>1357</v>
      </c>
      <c r="N29" t="s">
        <v>1368</v>
      </c>
    </row>
    <row r="30" spans="1:14">
      <c r="H30" t="s">
        <v>577</v>
      </c>
      <c r="I30" t="s">
        <v>1357</v>
      </c>
      <c r="J30" t="s">
        <v>1357</v>
      </c>
      <c r="K30" t="s">
        <v>1357</v>
      </c>
      <c r="L30" t="s">
        <v>1357</v>
      </c>
      <c r="N30" t="s">
        <v>1368</v>
      </c>
    </row>
    <row r="31" spans="1:14">
      <c r="H31" t="s">
        <v>578</v>
      </c>
      <c r="I31" t="s">
        <v>1357</v>
      </c>
      <c r="J31" t="s">
        <v>1357</v>
      </c>
      <c r="K31" t="s">
        <v>1357</v>
      </c>
      <c r="L31" t="s">
        <v>1357</v>
      </c>
      <c r="N31" t="s">
        <v>1368</v>
      </c>
    </row>
    <row r="32" spans="1:14">
      <c r="H32" t="s">
        <v>579</v>
      </c>
      <c r="I32" t="s">
        <v>1357</v>
      </c>
      <c r="J32" t="s">
        <v>1357</v>
      </c>
      <c r="K32" t="s">
        <v>1357</v>
      </c>
      <c r="L32" t="s">
        <v>1357</v>
      </c>
      <c r="N32" t="s">
        <v>1368</v>
      </c>
    </row>
    <row r="33" spans="1:14">
      <c r="H33" t="s">
        <v>580</v>
      </c>
      <c r="I33" t="s">
        <v>1357</v>
      </c>
      <c r="J33" t="s">
        <v>1357</v>
      </c>
      <c r="K33" t="s">
        <v>1357</v>
      </c>
      <c r="L33" t="s">
        <v>1357</v>
      </c>
      <c r="N33" t="s">
        <v>1368</v>
      </c>
    </row>
    <row r="34" spans="1:14">
      <c r="H34" t="s">
        <v>581</v>
      </c>
      <c r="I34" t="s">
        <v>1357</v>
      </c>
      <c r="J34" t="s">
        <v>1357</v>
      </c>
      <c r="K34" t="s">
        <v>1357</v>
      </c>
      <c r="L34" t="s">
        <v>1357</v>
      </c>
      <c r="N34" t="s">
        <v>1368</v>
      </c>
    </row>
    <row r="35" spans="1:14">
      <c r="H35" t="s">
        <v>582</v>
      </c>
      <c r="I35" t="s">
        <v>1357</v>
      </c>
      <c r="J35" t="s">
        <v>1357</v>
      </c>
      <c r="K35" t="s">
        <v>1357</v>
      </c>
      <c r="L35" t="s">
        <v>1357</v>
      </c>
      <c r="N35" t="s">
        <v>1368</v>
      </c>
    </row>
    <row r="36" spans="1:14">
      <c r="H36" t="s">
        <v>583</v>
      </c>
      <c r="I36" t="s">
        <v>1357</v>
      </c>
      <c r="J36" t="s">
        <v>1357</v>
      </c>
      <c r="K36" t="s">
        <v>1357</v>
      </c>
      <c r="L36" t="s">
        <v>1357</v>
      </c>
      <c r="N36" t="s">
        <v>1368</v>
      </c>
    </row>
    <row r="37" spans="1:14">
      <c r="H37" t="s">
        <v>584</v>
      </c>
      <c r="I37" t="s">
        <v>1357</v>
      </c>
      <c r="J37" t="s">
        <v>1357</v>
      </c>
      <c r="K37" t="s">
        <v>1357</v>
      </c>
      <c r="L37" t="s">
        <v>1357</v>
      </c>
      <c r="N37" t="s">
        <v>1368</v>
      </c>
    </row>
    <row r="38" spans="1:14">
      <c r="H38" t="s">
        <v>585</v>
      </c>
      <c r="I38" t="s">
        <v>1357</v>
      </c>
      <c r="J38" t="s">
        <v>1357</v>
      </c>
      <c r="K38" t="s">
        <v>1357</v>
      </c>
      <c r="L38" t="s">
        <v>1357</v>
      </c>
      <c r="N38" t="s">
        <v>1368</v>
      </c>
    </row>
    <row r="39" spans="1:14">
      <c r="H39" t="s">
        <v>586</v>
      </c>
      <c r="I39" t="s">
        <v>1357</v>
      </c>
      <c r="J39" t="s">
        <v>1357</v>
      </c>
      <c r="K39" t="s">
        <v>1357</v>
      </c>
      <c r="L39" t="s">
        <v>1357</v>
      </c>
      <c r="N39" t="s">
        <v>1368</v>
      </c>
    </row>
    <row r="40" spans="1:14">
      <c r="H40" t="s">
        <v>587</v>
      </c>
      <c r="I40" t="s">
        <v>1357</v>
      </c>
      <c r="J40" t="s">
        <v>1357</v>
      </c>
      <c r="K40" t="s">
        <v>1357</v>
      </c>
      <c r="L40" t="s">
        <v>1357</v>
      </c>
      <c r="N40" t="s">
        <v>1368</v>
      </c>
    </row>
    <row r="41" spans="1:14">
      <c r="A41" t="s">
        <v>17</v>
      </c>
      <c r="B41">
        <f>HYPERLINK("https://github.com/apache/commons-lang/commit/80f68cc0c4f7bba91432f1ca3a0eeac80152a99d", "80f68cc0c4f7bba91432f1ca3a0eeac80152a99d")</f>
        <v>0</v>
      </c>
      <c r="C41">
        <f>HYPERLINK("https://github.com/apache/commons-lang/commit/8ebe30ba3091b05ae28f70ba235c558e9a1b4235", "8ebe30ba3091b05ae28f70ba235c558e9a1b4235")</f>
        <v>0</v>
      </c>
      <c r="D41" t="s">
        <v>151</v>
      </c>
      <c r="E41" t="s">
        <v>173</v>
      </c>
      <c r="F41" t="s">
        <v>308</v>
      </c>
      <c r="G41" t="s">
        <v>449</v>
      </c>
      <c r="H41" t="s">
        <v>590</v>
      </c>
      <c r="I41" t="s">
        <v>1357</v>
      </c>
      <c r="J41" t="s">
        <v>1357</v>
      </c>
      <c r="K41" t="s">
        <v>1357</v>
      </c>
      <c r="L41" t="s">
        <v>1357</v>
      </c>
    </row>
    <row r="42" spans="1:14">
      <c r="H42" t="s">
        <v>591</v>
      </c>
      <c r="I42" t="s">
        <v>1357</v>
      </c>
      <c r="J42" t="s">
        <v>1357</v>
      </c>
      <c r="K42" t="s">
        <v>1357</v>
      </c>
      <c r="L42" t="s">
        <v>1357</v>
      </c>
    </row>
    <row r="43" spans="1:14">
      <c r="H43" t="s">
        <v>592</v>
      </c>
      <c r="I43" t="s">
        <v>1357</v>
      </c>
      <c r="J43" t="s">
        <v>1357</v>
      </c>
      <c r="K43" t="s">
        <v>1357</v>
      </c>
      <c r="L43" t="s">
        <v>1357</v>
      </c>
    </row>
    <row r="44" spans="1:14">
      <c r="H44" t="s">
        <v>593</v>
      </c>
      <c r="I44" t="s">
        <v>1357</v>
      </c>
      <c r="J44" t="s">
        <v>1357</v>
      </c>
      <c r="K44" t="s">
        <v>1357</v>
      </c>
      <c r="L44" t="s">
        <v>1357</v>
      </c>
    </row>
    <row r="45" spans="1:14">
      <c r="H45" t="s">
        <v>594</v>
      </c>
      <c r="I45" t="s">
        <v>1357</v>
      </c>
      <c r="J45" t="s">
        <v>1357</v>
      </c>
      <c r="K45" t="s">
        <v>1357</v>
      </c>
      <c r="L45" t="s">
        <v>1357</v>
      </c>
    </row>
    <row r="46" spans="1:14">
      <c r="H46" t="s">
        <v>595</v>
      </c>
      <c r="I46" t="s">
        <v>1357</v>
      </c>
      <c r="J46" t="s">
        <v>1357</v>
      </c>
      <c r="K46" t="s">
        <v>1357</v>
      </c>
      <c r="L46" t="s">
        <v>1357</v>
      </c>
    </row>
    <row r="47" spans="1:14">
      <c r="H47" t="s">
        <v>596</v>
      </c>
      <c r="I47" t="s">
        <v>1357</v>
      </c>
      <c r="J47" t="s">
        <v>1357</v>
      </c>
      <c r="K47" t="s">
        <v>1357</v>
      </c>
      <c r="L47" t="s">
        <v>1357</v>
      </c>
    </row>
    <row r="48" spans="1:14">
      <c r="H48" t="s">
        <v>597</v>
      </c>
      <c r="I48" t="s">
        <v>1357</v>
      </c>
      <c r="J48" t="s">
        <v>1357</v>
      </c>
      <c r="K48" t="s">
        <v>1357</v>
      </c>
      <c r="L48" t="s">
        <v>1357</v>
      </c>
    </row>
    <row r="49" spans="8:12">
      <c r="H49" t="s">
        <v>598</v>
      </c>
      <c r="I49" t="s">
        <v>1357</v>
      </c>
      <c r="J49" t="s">
        <v>1357</v>
      </c>
      <c r="K49" t="s">
        <v>1357</v>
      </c>
      <c r="L49" t="s">
        <v>1357</v>
      </c>
    </row>
    <row r="50" spans="8:12">
      <c r="H50" t="s">
        <v>599</v>
      </c>
      <c r="I50" t="s">
        <v>1357</v>
      </c>
      <c r="J50" t="s">
        <v>1357</v>
      </c>
      <c r="K50" t="s">
        <v>1357</v>
      </c>
      <c r="L50" t="s">
        <v>1357</v>
      </c>
    </row>
    <row r="51" spans="8:12">
      <c r="H51" t="s">
        <v>600</v>
      </c>
      <c r="I51" t="s">
        <v>1357</v>
      </c>
      <c r="J51" t="s">
        <v>1357</v>
      </c>
      <c r="K51" t="s">
        <v>1357</v>
      </c>
      <c r="L51" t="s">
        <v>1357</v>
      </c>
    </row>
    <row r="52" spans="8:12">
      <c r="H52" t="s">
        <v>601</v>
      </c>
      <c r="I52" t="s">
        <v>1357</v>
      </c>
      <c r="J52" t="s">
        <v>1357</v>
      </c>
      <c r="K52" t="s">
        <v>1357</v>
      </c>
      <c r="L52" t="s">
        <v>1357</v>
      </c>
    </row>
    <row r="53" spans="8:12">
      <c r="H53" t="s">
        <v>602</v>
      </c>
      <c r="I53" t="s">
        <v>1357</v>
      </c>
      <c r="J53" t="s">
        <v>1357</v>
      </c>
      <c r="K53" t="s">
        <v>1357</v>
      </c>
      <c r="L53" t="s">
        <v>1357</v>
      </c>
    </row>
    <row r="54" spans="8:12">
      <c r="H54" t="s">
        <v>603</v>
      </c>
      <c r="I54" t="s">
        <v>1357</v>
      </c>
      <c r="J54" t="s">
        <v>1357</v>
      </c>
      <c r="K54" t="s">
        <v>1357</v>
      </c>
      <c r="L54" t="s">
        <v>1357</v>
      </c>
    </row>
    <row r="55" spans="8:12">
      <c r="H55" t="s">
        <v>604</v>
      </c>
      <c r="I55" t="s">
        <v>1357</v>
      </c>
      <c r="J55" t="s">
        <v>1357</v>
      </c>
      <c r="K55" t="s">
        <v>1357</v>
      </c>
      <c r="L55" t="s">
        <v>1357</v>
      </c>
    </row>
    <row r="56" spans="8:12">
      <c r="H56" t="s">
        <v>605</v>
      </c>
      <c r="I56" t="s">
        <v>1357</v>
      </c>
      <c r="J56" t="s">
        <v>1357</v>
      </c>
      <c r="K56" t="s">
        <v>1357</v>
      </c>
      <c r="L56" t="s">
        <v>1357</v>
      </c>
    </row>
    <row r="57" spans="8:12">
      <c r="H57" t="s">
        <v>606</v>
      </c>
      <c r="I57" t="s">
        <v>1357</v>
      </c>
      <c r="J57" t="s">
        <v>1357</v>
      </c>
      <c r="K57" t="s">
        <v>1357</v>
      </c>
      <c r="L57" t="s">
        <v>1357</v>
      </c>
    </row>
    <row r="58" spans="8:12">
      <c r="H58" t="s">
        <v>607</v>
      </c>
      <c r="I58" t="s">
        <v>1357</v>
      </c>
      <c r="J58" t="s">
        <v>1357</v>
      </c>
      <c r="K58" t="s">
        <v>1357</v>
      </c>
      <c r="L58" t="s">
        <v>1357</v>
      </c>
    </row>
    <row r="59" spans="8:12">
      <c r="H59" t="s">
        <v>608</v>
      </c>
      <c r="I59" t="s">
        <v>1357</v>
      </c>
      <c r="J59" t="s">
        <v>1357</v>
      </c>
      <c r="K59" t="s">
        <v>1357</v>
      </c>
      <c r="L59" t="s">
        <v>1357</v>
      </c>
    </row>
    <row r="60" spans="8:12">
      <c r="H60" t="s">
        <v>609</v>
      </c>
      <c r="I60" t="s">
        <v>1357</v>
      </c>
      <c r="J60" t="s">
        <v>1357</v>
      </c>
      <c r="K60" t="s">
        <v>1357</v>
      </c>
      <c r="L60" t="s">
        <v>1357</v>
      </c>
    </row>
    <row r="61" spans="8:12">
      <c r="H61" t="s">
        <v>610</v>
      </c>
      <c r="I61" t="s">
        <v>1357</v>
      </c>
      <c r="J61" t="s">
        <v>1357</v>
      </c>
      <c r="K61" t="s">
        <v>1357</v>
      </c>
      <c r="L61" t="s">
        <v>1357</v>
      </c>
    </row>
    <row r="62" spans="8:12">
      <c r="H62" t="s">
        <v>611</v>
      </c>
      <c r="I62" t="s">
        <v>1357</v>
      </c>
      <c r="J62" t="s">
        <v>1357</v>
      </c>
      <c r="K62" t="s">
        <v>1357</v>
      </c>
      <c r="L62" t="s">
        <v>1357</v>
      </c>
    </row>
    <row r="63" spans="8:12">
      <c r="H63" t="s">
        <v>612</v>
      </c>
      <c r="I63" t="s">
        <v>1357</v>
      </c>
      <c r="J63" t="s">
        <v>1357</v>
      </c>
      <c r="K63" t="s">
        <v>1357</v>
      </c>
      <c r="L63" t="s">
        <v>1357</v>
      </c>
    </row>
    <row r="64" spans="8:12">
      <c r="H64" t="s">
        <v>613</v>
      </c>
      <c r="I64" t="s">
        <v>1357</v>
      </c>
      <c r="J64" t="s">
        <v>1357</v>
      </c>
      <c r="K64" t="s">
        <v>1357</v>
      </c>
      <c r="L64" t="s">
        <v>1357</v>
      </c>
    </row>
    <row r="65" spans="1:14">
      <c r="H65" t="s">
        <v>614</v>
      </c>
      <c r="I65" t="s">
        <v>1357</v>
      </c>
      <c r="J65" t="s">
        <v>1357</v>
      </c>
      <c r="K65" t="s">
        <v>1357</v>
      </c>
      <c r="L65" t="s">
        <v>1357</v>
      </c>
    </row>
    <row r="66" spans="1:14">
      <c r="H66" t="s">
        <v>615</v>
      </c>
      <c r="I66" t="s">
        <v>1357</v>
      </c>
      <c r="J66" t="s">
        <v>1357</v>
      </c>
      <c r="K66" t="s">
        <v>1357</v>
      </c>
      <c r="L66" t="s">
        <v>1357</v>
      </c>
    </row>
    <row r="67" spans="1:14">
      <c r="A67" t="s">
        <v>18</v>
      </c>
      <c r="B67">
        <f>HYPERLINK("https://github.com/apache/commons-lang/commit/19248809e78867606fe25c223ca9993554b1ff3b", "19248809e78867606fe25c223ca9993554b1ff3b")</f>
        <v>0</v>
      </c>
      <c r="C67">
        <f>HYPERLINK("https://github.com/apache/commons-lang/commit/3129990f428d5ab3de53ad2874451a5e8ce95d99", "3129990f428d5ab3de53ad2874451a5e8ce95d99")</f>
        <v>0</v>
      </c>
      <c r="D67" t="s">
        <v>150</v>
      </c>
      <c r="E67" t="s">
        <v>174</v>
      </c>
      <c r="F67" t="s">
        <v>309</v>
      </c>
      <c r="G67" t="s">
        <v>450</v>
      </c>
      <c r="H67" t="s">
        <v>616</v>
      </c>
      <c r="I67" t="s">
        <v>1359</v>
      </c>
      <c r="J67" t="s">
        <v>1357</v>
      </c>
      <c r="K67" t="s">
        <v>1357</v>
      </c>
      <c r="L67" t="s">
        <v>1358</v>
      </c>
      <c r="N67" t="s">
        <v>1369</v>
      </c>
    </row>
    <row r="68" spans="1:14">
      <c r="H68" t="s">
        <v>617</v>
      </c>
      <c r="I68" t="s">
        <v>1359</v>
      </c>
      <c r="J68" t="s">
        <v>1357</v>
      </c>
      <c r="K68" t="s">
        <v>1357</v>
      </c>
      <c r="L68" t="s">
        <v>1358</v>
      </c>
      <c r="N68" t="s">
        <v>1369</v>
      </c>
    </row>
    <row r="69" spans="1:14">
      <c r="A69" t="s">
        <v>19</v>
      </c>
      <c r="B69">
        <f>HYPERLINK("https://github.com/apache/commons-lang/commit/31bf101e023c87ccea92a6e9b06b21dfc403d9e8", "31bf101e023c87ccea92a6e9b06b21dfc403d9e8")</f>
        <v>0</v>
      </c>
      <c r="C69">
        <f>HYPERLINK("https://github.com/apache/commons-lang/commit/24bc34a7afa80e467be83751c504943f5a57c175", "24bc34a7afa80e467be83751c504943f5a57c175")</f>
        <v>0</v>
      </c>
      <c r="D69" t="s">
        <v>150</v>
      </c>
      <c r="E69" t="s">
        <v>175</v>
      </c>
      <c r="F69" t="s">
        <v>310</v>
      </c>
      <c r="G69" t="s">
        <v>451</v>
      </c>
      <c r="H69" t="s">
        <v>618</v>
      </c>
      <c r="I69" t="s">
        <v>1357</v>
      </c>
      <c r="J69" t="s">
        <v>1357</v>
      </c>
      <c r="K69" t="s">
        <v>1357</v>
      </c>
      <c r="L69" t="s">
        <v>1357</v>
      </c>
    </row>
    <row r="70" spans="1:14">
      <c r="A70" t="s">
        <v>20</v>
      </c>
      <c r="B70">
        <f>HYPERLINK("https://github.com/apache/commons-lang/commit/713af7b691bcf202cf5ac8704c58926b656ee223", "713af7b691bcf202cf5ac8704c58926b656ee223")</f>
        <v>0</v>
      </c>
      <c r="C70">
        <f>HYPERLINK("https://github.com/apache/commons-lang/commit/e329c3556ce0b4a87568f3783adc193719670560", "e329c3556ce0b4a87568f3783adc193719670560")</f>
        <v>0</v>
      </c>
      <c r="D70" t="s">
        <v>150</v>
      </c>
      <c r="E70" t="s">
        <v>176</v>
      </c>
      <c r="F70" t="s">
        <v>311</v>
      </c>
      <c r="G70" t="s">
        <v>452</v>
      </c>
      <c r="H70" t="s">
        <v>619</v>
      </c>
      <c r="I70" t="s">
        <v>1357</v>
      </c>
      <c r="J70" t="s">
        <v>1357</v>
      </c>
      <c r="K70" t="s">
        <v>1357</v>
      </c>
      <c r="L70" t="s">
        <v>1357</v>
      </c>
    </row>
    <row r="71" spans="1:14">
      <c r="H71" t="s">
        <v>620</v>
      </c>
      <c r="I71" t="s">
        <v>1357</v>
      </c>
      <c r="J71" t="s">
        <v>1357</v>
      </c>
      <c r="K71" t="s">
        <v>1357</v>
      </c>
      <c r="L71" t="s">
        <v>1357</v>
      </c>
    </row>
    <row r="72" spans="1:14">
      <c r="H72" t="s">
        <v>621</v>
      </c>
      <c r="I72" t="s">
        <v>1357</v>
      </c>
      <c r="J72" t="s">
        <v>1357</v>
      </c>
      <c r="K72" t="s">
        <v>1357</v>
      </c>
      <c r="L72" t="s">
        <v>1357</v>
      </c>
    </row>
    <row r="73" spans="1:14">
      <c r="H73" t="s">
        <v>622</v>
      </c>
      <c r="I73" t="s">
        <v>1357</v>
      </c>
      <c r="J73" t="s">
        <v>1357</v>
      </c>
      <c r="K73" t="s">
        <v>1357</v>
      </c>
      <c r="L73" t="s">
        <v>1357</v>
      </c>
    </row>
    <row r="74" spans="1:14">
      <c r="H74" t="s">
        <v>623</v>
      </c>
      <c r="I74" t="s">
        <v>1357</v>
      </c>
      <c r="J74" t="s">
        <v>1357</v>
      </c>
      <c r="K74" t="s">
        <v>1357</v>
      </c>
      <c r="L74" t="s">
        <v>1357</v>
      </c>
    </row>
    <row r="75" spans="1:14">
      <c r="H75" t="s">
        <v>624</v>
      </c>
      <c r="I75" t="s">
        <v>1357</v>
      </c>
      <c r="J75" t="s">
        <v>1357</v>
      </c>
      <c r="K75" t="s">
        <v>1357</v>
      </c>
      <c r="L75" t="s">
        <v>1357</v>
      </c>
    </row>
    <row r="76" spans="1:14">
      <c r="H76" t="s">
        <v>625</v>
      </c>
      <c r="I76" t="s">
        <v>1357</v>
      </c>
      <c r="J76" t="s">
        <v>1357</v>
      </c>
      <c r="K76" t="s">
        <v>1357</v>
      </c>
      <c r="L76" t="s">
        <v>1357</v>
      </c>
    </row>
    <row r="77" spans="1:14">
      <c r="H77" t="s">
        <v>626</v>
      </c>
      <c r="I77" t="s">
        <v>1357</v>
      </c>
      <c r="J77" t="s">
        <v>1357</v>
      </c>
      <c r="K77" t="s">
        <v>1357</v>
      </c>
      <c r="L77" t="s">
        <v>1357</v>
      </c>
    </row>
    <row r="78" spans="1:14">
      <c r="H78" t="s">
        <v>627</v>
      </c>
      <c r="I78" t="s">
        <v>1357</v>
      </c>
      <c r="J78" t="s">
        <v>1357</v>
      </c>
      <c r="K78" t="s">
        <v>1357</v>
      </c>
      <c r="L78" t="s">
        <v>1357</v>
      </c>
    </row>
    <row r="79" spans="1:14">
      <c r="H79" t="s">
        <v>628</v>
      </c>
      <c r="I79" t="s">
        <v>1357</v>
      </c>
      <c r="J79" t="s">
        <v>1357</v>
      </c>
      <c r="K79" t="s">
        <v>1357</v>
      </c>
      <c r="L79" t="s">
        <v>1357</v>
      </c>
    </row>
    <row r="80" spans="1:14">
      <c r="H80" t="s">
        <v>629</v>
      </c>
      <c r="I80" t="s">
        <v>1357</v>
      </c>
      <c r="J80" t="s">
        <v>1357</v>
      </c>
      <c r="K80" t="s">
        <v>1357</v>
      </c>
      <c r="L80" t="s">
        <v>1357</v>
      </c>
    </row>
    <row r="81" spans="6:12">
      <c r="H81" t="s">
        <v>630</v>
      </c>
      <c r="I81" t="s">
        <v>1357</v>
      </c>
      <c r="J81" t="s">
        <v>1357</v>
      </c>
      <c r="K81" t="s">
        <v>1357</v>
      </c>
      <c r="L81" t="s">
        <v>1357</v>
      </c>
    </row>
    <row r="82" spans="6:12">
      <c r="H82" t="s">
        <v>631</v>
      </c>
      <c r="I82" t="s">
        <v>1357</v>
      </c>
      <c r="J82" t="s">
        <v>1357</v>
      </c>
      <c r="K82" t="s">
        <v>1357</v>
      </c>
      <c r="L82" t="s">
        <v>1357</v>
      </c>
    </row>
    <row r="83" spans="6:12">
      <c r="H83" t="s">
        <v>632</v>
      </c>
      <c r="I83" t="s">
        <v>1357</v>
      </c>
      <c r="J83" t="s">
        <v>1357</v>
      </c>
      <c r="K83" t="s">
        <v>1357</v>
      </c>
      <c r="L83" t="s">
        <v>1357</v>
      </c>
    </row>
    <row r="84" spans="6:12">
      <c r="H84" t="s">
        <v>633</v>
      </c>
      <c r="I84" t="s">
        <v>1357</v>
      </c>
      <c r="J84" t="s">
        <v>1357</v>
      </c>
      <c r="K84" t="s">
        <v>1357</v>
      </c>
      <c r="L84" t="s">
        <v>1357</v>
      </c>
    </row>
    <row r="85" spans="6:12">
      <c r="H85" t="s">
        <v>634</v>
      </c>
      <c r="I85" t="s">
        <v>1357</v>
      </c>
      <c r="J85" t="s">
        <v>1357</v>
      </c>
      <c r="K85" t="s">
        <v>1357</v>
      </c>
      <c r="L85" t="s">
        <v>1357</v>
      </c>
    </row>
    <row r="86" spans="6:12">
      <c r="H86" t="s">
        <v>635</v>
      </c>
      <c r="I86" t="s">
        <v>1357</v>
      </c>
      <c r="J86" t="s">
        <v>1357</v>
      </c>
      <c r="K86" t="s">
        <v>1357</v>
      </c>
      <c r="L86" t="s">
        <v>1357</v>
      </c>
    </row>
    <row r="87" spans="6:12">
      <c r="H87" t="s">
        <v>636</v>
      </c>
      <c r="I87" t="s">
        <v>1357</v>
      </c>
      <c r="J87" t="s">
        <v>1357</v>
      </c>
      <c r="K87" t="s">
        <v>1357</v>
      </c>
      <c r="L87" t="s">
        <v>1357</v>
      </c>
    </row>
    <row r="88" spans="6:12">
      <c r="H88" t="s">
        <v>637</v>
      </c>
      <c r="I88" t="s">
        <v>1357</v>
      </c>
      <c r="J88" t="s">
        <v>1357</v>
      </c>
      <c r="K88" t="s">
        <v>1357</v>
      </c>
      <c r="L88" t="s">
        <v>1357</v>
      </c>
    </row>
    <row r="89" spans="6:12">
      <c r="H89" t="s">
        <v>638</v>
      </c>
      <c r="I89" t="s">
        <v>1357</v>
      </c>
      <c r="J89" t="s">
        <v>1357</v>
      </c>
      <c r="K89" t="s">
        <v>1357</v>
      </c>
      <c r="L89" t="s">
        <v>1357</v>
      </c>
    </row>
    <row r="90" spans="6:12">
      <c r="H90" t="s">
        <v>639</v>
      </c>
      <c r="I90" t="s">
        <v>1357</v>
      </c>
      <c r="J90" t="s">
        <v>1357</v>
      </c>
      <c r="K90" t="s">
        <v>1357</v>
      </c>
      <c r="L90" t="s">
        <v>1357</v>
      </c>
    </row>
    <row r="91" spans="6:12">
      <c r="H91" t="s">
        <v>640</v>
      </c>
      <c r="I91" t="s">
        <v>1357</v>
      </c>
      <c r="J91" t="s">
        <v>1357</v>
      </c>
      <c r="K91" t="s">
        <v>1357</v>
      </c>
      <c r="L91" t="s">
        <v>1357</v>
      </c>
    </row>
    <row r="92" spans="6:12">
      <c r="H92" t="s">
        <v>641</v>
      </c>
      <c r="I92" t="s">
        <v>1357</v>
      </c>
      <c r="J92" t="s">
        <v>1357</v>
      </c>
      <c r="K92" t="s">
        <v>1357</v>
      </c>
      <c r="L92" t="s">
        <v>1357</v>
      </c>
    </row>
    <row r="93" spans="6:12">
      <c r="H93" t="s">
        <v>642</v>
      </c>
      <c r="I93" t="s">
        <v>1357</v>
      </c>
      <c r="J93" t="s">
        <v>1357</v>
      </c>
      <c r="K93" t="s">
        <v>1357</v>
      </c>
      <c r="L93" t="s">
        <v>1357</v>
      </c>
    </row>
    <row r="94" spans="6:12">
      <c r="H94" t="s">
        <v>643</v>
      </c>
      <c r="I94" t="s">
        <v>1357</v>
      </c>
      <c r="J94" t="s">
        <v>1357</v>
      </c>
      <c r="K94" t="s">
        <v>1357</v>
      </c>
      <c r="L94" t="s">
        <v>1357</v>
      </c>
    </row>
    <row r="95" spans="6:12">
      <c r="H95" t="s">
        <v>644</v>
      </c>
      <c r="I95" t="s">
        <v>1357</v>
      </c>
      <c r="J95" t="s">
        <v>1357</v>
      </c>
      <c r="K95" t="s">
        <v>1357</v>
      </c>
      <c r="L95" t="s">
        <v>1357</v>
      </c>
    </row>
    <row r="96" spans="6:12">
      <c r="F96" t="s">
        <v>312</v>
      </c>
      <c r="G96" t="s">
        <v>453</v>
      </c>
      <c r="H96" t="s">
        <v>645</v>
      </c>
      <c r="I96" t="s">
        <v>1357</v>
      </c>
      <c r="J96" t="s">
        <v>1357</v>
      </c>
      <c r="K96" t="s">
        <v>1357</v>
      </c>
      <c r="L96" t="s">
        <v>1357</v>
      </c>
    </row>
    <row r="97" spans="6:12">
      <c r="H97" t="s">
        <v>646</v>
      </c>
      <c r="I97" t="s">
        <v>1357</v>
      </c>
      <c r="J97" t="s">
        <v>1357</v>
      </c>
      <c r="K97" t="s">
        <v>1357</v>
      </c>
      <c r="L97" t="s">
        <v>1357</v>
      </c>
    </row>
    <row r="98" spans="6:12">
      <c r="H98" t="s">
        <v>647</v>
      </c>
      <c r="I98" t="s">
        <v>1357</v>
      </c>
      <c r="J98" t="s">
        <v>1357</v>
      </c>
      <c r="K98" t="s">
        <v>1357</v>
      </c>
      <c r="L98" t="s">
        <v>1357</v>
      </c>
    </row>
    <row r="99" spans="6:12">
      <c r="H99" t="s">
        <v>648</v>
      </c>
      <c r="I99" t="s">
        <v>1357</v>
      </c>
      <c r="J99" t="s">
        <v>1357</v>
      </c>
      <c r="K99" t="s">
        <v>1357</v>
      </c>
      <c r="L99" t="s">
        <v>1357</v>
      </c>
    </row>
    <row r="100" spans="6:12">
      <c r="H100" t="s">
        <v>649</v>
      </c>
      <c r="I100" t="s">
        <v>1357</v>
      </c>
      <c r="J100" t="s">
        <v>1357</v>
      </c>
      <c r="K100" t="s">
        <v>1357</v>
      </c>
      <c r="L100" t="s">
        <v>1357</v>
      </c>
    </row>
    <row r="101" spans="6:12">
      <c r="H101" t="s">
        <v>650</v>
      </c>
      <c r="I101" t="s">
        <v>1357</v>
      </c>
      <c r="J101" t="s">
        <v>1357</v>
      </c>
      <c r="K101" t="s">
        <v>1357</v>
      </c>
      <c r="L101" t="s">
        <v>1357</v>
      </c>
    </row>
    <row r="102" spans="6:12">
      <c r="H102" t="s">
        <v>651</v>
      </c>
      <c r="I102" t="s">
        <v>1357</v>
      </c>
      <c r="J102" t="s">
        <v>1357</v>
      </c>
      <c r="K102" t="s">
        <v>1357</v>
      </c>
      <c r="L102" t="s">
        <v>1357</v>
      </c>
    </row>
    <row r="103" spans="6:12">
      <c r="H103" t="s">
        <v>652</v>
      </c>
      <c r="I103" t="s">
        <v>1357</v>
      </c>
      <c r="J103" t="s">
        <v>1357</v>
      </c>
      <c r="K103" t="s">
        <v>1357</v>
      </c>
      <c r="L103" t="s">
        <v>1357</v>
      </c>
    </row>
    <row r="104" spans="6:12">
      <c r="H104" t="s">
        <v>653</v>
      </c>
      <c r="I104" t="s">
        <v>1357</v>
      </c>
      <c r="J104" t="s">
        <v>1357</v>
      </c>
      <c r="K104" t="s">
        <v>1357</v>
      </c>
      <c r="L104" t="s">
        <v>1357</v>
      </c>
    </row>
    <row r="105" spans="6:12">
      <c r="H105" t="s">
        <v>654</v>
      </c>
      <c r="I105" t="s">
        <v>1357</v>
      </c>
      <c r="J105" t="s">
        <v>1357</v>
      </c>
      <c r="K105" t="s">
        <v>1357</v>
      </c>
      <c r="L105" t="s">
        <v>1357</v>
      </c>
    </row>
    <row r="106" spans="6:12">
      <c r="H106" t="s">
        <v>655</v>
      </c>
      <c r="I106" t="s">
        <v>1357</v>
      </c>
      <c r="J106" t="s">
        <v>1357</v>
      </c>
      <c r="K106" t="s">
        <v>1357</v>
      </c>
      <c r="L106" t="s">
        <v>1357</v>
      </c>
    </row>
    <row r="107" spans="6:12">
      <c r="H107" t="s">
        <v>656</v>
      </c>
      <c r="I107" t="s">
        <v>1357</v>
      </c>
      <c r="J107" t="s">
        <v>1357</v>
      </c>
      <c r="K107" t="s">
        <v>1357</v>
      </c>
      <c r="L107" t="s">
        <v>1357</v>
      </c>
    </row>
    <row r="108" spans="6:12">
      <c r="H108" t="s">
        <v>657</v>
      </c>
      <c r="I108" t="s">
        <v>1357</v>
      </c>
      <c r="J108" t="s">
        <v>1357</v>
      </c>
      <c r="K108" t="s">
        <v>1357</v>
      </c>
      <c r="L108" t="s">
        <v>1357</v>
      </c>
    </row>
    <row r="109" spans="6:12">
      <c r="H109" t="s">
        <v>658</v>
      </c>
      <c r="I109" t="s">
        <v>1357</v>
      </c>
      <c r="J109" t="s">
        <v>1357</v>
      </c>
      <c r="K109" t="s">
        <v>1357</v>
      </c>
      <c r="L109" t="s">
        <v>1357</v>
      </c>
    </row>
    <row r="110" spans="6:12">
      <c r="H110" t="s">
        <v>659</v>
      </c>
      <c r="I110" t="s">
        <v>1357</v>
      </c>
      <c r="J110" t="s">
        <v>1357</v>
      </c>
      <c r="K110" t="s">
        <v>1357</v>
      </c>
      <c r="L110" t="s">
        <v>1357</v>
      </c>
    </row>
    <row r="111" spans="6:12">
      <c r="F111" t="s">
        <v>313</v>
      </c>
      <c r="G111" t="s">
        <v>454</v>
      </c>
      <c r="H111" t="s">
        <v>660</v>
      </c>
      <c r="I111" t="s">
        <v>1357</v>
      </c>
      <c r="J111" t="s">
        <v>1357</v>
      </c>
      <c r="K111" t="s">
        <v>1357</v>
      </c>
      <c r="L111" t="s">
        <v>1357</v>
      </c>
    </row>
    <row r="112" spans="6:12">
      <c r="H112" t="s">
        <v>661</v>
      </c>
      <c r="I112" t="s">
        <v>1357</v>
      </c>
      <c r="J112" t="s">
        <v>1357</v>
      </c>
      <c r="K112" t="s">
        <v>1357</v>
      </c>
      <c r="L112" t="s">
        <v>1357</v>
      </c>
    </row>
    <row r="113" spans="8:12">
      <c r="H113" t="s">
        <v>662</v>
      </c>
      <c r="I113" t="s">
        <v>1357</v>
      </c>
      <c r="J113" t="s">
        <v>1357</v>
      </c>
      <c r="K113" t="s">
        <v>1357</v>
      </c>
      <c r="L113" t="s">
        <v>1357</v>
      </c>
    </row>
    <row r="114" spans="8:12">
      <c r="H114" t="s">
        <v>663</v>
      </c>
      <c r="I114" t="s">
        <v>1357</v>
      </c>
      <c r="J114" t="s">
        <v>1357</v>
      </c>
      <c r="K114" t="s">
        <v>1357</v>
      </c>
      <c r="L114" t="s">
        <v>1357</v>
      </c>
    </row>
    <row r="115" spans="8:12">
      <c r="H115" t="s">
        <v>664</v>
      </c>
      <c r="I115" t="s">
        <v>1357</v>
      </c>
      <c r="J115" t="s">
        <v>1357</v>
      </c>
      <c r="K115" t="s">
        <v>1357</v>
      </c>
      <c r="L115" t="s">
        <v>1357</v>
      </c>
    </row>
    <row r="116" spans="8:12">
      <c r="H116" t="s">
        <v>665</v>
      </c>
      <c r="I116" t="s">
        <v>1357</v>
      </c>
      <c r="J116" t="s">
        <v>1357</v>
      </c>
      <c r="K116" t="s">
        <v>1357</v>
      </c>
      <c r="L116" t="s">
        <v>1357</v>
      </c>
    </row>
    <row r="117" spans="8:12">
      <c r="H117" t="s">
        <v>666</v>
      </c>
      <c r="I117" t="s">
        <v>1357</v>
      </c>
      <c r="J117" t="s">
        <v>1357</v>
      </c>
      <c r="K117" t="s">
        <v>1357</v>
      </c>
      <c r="L117" t="s">
        <v>1357</v>
      </c>
    </row>
    <row r="118" spans="8:12">
      <c r="H118" t="s">
        <v>667</v>
      </c>
      <c r="I118" t="s">
        <v>1357</v>
      </c>
      <c r="J118" t="s">
        <v>1357</v>
      </c>
      <c r="K118" t="s">
        <v>1357</v>
      </c>
      <c r="L118" t="s">
        <v>1357</v>
      </c>
    </row>
    <row r="119" spans="8:12">
      <c r="H119" t="s">
        <v>668</v>
      </c>
      <c r="I119" t="s">
        <v>1357</v>
      </c>
      <c r="J119" t="s">
        <v>1357</v>
      </c>
      <c r="K119" t="s">
        <v>1357</v>
      </c>
      <c r="L119" t="s">
        <v>1357</v>
      </c>
    </row>
    <row r="120" spans="8:12">
      <c r="H120" t="s">
        <v>669</v>
      </c>
      <c r="I120" t="s">
        <v>1357</v>
      </c>
      <c r="J120" t="s">
        <v>1357</v>
      </c>
      <c r="K120" t="s">
        <v>1357</v>
      </c>
      <c r="L120" t="s">
        <v>1357</v>
      </c>
    </row>
    <row r="121" spans="8:12">
      <c r="H121" t="s">
        <v>670</v>
      </c>
      <c r="I121" t="s">
        <v>1357</v>
      </c>
      <c r="J121" t="s">
        <v>1357</v>
      </c>
      <c r="K121" t="s">
        <v>1357</v>
      </c>
      <c r="L121" t="s">
        <v>1357</v>
      </c>
    </row>
    <row r="122" spans="8:12">
      <c r="H122" t="s">
        <v>671</v>
      </c>
      <c r="I122" t="s">
        <v>1357</v>
      </c>
      <c r="J122" t="s">
        <v>1357</v>
      </c>
      <c r="K122" t="s">
        <v>1357</v>
      </c>
      <c r="L122" t="s">
        <v>1357</v>
      </c>
    </row>
    <row r="123" spans="8:12">
      <c r="H123" t="s">
        <v>672</v>
      </c>
      <c r="I123" t="s">
        <v>1357</v>
      </c>
      <c r="J123" t="s">
        <v>1357</v>
      </c>
      <c r="K123" t="s">
        <v>1357</v>
      </c>
      <c r="L123" t="s">
        <v>1357</v>
      </c>
    </row>
    <row r="124" spans="8:12">
      <c r="H124" t="s">
        <v>673</v>
      </c>
      <c r="I124" t="s">
        <v>1357</v>
      </c>
      <c r="J124" t="s">
        <v>1357</v>
      </c>
      <c r="K124" t="s">
        <v>1357</v>
      </c>
      <c r="L124" t="s">
        <v>1357</v>
      </c>
    </row>
    <row r="125" spans="8:12">
      <c r="H125" t="s">
        <v>674</v>
      </c>
      <c r="I125" t="s">
        <v>1357</v>
      </c>
      <c r="J125" t="s">
        <v>1357</v>
      </c>
      <c r="K125" t="s">
        <v>1357</v>
      </c>
      <c r="L125" t="s">
        <v>1357</v>
      </c>
    </row>
    <row r="126" spans="8:12">
      <c r="H126" t="s">
        <v>675</v>
      </c>
      <c r="I126" t="s">
        <v>1357</v>
      </c>
      <c r="J126" t="s">
        <v>1357</v>
      </c>
      <c r="K126" t="s">
        <v>1357</v>
      </c>
      <c r="L126" t="s">
        <v>1357</v>
      </c>
    </row>
    <row r="127" spans="8:12">
      <c r="H127" t="s">
        <v>676</v>
      </c>
      <c r="I127" t="s">
        <v>1357</v>
      </c>
      <c r="J127" t="s">
        <v>1357</v>
      </c>
      <c r="K127" t="s">
        <v>1357</v>
      </c>
      <c r="L127" t="s">
        <v>1357</v>
      </c>
    </row>
    <row r="128" spans="8:12">
      <c r="H128" t="s">
        <v>677</v>
      </c>
      <c r="I128" t="s">
        <v>1357</v>
      </c>
      <c r="J128" t="s">
        <v>1357</v>
      </c>
      <c r="K128" t="s">
        <v>1357</v>
      </c>
      <c r="L128" t="s">
        <v>1357</v>
      </c>
    </row>
    <row r="129" spans="8:12">
      <c r="H129" t="s">
        <v>678</v>
      </c>
      <c r="I129" t="s">
        <v>1357</v>
      </c>
      <c r="J129" t="s">
        <v>1357</v>
      </c>
      <c r="K129" t="s">
        <v>1357</v>
      </c>
      <c r="L129" t="s">
        <v>1357</v>
      </c>
    </row>
    <row r="130" spans="8:12">
      <c r="H130" t="s">
        <v>679</v>
      </c>
      <c r="I130" t="s">
        <v>1357</v>
      </c>
      <c r="J130" t="s">
        <v>1357</v>
      </c>
      <c r="K130" t="s">
        <v>1357</v>
      </c>
      <c r="L130" t="s">
        <v>1357</v>
      </c>
    </row>
    <row r="131" spans="8:12">
      <c r="H131" t="s">
        <v>680</v>
      </c>
      <c r="I131" t="s">
        <v>1357</v>
      </c>
      <c r="J131" t="s">
        <v>1357</v>
      </c>
      <c r="K131" t="s">
        <v>1357</v>
      </c>
      <c r="L131" t="s">
        <v>1357</v>
      </c>
    </row>
    <row r="132" spans="8:12">
      <c r="H132" t="s">
        <v>681</v>
      </c>
      <c r="I132" t="s">
        <v>1357</v>
      </c>
      <c r="J132" t="s">
        <v>1357</v>
      </c>
      <c r="K132" t="s">
        <v>1357</v>
      </c>
      <c r="L132" t="s">
        <v>1357</v>
      </c>
    </row>
    <row r="133" spans="8:12">
      <c r="H133" t="s">
        <v>682</v>
      </c>
      <c r="I133" t="s">
        <v>1357</v>
      </c>
      <c r="J133" t="s">
        <v>1357</v>
      </c>
      <c r="K133" t="s">
        <v>1357</v>
      </c>
      <c r="L133" t="s">
        <v>1357</v>
      </c>
    </row>
    <row r="134" spans="8:12">
      <c r="H134" t="s">
        <v>683</v>
      </c>
      <c r="I134" t="s">
        <v>1357</v>
      </c>
      <c r="J134" t="s">
        <v>1357</v>
      </c>
      <c r="K134" t="s">
        <v>1357</v>
      </c>
      <c r="L134" t="s">
        <v>1357</v>
      </c>
    </row>
    <row r="135" spans="8:12">
      <c r="H135" t="s">
        <v>684</v>
      </c>
      <c r="I135" t="s">
        <v>1357</v>
      </c>
      <c r="J135" t="s">
        <v>1357</v>
      </c>
      <c r="K135" t="s">
        <v>1357</v>
      </c>
      <c r="L135" t="s">
        <v>1357</v>
      </c>
    </row>
    <row r="136" spans="8:12">
      <c r="H136" t="s">
        <v>685</v>
      </c>
      <c r="I136" t="s">
        <v>1357</v>
      </c>
      <c r="J136" t="s">
        <v>1357</v>
      </c>
      <c r="K136" t="s">
        <v>1357</v>
      </c>
      <c r="L136" t="s">
        <v>1357</v>
      </c>
    </row>
    <row r="137" spans="8:12">
      <c r="H137" t="s">
        <v>686</v>
      </c>
      <c r="I137" t="s">
        <v>1357</v>
      </c>
      <c r="J137" t="s">
        <v>1357</v>
      </c>
      <c r="K137" t="s">
        <v>1357</v>
      </c>
      <c r="L137" t="s">
        <v>1357</v>
      </c>
    </row>
    <row r="138" spans="8:12">
      <c r="H138" t="s">
        <v>687</v>
      </c>
      <c r="I138" t="s">
        <v>1357</v>
      </c>
      <c r="J138" t="s">
        <v>1357</v>
      </c>
      <c r="K138" t="s">
        <v>1357</v>
      </c>
      <c r="L138" t="s">
        <v>1357</v>
      </c>
    </row>
    <row r="139" spans="8:12">
      <c r="H139" t="s">
        <v>688</v>
      </c>
      <c r="I139" t="s">
        <v>1357</v>
      </c>
      <c r="J139" t="s">
        <v>1357</v>
      </c>
      <c r="K139" t="s">
        <v>1357</v>
      </c>
      <c r="L139" t="s">
        <v>1357</v>
      </c>
    </row>
    <row r="140" spans="8:12">
      <c r="H140" t="s">
        <v>689</v>
      </c>
      <c r="I140" t="s">
        <v>1357</v>
      </c>
      <c r="J140" t="s">
        <v>1357</v>
      </c>
      <c r="K140" t="s">
        <v>1357</v>
      </c>
      <c r="L140" t="s">
        <v>1357</v>
      </c>
    </row>
    <row r="141" spans="8:12">
      <c r="H141" t="s">
        <v>690</v>
      </c>
      <c r="I141" t="s">
        <v>1357</v>
      </c>
      <c r="J141" t="s">
        <v>1357</v>
      </c>
      <c r="K141" t="s">
        <v>1357</v>
      </c>
      <c r="L141" t="s">
        <v>1357</v>
      </c>
    </row>
    <row r="142" spans="8:12">
      <c r="H142" t="s">
        <v>691</v>
      </c>
      <c r="I142" t="s">
        <v>1357</v>
      </c>
      <c r="J142" t="s">
        <v>1357</v>
      </c>
      <c r="K142" t="s">
        <v>1357</v>
      </c>
      <c r="L142" t="s">
        <v>1357</v>
      </c>
    </row>
    <row r="143" spans="8:12">
      <c r="H143" t="s">
        <v>692</v>
      </c>
      <c r="I143" t="s">
        <v>1357</v>
      </c>
      <c r="J143" t="s">
        <v>1357</v>
      </c>
      <c r="K143" t="s">
        <v>1357</v>
      </c>
      <c r="L143" t="s">
        <v>1357</v>
      </c>
    </row>
    <row r="144" spans="8:12">
      <c r="H144" t="s">
        <v>693</v>
      </c>
      <c r="I144" t="s">
        <v>1357</v>
      </c>
      <c r="J144" t="s">
        <v>1357</v>
      </c>
      <c r="K144" t="s">
        <v>1357</v>
      </c>
      <c r="L144" t="s">
        <v>1357</v>
      </c>
    </row>
    <row r="145" spans="8:12">
      <c r="H145" t="s">
        <v>694</v>
      </c>
      <c r="I145" t="s">
        <v>1357</v>
      </c>
      <c r="J145" t="s">
        <v>1357</v>
      </c>
      <c r="K145" t="s">
        <v>1357</v>
      </c>
      <c r="L145" t="s">
        <v>1357</v>
      </c>
    </row>
    <row r="146" spans="8:12">
      <c r="H146" t="s">
        <v>695</v>
      </c>
      <c r="I146" t="s">
        <v>1357</v>
      </c>
      <c r="J146" t="s">
        <v>1357</v>
      </c>
      <c r="K146" t="s">
        <v>1357</v>
      </c>
      <c r="L146" t="s">
        <v>1357</v>
      </c>
    </row>
    <row r="147" spans="8:12">
      <c r="H147" t="s">
        <v>696</v>
      </c>
      <c r="I147" t="s">
        <v>1357</v>
      </c>
      <c r="J147" t="s">
        <v>1357</v>
      </c>
      <c r="K147" t="s">
        <v>1357</v>
      </c>
      <c r="L147" t="s">
        <v>1357</v>
      </c>
    </row>
    <row r="148" spans="8:12">
      <c r="H148" t="s">
        <v>697</v>
      </c>
      <c r="I148" t="s">
        <v>1357</v>
      </c>
      <c r="J148" t="s">
        <v>1357</v>
      </c>
      <c r="K148" t="s">
        <v>1357</v>
      </c>
      <c r="L148" t="s">
        <v>1357</v>
      </c>
    </row>
    <row r="149" spans="8:12">
      <c r="H149" t="s">
        <v>698</v>
      </c>
      <c r="I149" t="s">
        <v>1357</v>
      </c>
      <c r="J149" t="s">
        <v>1357</v>
      </c>
      <c r="K149" t="s">
        <v>1357</v>
      </c>
      <c r="L149" t="s">
        <v>1357</v>
      </c>
    </row>
    <row r="150" spans="8:12">
      <c r="H150" t="s">
        <v>699</v>
      </c>
      <c r="I150" t="s">
        <v>1357</v>
      </c>
      <c r="J150" t="s">
        <v>1357</v>
      </c>
      <c r="K150" t="s">
        <v>1357</v>
      </c>
      <c r="L150" t="s">
        <v>1357</v>
      </c>
    </row>
    <row r="151" spans="8:12">
      <c r="H151" t="s">
        <v>700</v>
      </c>
      <c r="I151" t="s">
        <v>1357</v>
      </c>
      <c r="J151" t="s">
        <v>1357</v>
      </c>
      <c r="K151" t="s">
        <v>1357</v>
      </c>
      <c r="L151" t="s">
        <v>1357</v>
      </c>
    </row>
    <row r="152" spans="8:12">
      <c r="H152" t="s">
        <v>701</v>
      </c>
      <c r="I152" t="s">
        <v>1357</v>
      </c>
      <c r="J152" t="s">
        <v>1357</v>
      </c>
      <c r="K152" t="s">
        <v>1357</v>
      </c>
      <c r="L152" t="s">
        <v>1357</v>
      </c>
    </row>
    <row r="153" spans="8:12">
      <c r="H153" t="s">
        <v>702</v>
      </c>
      <c r="I153" t="s">
        <v>1357</v>
      </c>
      <c r="J153" t="s">
        <v>1357</v>
      </c>
      <c r="K153" t="s">
        <v>1357</v>
      </c>
      <c r="L153" t="s">
        <v>1357</v>
      </c>
    </row>
    <row r="154" spans="8:12">
      <c r="H154" t="s">
        <v>703</v>
      </c>
      <c r="I154" t="s">
        <v>1357</v>
      </c>
      <c r="J154" t="s">
        <v>1357</v>
      </c>
      <c r="K154" t="s">
        <v>1357</v>
      </c>
      <c r="L154" t="s">
        <v>1357</v>
      </c>
    </row>
    <row r="155" spans="8:12">
      <c r="H155" t="s">
        <v>704</v>
      </c>
      <c r="I155" t="s">
        <v>1357</v>
      </c>
      <c r="J155" t="s">
        <v>1357</v>
      </c>
      <c r="K155" t="s">
        <v>1357</v>
      </c>
      <c r="L155" t="s">
        <v>1357</v>
      </c>
    </row>
    <row r="156" spans="8:12">
      <c r="H156" t="s">
        <v>705</v>
      </c>
      <c r="I156" t="s">
        <v>1357</v>
      </c>
      <c r="J156" t="s">
        <v>1357</v>
      </c>
      <c r="K156" t="s">
        <v>1357</v>
      </c>
      <c r="L156" t="s">
        <v>1357</v>
      </c>
    </row>
    <row r="157" spans="8:12">
      <c r="H157" t="s">
        <v>706</v>
      </c>
      <c r="I157" t="s">
        <v>1357</v>
      </c>
      <c r="J157" t="s">
        <v>1357</v>
      </c>
      <c r="K157" t="s">
        <v>1357</v>
      </c>
      <c r="L157" t="s">
        <v>1357</v>
      </c>
    </row>
    <row r="158" spans="8:12">
      <c r="H158" t="s">
        <v>707</v>
      </c>
      <c r="I158" t="s">
        <v>1357</v>
      </c>
      <c r="J158" t="s">
        <v>1357</v>
      </c>
      <c r="K158" t="s">
        <v>1357</v>
      </c>
      <c r="L158" t="s">
        <v>1357</v>
      </c>
    </row>
    <row r="159" spans="8:12">
      <c r="H159" t="s">
        <v>708</v>
      </c>
      <c r="I159" t="s">
        <v>1357</v>
      </c>
      <c r="J159" t="s">
        <v>1357</v>
      </c>
      <c r="K159" t="s">
        <v>1357</v>
      </c>
      <c r="L159" t="s">
        <v>1357</v>
      </c>
    </row>
    <row r="160" spans="8:12">
      <c r="H160" t="s">
        <v>709</v>
      </c>
      <c r="I160" t="s">
        <v>1357</v>
      </c>
      <c r="J160" t="s">
        <v>1357</v>
      </c>
      <c r="K160" t="s">
        <v>1357</v>
      </c>
      <c r="L160" t="s">
        <v>1357</v>
      </c>
    </row>
    <row r="161" spans="6:12">
      <c r="H161" t="s">
        <v>710</v>
      </c>
      <c r="I161" t="s">
        <v>1357</v>
      </c>
      <c r="J161" t="s">
        <v>1357</v>
      </c>
      <c r="K161" t="s">
        <v>1357</v>
      </c>
      <c r="L161" t="s">
        <v>1357</v>
      </c>
    </row>
    <row r="162" spans="6:12">
      <c r="H162" t="s">
        <v>711</v>
      </c>
      <c r="I162" t="s">
        <v>1357</v>
      </c>
      <c r="J162" t="s">
        <v>1357</v>
      </c>
      <c r="K162" t="s">
        <v>1357</v>
      </c>
      <c r="L162" t="s">
        <v>1357</v>
      </c>
    </row>
    <row r="163" spans="6:12">
      <c r="H163" t="s">
        <v>712</v>
      </c>
      <c r="I163" t="s">
        <v>1357</v>
      </c>
      <c r="J163" t="s">
        <v>1357</v>
      </c>
      <c r="K163" t="s">
        <v>1357</v>
      </c>
      <c r="L163" t="s">
        <v>1357</v>
      </c>
    </row>
    <row r="164" spans="6:12">
      <c r="H164" t="s">
        <v>713</v>
      </c>
      <c r="I164" t="s">
        <v>1357</v>
      </c>
      <c r="J164" t="s">
        <v>1357</v>
      </c>
      <c r="K164" t="s">
        <v>1357</v>
      </c>
      <c r="L164" t="s">
        <v>1357</v>
      </c>
    </row>
    <row r="165" spans="6:12">
      <c r="H165" t="s">
        <v>714</v>
      </c>
      <c r="I165" t="s">
        <v>1357</v>
      </c>
      <c r="J165" t="s">
        <v>1357</v>
      </c>
      <c r="K165" t="s">
        <v>1357</v>
      </c>
      <c r="L165" t="s">
        <v>1357</v>
      </c>
    </row>
    <row r="166" spans="6:12">
      <c r="H166" t="s">
        <v>715</v>
      </c>
      <c r="I166" t="s">
        <v>1357</v>
      </c>
      <c r="J166" t="s">
        <v>1357</v>
      </c>
      <c r="K166" t="s">
        <v>1357</v>
      </c>
      <c r="L166" t="s">
        <v>1357</v>
      </c>
    </row>
    <row r="167" spans="6:12">
      <c r="H167" t="s">
        <v>716</v>
      </c>
      <c r="I167" t="s">
        <v>1357</v>
      </c>
      <c r="J167" t="s">
        <v>1357</v>
      </c>
      <c r="K167" t="s">
        <v>1357</v>
      </c>
      <c r="L167" t="s">
        <v>1357</v>
      </c>
    </row>
    <row r="168" spans="6:12">
      <c r="H168" t="s">
        <v>717</v>
      </c>
      <c r="I168" t="s">
        <v>1357</v>
      </c>
      <c r="J168" t="s">
        <v>1357</v>
      </c>
      <c r="K168" t="s">
        <v>1357</v>
      </c>
      <c r="L168" t="s">
        <v>1357</v>
      </c>
    </row>
    <row r="169" spans="6:12">
      <c r="H169" t="s">
        <v>718</v>
      </c>
      <c r="I169" t="s">
        <v>1357</v>
      </c>
      <c r="J169" t="s">
        <v>1357</v>
      </c>
      <c r="K169" t="s">
        <v>1357</v>
      </c>
      <c r="L169" t="s">
        <v>1357</v>
      </c>
    </row>
    <row r="170" spans="6:12">
      <c r="H170" t="s">
        <v>719</v>
      </c>
      <c r="I170" t="s">
        <v>1357</v>
      </c>
      <c r="J170" t="s">
        <v>1357</v>
      </c>
      <c r="K170" t="s">
        <v>1357</v>
      </c>
      <c r="L170" t="s">
        <v>1357</v>
      </c>
    </row>
    <row r="171" spans="6:12">
      <c r="H171" t="s">
        <v>720</v>
      </c>
      <c r="I171" t="s">
        <v>1357</v>
      </c>
      <c r="J171" t="s">
        <v>1357</v>
      </c>
      <c r="K171" t="s">
        <v>1357</v>
      </c>
      <c r="L171" t="s">
        <v>1357</v>
      </c>
    </row>
    <row r="172" spans="6:12">
      <c r="H172" t="s">
        <v>721</v>
      </c>
      <c r="I172" t="s">
        <v>1357</v>
      </c>
      <c r="J172" t="s">
        <v>1357</v>
      </c>
      <c r="K172" t="s">
        <v>1357</v>
      </c>
      <c r="L172" t="s">
        <v>1357</v>
      </c>
    </row>
    <row r="173" spans="6:12">
      <c r="H173" t="s">
        <v>722</v>
      </c>
      <c r="I173" t="s">
        <v>1357</v>
      </c>
      <c r="J173" t="s">
        <v>1357</v>
      </c>
      <c r="K173" t="s">
        <v>1357</v>
      </c>
      <c r="L173" t="s">
        <v>1357</v>
      </c>
    </row>
    <row r="174" spans="6:12">
      <c r="H174" t="s">
        <v>723</v>
      </c>
      <c r="I174" t="s">
        <v>1357</v>
      </c>
      <c r="J174" t="s">
        <v>1357</v>
      </c>
      <c r="K174" t="s">
        <v>1357</v>
      </c>
      <c r="L174" t="s">
        <v>1357</v>
      </c>
    </row>
    <row r="175" spans="6:12">
      <c r="F175" t="s">
        <v>314</v>
      </c>
      <c r="G175" t="s">
        <v>455</v>
      </c>
      <c r="H175" t="s">
        <v>724</v>
      </c>
      <c r="I175" t="s">
        <v>1357</v>
      </c>
      <c r="J175" t="s">
        <v>1357</v>
      </c>
      <c r="K175" t="s">
        <v>1357</v>
      </c>
      <c r="L175" t="s">
        <v>1357</v>
      </c>
    </row>
    <row r="176" spans="6:12">
      <c r="H176" t="s">
        <v>725</v>
      </c>
      <c r="I176" t="s">
        <v>1357</v>
      </c>
      <c r="J176" t="s">
        <v>1357</v>
      </c>
      <c r="K176" t="s">
        <v>1357</v>
      </c>
      <c r="L176" t="s">
        <v>1357</v>
      </c>
    </row>
    <row r="177" spans="8:12">
      <c r="H177" t="s">
        <v>726</v>
      </c>
      <c r="I177" t="s">
        <v>1357</v>
      </c>
      <c r="J177" t="s">
        <v>1357</v>
      </c>
      <c r="K177" t="s">
        <v>1357</v>
      </c>
      <c r="L177" t="s">
        <v>1357</v>
      </c>
    </row>
    <row r="178" spans="8:12">
      <c r="H178" t="s">
        <v>727</v>
      </c>
      <c r="I178" t="s">
        <v>1357</v>
      </c>
      <c r="J178" t="s">
        <v>1357</v>
      </c>
      <c r="K178" t="s">
        <v>1357</v>
      </c>
      <c r="L178" t="s">
        <v>1357</v>
      </c>
    </row>
    <row r="179" spans="8:12">
      <c r="H179" t="s">
        <v>728</v>
      </c>
      <c r="I179" t="s">
        <v>1357</v>
      </c>
      <c r="J179" t="s">
        <v>1357</v>
      </c>
      <c r="K179" t="s">
        <v>1357</v>
      </c>
      <c r="L179" t="s">
        <v>1357</v>
      </c>
    </row>
    <row r="180" spans="8:12">
      <c r="H180" t="s">
        <v>729</v>
      </c>
      <c r="I180" t="s">
        <v>1357</v>
      </c>
      <c r="J180" t="s">
        <v>1357</v>
      </c>
      <c r="K180" t="s">
        <v>1357</v>
      </c>
      <c r="L180" t="s">
        <v>1357</v>
      </c>
    </row>
    <row r="181" spans="8:12">
      <c r="H181" t="s">
        <v>730</v>
      </c>
      <c r="I181" t="s">
        <v>1357</v>
      </c>
      <c r="J181" t="s">
        <v>1357</v>
      </c>
      <c r="K181" t="s">
        <v>1357</v>
      </c>
      <c r="L181" t="s">
        <v>1357</v>
      </c>
    </row>
    <row r="182" spans="8:12">
      <c r="H182" t="s">
        <v>731</v>
      </c>
      <c r="I182" t="s">
        <v>1357</v>
      </c>
      <c r="J182" t="s">
        <v>1357</v>
      </c>
      <c r="K182" t="s">
        <v>1357</v>
      </c>
      <c r="L182" t="s">
        <v>1357</v>
      </c>
    </row>
    <row r="183" spans="8:12">
      <c r="H183" t="s">
        <v>732</v>
      </c>
      <c r="I183" t="s">
        <v>1357</v>
      </c>
      <c r="J183" t="s">
        <v>1357</v>
      </c>
      <c r="K183" t="s">
        <v>1357</v>
      </c>
      <c r="L183" t="s">
        <v>1357</v>
      </c>
    </row>
    <row r="184" spans="8:12">
      <c r="H184" t="s">
        <v>733</v>
      </c>
      <c r="I184" t="s">
        <v>1357</v>
      </c>
      <c r="J184" t="s">
        <v>1357</v>
      </c>
      <c r="K184" t="s">
        <v>1357</v>
      </c>
      <c r="L184" t="s">
        <v>1357</v>
      </c>
    </row>
    <row r="185" spans="8:12">
      <c r="H185" t="s">
        <v>734</v>
      </c>
      <c r="I185" t="s">
        <v>1357</v>
      </c>
      <c r="J185" t="s">
        <v>1357</v>
      </c>
      <c r="K185" t="s">
        <v>1357</v>
      </c>
      <c r="L185" t="s">
        <v>1357</v>
      </c>
    </row>
    <row r="186" spans="8:12">
      <c r="H186" t="s">
        <v>735</v>
      </c>
      <c r="I186" t="s">
        <v>1357</v>
      </c>
      <c r="J186" t="s">
        <v>1357</v>
      </c>
      <c r="K186" t="s">
        <v>1357</v>
      </c>
      <c r="L186" t="s">
        <v>1357</v>
      </c>
    </row>
    <row r="187" spans="8:12">
      <c r="H187" t="s">
        <v>736</v>
      </c>
      <c r="I187" t="s">
        <v>1357</v>
      </c>
      <c r="J187" t="s">
        <v>1357</v>
      </c>
      <c r="K187" t="s">
        <v>1357</v>
      </c>
      <c r="L187" t="s">
        <v>1357</v>
      </c>
    </row>
    <row r="188" spans="8:12">
      <c r="H188" t="s">
        <v>737</v>
      </c>
      <c r="I188" t="s">
        <v>1357</v>
      </c>
      <c r="J188" t="s">
        <v>1357</v>
      </c>
      <c r="K188" t="s">
        <v>1357</v>
      </c>
      <c r="L188" t="s">
        <v>1357</v>
      </c>
    </row>
    <row r="189" spans="8:12">
      <c r="H189" t="s">
        <v>738</v>
      </c>
      <c r="I189" t="s">
        <v>1357</v>
      </c>
      <c r="J189" t="s">
        <v>1357</v>
      </c>
      <c r="K189" t="s">
        <v>1357</v>
      </c>
      <c r="L189" t="s">
        <v>1357</v>
      </c>
    </row>
    <row r="190" spans="8:12">
      <c r="H190" t="s">
        <v>739</v>
      </c>
      <c r="I190" t="s">
        <v>1357</v>
      </c>
      <c r="J190" t="s">
        <v>1357</v>
      </c>
      <c r="K190" t="s">
        <v>1357</v>
      </c>
      <c r="L190" t="s">
        <v>1357</v>
      </c>
    </row>
    <row r="191" spans="8:12">
      <c r="H191" t="s">
        <v>740</v>
      </c>
      <c r="I191" t="s">
        <v>1357</v>
      </c>
      <c r="J191" t="s">
        <v>1357</v>
      </c>
      <c r="K191" t="s">
        <v>1357</v>
      </c>
      <c r="L191" t="s">
        <v>1357</v>
      </c>
    </row>
    <row r="192" spans="8:12">
      <c r="H192" t="s">
        <v>741</v>
      </c>
      <c r="I192" t="s">
        <v>1357</v>
      </c>
      <c r="J192" t="s">
        <v>1357</v>
      </c>
      <c r="K192" t="s">
        <v>1357</v>
      </c>
      <c r="L192" t="s">
        <v>1357</v>
      </c>
    </row>
    <row r="193" spans="8:12">
      <c r="H193" t="s">
        <v>742</v>
      </c>
      <c r="I193" t="s">
        <v>1357</v>
      </c>
      <c r="J193" t="s">
        <v>1357</v>
      </c>
      <c r="K193" t="s">
        <v>1357</v>
      </c>
      <c r="L193" t="s">
        <v>1357</v>
      </c>
    </row>
    <row r="194" spans="8:12">
      <c r="H194" t="s">
        <v>743</v>
      </c>
      <c r="I194" t="s">
        <v>1357</v>
      </c>
      <c r="J194" t="s">
        <v>1357</v>
      </c>
      <c r="K194" t="s">
        <v>1357</v>
      </c>
      <c r="L194" t="s">
        <v>1357</v>
      </c>
    </row>
    <row r="195" spans="8:12">
      <c r="H195" t="s">
        <v>744</v>
      </c>
      <c r="I195" t="s">
        <v>1357</v>
      </c>
      <c r="J195" t="s">
        <v>1357</v>
      </c>
      <c r="K195" t="s">
        <v>1357</v>
      </c>
      <c r="L195" t="s">
        <v>1357</v>
      </c>
    </row>
    <row r="196" spans="8:12">
      <c r="H196" t="s">
        <v>745</v>
      </c>
      <c r="I196" t="s">
        <v>1357</v>
      </c>
      <c r="J196" t="s">
        <v>1357</v>
      </c>
      <c r="K196" t="s">
        <v>1357</v>
      </c>
      <c r="L196" t="s">
        <v>1357</v>
      </c>
    </row>
    <row r="197" spans="8:12">
      <c r="H197" t="s">
        <v>746</v>
      </c>
      <c r="I197" t="s">
        <v>1357</v>
      </c>
      <c r="J197" t="s">
        <v>1357</v>
      </c>
      <c r="K197" t="s">
        <v>1357</v>
      </c>
      <c r="L197" t="s">
        <v>1357</v>
      </c>
    </row>
    <row r="198" spans="8:12">
      <c r="H198" t="s">
        <v>747</v>
      </c>
      <c r="I198" t="s">
        <v>1357</v>
      </c>
      <c r="J198" t="s">
        <v>1357</v>
      </c>
      <c r="K198" t="s">
        <v>1357</v>
      </c>
      <c r="L198" t="s">
        <v>1357</v>
      </c>
    </row>
    <row r="199" spans="8:12">
      <c r="H199" t="s">
        <v>748</v>
      </c>
      <c r="I199" t="s">
        <v>1357</v>
      </c>
      <c r="J199" t="s">
        <v>1357</v>
      </c>
      <c r="K199" t="s">
        <v>1357</v>
      </c>
      <c r="L199" t="s">
        <v>1357</v>
      </c>
    </row>
    <row r="200" spans="8:12">
      <c r="H200" t="s">
        <v>749</v>
      </c>
      <c r="I200" t="s">
        <v>1357</v>
      </c>
      <c r="J200" t="s">
        <v>1357</v>
      </c>
      <c r="K200" t="s">
        <v>1357</v>
      </c>
      <c r="L200" t="s">
        <v>1357</v>
      </c>
    </row>
    <row r="201" spans="8:12">
      <c r="H201" t="s">
        <v>750</v>
      </c>
      <c r="I201" t="s">
        <v>1357</v>
      </c>
      <c r="J201" t="s">
        <v>1357</v>
      </c>
      <c r="K201" t="s">
        <v>1357</v>
      </c>
      <c r="L201" t="s">
        <v>1357</v>
      </c>
    </row>
    <row r="202" spans="8:12">
      <c r="H202" t="s">
        <v>751</v>
      </c>
      <c r="I202" t="s">
        <v>1357</v>
      </c>
      <c r="J202" t="s">
        <v>1357</v>
      </c>
      <c r="K202" t="s">
        <v>1357</v>
      </c>
      <c r="L202" t="s">
        <v>1357</v>
      </c>
    </row>
    <row r="203" spans="8:12">
      <c r="H203" t="s">
        <v>752</v>
      </c>
      <c r="I203" t="s">
        <v>1357</v>
      </c>
      <c r="J203" t="s">
        <v>1357</v>
      </c>
      <c r="K203" t="s">
        <v>1357</v>
      </c>
      <c r="L203" t="s">
        <v>1357</v>
      </c>
    </row>
    <row r="204" spans="8:12">
      <c r="H204" t="s">
        <v>753</v>
      </c>
      <c r="I204" t="s">
        <v>1357</v>
      </c>
      <c r="J204" t="s">
        <v>1357</v>
      </c>
      <c r="K204" t="s">
        <v>1357</v>
      </c>
      <c r="L204" t="s">
        <v>1357</v>
      </c>
    </row>
    <row r="205" spans="8:12">
      <c r="H205" t="s">
        <v>754</v>
      </c>
      <c r="I205" t="s">
        <v>1357</v>
      </c>
      <c r="J205" t="s">
        <v>1357</v>
      </c>
      <c r="K205" t="s">
        <v>1357</v>
      </c>
      <c r="L205" t="s">
        <v>1357</v>
      </c>
    </row>
    <row r="206" spans="8:12">
      <c r="H206" t="s">
        <v>755</v>
      </c>
      <c r="I206" t="s">
        <v>1357</v>
      </c>
      <c r="J206" t="s">
        <v>1357</v>
      </c>
      <c r="K206" t="s">
        <v>1357</v>
      </c>
      <c r="L206" t="s">
        <v>1357</v>
      </c>
    </row>
    <row r="207" spans="8:12">
      <c r="H207" t="s">
        <v>756</v>
      </c>
      <c r="I207" t="s">
        <v>1357</v>
      </c>
      <c r="J207" t="s">
        <v>1357</v>
      </c>
      <c r="K207" t="s">
        <v>1357</v>
      </c>
      <c r="L207" t="s">
        <v>1357</v>
      </c>
    </row>
    <row r="208" spans="8:12">
      <c r="H208" t="s">
        <v>757</v>
      </c>
      <c r="I208" t="s">
        <v>1357</v>
      </c>
      <c r="J208" t="s">
        <v>1357</v>
      </c>
      <c r="K208" t="s">
        <v>1357</v>
      </c>
      <c r="L208" t="s">
        <v>1357</v>
      </c>
    </row>
    <row r="209" spans="1:14">
      <c r="H209" t="s">
        <v>758</v>
      </c>
      <c r="I209" t="s">
        <v>1357</v>
      </c>
      <c r="J209" t="s">
        <v>1357</v>
      </c>
      <c r="K209" t="s">
        <v>1357</v>
      </c>
      <c r="L209" t="s">
        <v>1357</v>
      </c>
    </row>
    <row r="210" spans="1:14">
      <c r="A210" t="s">
        <v>21</v>
      </c>
      <c r="B210">
        <f>HYPERLINK("https://github.com/apache/commons-lang/commit/73ee6c3d270a91bd447f732b24c4d65169b0c8d6", "73ee6c3d270a91bd447f732b24c4d65169b0c8d6")</f>
        <v>0</v>
      </c>
      <c r="C210">
        <f>HYPERLINK("https://github.com/apache/commons-lang/commit/9bb3f9b9a3e513cbac7f02d6ee97995d741d09de", "9bb3f9b9a3e513cbac7f02d6ee97995d741d09de")</f>
        <v>0</v>
      </c>
      <c r="D210" t="s">
        <v>150</v>
      </c>
      <c r="E210" t="s">
        <v>177</v>
      </c>
      <c r="F210" t="s">
        <v>315</v>
      </c>
      <c r="G210" t="s">
        <v>456</v>
      </c>
      <c r="H210" t="s">
        <v>759</v>
      </c>
      <c r="I210" t="s">
        <v>1357</v>
      </c>
      <c r="J210" t="s">
        <v>1357</v>
      </c>
      <c r="K210" t="s">
        <v>1357</v>
      </c>
      <c r="L210" t="s">
        <v>1357</v>
      </c>
    </row>
    <row r="211" spans="1:14">
      <c r="H211" t="s">
        <v>760</v>
      </c>
      <c r="I211" t="s">
        <v>1358</v>
      </c>
      <c r="J211" t="s">
        <v>1358</v>
      </c>
      <c r="K211" t="s">
        <v>1358</v>
      </c>
      <c r="L211" t="s">
        <v>1358</v>
      </c>
    </row>
    <row r="212" spans="1:14">
      <c r="H212" t="s">
        <v>761</v>
      </c>
      <c r="I212" t="s">
        <v>1358</v>
      </c>
      <c r="J212" t="s">
        <v>1358</v>
      </c>
      <c r="K212" t="s">
        <v>1358</v>
      </c>
      <c r="L212" t="s">
        <v>1358</v>
      </c>
    </row>
    <row r="213" spans="1:14">
      <c r="H213" t="s">
        <v>762</v>
      </c>
      <c r="I213" t="s">
        <v>1359</v>
      </c>
      <c r="J213" t="s">
        <v>1357</v>
      </c>
      <c r="K213" t="s">
        <v>1358</v>
      </c>
      <c r="L213" t="s">
        <v>1357</v>
      </c>
    </row>
    <row r="214" spans="1:14">
      <c r="H214" t="s">
        <v>763</v>
      </c>
      <c r="I214" t="s">
        <v>1358</v>
      </c>
      <c r="J214" t="s">
        <v>1358</v>
      </c>
      <c r="K214" t="s">
        <v>1358</v>
      </c>
      <c r="L214" t="s">
        <v>1358</v>
      </c>
    </row>
    <row r="215" spans="1:14">
      <c r="H215" t="s">
        <v>764</v>
      </c>
      <c r="I215" t="s">
        <v>1357</v>
      </c>
      <c r="J215" t="s">
        <v>1357</v>
      </c>
      <c r="K215" t="s">
        <v>1357</v>
      </c>
      <c r="L215" t="s">
        <v>1357</v>
      </c>
    </row>
    <row r="216" spans="1:14">
      <c r="A216" t="s">
        <v>22</v>
      </c>
      <c r="B216">
        <f>HYPERLINK("https://github.com/apache/commons-lang/commit/7e0990ccccee73e86c8aed976047e7fef65e27c0", "7e0990ccccee73e86c8aed976047e7fef65e27c0")</f>
        <v>0</v>
      </c>
      <c r="C216">
        <f>HYPERLINK("https://github.com/apache/commons-lang/commit/6c009fd7820c74bac251565bfee7999bb831ba38", "6c009fd7820c74bac251565bfee7999bb831ba38")</f>
        <v>0</v>
      </c>
      <c r="D216" t="s">
        <v>150</v>
      </c>
      <c r="E216" t="s">
        <v>178</v>
      </c>
      <c r="F216" t="s">
        <v>316</v>
      </c>
      <c r="G216" t="s">
        <v>457</v>
      </c>
      <c r="H216" t="s">
        <v>765</v>
      </c>
      <c r="I216" t="s">
        <v>1358</v>
      </c>
      <c r="J216" t="s">
        <v>1358</v>
      </c>
      <c r="K216" t="s">
        <v>1358</v>
      </c>
      <c r="L216" t="s">
        <v>1358</v>
      </c>
      <c r="N216" t="s">
        <v>1370</v>
      </c>
    </row>
    <row r="217" spans="1:14">
      <c r="A217" t="s">
        <v>23</v>
      </c>
      <c r="B217">
        <f>HYPERLINK("https://github.com/apache/commons-lang/commit/895cedb4049f691516460a6f39eca37411fb5dcf", "895cedb4049f691516460a6f39eca37411fb5dcf")</f>
        <v>0</v>
      </c>
      <c r="C217">
        <f>HYPERLINK("https://github.com/apache/commons-lang/commit/9001aa26130dd9b48d58dd7c8aab9deafc1154d6", "9001aa26130dd9b48d58dd7c8aab9deafc1154d6")</f>
        <v>0</v>
      </c>
      <c r="D217" t="s">
        <v>150</v>
      </c>
      <c r="E217" t="s">
        <v>179</v>
      </c>
      <c r="F217" t="s">
        <v>316</v>
      </c>
      <c r="G217" t="s">
        <v>457</v>
      </c>
      <c r="H217" t="s">
        <v>766</v>
      </c>
      <c r="I217" t="s">
        <v>1359</v>
      </c>
      <c r="J217" t="s">
        <v>1358</v>
      </c>
      <c r="K217" t="s">
        <v>1357</v>
      </c>
      <c r="L217" t="s">
        <v>1358</v>
      </c>
      <c r="N217" t="s">
        <v>1369</v>
      </c>
    </row>
    <row r="218" spans="1:14">
      <c r="H218" t="s">
        <v>767</v>
      </c>
      <c r="I218" t="s">
        <v>1359</v>
      </c>
      <c r="J218" t="s">
        <v>1358</v>
      </c>
      <c r="K218" t="s">
        <v>1357</v>
      </c>
      <c r="L218" t="s">
        <v>1358</v>
      </c>
      <c r="N218" t="s">
        <v>1369</v>
      </c>
    </row>
    <row r="219" spans="1:14">
      <c r="H219" t="s">
        <v>768</v>
      </c>
      <c r="I219" t="s">
        <v>1359</v>
      </c>
      <c r="J219" t="s">
        <v>1358</v>
      </c>
      <c r="K219" t="s">
        <v>1357</v>
      </c>
      <c r="L219" t="s">
        <v>1358</v>
      </c>
      <c r="N219" t="s">
        <v>1369</v>
      </c>
    </row>
    <row r="220" spans="1:14">
      <c r="A220" t="s">
        <v>24</v>
      </c>
      <c r="B220">
        <f>HYPERLINK("https://github.com/apache/commons-lang/commit/9ea271c0c7027120638d59f0c022594dfe10c7cc", "9ea271c0c7027120638d59f0c022594dfe10c7cc")</f>
        <v>0</v>
      </c>
      <c r="C220">
        <f>HYPERLINK("https://github.com/apache/commons-lang/commit/895cedb4049f691516460a6f39eca37411fb5dcf", "895cedb4049f691516460a6f39eca37411fb5dcf")</f>
        <v>0</v>
      </c>
      <c r="D220" t="s">
        <v>150</v>
      </c>
      <c r="E220" t="s">
        <v>180</v>
      </c>
      <c r="F220" t="s">
        <v>305</v>
      </c>
      <c r="G220" t="s">
        <v>446</v>
      </c>
      <c r="H220" t="s">
        <v>769</v>
      </c>
      <c r="I220" t="s">
        <v>1357</v>
      </c>
      <c r="J220" t="s">
        <v>1357</v>
      </c>
      <c r="K220" t="s">
        <v>1357</v>
      </c>
      <c r="L220" t="s">
        <v>1357</v>
      </c>
    </row>
    <row r="221" spans="1:14">
      <c r="H221" t="s">
        <v>770</v>
      </c>
      <c r="I221" t="s">
        <v>1357</v>
      </c>
      <c r="J221" t="s">
        <v>1357</v>
      </c>
      <c r="K221" t="s">
        <v>1357</v>
      </c>
      <c r="L221" t="s">
        <v>1357</v>
      </c>
    </row>
    <row r="222" spans="1:14">
      <c r="H222" t="s">
        <v>771</v>
      </c>
      <c r="I222" t="s">
        <v>1357</v>
      </c>
      <c r="J222" t="s">
        <v>1357</v>
      </c>
      <c r="K222" t="s">
        <v>1357</v>
      </c>
      <c r="L222" t="s">
        <v>1357</v>
      </c>
    </row>
    <row r="223" spans="1:14">
      <c r="H223" t="s">
        <v>772</v>
      </c>
      <c r="I223" t="s">
        <v>1357</v>
      </c>
      <c r="J223" t="s">
        <v>1357</v>
      </c>
      <c r="K223" t="s">
        <v>1357</v>
      </c>
      <c r="L223" t="s">
        <v>1357</v>
      </c>
    </row>
    <row r="224" spans="1:14">
      <c r="H224" t="s">
        <v>773</v>
      </c>
      <c r="I224" t="s">
        <v>1357</v>
      </c>
      <c r="J224" t="s">
        <v>1357</v>
      </c>
      <c r="K224" t="s">
        <v>1357</v>
      </c>
      <c r="L224" t="s">
        <v>1357</v>
      </c>
    </row>
    <row r="225" spans="1:14">
      <c r="A225" t="s">
        <v>25</v>
      </c>
      <c r="B225">
        <f>HYPERLINK("https://github.com/apache/commons-lang/commit/4c1e760dd8a93c118190c41bf911818ccf29ff27", "4c1e760dd8a93c118190c41bf911818ccf29ff27")</f>
        <v>0</v>
      </c>
      <c r="C225">
        <f>HYPERLINK("https://github.com/apache/commons-lang/commit/5d5af479953f8282959a0f9acbbcfb67c7d9a403", "5d5af479953f8282959a0f9acbbcfb67c7d9a403")</f>
        <v>0</v>
      </c>
      <c r="D225" t="s">
        <v>150</v>
      </c>
      <c r="E225" t="s">
        <v>181</v>
      </c>
      <c r="F225" t="s">
        <v>305</v>
      </c>
      <c r="G225" t="s">
        <v>446</v>
      </c>
      <c r="H225" t="s">
        <v>774</v>
      </c>
      <c r="I225" t="s">
        <v>1358</v>
      </c>
      <c r="J225" t="s">
        <v>1358</v>
      </c>
      <c r="K225" t="s">
        <v>1358</v>
      </c>
      <c r="L225" t="s">
        <v>1358</v>
      </c>
      <c r="N225" t="s">
        <v>1369</v>
      </c>
    </row>
    <row r="226" spans="1:14">
      <c r="A226" t="s">
        <v>26</v>
      </c>
      <c r="B226">
        <f>HYPERLINK("https://github.com/apache/commons-lang/commit/f434e7ba71f1f75cb0a31e78d9054196e1c5375b", "f434e7ba71f1f75cb0a31e78d9054196e1c5375b")</f>
        <v>0</v>
      </c>
      <c r="C226">
        <f>HYPERLINK("https://github.com/apache/commons-lang/commit/d381baaf330178e08595a7ac72e4c97729fef4c7", "d381baaf330178e08595a7ac72e4c97729fef4c7")</f>
        <v>0</v>
      </c>
      <c r="D226" t="s">
        <v>150</v>
      </c>
      <c r="E226" t="s">
        <v>182</v>
      </c>
      <c r="F226" t="s">
        <v>317</v>
      </c>
      <c r="G226" t="s">
        <v>458</v>
      </c>
      <c r="H226" t="s">
        <v>775</v>
      </c>
      <c r="I226" t="s">
        <v>1358</v>
      </c>
      <c r="J226" t="s">
        <v>1358</v>
      </c>
      <c r="K226" t="s">
        <v>1358</v>
      </c>
      <c r="L226" t="s">
        <v>1358</v>
      </c>
      <c r="N226" t="s">
        <v>1369</v>
      </c>
    </row>
    <row r="227" spans="1:14">
      <c r="H227" t="s">
        <v>776</v>
      </c>
      <c r="I227" t="s">
        <v>1358</v>
      </c>
      <c r="J227" t="s">
        <v>1358</v>
      </c>
      <c r="K227" t="s">
        <v>1358</v>
      </c>
      <c r="L227" t="s">
        <v>1358</v>
      </c>
      <c r="N227" t="s">
        <v>1369</v>
      </c>
    </row>
    <row r="228" spans="1:14">
      <c r="H228" t="s">
        <v>777</v>
      </c>
      <c r="I228" t="s">
        <v>1358</v>
      </c>
      <c r="J228" t="s">
        <v>1358</v>
      </c>
      <c r="K228" t="s">
        <v>1358</v>
      </c>
    </row>
    <row r="229" spans="1:14">
      <c r="H229" t="s">
        <v>778</v>
      </c>
      <c r="I229" t="s">
        <v>1359</v>
      </c>
      <c r="J229" t="s">
        <v>1357</v>
      </c>
      <c r="K229" t="s">
        <v>1357</v>
      </c>
      <c r="L229" t="s">
        <v>1358</v>
      </c>
      <c r="N229" t="s">
        <v>1369</v>
      </c>
    </row>
    <row r="230" spans="1:14">
      <c r="H230" t="s">
        <v>779</v>
      </c>
      <c r="I230" t="s">
        <v>1359</v>
      </c>
      <c r="J230" t="s">
        <v>1357</v>
      </c>
      <c r="K230" t="s">
        <v>1357</v>
      </c>
      <c r="L230" t="s">
        <v>1358</v>
      </c>
      <c r="N230" t="s">
        <v>1369</v>
      </c>
    </row>
    <row r="231" spans="1:14">
      <c r="A231" t="s">
        <v>27</v>
      </c>
      <c r="B231">
        <f>HYPERLINK("https://github.com/apache/commons-lang/commit/7ff6e3a30f0ef1589fe058fcc5a54b1a07fba3eb", "7ff6e3a30f0ef1589fe058fcc5a54b1a07fba3eb")</f>
        <v>0</v>
      </c>
      <c r="C231">
        <f>HYPERLINK("https://github.com/apache/commons-lang/commit/d33605dfc9c98234db8c330aee889d6cd4e0ba91", "d33605dfc9c98234db8c330aee889d6cd4e0ba91")</f>
        <v>0</v>
      </c>
      <c r="D231" t="s">
        <v>150</v>
      </c>
      <c r="E231" t="s">
        <v>183</v>
      </c>
      <c r="F231" t="s">
        <v>305</v>
      </c>
      <c r="G231" t="s">
        <v>446</v>
      </c>
      <c r="H231" t="s">
        <v>780</v>
      </c>
      <c r="I231" t="s">
        <v>1359</v>
      </c>
      <c r="J231" t="s">
        <v>1358</v>
      </c>
      <c r="K231" t="s">
        <v>1357</v>
      </c>
      <c r="L231" t="s">
        <v>1358</v>
      </c>
      <c r="N231" t="s">
        <v>1369</v>
      </c>
    </row>
    <row r="232" spans="1:14">
      <c r="H232" t="s">
        <v>781</v>
      </c>
      <c r="I232" t="s">
        <v>1359</v>
      </c>
      <c r="J232" t="s">
        <v>1358</v>
      </c>
      <c r="K232" t="s">
        <v>1357</v>
      </c>
      <c r="L232" t="s">
        <v>1358</v>
      </c>
      <c r="N232" t="s">
        <v>1369</v>
      </c>
    </row>
    <row r="233" spans="1:14">
      <c r="H233" t="s">
        <v>782</v>
      </c>
      <c r="I233" t="s">
        <v>1359</v>
      </c>
      <c r="J233" t="s">
        <v>1358</v>
      </c>
      <c r="K233" t="s">
        <v>1357</v>
      </c>
      <c r="L233" t="s">
        <v>1358</v>
      </c>
      <c r="M233" t="s">
        <v>1361</v>
      </c>
      <c r="N233" t="s">
        <v>1369</v>
      </c>
    </row>
    <row r="234" spans="1:14">
      <c r="A234" t="s">
        <v>28</v>
      </c>
      <c r="B234">
        <f>HYPERLINK("https://github.com/apache/commons-lang/commit/c7767ea25b004d44916cbc3eedcdb4601222df7f", "c7767ea25b004d44916cbc3eedcdb4601222df7f")</f>
        <v>0</v>
      </c>
      <c r="C234">
        <f>HYPERLINK("https://github.com/apache/commons-lang/commit/35b8cc4ce3f71d4c130e2a9cf13d2b77ef73ff9e", "35b8cc4ce3f71d4c130e2a9cf13d2b77ef73ff9e")</f>
        <v>0</v>
      </c>
      <c r="D234" t="s">
        <v>150</v>
      </c>
      <c r="E234" t="s">
        <v>184</v>
      </c>
      <c r="F234" t="s">
        <v>317</v>
      </c>
      <c r="G234" t="s">
        <v>458</v>
      </c>
      <c r="H234" t="s">
        <v>783</v>
      </c>
      <c r="I234" t="s">
        <v>1358</v>
      </c>
      <c r="J234" t="s">
        <v>1358</v>
      </c>
      <c r="K234" t="s">
        <v>1358</v>
      </c>
      <c r="M234" t="s">
        <v>1362</v>
      </c>
    </row>
    <row r="235" spans="1:14">
      <c r="A235" t="s">
        <v>29</v>
      </c>
      <c r="B235">
        <f>HYPERLINK("https://github.com/apache/commons-lang/commit/7c2ce42936602f10d2aabbfeb8b9789aeb7e97f3", "7c2ce42936602f10d2aabbfeb8b9789aeb7e97f3")</f>
        <v>0</v>
      </c>
      <c r="C235">
        <f>HYPERLINK("https://github.com/apache/commons-lang/commit/cebf61b873201dc8e97674c15d48bd954fe05496", "cebf61b873201dc8e97674c15d48bd954fe05496")</f>
        <v>0</v>
      </c>
      <c r="D235" t="s">
        <v>151</v>
      </c>
      <c r="E235" t="s">
        <v>185</v>
      </c>
      <c r="F235" t="s">
        <v>315</v>
      </c>
      <c r="G235" t="s">
        <v>456</v>
      </c>
      <c r="H235" t="s">
        <v>784</v>
      </c>
      <c r="I235" t="s">
        <v>1357</v>
      </c>
      <c r="J235" t="s">
        <v>1357</v>
      </c>
      <c r="K235" t="s">
        <v>1357</v>
      </c>
    </row>
    <row r="236" spans="1:14">
      <c r="A236" t="s">
        <v>30</v>
      </c>
      <c r="B236">
        <f>HYPERLINK("https://github.com/apache/commons-lang/commit/47367eb9ab75a06a1b2606790813ee6cb1ed6196", "47367eb9ab75a06a1b2606790813ee6cb1ed6196")</f>
        <v>0</v>
      </c>
      <c r="C236">
        <f>HYPERLINK("https://github.com/apache/commons-lang/commit/b75b09afe0be9fd009b1290b5ce75dcf1144b226", "b75b09afe0be9fd009b1290b5ce75dcf1144b226")</f>
        <v>0</v>
      </c>
      <c r="D236" t="s">
        <v>150</v>
      </c>
      <c r="E236" t="s">
        <v>186</v>
      </c>
      <c r="F236" t="s">
        <v>318</v>
      </c>
      <c r="G236" t="s">
        <v>459</v>
      </c>
      <c r="H236" t="s">
        <v>785</v>
      </c>
      <c r="I236" t="s">
        <v>1357</v>
      </c>
      <c r="J236" t="s">
        <v>1357</v>
      </c>
      <c r="K236" t="s">
        <v>1357</v>
      </c>
      <c r="L236" t="s">
        <v>1357</v>
      </c>
    </row>
    <row r="237" spans="1:14">
      <c r="H237" t="s">
        <v>786</v>
      </c>
      <c r="I237" t="s">
        <v>1357</v>
      </c>
      <c r="J237" t="s">
        <v>1357</v>
      </c>
      <c r="K237" t="s">
        <v>1357</v>
      </c>
      <c r="L237" t="s">
        <v>1357</v>
      </c>
    </row>
    <row r="238" spans="1:14">
      <c r="H238" t="s">
        <v>787</v>
      </c>
      <c r="I238" t="s">
        <v>1357</v>
      </c>
      <c r="J238" t="s">
        <v>1357</v>
      </c>
      <c r="K238" t="s">
        <v>1357</v>
      </c>
      <c r="L238" t="s">
        <v>1357</v>
      </c>
    </row>
    <row r="239" spans="1:14">
      <c r="H239" t="s">
        <v>788</v>
      </c>
      <c r="I239" t="s">
        <v>1357</v>
      </c>
      <c r="J239" t="s">
        <v>1357</v>
      </c>
      <c r="K239" t="s">
        <v>1357</v>
      </c>
      <c r="L239" t="s">
        <v>1357</v>
      </c>
    </row>
    <row r="240" spans="1:14">
      <c r="A240" t="s">
        <v>31</v>
      </c>
      <c r="B240">
        <f>HYPERLINK("https://github.com/apache/commons-lang/commit/8d36a61bb5fc171f043d1cdcf8ab0b6c070ecb85", "8d36a61bb5fc171f043d1cdcf8ab0b6c070ecb85")</f>
        <v>0</v>
      </c>
      <c r="C240">
        <f>HYPERLINK("https://github.com/apache/commons-lang/commit/73031bac987aa02325d53b795400c1b674bc086f", "73031bac987aa02325d53b795400c1b674bc086f")</f>
        <v>0</v>
      </c>
      <c r="D240" t="s">
        <v>150</v>
      </c>
      <c r="E240" t="s">
        <v>187</v>
      </c>
      <c r="F240" t="s">
        <v>319</v>
      </c>
      <c r="G240" t="s">
        <v>460</v>
      </c>
      <c r="H240" t="s">
        <v>789</v>
      </c>
      <c r="I240" t="s">
        <v>1357</v>
      </c>
      <c r="J240" t="s">
        <v>1357</v>
      </c>
      <c r="K240" t="s">
        <v>1357</v>
      </c>
      <c r="L240" t="s">
        <v>1357</v>
      </c>
    </row>
    <row r="241" spans="1:14">
      <c r="A241" t="s">
        <v>32</v>
      </c>
      <c r="B241">
        <f>HYPERLINK("https://github.com/apache/commons-lang/commit/ebebaf310ba43de76c9a1eab83c48cd75a2dd760", "ebebaf310ba43de76c9a1eab83c48cd75a2dd760")</f>
        <v>0</v>
      </c>
      <c r="C241">
        <f>HYPERLINK("https://github.com/apache/commons-lang/commit/0b92157846c1147fc158815860adc0d37f605448", "0b92157846c1147fc158815860adc0d37f605448")</f>
        <v>0</v>
      </c>
      <c r="D241" t="s">
        <v>152</v>
      </c>
      <c r="E241" t="s">
        <v>188</v>
      </c>
      <c r="F241" t="s">
        <v>320</v>
      </c>
      <c r="G241" t="s">
        <v>461</v>
      </c>
      <c r="H241" t="s">
        <v>790</v>
      </c>
      <c r="I241" t="s">
        <v>1358</v>
      </c>
      <c r="J241" t="s">
        <v>1358</v>
      </c>
      <c r="K241" t="s">
        <v>1358</v>
      </c>
      <c r="M241" t="s">
        <v>1363</v>
      </c>
    </row>
    <row r="242" spans="1:14">
      <c r="A242" t="s">
        <v>33</v>
      </c>
      <c r="B242">
        <f>HYPERLINK("https://github.com/apache/commons-lang/commit/5e7cf0ed0e5a457e6e180e83ffbafa0b582e2759", "5e7cf0ed0e5a457e6e180e83ffbafa0b582e2759")</f>
        <v>0</v>
      </c>
      <c r="C242">
        <f>HYPERLINK("https://github.com/apache/commons-lang/commit/9250f20144195398b59244198d693f91ffe1b94d", "9250f20144195398b59244198d693f91ffe1b94d")</f>
        <v>0</v>
      </c>
      <c r="D242" t="s">
        <v>150</v>
      </c>
      <c r="E242" t="s">
        <v>189</v>
      </c>
      <c r="F242" t="s">
        <v>321</v>
      </c>
      <c r="G242" t="s">
        <v>462</v>
      </c>
      <c r="H242" t="s">
        <v>791</v>
      </c>
      <c r="I242" t="s">
        <v>1358</v>
      </c>
      <c r="J242" t="s">
        <v>1358</v>
      </c>
      <c r="K242" t="s">
        <v>1358</v>
      </c>
      <c r="L242" t="s">
        <v>1358</v>
      </c>
      <c r="N242" t="s">
        <v>1369</v>
      </c>
    </row>
    <row r="243" spans="1:14">
      <c r="H243" t="s">
        <v>792</v>
      </c>
      <c r="I243" t="s">
        <v>1358</v>
      </c>
      <c r="J243" t="s">
        <v>1358</v>
      </c>
      <c r="K243" t="s">
        <v>1358</v>
      </c>
      <c r="L243" t="s">
        <v>1358</v>
      </c>
      <c r="N243" t="s">
        <v>1369</v>
      </c>
    </row>
    <row r="244" spans="1:14">
      <c r="H244" t="s">
        <v>793</v>
      </c>
      <c r="I244" t="s">
        <v>1358</v>
      </c>
      <c r="J244" t="s">
        <v>1358</v>
      </c>
      <c r="K244" t="s">
        <v>1358</v>
      </c>
      <c r="L244" t="s">
        <v>1358</v>
      </c>
      <c r="N244" t="s">
        <v>1369</v>
      </c>
    </row>
    <row r="245" spans="1:14">
      <c r="H245" t="s">
        <v>794</v>
      </c>
      <c r="I245" t="s">
        <v>1358</v>
      </c>
      <c r="J245" t="s">
        <v>1358</v>
      </c>
      <c r="K245" t="s">
        <v>1358</v>
      </c>
      <c r="L245" t="s">
        <v>1358</v>
      </c>
      <c r="N245" t="s">
        <v>1369</v>
      </c>
    </row>
    <row r="246" spans="1:14">
      <c r="A246" t="s">
        <v>34</v>
      </c>
      <c r="B246">
        <f>HYPERLINK("https://github.com/apache/commons-lang/commit/87f5f094fbe402f2a709c91307bad7210ef7abf2", "87f5f094fbe402f2a709c91307bad7210ef7abf2")</f>
        <v>0</v>
      </c>
      <c r="C246">
        <f>HYPERLINK("https://github.com/apache/commons-lang/commit/5e7cf0ed0e5a457e6e180e83ffbafa0b582e2759", "5e7cf0ed0e5a457e6e180e83ffbafa0b582e2759")</f>
        <v>0</v>
      </c>
      <c r="D246" t="s">
        <v>150</v>
      </c>
      <c r="E246" t="s">
        <v>190</v>
      </c>
      <c r="F246" t="s">
        <v>322</v>
      </c>
      <c r="G246" t="s">
        <v>463</v>
      </c>
      <c r="H246" t="s">
        <v>795</v>
      </c>
      <c r="I246" t="s">
        <v>1357</v>
      </c>
      <c r="J246" t="s">
        <v>1357</v>
      </c>
      <c r="K246" t="s">
        <v>1357</v>
      </c>
      <c r="L246" t="s">
        <v>1357</v>
      </c>
    </row>
    <row r="247" spans="1:14">
      <c r="H247" t="s">
        <v>796</v>
      </c>
      <c r="I247" t="s">
        <v>1357</v>
      </c>
      <c r="J247" t="s">
        <v>1357</v>
      </c>
      <c r="K247" t="s">
        <v>1357</v>
      </c>
      <c r="L247" t="s">
        <v>1357</v>
      </c>
    </row>
    <row r="248" spans="1:14">
      <c r="H248" t="s">
        <v>797</v>
      </c>
      <c r="I248" t="s">
        <v>1357</v>
      </c>
      <c r="J248" t="s">
        <v>1357</v>
      </c>
      <c r="K248" t="s">
        <v>1357</v>
      </c>
      <c r="L248" t="s">
        <v>1357</v>
      </c>
    </row>
    <row r="249" spans="1:14">
      <c r="H249" t="s">
        <v>798</v>
      </c>
      <c r="I249" t="s">
        <v>1357</v>
      </c>
      <c r="J249" t="s">
        <v>1357</v>
      </c>
      <c r="K249" t="s">
        <v>1357</v>
      </c>
      <c r="L249" t="s">
        <v>1357</v>
      </c>
    </row>
    <row r="250" spans="1:14">
      <c r="H250" t="s">
        <v>799</v>
      </c>
      <c r="I250" t="s">
        <v>1357</v>
      </c>
      <c r="J250" t="s">
        <v>1357</v>
      </c>
      <c r="K250" t="s">
        <v>1357</v>
      </c>
      <c r="L250" t="s">
        <v>1357</v>
      </c>
    </row>
    <row r="251" spans="1:14">
      <c r="H251" t="s">
        <v>800</v>
      </c>
      <c r="I251" t="s">
        <v>1357</v>
      </c>
      <c r="J251" t="s">
        <v>1357</v>
      </c>
      <c r="K251" t="s">
        <v>1357</v>
      </c>
      <c r="L251" t="s">
        <v>1357</v>
      </c>
    </row>
    <row r="252" spans="1:14">
      <c r="H252" t="s">
        <v>801</v>
      </c>
      <c r="I252" t="s">
        <v>1357</v>
      </c>
      <c r="J252" t="s">
        <v>1357</v>
      </c>
      <c r="K252" t="s">
        <v>1357</v>
      </c>
      <c r="L252" t="s">
        <v>1357</v>
      </c>
    </row>
    <row r="253" spans="1:14">
      <c r="H253" t="s">
        <v>802</v>
      </c>
      <c r="I253" t="s">
        <v>1357</v>
      </c>
      <c r="J253" t="s">
        <v>1357</v>
      </c>
      <c r="K253" t="s">
        <v>1357</v>
      </c>
      <c r="L253" t="s">
        <v>1357</v>
      </c>
    </row>
    <row r="254" spans="1:14">
      <c r="H254" t="s">
        <v>803</v>
      </c>
      <c r="I254" t="s">
        <v>1357</v>
      </c>
      <c r="J254" t="s">
        <v>1357</v>
      </c>
      <c r="K254" t="s">
        <v>1357</v>
      </c>
      <c r="L254" t="s">
        <v>1357</v>
      </c>
    </row>
    <row r="255" spans="1:14">
      <c r="H255" t="s">
        <v>804</v>
      </c>
      <c r="I255" t="s">
        <v>1357</v>
      </c>
      <c r="J255" t="s">
        <v>1357</v>
      </c>
      <c r="K255" t="s">
        <v>1357</v>
      </c>
      <c r="L255" t="s">
        <v>1357</v>
      </c>
    </row>
    <row r="256" spans="1:14">
      <c r="H256" t="s">
        <v>805</v>
      </c>
      <c r="I256" t="s">
        <v>1357</v>
      </c>
      <c r="J256" t="s">
        <v>1357</v>
      </c>
      <c r="K256" t="s">
        <v>1357</v>
      </c>
      <c r="L256" t="s">
        <v>1357</v>
      </c>
    </row>
    <row r="257" spans="1:14">
      <c r="H257" t="s">
        <v>806</v>
      </c>
      <c r="I257" t="s">
        <v>1357</v>
      </c>
      <c r="J257" t="s">
        <v>1357</v>
      </c>
      <c r="K257" t="s">
        <v>1357</v>
      </c>
      <c r="L257" t="s">
        <v>1357</v>
      </c>
    </row>
    <row r="258" spans="1:14">
      <c r="H258" t="s">
        <v>807</v>
      </c>
      <c r="I258" t="s">
        <v>1357</v>
      </c>
      <c r="J258" t="s">
        <v>1357</v>
      </c>
      <c r="K258" t="s">
        <v>1357</v>
      </c>
      <c r="L258" t="s">
        <v>1357</v>
      </c>
    </row>
    <row r="259" spans="1:14">
      <c r="H259" t="s">
        <v>808</v>
      </c>
      <c r="I259" t="s">
        <v>1357</v>
      </c>
      <c r="J259" t="s">
        <v>1357</v>
      </c>
      <c r="K259" t="s">
        <v>1357</v>
      </c>
      <c r="L259" t="s">
        <v>1357</v>
      </c>
    </row>
    <row r="260" spans="1:14">
      <c r="H260" t="s">
        <v>809</v>
      </c>
      <c r="I260" t="s">
        <v>1357</v>
      </c>
      <c r="J260" t="s">
        <v>1357</v>
      </c>
      <c r="K260" t="s">
        <v>1357</v>
      </c>
      <c r="L260" t="s">
        <v>1357</v>
      </c>
    </row>
    <row r="261" spans="1:14">
      <c r="H261" t="s">
        <v>810</v>
      </c>
      <c r="I261" t="s">
        <v>1357</v>
      </c>
      <c r="J261" t="s">
        <v>1357</v>
      </c>
      <c r="K261" t="s">
        <v>1357</v>
      </c>
      <c r="L261" t="s">
        <v>1357</v>
      </c>
    </row>
    <row r="262" spans="1:14">
      <c r="A262" t="s">
        <v>35</v>
      </c>
      <c r="B262">
        <f>HYPERLINK("https://github.com/apache/commons-lang/commit/eaf7441da082e717f8c7bb69c14aaa1230de35bd", "eaf7441da082e717f8c7bb69c14aaa1230de35bd")</f>
        <v>0</v>
      </c>
      <c r="C262">
        <f>HYPERLINK("https://github.com/apache/commons-lang/commit/96e23c0fca8f2e6954eaefd6f7295dc14795d40b", "96e23c0fca8f2e6954eaefd6f7295dc14795d40b")</f>
        <v>0</v>
      </c>
      <c r="D262" t="s">
        <v>150</v>
      </c>
      <c r="E262" t="s">
        <v>191</v>
      </c>
      <c r="F262" t="s">
        <v>320</v>
      </c>
      <c r="G262" t="s">
        <v>461</v>
      </c>
      <c r="H262" t="s">
        <v>811</v>
      </c>
      <c r="I262" t="s">
        <v>1357</v>
      </c>
      <c r="J262" t="s">
        <v>1357</v>
      </c>
      <c r="K262" t="s">
        <v>1357</v>
      </c>
      <c r="L262" t="s">
        <v>1357</v>
      </c>
      <c r="N262" t="s">
        <v>1364</v>
      </c>
    </row>
    <row r="263" spans="1:14">
      <c r="A263" t="s">
        <v>36</v>
      </c>
      <c r="B263">
        <f>HYPERLINK("https://github.com/apache/commons-lang/commit/fbeb9d58da6d83b00dc0bb75244c5309b55caa9b", "fbeb9d58da6d83b00dc0bb75244c5309b55caa9b")</f>
        <v>0</v>
      </c>
      <c r="C263">
        <f>HYPERLINK("https://github.com/apache/commons-lang/commit/43eba0aec4b19ac87e360dbc5d51af5bc15df4ea", "43eba0aec4b19ac87e360dbc5d51af5bc15df4ea")</f>
        <v>0</v>
      </c>
      <c r="D263" t="s">
        <v>150</v>
      </c>
      <c r="E263" t="s">
        <v>192</v>
      </c>
      <c r="F263" t="s">
        <v>323</v>
      </c>
      <c r="G263" t="s">
        <v>464</v>
      </c>
      <c r="H263" t="s">
        <v>812</v>
      </c>
      <c r="I263" t="s">
        <v>1358</v>
      </c>
      <c r="J263" t="s">
        <v>1358</v>
      </c>
      <c r="K263" t="s">
        <v>1358</v>
      </c>
      <c r="L263" t="s">
        <v>1358</v>
      </c>
    </row>
    <row r="264" spans="1:14">
      <c r="H264" t="s">
        <v>813</v>
      </c>
      <c r="I264" t="s">
        <v>1357</v>
      </c>
      <c r="J264" t="s">
        <v>1357</v>
      </c>
      <c r="K264" t="s">
        <v>1357</v>
      </c>
      <c r="L264" t="s">
        <v>1357</v>
      </c>
    </row>
    <row r="265" spans="1:14">
      <c r="A265" t="s">
        <v>37</v>
      </c>
      <c r="B265">
        <f>HYPERLINK("https://github.com/apache/commons-lang/commit/097aa30a36a6ed2e53fc81b1fde53009f2f3e8ad", "097aa30a36a6ed2e53fc81b1fde53009f2f3e8ad")</f>
        <v>0</v>
      </c>
      <c r="C265">
        <f>HYPERLINK("https://github.com/apache/commons-lang/commit/f4f34dc60ac7fb90d99da0b73285ecfdb76e3f37", "f4f34dc60ac7fb90d99da0b73285ecfdb76e3f37")</f>
        <v>0</v>
      </c>
      <c r="D265" t="s">
        <v>150</v>
      </c>
      <c r="E265" t="s">
        <v>193</v>
      </c>
      <c r="F265" t="s">
        <v>324</v>
      </c>
      <c r="G265" t="s">
        <v>465</v>
      </c>
      <c r="H265" t="s">
        <v>814</v>
      </c>
      <c r="I265" t="s">
        <v>1357</v>
      </c>
      <c r="J265" t="s">
        <v>1357</v>
      </c>
      <c r="K265" t="s">
        <v>1357</v>
      </c>
      <c r="L265" t="s">
        <v>1357</v>
      </c>
    </row>
    <row r="266" spans="1:14">
      <c r="A266" t="s">
        <v>38</v>
      </c>
      <c r="B266">
        <f>HYPERLINK("https://github.com/apache/commons-lang/commit/d669920cb2752c24b3bfb1e6602e3227c15f211b", "d669920cb2752c24b3bfb1e6602e3227c15f211b")</f>
        <v>0</v>
      </c>
      <c r="C266">
        <f>HYPERLINK("https://github.com/apache/commons-lang/commit/74d20911d4a81afe8831bc248f97d184f94ba038", "74d20911d4a81afe8831bc248f97d184f94ba038")</f>
        <v>0</v>
      </c>
      <c r="D266" t="s">
        <v>150</v>
      </c>
      <c r="E266" t="s">
        <v>194</v>
      </c>
      <c r="F266" t="s">
        <v>325</v>
      </c>
      <c r="G266" t="s">
        <v>466</v>
      </c>
      <c r="H266" t="s">
        <v>815</v>
      </c>
      <c r="I266" t="s">
        <v>1357</v>
      </c>
      <c r="J266" t="s">
        <v>1357</v>
      </c>
      <c r="K266" t="s">
        <v>1357</v>
      </c>
      <c r="L266" t="s">
        <v>1357</v>
      </c>
    </row>
    <row r="267" spans="1:14">
      <c r="H267" t="s">
        <v>816</v>
      </c>
      <c r="I267" t="s">
        <v>1357</v>
      </c>
      <c r="J267" t="s">
        <v>1357</v>
      </c>
      <c r="K267" t="s">
        <v>1357</v>
      </c>
      <c r="L267" t="s">
        <v>1357</v>
      </c>
    </row>
    <row r="268" spans="1:14">
      <c r="H268" t="s">
        <v>817</v>
      </c>
      <c r="I268" t="s">
        <v>1357</v>
      </c>
      <c r="J268" t="s">
        <v>1357</v>
      </c>
      <c r="K268" t="s">
        <v>1357</v>
      </c>
      <c r="L268" t="s">
        <v>1357</v>
      </c>
    </row>
    <row r="269" spans="1:14">
      <c r="A269" t="s">
        <v>39</v>
      </c>
      <c r="B269">
        <f>HYPERLINK("https://github.com/apache/commons-lang/commit/bcd86e7fbef492ad4146e226a1f5f787cc7ee210", "bcd86e7fbef492ad4146e226a1f5f787cc7ee210")</f>
        <v>0</v>
      </c>
      <c r="C269">
        <f>HYPERLINK("https://github.com/apache/commons-lang/commit/57b94c34eaf9f0158679060c635188b44a27c5c3", "57b94c34eaf9f0158679060c635188b44a27c5c3")</f>
        <v>0</v>
      </c>
      <c r="D269" t="s">
        <v>151</v>
      </c>
      <c r="E269" t="s">
        <v>195</v>
      </c>
      <c r="F269" t="s">
        <v>326</v>
      </c>
      <c r="G269" t="s">
        <v>467</v>
      </c>
      <c r="H269" t="s">
        <v>818</v>
      </c>
      <c r="I269" t="s">
        <v>1358</v>
      </c>
      <c r="J269" t="s">
        <v>1358</v>
      </c>
      <c r="K269" t="s">
        <v>1358</v>
      </c>
    </row>
    <row r="270" spans="1:14">
      <c r="A270" t="s">
        <v>40</v>
      </c>
      <c r="B270">
        <f>HYPERLINK("https://github.com/apache/commons-lang/commit/3378d09f1639c5a5545344a8347b775dacb3bb75", "3378d09f1639c5a5545344a8347b775dacb3bb75")</f>
        <v>0</v>
      </c>
      <c r="C270">
        <f>HYPERLINK("https://github.com/apache/commons-lang/commit/ab27cc9c095e076d9e570cc440ebb61b3e0c8909", "ab27cc9c095e076d9e570cc440ebb61b3e0c8909")</f>
        <v>0</v>
      </c>
      <c r="D270" t="s">
        <v>151</v>
      </c>
      <c r="E270" t="s">
        <v>196</v>
      </c>
      <c r="F270" t="s">
        <v>325</v>
      </c>
      <c r="G270" t="s">
        <v>466</v>
      </c>
      <c r="H270" t="s">
        <v>819</v>
      </c>
      <c r="I270" t="s">
        <v>1357</v>
      </c>
      <c r="J270" t="s">
        <v>1357</v>
      </c>
      <c r="K270" t="s">
        <v>1357</v>
      </c>
      <c r="L270" t="s">
        <v>1357</v>
      </c>
    </row>
    <row r="271" spans="1:14">
      <c r="A271" t="s">
        <v>41</v>
      </c>
      <c r="B271">
        <f>HYPERLINK("https://github.com/apache/commons-lang/commit/32e80fc5e88029f212c0d6d3f179ab8e532c2bae", "32e80fc5e88029f212c0d6d3f179ab8e532c2bae")</f>
        <v>0</v>
      </c>
      <c r="C271">
        <f>HYPERLINK("https://github.com/apache/commons-lang/commit/85c052b7b8f71848c4d5d073aba8485cab2ff314", "85c052b7b8f71848c4d5d073aba8485cab2ff314")</f>
        <v>0</v>
      </c>
      <c r="D271" t="s">
        <v>150</v>
      </c>
      <c r="E271" t="s">
        <v>197</v>
      </c>
      <c r="F271" t="s">
        <v>327</v>
      </c>
      <c r="G271" t="s">
        <v>468</v>
      </c>
      <c r="H271" t="s">
        <v>820</v>
      </c>
      <c r="I271" t="s">
        <v>1358</v>
      </c>
      <c r="J271" t="s">
        <v>1358</v>
      </c>
      <c r="K271" t="s">
        <v>1358</v>
      </c>
    </row>
    <row r="272" spans="1:14">
      <c r="H272" t="s">
        <v>795</v>
      </c>
      <c r="I272" t="s">
        <v>1357</v>
      </c>
      <c r="J272" t="s">
        <v>1357</v>
      </c>
      <c r="K272" t="s">
        <v>1357</v>
      </c>
    </row>
    <row r="273" spans="1:14">
      <c r="A273" t="s">
        <v>42</v>
      </c>
      <c r="B273">
        <f>HYPERLINK("https://github.com/apache/commons-lang/commit/cdb9168538e2f01e3737e118baab9450076ca360", "cdb9168538e2f01e3737e118baab9450076ca360")</f>
        <v>0</v>
      </c>
      <c r="C273">
        <f>HYPERLINK("https://github.com/apache/commons-lang/commit/7952a5525444ab03243a9f80375050caf2419770", "7952a5525444ab03243a9f80375050caf2419770")</f>
        <v>0</v>
      </c>
      <c r="D273" t="s">
        <v>152</v>
      </c>
      <c r="E273" t="s">
        <v>198</v>
      </c>
      <c r="F273" t="s">
        <v>328</v>
      </c>
      <c r="G273" t="s">
        <v>469</v>
      </c>
      <c r="H273" t="s">
        <v>821</v>
      </c>
      <c r="I273" t="s">
        <v>1357</v>
      </c>
      <c r="J273" t="s">
        <v>1357</v>
      </c>
      <c r="K273" t="s">
        <v>1357</v>
      </c>
      <c r="L273" t="s">
        <v>1357</v>
      </c>
    </row>
    <row r="274" spans="1:14">
      <c r="H274" t="s">
        <v>822</v>
      </c>
      <c r="I274" t="s">
        <v>1357</v>
      </c>
      <c r="J274" t="s">
        <v>1357</v>
      </c>
      <c r="K274" t="s">
        <v>1357</v>
      </c>
      <c r="L274" t="s">
        <v>1357</v>
      </c>
    </row>
    <row r="275" spans="1:14">
      <c r="H275" t="s">
        <v>823</v>
      </c>
      <c r="I275" t="s">
        <v>1357</v>
      </c>
      <c r="J275" t="s">
        <v>1357</v>
      </c>
      <c r="K275" t="s">
        <v>1357</v>
      </c>
      <c r="L275" t="s">
        <v>1357</v>
      </c>
    </row>
    <row r="276" spans="1:14">
      <c r="H276" t="s">
        <v>824</v>
      </c>
      <c r="I276" t="s">
        <v>1357</v>
      </c>
      <c r="J276" t="s">
        <v>1357</v>
      </c>
      <c r="K276" t="s">
        <v>1357</v>
      </c>
      <c r="L276" t="s">
        <v>1357</v>
      </c>
    </row>
    <row r="277" spans="1:14">
      <c r="H277" t="s">
        <v>825</v>
      </c>
      <c r="I277" t="s">
        <v>1357</v>
      </c>
      <c r="J277" t="s">
        <v>1357</v>
      </c>
      <c r="K277" t="s">
        <v>1357</v>
      </c>
      <c r="L277" t="s">
        <v>1357</v>
      </c>
    </row>
    <row r="278" spans="1:14">
      <c r="A278" t="s">
        <v>43</v>
      </c>
      <c r="B278">
        <f>HYPERLINK("https://github.com/apache/commons-lang/commit/3535bf265b3eb34df28ff2ee5c029065e569add8", "3535bf265b3eb34df28ff2ee5c029065e569add8")</f>
        <v>0</v>
      </c>
      <c r="C278">
        <f>HYPERLINK("https://github.com/apache/commons-lang/commit/be164675feda702a738a9b5fe49c9b5fc17ac018", "be164675feda702a738a9b5fe49c9b5fc17ac018")</f>
        <v>0</v>
      </c>
      <c r="D278" t="s">
        <v>152</v>
      </c>
      <c r="E278" t="s">
        <v>199</v>
      </c>
      <c r="F278" t="s">
        <v>327</v>
      </c>
      <c r="G278" t="s">
        <v>468</v>
      </c>
      <c r="H278" t="s">
        <v>583</v>
      </c>
      <c r="I278" t="s">
        <v>1357</v>
      </c>
      <c r="J278" t="s">
        <v>1357</v>
      </c>
      <c r="K278" t="s">
        <v>1357</v>
      </c>
      <c r="L278" t="s">
        <v>1357</v>
      </c>
      <c r="M278" t="s">
        <v>1360</v>
      </c>
      <c r="N278" t="s">
        <v>1371</v>
      </c>
    </row>
    <row r="279" spans="1:14">
      <c r="A279" t="s">
        <v>44</v>
      </c>
      <c r="B279">
        <f>HYPERLINK("https://github.com/apache/commons-lang/commit/810e69f7a470eb9dce71de314f0a98c0f7840a24", "810e69f7a470eb9dce71de314f0a98c0f7840a24")</f>
        <v>0</v>
      </c>
      <c r="C279">
        <f>HYPERLINK("https://github.com/apache/commons-lang/commit/512574a9080150be1b4c4a115a9cb7bc435ef606", "512574a9080150be1b4c4a115a9cb7bc435ef606")</f>
        <v>0</v>
      </c>
      <c r="D279" t="s">
        <v>150</v>
      </c>
      <c r="E279" t="s">
        <v>200</v>
      </c>
      <c r="F279" t="s">
        <v>327</v>
      </c>
      <c r="G279" t="s">
        <v>468</v>
      </c>
      <c r="H279" t="s">
        <v>826</v>
      </c>
      <c r="I279" t="s">
        <v>1359</v>
      </c>
      <c r="J279" t="s">
        <v>1358</v>
      </c>
      <c r="K279" t="s">
        <v>1358</v>
      </c>
      <c r="L279" t="s">
        <v>1357</v>
      </c>
    </row>
    <row r="280" spans="1:14">
      <c r="H280" t="s">
        <v>827</v>
      </c>
      <c r="I280" t="s">
        <v>1359</v>
      </c>
      <c r="J280" t="s">
        <v>1358</v>
      </c>
      <c r="K280" t="s">
        <v>1358</v>
      </c>
      <c r="L280" t="s">
        <v>1357</v>
      </c>
    </row>
    <row r="281" spans="1:14">
      <c r="H281" t="s">
        <v>828</v>
      </c>
      <c r="I281" t="s">
        <v>1359</v>
      </c>
      <c r="J281" t="s">
        <v>1358</v>
      </c>
      <c r="K281" t="s">
        <v>1358</v>
      </c>
      <c r="L281" t="s">
        <v>1357</v>
      </c>
    </row>
    <row r="282" spans="1:14">
      <c r="A282" t="s">
        <v>45</v>
      </c>
      <c r="B282">
        <f>HYPERLINK("https://github.com/apache/commons-lang/commit/a5311d05afc8dfc2983c9c8e932216195f09de82", "a5311d05afc8dfc2983c9c8e932216195f09de82")</f>
        <v>0</v>
      </c>
      <c r="C282">
        <f>HYPERLINK("https://github.com/apache/commons-lang/commit/eea36f49f6b09c302f5f51cfd6184472f436261d", "eea36f49f6b09c302f5f51cfd6184472f436261d")</f>
        <v>0</v>
      </c>
      <c r="D282" t="s">
        <v>150</v>
      </c>
      <c r="E282" t="s">
        <v>201</v>
      </c>
      <c r="F282" t="s">
        <v>329</v>
      </c>
      <c r="G282" t="s">
        <v>470</v>
      </c>
      <c r="H282" t="s">
        <v>829</v>
      </c>
      <c r="I282" t="s">
        <v>1357</v>
      </c>
      <c r="J282" t="s">
        <v>1357</v>
      </c>
      <c r="K282" t="s">
        <v>1357</v>
      </c>
      <c r="L282" t="s">
        <v>1357</v>
      </c>
    </row>
    <row r="283" spans="1:14">
      <c r="H283" t="s">
        <v>830</v>
      </c>
      <c r="I283" t="s">
        <v>1357</v>
      </c>
      <c r="J283" t="s">
        <v>1357</v>
      </c>
      <c r="K283" t="s">
        <v>1357</v>
      </c>
      <c r="L283" t="s">
        <v>1357</v>
      </c>
    </row>
    <row r="284" spans="1:14">
      <c r="A284" t="s">
        <v>46</v>
      </c>
      <c r="B284">
        <f>HYPERLINK("https://github.com/apache/commons-lang/commit/fd656864b6a54302929c5da5490bff8842edade4", "fd656864b6a54302929c5da5490bff8842edade4")</f>
        <v>0</v>
      </c>
      <c r="C284">
        <f>HYPERLINK("https://github.com/apache/commons-lang/commit/ac01ed3d678e703c087469b766e325e06593624d", "ac01ed3d678e703c087469b766e325e06593624d")</f>
        <v>0</v>
      </c>
      <c r="D284" t="s">
        <v>152</v>
      </c>
      <c r="E284" t="s">
        <v>202</v>
      </c>
      <c r="F284" t="s">
        <v>321</v>
      </c>
      <c r="G284" t="s">
        <v>462</v>
      </c>
      <c r="H284" t="s">
        <v>831</v>
      </c>
      <c r="I284" t="s">
        <v>1357</v>
      </c>
      <c r="J284" t="s">
        <v>1357</v>
      </c>
      <c r="K284" t="s">
        <v>1357</v>
      </c>
      <c r="L284" t="s">
        <v>1357</v>
      </c>
      <c r="N284" t="s">
        <v>1364</v>
      </c>
    </row>
    <row r="285" spans="1:14">
      <c r="A285" t="s">
        <v>47</v>
      </c>
      <c r="B285">
        <f>HYPERLINK("https://github.com/apache/commons-lang/commit/fceff5aa543a7cffd0043d77f47fa44069f3edad", "fceff5aa543a7cffd0043d77f47fa44069f3edad")</f>
        <v>0</v>
      </c>
      <c r="C285">
        <f>HYPERLINK("https://github.com/apache/commons-lang/commit/26d2f4a4a2f1dcb1e556cdaa5ad256786bbdf675", "26d2f4a4a2f1dcb1e556cdaa5ad256786bbdf675")</f>
        <v>0</v>
      </c>
      <c r="D285" t="s">
        <v>151</v>
      </c>
      <c r="E285" t="s">
        <v>203</v>
      </c>
      <c r="F285" t="s">
        <v>330</v>
      </c>
      <c r="G285" t="s">
        <v>471</v>
      </c>
      <c r="H285" t="s">
        <v>832</v>
      </c>
      <c r="I285" t="s">
        <v>1357</v>
      </c>
      <c r="J285" t="s">
        <v>1357</v>
      </c>
      <c r="K285" t="s">
        <v>1357</v>
      </c>
      <c r="M285" t="s">
        <v>1364</v>
      </c>
    </row>
    <row r="286" spans="1:14">
      <c r="A286" t="s">
        <v>48</v>
      </c>
      <c r="B286">
        <f>HYPERLINK("https://github.com/apache/commons-lang/commit/9cbf70d82285d7ebdd190f7cd59f2a9d82a09c61", "9cbf70d82285d7ebdd190f7cd59f2a9d82a09c61")</f>
        <v>0</v>
      </c>
      <c r="C286">
        <f>HYPERLINK("https://github.com/apache/commons-lang/commit/c62bd307657aab6bf4be06e5c4c232195f6620f9", "c62bd307657aab6bf4be06e5c4c232195f6620f9")</f>
        <v>0</v>
      </c>
      <c r="D286" t="s">
        <v>151</v>
      </c>
      <c r="E286" t="s">
        <v>204</v>
      </c>
      <c r="F286" t="s">
        <v>315</v>
      </c>
      <c r="G286" t="s">
        <v>456</v>
      </c>
      <c r="H286" t="s">
        <v>833</v>
      </c>
      <c r="I286" t="s">
        <v>1358</v>
      </c>
      <c r="J286" t="s">
        <v>1358</v>
      </c>
      <c r="K286" t="s">
        <v>1358</v>
      </c>
      <c r="L286" t="s">
        <v>1358</v>
      </c>
    </row>
    <row r="287" spans="1:14">
      <c r="A287" t="s">
        <v>49</v>
      </c>
      <c r="B287">
        <f>HYPERLINK("https://github.com/apache/commons-lang/commit/53d756b0037a7c6973a4a91e961db5187435ae60", "53d756b0037a7c6973a4a91e961db5187435ae60")</f>
        <v>0</v>
      </c>
      <c r="C287">
        <f>HYPERLINK("https://github.com/apache/commons-lang/commit/db951873904b927b43f35478586f064ea6ea6deb", "db951873904b927b43f35478586f064ea6ea6deb")</f>
        <v>0</v>
      </c>
      <c r="D287" t="s">
        <v>150</v>
      </c>
      <c r="E287" t="s">
        <v>205</v>
      </c>
      <c r="F287" t="s">
        <v>331</v>
      </c>
      <c r="G287" t="s">
        <v>472</v>
      </c>
      <c r="H287" t="s">
        <v>834</v>
      </c>
      <c r="I287" t="s">
        <v>1357</v>
      </c>
      <c r="J287" t="s">
        <v>1357</v>
      </c>
      <c r="K287" t="s">
        <v>1357</v>
      </c>
      <c r="L287" t="s">
        <v>1357</v>
      </c>
    </row>
    <row r="288" spans="1:14">
      <c r="H288" t="s">
        <v>835</v>
      </c>
      <c r="I288" t="s">
        <v>1357</v>
      </c>
      <c r="J288" t="s">
        <v>1357</v>
      </c>
      <c r="K288" t="s">
        <v>1357</v>
      </c>
      <c r="L288" t="s">
        <v>1357</v>
      </c>
    </row>
    <row r="289" spans="8:12">
      <c r="H289" t="s">
        <v>836</v>
      </c>
      <c r="I289" t="s">
        <v>1357</v>
      </c>
      <c r="J289" t="s">
        <v>1357</v>
      </c>
      <c r="K289" t="s">
        <v>1357</v>
      </c>
      <c r="L289" t="s">
        <v>1357</v>
      </c>
    </row>
    <row r="290" spans="8:12">
      <c r="H290" t="s">
        <v>837</v>
      </c>
      <c r="I290" t="s">
        <v>1357</v>
      </c>
      <c r="J290" t="s">
        <v>1357</v>
      </c>
      <c r="K290" t="s">
        <v>1357</v>
      </c>
      <c r="L290" t="s">
        <v>1357</v>
      </c>
    </row>
    <row r="291" spans="8:12">
      <c r="H291" t="s">
        <v>838</v>
      </c>
      <c r="I291" t="s">
        <v>1357</v>
      </c>
      <c r="J291" t="s">
        <v>1357</v>
      </c>
      <c r="K291" t="s">
        <v>1357</v>
      </c>
      <c r="L291" t="s">
        <v>1357</v>
      </c>
    </row>
    <row r="292" spans="8:12">
      <c r="H292" t="s">
        <v>822</v>
      </c>
      <c r="I292" t="s">
        <v>1357</v>
      </c>
      <c r="J292" t="s">
        <v>1357</v>
      </c>
      <c r="K292" t="s">
        <v>1357</v>
      </c>
      <c r="L292" t="s">
        <v>1357</v>
      </c>
    </row>
    <row r="293" spans="8:12">
      <c r="H293" t="s">
        <v>839</v>
      </c>
      <c r="I293" t="s">
        <v>1357</v>
      </c>
      <c r="J293" t="s">
        <v>1357</v>
      </c>
      <c r="K293" t="s">
        <v>1357</v>
      </c>
      <c r="L293" t="s">
        <v>1357</v>
      </c>
    </row>
    <row r="294" spans="8:12">
      <c r="H294" t="s">
        <v>840</v>
      </c>
      <c r="I294" t="s">
        <v>1357</v>
      </c>
      <c r="J294" t="s">
        <v>1357</v>
      </c>
      <c r="K294" t="s">
        <v>1357</v>
      </c>
      <c r="L294" t="s">
        <v>1357</v>
      </c>
    </row>
    <row r="295" spans="8:12">
      <c r="H295" t="s">
        <v>841</v>
      </c>
      <c r="I295" t="s">
        <v>1357</v>
      </c>
      <c r="J295" t="s">
        <v>1357</v>
      </c>
      <c r="K295" t="s">
        <v>1357</v>
      </c>
      <c r="L295" t="s">
        <v>1357</v>
      </c>
    </row>
    <row r="296" spans="8:12">
      <c r="H296" t="s">
        <v>842</v>
      </c>
      <c r="I296" t="s">
        <v>1357</v>
      </c>
      <c r="J296" t="s">
        <v>1357</v>
      </c>
      <c r="K296" t="s">
        <v>1357</v>
      </c>
      <c r="L296" t="s">
        <v>1357</v>
      </c>
    </row>
    <row r="297" spans="8:12">
      <c r="H297" t="s">
        <v>843</v>
      </c>
      <c r="I297" t="s">
        <v>1357</v>
      </c>
      <c r="J297" t="s">
        <v>1357</v>
      </c>
      <c r="K297" t="s">
        <v>1357</v>
      </c>
      <c r="L297" t="s">
        <v>1357</v>
      </c>
    </row>
    <row r="298" spans="8:12">
      <c r="H298" t="s">
        <v>844</v>
      </c>
      <c r="I298" t="s">
        <v>1357</v>
      </c>
      <c r="J298" t="s">
        <v>1357</v>
      </c>
      <c r="K298" t="s">
        <v>1357</v>
      </c>
      <c r="L298" t="s">
        <v>1357</v>
      </c>
    </row>
    <row r="299" spans="8:12">
      <c r="H299" t="s">
        <v>845</v>
      </c>
      <c r="I299" t="s">
        <v>1357</v>
      </c>
      <c r="J299" t="s">
        <v>1357</v>
      </c>
      <c r="K299" t="s">
        <v>1357</v>
      </c>
      <c r="L299" t="s">
        <v>1357</v>
      </c>
    </row>
    <row r="300" spans="8:12">
      <c r="H300" t="s">
        <v>846</v>
      </c>
      <c r="I300" t="s">
        <v>1357</v>
      </c>
      <c r="J300" t="s">
        <v>1357</v>
      </c>
      <c r="K300" t="s">
        <v>1357</v>
      </c>
      <c r="L300" t="s">
        <v>1357</v>
      </c>
    </row>
    <row r="301" spans="8:12">
      <c r="H301" t="s">
        <v>847</v>
      </c>
      <c r="I301" t="s">
        <v>1357</v>
      </c>
      <c r="J301" t="s">
        <v>1357</v>
      </c>
      <c r="K301" t="s">
        <v>1357</v>
      </c>
      <c r="L301" t="s">
        <v>1357</v>
      </c>
    </row>
    <row r="302" spans="8:12">
      <c r="H302" t="s">
        <v>848</v>
      </c>
      <c r="I302" t="s">
        <v>1357</v>
      </c>
      <c r="J302" t="s">
        <v>1357</v>
      </c>
      <c r="K302" t="s">
        <v>1357</v>
      </c>
      <c r="L302" t="s">
        <v>1357</v>
      </c>
    </row>
    <row r="303" spans="8:12">
      <c r="H303" t="s">
        <v>849</v>
      </c>
      <c r="I303" t="s">
        <v>1357</v>
      </c>
      <c r="J303" t="s">
        <v>1357</v>
      </c>
      <c r="K303" t="s">
        <v>1357</v>
      </c>
      <c r="L303" t="s">
        <v>1357</v>
      </c>
    </row>
    <row r="304" spans="8:12">
      <c r="H304" t="s">
        <v>850</v>
      </c>
      <c r="I304" t="s">
        <v>1357</v>
      </c>
      <c r="J304" t="s">
        <v>1357</v>
      </c>
      <c r="K304" t="s">
        <v>1357</v>
      </c>
      <c r="L304" t="s">
        <v>1357</v>
      </c>
    </row>
    <row r="305" spans="1:12">
      <c r="A305" t="s">
        <v>50</v>
      </c>
      <c r="B305">
        <f>HYPERLINK("https://github.com/apache/commons-lang/commit/9425150104b52d9066d205776b18dd98e8299db1", "9425150104b52d9066d205776b18dd98e8299db1")</f>
        <v>0</v>
      </c>
      <c r="C305">
        <f>HYPERLINK("https://github.com/apache/commons-lang/commit/65cc70a5c475b6f4237c7135a1864f3c7be6cdfa", "65cc70a5c475b6f4237c7135a1864f3c7be6cdfa")</f>
        <v>0</v>
      </c>
      <c r="D305" t="s">
        <v>151</v>
      </c>
      <c r="E305" t="s">
        <v>206</v>
      </c>
      <c r="F305" t="s">
        <v>332</v>
      </c>
      <c r="G305" t="s">
        <v>473</v>
      </c>
      <c r="H305" t="s">
        <v>851</v>
      </c>
      <c r="I305" t="s">
        <v>1357</v>
      </c>
      <c r="J305" t="s">
        <v>1357</v>
      </c>
      <c r="K305" t="s">
        <v>1357</v>
      </c>
      <c r="L305" t="s">
        <v>1357</v>
      </c>
    </row>
    <row r="306" spans="1:12">
      <c r="H306" t="s">
        <v>852</v>
      </c>
      <c r="I306" t="s">
        <v>1357</v>
      </c>
      <c r="J306" t="s">
        <v>1357</v>
      </c>
      <c r="K306" t="s">
        <v>1357</v>
      </c>
      <c r="L306" t="s">
        <v>1357</v>
      </c>
    </row>
    <row r="307" spans="1:12">
      <c r="H307" t="s">
        <v>853</v>
      </c>
      <c r="I307" t="s">
        <v>1357</v>
      </c>
      <c r="J307" t="s">
        <v>1357</v>
      </c>
      <c r="K307" t="s">
        <v>1357</v>
      </c>
      <c r="L307" t="s">
        <v>1357</v>
      </c>
    </row>
    <row r="308" spans="1:12">
      <c r="H308" t="s">
        <v>854</v>
      </c>
      <c r="I308" t="s">
        <v>1357</v>
      </c>
      <c r="J308" t="s">
        <v>1357</v>
      </c>
      <c r="K308" t="s">
        <v>1357</v>
      </c>
      <c r="L308" t="s">
        <v>1357</v>
      </c>
    </row>
    <row r="309" spans="1:12">
      <c r="H309" t="s">
        <v>855</v>
      </c>
      <c r="I309" t="s">
        <v>1357</v>
      </c>
      <c r="J309" t="s">
        <v>1357</v>
      </c>
      <c r="K309" t="s">
        <v>1357</v>
      </c>
      <c r="L309" t="s">
        <v>1357</v>
      </c>
    </row>
    <row r="310" spans="1:12">
      <c r="H310" t="s">
        <v>856</v>
      </c>
      <c r="I310" t="s">
        <v>1357</v>
      </c>
      <c r="J310" t="s">
        <v>1357</v>
      </c>
      <c r="K310" t="s">
        <v>1357</v>
      </c>
      <c r="L310" t="s">
        <v>1357</v>
      </c>
    </row>
    <row r="311" spans="1:12">
      <c r="A311" t="s">
        <v>51</v>
      </c>
      <c r="B311">
        <f>HYPERLINK("https://github.com/apache/commons-lang/commit/cd2c0146ab85e4cc7252eb56861f0baa99d0c37c", "cd2c0146ab85e4cc7252eb56861f0baa99d0c37c")</f>
        <v>0</v>
      </c>
      <c r="C311">
        <f>HYPERLINK("https://github.com/apache/commons-lang/commit/724842ee7b2e3bf55b720a659d77a4eaf2887905", "724842ee7b2e3bf55b720a659d77a4eaf2887905")</f>
        <v>0</v>
      </c>
      <c r="D311" t="s">
        <v>151</v>
      </c>
      <c r="E311" t="s">
        <v>207</v>
      </c>
      <c r="F311" t="s">
        <v>333</v>
      </c>
      <c r="G311" t="s">
        <v>474</v>
      </c>
      <c r="H311" t="s">
        <v>857</v>
      </c>
      <c r="I311" t="s">
        <v>1357</v>
      </c>
      <c r="J311" t="s">
        <v>1357</v>
      </c>
      <c r="K311" t="s">
        <v>1357</v>
      </c>
      <c r="L311" t="s">
        <v>1357</v>
      </c>
    </row>
    <row r="312" spans="1:12">
      <c r="A312" t="s">
        <v>52</v>
      </c>
      <c r="B312">
        <f>HYPERLINK("https://github.com/apache/commons-lang/commit/272ca375e3844e7ba13bd0290783121a60775c99", "272ca375e3844e7ba13bd0290783121a60775c99")</f>
        <v>0</v>
      </c>
      <c r="C312">
        <f>HYPERLINK("https://github.com/apache/commons-lang/commit/833e5bbd076bb84f5b93d52daad1ce0b7adb07b1", "833e5bbd076bb84f5b93d52daad1ce0b7adb07b1")</f>
        <v>0</v>
      </c>
      <c r="D312" t="s">
        <v>151</v>
      </c>
      <c r="E312" t="s">
        <v>208</v>
      </c>
      <c r="F312" t="s">
        <v>334</v>
      </c>
      <c r="G312" t="s">
        <v>475</v>
      </c>
      <c r="H312" t="s">
        <v>858</v>
      </c>
      <c r="I312" t="s">
        <v>1357</v>
      </c>
      <c r="J312" t="s">
        <v>1357</v>
      </c>
      <c r="K312" t="s">
        <v>1357</v>
      </c>
      <c r="L312" t="s">
        <v>1357</v>
      </c>
    </row>
    <row r="313" spans="1:12">
      <c r="A313" t="s">
        <v>53</v>
      </c>
      <c r="B313">
        <f>HYPERLINK("https://github.com/apache/commons-lang/commit/583c62281ee3a967ded84f31c8b45463d1275208", "583c62281ee3a967ded84f31c8b45463d1275208")</f>
        <v>0</v>
      </c>
      <c r="C313">
        <f>HYPERLINK("https://github.com/apache/commons-lang/commit/68c6547d0cc71c538a52b81f0ef3af69b9d80085", "68c6547d0cc71c538a52b81f0ef3af69b9d80085")</f>
        <v>0</v>
      </c>
      <c r="D313" t="s">
        <v>153</v>
      </c>
      <c r="E313" t="s">
        <v>209</v>
      </c>
      <c r="F313" t="s">
        <v>334</v>
      </c>
      <c r="G313" t="s">
        <v>475</v>
      </c>
      <c r="H313" t="s">
        <v>859</v>
      </c>
      <c r="I313" t="s">
        <v>1357</v>
      </c>
      <c r="J313" t="s">
        <v>1357</v>
      </c>
      <c r="K313" t="s">
        <v>1357</v>
      </c>
      <c r="L313" t="s">
        <v>1357</v>
      </c>
    </row>
    <row r="314" spans="1:12">
      <c r="H314" t="s">
        <v>860</v>
      </c>
      <c r="I314" t="s">
        <v>1357</v>
      </c>
      <c r="J314" t="s">
        <v>1357</v>
      </c>
      <c r="K314" t="s">
        <v>1357</v>
      </c>
      <c r="L314" t="s">
        <v>1357</v>
      </c>
    </row>
    <row r="315" spans="1:12">
      <c r="H315" t="s">
        <v>861</v>
      </c>
      <c r="I315" t="s">
        <v>1357</v>
      </c>
      <c r="J315" t="s">
        <v>1357</v>
      </c>
      <c r="K315" t="s">
        <v>1357</v>
      </c>
      <c r="L315" t="s">
        <v>1357</v>
      </c>
    </row>
    <row r="316" spans="1:12">
      <c r="H316" t="s">
        <v>862</v>
      </c>
      <c r="I316" t="s">
        <v>1357</v>
      </c>
      <c r="J316" t="s">
        <v>1357</v>
      </c>
      <c r="K316" t="s">
        <v>1357</v>
      </c>
      <c r="L316" t="s">
        <v>1357</v>
      </c>
    </row>
    <row r="317" spans="1:12">
      <c r="H317" t="s">
        <v>863</v>
      </c>
      <c r="I317" t="s">
        <v>1357</v>
      </c>
      <c r="J317" t="s">
        <v>1357</v>
      </c>
      <c r="K317" t="s">
        <v>1357</v>
      </c>
      <c r="L317" t="s">
        <v>1357</v>
      </c>
    </row>
    <row r="318" spans="1:12">
      <c r="H318" t="s">
        <v>864</v>
      </c>
      <c r="I318" t="s">
        <v>1357</v>
      </c>
      <c r="J318" t="s">
        <v>1357</v>
      </c>
      <c r="K318" t="s">
        <v>1357</v>
      </c>
      <c r="L318" t="s">
        <v>1357</v>
      </c>
    </row>
    <row r="319" spans="1:12">
      <c r="A319" t="s">
        <v>54</v>
      </c>
      <c r="B319">
        <f>HYPERLINK("https://github.com/apache/commons-lang/commit/60e5d4933c8c1797ac909216d6764e3348384396", "60e5d4933c8c1797ac909216d6764e3348384396")</f>
        <v>0</v>
      </c>
      <c r="C319">
        <f>HYPERLINK("https://github.com/apache/commons-lang/commit/7f5ffc6036d4b2199af5b2d655691bc0af4478ee", "7f5ffc6036d4b2199af5b2d655691bc0af4478ee")</f>
        <v>0</v>
      </c>
      <c r="D319" t="s">
        <v>154</v>
      </c>
      <c r="E319" t="s">
        <v>210</v>
      </c>
      <c r="F319" t="s">
        <v>335</v>
      </c>
      <c r="G319" t="s">
        <v>476</v>
      </c>
      <c r="H319" t="s">
        <v>865</v>
      </c>
      <c r="I319" t="s">
        <v>1357</v>
      </c>
      <c r="J319" t="s">
        <v>1357</v>
      </c>
      <c r="K319" t="s">
        <v>1357</v>
      </c>
      <c r="L319" t="s">
        <v>1357</v>
      </c>
    </row>
    <row r="320" spans="1:12">
      <c r="H320" t="s">
        <v>866</v>
      </c>
      <c r="I320" t="s">
        <v>1357</v>
      </c>
      <c r="J320" t="s">
        <v>1357</v>
      </c>
      <c r="K320" t="s">
        <v>1357</v>
      </c>
      <c r="L320" t="s">
        <v>1357</v>
      </c>
    </row>
    <row r="321" spans="8:12">
      <c r="H321" t="s">
        <v>867</v>
      </c>
      <c r="I321" t="s">
        <v>1357</v>
      </c>
      <c r="J321" t="s">
        <v>1357</v>
      </c>
      <c r="K321" t="s">
        <v>1357</v>
      </c>
      <c r="L321" t="s">
        <v>1357</v>
      </c>
    </row>
    <row r="322" spans="8:12">
      <c r="H322" t="s">
        <v>868</v>
      </c>
      <c r="I322" t="s">
        <v>1357</v>
      </c>
      <c r="J322" t="s">
        <v>1357</v>
      </c>
      <c r="K322" t="s">
        <v>1357</v>
      </c>
      <c r="L322" t="s">
        <v>1357</v>
      </c>
    </row>
    <row r="323" spans="8:12">
      <c r="H323" t="s">
        <v>869</v>
      </c>
      <c r="I323" t="s">
        <v>1357</v>
      </c>
      <c r="J323" t="s">
        <v>1357</v>
      </c>
      <c r="K323" t="s">
        <v>1357</v>
      </c>
      <c r="L323" t="s">
        <v>1357</v>
      </c>
    </row>
    <row r="324" spans="8:12">
      <c r="H324" t="s">
        <v>870</v>
      </c>
      <c r="I324" t="s">
        <v>1357</v>
      </c>
      <c r="J324" t="s">
        <v>1357</v>
      </c>
      <c r="K324" t="s">
        <v>1357</v>
      </c>
      <c r="L324" t="s">
        <v>1357</v>
      </c>
    </row>
    <row r="325" spans="8:12">
      <c r="H325" t="s">
        <v>871</v>
      </c>
      <c r="I325" t="s">
        <v>1357</v>
      </c>
      <c r="J325" t="s">
        <v>1357</v>
      </c>
      <c r="K325" t="s">
        <v>1357</v>
      </c>
      <c r="L325" t="s">
        <v>1357</v>
      </c>
    </row>
    <row r="326" spans="8:12">
      <c r="H326" t="s">
        <v>872</v>
      </c>
      <c r="I326" t="s">
        <v>1357</v>
      </c>
      <c r="J326" t="s">
        <v>1357</v>
      </c>
      <c r="K326" t="s">
        <v>1357</v>
      </c>
      <c r="L326" t="s">
        <v>1357</v>
      </c>
    </row>
    <row r="327" spans="8:12">
      <c r="H327" t="s">
        <v>873</v>
      </c>
      <c r="I327" t="s">
        <v>1357</v>
      </c>
      <c r="J327" t="s">
        <v>1357</v>
      </c>
      <c r="K327" t="s">
        <v>1357</v>
      </c>
      <c r="L327" t="s">
        <v>1357</v>
      </c>
    </row>
    <row r="328" spans="8:12">
      <c r="H328" t="s">
        <v>874</v>
      </c>
      <c r="I328" t="s">
        <v>1357</v>
      </c>
      <c r="J328" t="s">
        <v>1357</v>
      </c>
      <c r="K328" t="s">
        <v>1357</v>
      </c>
      <c r="L328" t="s">
        <v>1357</v>
      </c>
    </row>
    <row r="329" spans="8:12">
      <c r="H329" t="s">
        <v>875</v>
      </c>
      <c r="I329" t="s">
        <v>1357</v>
      </c>
      <c r="J329" t="s">
        <v>1357</v>
      </c>
      <c r="K329" t="s">
        <v>1357</v>
      </c>
      <c r="L329" t="s">
        <v>1357</v>
      </c>
    </row>
    <row r="330" spans="8:12">
      <c r="H330" t="s">
        <v>876</v>
      </c>
      <c r="I330" t="s">
        <v>1357</v>
      </c>
      <c r="J330" t="s">
        <v>1357</v>
      </c>
      <c r="K330" t="s">
        <v>1357</v>
      </c>
      <c r="L330" t="s">
        <v>1357</v>
      </c>
    </row>
    <row r="331" spans="8:12">
      <c r="H331" t="s">
        <v>877</v>
      </c>
      <c r="I331" t="s">
        <v>1357</v>
      </c>
      <c r="J331" t="s">
        <v>1357</v>
      </c>
      <c r="K331" t="s">
        <v>1357</v>
      </c>
      <c r="L331" t="s">
        <v>1357</v>
      </c>
    </row>
    <row r="332" spans="8:12">
      <c r="H332" t="s">
        <v>878</v>
      </c>
      <c r="I332" t="s">
        <v>1357</v>
      </c>
      <c r="J332" t="s">
        <v>1357</v>
      </c>
      <c r="K332" t="s">
        <v>1357</v>
      </c>
      <c r="L332" t="s">
        <v>1357</v>
      </c>
    </row>
    <row r="333" spans="8:12">
      <c r="H333" t="s">
        <v>879</v>
      </c>
      <c r="I333" t="s">
        <v>1357</v>
      </c>
      <c r="J333" t="s">
        <v>1357</v>
      </c>
      <c r="K333" t="s">
        <v>1357</v>
      </c>
      <c r="L333" t="s">
        <v>1357</v>
      </c>
    </row>
    <row r="334" spans="8:12">
      <c r="H334" t="s">
        <v>880</v>
      </c>
      <c r="I334" t="s">
        <v>1357</v>
      </c>
      <c r="J334" t="s">
        <v>1357</v>
      </c>
      <c r="K334" t="s">
        <v>1357</v>
      </c>
      <c r="L334" t="s">
        <v>1357</v>
      </c>
    </row>
    <row r="335" spans="8:12">
      <c r="H335" t="s">
        <v>881</v>
      </c>
      <c r="I335" t="s">
        <v>1357</v>
      </c>
      <c r="J335" t="s">
        <v>1357</v>
      </c>
      <c r="K335" t="s">
        <v>1357</v>
      </c>
      <c r="L335" t="s">
        <v>1357</v>
      </c>
    </row>
    <row r="336" spans="8:12">
      <c r="H336" t="s">
        <v>882</v>
      </c>
      <c r="I336" t="s">
        <v>1357</v>
      </c>
      <c r="J336" t="s">
        <v>1357</v>
      </c>
      <c r="K336" t="s">
        <v>1357</v>
      </c>
      <c r="L336" t="s">
        <v>1357</v>
      </c>
    </row>
    <row r="337" spans="1:14">
      <c r="H337" t="s">
        <v>883</v>
      </c>
      <c r="I337" t="s">
        <v>1357</v>
      </c>
      <c r="J337" t="s">
        <v>1357</v>
      </c>
      <c r="K337" t="s">
        <v>1357</v>
      </c>
      <c r="L337" t="s">
        <v>1357</v>
      </c>
    </row>
    <row r="338" spans="1:14">
      <c r="H338" t="s">
        <v>884</v>
      </c>
      <c r="I338" t="s">
        <v>1357</v>
      </c>
      <c r="J338" t="s">
        <v>1357</v>
      </c>
      <c r="K338" t="s">
        <v>1357</v>
      </c>
      <c r="L338" t="s">
        <v>1357</v>
      </c>
    </row>
    <row r="339" spans="1:14">
      <c r="H339" t="s">
        <v>885</v>
      </c>
      <c r="I339" t="s">
        <v>1357</v>
      </c>
      <c r="J339" t="s">
        <v>1357</v>
      </c>
      <c r="K339" t="s">
        <v>1357</v>
      </c>
      <c r="L339" t="s">
        <v>1357</v>
      </c>
    </row>
    <row r="340" spans="1:14">
      <c r="H340" t="s">
        <v>886</v>
      </c>
      <c r="I340" t="s">
        <v>1357</v>
      </c>
      <c r="J340" t="s">
        <v>1357</v>
      </c>
      <c r="K340" t="s">
        <v>1357</v>
      </c>
      <c r="L340" t="s">
        <v>1357</v>
      </c>
    </row>
    <row r="341" spans="1:14">
      <c r="H341" t="s">
        <v>887</v>
      </c>
      <c r="I341" t="s">
        <v>1357</v>
      </c>
      <c r="J341" t="s">
        <v>1357</v>
      </c>
      <c r="K341" t="s">
        <v>1357</v>
      </c>
      <c r="L341" t="s">
        <v>1357</v>
      </c>
    </row>
    <row r="342" spans="1:14">
      <c r="H342" t="s">
        <v>888</v>
      </c>
      <c r="I342" t="s">
        <v>1357</v>
      </c>
      <c r="J342" t="s">
        <v>1357</v>
      </c>
      <c r="K342" t="s">
        <v>1357</v>
      </c>
      <c r="L342" t="s">
        <v>1357</v>
      </c>
    </row>
    <row r="343" spans="1:14">
      <c r="H343" t="s">
        <v>889</v>
      </c>
      <c r="I343" t="s">
        <v>1357</v>
      </c>
      <c r="J343" t="s">
        <v>1357</v>
      </c>
      <c r="K343" t="s">
        <v>1357</v>
      </c>
      <c r="L343" t="s">
        <v>1357</v>
      </c>
    </row>
    <row r="344" spans="1:14">
      <c r="H344" t="s">
        <v>890</v>
      </c>
      <c r="I344" t="s">
        <v>1357</v>
      </c>
      <c r="J344" t="s">
        <v>1357</v>
      </c>
      <c r="K344" t="s">
        <v>1357</v>
      </c>
      <c r="L344" t="s">
        <v>1357</v>
      </c>
    </row>
    <row r="345" spans="1:14">
      <c r="H345" t="s">
        <v>891</v>
      </c>
      <c r="I345" t="s">
        <v>1357</v>
      </c>
      <c r="J345" t="s">
        <v>1357</v>
      </c>
      <c r="K345" t="s">
        <v>1357</v>
      </c>
      <c r="L345" t="s">
        <v>1357</v>
      </c>
    </row>
    <row r="346" spans="1:14">
      <c r="H346" t="s">
        <v>892</v>
      </c>
      <c r="I346" t="s">
        <v>1357</v>
      </c>
      <c r="J346" t="s">
        <v>1357</v>
      </c>
      <c r="K346" t="s">
        <v>1357</v>
      </c>
      <c r="L346" t="s">
        <v>1357</v>
      </c>
    </row>
    <row r="347" spans="1:14">
      <c r="F347" t="s">
        <v>336</v>
      </c>
      <c r="G347" t="s">
        <v>477</v>
      </c>
      <c r="H347" t="s">
        <v>893</v>
      </c>
      <c r="I347" t="s">
        <v>1357</v>
      </c>
      <c r="J347" t="s">
        <v>1357</v>
      </c>
      <c r="K347" t="s">
        <v>1357</v>
      </c>
      <c r="L347" t="s">
        <v>1357</v>
      </c>
    </row>
    <row r="348" spans="1:14">
      <c r="H348" t="s">
        <v>894</v>
      </c>
      <c r="I348" t="s">
        <v>1357</v>
      </c>
      <c r="J348" t="s">
        <v>1357</v>
      </c>
      <c r="K348" t="s">
        <v>1357</v>
      </c>
      <c r="L348" t="s">
        <v>1357</v>
      </c>
    </row>
    <row r="349" spans="1:14">
      <c r="A349" t="s">
        <v>55</v>
      </c>
      <c r="B349">
        <f>HYPERLINK("https://github.com/apache/commons-lang/commit/65e3778b9ee924318cad305d8b89757b735c0014", "65e3778b9ee924318cad305d8b89757b735c0014")</f>
        <v>0</v>
      </c>
      <c r="C349">
        <f>HYPERLINK("https://github.com/apache/commons-lang/commit/efe31f5b60e95220ec4e1222c5608d49668725e9", "efe31f5b60e95220ec4e1222c5608d49668725e9")</f>
        <v>0</v>
      </c>
      <c r="D349" t="s">
        <v>154</v>
      </c>
      <c r="E349" t="s">
        <v>211</v>
      </c>
      <c r="F349" t="s">
        <v>337</v>
      </c>
      <c r="G349" t="s">
        <v>478</v>
      </c>
      <c r="H349" t="s">
        <v>895</v>
      </c>
      <c r="I349" t="s">
        <v>1357</v>
      </c>
      <c r="J349" t="s">
        <v>1357</v>
      </c>
      <c r="K349" t="s">
        <v>1357</v>
      </c>
      <c r="L349" t="s">
        <v>1357</v>
      </c>
    </row>
    <row r="350" spans="1:14">
      <c r="H350" t="s">
        <v>896</v>
      </c>
      <c r="I350" t="s">
        <v>1357</v>
      </c>
      <c r="J350" t="s">
        <v>1357</v>
      </c>
      <c r="K350" t="s">
        <v>1357</v>
      </c>
      <c r="L350" t="s">
        <v>1357</v>
      </c>
      <c r="N350" t="s">
        <v>1364</v>
      </c>
    </row>
    <row r="351" spans="1:14">
      <c r="A351" t="s">
        <v>56</v>
      </c>
      <c r="B351">
        <f>HYPERLINK("https://github.com/apache/commons-lang/commit/585e4c6eb3a49dbbd18f39acc4c94d5d64100eff", "585e4c6eb3a49dbbd18f39acc4c94d5d64100eff")</f>
        <v>0</v>
      </c>
      <c r="C351">
        <f>HYPERLINK("https://github.com/apache/commons-lang/commit/e0da000caa33b68fb9c95747f3291da12c2b5749", "e0da000caa33b68fb9c95747f3291da12c2b5749")</f>
        <v>0</v>
      </c>
      <c r="D351" t="s">
        <v>154</v>
      </c>
      <c r="E351" t="s">
        <v>212</v>
      </c>
      <c r="F351" t="s">
        <v>338</v>
      </c>
      <c r="G351" t="s">
        <v>479</v>
      </c>
      <c r="H351" t="s">
        <v>897</v>
      </c>
      <c r="I351" t="s">
        <v>1357</v>
      </c>
      <c r="J351" t="s">
        <v>1357</v>
      </c>
      <c r="K351" t="s">
        <v>1357</v>
      </c>
      <c r="L351" t="s">
        <v>1357</v>
      </c>
    </row>
    <row r="352" spans="1:14">
      <c r="A352" t="s">
        <v>57</v>
      </c>
      <c r="B352">
        <f>HYPERLINK("https://github.com/apache/commons-lang/commit/50af57d0b8eb4f10add7ebdc0c20b6dd11a838e7", "50af57d0b8eb4f10add7ebdc0c20b6dd11a838e7")</f>
        <v>0</v>
      </c>
      <c r="C352">
        <f>HYPERLINK("https://github.com/apache/commons-lang/commit/5df3e1aad76a65c6e437e1f6c441601039742368", "5df3e1aad76a65c6e437e1f6c441601039742368")</f>
        <v>0</v>
      </c>
      <c r="D352" t="s">
        <v>151</v>
      </c>
      <c r="E352" t="s">
        <v>213</v>
      </c>
      <c r="F352" t="s">
        <v>339</v>
      </c>
      <c r="G352" t="s">
        <v>480</v>
      </c>
      <c r="H352" t="s">
        <v>898</v>
      </c>
      <c r="I352" t="s">
        <v>1357</v>
      </c>
      <c r="J352" t="s">
        <v>1357</v>
      </c>
      <c r="K352" t="s">
        <v>1357</v>
      </c>
      <c r="L352" t="s">
        <v>1357</v>
      </c>
    </row>
    <row r="353" spans="8:12">
      <c r="H353" t="s">
        <v>812</v>
      </c>
      <c r="I353" t="s">
        <v>1357</v>
      </c>
      <c r="J353" t="s">
        <v>1357</v>
      </c>
      <c r="K353" t="s">
        <v>1357</v>
      </c>
      <c r="L353" t="s">
        <v>1357</v>
      </c>
    </row>
    <row r="354" spans="8:12">
      <c r="H354" t="s">
        <v>899</v>
      </c>
      <c r="I354" t="s">
        <v>1357</v>
      </c>
      <c r="J354" t="s">
        <v>1357</v>
      </c>
      <c r="K354" t="s">
        <v>1357</v>
      </c>
      <c r="L354" t="s">
        <v>1357</v>
      </c>
    </row>
    <row r="355" spans="8:12">
      <c r="H355" t="s">
        <v>900</v>
      </c>
      <c r="I355" t="s">
        <v>1357</v>
      </c>
      <c r="J355" t="s">
        <v>1357</v>
      </c>
      <c r="K355" t="s">
        <v>1357</v>
      </c>
      <c r="L355" t="s">
        <v>1357</v>
      </c>
    </row>
    <row r="356" spans="8:12">
      <c r="H356" t="s">
        <v>901</v>
      </c>
      <c r="I356" t="s">
        <v>1357</v>
      </c>
      <c r="J356" t="s">
        <v>1357</v>
      </c>
      <c r="K356" t="s">
        <v>1357</v>
      </c>
      <c r="L356" t="s">
        <v>1357</v>
      </c>
    </row>
    <row r="357" spans="8:12">
      <c r="H357" t="s">
        <v>902</v>
      </c>
      <c r="I357" t="s">
        <v>1357</v>
      </c>
      <c r="J357" t="s">
        <v>1357</v>
      </c>
      <c r="K357" t="s">
        <v>1357</v>
      </c>
      <c r="L357" t="s">
        <v>1357</v>
      </c>
    </row>
    <row r="358" spans="8:12">
      <c r="H358" t="s">
        <v>903</v>
      </c>
      <c r="I358" t="s">
        <v>1357</v>
      </c>
      <c r="J358" t="s">
        <v>1357</v>
      </c>
      <c r="K358" t="s">
        <v>1357</v>
      </c>
      <c r="L358" t="s">
        <v>1357</v>
      </c>
    </row>
    <row r="359" spans="8:12">
      <c r="H359" t="s">
        <v>904</v>
      </c>
      <c r="I359" t="s">
        <v>1357</v>
      </c>
      <c r="J359" t="s">
        <v>1357</v>
      </c>
      <c r="K359" t="s">
        <v>1357</v>
      </c>
      <c r="L359" t="s">
        <v>1357</v>
      </c>
    </row>
    <row r="360" spans="8:12">
      <c r="H360" t="s">
        <v>905</v>
      </c>
      <c r="I360" t="s">
        <v>1357</v>
      </c>
      <c r="J360" t="s">
        <v>1357</v>
      </c>
      <c r="K360" t="s">
        <v>1357</v>
      </c>
      <c r="L360" t="s">
        <v>1357</v>
      </c>
    </row>
    <row r="361" spans="8:12">
      <c r="H361" t="s">
        <v>906</v>
      </c>
      <c r="I361" t="s">
        <v>1357</v>
      </c>
      <c r="J361" t="s">
        <v>1357</v>
      </c>
      <c r="K361" t="s">
        <v>1357</v>
      </c>
      <c r="L361" t="s">
        <v>1357</v>
      </c>
    </row>
    <row r="362" spans="8:12">
      <c r="H362" t="s">
        <v>907</v>
      </c>
      <c r="I362" t="s">
        <v>1357</v>
      </c>
      <c r="J362" t="s">
        <v>1357</v>
      </c>
      <c r="K362" t="s">
        <v>1357</v>
      </c>
      <c r="L362" t="s">
        <v>1357</v>
      </c>
    </row>
    <row r="363" spans="8:12">
      <c r="H363" t="s">
        <v>908</v>
      </c>
      <c r="I363" t="s">
        <v>1357</v>
      </c>
      <c r="J363" t="s">
        <v>1357</v>
      </c>
      <c r="K363" t="s">
        <v>1357</v>
      </c>
      <c r="L363" t="s">
        <v>1357</v>
      </c>
    </row>
    <row r="364" spans="8:12">
      <c r="H364" t="s">
        <v>909</v>
      </c>
      <c r="I364" t="s">
        <v>1357</v>
      </c>
      <c r="J364" t="s">
        <v>1357</v>
      </c>
      <c r="K364" t="s">
        <v>1357</v>
      </c>
      <c r="L364" t="s">
        <v>1357</v>
      </c>
    </row>
    <row r="365" spans="8:12">
      <c r="H365" t="s">
        <v>910</v>
      </c>
      <c r="I365" t="s">
        <v>1357</v>
      </c>
      <c r="J365" t="s">
        <v>1357</v>
      </c>
      <c r="K365" t="s">
        <v>1357</v>
      </c>
      <c r="L365" t="s">
        <v>1357</v>
      </c>
    </row>
    <row r="366" spans="8:12">
      <c r="H366" t="s">
        <v>911</v>
      </c>
      <c r="I366" t="s">
        <v>1357</v>
      </c>
      <c r="J366" t="s">
        <v>1357</v>
      </c>
      <c r="K366" t="s">
        <v>1357</v>
      </c>
      <c r="L366" t="s">
        <v>1357</v>
      </c>
    </row>
    <row r="367" spans="8:12">
      <c r="H367" t="s">
        <v>912</v>
      </c>
      <c r="I367" t="s">
        <v>1357</v>
      </c>
      <c r="J367" t="s">
        <v>1357</v>
      </c>
      <c r="K367" t="s">
        <v>1357</v>
      </c>
      <c r="L367" t="s">
        <v>1357</v>
      </c>
    </row>
    <row r="368" spans="8:12">
      <c r="H368" t="s">
        <v>913</v>
      </c>
      <c r="I368" t="s">
        <v>1357</v>
      </c>
      <c r="J368" t="s">
        <v>1357</v>
      </c>
      <c r="K368" t="s">
        <v>1357</v>
      </c>
      <c r="L368" t="s">
        <v>1357</v>
      </c>
    </row>
    <row r="369" spans="8:12">
      <c r="H369" t="s">
        <v>914</v>
      </c>
      <c r="I369" t="s">
        <v>1357</v>
      </c>
      <c r="J369" t="s">
        <v>1357</v>
      </c>
      <c r="K369" t="s">
        <v>1357</v>
      </c>
      <c r="L369" t="s">
        <v>1357</v>
      </c>
    </row>
    <row r="370" spans="8:12">
      <c r="H370" t="s">
        <v>915</v>
      </c>
      <c r="I370" t="s">
        <v>1357</v>
      </c>
      <c r="J370" t="s">
        <v>1357</v>
      </c>
      <c r="K370" t="s">
        <v>1357</v>
      </c>
      <c r="L370" t="s">
        <v>1357</v>
      </c>
    </row>
    <row r="371" spans="8:12">
      <c r="H371" t="s">
        <v>916</v>
      </c>
      <c r="I371" t="s">
        <v>1357</v>
      </c>
      <c r="J371" t="s">
        <v>1357</v>
      </c>
      <c r="K371" t="s">
        <v>1357</v>
      </c>
      <c r="L371" t="s">
        <v>1357</v>
      </c>
    </row>
    <row r="372" spans="8:12">
      <c r="H372" t="s">
        <v>917</v>
      </c>
      <c r="I372" t="s">
        <v>1357</v>
      </c>
      <c r="J372" t="s">
        <v>1357</v>
      </c>
      <c r="K372" t="s">
        <v>1357</v>
      </c>
      <c r="L372" t="s">
        <v>1357</v>
      </c>
    </row>
    <row r="373" spans="8:12">
      <c r="H373" t="s">
        <v>918</v>
      </c>
      <c r="I373" t="s">
        <v>1357</v>
      </c>
      <c r="J373" t="s">
        <v>1357</v>
      </c>
      <c r="K373" t="s">
        <v>1357</v>
      </c>
      <c r="L373" t="s">
        <v>1357</v>
      </c>
    </row>
    <row r="374" spans="8:12">
      <c r="H374" t="s">
        <v>919</v>
      </c>
      <c r="I374" t="s">
        <v>1357</v>
      </c>
      <c r="J374" t="s">
        <v>1357</v>
      </c>
      <c r="K374" t="s">
        <v>1357</v>
      </c>
      <c r="L374" t="s">
        <v>1357</v>
      </c>
    </row>
    <row r="375" spans="8:12">
      <c r="H375" t="s">
        <v>920</v>
      </c>
      <c r="I375" t="s">
        <v>1357</v>
      </c>
      <c r="J375" t="s">
        <v>1357</v>
      </c>
      <c r="K375" t="s">
        <v>1357</v>
      </c>
      <c r="L375" t="s">
        <v>1357</v>
      </c>
    </row>
    <row r="376" spans="8:12">
      <c r="H376" t="s">
        <v>921</v>
      </c>
      <c r="I376" t="s">
        <v>1357</v>
      </c>
      <c r="J376" t="s">
        <v>1357</v>
      </c>
      <c r="K376" t="s">
        <v>1357</v>
      </c>
      <c r="L376" t="s">
        <v>1357</v>
      </c>
    </row>
    <row r="377" spans="8:12">
      <c r="H377" t="s">
        <v>922</v>
      </c>
      <c r="I377" t="s">
        <v>1357</v>
      </c>
      <c r="J377" t="s">
        <v>1357</v>
      </c>
      <c r="K377" t="s">
        <v>1357</v>
      </c>
      <c r="L377" t="s">
        <v>1357</v>
      </c>
    </row>
    <row r="378" spans="8:12">
      <c r="H378" t="s">
        <v>923</v>
      </c>
      <c r="I378" t="s">
        <v>1357</v>
      </c>
      <c r="J378" t="s">
        <v>1357</v>
      </c>
      <c r="K378" t="s">
        <v>1357</v>
      </c>
      <c r="L378" t="s">
        <v>1357</v>
      </c>
    </row>
    <row r="379" spans="8:12">
      <c r="H379" t="s">
        <v>924</v>
      </c>
      <c r="I379" t="s">
        <v>1357</v>
      </c>
      <c r="J379" t="s">
        <v>1357</v>
      </c>
      <c r="K379" t="s">
        <v>1357</v>
      </c>
      <c r="L379" t="s">
        <v>1357</v>
      </c>
    </row>
    <row r="380" spans="8:12">
      <c r="H380" t="s">
        <v>925</v>
      </c>
      <c r="I380" t="s">
        <v>1357</v>
      </c>
      <c r="J380" t="s">
        <v>1357</v>
      </c>
      <c r="K380" t="s">
        <v>1357</v>
      </c>
      <c r="L380" t="s">
        <v>1357</v>
      </c>
    </row>
    <row r="381" spans="8:12">
      <c r="H381" t="s">
        <v>926</v>
      </c>
      <c r="I381" t="s">
        <v>1357</v>
      </c>
      <c r="J381" t="s">
        <v>1357</v>
      </c>
      <c r="K381" t="s">
        <v>1357</v>
      </c>
      <c r="L381" t="s">
        <v>1357</v>
      </c>
    </row>
    <row r="382" spans="8:12">
      <c r="H382" t="s">
        <v>927</v>
      </c>
      <c r="I382" t="s">
        <v>1357</v>
      </c>
      <c r="J382" t="s">
        <v>1357</v>
      </c>
      <c r="K382" t="s">
        <v>1357</v>
      </c>
      <c r="L382" t="s">
        <v>1357</v>
      </c>
    </row>
    <row r="383" spans="8:12">
      <c r="H383" t="s">
        <v>928</v>
      </c>
      <c r="I383" t="s">
        <v>1357</v>
      </c>
      <c r="J383" t="s">
        <v>1357</v>
      </c>
      <c r="K383" t="s">
        <v>1357</v>
      </c>
      <c r="L383" t="s">
        <v>1357</v>
      </c>
    </row>
    <row r="384" spans="8:12">
      <c r="H384" t="s">
        <v>929</v>
      </c>
      <c r="I384" t="s">
        <v>1357</v>
      </c>
      <c r="J384" t="s">
        <v>1357</v>
      </c>
      <c r="K384" t="s">
        <v>1357</v>
      </c>
      <c r="L384" t="s">
        <v>1357</v>
      </c>
    </row>
    <row r="385" spans="6:12">
      <c r="H385" t="s">
        <v>930</v>
      </c>
      <c r="I385" t="s">
        <v>1357</v>
      </c>
      <c r="J385" t="s">
        <v>1357</v>
      </c>
      <c r="K385" t="s">
        <v>1357</v>
      </c>
      <c r="L385" t="s">
        <v>1357</v>
      </c>
    </row>
    <row r="386" spans="6:12">
      <c r="H386" t="s">
        <v>931</v>
      </c>
      <c r="I386" t="s">
        <v>1357</v>
      </c>
      <c r="J386" t="s">
        <v>1357</v>
      </c>
      <c r="K386" t="s">
        <v>1357</v>
      </c>
      <c r="L386" t="s">
        <v>1357</v>
      </c>
    </row>
    <row r="387" spans="6:12">
      <c r="H387" t="s">
        <v>932</v>
      </c>
      <c r="I387" t="s">
        <v>1357</v>
      </c>
      <c r="J387" t="s">
        <v>1357</v>
      </c>
      <c r="K387" t="s">
        <v>1357</v>
      </c>
      <c r="L387" t="s">
        <v>1357</v>
      </c>
    </row>
    <row r="388" spans="6:12">
      <c r="H388" t="s">
        <v>933</v>
      </c>
      <c r="I388" t="s">
        <v>1357</v>
      </c>
      <c r="J388" t="s">
        <v>1357</v>
      </c>
      <c r="K388" t="s">
        <v>1357</v>
      </c>
      <c r="L388" t="s">
        <v>1357</v>
      </c>
    </row>
    <row r="389" spans="6:12">
      <c r="H389" t="s">
        <v>934</v>
      </c>
      <c r="I389" t="s">
        <v>1357</v>
      </c>
      <c r="J389" t="s">
        <v>1357</v>
      </c>
      <c r="K389" t="s">
        <v>1357</v>
      </c>
      <c r="L389" t="s">
        <v>1357</v>
      </c>
    </row>
    <row r="390" spans="6:12">
      <c r="H390" t="s">
        <v>935</v>
      </c>
      <c r="I390" t="s">
        <v>1357</v>
      </c>
      <c r="J390" t="s">
        <v>1357</v>
      </c>
      <c r="K390" t="s">
        <v>1357</v>
      </c>
      <c r="L390" t="s">
        <v>1357</v>
      </c>
    </row>
    <row r="391" spans="6:12">
      <c r="H391" t="s">
        <v>936</v>
      </c>
      <c r="I391" t="s">
        <v>1357</v>
      </c>
      <c r="J391" t="s">
        <v>1357</v>
      </c>
      <c r="K391" t="s">
        <v>1357</v>
      </c>
      <c r="L391" t="s">
        <v>1357</v>
      </c>
    </row>
    <row r="392" spans="6:12">
      <c r="F392" t="s">
        <v>340</v>
      </c>
      <c r="G392" t="s">
        <v>481</v>
      </c>
      <c r="H392" t="s">
        <v>795</v>
      </c>
      <c r="I392" t="s">
        <v>1357</v>
      </c>
      <c r="J392" t="s">
        <v>1357</v>
      </c>
      <c r="K392" t="s">
        <v>1357</v>
      </c>
      <c r="L392" t="s">
        <v>1357</v>
      </c>
    </row>
    <row r="393" spans="6:12">
      <c r="H393" t="s">
        <v>902</v>
      </c>
      <c r="I393" t="s">
        <v>1357</v>
      </c>
      <c r="J393" t="s">
        <v>1357</v>
      </c>
      <c r="K393" t="s">
        <v>1357</v>
      </c>
      <c r="L393" t="s">
        <v>1357</v>
      </c>
    </row>
    <row r="394" spans="6:12">
      <c r="H394" t="s">
        <v>937</v>
      </c>
      <c r="I394" t="s">
        <v>1357</v>
      </c>
      <c r="J394" t="s">
        <v>1357</v>
      </c>
      <c r="K394" t="s">
        <v>1357</v>
      </c>
      <c r="L394" t="s">
        <v>1357</v>
      </c>
    </row>
    <row r="395" spans="6:12">
      <c r="H395" t="s">
        <v>903</v>
      </c>
      <c r="I395" t="s">
        <v>1357</v>
      </c>
      <c r="J395" t="s">
        <v>1357</v>
      </c>
      <c r="K395" t="s">
        <v>1357</v>
      </c>
      <c r="L395" t="s">
        <v>1357</v>
      </c>
    </row>
    <row r="396" spans="6:12">
      <c r="H396" t="s">
        <v>938</v>
      </c>
      <c r="I396" t="s">
        <v>1357</v>
      </c>
      <c r="J396" t="s">
        <v>1357</v>
      </c>
      <c r="K396" t="s">
        <v>1357</v>
      </c>
      <c r="L396" t="s">
        <v>1357</v>
      </c>
    </row>
    <row r="397" spans="6:12">
      <c r="H397" t="s">
        <v>904</v>
      </c>
      <c r="I397" t="s">
        <v>1357</v>
      </c>
      <c r="J397" t="s">
        <v>1357</v>
      </c>
      <c r="K397" t="s">
        <v>1357</v>
      </c>
      <c r="L397" t="s">
        <v>1357</v>
      </c>
    </row>
    <row r="398" spans="6:12">
      <c r="H398" t="s">
        <v>939</v>
      </c>
      <c r="I398" t="s">
        <v>1357</v>
      </c>
      <c r="J398" t="s">
        <v>1357</v>
      </c>
      <c r="K398" t="s">
        <v>1357</v>
      </c>
      <c r="L398" t="s">
        <v>1357</v>
      </c>
    </row>
    <row r="399" spans="6:12">
      <c r="H399" t="s">
        <v>905</v>
      </c>
      <c r="I399" t="s">
        <v>1357</v>
      </c>
      <c r="J399" t="s">
        <v>1357</v>
      </c>
      <c r="K399" t="s">
        <v>1357</v>
      </c>
      <c r="L399" t="s">
        <v>1357</v>
      </c>
    </row>
    <row r="400" spans="6:12">
      <c r="H400" t="s">
        <v>940</v>
      </c>
      <c r="I400" t="s">
        <v>1357</v>
      </c>
      <c r="J400" t="s">
        <v>1357</v>
      </c>
      <c r="K400" t="s">
        <v>1357</v>
      </c>
      <c r="L400" t="s">
        <v>1357</v>
      </c>
    </row>
    <row r="401" spans="1:12">
      <c r="H401" t="s">
        <v>941</v>
      </c>
      <c r="I401" t="s">
        <v>1357</v>
      </c>
      <c r="J401" t="s">
        <v>1357</v>
      </c>
      <c r="K401" t="s">
        <v>1357</v>
      </c>
      <c r="L401" t="s">
        <v>1357</v>
      </c>
    </row>
    <row r="402" spans="1:12">
      <c r="H402" t="s">
        <v>942</v>
      </c>
      <c r="I402" t="s">
        <v>1357</v>
      </c>
      <c r="J402" t="s">
        <v>1357</v>
      </c>
      <c r="K402" t="s">
        <v>1357</v>
      </c>
      <c r="L402" t="s">
        <v>1357</v>
      </c>
    </row>
    <row r="403" spans="1:12">
      <c r="F403" t="s">
        <v>341</v>
      </c>
      <c r="G403" t="s">
        <v>482</v>
      </c>
      <c r="H403" t="s">
        <v>898</v>
      </c>
      <c r="I403" t="s">
        <v>1357</v>
      </c>
      <c r="J403" t="s">
        <v>1357</v>
      </c>
      <c r="K403" t="s">
        <v>1357</v>
      </c>
      <c r="L403" t="s">
        <v>1357</v>
      </c>
    </row>
    <row r="404" spans="1:12">
      <c r="H404" t="s">
        <v>943</v>
      </c>
      <c r="I404" t="s">
        <v>1357</v>
      </c>
      <c r="J404" t="s">
        <v>1357</v>
      </c>
      <c r="K404" t="s">
        <v>1357</v>
      </c>
      <c r="L404" t="s">
        <v>1357</v>
      </c>
    </row>
    <row r="405" spans="1:12">
      <c r="H405" t="s">
        <v>812</v>
      </c>
      <c r="I405" t="s">
        <v>1357</v>
      </c>
      <c r="J405" t="s">
        <v>1357</v>
      </c>
      <c r="K405" t="s">
        <v>1357</v>
      </c>
      <c r="L405" t="s">
        <v>1357</v>
      </c>
    </row>
    <row r="406" spans="1:12">
      <c r="H406" t="s">
        <v>899</v>
      </c>
      <c r="I406" t="s">
        <v>1357</v>
      </c>
      <c r="J406" t="s">
        <v>1357</v>
      </c>
      <c r="K406" t="s">
        <v>1357</v>
      </c>
      <c r="L406" t="s">
        <v>1357</v>
      </c>
    </row>
    <row r="407" spans="1:12">
      <c r="H407" t="s">
        <v>901</v>
      </c>
      <c r="I407" t="s">
        <v>1357</v>
      </c>
      <c r="J407" t="s">
        <v>1357</v>
      </c>
      <c r="K407" t="s">
        <v>1357</v>
      </c>
      <c r="L407" t="s">
        <v>1357</v>
      </c>
    </row>
    <row r="408" spans="1:12">
      <c r="H408" t="s">
        <v>902</v>
      </c>
      <c r="I408" t="s">
        <v>1357</v>
      </c>
      <c r="J408" t="s">
        <v>1357</v>
      </c>
      <c r="K408" t="s">
        <v>1357</v>
      </c>
      <c r="L408" t="s">
        <v>1357</v>
      </c>
    </row>
    <row r="409" spans="1:12">
      <c r="H409" t="s">
        <v>903</v>
      </c>
      <c r="I409" t="s">
        <v>1357</v>
      </c>
      <c r="J409" t="s">
        <v>1357</v>
      </c>
      <c r="K409" t="s">
        <v>1357</v>
      </c>
      <c r="L409" t="s">
        <v>1357</v>
      </c>
    </row>
    <row r="410" spans="1:12">
      <c r="H410" t="s">
        <v>904</v>
      </c>
      <c r="I410" t="s">
        <v>1357</v>
      </c>
      <c r="J410" t="s">
        <v>1357</v>
      </c>
      <c r="K410" t="s">
        <v>1357</v>
      </c>
      <c r="L410" t="s">
        <v>1357</v>
      </c>
    </row>
    <row r="411" spans="1:12">
      <c r="H411" t="s">
        <v>905</v>
      </c>
      <c r="I411" t="s">
        <v>1357</v>
      </c>
      <c r="J411" t="s">
        <v>1357</v>
      </c>
      <c r="K411" t="s">
        <v>1357</v>
      </c>
      <c r="L411" t="s">
        <v>1357</v>
      </c>
    </row>
    <row r="412" spans="1:12">
      <c r="H412" t="s">
        <v>941</v>
      </c>
      <c r="I412" t="s">
        <v>1357</v>
      </c>
      <c r="J412" t="s">
        <v>1357</v>
      </c>
      <c r="K412" t="s">
        <v>1357</v>
      </c>
      <c r="L412" t="s">
        <v>1357</v>
      </c>
    </row>
    <row r="413" spans="1:12">
      <c r="H413" t="s">
        <v>906</v>
      </c>
      <c r="I413" t="s">
        <v>1357</v>
      </c>
      <c r="J413" t="s">
        <v>1357</v>
      </c>
      <c r="K413" t="s">
        <v>1357</v>
      </c>
      <c r="L413" t="s">
        <v>1357</v>
      </c>
    </row>
    <row r="414" spans="1:12">
      <c r="A414" t="s">
        <v>58</v>
      </c>
      <c r="B414">
        <f>HYPERLINK("https://github.com/apache/commons-lang/commit/69d0399fcde71d0079b1e994338450516969a31b", "69d0399fcde71d0079b1e994338450516969a31b")</f>
        <v>0</v>
      </c>
      <c r="C414">
        <f>HYPERLINK("https://github.com/apache/commons-lang/commit/784a817fef0bcd09432c32e54bf80d972d3d15bc", "784a817fef0bcd09432c32e54bf80d972d3d15bc")</f>
        <v>0</v>
      </c>
      <c r="D414" t="s">
        <v>151</v>
      </c>
      <c r="E414" t="s">
        <v>214</v>
      </c>
      <c r="F414" t="s">
        <v>342</v>
      </c>
      <c r="G414" t="s">
        <v>483</v>
      </c>
      <c r="H414" t="s">
        <v>899</v>
      </c>
      <c r="I414" t="s">
        <v>1357</v>
      </c>
      <c r="J414" t="s">
        <v>1357</v>
      </c>
      <c r="K414" t="s">
        <v>1357</v>
      </c>
      <c r="L414" t="s">
        <v>1357</v>
      </c>
    </row>
    <row r="415" spans="1:12">
      <c r="H415" t="s">
        <v>944</v>
      </c>
      <c r="I415" t="s">
        <v>1357</v>
      </c>
      <c r="J415" t="s">
        <v>1357</v>
      </c>
      <c r="K415" t="s">
        <v>1357</v>
      </c>
      <c r="L415" t="s">
        <v>1357</v>
      </c>
    </row>
    <row r="416" spans="1:12">
      <c r="H416" t="s">
        <v>945</v>
      </c>
      <c r="I416" t="s">
        <v>1357</v>
      </c>
      <c r="J416" t="s">
        <v>1357</v>
      </c>
      <c r="K416" t="s">
        <v>1357</v>
      </c>
      <c r="L416" t="s">
        <v>1357</v>
      </c>
    </row>
    <row r="417" spans="6:12">
      <c r="H417" t="s">
        <v>812</v>
      </c>
      <c r="I417" t="s">
        <v>1357</v>
      </c>
      <c r="J417" t="s">
        <v>1357</v>
      </c>
      <c r="K417" t="s">
        <v>1357</v>
      </c>
      <c r="L417" t="s">
        <v>1357</v>
      </c>
    </row>
    <row r="418" spans="6:12">
      <c r="F418" t="s">
        <v>343</v>
      </c>
      <c r="G418" t="s">
        <v>480</v>
      </c>
      <c r="H418" t="s">
        <v>898</v>
      </c>
      <c r="I418" t="s">
        <v>1357</v>
      </c>
      <c r="J418" t="s">
        <v>1357</v>
      </c>
      <c r="K418" t="s">
        <v>1357</v>
      </c>
      <c r="L418" t="s">
        <v>1357</v>
      </c>
    </row>
    <row r="419" spans="6:12">
      <c r="H419" t="s">
        <v>812</v>
      </c>
      <c r="I419" t="s">
        <v>1357</v>
      </c>
      <c r="J419" t="s">
        <v>1357</v>
      </c>
      <c r="K419" t="s">
        <v>1357</v>
      </c>
      <c r="L419" t="s">
        <v>1357</v>
      </c>
    </row>
    <row r="420" spans="6:12">
      <c r="H420" t="s">
        <v>899</v>
      </c>
      <c r="I420" t="s">
        <v>1357</v>
      </c>
      <c r="J420" t="s">
        <v>1357</v>
      </c>
      <c r="K420" t="s">
        <v>1357</v>
      </c>
      <c r="L420" t="s">
        <v>1357</v>
      </c>
    </row>
    <row r="421" spans="6:12">
      <c r="H421" t="s">
        <v>900</v>
      </c>
      <c r="I421" t="s">
        <v>1357</v>
      </c>
      <c r="J421" t="s">
        <v>1357</v>
      </c>
      <c r="K421" t="s">
        <v>1357</v>
      </c>
      <c r="L421" t="s">
        <v>1357</v>
      </c>
    </row>
    <row r="422" spans="6:12">
      <c r="H422" t="s">
        <v>901</v>
      </c>
      <c r="I422" t="s">
        <v>1357</v>
      </c>
      <c r="J422" t="s">
        <v>1357</v>
      </c>
      <c r="K422" t="s">
        <v>1357</v>
      </c>
      <c r="L422" t="s">
        <v>1357</v>
      </c>
    </row>
    <row r="423" spans="6:12">
      <c r="H423" t="s">
        <v>902</v>
      </c>
      <c r="I423" t="s">
        <v>1357</v>
      </c>
      <c r="J423" t="s">
        <v>1357</v>
      </c>
      <c r="K423" t="s">
        <v>1357</v>
      </c>
      <c r="L423" t="s">
        <v>1357</v>
      </c>
    </row>
    <row r="424" spans="6:12">
      <c r="H424" t="s">
        <v>903</v>
      </c>
      <c r="I424" t="s">
        <v>1357</v>
      </c>
      <c r="J424" t="s">
        <v>1357</v>
      </c>
      <c r="K424" t="s">
        <v>1357</v>
      </c>
      <c r="L424" t="s">
        <v>1357</v>
      </c>
    </row>
    <row r="425" spans="6:12">
      <c r="H425" t="s">
        <v>904</v>
      </c>
      <c r="I425" t="s">
        <v>1357</v>
      </c>
      <c r="J425" t="s">
        <v>1357</v>
      </c>
      <c r="K425" t="s">
        <v>1357</v>
      </c>
      <c r="L425" t="s">
        <v>1357</v>
      </c>
    </row>
    <row r="426" spans="6:12">
      <c r="H426" t="s">
        <v>905</v>
      </c>
      <c r="I426" t="s">
        <v>1357</v>
      </c>
      <c r="J426" t="s">
        <v>1357</v>
      </c>
      <c r="K426" t="s">
        <v>1357</v>
      </c>
      <c r="L426" t="s">
        <v>1357</v>
      </c>
    </row>
    <row r="427" spans="6:12">
      <c r="H427" t="s">
        <v>906</v>
      </c>
      <c r="I427" t="s">
        <v>1357</v>
      </c>
      <c r="J427" t="s">
        <v>1357</v>
      </c>
      <c r="K427" t="s">
        <v>1357</v>
      </c>
      <c r="L427" t="s">
        <v>1357</v>
      </c>
    </row>
    <row r="428" spans="6:12">
      <c r="H428" t="s">
        <v>907</v>
      </c>
      <c r="I428" t="s">
        <v>1357</v>
      </c>
      <c r="J428" t="s">
        <v>1357</v>
      </c>
      <c r="K428" t="s">
        <v>1357</v>
      </c>
      <c r="L428" t="s">
        <v>1357</v>
      </c>
    </row>
    <row r="429" spans="6:12">
      <c r="H429" t="s">
        <v>908</v>
      </c>
      <c r="I429" t="s">
        <v>1357</v>
      </c>
      <c r="J429" t="s">
        <v>1357</v>
      </c>
      <c r="K429" t="s">
        <v>1357</v>
      </c>
      <c r="L429" t="s">
        <v>1357</v>
      </c>
    </row>
    <row r="430" spans="6:12">
      <c r="H430" t="s">
        <v>909</v>
      </c>
      <c r="I430" t="s">
        <v>1357</v>
      </c>
      <c r="J430" t="s">
        <v>1357</v>
      </c>
      <c r="K430" t="s">
        <v>1357</v>
      </c>
      <c r="L430" t="s">
        <v>1357</v>
      </c>
    </row>
    <row r="431" spans="6:12">
      <c r="H431" t="s">
        <v>910</v>
      </c>
      <c r="I431" t="s">
        <v>1357</v>
      </c>
      <c r="J431" t="s">
        <v>1357</v>
      </c>
      <c r="K431" t="s">
        <v>1357</v>
      </c>
      <c r="L431" t="s">
        <v>1357</v>
      </c>
    </row>
    <row r="432" spans="6:12">
      <c r="H432" t="s">
        <v>911</v>
      </c>
      <c r="I432" t="s">
        <v>1357</v>
      </c>
      <c r="J432" t="s">
        <v>1357</v>
      </c>
      <c r="K432" t="s">
        <v>1357</v>
      </c>
      <c r="L432" t="s">
        <v>1357</v>
      </c>
    </row>
    <row r="433" spans="8:12">
      <c r="H433" t="s">
        <v>912</v>
      </c>
      <c r="I433" t="s">
        <v>1357</v>
      </c>
      <c r="J433" t="s">
        <v>1357</v>
      </c>
      <c r="K433" t="s">
        <v>1357</v>
      </c>
      <c r="L433" t="s">
        <v>1357</v>
      </c>
    </row>
    <row r="434" spans="8:12">
      <c r="H434" t="s">
        <v>913</v>
      </c>
      <c r="I434" t="s">
        <v>1357</v>
      </c>
      <c r="J434" t="s">
        <v>1357</v>
      </c>
      <c r="K434" t="s">
        <v>1357</v>
      </c>
      <c r="L434" t="s">
        <v>1357</v>
      </c>
    </row>
    <row r="435" spans="8:12">
      <c r="H435" t="s">
        <v>914</v>
      </c>
      <c r="I435" t="s">
        <v>1357</v>
      </c>
      <c r="J435" t="s">
        <v>1357</v>
      </c>
      <c r="K435" t="s">
        <v>1357</v>
      </c>
      <c r="L435" t="s">
        <v>1357</v>
      </c>
    </row>
    <row r="436" spans="8:12">
      <c r="H436" t="s">
        <v>915</v>
      </c>
      <c r="I436" t="s">
        <v>1357</v>
      </c>
      <c r="J436" t="s">
        <v>1357</v>
      </c>
      <c r="K436" t="s">
        <v>1357</v>
      </c>
      <c r="L436" t="s">
        <v>1357</v>
      </c>
    </row>
    <row r="437" spans="8:12">
      <c r="H437" t="s">
        <v>916</v>
      </c>
      <c r="I437" t="s">
        <v>1357</v>
      </c>
      <c r="J437" t="s">
        <v>1357</v>
      </c>
      <c r="K437" t="s">
        <v>1357</v>
      </c>
      <c r="L437" t="s">
        <v>1357</v>
      </c>
    </row>
    <row r="438" spans="8:12">
      <c r="H438" t="s">
        <v>917</v>
      </c>
      <c r="I438" t="s">
        <v>1357</v>
      </c>
      <c r="J438" t="s">
        <v>1357</v>
      </c>
      <c r="K438" t="s">
        <v>1357</v>
      </c>
      <c r="L438" t="s">
        <v>1357</v>
      </c>
    </row>
    <row r="439" spans="8:12">
      <c r="H439" t="s">
        <v>918</v>
      </c>
      <c r="I439" t="s">
        <v>1357</v>
      </c>
      <c r="J439" t="s">
        <v>1357</v>
      </c>
      <c r="K439" t="s">
        <v>1357</v>
      </c>
      <c r="L439" t="s">
        <v>1357</v>
      </c>
    </row>
    <row r="440" spans="8:12">
      <c r="H440" t="s">
        <v>919</v>
      </c>
      <c r="I440" t="s">
        <v>1357</v>
      </c>
      <c r="J440" t="s">
        <v>1357</v>
      </c>
      <c r="K440" t="s">
        <v>1357</v>
      </c>
      <c r="L440" t="s">
        <v>1357</v>
      </c>
    </row>
    <row r="441" spans="8:12">
      <c r="H441" t="s">
        <v>920</v>
      </c>
      <c r="I441" t="s">
        <v>1357</v>
      </c>
      <c r="J441" t="s">
        <v>1357</v>
      </c>
      <c r="K441" t="s">
        <v>1357</v>
      </c>
      <c r="L441" t="s">
        <v>1357</v>
      </c>
    </row>
    <row r="442" spans="8:12">
      <c r="H442" t="s">
        <v>921</v>
      </c>
      <c r="I442" t="s">
        <v>1357</v>
      </c>
      <c r="J442" t="s">
        <v>1357</v>
      </c>
      <c r="K442" t="s">
        <v>1357</v>
      </c>
      <c r="L442" t="s">
        <v>1357</v>
      </c>
    </row>
    <row r="443" spans="8:12">
      <c r="H443" t="s">
        <v>922</v>
      </c>
      <c r="I443" t="s">
        <v>1357</v>
      </c>
      <c r="J443" t="s">
        <v>1357</v>
      </c>
      <c r="K443" t="s">
        <v>1357</v>
      </c>
      <c r="L443" t="s">
        <v>1357</v>
      </c>
    </row>
    <row r="444" spans="8:12">
      <c r="H444" t="s">
        <v>923</v>
      </c>
      <c r="I444" t="s">
        <v>1357</v>
      </c>
      <c r="J444" t="s">
        <v>1357</v>
      </c>
      <c r="K444" t="s">
        <v>1357</v>
      </c>
      <c r="L444" t="s">
        <v>1357</v>
      </c>
    </row>
    <row r="445" spans="8:12">
      <c r="H445" t="s">
        <v>924</v>
      </c>
      <c r="I445" t="s">
        <v>1357</v>
      </c>
      <c r="J445" t="s">
        <v>1357</v>
      </c>
      <c r="K445" t="s">
        <v>1357</v>
      </c>
      <c r="L445" t="s">
        <v>1357</v>
      </c>
    </row>
    <row r="446" spans="8:12">
      <c r="H446" t="s">
        <v>925</v>
      </c>
      <c r="I446" t="s">
        <v>1357</v>
      </c>
      <c r="J446" t="s">
        <v>1357</v>
      </c>
      <c r="K446" t="s">
        <v>1357</v>
      </c>
      <c r="L446" t="s">
        <v>1357</v>
      </c>
    </row>
    <row r="447" spans="8:12">
      <c r="H447" t="s">
        <v>926</v>
      </c>
      <c r="I447" t="s">
        <v>1357</v>
      </c>
      <c r="J447" t="s">
        <v>1357</v>
      </c>
      <c r="K447" t="s">
        <v>1357</v>
      </c>
      <c r="L447" t="s">
        <v>1357</v>
      </c>
    </row>
    <row r="448" spans="8:12">
      <c r="H448" t="s">
        <v>927</v>
      </c>
      <c r="I448" t="s">
        <v>1357</v>
      </c>
      <c r="J448" t="s">
        <v>1357</v>
      </c>
      <c r="K448" t="s">
        <v>1357</v>
      </c>
      <c r="L448" t="s">
        <v>1357</v>
      </c>
    </row>
    <row r="449" spans="6:12">
      <c r="H449" t="s">
        <v>928</v>
      </c>
      <c r="I449" t="s">
        <v>1357</v>
      </c>
      <c r="J449" t="s">
        <v>1357</v>
      </c>
      <c r="K449" t="s">
        <v>1357</v>
      </c>
      <c r="L449" t="s">
        <v>1357</v>
      </c>
    </row>
    <row r="450" spans="6:12">
      <c r="H450" t="s">
        <v>929</v>
      </c>
      <c r="I450" t="s">
        <v>1357</v>
      </c>
      <c r="J450" t="s">
        <v>1357</v>
      </c>
      <c r="K450" t="s">
        <v>1357</v>
      </c>
      <c r="L450" t="s">
        <v>1357</v>
      </c>
    </row>
    <row r="451" spans="6:12">
      <c r="H451" t="s">
        <v>930</v>
      </c>
      <c r="I451" t="s">
        <v>1357</v>
      </c>
      <c r="J451" t="s">
        <v>1357</v>
      </c>
      <c r="K451" t="s">
        <v>1357</v>
      </c>
      <c r="L451" t="s">
        <v>1357</v>
      </c>
    </row>
    <row r="452" spans="6:12">
      <c r="H452" t="s">
        <v>931</v>
      </c>
      <c r="I452" t="s">
        <v>1357</v>
      </c>
      <c r="J452" t="s">
        <v>1357</v>
      </c>
      <c r="K452" t="s">
        <v>1357</v>
      </c>
      <c r="L452" t="s">
        <v>1357</v>
      </c>
    </row>
    <row r="453" spans="6:12">
      <c r="H453" t="s">
        <v>932</v>
      </c>
      <c r="I453" t="s">
        <v>1357</v>
      </c>
      <c r="J453" t="s">
        <v>1357</v>
      </c>
      <c r="K453" t="s">
        <v>1357</v>
      </c>
      <c r="L453" t="s">
        <v>1357</v>
      </c>
    </row>
    <row r="454" spans="6:12">
      <c r="H454" t="s">
        <v>933</v>
      </c>
      <c r="I454" t="s">
        <v>1357</v>
      </c>
      <c r="J454" t="s">
        <v>1357</v>
      </c>
      <c r="K454" t="s">
        <v>1357</v>
      </c>
      <c r="L454" t="s">
        <v>1357</v>
      </c>
    </row>
    <row r="455" spans="6:12">
      <c r="H455" t="s">
        <v>934</v>
      </c>
      <c r="I455" t="s">
        <v>1357</v>
      </c>
      <c r="J455" t="s">
        <v>1357</v>
      </c>
      <c r="K455" t="s">
        <v>1357</v>
      </c>
      <c r="L455" t="s">
        <v>1357</v>
      </c>
    </row>
    <row r="456" spans="6:12">
      <c r="H456" t="s">
        <v>935</v>
      </c>
      <c r="I456" t="s">
        <v>1357</v>
      </c>
      <c r="J456" t="s">
        <v>1357</v>
      </c>
      <c r="K456" t="s">
        <v>1357</v>
      </c>
      <c r="L456" t="s">
        <v>1357</v>
      </c>
    </row>
    <row r="457" spans="6:12">
      <c r="H457" t="s">
        <v>936</v>
      </c>
      <c r="I457" t="s">
        <v>1357</v>
      </c>
      <c r="J457" t="s">
        <v>1357</v>
      </c>
      <c r="K457" t="s">
        <v>1357</v>
      </c>
      <c r="L457" t="s">
        <v>1357</v>
      </c>
    </row>
    <row r="458" spans="6:12">
      <c r="F458" t="s">
        <v>344</v>
      </c>
      <c r="G458" t="s">
        <v>481</v>
      </c>
      <c r="H458" t="s">
        <v>795</v>
      </c>
      <c r="I458" t="s">
        <v>1357</v>
      </c>
      <c r="J458" t="s">
        <v>1357</v>
      </c>
      <c r="K458" t="s">
        <v>1357</v>
      </c>
      <c r="L458" t="s">
        <v>1357</v>
      </c>
    </row>
    <row r="459" spans="6:12">
      <c r="H459" t="s">
        <v>902</v>
      </c>
      <c r="I459" t="s">
        <v>1357</v>
      </c>
      <c r="J459" t="s">
        <v>1357</v>
      </c>
      <c r="K459" t="s">
        <v>1357</v>
      </c>
      <c r="L459" t="s">
        <v>1357</v>
      </c>
    </row>
    <row r="460" spans="6:12">
      <c r="H460" t="s">
        <v>937</v>
      </c>
      <c r="I460" t="s">
        <v>1357</v>
      </c>
      <c r="J460" t="s">
        <v>1357</v>
      </c>
      <c r="K460" t="s">
        <v>1357</v>
      </c>
      <c r="L460" t="s">
        <v>1357</v>
      </c>
    </row>
    <row r="461" spans="6:12">
      <c r="H461" t="s">
        <v>903</v>
      </c>
      <c r="I461" t="s">
        <v>1357</v>
      </c>
      <c r="J461" t="s">
        <v>1357</v>
      </c>
      <c r="K461" t="s">
        <v>1357</v>
      </c>
      <c r="L461" t="s">
        <v>1357</v>
      </c>
    </row>
    <row r="462" spans="6:12">
      <c r="H462" t="s">
        <v>938</v>
      </c>
      <c r="I462" t="s">
        <v>1357</v>
      </c>
      <c r="J462" t="s">
        <v>1357</v>
      </c>
      <c r="K462" t="s">
        <v>1357</v>
      </c>
      <c r="L462" t="s">
        <v>1357</v>
      </c>
    </row>
    <row r="463" spans="6:12">
      <c r="H463" t="s">
        <v>904</v>
      </c>
      <c r="I463" t="s">
        <v>1357</v>
      </c>
      <c r="J463" t="s">
        <v>1357</v>
      </c>
      <c r="K463" t="s">
        <v>1357</v>
      </c>
      <c r="L463" t="s">
        <v>1357</v>
      </c>
    </row>
    <row r="464" spans="6:12">
      <c r="H464" t="s">
        <v>939</v>
      </c>
      <c r="I464" t="s">
        <v>1357</v>
      </c>
      <c r="J464" t="s">
        <v>1357</v>
      </c>
      <c r="K464" t="s">
        <v>1357</v>
      </c>
      <c r="L464" t="s">
        <v>1357</v>
      </c>
    </row>
    <row r="465" spans="6:12">
      <c r="H465" t="s">
        <v>905</v>
      </c>
      <c r="I465" t="s">
        <v>1357</v>
      </c>
      <c r="J465" t="s">
        <v>1357</v>
      </c>
      <c r="K465" t="s">
        <v>1357</v>
      </c>
      <c r="L465" t="s">
        <v>1357</v>
      </c>
    </row>
    <row r="466" spans="6:12">
      <c r="H466" t="s">
        <v>940</v>
      </c>
      <c r="I466" t="s">
        <v>1357</v>
      </c>
      <c r="J466" t="s">
        <v>1357</v>
      </c>
      <c r="K466" t="s">
        <v>1357</v>
      </c>
      <c r="L466" t="s">
        <v>1357</v>
      </c>
    </row>
    <row r="467" spans="6:12">
      <c r="H467" t="s">
        <v>941</v>
      </c>
      <c r="I467" t="s">
        <v>1357</v>
      </c>
      <c r="J467" t="s">
        <v>1357</v>
      </c>
      <c r="K467" t="s">
        <v>1357</v>
      </c>
      <c r="L467" t="s">
        <v>1357</v>
      </c>
    </row>
    <row r="468" spans="6:12">
      <c r="H468" t="s">
        <v>942</v>
      </c>
      <c r="I468" t="s">
        <v>1357</v>
      </c>
      <c r="J468" t="s">
        <v>1357</v>
      </c>
      <c r="K468" t="s">
        <v>1357</v>
      </c>
      <c r="L468" t="s">
        <v>1357</v>
      </c>
    </row>
    <row r="469" spans="6:12">
      <c r="F469" t="s">
        <v>345</v>
      </c>
      <c r="G469" t="s">
        <v>482</v>
      </c>
      <c r="H469" t="s">
        <v>898</v>
      </c>
      <c r="I469" t="s">
        <v>1357</v>
      </c>
      <c r="J469" t="s">
        <v>1357</v>
      </c>
      <c r="K469" t="s">
        <v>1357</v>
      </c>
      <c r="L469" t="s">
        <v>1357</v>
      </c>
    </row>
    <row r="470" spans="6:12">
      <c r="H470" t="s">
        <v>943</v>
      </c>
      <c r="I470" t="s">
        <v>1357</v>
      </c>
      <c r="J470" t="s">
        <v>1357</v>
      </c>
      <c r="K470" t="s">
        <v>1357</v>
      </c>
      <c r="L470" t="s">
        <v>1357</v>
      </c>
    </row>
    <row r="471" spans="6:12">
      <c r="H471" t="s">
        <v>812</v>
      </c>
      <c r="I471" t="s">
        <v>1357</v>
      </c>
      <c r="J471" t="s">
        <v>1357</v>
      </c>
      <c r="K471" t="s">
        <v>1357</v>
      </c>
      <c r="L471" t="s">
        <v>1357</v>
      </c>
    </row>
    <row r="472" spans="6:12">
      <c r="H472" t="s">
        <v>946</v>
      </c>
      <c r="I472" t="s">
        <v>1357</v>
      </c>
      <c r="J472" t="s">
        <v>1357</v>
      </c>
      <c r="K472" t="s">
        <v>1357</v>
      </c>
      <c r="L472" t="s">
        <v>1357</v>
      </c>
    </row>
    <row r="473" spans="6:12">
      <c r="H473" t="s">
        <v>947</v>
      </c>
      <c r="I473" t="s">
        <v>1357</v>
      </c>
      <c r="J473" t="s">
        <v>1357</v>
      </c>
      <c r="K473" t="s">
        <v>1357</v>
      </c>
      <c r="L473" t="s">
        <v>1357</v>
      </c>
    </row>
    <row r="474" spans="6:12">
      <c r="H474" t="s">
        <v>948</v>
      </c>
      <c r="I474" t="s">
        <v>1357</v>
      </c>
      <c r="J474" t="s">
        <v>1357</v>
      </c>
      <c r="K474" t="s">
        <v>1357</v>
      </c>
      <c r="L474" t="s">
        <v>1357</v>
      </c>
    </row>
    <row r="475" spans="6:12">
      <c r="H475" t="s">
        <v>949</v>
      </c>
      <c r="I475" t="s">
        <v>1357</v>
      </c>
      <c r="J475" t="s">
        <v>1357</v>
      </c>
      <c r="K475" t="s">
        <v>1357</v>
      </c>
      <c r="L475" t="s">
        <v>1357</v>
      </c>
    </row>
    <row r="476" spans="6:12">
      <c r="H476" t="s">
        <v>950</v>
      </c>
      <c r="I476" t="s">
        <v>1357</v>
      </c>
      <c r="J476" t="s">
        <v>1357</v>
      </c>
      <c r="K476" t="s">
        <v>1357</v>
      </c>
      <c r="L476" t="s">
        <v>1357</v>
      </c>
    </row>
    <row r="477" spans="6:12">
      <c r="H477" t="s">
        <v>951</v>
      </c>
      <c r="I477" t="s">
        <v>1357</v>
      </c>
      <c r="J477" t="s">
        <v>1357</v>
      </c>
      <c r="K477" t="s">
        <v>1357</v>
      </c>
      <c r="L477" t="s">
        <v>1357</v>
      </c>
    </row>
    <row r="478" spans="6:12">
      <c r="H478" t="s">
        <v>899</v>
      </c>
      <c r="I478" t="s">
        <v>1357</v>
      </c>
      <c r="J478" t="s">
        <v>1357</v>
      </c>
      <c r="K478" t="s">
        <v>1357</v>
      </c>
      <c r="L478" t="s">
        <v>1357</v>
      </c>
    </row>
    <row r="479" spans="6:12">
      <c r="H479" t="s">
        <v>944</v>
      </c>
      <c r="I479" t="s">
        <v>1357</v>
      </c>
      <c r="J479" t="s">
        <v>1357</v>
      </c>
      <c r="K479" t="s">
        <v>1357</v>
      </c>
      <c r="L479" t="s">
        <v>1357</v>
      </c>
    </row>
    <row r="480" spans="6:12">
      <c r="H480" t="s">
        <v>945</v>
      </c>
      <c r="I480" t="s">
        <v>1357</v>
      </c>
      <c r="J480" t="s">
        <v>1357</v>
      </c>
      <c r="K480" t="s">
        <v>1357</v>
      </c>
      <c r="L480" t="s">
        <v>1357</v>
      </c>
    </row>
    <row r="481" spans="1:12">
      <c r="H481" t="s">
        <v>901</v>
      </c>
      <c r="I481" t="s">
        <v>1357</v>
      </c>
      <c r="J481" t="s">
        <v>1357</v>
      </c>
      <c r="K481" t="s">
        <v>1357</v>
      </c>
      <c r="L481" t="s">
        <v>1357</v>
      </c>
    </row>
    <row r="482" spans="1:12">
      <c r="H482" t="s">
        <v>902</v>
      </c>
      <c r="I482" t="s">
        <v>1357</v>
      </c>
      <c r="J482" t="s">
        <v>1357</v>
      </c>
      <c r="K482" t="s">
        <v>1357</v>
      </c>
      <c r="L482" t="s">
        <v>1357</v>
      </c>
    </row>
    <row r="483" spans="1:12">
      <c r="H483" t="s">
        <v>903</v>
      </c>
      <c r="I483" t="s">
        <v>1357</v>
      </c>
      <c r="J483" t="s">
        <v>1357</v>
      </c>
      <c r="K483" t="s">
        <v>1357</v>
      </c>
      <c r="L483" t="s">
        <v>1357</v>
      </c>
    </row>
    <row r="484" spans="1:12">
      <c r="H484" t="s">
        <v>904</v>
      </c>
      <c r="I484" t="s">
        <v>1357</v>
      </c>
      <c r="J484" t="s">
        <v>1357</v>
      </c>
      <c r="K484" t="s">
        <v>1357</v>
      </c>
      <c r="L484" t="s">
        <v>1357</v>
      </c>
    </row>
    <row r="485" spans="1:12">
      <c r="H485" t="s">
        <v>905</v>
      </c>
      <c r="I485" t="s">
        <v>1357</v>
      </c>
      <c r="J485" t="s">
        <v>1357</v>
      </c>
      <c r="K485" t="s">
        <v>1357</v>
      </c>
      <c r="L485" t="s">
        <v>1357</v>
      </c>
    </row>
    <row r="486" spans="1:12">
      <c r="H486" t="s">
        <v>941</v>
      </c>
      <c r="I486" t="s">
        <v>1357</v>
      </c>
      <c r="J486" t="s">
        <v>1357</v>
      </c>
      <c r="K486" t="s">
        <v>1357</v>
      </c>
      <c r="L486" t="s">
        <v>1357</v>
      </c>
    </row>
    <row r="487" spans="1:12">
      <c r="H487" t="s">
        <v>906</v>
      </c>
      <c r="I487" t="s">
        <v>1357</v>
      </c>
      <c r="J487" t="s">
        <v>1357</v>
      </c>
      <c r="K487" t="s">
        <v>1357</v>
      </c>
      <c r="L487" t="s">
        <v>1357</v>
      </c>
    </row>
    <row r="488" spans="1:12">
      <c r="A488" t="s">
        <v>59</v>
      </c>
      <c r="B488">
        <f>HYPERLINK("https://github.com/apache/commons-lang/commit/cba79c706bdb523861fd3a07a63fc9fef0b631ce", "cba79c706bdb523861fd3a07a63fc9fef0b631ce")</f>
        <v>0</v>
      </c>
      <c r="C488">
        <f>HYPERLINK("https://github.com/apache/commons-lang/commit/798b3306f8673c0b2d015b0fc69f63cf457a94e9", "798b3306f8673c0b2d015b0fc69f63cf457a94e9")</f>
        <v>0</v>
      </c>
      <c r="D488" t="s">
        <v>151</v>
      </c>
      <c r="E488" t="s">
        <v>215</v>
      </c>
      <c r="F488" t="s">
        <v>315</v>
      </c>
      <c r="G488" t="s">
        <v>456</v>
      </c>
      <c r="H488" t="s">
        <v>952</v>
      </c>
      <c r="I488" t="s">
        <v>1357</v>
      </c>
      <c r="J488" t="s">
        <v>1357</v>
      </c>
      <c r="K488" t="s">
        <v>1357</v>
      </c>
      <c r="L488" t="s">
        <v>1357</v>
      </c>
    </row>
    <row r="489" spans="1:12">
      <c r="A489" t="s">
        <v>60</v>
      </c>
      <c r="B489">
        <f>HYPERLINK("https://github.com/apache/commons-lang/commit/5ca11e049c01fe008ecafca8a4908b6e4a341931", "5ca11e049c01fe008ecafca8a4908b6e4a341931")</f>
        <v>0</v>
      </c>
      <c r="C489">
        <f>HYPERLINK("https://github.com/apache/commons-lang/commit/cba79c706bdb523861fd3a07a63fc9fef0b631ce", "cba79c706bdb523861fd3a07a63fc9fef0b631ce")</f>
        <v>0</v>
      </c>
      <c r="D489" t="s">
        <v>151</v>
      </c>
      <c r="E489" t="s">
        <v>216</v>
      </c>
      <c r="F489" t="s">
        <v>346</v>
      </c>
      <c r="G489" t="s">
        <v>473</v>
      </c>
      <c r="H489" t="s">
        <v>953</v>
      </c>
      <c r="I489" t="s">
        <v>1357</v>
      </c>
      <c r="J489" t="s">
        <v>1357</v>
      </c>
      <c r="K489" t="s">
        <v>1357</v>
      </c>
      <c r="L489" t="s">
        <v>1357</v>
      </c>
    </row>
    <row r="490" spans="1:12">
      <c r="H490" t="s">
        <v>954</v>
      </c>
      <c r="I490" t="s">
        <v>1357</v>
      </c>
      <c r="J490" t="s">
        <v>1357</v>
      </c>
      <c r="K490" t="s">
        <v>1357</v>
      </c>
      <c r="L490" t="s">
        <v>1357</v>
      </c>
    </row>
    <row r="491" spans="1:12">
      <c r="H491" t="s">
        <v>955</v>
      </c>
      <c r="I491" t="s">
        <v>1357</v>
      </c>
      <c r="J491" t="s">
        <v>1357</v>
      </c>
      <c r="K491" t="s">
        <v>1357</v>
      </c>
      <c r="L491" t="s">
        <v>1357</v>
      </c>
    </row>
    <row r="492" spans="1:12">
      <c r="H492" t="s">
        <v>956</v>
      </c>
      <c r="I492" t="s">
        <v>1357</v>
      </c>
      <c r="J492" t="s">
        <v>1357</v>
      </c>
      <c r="K492" t="s">
        <v>1357</v>
      </c>
      <c r="L492" t="s">
        <v>1357</v>
      </c>
    </row>
    <row r="493" spans="1:12">
      <c r="H493" t="s">
        <v>957</v>
      </c>
      <c r="I493" t="s">
        <v>1357</v>
      </c>
      <c r="J493" t="s">
        <v>1357</v>
      </c>
      <c r="K493" t="s">
        <v>1357</v>
      </c>
      <c r="L493" t="s">
        <v>1357</v>
      </c>
    </row>
    <row r="494" spans="1:12">
      <c r="H494" t="s">
        <v>958</v>
      </c>
      <c r="I494" t="s">
        <v>1357</v>
      </c>
      <c r="J494" t="s">
        <v>1357</v>
      </c>
      <c r="K494" t="s">
        <v>1357</v>
      </c>
      <c r="L494" t="s">
        <v>1357</v>
      </c>
    </row>
    <row r="495" spans="1:12">
      <c r="H495" t="s">
        <v>959</v>
      </c>
      <c r="I495" t="s">
        <v>1357</v>
      </c>
      <c r="J495" t="s">
        <v>1357</v>
      </c>
      <c r="K495" t="s">
        <v>1357</v>
      </c>
      <c r="L495" t="s">
        <v>1357</v>
      </c>
    </row>
    <row r="496" spans="1:12">
      <c r="H496" t="s">
        <v>960</v>
      </c>
      <c r="I496" t="s">
        <v>1357</v>
      </c>
      <c r="J496" t="s">
        <v>1357</v>
      </c>
      <c r="K496" t="s">
        <v>1357</v>
      </c>
      <c r="L496" t="s">
        <v>1357</v>
      </c>
    </row>
    <row r="497" spans="1:12">
      <c r="H497" t="s">
        <v>961</v>
      </c>
      <c r="I497" t="s">
        <v>1357</v>
      </c>
      <c r="J497" t="s">
        <v>1357</v>
      </c>
      <c r="K497" t="s">
        <v>1357</v>
      </c>
      <c r="L497" t="s">
        <v>1357</v>
      </c>
    </row>
    <row r="498" spans="1:12">
      <c r="H498" t="s">
        <v>962</v>
      </c>
      <c r="I498" t="s">
        <v>1357</v>
      </c>
      <c r="J498" t="s">
        <v>1357</v>
      </c>
      <c r="K498" t="s">
        <v>1357</v>
      </c>
      <c r="L498" t="s">
        <v>1357</v>
      </c>
    </row>
    <row r="499" spans="1:12">
      <c r="H499" t="s">
        <v>963</v>
      </c>
      <c r="I499" t="s">
        <v>1357</v>
      </c>
      <c r="J499" t="s">
        <v>1357</v>
      </c>
      <c r="K499" t="s">
        <v>1357</v>
      </c>
      <c r="L499" t="s">
        <v>1357</v>
      </c>
    </row>
    <row r="500" spans="1:12">
      <c r="H500" t="s">
        <v>964</v>
      </c>
      <c r="I500" t="s">
        <v>1357</v>
      </c>
      <c r="J500" t="s">
        <v>1357</v>
      </c>
      <c r="K500" t="s">
        <v>1357</v>
      </c>
      <c r="L500" t="s">
        <v>1357</v>
      </c>
    </row>
    <row r="501" spans="1:12">
      <c r="H501" t="s">
        <v>965</v>
      </c>
      <c r="I501" t="s">
        <v>1357</v>
      </c>
      <c r="J501" t="s">
        <v>1357</v>
      </c>
      <c r="K501" t="s">
        <v>1357</v>
      </c>
      <c r="L501" t="s">
        <v>1357</v>
      </c>
    </row>
    <row r="502" spans="1:12">
      <c r="H502" t="s">
        <v>966</v>
      </c>
      <c r="I502" t="s">
        <v>1357</v>
      </c>
      <c r="J502" t="s">
        <v>1357</v>
      </c>
      <c r="K502" t="s">
        <v>1357</v>
      </c>
      <c r="L502" t="s">
        <v>1357</v>
      </c>
    </row>
    <row r="503" spans="1:12">
      <c r="H503" t="s">
        <v>967</v>
      </c>
      <c r="I503" t="s">
        <v>1357</v>
      </c>
      <c r="J503" t="s">
        <v>1357</v>
      </c>
      <c r="K503" t="s">
        <v>1357</v>
      </c>
      <c r="L503" t="s">
        <v>1357</v>
      </c>
    </row>
    <row r="504" spans="1:12">
      <c r="H504" t="s">
        <v>968</v>
      </c>
      <c r="I504" t="s">
        <v>1357</v>
      </c>
      <c r="J504" t="s">
        <v>1357</v>
      </c>
      <c r="K504" t="s">
        <v>1357</v>
      </c>
      <c r="L504" t="s">
        <v>1357</v>
      </c>
    </row>
    <row r="505" spans="1:12">
      <c r="H505" t="s">
        <v>969</v>
      </c>
      <c r="I505" t="s">
        <v>1357</v>
      </c>
      <c r="J505" t="s">
        <v>1357</v>
      </c>
      <c r="K505" t="s">
        <v>1357</v>
      </c>
      <c r="L505" t="s">
        <v>1357</v>
      </c>
    </row>
    <row r="506" spans="1:12">
      <c r="H506" t="s">
        <v>970</v>
      </c>
      <c r="I506" t="s">
        <v>1357</v>
      </c>
      <c r="J506" t="s">
        <v>1357</v>
      </c>
      <c r="K506" t="s">
        <v>1357</v>
      </c>
      <c r="L506" t="s">
        <v>1357</v>
      </c>
    </row>
    <row r="507" spans="1:12">
      <c r="H507" t="s">
        <v>971</v>
      </c>
      <c r="I507" t="s">
        <v>1357</v>
      </c>
      <c r="J507" t="s">
        <v>1357</v>
      </c>
      <c r="K507" t="s">
        <v>1357</v>
      </c>
      <c r="L507" t="s">
        <v>1357</v>
      </c>
    </row>
    <row r="508" spans="1:12">
      <c r="H508" t="s">
        <v>972</v>
      </c>
      <c r="I508" t="s">
        <v>1357</v>
      </c>
      <c r="J508" t="s">
        <v>1357</v>
      </c>
      <c r="K508" t="s">
        <v>1357</v>
      </c>
      <c r="L508" t="s">
        <v>1357</v>
      </c>
    </row>
    <row r="509" spans="1:12">
      <c r="A509" t="s">
        <v>61</v>
      </c>
      <c r="B509">
        <f>HYPERLINK("https://github.com/apache/commons-lang/commit/f62839527b087d0f6c3aa74c86cca9bd492fb64b", "f62839527b087d0f6c3aa74c86cca9bd492fb64b")</f>
        <v>0</v>
      </c>
      <c r="C509">
        <f>HYPERLINK("https://github.com/apache/commons-lang/commit/5ca11e049c01fe008ecafca8a4908b6e4a341931", "5ca11e049c01fe008ecafca8a4908b6e4a341931")</f>
        <v>0</v>
      </c>
      <c r="D509" t="s">
        <v>151</v>
      </c>
      <c r="E509" t="s">
        <v>217</v>
      </c>
      <c r="F509" t="s">
        <v>332</v>
      </c>
      <c r="G509" t="s">
        <v>473</v>
      </c>
      <c r="H509" t="s">
        <v>973</v>
      </c>
      <c r="I509" t="s">
        <v>1357</v>
      </c>
      <c r="J509" t="s">
        <v>1357</v>
      </c>
      <c r="K509" t="s">
        <v>1357</v>
      </c>
      <c r="L509" t="s">
        <v>1357</v>
      </c>
    </row>
    <row r="510" spans="1:12">
      <c r="H510" t="s">
        <v>974</v>
      </c>
      <c r="I510" t="s">
        <v>1357</v>
      </c>
      <c r="J510" t="s">
        <v>1357</v>
      </c>
      <c r="K510" t="s">
        <v>1357</v>
      </c>
      <c r="L510" t="s">
        <v>1357</v>
      </c>
    </row>
    <row r="511" spans="1:12">
      <c r="A511" t="s">
        <v>62</v>
      </c>
      <c r="B511">
        <f>HYPERLINK("https://github.com/apache/commons-lang/commit/d34bc6a603a006d5ecd58bb5ba3e7dca88b94f1c", "d34bc6a603a006d5ecd58bb5ba3e7dca88b94f1c")</f>
        <v>0</v>
      </c>
      <c r="C511">
        <f>HYPERLINK("https://github.com/apache/commons-lang/commit/f62839527b087d0f6c3aa74c86cca9bd492fb64b", "f62839527b087d0f6c3aa74c86cca9bd492fb64b")</f>
        <v>0</v>
      </c>
      <c r="D511" t="s">
        <v>151</v>
      </c>
      <c r="E511" t="s">
        <v>218</v>
      </c>
      <c r="F511" t="s">
        <v>347</v>
      </c>
      <c r="G511" t="s">
        <v>484</v>
      </c>
      <c r="H511" t="s">
        <v>975</v>
      </c>
      <c r="I511" t="s">
        <v>1357</v>
      </c>
      <c r="J511" t="s">
        <v>1357</v>
      </c>
      <c r="K511" t="s">
        <v>1357</v>
      </c>
      <c r="L511" t="s">
        <v>1357</v>
      </c>
    </row>
    <row r="512" spans="1:12">
      <c r="H512" t="s">
        <v>899</v>
      </c>
      <c r="I512" t="s">
        <v>1357</v>
      </c>
      <c r="J512" t="s">
        <v>1357</v>
      </c>
      <c r="K512" t="s">
        <v>1357</v>
      </c>
      <c r="L512" t="s">
        <v>1357</v>
      </c>
    </row>
    <row r="513" spans="1:12">
      <c r="H513" t="s">
        <v>976</v>
      </c>
      <c r="I513" t="s">
        <v>1357</v>
      </c>
      <c r="J513" t="s">
        <v>1357</v>
      </c>
      <c r="K513" t="s">
        <v>1357</v>
      </c>
      <c r="L513" t="s">
        <v>1357</v>
      </c>
    </row>
    <row r="514" spans="1:12">
      <c r="H514" t="s">
        <v>977</v>
      </c>
      <c r="I514" t="s">
        <v>1357</v>
      </c>
      <c r="J514" t="s">
        <v>1357</v>
      </c>
      <c r="K514" t="s">
        <v>1357</v>
      </c>
      <c r="L514" t="s">
        <v>1357</v>
      </c>
    </row>
    <row r="515" spans="1:12">
      <c r="H515" t="s">
        <v>978</v>
      </c>
      <c r="I515" t="s">
        <v>1357</v>
      </c>
      <c r="J515" t="s">
        <v>1357</v>
      </c>
      <c r="K515" t="s">
        <v>1357</v>
      </c>
      <c r="L515" t="s">
        <v>1357</v>
      </c>
    </row>
    <row r="516" spans="1:12">
      <c r="H516" t="s">
        <v>900</v>
      </c>
      <c r="I516" t="s">
        <v>1357</v>
      </c>
      <c r="J516" t="s">
        <v>1357</v>
      </c>
      <c r="K516" t="s">
        <v>1357</v>
      </c>
      <c r="L516" t="s">
        <v>1357</v>
      </c>
    </row>
    <row r="517" spans="1:12">
      <c r="H517" t="s">
        <v>979</v>
      </c>
      <c r="I517" t="s">
        <v>1357</v>
      </c>
      <c r="J517" t="s">
        <v>1357</v>
      </c>
      <c r="K517" t="s">
        <v>1357</v>
      </c>
      <c r="L517" t="s">
        <v>1357</v>
      </c>
    </row>
    <row r="518" spans="1:12">
      <c r="H518" t="s">
        <v>980</v>
      </c>
      <c r="I518" t="s">
        <v>1357</v>
      </c>
      <c r="J518" t="s">
        <v>1357</v>
      </c>
      <c r="K518" t="s">
        <v>1357</v>
      </c>
      <c r="L518" t="s">
        <v>1357</v>
      </c>
    </row>
    <row r="519" spans="1:12">
      <c r="H519" t="s">
        <v>981</v>
      </c>
      <c r="I519" t="s">
        <v>1357</v>
      </c>
      <c r="J519" t="s">
        <v>1357</v>
      </c>
      <c r="K519" t="s">
        <v>1357</v>
      </c>
      <c r="L519" t="s">
        <v>1357</v>
      </c>
    </row>
    <row r="520" spans="1:12">
      <c r="H520" t="s">
        <v>982</v>
      </c>
      <c r="I520" t="s">
        <v>1357</v>
      </c>
      <c r="J520" t="s">
        <v>1357</v>
      </c>
      <c r="K520" t="s">
        <v>1357</v>
      </c>
      <c r="L520" t="s">
        <v>1357</v>
      </c>
    </row>
    <row r="521" spans="1:12">
      <c r="H521" t="s">
        <v>795</v>
      </c>
      <c r="I521" t="s">
        <v>1357</v>
      </c>
      <c r="J521" t="s">
        <v>1357</v>
      </c>
      <c r="K521" t="s">
        <v>1357</v>
      </c>
      <c r="L521" t="s">
        <v>1357</v>
      </c>
    </row>
    <row r="522" spans="1:12">
      <c r="H522" t="s">
        <v>983</v>
      </c>
      <c r="I522" t="s">
        <v>1357</v>
      </c>
      <c r="J522" t="s">
        <v>1357</v>
      </c>
      <c r="K522" t="s">
        <v>1357</v>
      </c>
      <c r="L522" t="s">
        <v>1357</v>
      </c>
    </row>
    <row r="523" spans="1:12">
      <c r="H523" t="s">
        <v>984</v>
      </c>
      <c r="I523" t="s">
        <v>1357</v>
      </c>
      <c r="J523" t="s">
        <v>1357</v>
      </c>
      <c r="K523" t="s">
        <v>1357</v>
      </c>
      <c r="L523" t="s">
        <v>1357</v>
      </c>
    </row>
    <row r="524" spans="1:12">
      <c r="H524" t="s">
        <v>985</v>
      </c>
      <c r="I524" t="s">
        <v>1357</v>
      </c>
      <c r="J524" t="s">
        <v>1357</v>
      </c>
      <c r="K524" t="s">
        <v>1357</v>
      </c>
      <c r="L524" t="s">
        <v>1357</v>
      </c>
    </row>
    <row r="525" spans="1:12">
      <c r="H525" t="s">
        <v>986</v>
      </c>
      <c r="I525" t="s">
        <v>1357</v>
      </c>
      <c r="J525" t="s">
        <v>1357</v>
      </c>
      <c r="K525" t="s">
        <v>1357</v>
      </c>
      <c r="L525" t="s">
        <v>1357</v>
      </c>
    </row>
    <row r="526" spans="1:12">
      <c r="H526" t="s">
        <v>901</v>
      </c>
      <c r="I526" t="s">
        <v>1357</v>
      </c>
      <c r="J526" t="s">
        <v>1357</v>
      </c>
      <c r="K526" t="s">
        <v>1357</v>
      </c>
      <c r="L526" t="s">
        <v>1357</v>
      </c>
    </row>
    <row r="527" spans="1:12">
      <c r="H527" t="s">
        <v>987</v>
      </c>
      <c r="I527" t="s">
        <v>1357</v>
      </c>
      <c r="J527" t="s">
        <v>1357</v>
      </c>
      <c r="K527" t="s">
        <v>1357</v>
      </c>
      <c r="L527" t="s">
        <v>1357</v>
      </c>
    </row>
    <row r="528" spans="1:12">
      <c r="A528" t="s">
        <v>63</v>
      </c>
      <c r="B528">
        <f>HYPERLINK("https://github.com/apache/commons-lang/commit/386cd26dab558f2a1e013d2ff4e32c464c92a54f", "386cd26dab558f2a1e013d2ff4e32c464c92a54f")</f>
        <v>0</v>
      </c>
      <c r="C528">
        <f>HYPERLINK("https://github.com/apache/commons-lang/commit/dc08c40f60c00a4adb8c794abd365c388fa45069", "dc08c40f60c00a4adb8c794abd365c388fa45069")</f>
        <v>0</v>
      </c>
      <c r="D528" t="s">
        <v>151</v>
      </c>
      <c r="E528" t="s">
        <v>219</v>
      </c>
      <c r="F528" t="s">
        <v>319</v>
      </c>
      <c r="G528" t="s">
        <v>460</v>
      </c>
      <c r="H528" t="s">
        <v>988</v>
      </c>
      <c r="I528" t="s">
        <v>1357</v>
      </c>
      <c r="J528" t="s">
        <v>1357</v>
      </c>
      <c r="K528" t="s">
        <v>1357</v>
      </c>
      <c r="L528" t="s">
        <v>1357</v>
      </c>
    </row>
    <row r="529" spans="1:12">
      <c r="H529" t="s">
        <v>989</v>
      </c>
      <c r="I529" t="s">
        <v>1357</v>
      </c>
      <c r="J529" t="s">
        <v>1357</v>
      </c>
      <c r="K529" t="s">
        <v>1357</v>
      </c>
      <c r="L529" t="s">
        <v>1357</v>
      </c>
    </row>
    <row r="530" spans="1:12">
      <c r="H530" t="s">
        <v>990</v>
      </c>
      <c r="I530" t="s">
        <v>1357</v>
      </c>
      <c r="J530" t="s">
        <v>1357</v>
      </c>
      <c r="K530" t="s">
        <v>1357</v>
      </c>
      <c r="L530" t="s">
        <v>1357</v>
      </c>
    </row>
    <row r="531" spans="1:12">
      <c r="A531" t="s">
        <v>64</v>
      </c>
      <c r="B531">
        <f>HYPERLINK("https://github.com/apache/commons-lang/commit/084cfeed41156acc3fae899b08281a1a13d6426b", "084cfeed41156acc3fae899b08281a1a13d6426b")</f>
        <v>0</v>
      </c>
      <c r="C531">
        <f>HYPERLINK("https://github.com/apache/commons-lang/commit/69717be43d79717d92f3cf89fde104a103abf7a7", "69717be43d79717d92f3cf89fde104a103abf7a7")</f>
        <v>0</v>
      </c>
      <c r="D531" t="s">
        <v>151</v>
      </c>
      <c r="E531" t="s">
        <v>220</v>
      </c>
      <c r="F531" t="s">
        <v>348</v>
      </c>
      <c r="G531" t="s">
        <v>485</v>
      </c>
      <c r="H531" t="s">
        <v>991</v>
      </c>
      <c r="I531" t="s">
        <v>1357</v>
      </c>
      <c r="J531" t="s">
        <v>1357</v>
      </c>
      <c r="K531" t="s">
        <v>1357</v>
      </c>
      <c r="L531" t="s">
        <v>1357</v>
      </c>
    </row>
    <row r="532" spans="1:12">
      <c r="A532" t="s">
        <v>65</v>
      </c>
      <c r="B532">
        <f>HYPERLINK("https://github.com/apache/commons-lang/commit/71711e3cf80ad675ef4b908aef7da99f50a3a41e", "71711e3cf80ad675ef4b908aef7da99f50a3a41e")</f>
        <v>0</v>
      </c>
      <c r="C532">
        <f>HYPERLINK("https://github.com/apache/commons-lang/commit/a4548304f909421ed57dd97e69d0dc4139931cd5", "a4548304f909421ed57dd97e69d0dc4139931cd5")</f>
        <v>0</v>
      </c>
      <c r="D532" t="s">
        <v>155</v>
      </c>
      <c r="E532" t="s">
        <v>221</v>
      </c>
      <c r="F532" t="s">
        <v>320</v>
      </c>
      <c r="G532" t="s">
        <v>461</v>
      </c>
      <c r="H532" t="s">
        <v>992</v>
      </c>
      <c r="I532" t="s">
        <v>1357</v>
      </c>
      <c r="J532" t="s">
        <v>1357</v>
      </c>
      <c r="K532" t="s">
        <v>1357</v>
      </c>
      <c r="L532" t="s">
        <v>1357</v>
      </c>
    </row>
    <row r="533" spans="1:12">
      <c r="A533" t="s">
        <v>66</v>
      </c>
      <c r="B533">
        <f>HYPERLINK("https://github.com/apache/commons-lang/commit/ef0dec934bd3fb197e877e30c262d3dcc83be9f7", "ef0dec934bd3fb197e877e30c262d3dcc83be9f7")</f>
        <v>0</v>
      </c>
      <c r="C533">
        <f>HYPERLINK("https://github.com/apache/commons-lang/commit/71711e3cf80ad675ef4b908aef7da99f50a3a41e", "71711e3cf80ad675ef4b908aef7da99f50a3a41e")</f>
        <v>0</v>
      </c>
      <c r="D533" t="s">
        <v>155</v>
      </c>
      <c r="E533" t="s">
        <v>222</v>
      </c>
      <c r="F533" t="s">
        <v>305</v>
      </c>
      <c r="G533" t="s">
        <v>446</v>
      </c>
      <c r="H533" t="s">
        <v>993</v>
      </c>
      <c r="I533" t="s">
        <v>1357</v>
      </c>
      <c r="J533" t="s">
        <v>1357</v>
      </c>
      <c r="K533" t="s">
        <v>1357</v>
      </c>
      <c r="L533" t="s">
        <v>1357</v>
      </c>
    </row>
    <row r="534" spans="1:12">
      <c r="H534" t="s">
        <v>994</v>
      </c>
      <c r="I534" t="s">
        <v>1357</v>
      </c>
      <c r="J534" t="s">
        <v>1357</v>
      </c>
      <c r="K534" t="s">
        <v>1357</v>
      </c>
      <c r="L534" t="s">
        <v>1357</v>
      </c>
    </row>
    <row r="535" spans="1:12">
      <c r="H535" t="s">
        <v>995</v>
      </c>
      <c r="I535" t="s">
        <v>1357</v>
      </c>
      <c r="J535" t="s">
        <v>1357</v>
      </c>
      <c r="K535" t="s">
        <v>1357</v>
      </c>
      <c r="L535" t="s">
        <v>1357</v>
      </c>
    </row>
    <row r="536" spans="1:12">
      <c r="H536" t="s">
        <v>996</v>
      </c>
      <c r="I536" t="s">
        <v>1357</v>
      </c>
      <c r="J536" t="s">
        <v>1357</v>
      </c>
      <c r="K536" t="s">
        <v>1357</v>
      </c>
      <c r="L536" t="s">
        <v>1357</v>
      </c>
    </row>
    <row r="537" spans="1:12">
      <c r="H537" t="s">
        <v>997</v>
      </c>
      <c r="I537" t="s">
        <v>1357</v>
      </c>
      <c r="J537" t="s">
        <v>1357</v>
      </c>
      <c r="K537" t="s">
        <v>1357</v>
      </c>
      <c r="L537" t="s">
        <v>1357</v>
      </c>
    </row>
    <row r="538" spans="1:12">
      <c r="H538" t="s">
        <v>998</v>
      </c>
      <c r="I538" t="s">
        <v>1357</v>
      </c>
      <c r="J538" t="s">
        <v>1357</v>
      </c>
      <c r="K538" t="s">
        <v>1357</v>
      </c>
      <c r="L538" t="s">
        <v>1357</v>
      </c>
    </row>
    <row r="539" spans="1:12">
      <c r="H539" t="s">
        <v>999</v>
      </c>
      <c r="I539" t="s">
        <v>1357</v>
      </c>
      <c r="J539" t="s">
        <v>1357</v>
      </c>
      <c r="K539" t="s">
        <v>1357</v>
      </c>
      <c r="L539" t="s">
        <v>1357</v>
      </c>
    </row>
    <row r="540" spans="1:12">
      <c r="A540" t="s">
        <v>67</v>
      </c>
      <c r="B540">
        <f>HYPERLINK("https://github.com/apache/commons-lang/commit/bb904728253b34b954cad3d1cc16734c5c9d9850", "bb904728253b34b954cad3d1cc16734c5c9d9850")</f>
        <v>0</v>
      </c>
      <c r="C540">
        <f>HYPERLINK("https://github.com/apache/commons-lang/commit/fd0deef56022e32cb677b0cef8dab06a60375522", "fd0deef56022e32cb677b0cef8dab06a60375522")</f>
        <v>0</v>
      </c>
      <c r="D540" t="s">
        <v>155</v>
      </c>
      <c r="E540" t="s">
        <v>223</v>
      </c>
      <c r="F540" t="s">
        <v>317</v>
      </c>
      <c r="G540" t="s">
        <v>458</v>
      </c>
      <c r="H540" t="s">
        <v>1000</v>
      </c>
      <c r="I540" t="s">
        <v>1357</v>
      </c>
      <c r="J540" t="s">
        <v>1357</v>
      </c>
      <c r="K540" t="s">
        <v>1357</v>
      </c>
      <c r="L540" t="s">
        <v>1357</v>
      </c>
    </row>
    <row r="541" spans="1:12">
      <c r="H541" t="s">
        <v>1001</v>
      </c>
      <c r="I541" t="s">
        <v>1357</v>
      </c>
      <c r="J541" t="s">
        <v>1357</v>
      </c>
      <c r="K541" t="s">
        <v>1357</v>
      </c>
      <c r="L541" t="s">
        <v>1357</v>
      </c>
    </row>
    <row r="542" spans="1:12">
      <c r="F542" t="s">
        <v>316</v>
      </c>
      <c r="G542" t="s">
        <v>457</v>
      </c>
      <c r="H542" t="s">
        <v>1002</v>
      </c>
      <c r="I542" t="s">
        <v>1357</v>
      </c>
      <c r="J542" t="s">
        <v>1357</v>
      </c>
      <c r="K542" t="s">
        <v>1357</v>
      </c>
      <c r="L542" t="s">
        <v>1357</v>
      </c>
    </row>
    <row r="543" spans="1:12">
      <c r="A543" t="s">
        <v>68</v>
      </c>
      <c r="B543">
        <f>HYPERLINK("https://github.com/apache/commons-lang/commit/791e7f38300de6fe7c0ec7f50ce3ddde02b5c0ea", "791e7f38300de6fe7c0ec7f50ce3ddde02b5c0ea")</f>
        <v>0</v>
      </c>
      <c r="C543">
        <f>HYPERLINK("https://github.com/apache/commons-lang/commit/13bd2d388e29e99fb98f613ea90dbeed79500702", "13bd2d388e29e99fb98f613ea90dbeed79500702")</f>
        <v>0</v>
      </c>
      <c r="D543" t="s">
        <v>151</v>
      </c>
      <c r="E543" t="s">
        <v>224</v>
      </c>
      <c r="F543" t="s">
        <v>321</v>
      </c>
      <c r="G543" t="s">
        <v>462</v>
      </c>
      <c r="H543" t="s">
        <v>831</v>
      </c>
      <c r="I543" t="s">
        <v>1357</v>
      </c>
      <c r="J543" t="s">
        <v>1357</v>
      </c>
      <c r="K543" t="s">
        <v>1357</v>
      </c>
      <c r="L543" t="s">
        <v>1357</v>
      </c>
    </row>
    <row r="544" spans="1:12">
      <c r="H544" t="s">
        <v>1003</v>
      </c>
      <c r="I544" t="s">
        <v>1357</v>
      </c>
      <c r="J544" t="s">
        <v>1357</v>
      </c>
      <c r="K544" t="s">
        <v>1357</v>
      </c>
      <c r="L544" t="s">
        <v>1357</v>
      </c>
    </row>
    <row r="545" spans="6:13">
      <c r="H545" t="s">
        <v>1004</v>
      </c>
      <c r="I545" t="s">
        <v>1357</v>
      </c>
      <c r="J545" t="s">
        <v>1357</v>
      </c>
      <c r="K545" t="s">
        <v>1357</v>
      </c>
      <c r="L545" t="s">
        <v>1357</v>
      </c>
    </row>
    <row r="546" spans="6:13">
      <c r="H546" t="s">
        <v>1005</v>
      </c>
      <c r="I546" t="s">
        <v>1357</v>
      </c>
      <c r="J546" t="s">
        <v>1357</v>
      </c>
      <c r="K546" t="s">
        <v>1357</v>
      </c>
      <c r="L546" t="s">
        <v>1357</v>
      </c>
    </row>
    <row r="547" spans="6:13">
      <c r="H547" t="s">
        <v>1006</v>
      </c>
      <c r="I547" t="s">
        <v>1357</v>
      </c>
      <c r="J547" t="s">
        <v>1357</v>
      </c>
      <c r="K547" t="s">
        <v>1357</v>
      </c>
      <c r="L547" t="s">
        <v>1357</v>
      </c>
    </row>
    <row r="548" spans="6:13">
      <c r="F548" t="s">
        <v>349</v>
      </c>
      <c r="G548" t="s">
        <v>486</v>
      </c>
      <c r="H548" t="s">
        <v>1007</v>
      </c>
      <c r="I548" t="s">
        <v>1357</v>
      </c>
      <c r="J548" t="s">
        <v>1357</v>
      </c>
      <c r="K548" t="s">
        <v>1357</v>
      </c>
      <c r="L548" t="s">
        <v>1357</v>
      </c>
    </row>
    <row r="549" spans="6:13">
      <c r="H549" t="s">
        <v>1008</v>
      </c>
      <c r="I549" t="s">
        <v>1357</v>
      </c>
      <c r="J549" t="s">
        <v>1357</v>
      </c>
      <c r="K549" t="s">
        <v>1357</v>
      </c>
      <c r="L549" t="s">
        <v>1357</v>
      </c>
    </row>
    <row r="550" spans="6:13">
      <c r="H550" t="s">
        <v>1009</v>
      </c>
      <c r="I550" t="s">
        <v>1357</v>
      </c>
      <c r="J550" t="s">
        <v>1357</v>
      </c>
      <c r="K550" t="s">
        <v>1357</v>
      </c>
      <c r="L550" t="s">
        <v>1357</v>
      </c>
      <c r="M550" t="s">
        <v>1365</v>
      </c>
    </row>
    <row r="551" spans="6:13">
      <c r="H551" t="s">
        <v>1010</v>
      </c>
      <c r="I551" t="s">
        <v>1357</v>
      </c>
      <c r="J551" t="s">
        <v>1357</v>
      </c>
      <c r="K551" t="s">
        <v>1357</v>
      </c>
      <c r="L551" t="s">
        <v>1357</v>
      </c>
    </row>
    <row r="552" spans="6:13">
      <c r="H552" t="s">
        <v>1011</v>
      </c>
      <c r="I552" t="s">
        <v>1357</v>
      </c>
      <c r="J552" t="s">
        <v>1357</v>
      </c>
      <c r="K552" t="s">
        <v>1357</v>
      </c>
      <c r="L552" t="s">
        <v>1357</v>
      </c>
    </row>
    <row r="553" spans="6:13">
      <c r="H553" t="s">
        <v>1012</v>
      </c>
      <c r="I553" t="s">
        <v>1357</v>
      </c>
      <c r="J553" t="s">
        <v>1357</v>
      </c>
      <c r="K553" t="s">
        <v>1357</v>
      </c>
      <c r="L553" t="s">
        <v>1357</v>
      </c>
    </row>
    <row r="554" spans="6:13">
      <c r="H554" t="s">
        <v>1013</v>
      </c>
      <c r="I554" t="s">
        <v>1357</v>
      </c>
      <c r="J554" t="s">
        <v>1357</v>
      </c>
      <c r="K554" t="s">
        <v>1357</v>
      </c>
      <c r="L554" t="s">
        <v>1357</v>
      </c>
    </row>
    <row r="555" spans="6:13">
      <c r="H555" t="s">
        <v>1004</v>
      </c>
      <c r="I555" t="s">
        <v>1357</v>
      </c>
      <c r="J555" t="s">
        <v>1357</v>
      </c>
      <c r="K555" t="s">
        <v>1357</v>
      </c>
      <c r="L555" t="s">
        <v>1357</v>
      </c>
    </row>
    <row r="556" spans="6:13">
      <c r="H556" t="s">
        <v>1014</v>
      </c>
      <c r="I556" t="s">
        <v>1357</v>
      </c>
      <c r="J556" t="s">
        <v>1357</v>
      </c>
      <c r="K556" t="s">
        <v>1357</v>
      </c>
      <c r="L556" t="s">
        <v>1357</v>
      </c>
    </row>
    <row r="557" spans="6:13">
      <c r="H557" t="s">
        <v>1015</v>
      </c>
      <c r="I557" t="s">
        <v>1357</v>
      </c>
      <c r="J557" t="s">
        <v>1357</v>
      </c>
      <c r="K557" t="s">
        <v>1357</v>
      </c>
      <c r="L557" t="s">
        <v>1357</v>
      </c>
    </row>
    <row r="558" spans="6:13">
      <c r="H558" t="s">
        <v>1016</v>
      </c>
      <c r="I558" t="s">
        <v>1357</v>
      </c>
      <c r="J558" t="s">
        <v>1357</v>
      </c>
      <c r="K558" t="s">
        <v>1357</v>
      </c>
      <c r="L558" t="s">
        <v>1357</v>
      </c>
    </row>
    <row r="559" spans="6:13">
      <c r="F559" t="s">
        <v>350</v>
      </c>
      <c r="G559" t="s">
        <v>487</v>
      </c>
      <c r="H559" t="s">
        <v>1017</v>
      </c>
      <c r="I559" t="s">
        <v>1357</v>
      </c>
      <c r="J559" t="s">
        <v>1357</v>
      </c>
      <c r="K559" t="s">
        <v>1357</v>
      </c>
      <c r="L559" t="s">
        <v>1357</v>
      </c>
    </row>
    <row r="560" spans="6:13">
      <c r="H560" t="s">
        <v>1018</v>
      </c>
      <c r="I560" t="s">
        <v>1357</v>
      </c>
      <c r="J560" t="s">
        <v>1357</v>
      </c>
      <c r="K560" t="s">
        <v>1357</v>
      </c>
      <c r="L560" t="s">
        <v>1357</v>
      </c>
    </row>
    <row r="561" spans="1:13">
      <c r="H561" t="s">
        <v>1019</v>
      </c>
      <c r="I561" t="s">
        <v>1357</v>
      </c>
      <c r="J561" t="s">
        <v>1357</v>
      </c>
      <c r="K561" t="s">
        <v>1357</v>
      </c>
      <c r="L561" t="s">
        <v>1357</v>
      </c>
    </row>
    <row r="562" spans="1:13">
      <c r="H562" t="s">
        <v>1020</v>
      </c>
      <c r="I562" t="s">
        <v>1357</v>
      </c>
      <c r="J562" t="s">
        <v>1357</v>
      </c>
      <c r="K562" t="s">
        <v>1357</v>
      </c>
      <c r="L562" t="s">
        <v>1357</v>
      </c>
    </row>
    <row r="563" spans="1:13">
      <c r="H563" t="s">
        <v>1021</v>
      </c>
      <c r="I563" t="s">
        <v>1357</v>
      </c>
      <c r="J563" t="s">
        <v>1357</v>
      </c>
      <c r="K563" t="s">
        <v>1357</v>
      </c>
      <c r="L563" t="s">
        <v>1357</v>
      </c>
    </row>
    <row r="564" spans="1:13">
      <c r="H564" t="s">
        <v>1022</v>
      </c>
      <c r="I564" t="s">
        <v>1357</v>
      </c>
      <c r="J564" t="s">
        <v>1357</v>
      </c>
      <c r="K564" t="s">
        <v>1357</v>
      </c>
      <c r="L564" t="s">
        <v>1357</v>
      </c>
    </row>
    <row r="565" spans="1:13">
      <c r="H565" t="s">
        <v>1023</v>
      </c>
      <c r="I565" t="s">
        <v>1357</v>
      </c>
      <c r="J565" t="s">
        <v>1357</v>
      </c>
      <c r="K565" t="s">
        <v>1357</v>
      </c>
      <c r="L565" t="s">
        <v>1357</v>
      </c>
    </row>
    <row r="566" spans="1:13">
      <c r="H566" t="s">
        <v>1024</v>
      </c>
      <c r="I566" t="s">
        <v>1357</v>
      </c>
      <c r="J566" t="s">
        <v>1357</v>
      </c>
      <c r="K566" t="s">
        <v>1357</v>
      </c>
      <c r="L566" t="s">
        <v>1357</v>
      </c>
    </row>
    <row r="567" spans="1:13">
      <c r="H567" t="s">
        <v>1004</v>
      </c>
      <c r="I567" t="s">
        <v>1357</v>
      </c>
      <c r="J567" t="s">
        <v>1357</v>
      </c>
      <c r="K567" t="s">
        <v>1357</v>
      </c>
      <c r="L567" t="s">
        <v>1357</v>
      </c>
    </row>
    <row r="568" spans="1:13">
      <c r="H568" t="s">
        <v>1025</v>
      </c>
      <c r="I568" t="s">
        <v>1357</v>
      </c>
      <c r="J568" t="s">
        <v>1357</v>
      </c>
      <c r="K568" t="s">
        <v>1357</v>
      </c>
      <c r="L568" t="s">
        <v>1357</v>
      </c>
    </row>
    <row r="569" spans="1:13">
      <c r="F569" t="s">
        <v>351</v>
      </c>
      <c r="G569" t="s">
        <v>488</v>
      </c>
      <c r="H569" t="s">
        <v>1026</v>
      </c>
      <c r="I569" t="s">
        <v>1357</v>
      </c>
      <c r="J569" t="s">
        <v>1357</v>
      </c>
      <c r="K569" t="s">
        <v>1357</v>
      </c>
      <c r="L569" t="s">
        <v>1357</v>
      </c>
      <c r="M569" t="s">
        <v>1365</v>
      </c>
    </row>
    <row r="570" spans="1:13">
      <c r="H570" t="s">
        <v>906</v>
      </c>
      <c r="I570" t="s">
        <v>1357</v>
      </c>
      <c r="J570" t="s">
        <v>1357</v>
      </c>
      <c r="K570" t="s">
        <v>1357</v>
      </c>
      <c r="L570" t="s">
        <v>1357</v>
      </c>
    </row>
    <row r="571" spans="1:13">
      <c r="F571" t="s">
        <v>352</v>
      </c>
      <c r="G571" t="s">
        <v>489</v>
      </c>
      <c r="H571" t="s">
        <v>1026</v>
      </c>
      <c r="I571" t="s">
        <v>1357</v>
      </c>
      <c r="J571" t="s">
        <v>1357</v>
      </c>
      <c r="K571" t="s">
        <v>1357</v>
      </c>
      <c r="L571" t="s">
        <v>1357</v>
      </c>
    </row>
    <row r="572" spans="1:13">
      <c r="A572" t="s">
        <v>69</v>
      </c>
      <c r="B572">
        <f>HYPERLINK("https://github.com/apache/commons-lang/commit/351ace5692402babca76493118940b1fb8ff82da", "351ace5692402babca76493118940b1fb8ff82da")</f>
        <v>0</v>
      </c>
      <c r="C572">
        <f>HYPERLINK("https://github.com/apache/commons-lang/commit/da46e86e2f392277df00e10dfa543d09a1c85f84", "da46e86e2f392277df00e10dfa543d09a1c85f84")</f>
        <v>0</v>
      </c>
      <c r="D572" t="s">
        <v>151</v>
      </c>
      <c r="E572" t="s">
        <v>225</v>
      </c>
      <c r="F572" t="s">
        <v>326</v>
      </c>
      <c r="G572" t="s">
        <v>467</v>
      </c>
      <c r="H572" t="s">
        <v>1027</v>
      </c>
      <c r="I572" t="s">
        <v>1357</v>
      </c>
      <c r="J572" t="s">
        <v>1357</v>
      </c>
      <c r="K572" t="s">
        <v>1357</v>
      </c>
      <c r="L572" t="s">
        <v>1357</v>
      </c>
    </row>
    <row r="573" spans="1:13">
      <c r="H573" t="s">
        <v>1028</v>
      </c>
      <c r="I573" t="s">
        <v>1357</v>
      </c>
      <c r="J573" t="s">
        <v>1357</v>
      </c>
      <c r="K573" t="s">
        <v>1357</v>
      </c>
      <c r="L573" t="s">
        <v>1357</v>
      </c>
    </row>
    <row r="574" spans="1:13">
      <c r="H574" t="s">
        <v>1029</v>
      </c>
      <c r="I574" t="s">
        <v>1357</v>
      </c>
      <c r="J574" t="s">
        <v>1357</v>
      </c>
      <c r="K574" t="s">
        <v>1357</v>
      </c>
      <c r="L574" t="s">
        <v>1357</v>
      </c>
    </row>
    <row r="575" spans="1:13">
      <c r="H575" t="s">
        <v>1030</v>
      </c>
      <c r="I575" t="s">
        <v>1357</v>
      </c>
      <c r="J575" t="s">
        <v>1357</v>
      </c>
      <c r="K575" t="s">
        <v>1357</v>
      </c>
      <c r="L575" t="s">
        <v>1357</v>
      </c>
    </row>
    <row r="576" spans="1:13">
      <c r="H576" t="s">
        <v>1031</v>
      </c>
      <c r="I576" t="s">
        <v>1357</v>
      </c>
      <c r="J576" t="s">
        <v>1357</v>
      </c>
      <c r="K576" t="s">
        <v>1357</v>
      </c>
      <c r="L576" t="s">
        <v>1357</v>
      </c>
    </row>
    <row r="577" spans="1:12">
      <c r="H577" t="s">
        <v>1032</v>
      </c>
      <c r="I577" t="s">
        <v>1357</v>
      </c>
      <c r="J577" t="s">
        <v>1357</v>
      </c>
      <c r="K577" t="s">
        <v>1357</v>
      </c>
      <c r="L577" t="s">
        <v>1357</v>
      </c>
    </row>
    <row r="578" spans="1:12">
      <c r="H578" t="s">
        <v>1033</v>
      </c>
      <c r="I578" t="s">
        <v>1357</v>
      </c>
      <c r="J578" t="s">
        <v>1357</v>
      </c>
      <c r="K578" t="s">
        <v>1357</v>
      </c>
      <c r="L578" t="s">
        <v>1357</v>
      </c>
    </row>
    <row r="579" spans="1:12">
      <c r="H579" t="s">
        <v>1034</v>
      </c>
      <c r="I579" t="s">
        <v>1357</v>
      </c>
      <c r="J579" t="s">
        <v>1357</v>
      </c>
      <c r="K579" t="s">
        <v>1357</v>
      </c>
      <c r="L579" t="s">
        <v>1357</v>
      </c>
    </row>
    <row r="580" spans="1:12">
      <c r="H580" t="s">
        <v>1035</v>
      </c>
      <c r="I580" t="s">
        <v>1357</v>
      </c>
      <c r="J580" t="s">
        <v>1357</v>
      </c>
      <c r="K580" t="s">
        <v>1357</v>
      </c>
      <c r="L580" t="s">
        <v>1357</v>
      </c>
    </row>
    <row r="581" spans="1:12">
      <c r="H581" t="s">
        <v>1036</v>
      </c>
      <c r="I581" t="s">
        <v>1357</v>
      </c>
      <c r="J581" t="s">
        <v>1357</v>
      </c>
      <c r="K581" t="s">
        <v>1357</v>
      </c>
      <c r="L581" t="s">
        <v>1357</v>
      </c>
    </row>
    <row r="582" spans="1:12">
      <c r="H582" t="s">
        <v>1037</v>
      </c>
      <c r="I582" t="s">
        <v>1357</v>
      </c>
      <c r="J582" t="s">
        <v>1357</v>
      </c>
      <c r="K582" t="s">
        <v>1357</v>
      </c>
      <c r="L582" t="s">
        <v>1357</v>
      </c>
    </row>
    <row r="583" spans="1:12">
      <c r="H583" t="s">
        <v>1038</v>
      </c>
      <c r="I583" t="s">
        <v>1357</v>
      </c>
      <c r="J583" t="s">
        <v>1357</v>
      </c>
      <c r="K583" t="s">
        <v>1357</v>
      </c>
      <c r="L583" t="s">
        <v>1357</v>
      </c>
    </row>
    <row r="584" spans="1:12">
      <c r="H584" t="s">
        <v>1039</v>
      </c>
      <c r="I584" t="s">
        <v>1357</v>
      </c>
      <c r="J584" t="s">
        <v>1357</v>
      </c>
      <c r="K584" t="s">
        <v>1357</v>
      </c>
      <c r="L584" t="s">
        <v>1357</v>
      </c>
    </row>
    <row r="585" spans="1:12">
      <c r="A585" t="s">
        <v>70</v>
      </c>
      <c r="B585">
        <f>HYPERLINK("https://github.com/apache/commons-lang/commit/9adc5370131a4dec49880767ac5e3041162603b4", "9adc5370131a4dec49880767ac5e3041162603b4")</f>
        <v>0</v>
      </c>
      <c r="C585">
        <f>HYPERLINK("https://github.com/apache/commons-lang/commit/07c1324202bfa5a60de6ab41777186d0050e3cd7", "07c1324202bfa5a60de6ab41777186d0050e3cd7")</f>
        <v>0</v>
      </c>
      <c r="D585" t="s">
        <v>151</v>
      </c>
      <c r="E585" t="s">
        <v>226</v>
      </c>
      <c r="F585" t="s">
        <v>353</v>
      </c>
      <c r="G585" t="s">
        <v>490</v>
      </c>
      <c r="H585" t="s">
        <v>1040</v>
      </c>
      <c r="I585" t="s">
        <v>1357</v>
      </c>
      <c r="J585" t="s">
        <v>1357</v>
      </c>
      <c r="K585" t="s">
        <v>1357</v>
      </c>
      <c r="L585" t="s">
        <v>1357</v>
      </c>
    </row>
    <row r="586" spans="1:12">
      <c r="A586" t="s">
        <v>71</v>
      </c>
      <c r="B586">
        <f>HYPERLINK("https://github.com/apache/commons-lang/commit/bc1104da49ebd69897bb15200c18d369b2b87505", "bc1104da49ebd69897bb15200c18d369b2b87505")</f>
        <v>0</v>
      </c>
      <c r="C586">
        <f>HYPERLINK("https://github.com/apache/commons-lang/commit/1645f246d30ff4c79a99d10274db978293281ed9", "1645f246d30ff4c79a99d10274db978293281ed9")</f>
        <v>0</v>
      </c>
      <c r="D586" t="s">
        <v>151</v>
      </c>
      <c r="E586" t="s">
        <v>227</v>
      </c>
      <c r="F586" t="s">
        <v>354</v>
      </c>
      <c r="G586" t="s">
        <v>491</v>
      </c>
      <c r="H586" t="s">
        <v>1041</v>
      </c>
      <c r="I586" t="s">
        <v>1357</v>
      </c>
      <c r="J586" t="s">
        <v>1357</v>
      </c>
      <c r="K586" t="s">
        <v>1357</v>
      </c>
      <c r="L586" t="s">
        <v>1357</v>
      </c>
    </row>
    <row r="587" spans="1:12">
      <c r="A587" t="s">
        <v>72</v>
      </c>
      <c r="B587">
        <f>HYPERLINK("https://github.com/apache/commons-lang/commit/c404121979002fca1140b90fb909157549de286f", "c404121979002fca1140b90fb909157549de286f")</f>
        <v>0</v>
      </c>
      <c r="C587">
        <f>HYPERLINK("https://github.com/apache/commons-lang/commit/00f699c1602dc108f3c4d343dccfe6e7a1cb5a58", "00f699c1602dc108f3c4d343dccfe6e7a1cb5a58")</f>
        <v>0</v>
      </c>
      <c r="D587" t="s">
        <v>151</v>
      </c>
      <c r="E587" t="s">
        <v>228</v>
      </c>
      <c r="F587" t="s">
        <v>355</v>
      </c>
      <c r="G587" t="s">
        <v>492</v>
      </c>
      <c r="H587" t="s">
        <v>1042</v>
      </c>
      <c r="I587" t="s">
        <v>1357</v>
      </c>
      <c r="J587" t="s">
        <v>1357</v>
      </c>
      <c r="K587" t="s">
        <v>1357</v>
      </c>
      <c r="L587" t="s">
        <v>1357</v>
      </c>
    </row>
    <row r="588" spans="1:12">
      <c r="H588" t="s">
        <v>1043</v>
      </c>
      <c r="I588" t="s">
        <v>1357</v>
      </c>
      <c r="J588" t="s">
        <v>1357</v>
      </c>
      <c r="K588" t="s">
        <v>1357</v>
      </c>
      <c r="L588" t="s">
        <v>1357</v>
      </c>
    </row>
    <row r="589" spans="1:12">
      <c r="H589" t="s">
        <v>1044</v>
      </c>
      <c r="I589" t="s">
        <v>1357</v>
      </c>
      <c r="J589" t="s">
        <v>1357</v>
      </c>
      <c r="K589" t="s">
        <v>1357</v>
      </c>
      <c r="L589" t="s">
        <v>1357</v>
      </c>
    </row>
    <row r="590" spans="1:12">
      <c r="H590" t="s">
        <v>1045</v>
      </c>
      <c r="I590" t="s">
        <v>1357</v>
      </c>
      <c r="J590" t="s">
        <v>1357</v>
      </c>
      <c r="K590" t="s">
        <v>1357</v>
      </c>
      <c r="L590" t="s">
        <v>1357</v>
      </c>
    </row>
    <row r="591" spans="1:12">
      <c r="H591" t="s">
        <v>1046</v>
      </c>
      <c r="I591" t="s">
        <v>1357</v>
      </c>
      <c r="J591" t="s">
        <v>1357</v>
      </c>
      <c r="K591" t="s">
        <v>1357</v>
      </c>
      <c r="L591" t="s">
        <v>1357</v>
      </c>
    </row>
    <row r="592" spans="1:12">
      <c r="H592" t="s">
        <v>1047</v>
      </c>
      <c r="I592" t="s">
        <v>1357</v>
      </c>
      <c r="J592" t="s">
        <v>1357</v>
      </c>
      <c r="K592" t="s">
        <v>1357</v>
      </c>
      <c r="L592" t="s">
        <v>1357</v>
      </c>
    </row>
    <row r="593" spans="8:12">
      <c r="H593" t="s">
        <v>1048</v>
      </c>
      <c r="I593" t="s">
        <v>1357</v>
      </c>
      <c r="J593" t="s">
        <v>1357</v>
      </c>
      <c r="K593" t="s">
        <v>1357</v>
      </c>
      <c r="L593" t="s">
        <v>1357</v>
      </c>
    </row>
    <row r="594" spans="8:12">
      <c r="H594" t="s">
        <v>1049</v>
      </c>
      <c r="I594" t="s">
        <v>1357</v>
      </c>
      <c r="J594" t="s">
        <v>1357</v>
      </c>
      <c r="K594" t="s">
        <v>1357</v>
      </c>
      <c r="L594" t="s">
        <v>1357</v>
      </c>
    </row>
    <row r="595" spans="8:12">
      <c r="H595" t="s">
        <v>1050</v>
      </c>
      <c r="I595" t="s">
        <v>1357</v>
      </c>
      <c r="J595" t="s">
        <v>1357</v>
      </c>
      <c r="K595" t="s">
        <v>1357</v>
      </c>
      <c r="L595" t="s">
        <v>1357</v>
      </c>
    </row>
    <row r="596" spans="8:12">
      <c r="H596" t="s">
        <v>1051</v>
      </c>
      <c r="I596" t="s">
        <v>1357</v>
      </c>
      <c r="J596" t="s">
        <v>1357</v>
      </c>
      <c r="K596" t="s">
        <v>1357</v>
      </c>
      <c r="L596" t="s">
        <v>1357</v>
      </c>
    </row>
    <row r="597" spans="8:12">
      <c r="H597" t="s">
        <v>1052</v>
      </c>
      <c r="I597" t="s">
        <v>1357</v>
      </c>
      <c r="J597" t="s">
        <v>1357</v>
      </c>
      <c r="K597" t="s">
        <v>1357</v>
      </c>
      <c r="L597" t="s">
        <v>1357</v>
      </c>
    </row>
    <row r="598" spans="8:12">
      <c r="H598" t="s">
        <v>1053</v>
      </c>
      <c r="I598" t="s">
        <v>1357</v>
      </c>
      <c r="J598" t="s">
        <v>1357</v>
      </c>
      <c r="K598" t="s">
        <v>1357</v>
      </c>
      <c r="L598" t="s">
        <v>1357</v>
      </c>
    </row>
    <row r="599" spans="8:12">
      <c r="H599" t="s">
        <v>1054</v>
      </c>
      <c r="I599" t="s">
        <v>1357</v>
      </c>
      <c r="J599" t="s">
        <v>1357</v>
      </c>
      <c r="K599" t="s">
        <v>1357</v>
      </c>
      <c r="L599" t="s">
        <v>1357</v>
      </c>
    </row>
    <row r="600" spans="8:12">
      <c r="H600" t="s">
        <v>1055</v>
      </c>
      <c r="I600" t="s">
        <v>1357</v>
      </c>
      <c r="J600" t="s">
        <v>1357</v>
      </c>
      <c r="K600" t="s">
        <v>1357</v>
      </c>
      <c r="L600" t="s">
        <v>1357</v>
      </c>
    </row>
    <row r="601" spans="8:12">
      <c r="H601" t="s">
        <v>1056</v>
      </c>
      <c r="I601" t="s">
        <v>1357</v>
      </c>
      <c r="J601" t="s">
        <v>1357</v>
      </c>
      <c r="K601" t="s">
        <v>1357</v>
      </c>
      <c r="L601" t="s">
        <v>1357</v>
      </c>
    </row>
    <row r="602" spans="8:12">
      <c r="H602" t="s">
        <v>1057</v>
      </c>
      <c r="I602" t="s">
        <v>1357</v>
      </c>
      <c r="J602" t="s">
        <v>1357</v>
      </c>
      <c r="K602" t="s">
        <v>1357</v>
      </c>
      <c r="L602" t="s">
        <v>1357</v>
      </c>
    </row>
    <row r="603" spans="8:12">
      <c r="H603" t="s">
        <v>1058</v>
      </c>
      <c r="I603" t="s">
        <v>1357</v>
      </c>
      <c r="J603" t="s">
        <v>1357</v>
      </c>
      <c r="K603" t="s">
        <v>1357</v>
      </c>
      <c r="L603" t="s">
        <v>1357</v>
      </c>
    </row>
    <row r="604" spans="8:12">
      <c r="H604" t="s">
        <v>1059</v>
      </c>
      <c r="I604" t="s">
        <v>1357</v>
      </c>
      <c r="J604" t="s">
        <v>1357</v>
      </c>
      <c r="K604" t="s">
        <v>1357</v>
      </c>
      <c r="L604" t="s">
        <v>1357</v>
      </c>
    </row>
    <row r="605" spans="8:12">
      <c r="H605" t="s">
        <v>1060</v>
      </c>
      <c r="I605" t="s">
        <v>1357</v>
      </c>
      <c r="J605" t="s">
        <v>1357</v>
      </c>
      <c r="K605" t="s">
        <v>1357</v>
      </c>
      <c r="L605" t="s">
        <v>1357</v>
      </c>
    </row>
    <row r="606" spans="8:12">
      <c r="H606" t="s">
        <v>1061</v>
      </c>
      <c r="I606" t="s">
        <v>1357</v>
      </c>
      <c r="J606" t="s">
        <v>1357</v>
      </c>
      <c r="K606" t="s">
        <v>1357</v>
      </c>
      <c r="L606" t="s">
        <v>1357</v>
      </c>
    </row>
    <row r="607" spans="8:12">
      <c r="H607" t="s">
        <v>1062</v>
      </c>
      <c r="I607" t="s">
        <v>1357</v>
      </c>
      <c r="J607" t="s">
        <v>1357</v>
      </c>
      <c r="K607" t="s">
        <v>1357</v>
      </c>
      <c r="L607" t="s">
        <v>1357</v>
      </c>
    </row>
    <row r="608" spans="8:12">
      <c r="H608" t="s">
        <v>1063</v>
      </c>
      <c r="I608" t="s">
        <v>1357</v>
      </c>
      <c r="J608" t="s">
        <v>1357</v>
      </c>
      <c r="K608" t="s">
        <v>1357</v>
      </c>
      <c r="L608" t="s">
        <v>1357</v>
      </c>
    </row>
    <row r="609" spans="1:12">
      <c r="F609" t="s">
        <v>356</v>
      </c>
      <c r="G609" t="s">
        <v>493</v>
      </c>
      <c r="H609" t="s">
        <v>1064</v>
      </c>
      <c r="I609" t="s">
        <v>1357</v>
      </c>
      <c r="J609" t="s">
        <v>1357</v>
      </c>
      <c r="K609" t="s">
        <v>1357</v>
      </c>
      <c r="L609" t="s">
        <v>1357</v>
      </c>
    </row>
    <row r="610" spans="1:12">
      <c r="H610" t="s">
        <v>1065</v>
      </c>
      <c r="I610" t="s">
        <v>1357</v>
      </c>
      <c r="J610" t="s">
        <v>1357</v>
      </c>
      <c r="K610" t="s">
        <v>1357</v>
      </c>
      <c r="L610" t="s">
        <v>1357</v>
      </c>
    </row>
    <row r="611" spans="1:12">
      <c r="H611" t="s">
        <v>1066</v>
      </c>
      <c r="I611" t="s">
        <v>1357</v>
      </c>
      <c r="J611" t="s">
        <v>1357</v>
      </c>
      <c r="K611" t="s">
        <v>1357</v>
      </c>
      <c r="L611" t="s">
        <v>1357</v>
      </c>
    </row>
    <row r="612" spans="1:12">
      <c r="H612" t="s">
        <v>1067</v>
      </c>
      <c r="I612" t="s">
        <v>1357</v>
      </c>
      <c r="J612" t="s">
        <v>1357</v>
      </c>
      <c r="K612" t="s">
        <v>1357</v>
      </c>
      <c r="L612" t="s">
        <v>1357</v>
      </c>
    </row>
    <row r="613" spans="1:12">
      <c r="H613" t="s">
        <v>1068</v>
      </c>
      <c r="I613" t="s">
        <v>1357</v>
      </c>
      <c r="J613" t="s">
        <v>1357</v>
      </c>
      <c r="K613" t="s">
        <v>1357</v>
      </c>
      <c r="L613" t="s">
        <v>1357</v>
      </c>
    </row>
    <row r="614" spans="1:12">
      <c r="H614" t="s">
        <v>1069</v>
      </c>
      <c r="I614" t="s">
        <v>1357</v>
      </c>
      <c r="J614" t="s">
        <v>1357</v>
      </c>
      <c r="K614" t="s">
        <v>1357</v>
      </c>
      <c r="L614" t="s">
        <v>1357</v>
      </c>
    </row>
    <row r="615" spans="1:12">
      <c r="H615" t="s">
        <v>1070</v>
      </c>
      <c r="I615" t="s">
        <v>1357</v>
      </c>
      <c r="J615" t="s">
        <v>1357</v>
      </c>
      <c r="K615" t="s">
        <v>1357</v>
      </c>
      <c r="L615" t="s">
        <v>1357</v>
      </c>
    </row>
    <row r="616" spans="1:12">
      <c r="H616" t="s">
        <v>1071</v>
      </c>
      <c r="I616" t="s">
        <v>1357</v>
      </c>
      <c r="J616" t="s">
        <v>1357</v>
      </c>
      <c r="K616" t="s">
        <v>1357</v>
      </c>
      <c r="L616" t="s">
        <v>1357</v>
      </c>
    </row>
    <row r="617" spans="1:12">
      <c r="H617" t="s">
        <v>1072</v>
      </c>
      <c r="I617" t="s">
        <v>1357</v>
      </c>
      <c r="J617" t="s">
        <v>1357</v>
      </c>
      <c r="K617" t="s">
        <v>1357</v>
      </c>
      <c r="L617" t="s">
        <v>1357</v>
      </c>
    </row>
    <row r="618" spans="1:12">
      <c r="H618" t="s">
        <v>1073</v>
      </c>
      <c r="I618" t="s">
        <v>1357</v>
      </c>
      <c r="J618" t="s">
        <v>1357</v>
      </c>
      <c r="K618" t="s">
        <v>1357</v>
      </c>
      <c r="L618" t="s">
        <v>1357</v>
      </c>
    </row>
    <row r="619" spans="1:12">
      <c r="H619" t="s">
        <v>1074</v>
      </c>
      <c r="I619" t="s">
        <v>1357</v>
      </c>
      <c r="J619" t="s">
        <v>1357</v>
      </c>
      <c r="K619" t="s">
        <v>1357</v>
      </c>
      <c r="L619" t="s">
        <v>1357</v>
      </c>
    </row>
    <row r="620" spans="1:12">
      <c r="H620" t="s">
        <v>1075</v>
      </c>
      <c r="I620" t="s">
        <v>1357</v>
      </c>
      <c r="J620" t="s">
        <v>1357</v>
      </c>
      <c r="K620" t="s">
        <v>1357</v>
      </c>
      <c r="L620" t="s">
        <v>1357</v>
      </c>
    </row>
    <row r="621" spans="1:12">
      <c r="H621" t="s">
        <v>1076</v>
      </c>
      <c r="I621" t="s">
        <v>1357</v>
      </c>
      <c r="J621" t="s">
        <v>1357</v>
      </c>
      <c r="K621" t="s">
        <v>1357</v>
      </c>
      <c r="L621" t="s">
        <v>1357</v>
      </c>
    </row>
    <row r="622" spans="1:12">
      <c r="A622" t="s">
        <v>73</v>
      </c>
      <c r="B622">
        <f>HYPERLINK("https://github.com/apache/commons-lang/commit/c5ef7421d9e7fe78ff5bd9bb5120d8d6d1d9a10b", "c5ef7421d9e7fe78ff5bd9bb5120d8d6d1d9a10b")</f>
        <v>0</v>
      </c>
      <c r="C622">
        <f>HYPERLINK("https://github.com/apache/commons-lang/commit/8a57de11eec842e392f7709eb56f202084998a40", "8a57de11eec842e392f7709eb56f202084998a40")</f>
        <v>0</v>
      </c>
      <c r="D622" t="s">
        <v>151</v>
      </c>
      <c r="E622" t="s">
        <v>229</v>
      </c>
      <c r="F622" t="s">
        <v>357</v>
      </c>
      <c r="G622" t="s">
        <v>494</v>
      </c>
      <c r="H622" t="s">
        <v>795</v>
      </c>
      <c r="I622" t="s">
        <v>1357</v>
      </c>
      <c r="J622" t="s">
        <v>1357</v>
      </c>
      <c r="K622" t="s">
        <v>1357</v>
      </c>
      <c r="L622" t="s">
        <v>1357</v>
      </c>
    </row>
    <row r="623" spans="1:12">
      <c r="H623" t="s">
        <v>1077</v>
      </c>
      <c r="I623" t="s">
        <v>1357</v>
      </c>
      <c r="J623" t="s">
        <v>1357</v>
      </c>
      <c r="K623" t="s">
        <v>1357</v>
      </c>
      <c r="L623" t="s">
        <v>1357</v>
      </c>
    </row>
    <row r="624" spans="1:12">
      <c r="H624" t="s">
        <v>1078</v>
      </c>
      <c r="I624" t="s">
        <v>1357</v>
      </c>
      <c r="J624" t="s">
        <v>1357</v>
      </c>
      <c r="K624" t="s">
        <v>1357</v>
      </c>
      <c r="L624" t="s">
        <v>1357</v>
      </c>
    </row>
    <row r="625" spans="1:12">
      <c r="H625" t="s">
        <v>1079</v>
      </c>
      <c r="I625" t="s">
        <v>1357</v>
      </c>
      <c r="J625" t="s">
        <v>1357</v>
      </c>
      <c r="K625" t="s">
        <v>1357</v>
      </c>
      <c r="L625" t="s">
        <v>1357</v>
      </c>
    </row>
    <row r="626" spans="1:12">
      <c r="H626" t="s">
        <v>1080</v>
      </c>
      <c r="I626" t="s">
        <v>1357</v>
      </c>
      <c r="J626" t="s">
        <v>1357</v>
      </c>
      <c r="K626" t="s">
        <v>1357</v>
      </c>
      <c r="L626" t="s">
        <v>1357</v>
      </c>
    </row>
    <row r="627" spans="1:12">
      <c r="H627" t="s">
        <v>1081</v>
      </c>
      <c r="I627" t="s">
        <v>1357</v>
      </c>
      <c r="J627" t="s">
        <v>1357</v>
      </c>
      <c r="K627" t="s">
        <v>1357</v>
      </c>
      <c r="L627" t="s">
        <v>1357</v>
      </c>
    </row>
    <row r="628" spans="1:12">
      <c r="H628" t="s">
        <v>1082</v>
      </c>
      <c r="I628" t="s">
        <v>1357</v>
      </c>
      <c r="J628" t="s">
        <v>1357</v>
      </c>
      <c r="K628" t="s">
        <v>1357</v>
      </c>
      <c r="L628" t="s">
        <v>1357</v>
      </c>
    </row>
    <row r="629" spans="1:12">
      <c r="H629" t="s">
        <v>1083</v>
      </c>
      <c r="I629" t="s">
        <v>1357</v>
      </c>
      <c r="J629" t="s">
        <v>1357</v>
      </c>
      <c r="K629" t="s">
        <v>1357</v>
      </c>
      <c r="L629" t="s">
        <v>1357</v>
      </c>
    </row>
    <row r="630" spans="1:12">
      <c r="A630" t="s">
        <v>74</v>
      </c>
      <c r="B630">
        <f>HYPERLINK("https://github.com/apache/commons-lang/commit/26b587c7babccea6ff3f79cc43e1ad2da6c6b3cb", "26b587c7babccea6ff3f79cc43e1ad2da6c6b3cb")</f>
        <v>0</v>
      </c>
      <c r="C630">
        <f>HYPERLINK("https://github.com/apache/commons-lang/commit/a2773b230e17d71022791d0ad50fafe0f6a856d1", "a2773b230e17d71022791d0ad50fafe0f6a856d1")</f>
        <v>0</v>
      </c>
      <c r="D630" t="s">
        <v>151</v>
      </c>
      <c r="E630" t="s">
        <v>230</v>
      </c>
      <c r="F630" t="s">
        <v>358</v>
      </c>
      <c r="G630" t="s">
        <v>495</v>
      </c>
      <c r="H630" t="s">
        <v>1084</v>
      </c>
      <c r="I630" t="s">
        <v>1357</v>
      </c>
      <c r="J630" t="s">
        <v>1357</v>
      </c>
      <c r="K630" t="s">
        <v>1357</v>
      </c>
      <c r="L630" t="s">
        <v>1357</v>
      </c>
    </row>
    <row r="631" spans="1:12">
      <c r="H631" t="s">
        <v>1085</v>
      </c>
      <c r="I631" t="s">
        <v>1357</v>
      </c>
      <c r="J631" t="s">
        <v>1357</v>
      </c>
      <c r="K631" t="s">
        <v>1357</v>
      </c>
      <c r="L631" t="s">
        <v>1357</v>
      </c>
    </row>
    <row r="632" spans="1:12">
      <c r="H632" t="s">
        <v>1007</v>
      </c>
      <c r="I632" t="s">
        <v>1357</v>
      </c>
      <c r="J632" t="s">
        <v>1357</v>
      </c>
      <c r="K632" t="s">
        <v>1357</v>
      </c>
      <c r="L632" t="s">
        <v>1357</v>
      </c>
    </row>
    <row r="633" spans="1:12">
      <c r="H633" t="s">
        <v>1086</v>
      </c>
      <c r="I633" t="s">
        <v>1357</v>
      </c>
      <c r="J633" t="s">
        <v>1357</v>
      </c>
      <c r="K633" t="s">
        <v>1357</v>
      </c>
      <c r="L633" t="s">
        <v>1357</v>
      </c>
    </row>
    <row r="634" spans="1:12">
      <c r="A634" t="s">
        <v>75</v>
      </c>
      <c r="B634">
        <f>HYPERLINK("https://github.com/apache/commons-lang/commit/f04f89bfda742435b86313a7ff01eb975dbbe00c", "f04f89bfda742435b86313a7ff01eb975dbbe00c")</f>
        <v>0</v>
      </c>
      <c r="C634">
        <f>HYPERLINK("https://github.com/apache/commons-lang/commit/26b587c7babccea6ff3f79cc43e1ad2da6c6b3cb", "26b587c7babccea6ff3f79cc43e1ad2da6c6b3cb")</f>
        <v>0</v>
      </c>
      <c r="D634" t="s">
        <v>151</v>
      </c>
      <c r="E634" t="s">
        <v>231</v>
      </c>
      <c r="F634" t="s">
        <v>359</v>
      </c>
      <c r="G634" t="s">
        <v>496</v>
      </c>
      <c r="H634" t="s">
        <v>1087</v>
      </c>
      <c r="I634" t="s">
        <v>1357</v>
      </c>
      <c r="J634" t="s">
        <v>1357</v>
      </c>
      <c r="K634" t="s">
        <v>1357</v>
      </c>
      <c r="L634" t="s">
        <v>1357</v>
      </c>
    </row>
    <row r="635" spans="1:12">
      <c r="H635" t="s">
        <v>1088</v>
      </c>
      <c r="I635" t="s">
        <v>1357</v>
      </c>
      <c r="J635" t="s">
        <v>1357</v>
      </c>
      <c r="K635" t="s">
        <v>1357</v>
      </c>
      <c r="L635" t="s">
        <v>1357</v>
      </c>
    </row>
    <row r="636" spans="1:12">
      <c r="H636" t="s">
        <v>1089</v>
      </c>
      <c r="I636" t="s">
        <v>1357</v>
      </c>
      <c r="J636" t="s">
        <v>1357</v>
      </c>
      <c r="K636" t="s">
        <v>1357</v>
      </c>
      <c r="L636" t="s">
        <v>1357</v>
      </c>
    </row>
    <row r="637" spans="1:12">
      <c r="H637" t="s">
        <v>792</v>
      </c>
      <c r="I637" t="s">
        <v>1357</v>
      </c>
      <c r="J637" t="s">
        <v>1357</v>
      </c>
      <c r="K637" t="s">
        <v>1357</v>
      </c>
      <c r="L637" t="s">
        <v>1357</v>
      </c>
    </row>
    <row r="638" spans="1:12">
      <c r="H638" t="s">
        <v>1090</v>
      </c>
      <c r="I638" t="s">
        <v>1357</v>
      </c>
      <c r="J638" t="s">
        <v>1357</v>
      </c>
      <c r="K638" t="s">
        <v>1357</v>
      </c>
      <c r="L638" t="s">
        <v>1357</v>
      </c>
    </row>
    <row r="639" spans="1:12">
      <c r="H639" t="s">
        <v>1091</v>
      </c>
      <c r="I639" t="s">
        <v>1357</v>
      </c>
      <c r="J639" t="s">
        <v>1357</v>
      </c>
      <c r="K639" t="s">
        <v>1357</v>
      </c>
      <c r="L639" t="s">
        <v>1357</v>
      </c>
    </row>
    <row r="640" spans="1:12">
      <c r="H640" t="s">
        <v>1092</v>
      </c>
      <c r="I640" t="s">
        <v>1357</v>
      </c>
      <c r="J640" t="s">
        <v>1357</v>
      </c>
      <c r="K640" t="s">
        <v>1357</v>
      </c>
      <c r="L640" t="s">
        <v>1357</v>
      </c>
    </row>
    <row r="641" spans="1:12">
      <c r="H641" t="s">
        <v>1093</v>
      </c>
      <c r="I641" t="s">
        <v>1357</v>
      </c>
      <c r="J641" t="s">
        <v>1357</v>
      </c>
      <c r="K641" t="s">
        <v>1357</v>
      </c>
      <c r="L641" t="s">
        <v>1357</v>
      </c>
    </row>
    <row r="642" spans="1:12">
      <c r="H642" t="s">
        <v>1094</v>
      </c>
      <c r="I642" t="s">
        <v>1357</v>
      </c>
      <c r="J642" t="s">
        <v>1357</v>
      </c>
      <c r="K642" t="s">
        <v>1357</v>
      </c>
      <c r="L642" t="s">
        <v>1357</v>
      </c>
    </row>
    <row r="643" spans="1:12">
      <c r="H643" t="s">
        <v>1095</v>
      </c>
      <c r="I643" t="s">
        <v>1357</v>
      </c>
      <c r="J643" t="s">
        <v>1357</v>
      </c>
      <c r="K643" t="s">
        <v>1357</v>
      </c>
      <c r="L643" t="s">
        <v>1357</v>
      </c>
    </row>
    <row r="644" spans="1:12">
      <c r="H644" t="s">
        <v>1096</v>
      </c>
      <c r="I644" t="s">
        <v>1357</v>
      </c>
      <c r="J644" t="s">
        <v>1357</v>
      </c>
      <c r="K644" t="s">
        <v>1357</v>
      </c>
      <c r="L644" t="s">
        <v>1357</v>
      </c>
    </row>
    <row r="645" spans="1:12">
      <c r="H645" t="s">
        <v>793</v>
      </c>
      <c r="I645" t="s">
        <v>1357</v>
      </c>
      <c r="J645" t="s">
        <v>1357</v>
      </c>
      <c r="K645" t="s">
        <v>1357</v>
      </c>
      <c r="L645" t="s">
        <v>1357</v>
      </c>
    </row>
    <row r="646" spans="1:12">
      <c r="H646" t="s">
        <v>794</v>
      </c>
      <c r="I646" t="s">
        <v>1357</v>
      </c>
      <c r="J646" t="s">
        <v>1357</v>
      </c>
      <c r="K646" t="s">
        <v>1357</v>
      </c>
      <c r="L646" t="s">
        <v>1357</v>
      </c>
    </row>
    <row r="647" spans="1:12">
      <c r="A647" t="s">
        <v>76</v>
      </c>
      <c r="B647">
        <f>HYPERLINK("https://github.com/apache/commons-lang/commit/687dc10a611d3ded6239baa2b8ebdff7ebfb9871", "687dc10a611d3ded6239baa2b8ebdff7ebfb9871")</f>
        <v>0</v>
      </c>
      <c r="C647">
        <f>HYPERLINK("https://github.com/apache/commons-lang/commit/f04f89bfda742435b86313a7ff01eb975dbbe00c", "f04f89bfda742435b86313a7ff01eb975dbbe00c")</f>
        <v>0</v>
      </c>
      <c r="D647" t="s">
        <v>151</v>
      </c>
      <c r="E647" t="s">
        <v>232</v>
      </c>
      <c r="F647" t="s">
        <v>321</v>
      </c>
      <c r="G647" t="s">
        <v>462</v>
      </c>
      <c r="H647" t="s">
        <v>1097</v>
      </c>
      <c r="I647" t="s">
        <v>1357</v>
      </c>
      <c r="J647" t="s">
        <v>1357</v>
      </c>
      <c r="K647" t="s">
        <v>1357</v>
      </c>
      <c r="L647" t="s">
        <v>1357</v>
      </c>
    </row>
    <row r="648" spans="1:12">
      <c r="H648" t="s">
        <v>1098</v>
      </c>
      <c r="I648" t="s">
        <v>1357</v>
      </c>
      <c r="J648" t="s">
        <v>1357</v>
      </c>
      <c r="K648" t="s">
        <v>1357</v>
      </c>
      <c r="L648" t="s">
        <v>1357</v>
      </c>
    </row>
    <row r="649" spans="1:12">
      <c r="H649" t="s">
        <v>1099</v>
      </c>
      <c r="I649" t="s">
        <v>1357</v>
      </c>
      <c r="J649" t="s">
        <v>1357</v>
      </c>
      <c r="K649" t="s">
        <v>1357</v>
      </c>
      <c r="L649" t="s">
        <v>1357</v>
      </c>
    </row>
    <row r="650" spans="1:12">
      <c r="H650" t="s">
        <v>1100</v>
      </c>
      <c r="I650" t="s">
        <v>1357</v>
      </c>
      <c r="J650" t="s">
        <v>1357</v>
      </c>
      <c r="K650" t="s">
        <v>1357</v>
      </c>
      <c r="L650" t="s">
        <v>1357</v>
      </c>
    </row>
    <row r="651" spans="1:12">
      <c r="H651" t="s">
        <v>1101</v>
      </c>
      <c r="I651" t="s">
        <v>1357</v>
      </c>
      <c r="J651" t="s">
        <v>1357</v>
      </c>
      <c r="K651" t="s">
        <v>1357</v>
      </c>
      <c r="L651" t="s">
        <v>1357</v>
      </c>
    </row>
    <row r="652" spans="1:12">
      <c r="H652" t="s">
        <v>1102</v>
      </c>
      <c r="I652" t="s">
        <v>1357</v>
      </c>
      <c r="J652" t="s">
        <v>1357</v>
      </c>
      <c r="K652" t="s">
        <v>1357</v>
      </c>
      <c r="L652" t="s">
        <v>1357</v>
      </c>
    </row>
    <row r="653" spans="1:12">
      <c r="H653" t="s">
        <v>1103</v>
      </c>
      <c r="I653" t="s">
        <v>1357</v>
      </c>
      <c r="J653" t="s">
        <v>1357</v>
      </c>
      <c r="K653" t="s">
        <v>1357</v>
      </c>
      <c r="L653" t="s">
        <v>1357</v>
      </c>
    </row>
    <row r="654" spans="1:12">
      <c r="H654" t="s">
        <v>1104</v>
      </c>
      <c r="I654" t="s">
        <v>1357</v>
      </c>
      <c r="J654" t="s">
        <v>1357</v>
      </c>
      <c r="K654" t="s">
        <v>1357</v>
      </c>
      <c r="L654" t="s">
        <v>1357</v>
      </c>
    </row>
    <row r="655" spans="1:12">
      <c r="H655" t="s">
        <v>1105</v>
      </c>
      <c r="I655" t="s">
        <v>1357</v>
      </c>
      <c r="J655" t="s">
        <v>1357</v>
      </c>
      <c r="K655" t="s">
        <v>1357</v>
      </c>
      <c r="L655" t="s">
        <v>1357</v>
      </c>
    </row>
    <row r="656" spans="1:12">
      <c r="H656" t="s">
        <v>1016</v>
      </c>
      <c r="I656" t="s">
        <v>1357</v>
      </c>
      <c r="J656" t="s">
        <v>1357</v>
      </c>
      <c r="K656" t="s">
        <v>1357</v>
      </c>
      <c r="L656" t="s">
        <v>1357</v>
      </c>
    </row>
    <row r="657" spans="1:14">
      <c r="H657" t="s">
        <v>1106</v>
      </c>
      <c r="I657" t="s">
        <v>1357</v>
      </c>
      <c r="J657" t="s">
        <v>1357</v>
      </c>
      <c r="K657" t="s">
        <v>1357</v>
      </c>
      <c r="L657" t="s">
        <v>1357</v>
      </c>
    </row>
    <row r="658" spans="1:14">
      <c r="H658" t="s">
        <v>1107</v>
      </c>
      <c r="I658" t="s">
        <v>1357</v>
      </c>
      <c r="J658" t="s">
        <v>1357</v>
      </c>
      <c r="K658" t="s">
        <v>1357</v>
      </c>
      <c r="L658" t="s">
        <v>1357</v>
      </c>
    </row>
    <row r="659" spans="1:14">
      <c r="A659" t="s">
        <v>77</v>
      </c>
      <c r="B659">
        <f>HYPERLINK("https://github.com/apache/commons-lang/commit/d8ae0bdbefd1df0dda95f3402c323ca93962d16e", "d8ae0bdbefd1df0dda95f3402c323ca93962d16e")</f>
        <v>0</v>
      </c>
      <c r="C659">
        <f>HYPERLINK("https://github.com/apache/commons-lang/commit/687dc10a611d3ded6239baa2b8ebdff7ebfb9871", "687dc10a611d3ded6239baa2b8ebdff7ebfb9871")</f>
        <v>0</v>
      </c>
      <c r="D659" t="s">
        <v>151</v>
      </c>
      <c r="E659" t="s">
        <v>233</v>
      </c>
      <c r="F659" t="s">
        <v>360</v>
      </c>
      <c r="G659" t="s">
        <v>497</v>
      </c>
      <c r="H659" t="s">
        <v>1108</v>
      </c>
      <c r="I659" t="s">
        <v>1357</v>
      </c>
      <c r="J659" t="s">
        <v>1357</v>
      </c>
      <c r="K659" t="s">
        <v>1357</v>
      </c>
      <c r="L659" t="s">
        <v>1357</v>
      </c>
    </row>
    <row r="660" spans="1:14">
      <c r="H660" t="s">
        <v>1109</v>
      </c>
      <c r="I660" t="s">
        <v>1357</v>
      </c>
      <c r="J660" t="s">
        <v>1357</v>
      </c>
      <c r="K660" t="s">
        <v>1357</v>
      </c>
      <c r="L660" t="s">
        <v>1357</v>
      </c>
    </row>
    <row r="661" spans="1:14">
      <c r="H661" t="s">
        <v>1110</v>
      </c>
      <c r="I661" t="s">
        <v>1357</v>
      </c>
      <c r="J661" t="s">
        <v>1357</v>
      </c>
      <c r="K661" t="s">
        <v>1357</v>
      </c>
      <c r="L661" t="s">
        <v>1357</v>
      </c>
    </row>
    <row r="662" spans="1:14">
      <c r="A662" t="s">
        <v>78</v>
      </c>
      <c r="B662">
        <f>HYPERLINK("https://github.com/apache/commons-lang/commit/5e58c2cfd8e50f4c5a961f798caeb2859beadfe3", "5e58c2cfd8e50f4c5a961f798caeb2859beadfe3")</f>
        <v>0</v>
      </c>
      <c r="C662">
        <f>HYPERLINK("https://github.com/apache/commons-lang/commit/d8ae0bdbefd1df0dda95f3402c323ca93962d16e", "d8ae0bdbefd1df0dda95f3402c323ca93962d16e")</f>
        <v>0</v>
      </c>
      <c r="D662" t="s">
        <v>151</v>
      </c>
      <c r="E662" t="s">
        <v>234</v>
      </c>
      <c r="F662" t="s">
        <v>361</v>
      </c>
      <c r="G662" t="s">
        <v>498</v>
      </c>
      <c r="H662" t="s">
        <v>1111</v>
      </c>
      <c r="I662" t="s">
        <v>1357</v>
      </c>
      <c r="J662" t="s">
        <v>1357</v>
      </c>
      <c r="K662" t="s">
        <v>1357</v>
      </c>
      <c r="L662" t="s">
        <v>1357</v>
      </c>
    </row>
    <row r="663" spans="1:14">
      <c r="H663" t="s">
        <v>1112</v>
      </c>
      <c r="I663" t="s">
        <v>1357</v>
      </c>
      <c r="J663" t="s">
        <v>1357</v>
      </c>
      <c r="K663" t="s">
        <v>1357</v>
      </c>
      <c r="L663" t="s">
        <v>1357</v>
      </c>
    </row>
    <row r="664" spans="1:14">
      <c r="H664" t="s">
        <v>1113</v>
      </c>
      <c r="I664" t="s">
        <v>1357</v>
      </c>
      <c r="J664" t="s">
        <v>1357</v>
      </c>
      <c r="K664" t="s">
        <v>1357</v>
      </c>
      <c r="L664" t="s">
        <v>1357</v>
      </c>
    </row>
    <row r="665" spans="1:14">
      <c r="H665" t="s">
        <v>1114</v>
      </c>
      <c r="I665" t="s">
        <v>1357</v>
      </c>
      <c r="J665" t="s">
        <v>1357</v>
      </c>
      <c r="K665" t="s">
        <v>1357</v>
      </c>
      <c r="L665" t="s">
        <v>1357</v>
      </c>
    </row>
    <row r="666" spans="1:14">
      <c r="H666" t="s">
        <v>1115</v>
      </c>
      <c r="I666" t="s">
        <v>1357</v>
      </c>
      <c r="J666" t="s">
        <v>1357</v>
      </c>
      <c r="K666" t="s">
        <v>1357</v>
      </c>
      <c r="L666" t="s">
        <v>1357</v>
      </c>
    </row>
    <row r="667" spans="1:14">
      <c r="H667" t="s">
        <v>1116</v>
      </c>
      <c r="I667" t="s">
        <v>1357</v>
      </c>
      <c r="J667" t="s">
        <v>1357</v>
      </c>
      <c r="K667" t="s">
        <v>1357</v>
      </c>
      <c r="L667" t="s">
        <v>1357</v>
      </c>
    </row>
    <row r="668" spans="1:14">
      <c r="A668" t="s">
        <v>79</v>
      </c>
      <c r="B668">
        <f>HYPERLINK("https://github.com/apache/commons-lang/commit/51a130b544000a8a7fe02ccc3bd44bf6e5051a22", "51a130b544000a8a7fe02ccc3bd44bf6e5051a22")</f>
        <v>0</v>
      </c>
      <c r="C668">
        <f>HYPERLINK("https://github.com/apache/commons-lang/commit/ba0205c20243c8e92ee4fec91d1549c6a6d94611", "ba0205c20243c8e92ee4fec91d1549c6a6d94611")</f>
        <v>0</v>
      </c>
      <c r="D668" t="s">
        <v>151</v>
      </c>
      <c r="E668" t="s">
        <v>235</v>
      </c>
      <c r="F668" t="s">
        <v>362</v>
      </c>
      <c r="G668" t="s">
        <v>499</v>
      </c>
      <c r="H668" t="s">
        <v>1117</v>
      </c>
      <c r="I668" t="s">
        <v>1358</v>
      </c>
      <c r="J668" t="s">
        <v>1358</v>
      </c>
      <c r="K668" t="s">
        <v>1358</v>
      </c>
      <c r="L668" t="s">
        <v>1358</v>
      </c>
      <c r="N668" t="s">
        <v>1372</v>
      </c>
    </row>
    <row r="669" spans="1:14">
      <c r="H669" t="s">
        <v>1118</v>
      </c>
      <c r="I669" t="s">
        <v>1358</v>
      </c>
      <c r="J669" t="s">
        <v>1358</v>
      </c>
      <c r="K669" t="s">
        <v>1358</v>
      </c>
      <c r="L669" t="s">
        <v>1358</v>
      </c>
      <c r="N669" t="s">
        <v>1372</v>
      </c>
    </row>
    <row r="670" spans="1:14">
      <c r="A670" t="s">
        <v>80</v>
      </c>
      <c r="B670">
        <f>HYPERLINK("https://github.com/apache/commons-lang/commit/bf626b85ba69501c4b9d75f1473b9083872b31f3", "bf626b85ba69501c4b9d75f1473b9083872b31f3")</f>
        <v>0</v>
      </c>
      <c r="C670">
        <f>HYPERLINK("https://github.com/apache/commons-lang/commit/9e2d9541777439b115802814ac4924fb50a70f7d", "9e2d9541777439b115802814ac4924fb50a70f7d")</f>
        <v>0</v>
      </c>
      <c r="D670" t="s">
        <v>150</v>
      </c>
      <c r="E670" t="s">
        <v>236</v>
      </c>
      <c r="F670" t="s">
        <v>363</v>
      </c>
      <c r="G670" t="s">
        <v>481</v>
      </c>
      <c r="H670" t="s">
        <v>1119</v>
      </c>
      <c r="I670" t="s">
        <v>1358</v>
      </c>
      <c r="J670" t="s">
        <v>1358</v>
      </c>
      <c r="K670" t="s">
        <v>1358</v>
      </c>
      <c r="L670" t="s">
        <v>1358</v>
      </c>
      <c r="N670" t="s">
        <v>1373</v>
      </c>
    </row>
    <row r="671" spans="1:14">
      <c r="A671" t="s">
        <v>81</v>
      </c>
      <c r="B671">
        <f>HYPERLINK("https://github.com/apache/commons-lang/commit/928950c9bf3a61fb51d1c291526ee0e1f8c8baf6", "928950c9bf3a61fb51d1c291526ee0e1f8c8baf6")</f>
        <v>0</v>
      </c>
      <c r="C671">
        <f>HYPERLINK("https://github.com/apache/commons-lang/commit/dab4ca0812b8717366dc4466616583047e6b4cf9", "dab4ca0812b8717366dc4466616583047e6b4cf9")</f>
        <v>0</v>
      </c>
      <c r="D671" t="s">
        <v>150</v>
      </c>
      <c r="E671" t="s">
        <v>237</v>
      </c>
      <c r="F671" t="s">
        <v>364</v>
      </c>
      <c r="G671" t="s">
        <v>500</v>
      </c>
      <c r="H671" t="s">
        <v>1120</v>
      </c>
      <c r="I671" t="s">
        <v>1357</v>
      </c>
      <c r="J671" t="s">
        <v>1357</v>
      </c>
      <c r="K671" t="s">
        <v>1357</v>
      </c>
      <c r="L671" t="s">
        <v>1357</v>
      </c>
    </row>
    <row r="672" spans="1:14">
      <c r="A672" t="s">
        <v>82</v>
      </c>
      <c r="B672">
        <f>HYPERLINK("https://github.com/apache/commons-lang/commit/56e830a235ffdf79af12f8afa07a210aba3cab26", "56e830a235ffdf79af12f8afa07a210aba3cab26")</f>
        <v>0</v>
      </c>
      <c r="C672">
        <f>HYPERLINK("https://github.com/apache/commons-lang/commit/452a6c0cd87ed01dc6f60ab65578c6353c0d0522", "452a6c0cd87ed01dc6f60ab65578c6353c0d0522")</f>
        <v>0</v>
      </c>
      <c r="D672" t="s">
        <v>151</v>
      </c>
      <c r="E672" t="s">
        <v>238</v>
      </c>
      <c r="F672" t="s">
        <v>365</v>
      </c>
      <c r="G672" t="s">
        <v>501</v>
      </c>
      <c r="H672" t="s">
        <v>1121</v>
      </c>
      <c r="I672" t="s">
        <v>1357</v>
      </c>
      <c r="J672" t="s">
        <v>1357</v>
      </c>
      <c r="K672" t="s">
        <v>1357</v>
      </c>
      <c r="L672" t="s">
        <v>1357</v>
      </c>
    </row>
    <row r="673" spans="6:12">
      <c r="H673" t="s">
        <v>1122</v>
      </c>
      <c r="I673" t="s">
        <v>1357</v>
      </c>
      <c r="J673" t="s">
        <v>1357</v>
      </c>
      <c r="K673" t="s">
        <v>1357</v>
      </c>
      <c r="L673" t="s">
        <v>1357</v>
      </c>
    </row>
    <row r="674" spans="6:12">
      <c r="H674" t="s">
        <v>1123</v>
      </c>
      <c r="I674" t="s">
        <v>1357</v>
      </c>
      <c r="J674" t="s">
        <v>1357</v>
      </c>
      <c r="K674" t="s">
        <v>1357</v>
      </c>
      <c r="L674" t="s">
        <v>1357</v>
      </c>
    </row>
    <row r="675" spans="6:12">
      <c r="H675" t="s">
        <v>1124</v>
      </c>
      <c r="I675" t="s">
        <v>1357</v>
      </c>
      <c r="J675" t="s">
        <v>1357</v>
      </c>
      <c r="K675" t="s">
        <v>1357</v>
      </c>
      <c r="L675" t="s">
        <v>1357</v>
      </c>
    </row>
    <row r="676" spans="6:12">
      <c r="H676" t="s">
        <v>1125</v>
      </c>
      <c r="I676" t="s">
        <v>1357</v>
      </c>
      <c r="J676" t="s">
        <v>1357</v>
      </c>
      <c r="K676" t="s">
        <v>1357</v>
      </c>
      <c r="L676" t="s">
        <v>1357</v>
      </c>
    </row>
    <row r="677" spans="6:12">
      <c r="H677" t="s">
        <v>1126</v>
      </c>
      <c r="I677" t="s">
        <v>1357</v>
      </c>
      <c r="J677" t="s">
        <v>1357</v>
      </c>
      <c r="K677" t="s">
        <v>1357</v>
      </c>
      <c r="L677" t="s">
        <v>1357</v>
      </c>
    </row>
    <row r="678" spans="6:12">
      <c r="H678" t="s">
        <v>1127</v>
      </c>
      <c r="I678" t="s">
        <v>1357</v>
      </c>
      <c r="J678" t="s">
        <v>1357</v>
      </c>
      <c r="K678" t="s">
        <v>1357</v>
      </c>
      <c r="L678" t="s">
        <v>1357</v>
      </c>
    </row>
    <row r="679" spans="6:12">
      <c r="H679" t="s">
        <v>1128</v>
      </c>
      <c r="I679" t="s">
        <v>1357</v>
      </c>
      <c r="J679" t="s">
        <v>1357</v>
      </c>
      <c r="K679" t="s">
        <v>1357</v>
      </c>
      <c r="L679" t="s">
        <v>1357</v>
      </c>
    </row>
    <row r="680" spans="6:12">
      <c r="H680" t="s">
        <v>899</v>
      </c>
      <c r="I680" t="s">
        <v>1357</v>
      </c>
      <c r="J680" t="s">
        <v>1357</v>
      </c>
      <c r="K680" t="s">
        <v>1357</v>
      </c>
      <c r="L680" t="s">
        <v>1357</v>
      </c>
    </row>
    <row r="681" spans="6:12">
      <c r="H681" t="s">
        <v>900</v>
      </c>
      <c r="I681" t="s">
        <v>1357</v>
      </c>
      <c r="J681" t="s">
        <v>1357</v>
      </c>
      <c r="K681" t="s">
        <v>1357</v>
      </c>
      <c r="L681" t="s">
        <v>1357</v>
      </c>
    </row>
    <row r="682" spans="6:12">
      <c r="H682" t="s">
        <v>901</v>
      </c>
      <c r="I682" t="s">
        <v>1357</v>
      </c>
      <c r="J682" t="s">
        <v>1357</v>
      </c>
      <c r="K682" t="s">
        <v>1357</v>
      </c>
      <c r="L682" t="s">
        <v>1357</v>
      </c>
    </row>
    <row r="683" spans="6:12">
      <c r="F683" t="s">
        <v>366</v>
      </c>
      <c r="G683" t="s">
        <v>502</v>
      </c>
      <c r="H683" t="s">
        <v>1129</v>
      </c>
      <c r="I683" t="s">
        <v>1357</v>
      </c>
      <c r="J683" t="s">
        <v>1357</v>
      </c>
      <c r="K683" t="s">
        <v>1357</v>
      </c>
      <c r="L683" t="s">
        <v>1357</v>
      </c>
    </row>
    <row r="684" spans="6:12">
      <c r="H684" t="s">
        <v>1130</v>
      </c>
      <c r="I684" t="s">
        <v>1357</v>
      </c>
      <c r="J684" t="s">
        <v>1357</v>
      </c>
      <c r="K684" t="s">
        <v>1357</v>
      </c>
      <c r="L684" t="s">
        <v>1357</v>
      </c>
    </row>
    <row r="685" spans="6:12">
      <c r="H685" t="s">
        <v>1131</v>
      </c>
      <c r="I685" t="s">
        <v>1357</v>
      </c>
      <c r="J685" t="s">
        <v>1357</v>
      </c>
      <c r="K685" t="s">
        <v>1357</v>
      </c>
      <c r="L685" t="s">
        <v>1357</v>
      </c>
    </row>
    <row r="686" spans="6:12">
      <c r="H686" t="s">
        <v>1132</v>
      </c>
      <c r="I686" t="s">
        <v>1357</v>
      </c>
      <c r="J686" t="s">
        <v>1357</v>
      </c>
      <c r="K686" t="s">
        <v>1357</v>
      </c>
      <c r="L686" t="s">
        <v>1357</v>
      </c>
    </row>
    <row r="687" spans="6:12">
      <c r="H687" t="s">
        <v>1133</v>
      </c>
      <c r="I687" t="s">
        <v>1357</v>
      </c>
      <c r="J687" t="s">
        <v>1357</v>
      </c>
      <c r="K687" t="s">
        <v>1357</v>
      </c>
      <c r="L687" t="s">
        <v>1357</v>
      </c>
    </row>
    <row r="688" spans="6:12">
      <c r="H688" t="s">
        <v>901</v>
      </c>
      <c r="I688" t="s">
        <v>1357</v>
      </c>
      <c r="J688" t="s">
        <v>1357</v>
      </c>
      <c r="K688" t="s">
        <v>1357</v>
      </c>
      <c r="L688" t="s">
        <v>1357</v>
      </c>
    </row>
    <row r="689" spans="6:12">
      <c r="F689" t="s">
        <v>367</v>
      </c>
      <c r="G689" t="s">
        <v>503</v>
      </c>
      <c r="H689" t="s">
        <v>1129</v>
      </c>
      <c r="I689" t="s">
        <v>1357</v>
      </c>
      <c r="J689" t="s">
        <v>1357</v>
      </c>
      <c r="K689" t="s">
        <v>1357</v>
      </c>
      <c r="L689" t="s">
        <v>1357</v>
      </c>
    </row>
    <row r="690" spans="6:12">
      <c r="H690" t="s">
        <v>1130</v>
      </c>
      <c r="I690" t="s">
        <v>1357</v>
      </c>
      <c r="J690" t="s">
        <v>1357</v>
      </c>
      <c r="K690" t="s">
        <v>1357</v>
      </c>
      <c r="L690" t="s">
        <v>1357</v>
      </c>
    </row>
    <row r="691" spans="6:12">
      <c r="H691" t="s">
        <v>1131</v>
      </c>
      <c r="I691" t="s">
        <v>1357</v>
      </c>
      <c r="J691" t="s">
        <v>1357</v>
      </c>
      <c r="K691" t="s">
        <v>1357</v>
      </c>
      <c r="L691" t="s">
        <v>1357</v>
      </c>
    </row>
    <row r="692" spans="6:12">
      <c r="H692" t="s">
        <v>1132</v>
      </c>
      <c r="I692" t="s">
        <v>1357</v>
      </c>
      <c r="J692" t="s">
        <v>1357</v>
      </c>
      <c r="K692" t="s">
        <v>1357</v>
      </c>
      <c r="L692" t="s">
        <v>1357</v>
      </c>
    </row>
    <row r="693" spans="6:12">
      <c r="H693" t="s">
        <v>1133</v>
      </c>
      <c r="I693" t="s">
        <v>1357</v>
      </c>
      <c r="J693" t="s">
        <v>1357</v>
      </c>
      <c r="K693" t="s">
        <v>1357</v>
      </c>
      <c r="L693" t="s">
        <v>1357</v>
      </c>
    </row>
    <row r="694" spans="6:12">
      <c r="H694" t="s">
        <v>901</v>
      </c>
      <c r="I694" t="s">
        <v>1357</v>
      </c>
      <c r="J694" t="s">
        <v>1357</v>
      </c>
      <c r="K694" t="s">
        <v>1357</v>
      </c>
      <c r="L694" t="s">
        <v>1357</v>
      </c>
    </row>
    <row r="695" spans="6:12">
      <c r="F695" t="s">
        <v>368</v>
      </c>
      <c r="G695" t="s">
        <v>504</v>
      </c>
      <c r="H695" t="s">
        <v>1129</v>
      </c>
      <c r="I695" t="s">
        <v>1357</v>
      </c>
      <c r="J695" t="s">
        <v>1357</v>
      </c>
      <c r="K695" t="s">
        <v>1357</v>
      </c>
      <c r="L695" t="s">
        <v>1357</v>
      </c>
    </row>
    <row r="696" spans="6:12">
      <c r="H696" t="s">
        <v>1130</v>
      </c>
      <c r="I696" t="s">
        <v>1357</v>
      </c>
      <c r="J696" t="s">
        <v>1357</v>
      </c>
      <c r="K696" t="s">
        <v>1357</v>
      </c>
      <c r="L696" t="s">
        <v>1357</v>
      </c>
    </row>
    <row r="697" spans="6:12">
      <c r="H697" t="s">
        <v>1131</v>
      </c>
      <c r="I697" t="s">
        <v>1357</v>
      </c>
      <c r="J697" t="s">
        <v>1357</v>
      </c>
      <c r="K697" t="s">
        <v>1357</v>
      </c>
      <c r="L697" t="s">
        <v>1357</v>
      </c>
    </row>
    <row r="698" spans="6:12">
      <c r="H698" t="s">
        <v>1132</v>
      </c>
      <c r="I698" t="s">
        <v>1357</v>
      </c>
      <c r="J698" t="s">
        <v>1357</v>
      </c>
      <c r="K698" t="s">
        <v>1357</v>
      </c>
      <c r="L698" t="s">
        <v>1357</v>
      </c>
    </row>
    <row r="699" spans="6:12">
      <c r="H699" t="s">
        <v>1133</v>
      </c>
      <c r="I699" t="s">
        <v>1357</v>
      </c>
      <c r="J699" t="s">
        <v>1357</v>
      </c>
      <c r="K699" t="s">
        <v>1357</v>
      </c>
      <c r="L699" t="s">
        <v>1357</v>
      </c>
    </row>
    <row r="700" spans="6:12">
      <c r="H700" t="s">
        <v>1134</v>
      </c>
      <c r="I700" t="s">
        <v>1357</v>
      </c>
      <c r="J700" t="s">
        <v>1357</v>
      </c>
      <c r="K700" t="s">
        <v>1357</v>
      </c>
      <c r="L700" t="s">
        <v>1357</v>
      </c>
    </row>
    <row r="701" spans="6:12">
      <c r="H701" t="s">
        <v>1135</v>
      </c>
      <c r="I701" t="s">
        <v>1357</v>
      </c>
      <c r="J701" t="s">
        <v>1357</v>
      </c>
      <c r="K701" t="s">
        <v>1357</v>
      </c>
      <c r="L701" t="s">
        <v>1357</v>
      </c>
    </row>
    <row r="702" spans="6:12">
      <c r="F702" t="s">
        <v>369</v>
      </c>
      <c r="G702" t="s">
        <v>505</v>
      </c>
      <c r="H702" t="s">
        <v>1129</v>
      </c>
      <c r="I702" t="s">
        <v>1357</v>
      </c>
      <c r="J702" t="s">
        <v>1357</v>
      </c>
      <c r="K702" t="s">
        <v>1357</v>
      </c>
      <c r="L702" t="s">
        <v>1357</v>
      </c>
    </row>
    <row r="703" spans="6:12">
      <c r="H703" t="s">
        <v>1130</v>
      </c>
      <c r="I703" t="s">
        <v>1357</v>
      </c>
      <c r="J703" t="s">
        <v>1357</v>
      </c>
      <c r="K703" t="s">
        <v>1357</v>
      </c>
      <c r="L703" t="s">
        <v>1357</v>
      </c>
    </row>
    <row r="704" spans="6:12">
      <c r="H704" t="s">
        <v>1131</v>
      </c>
      <c r="I704" t="s">
        <v>1357</v>
      </c>
      <c r="J704" t="s">
        <v>1357</v>
      </c>
      <c r="K704" t="s">
        <v>1357</v>
      </c>
      <c r="L704" t="s">
        <v>1357</v>
      </c>
    </row>
    <row r="705" spans="1:12">
      <c r="H705" t="s">
        <v>1132</v>
      </c>
      <c r="I705" t="s">
        <v>1357</v>
      </c>
      <c r="J705" t="s">
        <v>1357</v>
      </c>
      <c r="K705" t="s">
        <v>1357</v>
      </c>
      <c r="L705" t="s">
        <v>1357</v>
      </c>
    </row>
    <row r="706" spans="1:12">
      <c r="H706" t="s">
        <v>1133</v>
      </c>
      <c r="I706" t="s">
        <v>1357</v>
      </c>
      <c r="J706" t="s">
        <v>1357</v>
      </c>
      <c r="K706" t="s">
        <v>1357</v>
      </c>
      <c r="L706" t="s">
        <v>1357</v>
      </c>
    </row>
    <row r="707" spans="1:12">
      <c r="H707" t="s">
        <v>1136</v>
      </c>
      <c r="I707" t="s">
        <v>1357</v>
      </c>
      <c r="J707" t="s">
        <v>1357</v>
      </c>
      <c r="K707" t="s">
        <v>1357</v>
      </c>
      <c r="L707" t="s">
        <v>1357</v>
      </c>
    </row>
    <row r="708" spans="1:12">
      <c r="H708" t="s">
        <v>1135</v>
      </c>
      <c r="I708" t="s">
        <v>1357</v>
      </c>
      <c r="J708" t="s">
        <v>1357</v>
      </c>
      <c r="K708" t="s">
        <v>1357</v>
      </c>
      <c r="L708" t="s">
        <v>1357</v>
      </c>
    </row>
    <row r="709" spans="1:12">
      <c r="F709" t="s">
        <v>370</v>
      </c>
      <c r="G709" t="s">
        <v>484</v>
      </c>
      <c r="H709" t="s">
        <v>1137</v>
      </c>
      <c r="I709" t="s">
        <v>1357</v>
      </c>
      <c r="J709" t="s">
        <v>1357</v>
      </c>
      <c r="K709" t="s">
        <v>1357</v>
      </c>
      <c r="L709" t="s">
        <v>1357</v>
      </c>
    </row>
    <row r="710" spans="1:12">
      <c r="H710" t="s">
        <v>1138</v>
      </c>
      <c r="I710" t="s">
        <v>1357</v>
      </c>
      <c r="J710" t="s">
        <v>1357</v>
      </c>
      <c r="K710" t="s">
        <v>1357</v>
      </c>
      <c r="L710" t="s">
        <v>1357</v>
      </c>
    </row>
    <row r="711" spans="1:12">
      <c r="H711" t="s">
        <v>1139</v>
      </c>
      <c r="I711" t="s">
        <v>1357</v>
      </c>
      <c r="J711" t="s">
        <v>1357</v>
      </c>
      <c r="K711" t="s">
        <v>1357</v>
      </c>
      <c r="L711" t="s">
        <v>1357</v>
      </c>
    </row>
    <row r="712" spans="1:12">
      <c r="H712" t="s">
        <v>1140</v>
      </c>
      <c r="I712" t="s">
        <v>1357</v>
      </c>
      <c r="J712" t="s">
        <v>1357</v>
      </c>
      <c r="K712" t="s">
        <v>1357</v>
      </c>
      <c r="L712" t="s">
        <v>1357</v>
      </c>
    </row>
    <row r="713" spans="1:12">
      <c r="H713" t="s">
        <v>1136</v>
      </c>
      <c r="I713" t="s">
        <v>1357</v>
      </c>
      <c r="J713" t="s">
        <v>1357</v>
      </c>
      <c r="K713" t="s">
        <v>1357</v>
      </c>
      <c r="L713" t="s">
        <v>1357</v>
      </c>
    </row>
    <row r="714" spans="1:12">
      <c r="H714" t="s">
        <v>1133</v>
      </c>
      <c r="I714" t="s">
        <v>1357</v>
      </c>
      <c r="J714" t="s">
        <v>1357</v>
      </c>
      <c r="K714" t="s">
        <v>1357</v>
      </c>
      <c r="L714" t="s">
        <v>1357</v>
      </c>
    </row>
    <row r="715" spans="1:12">
      <c r="F715" t="s">
        <v>371</v>
      </c>
      <c r="G715" t="s">
        <v>506</v>
      </c>
      <c r="H715" t="s">
        <v>1141</v>
      </c>
      <c r="I715" t="s">
        <v>1357</v>
      </c>
      <c r="J715" t="s">
        <v>1357</v>
      </c>
      <c r="K715" t="s">
        <v>1357</v>
      </c>
      <c r="L715" t="s">
        <v>1357</v>
      </c>
    </row>
    <row r="716" spans="1:12">
      <c r="H716" t="s">
        <v>900</v>
      </c>
      <c r="I716" t="s">
        <v>1357</v>
      </c>
      <c r="J716" t="s">
        <v>1357</v>
      </c>
      <c r="K716" t="s">
        <v>1357</v>
      </c>
      <c r="L716" t="s">
        <v>1357</v>
      </c>
    </row>
    <row r="717" spans="1:12">
      <c r="H717" t="s">
        <v>901</v>
      </c>
      <c r="I717" t="s">
        <v>1357</v>
      </c>
      <c r="J717" t="s">
        <v>1357</v>
      </c>
      <c r="K717" t="s">
        <v>1357</v>
      </c>
      <c r="L717" t="s">
        <v>1357</v>
      </c>
    </row>
    <row r="718" spans="1:12">
      <c r="A718" t="s">
        <v>83</v>
      </c>
      <c r="B718">
        <f>HYPERLINK("https://github.com/apache/commons-lang/commit/9adbbb0bbfe1d76549dd8b6704f183dacb1de29f", "9adbbb0bbfe1d76549dd8b6704f183dacb1de29f")</f>
        <v>0</v>
      </c>
      <c r="C718">
        <f>HYPERLINK("https://github.com/apache/commons-lang/commit/56463552475746e982e46f54c1b18487ef434c17", "56463552475746e982e46f54c1b18487ef434c17")</f>
        <v>0</v>
      </c>
      <c r="D718" t="s">
        <v>151</v>
      </c>
      <c r="E718" t="s">
        <v>239</v>
      </c>
      <c r="F718" t="s">
        <v>372</v>
      </c>
      <c r="G718" t="s">
        <v>507</v>
      </c>
      <c r="H718" t="s">
        <v>1142</v>
      </c>
      <c r="I718" t="s">
        <v>1357</v>
      </c>
      <c r="J718" t="s">
        <v>1357</v>
      </c>
      <c r="K718" t="s">
        <v>1357</v>
      </c>
      <c r="L718" t="s">
        <v>1357</v>
      </c>
    </row>
    <row r="719" spans="1:12">
      <c r="A719" t="s">
        <v>84</v>
      </c>
      <c r="B719">
        <f>HYPERLINK("https://github.com/apache/commons-lang/commit/0714795b6fd29dd895d65a6e7397ee7f768cb1bf", "0714795b6fd29dd895d65a6e7397ee7f768cb1bf")</f>
        <v>0</v>
      </c>
      <c r="C719">
        <f>HYPERLINK("https://github.com/apache/commons-lang/commit/c090db27a496c00c1c28bf22e54cc57b7f593298", "c090db27a496c00c1c28bf22e54cc57b7f593298")</f>
        <v>0</v>
      </c>
      <c r="D719" t="s">
        <v>151</v>
      </c>
      <c r="E719" t="s">
        <v>240</v>
      </c>
      <c r="F719" t="s">
        <v>373</v>
      </c>
      <c r="G719" t="s">
        <v>508</v>
      </c>
      <c r="H719" t="s">
        <v>1143</v>
      </c>
      <c r="I719" t="s">
        <v>1357</v>
      </c>
      <c r="J719" t="s">
        <v>1357</v>
      </c>
      <c r="K719" t="s">
        <v>1357</v>
      </c>
      <c r="L719" t="s">
        <v>1357</v>
      </c>
    </row>
    <row r="720" spans="1:12">
      <c r="F720" t="s">
        <v>374</v>
      </c>
      <c r="G720" t="s">
        <v>509</v>
      </c>
      <c r="H720" t="s">
        <v>1143</v>
      </c>
      <c r="I720" t="s">
        <v>1357</v>
      </c>
      <c r="J720" t="s">
        <v>1357</v>
      </c>
      <c r="K720" t="s">
        <v>1357</v>
      </c>
      <c r="L720" t="s">
        <v>1357</v>
      </c>
    </row>
    <row r="721" spans="1:14">
      <c r="A721" t="s">
        <v>85</v>
      </c>
      <c r="B721">
        <f>HYPERLINK("https://github.com/apache/commons-lang/commit/8550f4da086fe77943124164c41c4210f348c940", "8550f4da086fe77943124164c41c4210f348c940")</f>
        <v>0</v>
      </c>
      <c r="C721">
        <f>HYPERLINK("https://github.com/apache/commons-lang/commit/87c4b35e52d7a419ca42aad26a011cb681f6bbe6", "87c4b35e52d7a419ca42aad26a011cb681f6bbe6")</f>
        <v>0</v>
      </c>
      <c r="D721" t="s">
        <v>151</v>
      </c>
      <c r="E721" t="s">
        <v>241</v>
      </c>
      <c r="F721" t="s">
        <v>324</v>
      </c>
      <c r="G721" t="s">
        <v>465</v>
      </c>
      <c r="H721" t="s">
        <v>900</v>
      </c>
      <c r="I721" t="s">
        <v>1357</v>
      </c>
      <c r="J721" t="s">
        <v>1357</v>
      </c>
      <c r="K721" t="s">
        <v>1357</v>
      </c>
      <c r="L721" t="s">
        <v>1357</v>
      </c>
    </row>
    <row r="722" spans="1:14">
      <c r="A722" t="s">
        <v>86</v>
      </c>
      <c r="B722">
        <f>HYPERLINK("https://github.com/apache/commons-lang/commit/ebfb96b0a95557559dc801fba31efc260ab24744", "ebfb96b0a95557559dc801fba31efc260ab24744")</f>
        <v>0</v>
      </c>
      <c r="C722">
        <f>HYPERLINK("https://github.com/apache/commons-lang/commit/1a433d2ec7b5b85b541e213b0d1e69b9e91a56b9", "1a433d2ec7b5b85b541e213b0d1e69b9e91a56b9")</f>
        <v>0</v>
      </c>
      <c r="D722" t="s">
        <v>151</v>
      </c>
      <c r="E722" t="s">
        <v>242</v>
      </c>
      <c r="F722" t="s">
        <v>375</v>
      </c>
      <c r="G722" t="s">
        <v>510</v>
      </c>
      <c r="H722" t="s">
        <v>1144</v>
      </c>
      <c r="I722" t="s">
        <v>1357</v>
      </c>
      <c r="J722" t="s">
        <v>1357</v>
      </c>
      <c r="K722" t="s">
        <v>1357</v>
      </c>
      <c r="L722" t="s">
        <v>1357</v>
      </c>
    </row>
    <row r="723" spans="1:14">
      <c r="H723" t="s">
        <v>1145</v>
      </c>
      <c r="I723" t="s">
        <v>1357</v>
      </c>
      <c r="J723" t="s">
        <v>1357</v>
      </c>
      <c r="K723" t="s">
        <v>1357</v>
      </c>
      <c r="L723" t="s">
        <v>1357</v>
      </c>
    </row>
    <row r="724" spans="1:14">
      <c r="A724" t="s">
        <v>87</v>
      </c>
      <c r="B724">
        <f>HYPERLINK("https://github.com/apache/commons-lang/commit/228527bd83f3f73cc2ab030bb65b370eeb418b1c", "228527bd83f3f73cc2ab030bb65b370eeb418b1c")</f>
        <v>0</v>
      </c>
      <c r="C724">
        <f>HYPERLINK("https://github.com/apache/commons-lang/commit/64f0e8ecb072bfa5b7a98c8930bbdd6a854ca87a", "64f0e8ecb072bfa5b7a98c8930bbdd6a854ca87a")</f>
        <v>0</v>
      </c>
      <c r="D724" t="s">
        <v>151</v>
      </c>
      <c r="E724" t="s">
        <v>243</v>
      </c>
      <c r="F724" t="s">
        <v>375</v>
      </c>
      <c r="G724" t="s">
        <v>510</v>
      </c>
      <c r="H724" t="s">
        <v>1146</v>
      </c>
      <c r="I724" t="s">
        <v>1357</v>
      </c>
      <c r="J724" t="s">
        <v>1357</v>
      </c>
      <c r="K724" t="s">
        <v>1357</v>
      </c>
      <c r="L724" t="s">
        <v>1357</v>
      </c>
    </row>
    <row r="725" spans="1:14">
      <c r="H725" t="s">
        <v>1147</v>
      </c>
      <c r="I725" t="s">
        <v>1357</v>
      </c>
      <c r="J725" t="s">
        <v>1357</v>
      </c>
      <c r="K725" t="s">
        <v>1357</v>
      </c>
      <c r="L725" t="s">
        <v>1357</v>
      </c>
    </row>
    <row r="726" spans="1:14">
      <c r="A726" t="s">
        <v>88</v>
      </c>
      <c r="B726">
        <f>HYPERLINK("https://github.com/apache/commons-lang/commit/e6e7f16e570f18518fad49c72547a3965e1bb8d4", "e6e7f16e570f18518fad49c72547a3965e1bb8d4")</f>
        <v>0</v>
      </c>
      <c r="C726">
        <f>HYPERLINK("https://github.com/apache/commons-lang/commit/00a4628d4e65d002fc11dee7854a020d5d8eb8f0", "00a4628d4e65d002fc11dee7854a020d5d8eb8f0")</f>
        <v>0</v>
      </c>
      <c r="D726" t="s">
        <v>151</v>
      </c>
      <c r="E726" t="s">
        <v>244</v>
      </c>
      <c r="F726" t="s">
        <v>375</v>
      </c>
      <c r="G726" t="s">
        <v>510</v>
      </c>
      <c r="H726" t="s">
        <v>1148</v>
      </c>
      <c r="I726" t="s">
        <v>1357</v>
      </c>
      <c r="J726" t="s">
        <v>1357</v>
      </c>
      <c r="K726" t="s">
        <v>1357</v>
      </c>
      <c r="L726" t="s">
        <v>1357</v>
      </c>
    </row>
    <row r="727" spans="1:14">
      <c r="H727" t="s">
        <v>1149</v>
      </c>
      <c r="I727" t="s">
        <v>1357</v>
      </c>
      <c r="J727" t="s">
        <v>1357</v>
      </c>
      <c r="K727" t="s">
        <v>1357</v>
      </c>
      <c r="L727" t="s">
        <v>1357</v>
      </c>
    </row>
    <row r="728" spans="1:14">
      <c r="A728" t="s">
        <v>89</v>
      </c>
      <c r="B728">
        <f>HYPERLINK("https://github.com/apache/commons-lang/commit/485dd97b184fe42bf9b1434633be84cb6acc75f2", "485dd97b184fe42bf9b1434633be84cb6acc75f2")</f>
        <v>0</v>
      </c>
      <c r="C728">
        <f>HYPERLINK("https://github.com/apache/commons-lang/commit/b9a702bb49cd02c1f8e33f52b33312fa0aa467e7", "b9a702bb49cd02c1f8e33f52b33312fa0aa467e7")</f>
        <v>0</v>
      </c>
      <c r="D728" t="s">
        <v>155</v>
      </c>
      <c r="E728" t="s">
        <v>245</v>
      </c>
      <c r="F728" t="s">
        <v>376</v>
      </c>
      <c r="G728" t="s">
        <v>456</v>
      </c>
      <c r="H728" t="s">
        <v>1150</v>
      </c>
      <c r="I728" t="s">
        <v>1358</v>
      </c>
      <c r="J728" t="s">
        <v>1358</v>
      </c>
      <c r="K728" t="s">
        <v>1358</v>
      </c>
      <c r="L728" t="s">
        <v>1358</v>
      </c>
    </row>
    <row r="729" spans="1:14">
      <c r="A729" t="s">
        <v>90</v>
      </c>
      <c r="B729">
        <f>HYPERLINK("https://github.com/apache/commons-lang/commit/022d08cfd31475073c664da109ad50bfe9539d82", "022d08cfd31475073c664da109ad50bfe9539d82")</f>
        <v>0</v>
      </c>
      <c r="C729">
        <f>HYPERLINK("https://github.com/apache/commons-lang/commit/4d7a616ccaf6c4a2aef171999f04c71d3749313d", "4d7a616ccaf6c4a2aef171999f04c71d3749313d")</f>
        <v>0</v>
      </c>
      <c r="D729" t="s">
        <v>156</v>
      </c>
      <c r="E729" t="s">
        <v>246</v>
      </c>
      <c r="F729" t="s">
        <v>377</v>
      </c>
      <c r="G729" t="s">
        <v>511</v>
      </c>
      <c r="H729" t="s">
        <v>1009</v>
      </c>
      <c r="I729" t="s">
        <v>1357</v>
      </c>
      <c r="J729" t="s">
        <v>1357</v>
      </c>
      <c r="K729" t="s">
        <v>1357</v>
      </c>
      <c r="L729" t="s">
        <v>1357</v>
      </c>
    </row>
    <row r="730" spans="1:14">
      <c r="F730" t="s">
        <v>378</v>
      </c>
      <c r="G730" t="s">
        <v>512</v>
      </c>
      <c r="H730" t="s">
        <v>1009</v>
      </c>
      <c r="I730" t="s">
        <v>1357</v>
      </c>
      <c r="J730" t="s">
        <v>1357</v>
      </c>
      <c r="K730" t="s">
        <v>1357</v>
      </c>
      <c r="L730" t="s">
        <v>1357</v>
      </c>
    </row>
    <row r="731" spans="1:14">
      <c r="A731" t="s">
        <v>91</v>
      </c>
      <c r="B731">
        <f>HYPERLINK("https://github.com/apache/commons-lang/commit/bc52782cd84f4356d2984e1aa01806f81754eb08", "bc52782cd84f4356d2984e1aa01806f81754eb08")</f>
        <v>0</v>
      </c>
      <c r="C731">
        <f>HYPERLINK("https://github.com/apache/commons-lang/commit/79f7a7ef529ae656a80f7e331f75e79999cef7ea", "79f7a7ef529ae656a80f7e331f75e79999cef7ea")</f>
        <v>0</v>
      </c>
      <c r="D731" t="s">
        <v>152</v>
      </c>
      <c r="E731" s="2" t="s">
        <v>247</v>
      </c>
      <c r="F731" t="s">
        <v>379</v>
      </c>
      <c r="G731" t="s">
        <v>513</v>
      </c>
      <c r="H731" t="s">
        <v>1151</v>
      </c>
      <c r="I731" t="s">
        <v>1358</v>
      </c>
      <c r="J731" t="s">
        <v>1358</v>
      </c>
      <c r="K731" t="s">
        <v>1358</v>
      </c>
      <c r="L731" t="s">
        <v>1358</v>
      </c>
      <c r="N731" t="s">
        <v>1374</v>
      </c>
    </row>
    <row r="732" spans="1:14">
      <c r="A732" t="s">
        <v>92</v>
      </c>
      <c r="B732">
        <f>HYPERLINK("https://github.com/apache/commons-lang/commit/0a7381942ca183a63750cdcdcad6a6ac5c9aa95d", "0a7381942ca183a63750cdcdcad6a6ac5c9aa95d")</f>
        <v>0</v>
      </c>
      <c r="C732">
        <f>HYPERLINK("https://github.com/apache/commons-lang/commit/434575ed0a71439b8abe8ef59948bf15847fd9c0", "434575ed0a71439b8abe8ef59948bf15847fd9c0")</f>
        <v>0</v>
      </c>
      <c r="D732" t="s">
        <v>153</v>
      </c>
      <c r="E732" t="s">
        <v>248</v>
      </c>
      <c r="F732" t="s">
        <v>380</v>
      </c>
      <c r="G732" t="s">
        <v>514</v>
      </c>
      <c r="H732" t="s">
        <v>1152</v>
      </c>
      <c r="I732" t="s">
        <v>1358</v>
      </c>
      <c r="J732" t="s">
        <v>1358</v>
      </c>
      <c r="K732" t="s">
        <v>1358</v>
      </c>
      <c r="L732" t="s">
        <v>1358</v>
      </c>
      <c r="N732" t="s">
        <v>1375</v>
      </c>
    </row>
    <row r="733" spans="1:14">
      <c r="H733" t="s">
        <v>1153</v>
      </c>
      <c r="I733" t="s">
        <v>1358</v>
      </c>
      <c r="J733" t="s">
        <v>1358</v>
      </c>
      <c r="K733" t="s">
        <v>1358</v>
      </c>
      <c r="L733" t="s">
        <v>1358</v>
      </c>
      <c r="N733" t="s">
        <v>1375</v>
      </c>
    </row>
    <row r="734" spans="1:14">
      <c r="H734" t="s">
        <v>1154</v>
      </c>
      <c r="I734" t="s">
        <v>1358</v>
      </c>
      <c r="J734" t="s">
        <v>1358</v>
      </c>
      <c r="K734" t="s">
        <v>1358</v>
      </c>
      <c r="L734" t="s">
        <v>1358</v>
      </c>
      <c r="N734" t="s">
        <v>1375</v>
      </c>
    </row>
    <row r="735" spans="1:14">
      <c r="H735" t="s">
        <v>1155</v>
      </c>
      <c r="I735" t="s">
        <v>1358</v>
      </c>
      <c r="J735" t="s">
        <v>1358</v>
      </c>
      <c r="K735" t="s">
        <v>1358</v>
      </c>
      <c r="L735" t="s">
        <v>1358</v>
      </c>
      <c r="N735" t="s">
        <v>1375</v>
      </c>
    </row>
    <row r="736" spans="1:14">
      <c r="H736" t="s">
        <v>1156</v>
      </c>
      <c r="I736" t="s">
        <v>1358</v>
      </c>
      <c r="J736" t="s">
        <v>1358</v>
      </c>
      <c r="K736" t="s">
        <v>1358</v>
      </c>
      <c r="L736" t="s">
        <v>1358</v>
      </c>
      <c r="N736" t="s">
        <v>1375</v>
      </c>
    </row>
    <row r="737" spans="1:12">
      <c r="A737" t="s">
        <v>93</v>
      </c>
      <c r="B737">
        <f>HYPERLINK("https://github.com/apache/commons-lang/commit/4f2cfd7a782f45989fcf0cbd2e49c3694d85c0af", "4f2cfd7a782f45989fcf0cbd2e49c3694d85c0af")</f>
        <v>0</v>
      </c>
      <c r="C737">
        <f>HYPERLINK("https://github.com/apache/commons-lang/commit/91a90af7673ade24edbb7c378b2a3b46fcf8e78a", "91a90af7673ade24edbb7c378b2a3b46fcf8e78a")</f>
        <v>0</v>
      </c>
      <c r="D737" t="s">
        <v>157</v>
      </c>
      <c r="E737" t="s">
        <v>249</v>
      </c>
      <c r="F737" t="s">
        <v>381</v>
      </c>
      <c r="G737" t="s">
        <v>515</v>
      </c>
      <c r="H737" t="s">
        <v>1157</v>
      </c>
      <c r="I737" t="s">
        <v>1357</v>
      </c>
      <c r="J737" t="s">
        <v>1357</v>
      </c>
      <c r="K737" t="s">
        <v>1357</v>
      </c>
      <c r="L737" t="s">
        <v>1357</v>
      </c>
    </row>
    <row r="738" spans="1:12">
      <c r="H738" t="s">
        <v>1158</v>
      </c>
      <c r="I738" t="s">
        <v>1357</v>
      </c>
      <c r="J738" t="s">
        <v>1357</v>
      </c>
      <c r="K738" t="s">
        <v>1357</v>
      </c>
      <c r="L738" t="s">
        <v>1357</v>
      </c>
    </row>
    <row r="739" spans="1:12">
      <c r="H739" t="s">
        <v>1159</v>
      </c>
      <c r="I739" t="s">
        <v>1357</v>
      </c>
      <c r="J739" t="s">
        <v>1357</v>
      </c>
      <c r="K739" t="s">
        <v>1357</v>
      </c>
      <c r="L739" t="s">
        <v>1357</v>
      </c>
    </row>
    <row r="740" spans="1:12">
      <c r="H740" t="s">
        <v>1160</v>
      </c>
      <c r="I740" t="s">
        <v>1357</v>
      </c>
      <c r="J740" t="s">
        <v>1357</v>
      </c>
      <c r="K740" t="s">
        <v>1357</v>
      </c>
      <c r="L740" t="s">
        <v>1357</v>
      </c>
    </row>
    <row r="741" spans="1:12">
      <c r="H741" t="s">
        <v>1161</v>
      </c>
      <c r="I741" t="s">
        <v>1357</v>
      </c>
      <c r="J741" t="s">
        <v>1357</v>
      </c>
      <c r="K741" t="s">
        <v>1357</v>
      </c>
      <c r="L741" t="s">
        <v>1357</v>
      </c>
    </row>
    <row r="742" spans="1:12">
      <c r="H742" t="s">
        <v>1162</v>
      </c>
      <c r="I742" t="s">
        <v>1357</v>
      </c>
      <c r="J742" t="s">
        <v>1357</v>
      </c>
      <c r="K742" t="s">
        <v>1357</v>
      </c>
      <c r="L742" t="s">
        <v>1357</v>
      </c>
    </row>
    <row r="743" spans="1:12">
      <c r="H743" t="s">
        <v>1163</v>
      </c>
      <c r="I743" t="s">
        <v>1357</v>
      </c>
      <c r="J743" t="s">
        <v>1357</v>
      </c>
      <c r="K743" t="s">
        <v>1357</v>
      </c>
      <c r="L743" t="s">
        <v>1357</v>
      </c>
    </row>
    <row r="744" spans="1:12">
      <c r="H744" t="s">
        <v>1164</v>
      </c>
      <c r="I744" t="s">
        <v>1357</v>
      </c>
      <c r="J744" t="s">
        <v>1357</v>
      </c>
      <c r="K744" t="s">
        <v>1357</v>
      </c>
      <c r="L744" t="s">
        <v>1357</v>
      </c>
    </row>
    <row r="745" spans="1:12">
      <c r="A745" t="s">
        <v>94</v>
      </c>
      <c r="B745">
        <f>HYPERLINK("https://github.com/apache/commons-lang/commit/a43c5746fc7faf57f063d0e025108998557d56b6", "a43c5746fc7faf57f063d0e025108998557d56b6")</f>
        <v>0</v>
      </c>
      <c r="C745">
        <f>HYPERLINK("https://github.com/apache/commons-lang/commit/056742acf7fa9de76993c24d0eb0fa84b99dbbdd", "056742acf7fa9de76993c24d0eb0fa84b99dbbdd")</f>
        <v>0</v>
      </c>
      <c r="D745" t="s">
        <v>157</v>
      </c>
      <c r="E745" t="s">
        <v>250</v>
      </c>
      <c r="F745" t="s">
        <v>382</v>
      </c>
      <c r="G745" t="s">
        <v>516</v>
      </c>
      <c r="H745" t="s">
        <v>1165</v>
      </c>
      <c r="I745" t="s">
        <v>1357</v>
      </c>
      <c r="J745" t="s">
        <v>1357</v>
      </c>
      <c r="K745" t="s">
        <v>1357</v>
      </c>
      <c r="L745" t="s">
        <v>1357</v>
      </c>
    </row>
    <row r="746" spans="1:12">
      <c r="H746" t="s">
        <v>1166</v>
      </c>
      <c r="I746" t="s">
        <v>1357</v>
      </c>
      <c r="J746" t="s">
        <v>1357</v>
      </c>
      <c r="K746" t="s">
        <v>1357</v>
      </c>
      <c r="L746" t="s">
        <v>1357</v>
      </c>
    </row>
    <row r="747" spans="1:12">
      <c r="H747" t="s">
        <v>1167</v>
      </c>
      <c r="I747" t="s">
        <v>1357</v>
      </c>
      <c r="J747" t="s">
        <v>1357</v>
      </c>
      <c r="K747" t="s">
        <v>1357</v>
      </c>
      <c r="L747" t="s">
        <v>1357</v>
      </c>
    </row>
    <row r="748" spans="1:12">
      <c r="H748" t="s">
        <v>1168</v>
      </c>
      <c r="I748" t="s">
        <v>1357</v>
      </c>
      <c r="J748" t="s">
        <v>1357</v>
      </c>
      <c r="K748" t="s">
        <v>1357</v>
      </c>
      <c r="L748" t="s">
        <v>1357</v>
      </c>
    </row>
    <row r="749" spans="1:12">
      <c r="H749" t="s">
        <v>1164</v>
      </c>
      <c r="I749" t="s">
        <v>1357</v>
      </c>
      <c r="J749" t="s">
        <v>1357</v>
      </c>
      <c r="K749" t="s">
        <v>1357</v>
      </c>
      <c r="L749" t="s">
        <v>1357</v>
      </c>
    </row>
    <row r="750" spans="1:12">
      <c r="H750" t="s">
        <v>902</v>
      </c>
      <c r="I750" t="s">
        <v>1357</v>
      </c>
      <c r="J750" t="s">
        <v>1357</v>
      </c>
      <c r="K750" t="s">
        <v>1357</v>
      </c>
      <c r="L750" t="s">
        <v>1357</v>
      </c>
    </row>
    <row r="751" spans="1:12">
      <c r="A751" t="s">
        <v>95</v>
      </c>
      <c r="B751">
        <f>HYPERLINK("https://github.com/apache/commons-lang/commit/f76a32ff88006ecf07a523c6daa3405acfc2243f", "f76a32ff88006ecf07a523c6daa3405acfc2243f")</f>
        <v>0</v>
      </c>
      <c r="C751">
        <f>HYPERLINK("https://github.com/apache/commons-lang/commit/ee707ddb02e4eb4d03fa01b9024af8be25ff2599", "ee707ddb02e4eb4d03fa01b9024af8be25ff2599")</f>
        <v>0</v>
      </c>
      <c r="D751" t="s">
        <v>151</v>
      </c>
      <c r="E751" t="s">
        <v>251</v>
      </c>
      <c r="F751" t="s">
        <v>383</v>
      </c>
      <c r="G751" t="s">
        <v>517</v>
      </c>
      <c r="H751" t="s">
        <v>1169</v>
      </c>
      <c r="I751" t="s">
        <v>1357</v>
      </c>
      <c r="J751" t="s">
        <v>1357</v>
      </c>
      <c r="K751" t="s">
        <v>1357</v>
      </c>
      <c r="L751" t="s">
        <v>1357</v>
      </c>
    </row>
    <row r="752" spans="1:12">
      <c r="H752" t="s">
        <v>1170</v>
      </c>
      <c r="I752" t="s">
        <v>1357</v>
      </c>
      <c r="J752" t="s">
        <v>1357</v>
      </c>
      <c r="K752" t="s">
        <v>1357</v>
      </c>
      <c r="L752" t="s">
        <v>1357</v>
      </c>
    </row>
    <row r="753" spans="1:13">
      <c r="H753" t="s">
        <v>1171</v>
      </c>
      <c r="I753" t="s">
        <v>1357</v>
      </c>
      <c r="J753" t="s">
        <v>1357</v>
      </c>
      <c r="K753" t="s">
        <v>1357</v>
      </c>
      <c r="L753" t="s">
        <v>1357</v>
      </c>
      <c r="M753" t="s">
        <v>1366</v>
      </c>
    </row>
    <row r="754" spans="1:13">
      <c r="A754" t="s">
        <v>96</v>
      </c>
      <c r="B754">
        <f>HYPERLINK("https://github.com/apache/commons-lang/commit/5615bbb7ad2f739423e0eef92062988c01bd59f2", "5615bbb7ad2f739423e0eef92062988c01bd59f2")</f>
        <v>0</v>
      </c>
      <c r="C754">
        <f>HYPERLINK("https://github.com/apache/commons-lang/commit/da9ebdf72af4a2527255a7f06a65d4ce672af6de", "da9ebdf72af4a2527255a7f06a65d4ce672af6de")</f>
        <v>0</v>
      </c>
      <c r="D754" t="s">
        <v>153</v>
      </c>
      <c r="E754" t="s">
        <v>252</v>
      </c>
      <c r="F754" t="s">
        <v>384</v>
      </c>
      <c r="G754" t="s">
        <v>518</v>
      </c>
      <c r="H754" t="s">
        <v>1172</v>
      </c>
      <c r="I754" t="s">
        <v>1357</v>
      </c>
      <c r="J754" t="s">
        <v>1357</v>
      </c>
      <c r="K754" t="s">
        <v>1357</v>
      </c>
      <c r="L754" t="s">
        <v>1357</v>
      </c>
    </row>
    <row r="755" spans="1:13">
      <c r="A755" t="s">
        <v>97</v>
      </c>
      <c r="B755">
        <f>HYPERLINK("https://github.com/apache/commons-lang/commit/151220646a488159159c7bb4a3739aefac0d8640", "151220646a488159159c7bb4a3739aefac0d8640")</f>
        <v>0</v>
      </c>
      <c r="C755">
        <f>HYPERLINK("https://github.com/apache/commons-lang/commit/1330e9dad70336423e7f52f0a0f5f97c107d620c", "1330e9dad70336423e7f52f0a0f5f97c107d620c")</f>
        <v>0</v>
      </c>
      <c r="D755" t="s">
        <v>151</v>
      </c>
      <c r="E755" t="s">
        <v>253</v>
      </c>
      <c r="F755" t="s">
        <v>385</v>
      </c>
      <c r="G755" t="s">
        <v>519</v>
      </c>
      <c r="H755" t="s">
        <v>1173</v>
      </c>
      <c r="I755" t="s">
        <v>1357</v>
      </c>
      <c r="J755" t="s">
        <v>1357</v>
      </c>
      <c r="K755" t="s">
        <v>1357</v>
      </c>
      <c r="L755" t="s">
        <v>1357</v>
      </c>
    </row>
    <row r="756" spans="1:13">
      <c r="H756" t="s">
        <v>1174</v>
      </c>
      <c r="I756" t="s">
        <v>1357</v>
      </c>
      <c r="J756" t="s">
        <v>1357</v>
      </c>
      <c r="K756" t="s">
        <v>1357</v>
      </c>
      <c r="L756" t="s">
        <v>1357</v>
      </c>
    </row>
    <row r="757" spans="1:13">
      <c r="H757" t="s">
        <v>1175</v>
      </c>
      <c r="I757" t="s">
        <v>1357</v>
      </c>
      <c r="J757" t="s">
        <v>1357</v>
      </c>
      <c r="K757" t="s">
        <v>1357</v>
      </c>
      <c r="L757" t="s">
        <v>1357</v>
      </c>
    </row>
    <row r="758" spans="1:13">
      <c r="H758" t="s">
        <v>1176</v>
      </c>
      <c r="I758" t="s">
        <v>1357</v>
      </c>
      <c r="J758" t="s">
        <v>1357</v>
      </c>
      <c r="K758" t="s">
        <v>1357</v>
      </c>
      <c r="L758" t="s">
        <v>1357</v>
      </c>
    </row>
    <row r="759" spans="1:13">
      <c r="H759" t="s">
        <v>1177</v>
      </c>
      <c r="I759" t="s">
        <v>1357</v>
      </c>
      <c r="J759" t="s">
        <v>1357</v>
      </c>
      <c r="K759" t="s">
        <v>1357</v>
      </c>
      <c r="L759" t="s">
        <v>1357</v>
      </c>
    </row>
    <row r="760" spans="1:13">
      <c r="F760" t="s">
        <v>386</v>
      </c>
      <c r="G760" t="s">
        <v>520</v>
      </c>
      <c r="H760" t="s">
        <v>784</v>
      </c>
      <c r="I760" t="s">
        <v>1357</v>
      </c>
      <c r="J760" t="s">
        <v>1357</v>
      </c>
      <c r="K760" t="s">
        <v>1357</v>
      </c>
      <c r="L760" t="s">
        <v>1357</v>
      </c>
    </row>
    <row r="761" spans="1:13">
      <c r="A761" t="s">
        <v>98</v>
      </c>
      <c r="B761">
        <f>HYPERLINK("https://github.com/apache/commons-lang/commit/ead7d965e709182157694490c8bc8d744ec64161", "ead7d965e709182157694490c8bc8d744ec64161")</f>
        <v>0</v>
      </c>
      <c r="C761">
        <f>HYPERLINK("https://github.com/apache/commons-lang/commit/9c6d3ea78fa936c8eedbd72236fe3f6e217c2b96", "9c6d3ea78fa936c8eedbd72236fe3f6e217c2b96")</f>
        <v>0</v>
      </c>
      <c r="D761" t="s">
        <v>151</v>
      </c>
      <c r="E761" t="s">
        <v>254</v>
      </c>
      <c r="F761" t="s">
        <v>387</v>
      </c>
      <c r="G761" t="s">
        <v>521</v>
      </c>
      <c r="H761" t="s">
        <v>1178</v>
      </c>
      <c r="I761" t="s">
        <v>1357</v>
      </c>
      <c r="J761" t="s">
        <v>1357</v>
      </c>
      <c r="K761" t="s">
        <v>1357</v>
      </c>
      <c r="L761" t="s">
        <v>1357</v>
      </c>
    </row>
    <row r="762" spans="1:13">
      <c r="A762" t="s">
        <v>99</v>
      </c>
      <c r="B762">
        <f>HYPERLINK("https://github.com/apache/commons-lang/commit/9ae054b7c894706fcaea519a14f48cc773835069", "9ae054b7c894706fcaea519a14f48cc773835069")</f>
        <v>0</v>
      </c>
      <c r="C762">
        <f>HYPERLINK("https://github.com/apache/commons-lang/commit/2be456f665e193c6fa7eefb838da858b57935c58", "2be456f665e193c6fa7eefb838da858b57935c58")</f>
        <v>0</v>
      </c>
      <c r="D762" t="s">
        <v>151</v>
      </c>
      <c r="E762" t="s">
        <v>255</v>
      </c>
      <c r="F762" t="s">
        <v>388</v>
      </c>
      <c r="G762" t="s">
        <v>485</v>
      </c>
      <c r="H762" t="s">
        <v>1179</v>
      </c>
      <c r="I762" t="s">
        <v>1357</v>
      </c>
      <c r="J762" t="s">
        <v>1357</v>
      </c>
      <c r="K762" t="s">
        <v>1357</v>
      </c>
      <c r="L762" t="s">
        <v>1357</v>
      </c>
    </row>
    <row r="763" spans="1:13">
      <c r="H763" t="s">
        <v>1180</v>
      </c>
      <c r="I763" t="s">
        <v>1357</v>
      </c>
      <c r="J763" t="s">
        <v>1357</v>
      </c>
      <c r="K763" t="s">
        <v>1357</v>
      </c>
      <c r="L763" t="s">
        <v>1357</v>
      </c>
    </row>
    <row r="764" spans="1:13">
      <c r="H764" t="s">
        <v>1181</v>
      </c>
      <c r="I764" t="s">
        <v>1357</v>
      </c>
      <c r="J764" t="s">
        <v>1357</v>
      </c>
      <c r="K764" t="s">
        <v>1357</v>
      </c>
      <c r="L764" t="s">
        <v>1357</v>
      </c>
    </row>
    <row r="765" spans="1:13">
      <c r="H765" t="s">
        <v>1182</v>
      </c>
      <c r="I765" t="s">
        <v>1357</v>
      </c>
      <c r="J765" t="s">
        <v>1357</v>
      </c>
      <c r="K765" t="s">
        <v>1357</v>
      </c>
      <c r="L765" t="s">
        <v>1357</v>
      </c>
    </row>
    <row r="766" spans="1:13">
      <c r="A766" t="s">
        <v>100</v>
      </c>
      <c r="B766">
        <f>HYPERLINK("https://github.com/apache/commons-lang/commit/8542ccb689031ef8efb416a6c95dd8b9b2c5e5c1", "8542ccb689031ef8efb416a6c95dd8b9b2c5e5c1")</f>
        <v>0</v>
      </c>
      <c r="C766">
        <f>HYPERLINK("https://github.com/apache/commons-lang/commit/3456b2b6b1e27751bb9b4770e3bd0a6545afe1d3", "3456b2b6b1e27751bb9b4770e3bd0a6545afe1d3")</f>
        <v>0</v>
      </c>
      <c r="D766" t="s">
        <v>151</v>
      </c>
      <c r="E766" t="s">
        <v>256</v>
      </c>
      <c r="F766" t="s">
        <v>389</v>
      </c>
      <c r="G766" t="s">
        <v>446</v>
      </c>
      <c r="H766" t="s">
        <v>1183</v>
      </c>
      <c r="I766" t="s">
        <v>1357</v>
      </c>
      <c r="J766" t="s">
        <v>1357</v>
      </c>
      <c r="K766" t="s">
        <v>1357</v>
      </c>
      <c r="L766" t="s">
        <v>1357</v>
      </c>
    </row>
    <row r="767" spans="1:13">
      <c r="A767" t="s">
        <v>101</v>
      </c>
      <c r="B767">
        <f>HYPERLINK("https://github.com/apache/commons-lang/commit/196067da9716e4ae4078743c0c56540ee64892f4", "196067da9716e4ae4078743c0c56540ee64892f4")</f>
        <v>0</v>
      </c>
      <c r="C767">
        <f>HYPERLINK("https://github.com/apache/commons-lang/commit/e5b0844c4f49d5913f54bb5982284f5e7b76240a", "e5b0844c4f49d5913f54bb5982284f5e7b76240a")</f>
        <v>0</v>
      </c>
      <c r="D767" t="s">
        <v>151</v>
      </c>
      <c r="E767" t="s">
        <v>257</v>
      </c>
      <c r="F767" t="s">
        <v>383</v>
      </c>
      <c r="G767" t="s">
        <v>517</v>
      </c>
      <c r="H767" t="s">
        <v>795</v>
      </c>
      <c r="I767" t="s">
        <v>1357</v>
      </c>
      <c r="J767" t="s">
        <v>1357</v>
      </c>
      <c r="K767" t="s">
        <v>1357</v>
      </c>
      <c r="L767" t="s">
        <v>1357</v>
      </c>
      <c r="M767" t="s">
        <v>1365</v>
      </c>
    </row>
    <row r="768" spans="1:13">
      <c r="A768" t="s">
        <v>102</v>
      </c>
      <c r="B768">
        <f>HYPERLINK("https://github.com/apache/commons-lang/commit/05510d7079702905de640b0c399908eddba7752b", "05510d7079702905de640b0c399908eddba7752b")</f>
        <v>0</v>
      </c>
      <c r="C768">
        <f>HYPERLINK("https://github.com/apache/commons-lang/commit/85b9694d48340fcfaa7b4377e4e1ecd66e8c6c85", "85b9694d48340fcfaa7b4377e4e1ecd66e8c6c85")</f>
        <v>0</v>
      </c>
      <c r="D768" t="s">
        <v>153</v>
      </c>
      <c r="E768" t="s">
        <v>258</v>
      </c>
      <c r="F768" t="s">
        <v>384</v>
      </c>
      <c r="G768" t="s">
        <v>518</v>
      </c>
      <c r="H768" t="s">
        <v>1184</v>
      </c>
      <c r="I768" t="s">
        <v>1357</v>
      </c>
      <c r="J768" t="s">
        <v>1357</v>
      </c>
      <c r="K768" t="s">
        <v>1357</v>
      </c>
      <c r="L768" t="s">
        <v>1357</v>
      </c>
    </row>
    <row r="769" spans="1:14">
      <c r="A769" t="s">
        <v>103</v>
      </c>
      <c r="B769">
        <f>HYPERLINK("https://github.com/apache/commons-lang/commit/9d2f0b9a182d0f80bd5c3a925ee566b86805e6a3", "9d2f0b9a182d0f80bd5c3a925ee566b86805e6a3")</f>
        <v>0</v>
      </c>
      <c r="C769">
        <f>HYPERLINK("https://github.com/apache/commons-lang/commit/2fb208b8d8c77bd0abc425c41a7a4f9bd43495ba", "2fb208b8d8c77bd0abc425c41a7a4f9bd43495ba")</f>
        <v>0</v>
      </c>
      <c r="D769" t="s">
        <v>153</v>
      </c>
      <c r="E769" t="s">
        <v>259</v>
      </c>
      <c r="F769" t="s">
        <v>390</v>
      </c>
      <c r="G769" t="s">
        <v>522</v>
      </c>
      <c r="H769" t="s">
        <v>1185</v>
      </c>
      <c r="I769" t="s">
        <v>1357</v>
      </c>
      <c r="J769" t="s">
        <v>1357</v>
      </c>
      <c r="K769" t="s">
        <v>1357</v>
      </c>
      <c r="L769" t="s">
        <v>1357</v>
      </c>
    </row>
    <row r="770" spans="1:14">
      <c r="A770" t="s">
        <v>104</v>
      </c>
      <c r="B770">
        <f>HYPERLINK("https://github.com/apache/commons-lang/commit/7e6b6fce8d8f26c984b70465b6c94bd2d4a54582", "7e6b6fce8d8f26c984b70465b6c94bd2d4a54582")</f>
        <v>0</v>
      </c>
      <c r="C770">
        <f>HYPERLINK("https://github.com/apache/commons-lang/commit/3933e63c7c38ab549cd52815fbe0a4b49cffacdd", "3933e63c7c38ab549cd52815fbe0a4b49cffacdd")</f>
        <v>0</v>
      </c>
      <c r="D770" t="s">
        <v>150</v>
      </c>
      <c r="E770" t="s">
        <v>260</v>
      </c>
      <c r="F770" t="s">
        <v>391</v>
      </c>
      <c r="G770" t="s">
        <v>523</v>
      </c>
      <c r="H770" t="s">
        <v>1186</v>
      </c>
      <c r="I770" t="s">
        <v>1357</v>
      </c>
      <c r="J770" t="s">
        <v>1357</v>
      </c>
      <c r="K770" t="s">
        <v>1357</v>
      </c>
      <c r="L770" t="s">
        <v>1357</v>
      </c>
    </row>
    <row r="771" spans="1:14">
      <c r="A771" t="s">
        <v>105</v>
      </c>
      <c r="B771">
        <f>HYPERLINK("https://github.com/apache/commons-lang/commit/6be2343397b8192fc1328da21962dea27a8b2422", "6be2343397b8192fc1328da21962dea27a8b2422")</f>
        <v>0</v>
      </c>
      <c r="C771">
        <f>HYPERLINK("https://github.com/apache/commons-lang/commit/913ddd55dd7b58c93bf4d41110324bec7e4842f0", "913ddd55dd7b58c93bf4d41110324bec7e4842f0")</f>
        <v>0</v>
      </c>
      <c r="D771" t="s">
        <v>156</v>
      </c>
      <c r="E771" t="s">
        <v>261</v>
      </c>
      <c r="F771" t="s">
        <v>392</v>
      </c>
      <c r="G771" t="s">
        <v>524</v>
      </c>
      <c r="H771" t="s">
        <v>941</v>
      </c>
      <c r="I771" t="s">
        <v>1359</v>
      </c>
      <c r="J771" t="s">
        <v>1358</v>
      </c>
      <c r="K771" t="s">
        <v>1357</v>
      </c>
      <c r="L771" t="s">
        <v>1358</v>
      </c>
      <c r="N771" t="s">
        <v>1376</v>
      </c>
    </row>
    <row r="772" spans="1:14">
      <c r="H772" t="s">
        <v>1187</v>
      </c>
      <c r="I772" t="s">
        <v>1359</v>
      </c>
      <c r="J772" t="s">
        <v>1358</v>
      </c>
      <c r="K772" t="s">
        <v>1357</v>
      </c>
      <c r="L772" t="s">
        <v>1358</v>
      </c>
      <c r="M772" t="s">
        <v>1367</v>
      </c>
      <c r="N772" t="s">
        <v>1376</v>
      </c>
    </row>
    <row r="773" spans="1:14">
      <c r="A773" t="s">
        <v>106</v>
      </c>
      <c r="B773">
        <f>HYPERLINK("https://github.com/apache/commons-lang/commit/4335b4067d5d6e8417c606f306f67e8d53353f14", "4335b4067d5d6e8417c606f306f67e8d53353f14")</f>
        <v>0</v>
      </c>
      <c r="C773">
        <f>HYPERLINK("https://github.com/apache/commons-lang/commit/2c499868dbf7cedc9a56c3d873fe9e287d7e0f29", "2c499868dbf7cedc9a56c3d873fe9e287d7e0f29")</f>
        <v>0</v>
      </c>
      <c r="D773" t="s">
        <v>151</v>
      </c>
      <c r="E773" t="s">
        <v>262</v>
      </c>
      <c r="F773" t="s">
        <v>393</v>
      </c>
      <c r="G773" t="s">
        <v>525</v>
      </c>
      <c r="H773" t="s">
        <v>1188</v>
      </c>
      <c r="I773" t="s">
        <v>1357</v>
      </c>
      <c r="J773" t="s">
        <v>1357</v>
      </c>
      <c r="K773" t="s">
        <v>1357</v>
      </c>
      <c r="L773" t="s">
        <v>1357</v>
      </c>
    </row>
    <row r="774" spans="1:14">
      <c r="H774" t="s">
        <v>1189</v>
      </c>
      <c r="I774" t="s">
        <v>1357</v>
      </c>
      <c r="J774" t="s">
        <v>1357</v>
      </c>
      <c r="K774" t="s">
        <v>1357</v>
      </c>
      <c r="L774" t="s">
        <v>1357</v>
      </c>
    </row>
    <row r="775" spans="1:14">
      <c r="H775" t="s">
        <v>1190</v>
      </c>
      <c r="I775" t="s">
        <v>1357</v>
      </c>
      <c r="J775" t="s">
        <v>1357</v>
      </c>
      <c r="K775" t="s">
        <v>1357</v>
      </c>
      <c r="L775" t="s">
        <v>1357</v>
      </c>
    </row>
    <row r="776" spans="1:14">
      <c r="H776" t="s">
        <v>1191</v>
      </c>
      <c r="I776" t="s">
        <v>1357</v>
      </c>
      <c r="J776" t="s">
        <v>1357</v>
      </c>
      <c r="K776" t="s">
        <v>1357</v>
      </c>
      <c r="L776" t="s">
        <v>1357</v>
      </c>
    </row>
    <row r="777" spans="1:14">
      <c r="H777" t="s">
        <v>1192</v>
      </c>
      <c r="I777" t="s">
        <v>1357</v>
      </c>
      <c r="J777" t="s">
        <v>1357</v>
      </c>
      <c r="K777" t="s">
        <v>1357</v>
      </c>
      <c r="L777" t="s">
        <v>1357</v>
      </c>
    </row>
    <row r="778" spans="1:14">
      <c r="F778" t="s">
        <v>394</v>
      </c>
      <c r="G778" t="s">
        <v>526</v>
      </c>
      <c r="H778" t="s">
        <v>1193</v>
      </c>
      <c r="I778" t="s">
        <v>1357</v>
      </c>
      <c r="J778" t="s">
        <v>1357</v>
      </c>
      <c r="K778" t="s">
        <v>1357</v>
      </c>
      <c r="L778" t="s">
        <v>1357</v>
      </c>
    </row>
    <row r="779" spans="1:14">
      <c r="H779" t="s">
        <v>1194</v>
      </c>
      <c r="I779" t="s">
        <v>1357</v>
      </c>
      <c r="J779" t="s">
        <v>1357</v>
      </c>
      <c r="K779" t="s">
        <v>1357</v>
      </c>
      <c r="L779" t="s">
        <v>1357</v>
      </c>
    </row>
    <row r="780" spans="1:14">
      <c r="H780" t="s">
        <v>1195</v>
      </c>
      <c r="I780" t="s">
        <v>1357</v>
      </c>
      <c r="J780" t="s">
        <v>1357</v>
      </c>
      <c r="K780" t="s">
        <v>1357</v>
      </c>
      <c r="L780" t="s">
        <v>1357</v>
      </c>
    </row>
    <row r="781" spans="1:14">
      <c r="H781" t="s">
        <v>1196</v>
      </c>
      <c r="I781" t="s">
        <v>1357</v>
      </c>
      <c r="J781" t="s">
        <v>1357</v>
      </c>
      <c r="K781" t="s">
        <v>1357</v>
      </c>
      <c r="L781" t="s">
        <v>1357</v>
      </c>
    </row>
    <row r="782" spans="1:14">
      <c r="H782" t="s">
        <v>1197</v>
      </c>
      <c r="I782" t="s">
        <v>1357</v>
      </c>
      <c r="J782" t="s">
        <v>1357</v>
      </c>
      <c r="K782" t="s">
        <v>1357</v>
      </c>
      <c r="L782" t="s">
        <v>1357</v>
      </c>
    </row>
    <row r="783" spans="1:14">
      <c r="H783" t="s">
        <v>1198</v>
      </c>
      <c r="I783" t="s">
        <v>1357</v>
      </c>
      <c r="J783" t="s">
        <v>1357</v>
      </c>
      <c r="K783" t="s">
        <v>1357</v>
      </c>
      <c r="L783" t="s">
        <v>1357</v>
      </c>
    </row>
    <row r="784" spans="1:14">
      <c r="F784" t="s">
        <v>395</v>
      </c>
      <c r="G784" t="s">
        <v>527</v>
      </c>
      <c r="H784" t="s">
        <v>1199</v>
      </c>
      <c r="I784" t="s">
        <v>1357</v>
      </c>
      <c r="J784" t="s">
        <v>1357</v>
      </c>
      <c r="K784" t="s">
        <v>1357</v>
      </c>
      <c r="L784" t="s">
        <v>1357</v>
      </c>
    </row>
    <row r="785" spans="1:12">
      <c r="A785" t="s">
        <v>107</v>
      </c>
      <c r="B785">
        <f>HYPERLINK("https://github.com/apache/commons-lang/commit/613e988c80025b6238a9c8b7b7835791cf10407f", "613e988c80025b6238a9c8b7b7835791cf10407f")</f>
        <v>0</v>
      </c>
      <c r="C785">
        <f>HYPERLINK("https://github.com/apache/commons-lang/commit/6a82ecae175651cc8cd80e2751702b8f02efd8ec", "6a82ecae175651cc8cd80e2751702b8f02efd8ec")</f>
        <v>0</v>
      </c>
      <c r="D785" t="s">
        <v>152</v>
      </c>
      <c r="E785" t="s">
        <v>263</v>
      </c>
      <c r="F785" t="s">
        <v>396</v>
      </c>
      <c r="G785" t="s">
        <v>479</v>
      </c>
      <c r="H785" t="s">
        <v>1200</v>
      </c>
      <c r="I785" t="s">
        <v>1357</v>
      </c>
      <c r="J785" t="s">
        <v>1357</v>
      </c>
      <c r="K785" t="s">
        <v>1357</v>
      </c>
      <c r="L785" t="s">
        <v>1357</v>
      </c>
    </row>
    <row r="786" spans="1:12">
      <c r="H786" t="s">
        <v>1201</v>
      </c>
      <c r="I786" t="s">
        <v>1357</v>
      </c>
      <c r="J786" t="s">
        <v>1357</v>
      </c>
      <c r="K786" t="s">
        <v>1357</v>
      </c>
      <c r="L786" t="s">
        <v>1357</v>
      </c>
    </row>
    <row r="787" spans="1:12">
      <c r="H787" t="s">
        <v>1202</v>
      </c>
      <c r="I787" t="s">
        <v>1357</v>
      </c>
      <c r="J787" t="s">
        <v>1357</v>
      </c>
      <c r="K787" t="s">
        <v>1357</v>
      </c>
      <c r="L787" t="s">
        <v>1357</v>
      </c>
    </row>
    <row r="788" spans="1:12">
      <c r="H788" t="s">
        <v>1203</v>
      </c>
      <c r="I788" t="s">
        <v>1357</v>
      </c>
      <c r="J788" t="s">
        <v>1357</v>
      </c>
      <c r="K788" t="s">
        <v>1357</v>
      </c>
      <c r="L788" t="s">
        <v>1357</v>
      </c>
    </row>
    <row r="789" spans="1:12">
      <c r="H789" t="s">
        <v>1204</v>
      </c>
      <c r="I789" t="s">
        <v>1357</v>
      </c>
      <c r="J789" t="s">
        <v>1357</v>
      </c>
      <c r="K789" t="s">
        <v>1357</v>
      </c>
      <c r="L789" t="s">
        <v>1357</v>
      </c>
    </row>
    <row r="790" spans="1:12">
      <c r="H790" t="s">
        <v>1205</v>
      </c>
      <c r="I790" t="s">
        <v>1357</v>
      </c>
      <c r="J790" t="s">
        <v>1357</v>
      </c>
      <c r="K790" t="s">
        <v>1357</v>
      </c>
      <c r="L790" t="s">
        <v>1357</v>
      </c>
    </row>
    <row r="791" spans="1:12">
      <c r="H791" t="s">
        <v>1206</v>
      </c>
      <c r="I791" t="s">
        <v>1357</v>
      </c>
      <c r="J791" t="s">
        <v>1357</v>
      </c>
      <c r="K791" t="s">
        <v>1357</v>
      </c>
      <c r="L791" t="s">
        <v>1357</v>
      </c>
    </row>
    <row r="792" spans="1:12">
      <c r="H792" t="s">
        <v>1207</v>
      </c>
      <c r="I792" t="s">
        <v>1357</v>
      </c>
      <c r="J792" t="s">
        <v>1357</v>
      </c>
      <c r="K792" t="s">
        <v>1357</v>
      </c>
      <c r="L792" t="s">
        <v>1357</v>
      </c>
    </row>
    <row r="793" spans="1:12">
      <c r="A793" t="s">
        <v>108</v>
      </c>
      <c r="B793">
        <f>HYPERLINK("https://github.com/apache/commons-lang/commit/9bb33616169fe9113284f23712f94254d18b0e23", "9bb33616169fe9113284f23712f94254d18b0e23")</f>
        <v>0</v>
      </c>
      <c r="C793">
        <f>HYPERLINK("https://github.com/apache/commons-lang/commit/22861326c26a7feaa13f08f5cb8c8f68bedb1225", "22861326c26a7feaa13f08f5cb8c8f68bedb1225")</f>
        <v>0</v>
      </c>
      <c r="D793" t="s">
        <v>151</v>
      </c>
      <c r="E793" t="s">
        <v>264</v>
      </c>
      <c r="F793" t="s">
        <v>397</v>
      </c>
      <c r="G793" t="s">
        <v>528</v>
      </c>
      <c r="H793" t="s">
        <v>1208</v>
      </c>
      <c r="I793" t="s">
        <v>1357</v>
      </c>
      <c r="J793" t="s">
        <v>1357</v>
      </c>
      <c r="K793" t="s">
        <v>1357</v>
      </c>
      <c r="L793" t="s">
        <v>1357</v>
      </c>
    </row>
    <row r="794" spans="1:12">
      <c r="H794" t="s">
        <v>899</v>
      </c>
      <c r="I794" t="s">
        <v>1357</v>
      </c>
      <c r="J794" t="s">
        <v>1357</v>
      </c>
      <c r="K794" t="s">
        <v>1357</v>
      </c>
      <c r="L794" t="s">
        <v>1357</v>
      </c>
    </row>
    <row r="795" spans="1:12">
      <c r="F795" t="s">
        <v>398</v>
      </c>
      <c r="G795" t="s">
        <v>529</v>
      </c>
      <c r="H795" t="s">
        <v>1208</v>
      </c>
      <c r="I795" t="s">
        <v>1357</v>
      </c>
      <c r="J795" t="s">
        <v>1357</v>
      </c>
      <c r="K795" t="s">
        <v>1357</v>
      </c>
      <c r="L795" t="s">
        <v>1357</v>
      </c>
    </row>
    <row r="796" spans="1:12">
      <c r="H796" t="s">
        <v>1209</v>
      </c>
      <c r="I796" t="s">
        <v>1357</v>
      </c>
      <c r="J796" t="s">
        <v>1357</v>
      </c>
      <c r="K796" t="s">
        <v>1357</v>
      </c>
      <c r="L796" t="s">
        <v>1357</v>
      </c>
    </row>
    <row r="797" spans="1:12">
      <c r="F797" t="s">
        <v>399</v>
      </c>
      <c r="G797" t="s">
        <v>530</v>
      </c>
      <c r="H797" t="s">
        <v>1210</v>
      </c>
      <c r="I797" t="s">
        <v>1357</v>
      </c>
      <c r="J797" t="s">
        <v>1357</v>
      </c>
      <c r="K797" t="s">
        <v>1357</v>
      </c>
      <c r="L797" t="s">
        <v>1357</v>
      </c>
    </row>
    <row r="798" spans="1:12">
      <c r="F798" t="s">
        <v>400</v>
      </c>
      <c r="G798" t="s">
        <v>531</v>
      </c>
      <c r="H798" t="s">
        <v>1211</v>
      </c>
      <c r="I798" t="s">
        <v>1357</v>
      </c>
      <c r="J798" t="s">
        <v>1357</v>
      </c>
      <c r="K798" t="s">
        <v>1357</v>
      </c>
      <c r="L798" t="s">
        <v>1357</v>
      </c>
    </row>
    <row r="799" spans="1:12">
      <c r="H799" t="s">
        <v>1212</v>
      </c>
      <c r="I799" t="s">
        <v>1357</v>
      </c>
      <c r="J799" t="s">
        <v>1357</v>
      </c>
      <c r="K799" t="s">
        <v>1357</v>
      </c>
      <c r="L799" t="s">
        <v>1357</v>
      </c>
    </row>
    <row r="800" spans="1:12">
      <c r="F800" t="s">
        <v>401</v>
      </c>
      <c r="G800" t="s">
        <v>532</v>
      </c>
      <c r="H800" t="s">
        <v>1208</v>
      </c>
      <c r="I800" t="s">
        <v>1357</v>
      </c>
      <c r="J800" t="s">
        <v>1357</v>
      </c>
      <c r="K800" t="s">
        <v>1357</v>
      </c>
      <c r="L800" t="s">
        <v>1357</v>
      </c>
    </row>
    <row r="801" spans="1:14">
      <c r="H801" t="s">
        <v>1213</v>
      </c>
      <c r="I801" t="s">
        <v>1357</v>
      </c>
      <c r="J801" t="s">
        <v>1357</v>
      </c>
      <c r="K801" t="s">
        <v>1357</v>
      </c>
      <c r="L801" t="s">
        <v>1357</v>
      </c>
    </row>
    <row r="802" spans="1:14">
      <c r="H802" t="s">
        <v>1214</v>
      </c>
      <c r="I802" t="s">
        <v>1357</v>
      </c>
      <c r="J802" t="s">
        <v>1357</v>
      </c>
      <c r="K802" t="s">
        <v>1357</v>
      </c>
      <c r="L802" t="s">
        <v>1357</v>
      </c>
    </row>
    <row r="803" spans="1:14">
      <c r="A803" t="s">
        <v>109</v>
      </c>
      <c r="B803">
        <f>HYPERLINK("https://github.com/apache/commons-lang/commit/79c627478f482a55ab9bf821b2cfbe2237ab3d53", "79c627478f482a55ab9bf821b2cfbe2237ab3d53")</f>
        <v>0</v>
      </c>
      <c r="C803">
        <f>HYPERLINK("https://github.com/apache/commons-lang/commit/ebdef1b95710b44324d40fa1e67a1bc1b370ee81", "ebdef1b95710b44324d40fa1e67a1bc1b370ee81")</f>
        <v>0</v>
      </c>
      <c r="D803" t="s">
        <v>155</v>
      </c>
      <c r="E803" t="s">
        <v>265</v>
      </c>
      <c r="F803" t="s">
        <v>376</v>
      </c>
      <c r="G803" t="s">
        <v>456</v>
      </c>
      <c r="H803" t="s">
        <v>1215</v>
      </c>
      <c r="I803" t="s">
        <v>1357</v>
      </c>
      <c r="J803" t="s">
        <v>1357</v>
      </c>
      <c r="K803" t="s">
        <v>1357</v>
      </c>
      <c r="L803" t="s">
        <v>1357</v>
      </c>
    </row>
    <row r="804" spans="1:14">
      <c r="A804" t="s">
        <v>110</v>
      </c>
      <c r="B804">
        <f>HYPERLINK("https://github.com/apache/commons-lang/commit/a81da42d9039ae2bf4d3c02b2c23969116f979d5", "a81da42d9039ae2bf4d3c02b2c23969116f979d5")</f>
        <v>0</v>
      </c>
      <c r="C804">
        <f>HYPERLINK("https://github.com/apache/commons-lang/commit/01ee7028e6940dbd074f3a76bb28f3a78b5d5b21", "01ee7028e6940dbd074f3a76bb28f3a78b5d5b21")</f>
        <v>0</v>
      </c>
      <c r="D804" t="s">
        <v>155</v>
      </c>
      <c r="E804" t="s">
        <v>266</v>
      </c>
      <c r="F804" t="s">
        <v>376</v>
      </c>
      <c r="G804" t="s">
        <v>456</v>
      </c>
      <c r="H804" t="s">
        <v>1216</v>
      </c>
      <c r="I804" t="s">
        <v>1357</v>
      </c>
      <c r="J804" t="s">
        <v>1357</v>
      </c>
      <c r="K804" t="s">
        <v>1357</v>
      </c>
      <c r="L804" t="s">
        <v>1357</v>
      </c>
    </row>
    <row r="805" spans="1:14">
      <c r="A805" t="s">
        <v>111</v>
      </c>
      <c r="B805">
        <f>HYPERLINK("https://github.com/apache/commons-lang/commit/d7af9435485453053a61f9baaca616602d8a4fd8", "d7af9435485453053a61f9baaca616602d8a4fd8")</f>
        <v>0</v>
      </c>
      <c r="C805">
        <f>HYPERLINK("https://github.com/apache/commons-lang/commit/e582456625cc8a7056cc9354d2a75913f4ceb393", "e582456625cc8a7056cc9354d2a75913f4ceb393")</f>
        <v>0</v>
      </c>
      <c r="D805" t="s">
        <v>155</v>
      </c>
      <c r="E805" t="s">
        <v>267</v>
      </c>
      <c r="F805" t="s">
        <v>402</v>
      </c>
      <c r="G805" t="s">
        <v>533</v>
      </c>
      <c r="H805" t="s">
        <v>1217</v>
      </c>
      <c r="I805" t="s">
        <v>1357</v>
      </c>
      <c r="J805" t="s">
        <v>1357</v>
      </c>
      <c r="K805" t="s">
        <v>1357</v>
      </c>
      <c r="L805" t="s">
        <v>1357</v>
      </c>
    </row>
    <row r="806" spans="1:14">
      <c r="A806" t="s">
        <v>112</v>
      </c>
      <c r="B806">
        <f>HYPERLINK("https://github.com/apache/commons-lang/commit/342a9184a9e11878e0117ffc5dc1946af3516d98", "342a9184a9e11878e0117ffc5dc1946af3516d98")</f>
        <v>0</v>
      </c>
      <c r="C806">
        <f>HYPERLINK("https://github.com/apache/commons-lang/commit/c62d888e9493520c9ea53bae4b50156824500409", "c62d888e9493520c9ea53bae4b50156824500409")</f>
        <v>0</v>
      </c>
      <c r="D806" t="s">
        <v>156</v>
      </c>
      <c r="E806" t="s">
        <v>268</v>
      </c>
      <c r="F806" t="s">
        <v>403</v>
      </c>
      <c r="G806" t="s">
        <v>534</v>
      </c>
      <c r="H806" t="s">
        <v>1218</v>
      </c>
      <c r="I806" t="s">
        <v>1358</v>
      </c>
      <c r="J806" t="s">
        <v>1358</v>
      </c>
      <c r="K806" t="s">
        <v>1358</v>
      </c>
      <c r="L806" t="s">
        <v>1358</v>
      </c>
    </row>
    <row r="807" spans="1:14">
      <c r="H807" t="s">
        <v>1219</v>
      </c>
      <c r="I807" t="s">
        <v>1357</v>
      </c>
      <c r="J807" t="s">
        <v>1357</v>
      </c>
      <c r="K807" t="s">
        <v>1357</v>
      </c>
      <c r="L807" t="s">
        <v>1357</v>
      </c>
    </row>
    <row r="808" spans="1:14">
      <c r="A808" t="s">
        <v>113</v>
      </c>
      <c r="B808">
        <f>HYPERLINK("https://github.com/apache/commons-lang/commit/ff5b829efdb1f4ba42f516a030faf40a923da779", "ff5b829efdb1f4ba42f516a030faf40a923da779")</f>
        <v>0</v>
      </c>
      <c r="C808">
        <f>HYPERLINK("https://github.com/apache/commons-lang/commit/016c0e58581e93f3e7ac8321a06e9d47c0623b0f", "016c0e58581e93f3e7ac8321a06e9d47c0623b0f")</f>
        <v>0</v>
      </c>
      <c r="D808" t="s">
        <v>156</v>
      </c>
      <c r="E808" t="s">
        <v>269</v>
      </c>
      <c r="F808" t="s">
        <v>403</v>
      </c>
      <c r="G808" t="s">
        <v>534</v>
      </c>
      <c r="H808" t="s">
        <v>1220</v>
      </c>
      <c r="I808" t="s">
        <v>1358</v>
      </c>
      <c r="J808" t="s">
        <v>1358</v>
      </c>
      <c r="K808" t="s">
        <v>1358</v>
      </c>
      <c r="L808" t="s">
        <v>1358</v>
      </c>
      <c r="N808" t="s">
        <v>1369</v>
      </c>
    </row>
    <row r="809" spans="1:14">
      <c r="H809" t="s">
        <v>1221</v>
      </c>
      <c r="I809" t="s">
        <v>1358</v>
      </c>
      <c r="J809" t="s">
        <v>1358</v>
      </c>
      <c r="K809" t="s">
        <v>1358</v>
      </c>
      <c r="L809" t="s">
        <v>1358</v>
      </c>
      <c r="N809" t="s">
        <v>1369</v>
      </c>
    </row>
    <row r="810" spans="1:14">
      <c r="H810" t="s">
        <v>1222</v>
      </c>
      <c r="I810" t="s">
        <v>1358</v>
      </c>
      <c r="J810" t="s">
        <v>1358</v>
      </c>
      <c r="K810" t="s">
        <v>1358</v>
      </c>
      <c r="L810" t="s">
        <v>1358</v>
      </c>
      <c r="N810" t="s">
        <v>1369</v>
      </c>
    </row>
    <row r="811" spans="1:14">
      <c r="H811" t="s">
        <v>1223</v>
      </c>
      <c r="I811" t="s">
        <v>1358</v>
      </c>
      <c r="J811" t="s">
        <v>1358</v>
      </c>
      <c r="K811" t="s">
        <v>1358</v>
      </c>
      <c r="L811" t="s">
        <v>1358</v>
      </c>
      <c r="N811" t="s">
        <v>1369</v>
      </c>
    </row>
    <row r="812" spans="1:14">
      <c r="A812" t="s">
        <v>114</v>
      </c>
      <c r="B812">
        <f>HYPERLINK("https://github.com/apache/commons-lang/commit/01d67b1bda06b33752fe3232594988561ff0c324", "01d67b1bda06b33752fe3232594988561ff0c324")</f>
        <v>0</v>
      </c>
      <c r="C812">
        <f>HYPERLINK("https://github.com/apache/commons-lang/commit/dac619c84d257aac5908752777f3f1265bd5c42f", "dac619c84d257aac5908752777f3f1265bd5c42f")</f>
        <v>0</v>
      </c>
      <c r="D812" t="s">
        <v>158</v>
      </c>
      <c r="E812" t="s">
        <v>270</v>
      </c>
      <c r="F812" t="s">
        <v>404</v>
      </c>
      <c r="G812" t="s">
        <v>490</v>
      </c>
      <c r="H812" t="s">
        <v>1224</v>
      </c>
      <c r="I812" t="s">
        <v>1357</v>
      </c>
      <c r="J812" t="s">
        <v>1357</v>
      </c>
      <c r="K812" t="s">
        <v>1357</v>
      </c>
      <c r="L812" t="s">
        <v>1357</v>
      </c>
    </row>
    <row r="813" spans="1:14">
      <c r="H813" t="s">
        <v>1225</v>
      </c>
      <c r="I813" t="s">
        <v>1357</v>
      </c>
      <c r="J813" t="s">
        <v>1357</v>
      </c>
      <c r="K813" t="s">
        <v>1357</v>
      </c>
      <c r="L813" t="s">
        <v>1357</v>
      </c>
    </row>
    <row r="814" spans="1:14">
      <c r="H814" t="s">
        <v>1226</v>
      </c>
      <c r="I814" t="s">
        <v>1357</v>
      </c>
      <c r="J814" t="s">
        <v>1357</v>
      </c>
      <c r="K814" t="s">
        <v>1357</v>
      </c>
      <c r="L814" t="s">
        <v>1357</v>
      </c>
    </row>
    <row r="815" spans="1:14">
      <c r="H815" t="s">
        <v>1227</v>
      </c>
      <c r="I815" t="s">
        <v>1357</v>
      </c>
      <c r="J815" t="s">
        <v>1357</v>
      </c>
      <c r="K815" t="s">
        <v>1357</v>
      </c>
      <c r="L815" t="s">
        <v>1357</v>
      </c>
    </row>
    <row r="816" spans="1:14">
      <c r="H816" t="s">
        <v>1228</v>
      </c>
      <c r="I816" t="s">
        <v>1357</v>
      </c>
      <c r="J816" t="s">
        <v>1357</v>
      </c>
      <c r="K816" t="s">
        <v>1357</v>
      </c>
      <c r="L816" t="s">
        <v>1357</v>
      </c>
    </row>
    <row r="817" spans="1:14">
      <c r="H817" t="s">
        <v>1229</v>
      </c>
      <c r="I817" t="s">
        <v>1357</v>
      </c>
      <c r="J817" t="s">
        <v>1357</v>
      </c>
      <c r="K817" t="s">
        <v>1357</v>
      </c>
      <c r="L817" t="s">
        <v>1357</v>
      </c>
    </row>
    <row r="818" spans="1:14">
      <c r="H818" t="s">
        <v>1230</v>
      </c>
      <c r="I818" t="s">
        <v>1357</v>
      </c>
      <c r="J818" t="s">
        <v>1357</v>
      </c>
      <c r="K818" t="s">
        <v>1357</v>
      </c>
      <c r="L818" t="s">
        <v>1357</v>
      </c>
    </row>
    <row r="819" spans="1:14">
      <c r="H819" t="s">
        <v>1231</v>
      </c>
      <c r="I819" t="s">
        <v>1357</v>
      </c>
      <c r="J819" t="s">
        <v>1357</v>
      </c>
      <c r="K819" t="s">
        <v>1357</v>
      </c>
      <c r="L819" t="s">
        <v>1357</v>
      </c>
    </row>
    <row r="820" spans="1:14">
      <c r="H820" t="s">
        <v>1232</v>
      </c>
      <c r="I820" t="s">
        <v>1357</v>
      </c>
      <c r="J820" t="s">
        <v>1357</v>
      </c>
      <c r="K820" t="s">
        <v>1357</v>
      </c>
      <c r="L820" t="s">
        <v>1357</v>
      </c>
    </row>
    <row r="821" spans="1:14">
      <c r="A821" t="s">
        <v>115</v>
      </c>
      <c r="B821">
        <f>HYPERLINK("https://github.com/apache/commons-lang/commit/2550d4cfa283603a23283c5495bfab75deff02dc", "2550d4cfa283603a23283c5495bfab75deff02dc")</f>
        <v>0</v>
      </c>
      <c r="C821">
        <f>HYPERLINK("https://github.com/apache/commons-lang/commit/6ea7f2f7afcd6d60d62a5cd1392feda3471fc666", "6ea7f2f7afcd6d60d62a5cd1392feda3471fc666")</f>
        <v>0</v>
      </c>
      <c r="D821" t="s">
        <v>151</v>
      </c>
      <c r="E821" t="s">
        <v>271</v>
      </c>
      <c r="F821" t="s">
        <v>405</v>
      </c>
      <c r="G821" t="s">
        <v>535</v>
      </c>
      <c r="H821" t="s">
        <v>1233</v>
      </c>
      <c r="I821" t="s">
        <v>1359</v>
      </c>
      <c r="J821" t="s">
        <v>1358</v>
      </c>
      <c r="K821" t="s">
        <v>1358</v>
      </c>
      <c r="L821" t="s">
        <v>1357</v>
      </c>
    </row>
    <row r="822" spans="1:14">
      <c r="A822" t="s">
        <v>116</v>
      </c>
      <c r="B822">
        <f>HYPERLINK("https://github.com/apache/commons-lang/commit/28daf04ae265d03b49f4ae7b05a16b075a105e4a", "28daf04ae265d03b49f4ae7b05a16b075a105e4a")</f>
        <v>0</v>
      </c>
      <c r="C822">
        <f>HYPERLINK("https://github.com/apache/commons-lang/commit/5f8d99694bd80bb299af8b5c627ce41e1cf79766", "5f8d99694bd80bb299af8b5c627ce41e1cf79766")</f>
        <v>0</v>
      </c>
      <c r="D822" t="s">
        <v>158</v>
      </c>
      <c r="E822" t="s">
        <v>272</v>
      </c>
      <c r="F822" t="s">
        <v>406</v>
      </c>
      <c r="G822" t="s">
        <v>467</v>
      </c>
      <c r="H822" t="s">
        <v>1234</v>
      </c>
      <c r="I822" t="s">
        <v>1358</v>
      </c>
      <c r="J822" t="s">
        <v>1358</v>
      </c>
      <c r="K822" t="s">
        <v>1358</v>
      </c>
      <c r="L822" t="s">
        <v>1358</v>
      </c>
      <c r="N822" t="s">
        <v>1377</v>
      </c>
    </row>
    <row r="823" spans="1:14">
      <c r="A823" t="s">
        <v>117</v>
      </c>
      <c r="B823">
        <f>HYPERLINK("https://github.com/apache/commons-lang/commit/954280893c34f560b35c3eb1c106852110d8ca27", "954280893c34f560b35c3eb1c106852110d8ca27")</f>
        <v>0</v>
      </c>
      <c r="C823">
        <f>HYPERLINK("https://github.com/apache/commons-lang/commit/a3de60835eb20ddc38f7635f1c0bd94b21801457", "a3de60835eb20ddc38f7635f1c0bd94b21801457")</f>
        <v>0</v>
      </c>
      <c r="D823" t="s">
        <v>159</v>
      </c>
      <c r="E823" t="s">
        <v>273</v>
      </c>
      <c r="F823" t="s">
        <v>407</v>
      </c>
      <c r="G823" t="s">
        <v>473</v>
      </c>
      <c r="H823" t="s">
        <v>1235</v>
      </c>
      <c r="I823" t="s">
        <v>1357</v>
      </c>
      <c r="J823" t="s">
        <v>1357</v>
      </c>
      <c r="K823" t="s">
        <v>1357</v>
      </c>
      <c r="L823" t="s">
        <v>1357</v>
      </c>
    </row>
    <row r="824" spans="1:14">
      <c r="H824" t="s">
        <v>1236</v>
      </c>
      <c r="I824" t="s">
        <v>1357</v>
      </c>
      <c r="J824" t="s">
        <v>1357</v>
      </c>
      <c r="K824" t="s">
        <v>1357</v>
      </c>
      <c r="L824" t="s">
        <v>1357</v>
      </c>
    </row>
    <row r="825" spans="1:14">
      <c r="H825" t="s">
        <v>1237</v>
      </c>
      <c r="I825" t="s">
        <v>1357</v>
      </c>
      <c r="J825" t="s">
        <v>1357</v>
      </c>
      <c r="K825" t="s">
        <v>1357</v>
      </c>
      <c r="L825" t="s">
        <v>1357</v>
      </c>
    </row>
    <row r="826" spans="1:14">
      <c r="H826" t="s">
        <v>1238</v>
      </c>
      <c r="I826" t="s">
        <v>1357</v>
      </c>
      <c r="J826" t="s">
        <v>1357</v>
      </c>
      <c r="K826" t="s">
        <v>1357</v>
      </c>
      <c r="L826" t="s">
        <v>1357</v>
      </c>
    </row>
    <row r="827" spans="1:14">
      <c r="H827" t="s">
        <v>1239</v>
      </c>
      <c r="I827" t="s">
        <v>1357</v>
      </c>
      <c r="J827" t="s">
        <v>1357</v>
      </c>
      <c r="K827" t="s">
        <v>1357</v>
      </c>
      <c r="L827" t="s">
        <v>1357</v>
      </c>
    </row>
    <row r="828" spans="1:14">
      <c r="H828" t="s">
        <v>1240</v>
      </c>
      <c r="I828" t="s">
        <v>1357</v>
      </c>
      <c r="J828" t="s">
        <v>1357</v>
      </c>
      <c r="K828" t="s">
        <v>1357</v>
      </c>
      <c r="L828" t="s">
        <v>1357</v>
      </c>
    </row>
    <row r="829" spans="1:14">
      <c r="A829" t="s">
        <v>118</v>
      </c>
      <c r="B829">
        <f>HYPERLINK("https://github.com/apache/commons-lang/commit/10641f9ae7d1d2f30aec5bc146a8d5b49c22d0a0", "10641f9ae7d1d2f30aec5bc146a8d5b49c22d0a0")</f>
        <v>0</v>
      </c>
      <c r="C829">
        <f>HYPERLINK("https://github.com/apache/commons-lang/commit/3728344459e91509c4b5b80d67a50c98063e08bd", "3728344459e91509c4b5b80d67a50c98063e08bd")</f>
        <v>0</v>
      </c>
      <c r="D829" t="s">
        <v>159</v>
      </c>
      <c r="E829" t="s">
        <v>274</v>
      </c>
      <c r="F829" t="s">
        <v>408</v>
      </c>
      <c r="G829" t="s">
        <v>448</v>
      </c>
      <c r="H829" t="s">
        <v>1241</v>
      </c>
      <c r="I829" t="s">
        <v>1358</v>
      </c>
      <c r="J829" t="s">
        <v>1358</v>
      </c>
      <c r="K829" t="s">
        <v>1358</v>
      </c>
      <c r="L829" t="s">
        <v>1358</v>
      </c>
      <c r="N829" t="s">
        <v>1374</v>
      </c>
    </row>
    <row r="830" spans="1:14">
      <c r="A830" t="s">
        <v>119</v>
      </c>
      <c r="B830">
        <f>HYPERLINK("https://github.com/apache/commons-lang/commit/61836183b1d84a18dbcc084d1f41bcecf752f9fd", "61836183b1d84a18dbcc084d1f41bcecf752f9fd")</f>
        <v>0</v>
      </c>
      <c r="C830">
        <f>HYPERLINK("https://github.com/apache/commons-lang/commit/4975b8903e359963eb48e2ad3d4095de0cfa8032", "4975b8903e359963eb48e2ad3d4095de0cfa8032")</f>
        <v>0</v>
      </c>
      <c r="D830" t="s">
        <v>158</v>
      </c>
      <c r="E830" t="s">
        <v>275</v>
      </c>
      <c r="F830" t="s">
        <v>409</v>
      </c>
      <c r="G830" t="s">
        <v>536</v>
      </c>
      <c r="H830" t="s">
        <v>1242</v>
      </c>
      <c r="I830" t="s">
        <v>1357</v>
      </c>
      <c r="J830" t="s">
        <v>1357</v>
      </c>
      <c r="K830" t="s">
        <v>1357</v>
      </c>
      <c r="L830" t="s">
        <v>1357</v>
      </c>
    </row>
    <row r="831" spans="1:14">
      <c r="F831" t="s">
        <v>410</v>
      </c>
      <c r="G831" t="s">
        <v>537</v>
      </c>
      <c r="H831" t="s">
        <v>1242</v>
      </c>
      <c r="I831" t="s">
        <v>1357</v>
      </c>
      <c r="J831" t="s">
        <v>1357</v>
      </c>
      <c r="K831" t="s">
        <v>1357</v>
      </c>
      <c r="L831" t="s">
        <v>1357</v>
      </c>
    </row>
    <row r="832" spans="1:14">
      <c r="F832" t="s">
        <v>411</v>
      </c>
      <c r="G832" t="s">
        <v>538</v>
      </c>
      <c r="H832" t="s">
        <v>1243</v>
      </c>
      <c r="I832" t="s">
        <v>1357</v>
      </c>
      <c r="J832" t="s">
        <v>1357</v>
      </c>
      <c r="K832" t="s">
        <v>1357</v>
      </c>
      <c r="L832" t="s">
        <v>1357</v>
      </c>
    </row>
    <row r="833" spans="1:14">
      <c r="H833" t="s">
        <v>1244</v>
      </c>
      <c r="I833" t="s">
        <v>1357</v>
      </c>
      <c r="J833" t="s">
        <v>1357</v>
      </c>
      <c r="K833" t="s">
        <v>1357</v>
      </c>
      <c r="L833" t="s">
        <v>1357</v>
      </c>
    </row>
    <row r="834" spans="1:14">
      <c r="H834" t="s">
        <v>1245</v>
      </c>
      <c r="I834" t="s">
        <v>1357</v>
      </c>
      <c r="J834" t="s">
        <v>1357</v>
      </c>
      <c r="K834" t="s">
        <v>1357</v>
      </c>
      <c r="L834" t="s">
        <v>1357</v>
      </c>
    </row>
    <row r="835" spans="1:14">
      <c r="F835" t="s">
        <v>412</v>
      </c>
      <c r="G835" t="s">
        <v>539</v>
      </c>
      <c r="H835" t="s">
        <v>1242</v>
      </c>
      <c r="I835" t="s">
        <v>1357</v>
      </c>
      <c r="J835" t="s">
        <v>1357</v>
      </c>
      <c r="K835" t="s">
        <v>1357</v>
      </c>
      <c r="L835" t="s">
        <v>1357</v>
      </c>
    </row>
    <row r="836" spans="1:14">
      <c r="A836" t="s">
        <v>120</v>
      </c>
      <c r="B836">
        <f>HYPERLINK("https://github.com/apache/commons-lang/commit/f29eb8e7f80502e64e612cda09d41ac8d779bc7c", "f29eb8e7f80502e64e612cda09d41ac8d779bc7c")</f>
        <v>0</v>
      </c>
      <c r="C836">
        <f>HYPERLINK("https://github.com/apache/commons-lang/commit/d38919fcbda835f0ad82d65f25349bd7105b67cc", "d38919fcbda835f0ad82d65f25349bd7105b67cc")</f>
        <v>0</v>
      </c>
      <c r="D836" t="s">
        <v>158</v>
      </c>
      <c r="E836" t="s">
        <v>276</v>
      </c>
      <c r="F836" t="s">
        <v>413</v>
      </c>
      <c r="G836" t="s">
        <v>466</v>
      </c>
      <c r="H836" t="s">
        <v>1246</v>
      </c>
      <c r="I836" t="s">
        <v>1358</v>
      </c>
      <c r="J836" t="s">
        <v>1358</v>
      </c>
      <c r="K836" t="s">
        <v>1358</v>
      </c>
      <c r="L836" t="s">
        <v>1358</v>
      </c>
      <c r="N836" t="s">
        <v>1378</v>
      </c>
    </row>
    <row r="837" spans="1:14">
      <c r="A837" t="s">
        <v>121</v>
      </c>
      <c r="B837">
        <f>HYPERLINK("https://github.com/apache/commons-lang/commit/c9d3c58e44738bf38c3974f054daeab1d7bf0f89", "c9d3c58e44738bf38c3974f054daeab1d7bf0f89")</f>
        <v>0</v>
      </c>
      <c r="C837">
        <f>HYPERLINK("https://github.com/apache/commons-lang/commit/76cc69c3f08cbf31efd56f631504496307ab7a5c", "76cc69c3f08cbf31efd56f631504496307ab7a5c")</f>
        <v>0</v>
      </c>
      <c r="D837" t="s">
        <v>160</v>
      </c>
      <c r="E837" t="s">
        <v>277</v>
      </c>
      <c r="F837" t="s">
        <v>402</v>
      </c>
      <c r="G837" t="s">
        <v>533</v>
      </c>
      <c r="H837" t="s">
        <v>1247</v>
      </c>
      <c r="I837" t="s">
        <v>1357</v>
      </c>
      <c r="J837" t="s">
        <v>1357</v>
      </c>
      <c r="K837" t="s">
        <v>1357</v>
      </c>
      <c r="L837" t="s">
        <v>1357</v>
      </c>
    </row>
    <row r="838" spans="1:14">
      <c r="A838" t="s">
        <v>122</v>
      </c>
      <c r="B838">
        <f>HYPERLINK("https://github.com/apache/commons-lang/commit/af8d0ab9bcd092b3681376b30b56f8e8faacf3c2", "af8d0ab9bcd092b3681376b30b56f8e8faacf3c2")</f>
        <v>0</v>
      </c>
      <c r="C838">
        <f>HYPERLINK("https://github.com/apache/commons-lang/commit/c1501a24cb5f4ff073d539cc1f1a76ec5a1d01ae", "c1501a24cb5f4ff073d539cc1f1a76ec5a1d01ae")</f>
        <v>0</v>
      </c>
      <c r="D838" t="s">
        <v>161</v>
      </c>
      <c r="E838" t="s">
        <v>278</v>
      </c>
      <c r="F838" t="s">
        <v>414</v>
      </c>
      <c r="G838" t="s">
        <v>465</v>
      </c>
      <c r="H838" t="s">
        <v>1248</v>
      </c>
      <c r="I838" t="s">
        <v>1357</v>
      </c>
      <c r="J838" t="s">
        <v>1357</v>
      </c>
      <c r="K838" t="s">
        <v>1357</v>
      </c>
      <c r="L838" t="s">
        <v>1357</v>
      </c>
    </row>
    <row r="839" spans="1:14">
      <c r="A839" t="s">
        <v>123</v>
      </c>
      <c r="B839">
        <f>HYPERLINK("https://github.com/apache/commons-lang/commit/5b7608d1549989d92dd159392c19d9ba8ce0e62e", "5b7608d1549989d92dd159392c19d9ba8ce0e62e")</f>
        <v>0</v>
      </c>
      <c r="C839">
        <f>HYPERLINK("https://github.com/apache/commons-lang/commit/f431270c59b6d4558da8dff625a7738591a0d541", "f431270c59b6d4558da8dff625a7738591a0d541")</f>
        <v>0</v>
      </c>
      <c r="D839" t="s">
        <v>161</v>
      </c>
      <c r="E839" t="s">
        <v>279</v>
      </c>
      <c r="F839" t="s">
        <v>414</v>
      </c>
      <c r="G839" t="s">
        <v>465</v>
      </c>
      <c r="H839" t="s">
        <v>1249</v>
      </c>
      <c r="I839" t="s">
        <v>1358</v>
      </c>
      <c r="J839" t="s">
        <v>1358</v>
      </c>
      <c r="K839" t="s">
        <v>1358</v>
      </c>
      <c r="L839" t="s">
        <v>1358</v>
      </c>
      <c r="N839" t="s">
        <v>1369</v>
      </c>
    </row>
    <row r="840" spans="1:14">
      <c r="H840" t="s">
        <v>1250</v>
      </c>
      <c r="I840" t="s">
        <v>1358</v>
      </c>
      <c r="J840" t="s">
        <v>1358</v>
      </c>
      <c r="K840" t="s">
        <v>1358</v>
      </c>
      <c r="L840" t="s">
        <v>1358</v>
      </c>
      <c r="N840" t="s">
        <v>1369</v>
      </c>
    </row>
    <row r="841" spans="1:14">
      <c r="H841" t="s">
        <v>1251</v>
      </c>
      <c r="I841" t="s">
        <v>1358</v>
      </c>
      <c r="J841" t="s">
        <v>1358</v>
      </c>
      <c r="K841" t="s">
        <v>1358</v>
      </c>
      <c r="L841" t="s">
        <v>1358</v>
      </c>
      <c r="N841" t="s">
        <v>1369</v>
      </c>
    </row>
    <row r="842" spans="1:14">
      <c r="H842" t="s">
        <v>1252</v>
      </c>
      <c r="I842" t="s">
        <v>1358</v>
      </c>
      <c r="J842" t="s">
        <v>1358</v>
      </c>
      <c r="K842" t="s">
        <v>1358</v>
      </c>
      <c r="L842" t="s">
        <v>1358</v>
      </c>
      <c r="N842" t="s">
        <v>1369</v>
      </c>
    </row>
    <row r="843" spans="1:14">
      <c r="H843" t="s">
        <v>1253</v>
      </c>
      <c r="I843" t="s">
        <v>1358</v>
      </c>
      <c r="J843" t="s">
        <v>1358</v>
      </c>
      <c r="K843" t="s">
        <v>1358</v>
      </c>
      <c r="L843" t="s">
        <v>1358</v>
      </c>
      <c r="N843" t="s">
        <v>1369</v>
      </c>
    </row>
    <row r="844" spans="1:14">
      <c r="H844" t="s">
        <v>1254</v>
      </c>
      <c r="I844" t="s">
        <v>1358</v>
      </c>
      <c r="J844" t="s">
        <v>1358</v>
      </c>
      <c r="K844" t="s">
        <v>1358</v>
      </c>
      <c r="L844" t="s">
        <v>1358</v>
      </c>
      <c r="N844" t="s">
        <v>1369</v>
      </c>
    </row>
    <row r="845" spans="1:14">
      <c r="H845" t="s">
        <v>1255</v>
      </c>
      <c r="I845" t="s">
        <v>1358</v>
      </c>
      <c r="J845" t="s">
        <v>1358</v>
      </c>
      <c r="K845" t="s">
        <v>1358</v>
      </c>
      <c r="L845" t="s">
        <v>1358</v>
      </c>
      <c r="N845" t="s">
        <v>1369</v>
      </c>
    </row>
    <row r="846" spans="1:14">
      <c r="H846" t="s">
        <v>1256</v>
      </c>
      <c r="I846" t="s">
        <v>1358</v>
      </c>
      <c r="J846" t="s">
        <v>1358</v>
      </c>
      <c r="K846" t="s">
        <v>1358</v>
      </c>
      <c r="L846" t="s">
        <v>1358</v>
      </c>
      <c r="N846" t="s">
        <v>1369</v>
      </c>
    </row>
    <row r="847" spans="1:14">
      <c r="H847" t="s">
        <v>1257</v>
      </c>
      <c r="I847" t="s">
        <v>1358</v>
      </c>
      <c r="J847" t="s">
        <v>1358</v>
      </c>
      <c r="K847" t="s">
        <v>1358</v>
      </c>
      <c r="L847" t="s">
        <v>1358</v>
      </c>
      <c r="N847" t="s">
        <v>1369</v>
      </c>
    </row>
    <row r="848" spans="1:14">
      <c r="H848" t="s">
        <v>1258</v>
      </c>
      <c r="I848" t="s">
        <v>1358</v>
      </c>
      <c r="J848" t="s">
        <v>1358</v>
      </c>
      <c r="K848" t="s">
        <v>1358</v>
      </c>
      <c r="L848" t="s">
        <v>1358</v>
      </c>
      <c r="N848" t="s">
        <v>1369</v>
      </c>
    </row>
    <row r="849" spans="1:14">
      <c r="H849" t="s">
        <v>1259</v>
      </c>
      <c r="I849" t="s">
        <v>1358</v>
      </c>
      <c r="J849" t="s">
        <v>1358</v>
      </c>
      <c r="K849" t="s">
        <v>1358</v>
      </c>
      <c r="L849" t="s">
        <v>1358</v>
      </c>
      <c r="N849" t="s">
        <v>1369</v>
      </c>
    </row>
    <row r="850" spans="1:14">
      <c r="H850" t="s">
        <v>1260</v>
      </c>
      <c r="I850" t="s">
        <v>1358</v>
      </c>
      <c r="J850" t="s">
        <v>1358</v>
      </c>
      <c r="K850" t="s">
        <v>1358</v>
      </c>
      <c r="L850" t="s">
        <v>1358</v>
      </c>
      <c r="N850" t="s">
        <v>1369</v>
      </c>
    </row>
    <row r="851" spans="1:14">
      <c r="A851" t="s">
        <v>124</v>
      </c>
      <c r="B851">
        <f>HYPERLINK("https://github.com/apache/commons-lang/commit/54e63005446a2b0a4255ba16838122c5808ef886", "54e63005446a2b0a4255ba16838122c5808ef886")</f>
        <v>0</v>
      </c>
      <c r="C851">
        <f>HYPERLINK("https://github.com/apache/commons-lang/commit/0343b4fda87161265acf30d5ee61e525e751358d", "0343b4fda87161265acf30d5ee61e525e751358d")</f>
        <v>0</v>
      </c>
      <c r="D851" t="s">
        <v>162</v>
      </c>
      <c r="E851" t="s">
        <v>280</v>
      </c>
      <c r="F851" t="s">
        <v>415</v>
      </c>
      <c r="G851" t="s">
        <v>540</v>
      </c>
      <c r="H851" t="s">
        <v>1261</v>
      </c>
      <c r="I851" t="s">
        <v>1358</v>
      </c>
      <c r="J851" t="s">
        <v>1358</v>
      </c>
      <c r="K851" t="s">
        <v>1358</v>
      </c>
      <c r="L851" t="s">
        <v>1358</v>
      </c>
    </row>
    <row r="852" spans="1:14">
      <c r="A852" t="s">
        <v>125</v>
      </c>
      <c r="B852">
        <f>HYPERLINK("https://github.com/apache/commons-lang/commit/1002c9e243883654f9c1e6beae643fb4e72fc172", "1002c9e243883654f9c1e6beae643fb4e72fc172")</f>
        <v>0</v>
      </c>
      <c r="C852">
        <f>HYPERLINK("https://github.com/apache/commons-lang/commit/2fa0b168d62a07365b2787d0ed97fa1c2cfb673b", "2fa0b168d62a07365b2787d0ed97fa1c2cfb673b")</f>
        <v>0</v>
      </c>
      <c r="D852" t="s">
        <v>160</v>
      </c>
      <c r="E852" t="s">
        <v>281</v>
      </c>
      <c r="F852" t="s">
        <v>416</v>
      </c>
      <c r="G852" t="s">
        <v>541</v>
      </c>
      <c r="H852" t="s">
        <v>1262</v>
      </c>
      <c r="I852" t="s">
        <v>1357</v>
      </c>
      <c r="J852" t="s">
        <v>1357</v>
      </c>
      <c r="K852" t="s">
        <v>1357</v>
      </c>
      <c r="L852" t="s">
        <v>1357</v>
      </c>
    </row>
    <row r="853" spans="1:14">
      <c r="H853" t="s">
        <v>1263</v>
      </c>
      <c r="I853" t="s">
        <v>1357</v>
      </c>
      <c r="J853" t="s">
        <v>1357</v>
      </c>
      <c r="K853" t="s">
        <v>1357</v>
      </c>
      <c r="L853" t="s">
        <v>1357</v>
      </c>
    </row>
    <row r="854" spans="1:14">
      <c r="A854" t="s">
        <v>126</v>
      </c>
      <c r="B854">
        <f>HYPERLINK("https://github.com/apache/commons-lang/commit/9bd439b4e0aa69050ef1baa537e552fa4620e5d4", "9bd439b4e0aa69050ef1baa537e552fa4620e5d4")</f>
        <v>0</v>
      </c>
      <c r="C854">
        <f>HYPERLINK("https://github.com/apache/commons-lang/commit/528f6e8e705097d5237f3e29d64c37ade4092e18", "528f6e8e705097d5237f3e29d64c37ade4092e18")</f>
        <v>0</v>
      </c>
      <c r="D854" t="s">
        <v>163</v>
      </c>
      <c r="E854" t="s">
        <v>282</v>
      </c>
      <c r="F854" t="s">
        <v>408</v>
      </c>
      <c r="G854" t="s">
        <v>448</v>
      </c>
      <c r="H854" t="s">
        <v>1264</v>
      </c>
      <c r="I854" t="s">
        <v>1357</v>
      </c>
      <c r="J854" t="s">
        <v>1357</v>
      </c>
      <c r="K854" t="s">
        <v>1357</v>
      </c>
      <c r="L854" t="s">
        <v>1357</v>
      </c>
    </row>
    <row r="855" spans="1:14">
      <c r="A855" t="s">
        <v>127</v>
      </c>
      <c r="B855">
        <f>HYPERLINK("https://github.com/apache/commons-lang/commit/009e33bb5d2950ad46d80f0b84ac77f075378859", "009e33bb5d2950ad46d80f0b84ac77f075378859")</f>
        <v>0</v>
      </c>
      <c r="C855">
        <f>HYPERLINK("https://github.com/apache/commons-lang/commit/1a1fc65b04bcbe2e95d0fa300fce110e1224906e", "1a1fc65b04bcbe2e95d0fa300fce110e1224906e")</f>
        <v>0</v>
      </c>
      <c r="D855" t="s">
        <v>163</v>
      </c>
      <c r="E855" t="s">
        <v>283</v>
      </c>
      <c r="F855" t="s">
        <v>389</v>
      </c>
      <c r="G855" t="s">
        <v>446</v>
      </c>
      <c r="H855" t="s">
        <v>1081</v>
      </c>
      <c r="I855" t="s">
        <v>1357</v>
      </c>
      <c r="J855" t="s">
        <v>1357</v>
      </c>
      <c r="K855" t="s">
        <v>1357</v>
      </c>
      <c r="L855" t="s">
        <v>1357</v>
      </c>
    </row>
    <row r="856" spans="1:14">
      <c r="H856" t="s">
        <v>1265</v>
      </c>
      <c r="I856" t="s">
        <v>1357</v>
      </c>
      <c r="J856" t="s">
        <v>1357</v>
      </c>
      <c r="K856" t="s">
        <v>1357</v>
      </c>
      <c r="L856" t="s">
        <v>1357</v>
      </c>
    </row>
    <row r="857" spans="1:14">
      <c r="H857" t="s">
        <v>1266</v>
      </c>
      <c r="I857" t="s">
        <v>1357</v>
      </c>
      <c r="J857" t="s">
        <v>1357</v>
      </c>
      <c r="K857" t="s">
        <v>1357</v>
      </c>
      <c r="L857" t="s">
        <v>1357</v>
      </c>
    </row>
    <row r="858" spans="1:14">
      <c r="H858" t="s">
        <v>1267</v>
      </c>
      <c r="I858" t="s">
        <v>1357</v>
      </c>
      <c r="J858" t="s">
        <v>1357</v>
      </c>
      <c r="K858" t="s">
        <v>1357</v>
      </c>
      <c r="L858" t="s">
        <v>1357</v>
      </c>
    </row>
    <row r="859" spans="1:14">
      <c r="A859" t="s">
        <v>128</v>
      </c>
      <c r="B859">
        <f>HYPERLINK("https://github.com/apache/commons-lang/commit/f83e93685baf911d8fce96485e0d5ed8d783eedb", "f83e93685baf911d8fce96485e0d5ed8d783eedb")</f>
        <v>0</v>
      </c>
      <c r="C859">
        <f>HYPERLINK("https://github.com/apache/commons-lang/commit/716f140d46c1737ca1c6b22a1db10fe041fbf810", "716f140d46c1737ca1c6b22a1db10fe041fbf810")</f>
        <v>0</v>
      </c>
      <c r="D859" t="s">
        <v>158</v>
      </c>
      <c r="E859" t="s">
        <v>284</v>
      </c>
      <c r="F859" t="s">
        <v>417</v>
      </c>
      <c r="G859" t="s">
        <v>542</v>
      </c>
      <c r="H859" t="s">
        <v>1268</v>
      </c>
      <c r="I859" t="s">
        <v>1357</v>
      </c>
      <c r="J859" t="s">
        <v>1357</v>
      </c>
      <c r="K859" t="s">
        <v>1357</v>
      </c>
      <c r="L859" t="s">
        <v>1357</v>
      </c>
    </row>
    <row r="860" spans="1:14">
      <c r="H860" t="s">
        <v>1269</v>
      </c>
      <c r="I860" t="s">
        <v>1357</v>
      </c>
      <c r="J860" t="s">
        <v>1357</v>
      </c>
      <c r="K860" t="s">
        <v>1357</v>
      </c>
      <c r="L860" t="s">
        <v>1357</v>
      </c>
    </row>
    <row r="861" spans="1:14">
      <c r="H861" t="s">
        <v>1270</v>
      </c>
      <c r="I861" t="s">
        <v>1357</v>
      </c>
      <c r="J861" t="s">
        <v>1357</v>
      </c>
      <c r="K861" t="s">
        <v>1357</v>
      </c>
      <c r="L861" t="s">
        <v>1357</v>
      </c>
    </row>
    <row r="862" spans="1:14">
      <c r="H862" t="s">
        <v>1271</v>
      </c>
      <c r="I862" t="s">
        <v>1357</v>
      </c>
      <c r="J862" t="s">
        <v>1357</v>
      </c>
      <c r="K862" t="s">
        <v>1357</v>
      </c>
      <c r="L862" t="s">
        <v>1357</v>
      </c>
    </row>
    <row r="863" spans="1:14">
      <c r="H863" t="s">
        <v>1272</v>
      </c>
      <c r="I863" t="s">
        <v>1357</v>
      </c>
      <c r="J863" t="s">
        <v>1357</v>
      </c>
      <c r="K863" t="s">
        <v>1357</v>
      </c>
      <c r="L863" t="s">
        <v>1357</v>
      </c>
    </row>
    <row r="864" spans="1:14">
      <c r="H864" t="s">
        <v>1273</v>
      </c>
      <c r="I864" t="s">
        <v>1357</v>
      </c>
      <c r="J864" t="s">
        <v>1357</v>
      </c>
      <c r="K864" t="s">
        <v>1357</v>
      </c>
      <c r="L864" t="s">
        <v>1357</v>
      </c>
    </row>
    <row r="865" spans="1:12">
      <c r="H865" t="s">
        <v>1274</v>
      </c>
      <c r="I865" t="s">
        <v>1357</v>
      </c>
      <c r="J865" t="s">
        <v>1357</v>
      </c>
      <c r="K865" t="s">
        <v>1357</v>
      </c>
      <c r="L865" t="s">
        <v>1357</v>
      </c>
    </row>
    <row r="866" spans="1:12">
      <c r="A866" t="s">
        <v>129</v>
      </c>
      <c r="B866">
        <f>HYPERLINK("https://github.com/apache/commons-lang/commit/4388ded2d1a9a4907e9f7d23a74e416b54a28c85", "4388ded2d1a9a4907e9f7d23a74e416b54a28c85")</f>
        <v>0</v>
      </c>
      <c r="C866">
        <f>HYPERLINK("https://github.com/apache/commons-lang/commit/de125de49a652391f0c38e97001c7863da878f1f", "de125de49a652391f0c38e97001c7863da878f1f")</f>
        <v>0</v>
      </c>
      <c r="D866" t="s">
        <v>158</v>
      </c>
      <c r="E866" t="s">
        <v>285</v>
      </c>
      <c r="F866" t="s">
        <v>418</v>
      </c>
      <c r="G866" t="s">
        <v>543</v>
      </c>
      <c r="H866" t="s">
        <v>1275</v>
      </c>
      <c r="I866" t="s">
        <v>1357</v>
      </c>
      <c r="J866" t="s">
        <v>1357</v>
      </c>
      <c r="K866" t="s">
        <v>1357</v>
      </c>
      <c r="L866" t="s">
        <v>1357</v>
      </c>
    </row>
    <row r="867" spans="1:12">
      <c r="H867" t="s">
        <v>1276</v>
      </c>
      <c r="I867" t="s">
        <v>1357</v>
      </c>
      <c r="J867" t="s">
        <v>1357</v>
      </c>
      <c r="K867" t="s">
        <v>1357</v>
      </c>
      <c r="L867" t="s">
        <v>1357</v>
      </c>
    </row>
    <row r="868" spans="1:12">
      <c r="H868" t="s">
        <v>1277</v>
      </c>
      <c r="I868" t="s">
        <v>1357</v>
      </c>
      <c r="J868" t="s">
        <v>1357</v>
      </c>
      <c r="K868" t="s">
        <v>1357</v>
      </c>
      <c r="L868" t="s">
        <v>1357</v>
      </c>
    </row>
    <row r="869" spans="1:12">
      <c r="H869" t="s">
        <v>1278</v>
      </c>
      <c r="I869" t="s">
        <v>1357</v>
      </c>
      <c r="J869" t="s">
        <v>1357</v>
      </c>
      <c r="K869" t="s">
        <v>1357</v>
      </c>
      <c r="L869" t="s">
        <v>1357</v>
      </c>
    </row>
    <row r="870" spans="1:12">
      <c r="H870" t="s">
        <v>1279</v>
      </c>
      <c r="I870" t="s">
        <v>1357</v>
      </c>
      <c r="J870" t="s">
        <v>1357</v>
      </c>
      <c r="K870" t="s">
        <v>1357</v>
      </c>
      <c r="L870" t="s">
        <v>1357</v>
      </c>
    </row>
    <row r="871" spans="1:12">
      <c r="H871" t="s">
        <v>1280</v>
      </c>
      <c r="I871" t="s">
        <v>1357</v>
      </c>
      <c r="J871" t="s">
        <v>1357</v>
      </c>
      <c r="K871" t="s">
        <v>1357</v>
      </c>
      <c r="L871" t="s">
        <v>1357</v>
      </c>
    </row>
    <row r="872" spans="1:12">
      <c r="F872" t="s">
        <v>419</v>
      </c>
      <c r="G872" t="s">
        <v>544</v>
      </c>
      <c r="H872" t="s">
        <v>1275</v>
      </c>
      <c r="I872" t="s">
        <v>1357</v>
      </c>
      <c r="J872" t="s">
        <v>1357</v>
      </c>
      <c r="K872" t="s">
        <v>1357</v>
      </c>
      <c r="L872" t="s">
        <v>1357</v>
      </c>
    </row>
    <row r="873" spans="1:12">
      <c r="H873" t="s">
        <v>1276</v>
      </c>
      <c r="I873" t="s">
        <v>1357</v>
      </c>
      <c r="J873" t="s">
        <v>1357</v>
      </c>
      <c r="K873" t="s">
        <v>1357</v>
      </c>
      <c r="L873" t="s">
        <v>1357</v>
      </c>
    </row>
    <row r="874" spans="1:12">
      <c r="H874" t="s">
        <v>1277</v>
      </c>
      <c r="I874" t="s">
        <v>1357</v>
      </c>
      <c r="J874" t="s">
        <v>1357</v>
      </c>
      <c r="K874" t="s">
        <v>1357</v>
      </c>
      <c r="L874" t="s">
        <v>1357</v>
      </c>
    </row>
    <row r="875" spans="1:12">
      <c r="H875" t="s">
        <v>1278</v>
      </c>
      <c r="I875" t="s">
        <v>1357</v>
      </c>
      <c r="J875" t="s">
        <v>1357</v>
      </c>
      <c r="K875" t="s">
        <v>1357</v>
      </c>
      <c r="L875" t="s">
        <v>1357</v>
      </c>
    </row>
    <row r="876" spans="1:12">
      <c r="H876" t="s">
        <v>1279</v>
      </c>
      <c r="I876" t="s">
        <v>1357</v>
      </c>
      <c r="J876" t="s">
        <v>1357</v>
      </c>
      <c r="K876" t="s">
        <v>1357</v>
      </c>
      <c r="L876" t="s">
        <v>1357</v>
      </c>
    </row>
    <row r="877" spans="1:12">
      <c r="H877" t="s">
        <v>1280</v>
      </c>
      <c r="I877" t="s">
        <v>1357</v>
      </c>
      <c r="J877" t="s">
        <v>1357</v>
      </c>
      <c r="K877" t="s">
        <v>1357</v>
      </c>
      <c r="L877" t="s">
        <v>1357</v>
      </c>
    </row>
    <row r="878" spans="1:12">
      <c r="A878" t="s">
        <v>130</v>
      </c>
      <c r="B878">
        <f>HYPERLINK("https://github.com/apache/commons-lang/commit/09686fad46d49016057bae8f02dc79f409b7bd10", "09686fad46d49016057bae8f02dc79f409b7bd10")</f>
        <v>0</v>
      </c>
      <c r="C878">
        <f>HYPERLINK("https://github.com/apache/commons-lang/commit/64d820bffae723b9c8669301b246ae199db61b5c", "64d820bffae723b9c8669301b246ae199db61b5c")</f>
        <v>0</v>
      </c>
      <c r="D878" t="s">
        <v>158</v>
      </c>
      <c r="E878" t="s">
        <v>286</v>
      </c>
      <c r="F878" t="s">
        <v>420</v>
      </c>
      <c r="G878" t="s">
        <v>500</v>
      </c>
      <c r="H878" t="s">
        <v>1281</v>
      </c>
      <c r="I878" t="s">
        <v>1357</v>
      </c>
      <c r="J878" t="s">
        <v>1357</v>
      </c>
      <c r="K878" t="s">
        <v>1357</v>
      </c>
      <c r="L878" t="s">
        <v>1357</v>
      </c>
    </row>
    <row r="879" spans="1:12">
      <c r="H879" t="s">
        <v>1282</v>
      </c>
      <c r="I879" t="s">
        <v>1357</v>
      </c>
      <c r="J879" t="s">
        <v>1357</v>
      </c>
      <c r="K879" t="s">
        <v>1357</v>
      </c>
      <c r="L879" t="s">
        <v>1357</v>
      </c>
    </row>
    <row r="880" spans="1:12">
      <c r="H880" t="s">
        <v>1283</v>
      </c>
      <c r="I880" t="s">
        <v>1357</v>
      </c>
      <c r="J880" t="s">
        <v>1357</v>
      </c>
      <c r="K880" t="s">
        <v>1357</v>
      </c>
      <c r="L880" t="s">
        <v>1357</v>
      </c>
    </row>
    <row r="881" spans="8:12">
      <c r="H881" t="s">
        <v>1284</v>
      </c>
      <c r="I881" t="s">
        <v>1357</v>
      </c>
      <c r="J881" t="s">
        <v>1357</v>
      </c>
      <c r="K881" t="s">
        <v>1357</v>
      </c>
      <c r="L881" t="s">
        <v>1357</v>
      </c>
    </row>
    <row r="882" spans="8:12">
      <c r="H882" t="s">
        <v>1285</v>
      </c>
      <c r="I882" t="s">
        <v>1357</v>
      </c>
      <c r="J882" t="s">
        <v>1357</v>
      </c>
      <c r="K882" t="s">
        <v>1357</v>
      </c>
      <c r="L882" t="s">
        <v>1357</v>
      </c>
    </row>
    <row r="883" spans="8:12">
      <c r="H883" t="s">
        <v>1286</v>
      </c>
      <c r="I883" t="s">
        <v>1357</v>
      </c>
      <c r="J883" t="s">
        <v>1357</v>
      </c>
      <c r="K883" t="s">
        <v>1357</v>
      </c>
      <c r="L883" t="s">
        <v>1357</v>
      </c>
    </row>
    <row r="884" spans="8:12">
      <c r="H884" t="s">
        <v>1287</v>
      </c>
      <c r="I884" t="s">
        <v>1357</v>
      </c>
      <c r="J884" t="s">
        <v>1357</v>
      </c>
      <c r="K884" t="s">
        <v>1357</v>
      </c>
      <c r="L884" t="s">
        <v>1357</v>
      </c>
    </row>
    <row r="885" spans="8:12">
      <c r="H885" t="s">
        <v>1288</v>
      </c>
      <c r="I885" t="s">
        <v>1357</v>
      </c>
      <c r="J885" t="s">
        <v>1357</v>
      </c>
      <c r="K885" t="s">
        <v>1357</v>
      </c>
      <c r="L885" t="s">
        <v>1357</v>
      </c>
    </row>
    <row r="886" spans="8:12">
      <c r="H886" t="s">
        <v>1289</v>
      </c>
      <c r="I886" t="s">
        <v>1357</v>
      </c>
      <c r="J886" t="s">
        <v>1357</v>
      </c>
      <c r="K886" t="s">
        <v>1357</v>
      </c>
      <c r="L886" t="s">
        <v>1357</v>
      </c>
    </row>
    <row r="887" spans="8:12">
      <c r="H887" t="s">
        <v>1290</v>
      </c>
      <c r="I887" t="s">
        <v>1357</v>
      </c>
      <c r="J887" t="s">
        <v>1357</v>
      </c>
      <c r="K887" t="s">
        <v>1357</v>
      </c>
      <c r="L887" t="s">
        <v>1357</v>
      </c>
    </row>
    <row r="888" spans="8:12">
      <c r="H888" t="s">
        <v>1291</v>
      </c>
      <c r="I888" t="s">
        <v>1357</v>
      </c>
      <c r="J888" t="s">
        <v>1357</v>
      </c>
      <c r="K888" t="s">
        <v>1357</v>
      </c>
      <c r="L888" t="s">
        <v>1357</v>
      </c>
    </row>
    <row r="889" spans="8:12">
      <c r="H889" t="s">
        <v>1292</v>
      </c>
      <c r="I889" t="s">
        <v>1357</v>
      </c>
      <c r="J889" t="s">
        <v>1357</v>
      </c>
      <c r="K889" t="s">
        <v>1357</v>
      </c>
      <c r="L889" t="s">
        <v>1357</v>
      </c>
    </row>
    <row r="890" spans="8:12">
      <c r="H890" t="s">
        <v>1293</v>
      </c>
      <c r="I890" t="s">
        <v>1357</v>
      </c>
      <c r="J890" t="s">
        <v>1357</v>
      </c>
      <c r="K890" t="s">
        <v>1357</v>
      </c>
      <c r="L890" t="s">
        <v>1357</v>
      </c>
    </row>
    <row r="891" spans="8:12">
      <c r="H891" t="s">
        <v>1294</v>
      </c>
      <c r="I891" t="s">
        <v>1357</v>
      </c>
      <c r="J891" t="s">
        <v>1357</v>
      </c>
      <c r="K891" t="s">
        <v>1357</v>
      </c>
      <c r="L891" t="s">
        <v>1357</v>
      </c>
    </row>
    <row r="892" spans="8:12">
      <c r="H892" t="s">
        <v>1295</v>
      </c>
      <c r="I892" t="s">
        <v>1357</v>
      </c>
      <c r="J892" t="s">
        <v>1357</v>
      </c>
      <c r="K892" t="s">
        <v>1357</v>
      </c>
      <c r="L892" t="s">
        <v>1357</v>
      </c>
    </row>
    <row r="893" spans="8:12">
      <c r="H893" t="s">
        <v>1296</v>
      </c>
      <c r="I893" t="s">
        <v>1357</v>
      </c>
      <c r="J893" t="s">
        <v>1357</v>
      </c>
      <c r="K893" t="s">
        <v>1357</v>
      </c>
      <c r="L893" t="s">
        <v>1357</v>
      </c>
    </row>
    <row r="894" spans="8:12">
      <c r="H894" t="s">
        <v>1297</v>
      </c>
      <c r="I894" t="s">
        <v>1357</v>
      </c>
      <c r="J894" t="s">
        <v>1357</v>
      </c>
      <c r="K894" t="s">
        <v>1357</v>
      </c>
      <c r="L894" t="s">
        <v>1357</v>
      </c>
    </row>
    <row r="895" spans="8:12">
      <c r="H895" t="s">
        <v>1298</v>
      </c>
      <c r="I895" t="s">
        <v>1357</v>
      </c>
      <c r="J895" t="s">
        <v>1357</v>
      </c>
      <c r="K895" t="s">
        <v>1357</v>
      </c>
      <c r="L895" t="s">
        <v>1357</v>
      </c>
    </row>
    <row r="896" spans="8:12">
      <c r="H896" t="s">
        <v>1299</v>
      </c>
      <c r="I896" t="s">
        <v>1357</v>
      </c>
      <c r="J896" t="s">
        <v>1357</v>
      </c>
      <c r="K896" t="s">
        <v>1357</v>
      </c>
      <c r="L896" t="s">
        <v>1357</v>
      </c>
    </row>
    <row r="897" spans="1:14">
      <c r="H897" t="s">
        <v>1300</v>
      </c>
      <c r="I897" t="s">
        <v>1357</v>
      </c>
      <c r="J897" t="s">
        <v>1357</v>
      </c>
      <c r="K897" t="s">
        <v>1357</v>
      </c>
      <c r="L897" t="s">
        <v>1357</v>
      </c>
    </row>
    <row r="898" spans="1:14">
      <c r="H898" t="s">
        <v>1301</v>
      </c>
      <c r="I898" t="s">
        <v>1357</v>
      </c>
      <c r="J898" t="s">
        <v>1357</v>
      </c>
      <c r="K898" t="s">
        <v>1357</v>
      </c>
      <c r="L898" t="s">
        <v>1357</v>
      </c>
    </row>
    <row r="899" spans="1:14">
      <c r="H899" t="s">
        <v>1302</v>
      </c>
      <c r="I899" t="s">
        <v>1357</v>
      </c>
      <c r="J899" t="s">
        <v>1357</v>
      </c>
      <c r="K899" t="s">
        <v>1357</v>
      </c>
      <c r="L899" t="s">
        <v>1357</v>
      </c>
    </row>
    <row r="900" spans="1:14">
      <c r="H900" t="s">
        <v>1303</v>
      </c>
      <c r="I900" t="s">
        <v>1357</v>
      </c>
      <c r="J900" t="s">
        <v>1357</v>
      </c>
      <c r="K900" t="s">
        <v>1357</v>
      </c>
      <c r="L900" t="s">
        <v>1357</v>
      </c>
    </row>
    <row r="901" spans="1:14">
      <c r="H901" t="s">
        <v>1304</v>
      </c>
      <c r="I901" t="s">
        <v>1357</v>
      </c>
      <c r="J901" t="s">
        <v>1357</v>
      </c>
      <c r="K901" t="s">
        <v>1357</v>
      </c>
      <c r="L901" t="s">
        <v>1357</v>
      </c>
    </row>
    <row r="902" spans="1:14">
      <c r="H902" t="s">
        <v>1305</v>
      </c>
      <c r="I902" t="s">
        <v>1357</v>
      </c>
      <c r="J902" t="s">
        <v>1357</v>
      </c>
      <c r="K902" t="s">
        <v>1357</v>
      </c>
      <c r="L902" t="s">
        <v>1357</v>
      </c>
    </row>
    <row r="903" spans="1:14">
      <c r="H903" t="s">
        <v>1306</v>
      </c>
      <c r="I903" t="s">
        <v>1357</v>
      </c>
      <c r="J903" t="s">
        <v>1357</v>
      </c>
      <c r="K903" t="s">
        <v>1357</v>
      </c>
      <c r="L903" t="s">
        <v>1357</v>
      </c>
    </row>
    <row r="904" spans="1:14">
      <c r="H904" t="s">
        <v>1307</v>
      </c>
      <c r="I904" t="s">
        <v>1357</v>
      </c>
      <c r="J904" t="s">
        <v>1357</v>
      </c>
      <c r="K904" t="s">
        <v>1357</v>
      </c>
      <c r="L904" t="s">
        <v>1357</v>
      </c>
    </row>
    <row r="905" spans="1:14">
      <c r="H905" t="s">
        <v>1308</v>
      </c>
      <c r="I905" t="s">
        <v>1357</v>
      </c>
      <c r="J905" t="s">
        <v>1357</v>
      </c>
      <c r="K905" t="s">
        <v>1357</v>
      </c>
      <c r="L905" t="s">
        <v>1357</v>
      </c>
    </row>
    <row r="906" spans="1:14">
      <c r="H906" t="s">
        <v>1309</v>
      </c>
      <c r="I906" t="s">
        <v>1357</v>
      </c>
      <c r="J906" t="s">
        <v>1357</v>
      </c>
      <c r="K906" t="s">
        <v>1357</v>
      </c>
      <c r="L906" t="s">
        <v>1357</v>
      </c>
    </row>
    <row r="907" spans="1:14">
      <c r="H907" t="s">
        <v>1310</v>
      </c>
      <c r="I907" t="s">
        <v>1357</v>
      </c>
      <c r="J907" t="s">
        <v>1357</v>
      </c>
      <c r="K907" t="s">
        <v>1357</v>
      </c>
      <c r="L907" t="s">
        <v>1357</v>
      </c>
    </row>
    <row r="908" spans="1:14">
      <c r="A908" t="s">
        <v>131</v>
      </c>
      <c r="B908">
        <f>HYPERLINK("https://github.com/apache/commons-lang/commit/8ac857c41ec8ae02e57eb0c1c1a012525e7e14b9", "8ac857c41ec8ae02e57eb0c1c1a012525e7e14b9")</f>
        <v>0</v>
      </c>
      <c r="C908">
        <f>HYPERLINK("https://github.com/apache/commons-lang/commit/d9a2c69a9d1db6072e1d7b7ea4fcbd5c15d20b5d", "d9a2c69a9d1db6072e1d7b7ea4fcbd5c15d20b5d")</f>
        <v>0</v>
      </c>
      <c r="D908" t="s">
        <v>164</v>
      </c>
      <c r="E908" t="s">
        <v>287</v>
      </c>
      <c r="F908" t="s">
        <v>376</v>
      </c>
      <c r="G908" t="s">
        <v>456</v>
      </c>
      <c r="H908" t="s">
        <v>1311</v>
      </c>
      <c r="I908" t="s">
        <v>1357</v>
      </c>
      <c r="J908" t="s">
        <v>1357</v>
      </c>
      <c r="K908" t="s">
        <v>1357</v>
      </c>
      <c r="L908" t="s">
        <v>1357</v>
      </c>
      <c r="N908" t="s">
        <v>1379</v>
      </c>
    </row>
    <row r="909" spans="1:14">
      <c r="H909" t="s">
        <v>1312</v>
      </c>
      <c r="I909" t="s">
        <v>1357</v>
      </c>
      <c r="J909" t="s">
        <v>1357</v>
      </c>
      <c r="K909" t="s">
        <v>1357</v>
      </c>
      <c r="L909" t="s">
        <v>1357</v>
      </c>
      <c r="N909" t="s">
        <v>1379</v>
      </c>
    </row>
    <row r="910" spans="1:14">
      <c r="A910" t="s">
        <v>132</v>
      </c>
      <c r="B910">
        <f>HYPERLINK("https://github.com/apache/commons-lang/commit/10d2363fcdd6e15568f765ba0dfd5f0cfa0b04eb", "10d2363fcdd6e15568f765ba0dfd5f0cfa0b04eb")</f>
        <v>0</v>
      </c>
      <c r="C910">
        <f>HYPERLINK("https://github.com/apache/commons-lang/commit/6cfce2a094f05bd64c2f3f7694b520b5f5e6e504", "6cfce2a094f05bd64c2f3f7694b520b5f5e6e504")</f>
        <v>0</v>
      </c>
      <c r="D910" t="s">
        <v>163</v>
      </c>
      <c r="E910" t="s">
        <v>288</v>
      </c>
      <c r="F910" t="s">
        <v>421</v>
      </c>
      <c r="G910" t="s">
        <v>545</v>
      </c>
      <c r="H910" t="s">
        <v>1313</v>
      </c>
      <c r="I910" t="s">
        <v>1359</v>
      </c>
      <c r="J910" t="s">
        <v>1357</v>
      </c>
      <c r="K910" t="s">
        <v>1357</v>
      </c>
      <c r="L910" t="s">
        <v>1358</v>
      </c>
      <c r="N910" t="s">
        <v>1372</v>
      </c>
    </row>
    <row r="911" spans="1:14">
      <c r="H911" t="s">
        <v>1314</v>
      </c>
      <c r="I911" t="s">
        <v>1359</v>
      </c>
      <c r="J911" t="s">
        <v>1357</v>
      </c>
      <c r="K911" t="s">
        <v>1357</v>
      </c>
      <c r="L911" t="s">
        <v>1358</v>
      </c>
    </row>
    <row r="912" spans="1:14">
      <c r="A912" t="s">
        <v>133</v>
      </c>
      <c r="B912">
        <f>HYPERLINK("https://github.com/apache/commons-lang/commit/31fcd3bd8b3f0a9cd203d1e0767985e366ccfe28", "31fcd3bd8b3f0a9cd203d1e0767985e366ccfe28")</f>
        <v>0</v>
      </c>
      <c r="C912">
        <f>HYPERLINK("https://github.com/apache/commons-lang/commit/5556118ad13fbb80a56d7b8de6f960e9ff8255b8", "5556118ad13fbb80a56d7b8de6f960e9ff8255b8")</f>
        <v>0</v>
      </c>
      <c r="D912" t="s">
        <v>165</v>
      </c>
      <c r="E912" t="s">
        <v>289</v>
      </c>
      <c r="F912" t="s">
        <v>414</v>
      </c>
      <c r="G912" t="s">
        <v>465</v>
      </c>
      <c r="H912" t="s">
        <v>1315</v>
      </c>
      <c r="I912" t="s">
        <v>1357</v>
      </c>
      <c r="J912" t="s">
        <v>1357</v>
      </c>
      <c r="K912" t="s">
        <v>1357</v>
      </c>
      <c r="L912" t="s">
        <v>1357</v>
      </c>
    </row>
    <row r="913" spans="1:12">
      <c r="A913" t="s">
        <v>134</v>
      </c>
      <c r="B913">
        <f>HYPERLINK("https://github.com/apache/commons-lang/commit/66f8569ecc8173d61b7d182f4da0223ae7dbda38", "66f8569ecc8173d61b7d182f4da0223ae7dbda38")</f>
        <v>0</v>
      </c>
      <c r="C913">
        <f>HYPERLINK("https://github.com/apache/commons-lang/commit/0181c8059c081d144cad36d003379bd50fcd9da7", "0181c8059c081d144cad36d003379bd50fcd9da7")</f>
        <v>0</v>
      </c>
      <c r="D913" t="s">
        <v>166</v>
      </c>
      <c r="E913" t="s">
        <v>290</v>
      </c>
      <c r="F913" t="s">
        <v>383</v>
      </c>
      <c r="G913" t="s">
        <v>517</v>
      </c>
      <c r="H913" t="s">
        <v>1316</v>
      </c>
      <c r="I913" t="s">
        <v>1357</v>
      </c>
      <c r="J913" t="s">
        <v>1357</v>
      </c>
      <c r="K913" t="s">
        <v>1357</v>
      </c>
      <c r="L913" t="s">
        <v>1357</v>
      </c>
    </row>
    <row r="914" spans="1:12">
      <c r="H914" t="s">
        <v>1317</v>
      </c>
      <c r="I914" t="s">
        <v>1357</v>
      </c>
      <c r="J914" t="s">
        <v>1357</v>
      </c>
      <c r="K914" t="s">
        <v>1357</v>
      </c>
      <c r="L914" t="s">
        <v>1357</v>
      </c>
    </row>
    <row r="915" spans="1:12">
      <c r="A915" t="s">
        <v>135</v>
      </c>
      <c r="B915">
        <f>HYPERLINK("https://github.com/apache/commons-lang/commit/3ce7f9eecfacbf3de716a8338ad4929371a66ca2", "3ce7f9eecfacbf3de716a8338ad4929371a66ca2")</f>
        <v>0</v>
      </c>
      <c r="C915">
        <f>HYPERLINK("https://github.com/apache/commons-lang/commit/6b9c3315885f8f9e4be19db9ef05257035b97bca", "6b9c3315885f8f9e4be19db9ef05257035b97bca")</f>
        <v>0</v>
      </c>
      <c r="D915" t="s">
        <v>163</v>
      </c>
      <c r="E915" t="s">
        <v>291</v>
      </c>
      <c r="F915" t="s">
        <v>422</v>
      </c>
      <c r="G915" t="s">
        <v>546</v>
      </c>
      <c r="H915" t="s">
        <v>1318</v>
      </c>
      <c r="I915" t="s">
        <v>1357</v>
      </c>
      <c r="J915" t="s">
        <v>1357</v>
      </c>
      <c r="K915" t="s">
        <v>1357</v>
      </c>
      <c r="L915" t="s">
        <v>1357</v>
      </c>
    </row>
    <row r="916" spans="1:12">
      <c r="H916" t="s">
        <v>1319</v>
      </c>
      <c r="I916" t="s">
        <v>1357</v>
      </c>
      <c r="J916" t="s">
        <v>1357</v>
      </c>
      <c r="K916" t="s">
        <v>1357</v>
      </c>
      <c r="L916" t="s">
        <v>1357</v>
      </c>
    </row>
    <row r="917" spans="1:12">
      <c r="A917" t="s">
        <v>136</v>
      </c>
      <c r="B917">
        <f>HYPERLINK("https://github.com/apache/commons-lang/commit/f4ee399e31eb61741f5f2167d6af8f49c0e991b6", "f4ee399e31eb61741f5f2167d6af8f49c0e991b6")</f>
        <v>0</v>
      </c>
      <c r="C917">
        <f>HYPERLINK("https://github.com/apache/commons-lang/commit/844cd4298e46027ba1201df4eceb2dcaa5c1bb26", "844cd4298e46027ba1201df4eceb2dcaa5c1bb26")</f>
        <v>0</v>
      </c>
      <c r="D917" t="s">
        <v>163</v>
      </c>
      <c r="E917" t="s">
        <v>292</v>
      </c>
      <c r="F917" t="s">
        <v>389</v>
      </c>
      <c r="G917" t="s">
        <v>446</v>
      </c>
      <c r="H917" t="s">
        <v>1320</v>
      </c>
      <c r="I917" t="s">
        <v>1357</v>
      </c>
      <c r="J917" t="s">
        <v>1357</v>
      </c>
      <c r="K917" t="s">
        <v>1357</v>
      </c>
      <c r="L917" t="s">
        <v>1357</v>
      </c>
    </row>
    <row r="918" spans="1:12">
      <c r="H918" t="s">
        <v>1321</v>
      </c>
      <c r="I918" t="s">
        <v>1357</v>
      </c>
      <c r="J918" t="s">
        <v>1357</v>
      </c>
      <c r="K918" t="s">
        <v>1357</v>
      </c>
      <c r="L918" t="s">
        <v>1357</v>
      </c>
    </row>
    <row r="919" spans="1:12">
      <c r="H919" t="s">
        <v>1322</v>
      </c>
      <c r="I919" t="s">
        <v>1357</v>
      </c>
      <c r="J919" t="s">
        <v>1357</v>
      </c>
      <c r="K919" t="s">
        <v>1357</v>
      </c>
      <c r="L919" t="s">
        <v>1357</v>
      </c>
    </row>
    <row r="920" spans="1:12">
      <c r="H920" t="s">
        <v>1323</v>
      </c>
      <c r="I920" t="s">
        <v>1357</v>
      </c>
      <c r="J920" t="s">
        <v>1357</v>
      </c>
      <c r="K920" t="s">
        <v>1357</v>
      </c>
      <c r="L920" t="s">
        <v>1357</v>
      </c>
    </row>
    <row r="921" spans="1:12">
      <c r="A921" t="s">
        <v>137</v>
      </c>
      <c r="B921">
        <f>HYPERLINK("https://github.com/apache/commons-lang/commit/e685d847b4c70e354e47ea3990cefda3265aa5c6", "e685d847b4c70e354e47ea3990cefda3265aa5c6")</f>
        <v>0</v>
      </c>
      <c r="C921">
        <f>HYPERLINK("https://github.com/apache/commons-lang/commit/111fd3f6eef8e7d1641a42ce0cc56b92f2d75f4a", "111fd3f6eef8e7d1641a42ce0cc56b92f2d75f4a")</f>
        <v>0</v>
      </c>
      <c r="D921" t="s">
        <v>163</v>
      </c>
      <c r="E921" t="s">
        <v>293</v>
      </c>
      <c r="F921" t="s">
        <v>423</v>
      </c>
      <c r="G921" t="s">
        <v>547</v>
      </c>
      <c r="H921" t="s">
        <v>1324</v>
      </c>
      <c r="I921" t="s">
        <v>1357</v>
      </c>
      <c r="J921" t="s">
        <v>1357</v>
      </c>
      <c r="K921" t="s">
        <v>1357</v>
      </c>
      <c r="L921" t="s">
        <v>1357</v>
      </c>
    </row>
    <row r="922" spans="1:12">
      <c r="H922" t="s">
        <v>1325</v>
      </c>
      <c r="I922" t="s">
        <v>1357</v>
      </c>
      <c r="J922" t="s">
        <v>1357</v>
      </c>
      <c r="K922" t="s">
        <v>1357</v>
      </c>
      <c r="L922" t="s">
        <v>1357</v>
      </c>
    </row>
    <row r="923" spans="1:12">
      <c r="A923" t="s">
        <v>138</v>
      </c>
      <c r="B923">
        <f>HYPERLINK("https://github.com/apache/commons-lang/commit/796b051f28ca96f1dbbd5dfe4b5cae5579d0d14e", "796b051f28ca96f1dbbd5dfe4b5cae5579d0d14e")</f>
        <v>0</v>
      </c>
      <c r="C923">
        <f>HYPERLINK("https://github.com/apache/commons-lang/commit/5a87fa172eb1368fe413af34511d1eb3f2674a9f", "5a87fa172eb1368fe413af34511d1eb3f2674a9f")</f>
        <v>0</v>
      </c>
      <c r="D923" t="s">
        <v>158</v>
      </c>
      <c r="E923" t="s">
        <v>294</v>
      </c>
      <c r="F923" t="s">
        <v>424</v>
      </c>
      <c r="G923" t="s">
        <v>548</v>
      </c>
      <c r="H923" t="s">
        <v>1326</v>
      </c>
      <c r="I923" t="s">
        <v>1357</v>
      </c>
      <c r="J923" t="s">
        <v>1357</v>
      </c>
      <c r="K923" t="s">
        <v>1357</v>
      </c>
      <c r="L923" t="s">
        <v>1357</v>
      </c>
    </row>
    <row r="924" spans="1:12">
      <c r="H924" t="s">
        <v>1327</v>
      </c>
      <c r="I924" t="s">
        <v>1357</v>
      </c>
      <c r="J924" t="s">
        <v>1357</v>
      </c>
      <c r="K924" t="s">
        <v>1357</v>
      </c>
      <c r="L924" t="s">
        <v>1357</v>
      </c>
    </row>
    <row r="925" spans="1:12">
      <c r="F925" t="s">
        <v>425</v>
      </c>
      <c r="G925" t="s">
        <v>549</v>
      </c>
      <c r="H925" t="s">
        <v>1328</v>
      </c>
      <c r="I925" t="s">
        <v>1357</v>
      </c>
      <c r="J925" t="s">
        <v>1357</v>
      </c>
      <c r="K925" t="s">
        <v>1357</v>
      </c>
      <c r="L925" t="s">
        <v>1357</v>
      </c>
    </row>
    <row r="926" spans="1:12">
      <c r="H926" t="s">
        <v>1327</v>
      </c>
      <c r="I926" t="s">
        <v>1357</v>
      </c>
      <c r="J926" t="s">
        <v>1357</v>
      </c>
      <c r="K926" t="s">
        <v>1357</v>
      </c>
      <c r="L926" t="s">
        <v>1357</v>
      </c>
    </row>
    <row r="927" spans="1:12">
      <c r="F927" t="s">
        <v>426</v>
      </c>
      <c r="G927" t="s">
        <v>550</v>
      </c>
      <c r="H927" t="s">
        <v>1326</v>
      </c>
      <c r="I927" t="s">
        <v>1357</v>
      </c>
      <c r="J927" t="s">
        <v>1357</v>
      </c>
      <c r="K927" t="s">
        <v>1357</v>
      </c>
      <c r="L927" t="s">
        <v>1357</v>
      </c>
    </row>
    <row r="928" spans="1:12">
      <c r="H928" t="s">
        <v>1327</v>
      </c>
      <c r="I928" t="s">
        <v>1357</v>
      </c>
      <c r="J928" t="s">
        <v>1357</v>
      </c>
      <c r="K928" t="s">
        <v>1357</v>
      </c>
      <c r="L928" t="s">
        <v>1357</v>
      </c>
    </row>
    <row r="929" spans="1:14">
      <c r="F929" t="s">
        <v>427</v>
      </c>
      <c r="G929" t="s">
        <v>551</v>
      </c>
      <c r="H929" t="s">
        <v>1326</v>
      </c>
      <c r="I929" t="s">
        <v>1357</v>
      </c>
      <c r="J929" t="s">
        <v>1357</v>
      </c>
      <c r="K929" t="s">
        <v>1357</v>
      </c>
      <c r="L929" t="s">
        <v>1357</v>
      </c>
    </row>
    <row r="930" spans="1:14">
      <c r="H930" t="s">
        <v>1327</v>
      </c>
      <c r="I930" t="s">
        <v>1357</v>
      </c>
      <c r="J930" t="s">
        <v>1357</v>
      </c>
      <c r="K930" t="s">
        <v>1357</v>
      </c>
      <c r="L930" t="s">
        <v>1357</v>
      </c>
    </row>
    <row r="931" spans="1:14">
      <c r="F931" t="s">
        <v>428</v>
      </c>
      <c r="G931" t="s">
        <v>552</v>
      </c>
      <c r="H931" t="s">
        <v>1326</v>
      </c>
      <c r="I931" t="s">
        <v>1357</v>
      </c>
      <c r="J931" t="s">
        <v>1357</v>
      </c>
      <c r="K931" t="s">
        <v>1357</v>
      </c>
      <c r="L931" t="s">
        <v>1357</v>
      </c>
    </row>
    <row r="932" spans="1:14">
      <c r="H932" t="s">
        <v>1327</v>
      </c>
      <c r="I932" t="s">
        <v>1357</v>
      </c>
      <c r="J932" t="s">
        <v>1357</v>
      </c>
      <c r="K932" t="s">
        <v>1357</v>
      </c>
      <c r="L932" t="s">
        <v>1357</v>
      </c>
    </row>
    <row r="933" spans="1:14">
      <c r="A933" t="s">
        <v>139</v>
      </c>
      <c r="B933">
        <f>HYPERLINK("https://github.com/apache/commons-lang/commit/8e8e78d849825696237b9f540f3e082a44b1e838", "8e8e78d849825696237b9f540f3e082a44b1e838")</f>
        <v>0</v>
      </c>
      <c r="C933">
        <f>HYPERLINK("https://github.com/apache/commons-lang/commit/125cfb4cab35daebe874a599877d6280b464212b", "125cfb4cab35daebe874a599877d6280b464212b")</f>
        <v>0</v>
      </c>
      <c r="D933" t="s">
        <v>152</v>
      </c>
      <c r="E933" t="s">
        <v>295</v>
      </c>
      <c r="F933" t="s">
        <v>429</v>
      </c>
      <c r="G933" t="s">
        <v>461</v>
      </c>
      <c r="H933" t="s">
        <v>1329</v>
      </c>
      <c r="I933" t="s">
        <v>1359</v>
      </c>
      <c r="J933" t="s">
        <v>1358</v>
      </c>
      <c r="K933" t="s">
        <v>1357</v>
      </c>
      <c r="L933" t="s">
        <v>1358</v>
      </c>
      <c r="N933" t="s">
        <v>1369</v>
      </c>
    </row>
    <row r="934" spans="1:14">
      <c r="H934" t="s">
        <v>1330</v>
      </c>
      <c r="I934" t="s">
        <v>1359</v>
      </c>
      <c r="J934" t="s">
        <v>1358</v>
      </c>
      <c r="K934" t="s">
        <v>1357</v>
      </c>
      <c r="L934" t="s">
        <v>1358</v>
      </c>
      <c r="N934" t="s">
        <v>1369</v>
      </c>
    </row>
    <row r="935" spans="1:14">
      <c r="H935" t="s">
        <v>1331</v>
      </c>
      <c r="I935" t="s">
        <v>1357</v>
      </c>
      <c r="J935" t="s">
        <v>1357</v>
      </c>
      <c r="K935" t="s">
        <v>1357</v>
      </c>
      <c r="L935" t="s">
        <v>1357</v>
      </c>
    </row>
    <row r="936" spans="1:14">
      <c r="A936" t="s">
        <v>140</v>
      </c>
      <c r="B936">
        <f>HYPERLINK("https://github.com/apache/commons-lang/commit/2cad60b6c25c87a6a59d3d315ec7d72c552fbc58", "2cad60b6c25c87a6a59d3d315ec7d72c552fbc58")</f>
        <v>0</v>
      </c>
      <c r="C936">
        <f>HYPERLINK("https://github.com/apache/commons-lang/commit/ec2ec774925cb845f85a82f85c32d0019de31f01", "ec2ec774925cb845f85a82f85c32d0019de31f01")</f>
        <v>0</v>
      </c>
      <c r="D936" t="s">
        <v>166</v>
      </c>
      <c r="E936" t="s">
        <v>296</v>
      </c>
      <c r="F936" t="s">
        <v>414</v>
      </c>
      <c r="G936" t="s">
        <v>465</v>
      </c>
      <c r="H936" t="s">
        <v>905</v>
      </c>
      <c r="I936" t="s">
        <v>1357</v>
      </c>
      <c r="J936" t="s">
        <v>1357</v>
      </c>
      <c r="K936" t="s">
        <v>1357</v>
      </c>
      <c r="L936" t="s">
        <v>1357</v>
      </c>
    </row>
    <row r="937" spans="1:14">
      <c r="A937" t="s">
        <v>141</v>
      </c>
      <c r="B937">
        <f>HYPERLINK("https://github.com/apache/commons-lang/commit/e99b0dde8ee5069eaee745b62b57b109def4b22c", "e99b0dde8ee5069eaee745b62b57b109def4b22c")</f>
        <v>0</v>
      </c>
      <c r="C937">
        <f>HYPERLINK("https://github.com/apache/commons-lang/commit/ca2e59c513edc2a8b30ff62595e01f8dff79f0d2", "ca2e59c513edc2a8b30ff62595e01f8dff79f0d2")</f>
        <v>0</v>
      </c>
      <c r="D937" t="s">
        <v>163</v>
      </c>
      <c r="E937" t="s">
        <v>297</v>
      </c>
      <c r="F937" t="s">
        <v>430</v>
      </c>
      <c r="G937" t="s">
        <v>553</v>
      </c>
      <c r="H937" t="s">
        <v>1332</v>
      </c>
      <c r="I937" t="s">
        <v>1357</v>
      </c>
      <c r="J937" t="s">
        <v>1357</v>
      </c>
      <c r="K937" t="s">
        <v>1357</v>
      </c>
      <c r="L937" t="s">
        <v>1357</v>
      </c>
    </row>
    <row r="938" spans="1:14">
      <c r="H938" t="s">
        <v>1333</v>
      </c>
      <c r="I938" t="s">
        <v>1357</v>
      </c>
      <c r="J938" t="s">
        <v>1357</v>
      </c>
      <c r="K938" t="s">
        <v>1357</v>
      </c>
      <c r="L938" t="s">
        <v>1357</v>
      </c>
    </row>
    <row r="939" spans="1:14">
      <c r="H939" t="s">
        <v>1334</v>
      </c>
      <c r="I939" t="s">
        <v>1357</v>
      </c>
      <c r="J939" t="s">
        <v>1357</v>
      </c>
      <c r="K939" t="s">
        <v>1357</v>
      </c>
      <c r="L939" t="s">
        <v>1357</v>
      </c>
    </row>
    <row r="940" spans="1:14">
      <c r="H940" t="s">
        <v>1335</v>
      </c>
      <c r="I940" t="s">
        <v>1357</v>
      </c>
      <c r="J940" t="s">
        <v>1357</v>
      </c>
      <c r="K940" t="s">
        <v>1357</v>
      </c>
      <c r="L940" t="s">
        <v>1357</v>
      </c>
    </row>
    <row r="941" spans="1:14">
      <c r="A941" t="s">
        <v>142</v>
      </c>
      <c r="B941">
        <f>HYPERLINK("https://github.com/apache/commons-lang/commit/4b77d24042a411204c25f81bf4e5f38e43ab94a1", "4b77d24042a411204c25f81bf4e5f38e43ab94a1")</f>
        <v>0</v>
      </c>
      <c r="C941">
        <f>HYPERLINK("https://github.com/apache/commons-lang/commit/b30be60a81a14921b3c6bca9689f4886693f1bcd", "b30be60a81a14921b3c6bca9689f4886693f1bcd")</f>
        <v>0</v>
      </c>
      <c r="D941" t="s">
        <v>167</v>
      </c>
      <c r="E941" t="s">
        <v>298</v>
      </c>
      <c r="F941" t="s">
        <v>431</v>
      </c>
      <c r="G941" t="s">
        <v>554</v>
      </c>
      <c r="H941" t="s">
        <v>1336</v>
      </c>
      <c r="I941" t="s">
        <v>1357</v>
      </c>
      <c r="J941" t="s">
        <v>1357</v>
      </c>
      <c r="K941" t="s">
        <v>1357</v>
      </c>
      <c r="L941" t="s">
        <v>1357</v>
      </c>
    </row>
    <row r="942" spans="1:14">
      <c r="H942" t="s">
        <v>1337</v>
      </c>
      <c r="I942" t="s">
        <v>1357</v>
      </c>
      <c r="J942" t="s">
        <v>1357</v>
      </c>
      <c r="K942" t="s">
        <v>1357</v>
      </c>
      <c r="L942" t="s">
        <v>1357</v>
      </c>
    </row>
    <row r="943" spans="1:14">
      <c r="A943" t="s">
        <v>143</v>
      </c>
      <c r="B943">
        <f>HYPERLINK("https://github.com/apache/commons-lang/commit/c56c77ed9502d079b3e885a65bc4a4cf666ac8ee", "c56c77ed9502d079b3e885a65bc4a4cf666ac8ee")</f>
        <v>0</v>
      </c>
      <c r="C943">
        <f>HYPERLINK("https://github.com/apache/commons-lang/commit/1dddec8ba867bc31233ba194f0753ea35818cbfd", "1dddec8ba867bc31233ba194f0753ea35818cbfd")</f>
        <v>0</v>
      </c>
      <c r="D943" t="s">
        <v>168</v>
      </c>
      <c r="E943" t="s">
        <v>299</v>
      </c>
      <c r="F943" t="s">
        <v>432</v>
      </c>
      <c r="G943" t="s">
        <v>555</v>
      </c>
      <c r="H943" t="s">
        <v>1338</v>
      </c>
      <c r="I943" t="s">
        <v>1357</v>
      </c>
      <c r="J943" t="s">
        <v>1357</v>
      </c>
      <c r="K943" t="s">
        <v>1357</v>
      </c>
      <c r="L943" t="s">
        <v>1357</v>
      </c>
    </row>
    <row r="944" spans="1:14">
      <c r="H944" t="s">
        <v>1339</v>
      </c>
      <c r="I944" t="s">
        <v>1357</v>
      </c>
      <c r="J944" t="s">
        <v>1357</v>
      </c>
      <c r="K944" t="s">
        <v>1357</v>
      </c>
      <c r="L944" t="s">
        <v>1357</v>
      </c>
    </row>
    <row r="945" spans="1:14">
      <c r="H945" t="s">
        <v>1340</v>
      </c>
      <c r="I945" t="s">
        <v>1357</v>
      </c>
      <c r="J945" t="s">
        <v>1357</v>
      </c>
      <c r="K945" t="s">
        <v>1357</v>
      </c>
      <c r="L945" t="s">
        <v>1357</v>
      </c>
    </row>
    <row r="946" spans="1:14">
      <c r="H946" t="s">
        <v>1341</v>
      </c>
      <c r="I946" t="s">
        <v>1357</v>
      </c>
      <c r="J946" t="s">
        <v>1357</v>
      </c>
      <c r="K946" t="s">
        <v>1357</v>
      </c>
      <c r="L946" t="s">
        <v>1357</v>
      </c>
    </row>
    <row r="947" spans="1:14">
      <c r="H947" t="s">
        <v>1342</v>
      </c>
      <c r="I947" t="s">
        <v>1357</v>
      </c>
      <c r="J947" t="s">
        <v>1357</v>
      </c>
      <c r="K947" t="s">
        <v>1357</v>
      </c>
      <c r="L947" t="s">
        <v>1357</v>
      </c>
    </row>
    <row r="948" spans="1:14">
      <c r="A948" t="s">
        <v>144</v>
      </c>
      <c r="B948">
        <f>HYPERLINK("https://github.com/apache/commons-lang/commit/e12eb5d4d79398f4d3dab7a593efd767c59b74c6", "e12eb5d4d79398f4d3dab7a593efd767c59b74c6")</f>
        <v>0</v>
      </c>
      <c r="C948">
        <f>HYPERLINK("https://github.com/apache/commons-lang/commit/5f2fa64137db3c492b97271e6aa42ffd5598c475", "5f2fa64137db3c492b97271e6aa42ffd5598c475")</f>
        <v>0</v>
      </c>
      <c r="D948" t="s">
        <v>168</v>
      </c>
      <c r="E948" t="s">
        <v>300</v>
      </c>
      <c r="F948" t="s">
        <v>433</v>
      </c>
      <c r="G948" t="s">
        <v>556</v>
      </c>
      <c r="H948" t="s">
        <v>795</v>
      </c>
      <c r="I948" t="s">
        <v>1357</v>
      </c>
      <c r="J948" t="s">
        <v>1357</v>
      </c>
      <c r="K948" t="s">
        <v>1357</v>
      </c>
      <c r="L948" t="s">
        <v>1357</v>
      </c>
      <c r="N948" t="s">
        <v>1371</v>
      </c>
    </row>
    <row r="949" spans="1:14">
      <c r="A949" t="s">
        <v>145</v>
      </c>
      <c r="B949">
        <f>HYPERLINK("https://github.com/apache/commons-lang/commit/039c5293a1121cda51e209079b1a8f414448b9cd", "039c5293a1121cda51e209079b1a8f414448b9cd")</f>
        <v>0</v>
      </c>
      <c r="C949">
        <f>HYPERLINK("https://github.com/apache/commons-lang/commit/324363816774a1f9bca998950081130be6756611", "324363816774a1f9bca998950081130be6756611")</f>
        <v>0</v>
      </c>
      <c r="D949" t="s">
        <v>168</v>
      </c>
      <c r="E949" t="s">
        <v>301</v>
      </c>
      <c r="F949" t="s">
        <v>434</v>
      </c>
      <c r="G949" t="s">
        <v>557</v>
      </c>
      <c r="H949" t="s">
        <v>1343</v>
      </c>
      <c r="I949" t="s">
        <v>1357</v>
      </c>
      <c r="J949" t="s">
        <v>1357</v>
      </c>
      <c r="K949" t="s">
        <v>1357</v>
      </c>
      <c r="L949" t="s">
        <v>1357</v>
      </c>
    </row>
    <row r="950" spans="1:14">
      <c r="H950" t="s">
        <v>1344</v>
      </c>
      <c r="I950" t="s">
        <v>1357</v>
      </c>
      <c r="J950" t="s">
        <v>1357</v>
      </c>
      <c r="K950" t="s">
        <v>1357</v>
      </c>
      <c r="L950" t="s">
        <v>1357</v>
      </c>
    </row>
    <row r="951" spans="1:14">
      <c r="H951" t="s">
        <v>1345</v>
      </c>
      <c r="I951" t="s">
        <v>1357</v>
      </c>
      <c r="J951" t="s">
        <v>1357</v>
      </c>
      <c r="K951" t="s">
        <v>1357</v>
      </c>
      <c r="L951" t="s">
        <v>1357</v>
      </c>
    </row>
    <row r="952" spans="1:14">
      <c r="A952" t="s">
        <v>146</v>
      </c>
      <c r="B952">
        <f>HYPERLINK("https://github.com/apache/commons-lang/commit/7995aad79fab336a4534a5290fdd760df7f55dde", "7995aad79fab336a4534a5290fdd760df7f55dde")</f>
        <v>0</v>
      </c>
      <c r="C952">
        <f>HYPERLINK("https://github.com/apache/commons-lang/commit/bcdff98f02c3ef011187f2dbf7934a3ea3a48db5", "bcdff98f02c3ef011187f2dbf7934a3ea3a48db5")</f>
        <v>0</v>
      </c>
      <c r="D952" t="s">
        <v>168</v>
      </c>
      <c r="E952" t="s">
        <v>302</v>
      </c>
      <c r="F952" t="s">
        <v>402</v>
      </c>
      <c r="G952" t="s">
        <v>533</v>
      </c>
      <c r="H952" t="s">
        <v>1346</v>
      </c>
      <c r="I952" t="s">
        <v>1358</v>
      </c>
      <c r="J952" t="s">
        <v>1358</v>
      </c>
      <c r="K952" t="s">
        <v>1358</v>
      </c>
      <c r="L952" t="s">
        <v>1358</v>
      </c>
    </row>
    <row r="953" spans="1:14">
      <c r="H953" t="s">
        <v>1347</v>
      </c>
      <c r="I953" t="s">
        <v>1358</v>
      </c>
      <c r="J953" t="s">
        <v>1358</v>
      </c>
      <c r="K953" t="s">
        <v>1358</v>
      </c>
      <c r="L953" t="s">
        <v>1358</v>
      </c>
    </row>
    <row r="954" spans="1:14">
      <c r="H954" t="s">
        <v>1348</v>
      </c>
      <c r="I954" t="s">
        <v>1358</v>
      </c>
      <c r="J954" t="s">
        <v>1358</v>
      </c>
      <c r="K954" t="s">
        <v>1358</v>
      </c>
      <c r="L954" t="s">
        <v>1358</v>
      </c>
    </row>
    <row r="955" spans="1:14">
      <c r="H955" t="s">
        <v>1349</v>
      </c>
      <c r="I955" t="s">
        <v>1358</v>
      </c>
      <c r="J955" t="s">
        <v>1358</v>
      </c>
      <c r="K955" t="s">
        <v>1358</v>
      </c>
      <c r="L955" t="s">
        <v>1358</v>
      </c>
    </row>
    <row r="956" spans="1:14">
      <c r="H956" t="s">
        <v>1350</v>
      </c>
      <c r="I956" t="s">
        <v>1358</v>
      </c>
      <c r="J956" t="s">
        <v>1358</v>
      </c>
      <c r="K956" t="s">
        <v>1358</v>
      </c>
      <c r="L956" t="s">
        <v>1358</v>
      </c>
    </row>
    <row r="957" spans="1:14">
      <c r="H957" t="s">
        <v>1351</v>
      </c>
      <c r="I957" t="s">
        <v>1358</v>
      </c>
      <c r="J957" t="s">
        <v>1358</v>
      </c>
      <c r="K957" t="s">
        <v>1358</v>
      </c>
      <c r="L957" t="s">
        <v>1358</v>
      </c>
    </row>
    <row r="958" spans="1:14">
      <c r="H958" t="s">
        <v>1352</v>
      </c>
      <c r="I958" t="s">
        <v>1358</v>
      </c>
      <c r="J958" t="s">
        <v>1358</v>
      </c>
      <c r="K958" t="s">
        <v>1358</v>
      </c>
      <c r="L958" t="s">
        <v>1358</v>
      </c>
    </row>
    <row r="959" spans="1:14">
      <c r="H959" t="s">
        <v>1353</v>
      </c>
      <c r="I959" t="s">
        <v>1358</v>
      </c>
      <c r="J959" t="s">
        <v>1358</v>
      </c>
      <c r="K959" t="s">
        <v>1358</v>
      </c>
      <c r="L959" t="s">
        <v>1358</v>
      </c>
    </row>
    <row r="960" spans="1:14">
      <c r="A960" t="s">
        <v>147</v>
      </c>
      <c r="B960">
        <f>HYPERLINK("https://github.com/apache/commons-lang/commit/3e66c1de179abff1c43efa9fba9fde20edf5ce63", "3e66c1de179abff1c43efa9fba9fde20edf5ce63")</f>
        <v>0</v>
      </c>
      <c r="C960">
        <f>HYPERLINK("https://github.com/apache/commons-lang/commit/a6e18d94652a99b3b5080a3a7db7d39365dc6888", "a6e18d94652a99b3b5080a3a7db7d39365dc6888")</f>
        <v>0</v>
      </c>
      <c r="D960" t="s">
        <v>169</v>
      </c>
      <c r="E960" t="s">
        <v>303</v>
      </c>
      <c r="F960" t="s">
        <v>435</v>
      </c>
      <c r="G960" t="s">
        <v>558</v>
      </c>
      <c r="H960" t="s">
        <v>1354</v>
      </c>
      <c r="I960" t="s">
        <v>1359</v>
      </c>
      <c r="J960" t="s">
        <v>1358</v>
      </c>
      <c r="K960" t="s">
        <v>1357</v>
      </c>
      <c r="L960" t="s">
        <v>1358</v>
      </c>
    </row>
    <row r="961" spans="1:14">
      <c r="F961" t="s">
        <v>436</v>
      </c>
      <c r="G961" t="s">
        <v>559</v>
      </c>
      <c r="H961" t="s">
        <v>1354</v>
      </c>
      <c r="I961" t="s">
        <v>1359</v>
      </c>
      <c r="J961" t="s">
        <v>1358</v>
      </c>
      <c r="K961" t="s">
        <v>1357</v>
      </c>
      <c r="L961" t="s">
        <v>1358</v>
      </c>
    </row>
    <row r="962" spans="1:14">
      <c r="F962" t="s">
        <v>437</v>
      </c>
      <c r="G962" t="s">
        <v>560</v>
      </c>
      <c r="H962" t="s">
        <v>1354</v>
      </c>
      <c r="I962" t="s">
        <v>1359</v>
      </c>
      <c r="J962" t="s">
        <v>1358</v>
      </c>
      <c r="K962" t="s">
        <v>1357</v>
      </c>
      <c r="L962" t="s">
        <v>1358</v>
      </c>
    </row>
    <row r="963" spans="1:14">
      <c r="F963" t="s">
        <v>438</v>
      </c>
      <c r="G963" t="s">
        <v>561</v>
      </c>
      <c r="H963" t="s">
        <v>1354</v>
      </c>
      <c r="I963" t="s">
        <v>1359</v>
      </c>
      <c r="J963" t="s">
        <v>1358</v>
      </c>
      <c r="K963" t="s">
        <v>1357</v>
      </c>
      <c r="L963" t="s">
        <v>1358</v>
      </c>
    </row>
    <row r="964" spans="1:14">
      <c r="F964" t="s">
        <v>439</v>
      </c>
      <c r="G964" t="s">
        <v>562</v>
      </c>
      <c r="H964" t="s">
        <v>1354</v>
      </c>
      <c r="I964" t="s">
        <v>1359</v>
      </c>
      <c r="J964" t="s">
        <v>1358</v>
      </c>
      <c r="K964" t="s">
        <v>1357</v>
      </c>
      <c r="L964" t="s">
        <v>1358</v>
      </c>
    </row>
    <row r="965" spans="1:14">
      <c r="F965" t="s">
        <v>440</v>
      </c>
      <c r="G965" t="s">
        <v>563</v>
      </c>
      <c r="H965" t="s">
        <v>1354</v>
      </c>
      <c r="I965" t="s">
        <v>1359</v>
      </c>
      <c r="J965" t="s">
        <v>1358</v>
      </c>
      <c r="K965" t="s">
        <v>1357</v>
      </c>
      <c r="L965" t="s">
        <v>1358</v>
      </c>
    </row>
    <row r="966" spans="1:14">
      <c r="F966" t="s">
        <v>441</v>
      </c>
      <c r="G966" t="s">
        <v>564</v>
      </c>
      <c r="H966" t="s">
        <v>1354</v>
      </c>
      <c r="I966" t="s">
        <v>1359</v>
      </c>
      <c r="J966" t="s">
        <v>1358</v>
      </c>
      <c r="K966" t="s">
        <v>1357</v>
      </c>
      <c r="L966" t="s">
        <v>1358</v>
      </c>
    </row>
    <row r="967" spans="1:14">
      <c r="F967" t="s">
        <v>442</v>
      </c>
      <c r="G967" t="s">
        <v>565</v>
      </c>
      <c r="H967" t="s">
        <v>1354</v>
      </c>
      <c r="I967" t="s">
        <v>1359</v>
      </c>
      <c r="J967" t="s">
        <v>1358</v>
      </c>
      <c r="K967" t="s">
        <v>1357</v>
      </c>
      <c r="L967" t="s">
        <v>1358</v>
      </c>
    </row>
    <row r="968" spans="1:14">
      <c r="F968" t="s">
        <v>443</v>
      </c>
      <c r="G968" t="s">
        <v>566</v>
      </c>
      <c r="H968" t="s">
        <v>1354</v>
      </c>
      <c r="I968" t="s">
        <v>1359</v>
      </c>
      <c r="J968" t="s">
        <v>1358</v>
      </c>
      <c r="K968" t="s">
        <v>1357</v>
      </c>
      <c r="L968" t="s">
        <v>1358</v>
      </c>
    </row>
    <row r="969" spans="1:14">
      <c r="F969" t="s">
        <v>444</v>
      </c>
      <c r="G969" t="s">
        <v>567</v>
      </c>
      <c r="H969" t="s">
        <v>1354</v>
      </c>
      <c r="I969" t="s">
        <v>1359</v>
      </c>
      <c r="J969" t="s">
        <v>1358</v>
      </c>
      <c r="K969" t="s">
        <v>1357</v>
      </c>
      <c r="L969" t="s">
        <v>1358</v>
      </c>
    </row>
    <row r="970" spans="1:14">
      <c r="A970" t="s">
        <v>148</v>
      </c>
      <c r="B970">
        <f>HYPERLINK("https://github.com/apache/commons-lang/commit/152b1777fddc5127e77f9b14637d6abae18eaf05", "152b1777fddc5127e77f9b14637d6abae18eaf05")</f>
        <v>0</v>
      </c>
      <c r="C970">
        <f>HYPERLINK("https://github.com/apache/commons-lang/commit/e0818e3383f71ddff62854f85712cb6b7d187c9b", "e0818e3383f71ddff62854f85712cb6b7d187c9b")</f>
        <v>0</v>
      </c>
      <c r="D970" t="s">
        <v>168</v>
      </c>
      <c r="E970" t="s">
        <v>304</v>
      </c>
      <c r="F970" t="s">
        <v>445</v>
      </c>
      <c r="G970" t="s">
        <v>568</v>
      </c>
      <c r="H970" t="s">
        <v>1355</v>
      </c>
      <c r="I970" t="s">
        <v>1358</v>
      </c>
      <c r="J970" t="s">
        <v>1358</v>
      </c>
      <c r="K970" t="s">
        <v>1358</v>
      </c>
      <c r="L970" t="s">
        <v>1358</v>
      </c>
      <c r="N970" t="s">
        <v>1376</v>
      </c>
    </row>
    <row r="971" spans="1:14">
      <c r="H971" t="s">
        <v>1356</v>
      </c>
      <c r="I971" t="s">
        <v>1358</v>
      </c>
      <c r="J971" t="s">
        <v>1358</v>
      </c>
      <c r="K971" t="s">
        <v>1358</v>
      </c>
      <c r="L971" t="s">
        <v>1358</v>
      </c>
      <c r="N971" t="s">
        <v>1376</v>
      </c>
    </row>
  </sheetData>
  <hyperlinks>
    <hyperlink ref="E73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280"/>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1380</v>
      </c>
      <c r="B2">
        <f>HYPERLINK("https://github.com/google/gson/commit/bc2c25f235808c7e90d9bde6b2795997405af0cf", "bc2c25f235808c7e90d9bde6b2795997405af0cf")</f>
        <v>0</v>
      </c>
      <c r="C2">
        <f>HYPERLINK("https://github.com/google/gson/commit/9245bebdba9a3227674f3c0b08d86165891f02cc", "9245bebdba9a3227674f3c0b08d86165891f02cc")</f>
        <v>0</v>
      </c>
      <c r="D2" t="s">
        <v>1426</v>
      </c>
      <c r="E2" t="s">
        <v>1432</v>
      </c>
      <c r="F2" t="s">
        <v>1478</v>
      </c>
      <c r="G2" t="s">
        <v>1544</v>
      </c>
      <c r="H2" t="s">
        <v>1607</v>
      </c>
      <c r="I2" t="s">
        <v>1357</v>
      </c>
      <c r="J2" t="s">
        <v>1357</v>
      </c>
      <c r="K2" t="s">
        <v>1357</v>
      </c>
      <c r="L2" t="s">
        <v>1357</v>
      </c>
    </row>
    <row r="3" spans="1:14">
      <c r="H3" t="s">
        <v>1608</v>
      </c>
      <c r="I3" t="s">
        <v>1357</v>
      </c>
      <c r="J3" t="s">
        <v>1357</v>
      </c>
      <c r="K3" t="s">
        <v>1357</v>
      </c>
      <c r="L3" t="s">
        <v>1357</v>
      </c>
    </row>
    <row r="4" spans="1:14">
      <c r="H4" t="s">
        <v>1609</v>
      </c>
      <c r="I4" t="s">
        <v>1357</v>
      </c>
      <c r="J4" t="s">
        <v>1357</v>
      </c>
      <c r="K4" t="s">
        <v>1357</v>
      </c>
      <c r="L4" t="s">
        <v>1357</v>
      </c>
    </row>
    <row r="5" spans="1:14">
      <c r="A5" t="s">
        <v>1381</v>
      </c>
      <c r="B5">
        <f>HYPERLINK("https://github.com/google/gson/commit/cf2a457af7b0422e7728e0d55a4e794048af5a6b", "cf2a457af7b0422e7728e0d55a4e794048af5a6b")</f>
        <v>0</v>
      </c>
      <c r="C5">
        <f>HYPERLINK("https://github.com/google/gson/commit/0d8150fe52eba34a0472c47be71587885ba4a94c", "0d8150fe52eba34a0472c47be71587885ba4a94c")</f>
        <v>0</v>
      </c>
      <c r="D5" t="s">
        <v>1427</v>
      </c>
      <c r="E5" t="s">
        <v>1433</v>
      </c>
      <c r="F5" t="s">
        <v>1479</v>
      </c>
      <c r="G5" t="s">
        <v>1545</v>
      </c>
      <c r="H5" t="s">
        <v>1610</v>
      </c>
      <c r="I5" t="s">
        <v>1357</v>
      </c>
      <c r="J5" t="s">
        <v>1357</v>
      </c>
      <c r="K5" t="s">
        <v>1357</v>
      </c>
      <c r="L5" t="s">
        <v>1357</v>
      </c>
    </row>
    <row r="6" spans="1:14">
      <c r="H6" t="s">
        <v>1611</v>
      </c>
      <c r="I6" t="s">
        <v>1357</v>
      </c>
      <c r="J6" t="s">
        <v>1357</v>
      </c>
      <c r="K6" t="s">
        <v>1357</v>
      </c>
      <c r="L6" t="s">
        <v>1357</v>
      </c>
    </row>
    <row r="7" spans="1:14">
      <c r="H7" t="s">
        <v>1612</v>
      </c>
      <c r="I7" t="s">
        <v>1357</v>
      </c>
      <c r="J7" t="s">
        <v>1357</v>
      </c>
      <c r="K7" t="s">
        <v>1357</v>
      </c>
      <c r="L7" t="s">
        <v>1357</v>
      </c>
    </row>
    <row r="8" spans="1:14">
      <c r="H8" t="s">
        <v>1613</v>
      </c>
      <c r="I8" t="s">
        <v>1357</v>
      </c>
      <c r="J8" t="s">
        <v>1357</v>
      </c>
      <c r="K8" t="s">
        <v>1357</v>
      </c>
      <c r="L8" t="s">
        <v>1357</v>
      </c>
    </row>
    <row r="9" spans="1:14">
      <c r="A9" t="s">
        <v>1382</v>
      </c>
      <c r="B9">
        <f>HYPERLINK("https://github.com/google/gson/commit/53f7d26b6d442467d54f0e61fdf030cd395011f7", "53f7d26b6d442467d54f0e61fdf030cd395011f7")</f>
        <v>0</v>
      </c>
      <c r="C9">
        <f>HYPERLINK("https://github.com/google/gson/commit/f7e4d5e4bbdb10ef3215c66c0df4ca3828f99768", "f7e4d5e4bbdb10ef3215c66c0df4ca3828f99768")</f>
        <v>0</v>
      </c>
      <c r="D9" t="s">
        <v>1426</v>
      </c>
      <c r="E9" t="s">
        <v>1434</v>
      </c>
      <c r="F9" t="s">
        <v>1480</v>
      </c>
      <c r="G9" t="s">
        <v>1546</v>
      </c>
      <c r="H9" t="s">
        <v>1614</v>
      </c>
      <c r="I9" t="s">
        <v>1357</v>
      </c>
      <c r="J9" t="s">
        <v>1357</v>
      </c>
      <c r="K9" t="s">
        <v>1357</v>
      </c>
      <c r="L9" t="s">
        <v>1357</v>
      </c>
    </row>
    <row r="10" spans="1:14">
      <c r="H10" t="s">
        <v>1615</v>
      </c>
      <c r="I10" t="s">
        <v>1357</v>
      </c>
      <c r="J10" t="s">
        <v>1357</v>
      </c>
      <c r="K10" t="s">
        <v>1357</v>
      </c>
      <c r="L10" t="s">
        <v>1357</v>
      </c>
    </row>
    <row r="11" spans="1:14">
      <c r="H11" t="s">
        <v>1616</v>
      </c>
      <c r="I11" t="s">
        <v>1357</v>
      </c>
      <c r="J11" t="s">
        <v>1357</v>
      </c>
      <c r="K11" t="s">
        <v>1357</v>
      </c>
      <c r="L11" t="s">
        <v>1357</v>
      </c>
    </row>
    <row r="12" spans="1:14">
      <c r="A12" t="s">
        <v>1383</v>
      </c>
      <c r="B12">
        <f>HYPERLINK("https://github.com/google/gson/commit/e340801d258e18f733620b0fd03d65fffb8df6c3", "e340801d258e18f733620b0fd03d65fffb8df6c3")</f>
        <v>0</v>
      </c>
      <c r="C12">
        <f>HYPERLINK("https://github.com/google/gson/commit/4f727df749b9ad97dfd0dd108a67539b7f163ee2", "4f727df749b9ad97dfd0dd108a67539b7f163ee2")</f>
        <v>0</v>
      </c>
      <c r="D12" t="s">
        <v>1426</v>
      </c>
      <c r="E12" t="s">
        <v>1435</v>
      </c>
      <c r="F12" t="s">
        <v>1481</v>
      </c>
      <c r="G12" t="s">
        <v>480</v>
      </c>
      <c r="H12" t="s">
        <v>1617</v>
      </c>
      <c r="I12" t="s">
        <v>1359</v>
      </c>
      <c r="J12" t="s">
        <v>1357</v>
      </c>
      <c r="K12" t="s">
        <v>1358</v>
      </c>
      <c r="L12" t="s">
        <v>1357</v>
      </c>
      <c r="N12" t="s">
        <v>1870</v>
      </c>
    </row>
    <row r="13" spans="1:14">
      <c r="H13" t="s">
        <v>1618</v>
      </c>
      <c r="I13" t="s">
        <v>1359</v>
      </c>
      <c r="J13" t="s">
        <v>1357</v>
      </c>
      <c r="K13" t="s">
        <v>1358</v>
      </c>
      <c r="L13" t="s">
        <v>1357</v>
      </c>
      <c r="N13" t="s">
        <v>1870</v>
      </c>
    </row>
    <row r="14" spans="1:14">
      <c r="F14" t="s">
        <v>1482</v>
      </c>
      <c r="G14" t="s">
        <v>1547</v>
      </c>
      <c r="H14" t="s">
        <v>1619</v>
      </c>
      <c r="I14" t="s">
        <v>1359</v>
      </c>
      <c r="J14" t="s">
        <v>1358</v>
      </c>
      <c r="K14" t="s">
        <v>1357</v>
      </c>
      <c r="L14" t="s">
        <v>1358</v>
      </c>
    </row>
    <row r="15" spans="1:14">
      <c r="H15" t="s">
        <v>1620</v>
      </c>
      <c r="I15" t="s">
        <v>1357</v>
      </c>
      <c r="J15" t="s">
        <v>1357</v>
      </c>
      <c r="K15" t="s">
        <v>1357</v>
      </c>
      <c r="L15" t="s">
        <v>1357</v>
      </c>
    </row>
    <row r="16" spans="1:14">
      <c r="H16" t="s">
        <v>1621</v>
      </c>
      <c r="I16" t="s">
        <v>1357</v>
      </c>
      <c r="J16" t="s">
        <v>1357</v>
      </c>
      <c r="K16" t="s">
        <v>1357</v>
      </c>
      <c r="L16" t="s">
        <v>1357</v>
      </c>
    </row>
    <row r="17" spans="1:14">
      <c r="A17" t="s">
        <v>1384</v>
      </c>
      <c r="B17">
        <f>HYPERLINK("https://github.com/google/gson/commit/cd9bd710927b7c2a2f01b75430a42e58b18fb456", "cd9bd710927b7c2a2f01b75430a42e58b18fb456")</f>
        <v>0</v>
      </c>
      <c r="C17">
        <f>HYPERLINK("https://github.com/google/gson/commit/abf4ab2d78b2a7f3108fd7560145f45886f6b301", "abf4ab2d78b2a7f3108fd7560145f45886f6b301")</f>
        <v>0</v>
      </c>
      <c r="D17" t="s">
        <v>1427</v>
      </c>
      <c r="E17" t="s">
        <v>1436</v>
      </c>
      <c r="F17" t="s">
        <v>1483</v>
      </c>
      <c r="G17" t="s">
        <v>1548</v>
      </c>
      <c r="H17" t="s">
        <v>1622</v>
      </c>
      <c r="I17" t="s">
        <v>1358</v>
      </c>
      <c r="J17" t="s">
        <v>1358</v>
      </c>
      <c r="K17" t="s">
        <v>1358</v>
      </c>
      <c r="L17" t="s">
        <v>1358</v>
      </c>
      <c r="N17" t="s">
        <v>1363</v>
      </c>
    </row>
    <row r="18" spans="1:14">
      <c r="A18" t="s">
        <v>1385</v>
      </c>
      <c r="B18">
        <f>HYPERLINK("https://github.com/google/gson/commit/50eb582657b5a07aa4aec22f11c9f3071eb631a8", "50eb582657b5a07aa4aec22f11c9f3071eb631a8")</f>
        <v>0</v>
      </c>
      <c r="C18">
        <f>HYPERLINK("https://github.com/google/gson/commit/3b0f8f4340c68d8fde0840befbc1b89afa14933f", "3b0f8f4340c68d8fde0840befbc1b89afa14933f")</f>
        <v>0</v>
      </c>
      <c r="D18" t="s">
        <v>1427</v>
      </c>
      <c r="E18" t="s">
        <v>1437</v>
      </c>
      <c r="F18" t="s">
        <v>1484</v>
      </c>
      <c r="G18" t="s">
        <v>1549</v>
      </c>
      <c r="H18" t="s">
        <v>1623</v>
      </c>
      <c r="I18" t="s">
        <v>1357</v>
      </c>
      <c r="J18" t="s">
        <v>1357</v>
      </c>
      <c r="K18" t="s">
        <v>1357</v>
      </c>
      <c r="L18" t="s">
        <v>1357</v>
      </c>
    </row>
    <row r="19" spans="1:14">
      <c r="H19" t="s">
        <v>1624</v>
      </c>
      <c r="I19" t="s">
        <v>1357</v>
      </c>
      <c r="J19" t="s">
        <v>1357</v>
      </c>
      <c r="K19" t="s">
        <v>1357</v>
      </c>
      <c r="L19" t="s">
        <v>1357</v>
      </c>
    </row>
    <row r="20" spans="1:14">
      <c r="H20" t="s">
        <v>1625</v>
      </c>
      <c r="I20" t="s">
        <v>1357</v>
      </c>
      <c r="J20" t="s">
        <v>1357</v>
      </c>
      <c r="K20" t="s">
        <v>1357</v>
      </c>
      <c r="L20" t="s">
        <v>1357</v>
      </c>
    </row>
    <row r="21" spans="1:14">
      <c r="H21" t="s">
        <v>1626</v>
      </c>
      <c r="I21" t="s">
        <v>1357</v>
      </c>
      <c r="J21" t="s">
        <v>1357</v>
      </c>
      <c r="K21" t="s">
        <v>1357</v>
      </c>
      <c r="L21" t="s">
        <v>1357</v>
      </c>
    </row>
    <row r="22" spans="1:14">
      <c r="H22" t="s">
        <v>1627</v>
      </c>
      <c r="I22" t="s">
        <v>1357</v>
      </c>
      <c r="J22" t="s">
        <v>1357</v>
      </c>
      <c r="K22" t="s">
        <v>1357</v>
      </c>
      <c r="L22" t="s">
        <v>1357</v>
      </c>
    </row>
    <row r="23" spans="1:14">
      <c r="H23" t="s">
        <v>1628</v>
      </c>
      <c r="I23" t="s">
        <v>1357</v>
      </c>
      <c r="J23" t="s">
        <v>1357</v>
      </c>
      <c r="K23" t="s">
        <v>1357</v>
      </c>
      <c r="L23" t="s">
        <v>1357</v>
      </c>
    </row>
    <row r="24" spans="1:14">
      <c r="H24" t="s">
        <v>1629</v>
      </c>
      <c r="I24" t="s">
        <v>1357</v>
      </c>
      <c r="J24" t="s">
        <v>1357</v>
      </c>
      <c r="K24" t="s">
        <v>1357</v>
      </c>
      <c r="L24" t="s">
        <v>1357</v>
      </c>
    </row>
    <row r="25" spans="1:14">
      <c r="H25" t="s">
        <v>1630</v>
      </c>
      <c r="I25" t="s">
        <v>1357</v>
      </c>
      <c r="J25" t="s">
        <v>1357</v>
      </c>
      <c r="K25" t="s">
        <v>1357</v>
      </c>
      <c r="L25" t="s">
        <v>1357</v>
      </c>
    </row>
    <row r="26" spans="1:14">
      <c r="H26" t="s">
        <v>1631</v>
      </c>
      <c r="I26" t="s">
        <v>1357</v>
      </c>
      <c r="J26" t="s">
        <v>1357</v>
      </c>
      <c r="K26" t="s">
        <v>1357</v>
      </c>
      <c r="L26" t="s">
        <v>1357</v>
      </c>
    </row>
    <row r="27" spans="1:14">
      <c r="A27" t="s">
        <v>1386</v>
      </c>
      <c r="B27">
        <f>HYPERLINK("https://github.com/google/gson/commit/43f2a0012b5fb9c94a5e1bb926034e136a3a8dfb", "43f2a0012b5fb9c94a5e1bb926034e136a3a8dfb")</f>
        <v>0</v>
      </c>
      <c r="C27">
        <f>HYPERLINK("https://github.com/google/gson/commit/abe244c099b8c0f0e4c33921a55b27755564713a", "abe244c099b8c0f0e4c33921a55b27755564713a")</f>
        <v>0</v>
      </c>
      <c r="D27" t="s">
        <v>1426</v>
      </c>
      <c r="E27" t="s">
        <v>1438</v>
      </c>
      <c r="F27" t="s">
        <v>1485</v>
      </c>
      <c r="G27" t="s">
        <v>1550</v>
      </c>
      <c r="H27" t="s">
        <v>1632</v>
      </c>
      <c r="I27" t="s">
        <v>1357</v>
      </c>
      <c r="J27" t="s">
        <v>1357</v>
      </c>
      <c r="K27" t="s">
        <v>1357</v>
      </c>
      <c r="L27" t="s">
        <v>1357</v>
      </c>
    </row>
    <row r="28" spans="1:14">
      <c r="H28" t="s">
        <v>1633</v>
      </c>
      <c r="I28" t="s">
        <v>1357</v>
      </c>
      <c r="J28" t="s">
        <v>1357</v>
      </c>
      <c r="K28" t="s">
        <v>1357</v>
      </c>
      <c r="L28" t="s">
        <v>1357</v>
      </c>
    </row>
    <row r="29" spans="1:14">
      <c r="H29" t="s">
        <v>1634</v>
      </c>
      <c r="I29" t="s">
        <v>1357</v>
      </c>
      <c r="J29" t="s">
        <v>1357</v>
      </c>
      <c r="K29" t="s">
        <v>1357</v>
      </c>
      <c r="L29" t="s">
        <v>1357</v>
      </c>
    </row>
    <row r="30" spans="1:14">
      <c r="H30" t="s">
        <v>1635</v>
      </c>
      <c r="I30" t="s">
        <v>1357</v>
      </c>
      <c r="J30" t="s">
        <v>1357</v>
      </c>
      <c r="K30" t="s">
        <v>1357</v>
      </c>
      <c r="L30" t="s">
        <v>1357</v>
      </c>
    </row>
    <row r="31" spans="1:14">
      <c r="H31" t="s">
        <v>1636</v>
      </c>
      <c r="I31" t="s">
        <v>1357</v>
      </c>
      <c r="J31" t="s">
        <v>1357</v>
      </c>
      <c r="K31" t="s">
        <v>1357</v>
      </c>
      <c r="L31" t="s">
        <v>1357</v>
      </c>
    </row>
    <row r="32" spans="1:14">
      <c r="H32" t="s">
        <v>1637</v>
      </c>
      <c r="I32" t="s">
        <v>1357</v>
      </c>
      <c r="J32" t="s">
        <v>1357</v>
      </c>
      <c r="K32" t="s">
        <v>1357</v>
      </c>
      <c r="L32" t="s">
        <v>1357</v>
      </c>
    </row>
    <row r="33" spans="1:12">
      <c r="H33" t="s">
        <v>1638</v>
      </c>
      <c r="I33" t="s">
        <v>1357</v>
      </c>
      <c r="J33" t="s">
        <v>1357</v>
      </c>
      <c r="K33" t="s">
        <v>1357</v>
      </c>
      <c r="L33" t="s">
        <v>1357</v>
      </c>
    </row>
    <row r="34" spans="1:12">
      <c r="H34" t="s">
        <v>1639</v>
      </c>
      <c r="I34" t="s">
        <v>1357</v>
      </c>
      <c r="J34" t="s">
        <v>1357</v>
      </c>
      <c r="K34" t="s">
        <v>1357</v>
      </c>
      <c r="L34" t="s">
        <v>1357</v>
      </c>
    </row>
    <row r="35" spans="1:12">
      <c r="H35" t="s">
        <v>1640</v>
      </c>
      <c r="I35" t="s">
        <v>1357</v>
      </c>
      <c r="J35" t="s">
        <v>1357</v>
      </c>
      <c r="K35" t="s">
        <v>1357</v>
      </c>
      <c r="L35" t="s">
        <v>1357</v>
      </c>
    </row>
    <row r="36" spans="1:12">
      <c r="H36" t="s">
        <v>1641</v>
      </c>
      <c r="I36" t="s">
        <v>1357</v>
      </c>
      <c r="J36" t="s">
        <v>1357</v>
      </c>
      <c r="K36" t="s">
        <v>1357</v>
      </c>
      <c r="L36" t="s">
        <v>1357</v>
      </c>
    </row>
    <row r="37" spans="1:12">
      <c r="H37" t="s">
        <v>1642</v>
      </c>
      <c r="I37" t="s">
        <v>1357</v>
      </c>
      <c r="J37" t="s">
        <v>1357</v>
      </c>
      <c r="K37" t="s">
        <v>1357</v>
      </c>
      <c r="L37" t="s">
        <v>1357</v>
      </c>
    </row>
    <row r="38" spans="1:12">
      <c r="A38" t="s">
        <v>1387</v>
      </c>
      <c r="B38">
        <f>HYPERLINK("https://github.com/google/gson/commit/822d1bc75e70538f01638955bf766316e416499c", "822d1bc75e70538f01638955bf766316e416499c")</f>
        <v>0</v>
      </c>
      <c r="C38">
        <f>HYPERLINK("https://github.com/google/gson/commit/7d055fcb517a25e3cf141a867ec2b53264c40a19", "7d055fcb517a25e3cf141a867ec2b53264c40a19")</f>
        <v>0</v>
      </c>
      <c r="D38" t="s">
        <v>1426</v>
      </c>
      <c r="E38" t="s">
        <v>1439</v>
      </c>
      <c r="F38" t="s">
        <v>1486</v>
      </c>
      <c r="G38" t="s">
        <v>1551</v>
      </c>
      <c r="H38" t="s">
        <v>1643</v>
      </c>
      <c r="I38" t="s">
        <v>1357</v>
      </c>
      <c r="J38" t="s">
        <v>1357</v>
      </c>
      <c r="K38" t="s">
        <v>1357</v>
      </c>
      <c r="L38" t="s">
        <v>1357</v>
      </c>
    </row>
    <row r="39" spans="1:12">
      <c r="H39" t="s">
        <v>1644</v>
      </c>
      <c r="I39" t="s">
        <v>1357</v>
      </c>
      <c r="J39" t="s">
        <v>1357</v>
      </c>
      <c r="K39" t="s">
        <v>1357</v>
      </c>
      <c r="L39" t="s">
        <v>1357</v>
      </c>
    </row>
    <row r="40" spans="1:12">
      <c r="H40" t="s">
        <v>1645</v>
      </c>
      <c r="I40" t="s">
        <v>1357</v>
      </c>
      <c r="J40" t="s">
        <v>1357</v>
      </c>
      <c r="K40" t="s">
        <v>1357</v>
      </c>
      <c r="L40" t="s">
        <v>1357</v>
      </c>
    </row>
    <row r="41" spans="1:12">
      <c r="F41" t="s">
        <v>1487</v>
      </c>
      <c r="G41" t="s">
        <v>1552</v>
      </c>
      <c r="H41" t="s">
        <v>1646</v>
      </c>
      <c r="I41" t="s">
        <v>1357</v>
      </c>
      <c r="J41" t="s">
        <v>1357</v>
      </c>
      <c r="K41" t="s">
        <v>1357</v>
      </c>
      <c r="L41" t="s">
        <v>1357</v>
      </c>
    </row>
    <row r="42" spans="1:12">
      <c r="H42" t="s">
        <v>1647</v>
      </c>
      <c r="I42" t="s">
        <v>1357</v>
      </c>
      <c r="J42" t="s">
        <v>1357</v>
      </c>
      <c r="K42" t="s">
        <v>1357</v>
      </c>
      <c r="L42" t="s">
        <v>1357</v>
      </c>
    </row>
    <row r="43" spans="1:12">
      <c r="F43" t="s">
        <v>1488</v>
      </c>
      <c r="G43" t="s">
        <v>1553</v>
      </c>
      <c r="H43" t="s">
        <v>1648</v>
      </c>
      <c r="I43" t="s">
        <v>1357</v>
      </c>
      <c r="J43" t="s">
        <v>1357</v>
      </c>
      <c r="K43" t="s">
        <v>1357</v>
      </c>
      <c r="L43" t="s">
        <v>1357</v>
      </c>
    </row>
    <row r="44" spans="1:12">
      <c r="H44" t="s">
        <v>1649</v>
      </c>
      <c r="I44" t="s">
        <v>1357</v>
      </c>
      <c r="J44" t="s">
        <v>1357</v>
      </c>
      <c r="K44" t="s">
        <v>1357</v>
      </c>
      <c r="L44" t="s">
        <v>1357</v>
      </c>
    </row>
    <row r="45" spans="1:12">
      <c r="H45" t="s">
        <v>1650</v>
      </c>
      <c r="I45" t="s">
        <v>1357</v>
      </c>
      <c r="J45" t="s">
        <v>1357</v>
      </c>
      <c r="K45" t="s">
        <v>1357</v>
      </c>
      <c r="L45" t="s">
        <v>1357</v>
      </c>
    </row>
    <row r="46" spans="1:12">
      <c r="H46" t="s">
        <v>1651</v>
      </c>
      <c r="I46" t="s">
        <v>1357</v>
      </c>
      <c r="J46" t="s">
        <v>1357</v>
      </c>
      <c r="K46" t="s">
        <v>1357</v>
      </c>
      <c r="L46" t="s">
        <v>1357</v>
      </c>
    </row>
    <row r="47" spans="1:12">
      <c r="H47" t="s">
        <v>1652</v>
      </c>
      <c r="I47" t="s">
        <v>1357</v>
      </c>
      <c r="J47" t="s">
        <v>1357</v>
      </c>
      <c r="K47" t="s">
        <v>1357</v>
      </c>
      <c r="L47" t="s">
        <v>1357</v>
      </c>
    </row>
    <row r="48" spans="1:12">
      <c r="H48" t="s">
        <v>1653</v>
      </c>
      <c r="I48" t="s">
        <v>1357</v>
      </c>
      <c r="J48" t="s">
        <v>1357</v>
      </c>
      <c r="K48" t="s">
        <v>1357</v>
      </c>
      <c r="L48" t="s">
        <v>1357</v>
      </c>
    </row>
    <row r="49" spans="1:12">
      <c r="H49" t="s">
        <v>1654</v>
      </c>
      <c r="I49" t="s">
        <v>1357</v>
      </c>
      <c r="J49" t="s">
        <v>1357</v>
      </c>
      <c r="K49" t="s">
        <v>1357</v>
      </c>
      <c r="L49" t="s">
        <v>1357</v>
      </c>
    </row>
    <row r="50" spans="1:12">
      <c r="H50" t="s">
        <v>1655</v>
      </c>
      <c r="I50" t="s">
        <v>1357</v>
      </c>
      <c r="J50" t="s">
        <v>1357</v>
      </c>
      <c r="K50" t="s">
        <v>1357</v>
      </c>
      <c r="L50" t="s">
        <v>1357</v>
      </c>
    </row>
    <row r="51" spans="1:12">
      <c r="F51" t="s">
        <v>1489</v>
      </c>
      <c r="G51" t="s">
        <v>1554</v>
      </c>
      <c r="H51" t="s">
        <v>1656</v>
      </c>
      <c r="I51" t="s">
        <v>1357</v>
      </c>
      <c r="J51" t="s">
        <v>1357</v>
      </c>
      <c r="K51" t="s">
        <v>1357</v>
      </c>
      <c r="L51" t="s">
        <v>1357</v>
      </c>
    </row>
    <row r="52" spans="1:12">
      <c r="H52" t="s">
        <v>1657</v>
      </c>
      <c r="I52" t="s">
        <v>1357</v>
      </c>
      <c r="J52" t="s">
        <v>1357</v>
      </c>
      <c r="K52" t="s">
        <v>1357</v>
      </c>
      <c r="L52" t="s">
        <v>1357</v>
      </c>
    </row>
    <row r="53" spans="1:12">
      <c r="A53" t="s">
        <v>1388</v>
      </c>
      <c r="B53">
        <f>HYPERLINK("https://github.com/google/gson/commit/56344cf06786bf8cd031933a5fc39eeacde7d942", "56344cf06786bf8cd031933a5fc39eeacde7d942")</f>
        <v>0</v>
      </c>
      <c r="C53">
        <f>HYPERLINK("https://github.com/google/gson/commit/0a3f5fa801954b07d0041d8a7dc6f87dc210a470", "0a3f5fa801954b07d0041d8a7dc6f87dc210a470")</f>
        <v>0</v>
      </c>
      <c r="D53" t="s">
        <v>1427</v>
      </c>
      <c r="E53" t="s">
        <v>1440</v>
      </c>
      <c r="F53" t="s">
        <v>1490</v>
      </c>
      <c r="G53" t="s">
        <v>1555</v>
      </c>
      <c r="H53" t="s">
        <v>1658</v>
      </c>
      <c r="I53" t="s">
        <v>1357</v>
      </c>
      <c r="J53" t="s">
        <v>1357</v>
      </c>
      <c r="K53" t="s">
        <v>1357</v>
      </c>
      <c r="L53" t="s">
        <v>1357</v>
      </c>
    </row>
    <row r="54" spans="1:12">
      <c r="A54" t="s">
        <v>1389</v>
      </c>
      <c r="B54">
        <f>HYPERLINK("https://github.com/google/gson/commit/d1ddab2e6ffcd938ac0d133fd46caf5fb2417009", "d1ddab2e6ffcd938ac0d133fd46caf5fb2417009")</f>
        <v>0</v>
      </c>
      <c r="C54">
        <f>HYPERLINK("https://github.com/google/gson/commit/faa5464e848ab9c6afc46e38eb416e7a156a23e1", "faa5464e848ab9c6afc46e38eb416e7a156a23e1")</f>
        <v>0</v>
      </c>
      <c r="D54" t="s">
        <v>1428</v>
      </c>
      <c r="E54" t="s">
        <v>1441</v>
      </c>
      <c r="F54" t="s">
        <v>1491</v>
      </c>
      <c r="G54" t="s">
        <v>1556</v>
      </c>
      <c r="H54" t="s">
        <v>1659</v>
      </c>
      <c r="I54" t="s">
        <v>1357</v>
      </c>
      <c r="J54" t="s">
        <v>1357</v>
      </c>
      <c r="K54" t="s">
        <v>1357</v>
      </c>
      <c r="L54" t="s">
        <v>1357</v>
      </c>
    </row>
    <row r="55" spans="1:12">
      <c r="H55" t="s">
        <v>1660</v>
      </c>
      <c r="I55" t="s">
        <v>1357</v>
      </c>
      <c r="J55" t="s">
        <v>1357</v>
      </c>
      <c r="K55" t="s">
        <v>1357</v>
      </c>
      <c r="L55" t="s">
        <v>1357</v>
      </c>
    </row>
    <row r="56" spans="1:12">
      <c r="H56" t="s">
        <v>1661</v>
      </c>
      <c r="I56" t="s">
        <v>1357</v>
      </c>
      <c r="J56" t="s">
        <v>1357</v>
      </c>
      <c r="K56" t="s">
        <v>1357</v>
      </c>
      <c r="L56" t="s">
        <v>1357</v>
      </c>
    </row>
    <row r="57" spans="1:12">
      <c r="H57" t="s">
        <v>1662</v>
      </c>
      <c r="I57" t="s">
        <v>1357</v>
      </c>
      <c r="J57" t="s">
        <v>1357</v>
      </c>
      <c r="K57" t="s">
        <v>1357</v>
      </c>
      <c r="L57" t="s">
        <v>1357</v>
      </c>
    </row>
    <row r="58" spans="1:12">
      <c r="H58" t="s">
        <v>1663</v>
      </c>
      <c r="I58" t="s">
        <v>1357</v>
      </c>
      <c r="J58" t="s">
        <v>1357</v>
      </c>
      <c r="K58" t="s">
        <v>1357</v>
      </c>
      <c r="L58" t="s">
        <v>1357</v>
      </c>
    </row>
    <row r="59" spans="1:12">
      <c r="H59" t="s">
        <v>1664</v>
      </c>
      <c r="I59" t="s">
        <v>1357</v>
      </c>
      <c r="J59" t="s">
        <v>1357</v>
      </c>
      <c r="K59" t="s">
        <v>1357</v>
      </c>
      <c r="L59" t="s">
        <v>1357</v>
      </c>
    </row>
    <row r="60" spans="1:12">
      <c r="H60" t="s">
        <v>1665</v>
      </c>
      <c r="I60" t="s">
        <v>1357</v>
      </c>
      <c r="J60" t="s">
        <v>1357</v>
      </c>
      <c r="K60" t="s">
        <v>1357</v>
      </c>
      <c r="L60" t="s">
        <v>1357</v>
      </c>
    </row>
    <row r="61" spans="1:12">
      <c r="H61" t="s">
        <v>1666</v>
      </c>
      <c r="I61" t="s">
        <v>1357</v>
      </c>
      <c r="J61" t="s">
        <v>1357</v>
      </c>
      <c r="K61" t="s">
        <v>1357</v>
      </c>
      <c r="L61" t="s">
        <v>1357</v>
      </c>
    </row>
    <row r="62" spans="1:12">
      <c r="H62" t="s">
        <v>1667</v>
      </c>
      <c r="I62" t="s">
        <v>1357</v>
      </c>
      <c r="J62" t="s">
        <v>1357</v>
      </c>
      <c r="K62" t="s">
        <v>1357</v>
      </c>
      <c r="L62" t="s">
        <v>1357</v>
      </c>
    </row>
    <row r="63" spans="1:12">
      <c r="H63" t="s">
        <v>1668</v>
      </c>
      <c r="I63" t="s">
        <v>1357</v>
      </c>
      <c r="J63" t="s">
        <v>1357</v>
      </c>
      <c r="K63" t="s">
        <v>1357</v>
      </c>
      <c r="L63" t="s">
        <v>1357</v>
      </c>
    </row>
    <row r="64" spans="1:12">
      <c r="F64" t="s">
        <v>1492</v>
      </c>
      <c r="G64" t="s">
        <v>1557</v>
      </c>
      <c r="H64" t="s">
        <v>1669</v>
      </c>
      <c r="I64" t="s">
        <v>1357</v>
      </c>
      <c r="J64" t="s">
        <v>1357</v>
      </c>
      <c r="K64" t="s">
        <v>1357</v>
      </c>
      <c r="L64" t="s">
        <v>1357</v>
      </c>
    </row>
    <row r="65" spans="8:12">
      <c r="H65" t="s">
        <v>1670</v>
      </c>
      <c r="I65" t="s">
        <v>1357</v>
      </c>
      <c r="J65" t="s">
        <v>1357</v>
      </c>
      <c r="K65" t="s">
        <v>1357</v>
      </c>
      <c r="L65" t="s">
        <v>1357</v>
      </c>
    </row>
    <row r="66" spans="8:12">
      <c r="H66" t="s">
        <v>1671</v>
      </c>
      <c r="I66" t="s">
        <v>1357</v>
      </c>
      <c r="J66" t="s">
        <v>1357</v>
      </c>
      <c r="K66" t="s">
        <v>1357</v>
      </c>
      <c r="L66" t="s">
        <v>1357</v>
      </c>
    </row>
    <row r="67" spans="8:12">
      <c r="H67" t="s">
        <v>1672</v>
      </c>
      <c r="I67" t="s">
        <v>1357</v>
      </c>
      <c r="J67" t="s">
        <v>1357</v>
      </c>
      <c r="K67" t="s">
        <v>1357</v>
      </c>
      <c r="L67" t="s">
        <v>1357</v>
      </c>
    </row>
    <row r="68" spans="8:12">
      <c r="H68" t="s">
        <v>1673</v>
      </c>
      <c r="I68" t="s">
        <v>1357</v>
      </c>
      <c r="J68" t="s">
        <v>1357</v>
      </c>
      <c r="K68" t="s">
        <v>1357</v>
      </c>
      <c r="L68" t="s">
        <v>1357</v>
      </c>
    </row>
    <row r="69" spans="8:12">
      <c r="H69" t="s">
        <v>1674</v>
      </c>
      <c r="I69" t="s">
        <v>1357</v>
      </c>
      <c r="J69" t="s">
        <v>1357</v>
      </c>
      <c r="K69" t="s">
        <v>1357</v>
      </c>
      <c r="L69" t="s">
        <v>1357</v>
      </c>
    </row>
    <row r="70" spans="8:12">
      <c r="H70" t="s">
        <v>1675</v>
      </c>
      <c r="I70" t="s">
        <v>1357</v>
      </c>
      <c r="J70" t="s">
        <v>1357</v>
      </c>
      <c r="K70" t="s">
        <v>1357</v>
      </c>
      <c r="L70" t="s">
        <v>1357</v>
      </c>
    </row>
    <row r="71" spans="8:12">
      <c r="H71" t="s">
        <v>1676</v>
      </c>
      <c r="I71" t="s">
        <v>1357</v>
      </c>
      <c r="J71" t="s">
        <v>1357</v>
      </c>
      <c r="K71" t="s">
        <v>1357</v>
      </c>
      <c r="L71" t="s">
        <v>1357</v>
      </c>
    </row>
    <row r="72" spans="8:12">
      <c r="H72" t="s">
        <v>1677</v>
      </c>
      <c r="I72" t="s">
        <v>1357</v>
      </c>
      <c r="J72" t="s">
        <v>1357</v>
      </c>
      <c r="K72" t="s">
        <v>1357</v>
      </c>
      <c r="L72" t="s">
        <v>1357</v>
      </c>
    </row>
    <row r="73" spans="8:12">
      <c r="H73" t="s">
        <v>1678</v>
      </c>
      <c r="I73" t="s">
        <v>1357</v>
      </c>
      <c r="J73" t="s">
        <v>1357</v>
      </c>
      <c r="K73" t="s">
        <v>1357</v>
      </c>
      <c r="L73" t="s">
        <v>1357</v>
      </c>
    </row>
    <row r="74" spans="8:12">
      <c r="H74" t="s">
        <v>1679</v>
      </c>
      <c r="I74" t="s">
        <v>1357</v>
      </c>
      <c r="J74" t="s">
        <v>1357</v>
      </c>
      <c r="K74" t="s">
        <v>1357</v>
      </c>
      <c r="L74" t="s">
        <v>1357</v>
      </c>
    </row>
    <row r="75" spans="8:12">
      <c r="H75" t="s">
        <v>1680</v>
      </c>
      <c r="I75" t="s">
        <v>1357</v>
      </c>
      <c r="J75" t="s">
        <v>1357</v>
      </c>
      <c r="K75" t="s">
        <v>1357</v>
      </c>
      <c r="L75" t="s">
        <v>1357</v>
      </c>
    </row>
    <row r="76" spans="8:12">
      <c r="H76" t="s">
        <v>1681</v>
      </c>
      <c r="I76" t="s">
        <v>1357</v>
      </c>
      <c r="J76" t="s">
        <v>1357</v>
      </c>
      <c r="K76" t="s">
        <v>1357</v>
      </c>
      <c r="L76" t="s">
        <v>1357</v>
      </c>
    </row>
    <row r="77" spans="8:12">
      <c r="H77" t="s">
        <v>1682</v>
      </c>
      <c r="I77" t="s">
        <v>1357</v>
      </c>
      <c r="J77" t="s">
        <v>1357</v>
      </c>
      <c r="K77" t="s">
        <v>1357</v>
      </c>
      <c r="L77" t="s">
        <v>1357</v>
      </c>
    </row>
    <row r="78" spans="8:12">
      <c r="H78" t="s">
        <v>1683</v>
      </c>
      <c r="I78" t="s">
        <v>1357</v>
      </c>
      <c r="J78" t="s">
        <v>1357</v>
      </c>
      <c r="K78" t="s">
        <v>1357</v>
      </c>
      <c r="L78" t="s">
        <v>1357</v>
      </c>
    </row>
    <row r="79" spans="8:12">
      <c r="H79" t="s">
        <v>1684</v>
      </c>
      <c r="I79" t="s">
        <v>1357</v>
      </c>
      <c r="J79" t="s">
        <v>1357</v>
      </c>
      <c r="K79" t="s">
        <v>1357</v>
      </c>
      <c r="L79" t="s">
        <v>1357</v>
      </c>
    </row>
    <row r="80" spans="8:12">
      <c r="H80" t="s">
        <v>1685</v>
      </c>
      <c r="I80" t="s">
        <v>1357</v>
      </c>
      <c r="J80" t="s">
        <v>1357</v>
      </c>
      <c r="K80" t="s">
        <v>1357</v>
      </c>
      <c r="L80" t="s">
        <v>1357</v>
      </c>
    </row>
    <row r="81" spans="6:12">
      <c r="F81" t="s">
        <v>1493</v>
      </c>
      <c r="G81" t="s">
        <v>1558</v>
      </c>
      <c r="H81" t="s">
        <v>1686</v>
      </c>
      <c r="I81" t="s">
        <v>1357</v>
      </c>
      <c r="J81" t="s">
        <v>1357</v>
      </c>
      <c r="K81" t="s">
        <v>1357</v>
      </c>
      <c r="L81" t="s">
        <v>1357</v>
      </c>
    </row>
    <row r="82" spans="6:12">
      <c r="H82" t="s">
        <v>1687</v>
      </c>
      <c r="I82" t="s">
        <v>1357</v>
      </c>
      <c r="J82" t="s">
        <v>1357</v>
      </c>
      <c r="K82" t="s">
        <v>1357</v>
      </c>
      <c r="L82" t="s">
        <v>1357</v>
      </c>
    </row>
    <row r="83" spans="6:12">
      <c r="H83" t="s">
        <v>1688</v>
      </c>
      <c r="I83" t="s">
        <v>1357</v>
      </c>
      <c r="J83" t="s">
        <v>1357</v>
      </c>
      <c r="K83" t="s">
        <v>1357</v>
      </c>
      <c r="L83" t="s">
        <v>1357</v>
      </c>
    </row>
    <row r="84" spans="6:12">
      <c r="H84" t="s">
        <v>1689</v>
      </c>
      <c r="I84" t="s">
        <v>1357</v>
      </c>
      <c r="J84" t="s">
        <v>1357</v>
      </c>
      <c r="K84" t="s">
        <v>1357</v>
      </c>
      <c r="L84" t="s">
        <v>1357</v>
      </c>
    </row>
    <row r="85" spans="6:12">
      <c r="F85" t="s">
        <v>1494</v>
      </c>
      <c r="G85" t="s">
        <v>1559</v>
      </c>
      <c r="H85" t="s">
        <v>1690</v>
      </c>
      <c r="I85" t="s">
        <v>1357</v>
      </c>
      <c r="J85" t="s">
        <v>1357</v>
      </c>
      <c r="K85" t="s">
        <v>1357</v>
      </c>
      <c r="L85" t="s">
        <v>1357</v>
      </c>
    </row>
    <row r="86" spans="6:12">
      <c r="H86" t="s">
        <v>1691</v>
      </c>
      <c r="I86" t="s">
        <v>1357</v>
      </c>
      <c r="J86" t="s">
        <v>1357</v>
      </c>
      <c r="K86" t="s">
        <v>1357</v>
      </c>
      <c r="L86" t="s">
        <v>1357</v>
      </c>
    </row>
    <row r="87" spans="6:12">
      <c r="H87" t="s">
        <v>1692</v>
      </c>
      <c r="I87" t="s">
        <v>1357</v>
      </c>
      <c r="J87" t="s">
        <v>1357</v>
      </c>
      <c r="K87" t="s">
        <v>1357</v>
      </c>
      <c r="L87" t="s">
        <v>1357</v>
      </c>
    </row>
    <row r="88" spans="6:12">
      <c r="H88" t="s">
        <v>570</v>
      </c>
      <c r="I88" t="s">
        <v>1357</v>
      </c>
      <c r="J88" t="s">
        <v>1357</v>
      </c>
      <c r="K88" t="s">
        <v>1357</v>
      </c>
      <c r="L88" t="s">
        <v>1357</v>
      </c>
    </row>
    <row r="89" spans="6:12">
      <c r="H89" t="s">
        <v>1693</v>
      </c>
      <c r="I89" t="s">
        <v>1357</v>
      </c>
      <c r="J89" t="s">
        <v>1357</v>
      </c>
      <c r="K89" t="s">
        <v>1357</v>
      </c>
      <c r="L89" t="s">
        <v>1357</v>
      </c>
    </row>
    <row r="90" spans="6:12">
      <c r="H90" t="s">
        <v>1694</v>
      </c>
      <c r="I90" t="s">
        <v>1357</v>
      </c>
      <c r="J90" t="s">
        <v>1357</v>
      </c>
      <c r="K90" t="s">
        <v>1357</v>
      </c>
      <c r="L90" t="s">
        <v>1357</v>
      </c>
    </row>
    <row r="91" spans="6:12">
      <c r="H91" t="s">
        <v>1695</v>
      </c>
      <c r="I91" t="s">
        <v>1357</v>
      </c>
      <c r="J91" t="s">
        <v>1357</v>
      </c>
      <c r="K91" t="s">
        <v>1357</v>
      </c>
      <c r="L91" t="s">
        <v>1357</v>
      </c>
    </row>
    <row r="92" spans="6:12">
      <c r="H92" t="s">
        <v>1696</v>
      </c>
      <c r="I92" t="s">
        <v>1357</v>
      </c>
      <c r="J92" t="s">
        <v>1357</v>
      </c>
      <c r="K92" t="s">
        <v>1357</v>
      </c>
      <c r="L92" t="s">
        <v>1357</v>
      </c>
    </row>
    <row r="93" spans="6:12">
      <c r="H93" t="s">
        <v>1697</v>
      </c>
      <c r="I93" t="s">
        <v>1357</v>
      </c>
      <c r="J93" t="s">
        <v>1357</v>
      </c>
      <c r="K93" t="s">
        <v>1357</v>
      </c>
      <c r="L93" t="s">
        <v>1357</v>
      </c>
    </row>
    <row r="94" spans="6:12">
      <c r="F94" t="s">
        <v>1495</v>
      </c>
      <c r="G94" t="s">
        <v>514</v>
      </c>
      <c r="H94" t="s">
        <v>1698</v>
      </c>
      <c r="I94" t="s">
        <v>1357</v>
      </c>
      <c r="J94" t="s">
        <v>1357</v>
      </c>
      <c r="K94" t="s">
        <v>1357</v>
      </c>
      <c r="L94" t="s">
        <v>1357</v>
      </c>
    </row>
    <row r="95" spans="6:12">
      <c r="H95" t="s">
        <v>1699</v>
      </c>
      <c r="I95" t="s">
        <v>1357</v>
      </c>
      <c r="J95" t="s">
        <v>1357</v>
      </c>
      <c r="K95" t="s">
        <v>1357</v>
      </c>
      <c r="L95" t="s">
        <v>1357</v>
      </c>
    </row>
    <row r="96" spans="6:12">
      <c r="H96" t="s">
        <v>1700</v>
      </c>
      <c r="I96" t="s">
        <v>1357</v>
      </c>
      <c r="J96" t="s">
        <v>1357</v>
      </c>
      <c r="K96" t="s">
        <v>1357</v>
      </c>
      <c r="L96" t="s">
        <v>1357</v>
      </c>
    </row>
    <row r="97" spans="1:12">
      <c r="H97" t="s">
        <v>1701</v>
      </c>
      <c r="I97" t="s">
        <v>1357</v>
      </c>
      <c r="J97" t="s">
        <v>1357</v>
      </c>
      <c r="K97" t="s">
        <v>1357</v>
      </c>
      <c r="L97" t="s">
        <v>1357</v>
      </c>
    </row>
    <row r="98" spans="1:12">
      <c r="H98" t="s">
        <v>1702</v>
      </c>
      <c r="I98" t="s">
        <v>1357</v>
      </c>
      <c r="J98" t="s">
        <v>1357</v>
      </c>
      <c r="K98" t="s">
        <v>1357</v>
      </c>
      <c r="L98" t="s">
        <v>1357</v>
      </c>
    </row>
    <row r="99" spans="1:12">
      <c r="A99" t="s">
        <v>1390</v>
      </c>
      <c r="B99">
        <f>HYPERLINK("https://github.com/google/gson/commit/0e5f6704cd5f438c55efe1fcf70c857f95f8190b", "0e5f6704cd5f438c55efe1fcf70c857f95f8190b")</f>
        <v>0</v>
      </c>
      <c r="C99">
        <f>HYPERLINK("https://github.com/google/gson/commit/25f0014305b8418da278629ee9726f9b3aa79b48", "25f0014305b8418da278629ee9726f9b3aa79b48")</f>
        <v>0</v>
      </c>
      <c r="D99" t="s">
        <v>1426</v>
      </c>
      <c r="E99" t="s">
        <v>1442</v>
      </c>
      <c r="F99" t="s">
        <v>1496</v>
      </c>
      <c r="G99" t="s">
        <v>1560</v>
      </c>
      <c r="H99" t="s">
        <v>1703</v>
      </c>
      <c r="I99" t="s">
        <v>1357</v>
      </c>
      <c r="J99" t="s">
        <v>1357</v>
      </c>
      <c r="K99" t="s">
        <v>1357</v>
      </c>
      <c r="L99" t="s">
        <v>1357</v>
      </c>
    </row>
    <row r="100" spans="1:12">
      <c r="H100" t="s">
        <v>1704</v>
      </c>
      <c r="I100" t="s">
        <v>1357</v>
      </c>
      <c r="J100" t="s">
        <v>1357</v>
      </c>
      <c r="K100" t="s">
        <v>1357</v>
      </c>
      <c r="L100" t="s">
        <v>1357</v>
      </c>
    </row>
    <row r="101" spans="1:12">
      <c r="H101" t="s">
        <v>1705</v>
      </c>
      <c r="I101" t="s">
        <v>1357</v>
      </c>
      <c r="J101" t="s">
        <v>1357</v>
      </c>
      <c r="K101" t="s">
        <v>1357</v>
      </c>
      <c r="L101" t="s">
        <v>1357</v>
      </c>
    </row>
    <row r="102" spans="1:12">
      <c r="H102" t="s">
        <v>1706</v>
      </c>
      <c r="I102" t="s">
        <v>1357</v>
      </c>
      <c r="J102" t="s">
        <v>1357</v>
      </c>
      <c r="K102" t="s">
        <v>1357</v>
      </c>
      <c r="L102" t="s">
        <v>1357</v>
      </c>
    </row>
    <row r="103" spans="1:12">
      <c r="A103" t="s">
        <v>1391</v>
      </c>
      <c r="B103">
        <f>HYPERLINK("https://github.com/google/gson/commit/114633fbf933c3085a189d20c62fadae0398fb39", "114633fbf933c3085a189d20c62fadae0398fb39")</f>
        <v>0</v>
      </c>
      <c r="C103">
        <f>HYPERLINK("https://github.com/google/gson/commit/ea48a1debfaa863d29dac8ddee9a4dd5a55ed785", "ea48a1debfaa863d29dac8ddee9a4dd5a55ed785")</f>
        <v>0</v>
      </c>
      <c r="D103" t="s">
        <v>1427</v>
      </c>
      <c r="E103" t="s">
        <v>1443</v>
      </c>
      <c r="F103" t="s">
        <v>1497</v>
      </c>
      <c r="G103" t="s">
        <v>1561</v>
      </c>
      <c r="H103" t="s">
        <v>1707</v>
      </c>
      <c r="I103" t="s">
        <v>1357</v>
      </c>
      <c r="J103" t="s">
        <v>1357</v>
      </c>
      <c r="K103" t="s">
        <v>1357</v>
      </c>
      <c r="L103" t="s">
        <v>1357</v>
      </c>
    </row>
    <row r="104" spans="1:12">
      <c r="H104" t="s">
        <v>1708</v>
      </c>
      <c r="I104" t="s">
        <v>1357</v>
      </c>
      <c r="J104" t="s">
        <v>1357</v>
      </c>
      <c r="K104" t="s">
        <v>1357</v>
      </c>
      <c r="L104" t="s">
        <v>1357</v>
      </c>
    </row>
    <row r="105" spans="1:12">
      <c r="F105" t="s">
        <v>1498</v>
      </c>
      <c r="G105" t="s">
        <v>1562</v>
      </c>
      <c r="H105" t="s">
        <v>1709</v>
      </c>
      <c r="I105" t="s">
        <v>1357</v>
      </c>
      <c r="J105" t="s">
        <v>1357</v>
      </c>
      <c r="K105" t="s">
        <v>1357</v>
      </c>
      <c r="L105" t="s">
        <v>1357</v>
      </c>
    </row>
    <row r="106" spans="1:12">
      <c r="F106" t="s">
        <v>1499</v>
      </c>
      <c r="G106" t="s">
        <v>1563</v>
      </c>
      <c r="H106" t="s">
        <v>1710</v>
      </c>
      <c r="I106" t="s">
        <v>1357</v>
      </c>
      <c r="J106" t="s">
        <v>1357</v>
      </c>
      <c r="K106" t="s">
        <v>1357</v>
      </c>
      <c r="L106" t="s">
        <v>1357</v>
      </c>
    </row>
    <row r="107" spans="1:12">
      <c r="A107" t="s">
        <v>1392</v>
      </c>
      <c r="B107">
        <f>HYPERLINK("https://github.com/google/gson/commit/0c35edab6584a01d89ec5533ee6acac8f7002a8b", "0c35edab6584a01d89ec5533ee6acac8f7002a8b")</f>
        <v>0</v>
      </c>
      <c r="C107">
        <f>HYPERLINK("https://github.com/google/gson/commit/912add077989dc06977fe31209d4d8d125bce8d4", "912add077989dc06977fe31209d4d8d125bce8d4")</f>
        <v>0</v>
      </c>
      <c r="D107" t="s">
        <v>1426</v>
      </c>
      <c r="E107" t="s">
        <v>1444</v>
      </c>
      <c r="F107" t="s">
        <v>1500</v>
      </c>
      <c r="G107" t="s">
        <v>1564</v>
      </c>
      <c r="H107" t="s">
        <v>1711</v>
      </c>
      <c r="I107" t="s">
        <v>1358</v>
      </c>
      <c r="J107" t="s">
        <v>1358</v>
      </c>
      <c r="K107" t="s">
        <v>1358</v>
      </c>
      <c r="L107" t="s">
        <v>1358</v>
      </c>
    </row>
    <row r="108" spans="1:12">
      <c r="A108" t="s">
        <v>1393</v>
      </c>
      <c r="B108">
        <f>HYPERLINK("https://github.com/google/gson/commit/4917fc7f7628518ade0dfa11464192a17af1c7d1", "4917fc7f7628518ade0dfa11464192a17af1c7d1")</f>
        <v>0</v>
      </c>
      <c r="C108">
        <f>HYPERLINK("https://github.com/google/gson/commit/7f9762db633dde22b801e365d4ae02d50acaa6bf", "7f9762db633dde22b801e365d4ae02d50acaa6bf")</f>
        <v>0</v>
      </c>
      <c r="D108" t="s">
        <v>1427</v>
      </c>
      <c r="E108" t="s">
        <v>1445</v>
      </c>
      <c r="F108" t="s">
        <v>1483</v>
      </c>
      <c r="G108" t="s">
        <v>1548</v>
      </c>
      <c r="H108" t="s">
        <v>1712</v>
      </c>
      <c r="I108" t="s">
        <v>1357</v>
      </c>
      <c r="J108" t="s">
        <v>1357</v>
      </c>
      <c r="K108" t="s">
        <v>1357</v>
      </c>
      <c r="L108" t="s">
        <v>1357</v>
      </c>
    </row>
    <row r="109" spans="1:12">
      <c r="H109" t="s">
        <v>1713</v>
      </c>
      <c r="I109" t="s">
        <v>1357</v>
      </c>
      <c r="J109" t="s">
        <v>1357</v>
      </c>
      <c r="K109" t="s">
        <v>1357</v>
      </c>
      <c r="L109" t="s">
        <v>1357</v>
      </c>
    </row>
    <row r="110" spans="1:12">
      <c r="H110" t="s">
        <v>1714</v>
      </c>
      <c r="I110" t="s">
        <v>1357</v>
      </c>
      <c r="J110" t="s">
        <v>1357</v>
      </c>
      <c r="K110" t="s">
        <v>1357</v>
      </c>
      <c r="L110" t="s">
        <v>1357</v>
      </c>
    </row>
    <row r="111" spans="1:12">
      <c r="H111" t="s">
        <v>1715</v>
      </c>
      <c r="I111" t="s">
        <v>1357</v>
      </c>
      <c r="J111" t="s">
        <v>1357</v>
      </c>
      <c r="K111" t="s">
        <v>1357</v>
      </c>
      <c r="L111" t="s">
        <v>1357</v>
      </c>
    </row>
    <row r="112" spans="1:12">
      <c r="H112" t="s">
        <v>1716</v>
      </c>
      <c r="I112" t="s">
        <v>1357</v>
      </c>
      <c r="J112" t="s">
        <v>1357</v>
      </c>
      <c r="K112" t="s">
        <v>1357</v>
      </c>
      <c r="L112" t="s">
        <v>1357</v>
      </c>
    </row>
    <row r="113" spans="1:12">
      <c r="H113" t="s">
        <v>1717</v>
      </c>
      <c r="I113" t="s">
        <v>1357</v>
      </c>
      <c r="J113" t="s">
        <v>1357</v>
      </c>
      <c r="K113" t="s">
        <v>1357</v>
      </c>
      <c r="L113" t="s">
        <v>1357</v>
      </c>
    </row>
    <row r="114" spans="1:12">
      <c r="H114" t="s">
        <v>1718</v>
      </c>
      <c r="I114" t="s">
        <v>1357</v>
      </c>
      <c r="J114" t="s">
        <v>1357</v>
      </c>
      <c r="K114" t="s">
        <v>1357</v>
      </c>
      <c r="L114" t="s">
        <v>1357</v>
      </c>
    </row>
    <row r="115" spans="1:12">
      <c r="H115" t="s">
        <v>1719</v>
      </c>
      <c r="I115" t="s">
        <v>1357</v>
      </c>
      <c r="J115" t="s">
        <v>1357</v>
      </c>
      <c r="K115" t="s">
        <v>1357</v>
      </c>
      <c r="L115" t="s">
        <v>1357</v>
      </c>
    </row>
    <row r="116" spans="1:12">
      <c r="H116" t="s">
        <v>1720</v>
      </c>
      <c r="I116" t="s">
        <v>1357</v>
      </c>
      <c r="J116" t="s">
        <v>1357</v>
      </c>
      <c r="K116" t="s">
        <v>1357</v>
      </c>
      <c r="L116" t="s">
        <v>1357</v>
      </c>
    </row>
    <row r="117" spans="1:12">
      <c r="H117" t="s">
        <v>1721</v>
      </c>
      <c r="I117" t="s">
        <v>1357</v>
      </c>
      <c r="J117" t="s">
        <v>1357</v>
      </c>
      <c r="K117" t="s">
        <v>1357</v>
      </c>
      <c r="L117" t="s">
        <v>1357</v>
      </c>
    </row>
    <row r="118" spans="1:12">
      <c r="H118" t="s">
        <v>1722</v>
      </c>
      <c r="I118" t="s">
        <v>1357</v>
      </c>
      <c r="J118" t="s">
        <v>1357</v>
      </c>
      <c r="K118" t="s">
        <v>1357</v>
      </c>
      <c r="L118" t="s">
        <v>1357</v>
      </c>
    </row>
    <row r="119" spans="1:12">
      <c r="H119" t="s">
        <v>1723</v>
      </c>
      <c r="I119" t="s">
        <v>1357</v>
      </c>
      <c r="J119" t="s">
        <v>1357</v>
      </c>
      <c r="K119" t="s">
        <v>1357</v>
      </c>
      <c r="L119" t="s">
        <v>1357</v>
      </c>
    </row>
    <row r="120" spans="1:12">
      <c r="H120" t="s">
        <v>1724</v>
      </c>
      <c r="I120" t="s">
        <v>1357</v>
      </c>
      <c r="J120" t="s">
        <v>1357</v>
      </c>
      <c r="K120" t="s">
        <v>1357</v>
      </c>
      <c r="L120" t="s">
        <v>1357</v>
      </c>
    </row>
    <row r="121" spans="1:12">
      <c r="A121" t="s">
        <v>1394</v>
      </c>
      <c r="B121">
        <f>HYPERLINK("https://github.com/google/gson/commit/9cf579ef01e66dad2ffe907350d2d088497138a8", "9cf579ef01e66dad2ffe907350d2d088497138a8")</f>
        <v>0</v>
      </c>
      <c r="C121">
        <f>HYPERLINK("https://github.com/google/gson/commit/041d499a7c4af1b70617001ded11dbc01732d97f", "041d499a7c4af1b70617001ded11dbc01732d97f")</f>
        <v>0</v>
      </c>
      <c r="D121" t="s">
        <v>1428</v>
      </c>
      <c r="E121" t="s">
        <v>1446</v>
      </c>
      <c r="F121" t="s">
        <v>1501</v>
      </c>
      <c r="G121" t="s">
        <v>1565</v>
      </c>
      <c r="H121" t="s">
        <v>1725</v>
      </c>
      <c r="I121" t="s">
        <v>1357</v>
      </c>
      <c r="J121" t="s">
        <v>1357</v>
      </c>
      <c r="K121" t="s">
        <v>1357</v>
      </c>
      <c r="L121" t="s">
        <v>1357</v>
      </c>
    </row>
    <row r="122" spans="1:12">
      <c r="H122" t="s">
        <v>1726</v>
      </c>
      <c r="I122" t="s">
        <v>1357</v>
      </c>
      <c r="J122" t="s">
        <v>1357</v>
      </c>
      <c r="K122" t="s">
        <v>1357</v>
      </c>
      <c r="L122" t="s">
        <v>1357</v>
      </c>
    </row>
    <row r="123" spans="1:12">
      <c r="H123" t="s">
        <v>1727</v>
      </c>
      <c r="I123" t="s">
        <v>1357</v>
      </c>
      <c r="J123" t="s">
        <v>1357</v>
      </c>
      <c r="K123" t="s">
        <v>1357</v>
      </c>
      <c r="L123" t="s">
        <v>1357</v>
      </c>
    </row>
    <row r="124" spans="1:12">
      <c r="H124" t="s">
        <v>1728</v>
      </c>
      <c r="I124" t="s">
        <v>1357</v>
      </c>
      <c r="J124" t="s">
        <v>1357</v>
      </c>
      <c r="K124" t="s">
        <v>1357</v>
      </c>
      <c r="L124" t="s">
        <v>1357</v>
      </c>
    </row>
    <row r="125" spans="1:12">
      <c r="H125" t="s">
        <v>1729</v>
      </c>
      <c r="I125" t="s">
        <v>1357</v>
      </c>
      <c r="J125" t="s">
        <v>1357</v>
      </c>
      <c r="K125" t="s">
        <v>1357</v>
      </c>
      <c r="L125" t="s">
        <v>1357</v>
      </c>
    </row>
    <row r="126" spans="1:12">
      <c r="H126" t="s">
        <v>1730</v>
      </c>
      <c r="I126" t="s">
        <v>1357</v>
      </c>
      <c r="J126" t="s">
        <v>1357</v>
      </c>
      <c r="K126" t="s">
        <v>1357</v>
      </c>
      <c r="L126" t="s">
        <v>1357</v>
      </c>
    </row>
    <row r="127" spans="1:12">
      <c r="H127" t="s">
        <v>1731</v>
      </c>
      <c r="I127" t="s">
        <v>1357</v>
      </c>
      <c r="J127" t="s">
        <v>1357</v>
      </c>
      <c r="K127" t="s">
        <v>1357</v>
      </c>
      <c r="L127" t="s">
        <v>1357</v>
      </c>
    </row>
    <row r="128" spans="1:12">
      <c r="H128" t="s">
        <v>1732</v>
      </c>
      <c r="I128" t="s">
        <v>1357</v>
      </c>
      <c r="J128" t="s">
        <v>1357</v>
      </c>
      <c r="K128" t="s">
        <v>1357</v>
      </c>
      <c r="L128" t="s">
        <v>1357</v>
      </c>
    </row>
    <row r="129" spans="1:12">
      <c r="H129" t="s">
        <v>1733</v>
      </c>
      <c r="I129" t="s">
        <v>1357</v>
      </c>
      <c r="J129" t="s">
        <v>1357</v>
      </c>
      <c r="K129" t="s">
        <v>1357</v>
      </c>
      <c r="L129" t="s">
        <v>1357</v>
      </c>
    </row>
    <row r="130" spans="1:12">
      <c r="H130" t="s">
        <v>1734</v>
      </c>
      <c r="I130" t="s">
        <v>1357</v>
      </c>
      <c r="J130" t="s">
        <v>1357</v>
      </c>
      <c r="K130" t="s">
        <v>1357</v>
      </c>
      <c r="L130" t="s">
        <v>1357</v>
      </c>
    </row>
    <row r="131" spans="1:12">
      <c r="H131" t="s">
        <v>1735</v>
      </c>
      <c r="I131" t="s">
        <v>1357</v>
      </c>
      <c r="J131" t="s">
        <v>1357</v>
      </c>
      <c r="K131" t="s">
        <v>1357</v>
      </c>
      <c r="L131" t="s">
        <v>1357</v>
      </c>
    </row>
    <row r="132" spans="1:12">
      <c r="H132" t="s">
        <v>1736</v>
      </c>
      <c r="I132" t="s">
        <v>1357</v>
      </c>
      <c r="J132" t="s">
        <v>1357</v>
      </c>
      <c r="K132" t="s">
        <v>1357</v>
      </c>
      <c r="L132" t="s">
        <v>1357</v>
      </c>
    </row>
    <row r="133" spans="1:12">
      <c r="H133" t="s">
        <v>1737</v>
      </c>
      <c r="I133" t="s">
        <v>1357</v>
      </c>
      <c r="J133" t="s">
        <v>1357</v>
      </c>
      <c r="K133" t="s">
        <v>1357</v>
      </c>
      <c r="L133" t="s">
        <v>1357</v>
      </c>
    </row>
    <row r="134" spans="1:12">
      <c r="H134" t="s">
        <v>1738</v>
      </c>
      <c r="I134" t="s">
        <v>1357</v>
      </c>
      <c r="J134" t="s">
        <v>1357</v>
      </c>
      <c r="K134" t="s">
        <v>1357</v>
      </c>
      <c r="L134" t="s">
        <v>1357</v>
      </c>
    </row>
    <row r="135" spans="1:12">
      <c r="H135" t="s">
        <v>1739</v>
      </c>
      <c r="I135" t="s">
        <v>1357</v>
      </c>
      <c r="J135" t="s">
        <v>1357</v>
      </c>
      <c r="K135" t="s">
        <v>1357</v>
      </c>
      <c r="L135" t="s">
        <v>1357</v>
      </c>
    </row>
    <row r="136" spans="1:12">
      <c r="H136" t="s">
        <v>1740</v>
      </c>
      <c r="I136" t="s">
        <v>1357</v>
      </c>
      <c r="J136" t="s">
        <v>1357</v>
      </c>
      <c r="K136" t="s">
        <v>1357</v>
      </c>
      <c r="L136" t="s">
        <v>1357</v>
      </c>
    </row>
    <row r="137" spans="1:12">
      <c r="A137" t="s">
        <v>1395</v>
      </c>
      <c r="B137">
        <f>HYPERLINK("https://github.com/google/gson/commit/f67940cb638fcf4d3443b057176bb1b84d054ac0", "f67940cb638fcf4d3443b057176bb1b84d054ac0")</f>
        <v>0</v>
      </c>
      <c r="C137">
        <f>HYPERLINK("https://github.com/google/gson/commit/ea9c0236c79134cd2ecdd1b6d244a584e7fc6c22", "ea9c0236c79134cd2ecdd1b6d244a584e7fc6c22")</f>
        <v>0</v>
      </c>
      <c r="D137" t="s">
        <v>1428</v>
      </c>
      <c r="E137" t="s">
        <v>1447</v>
      </c>
      <c r="F137" t="s">
        <v>1502</v>
      </c>
      <c r="G137" t="s">
        <v>1566</v>
      </c>
      <c r="H137" t="s">
        <v>1741</v>
      </c>
      <c r="I137" t="s">
        <v>1357</v>
      </c>
      <c r="J137" t="s">
        <v>1357</v>
      </c>
      <c r="K137" t="s">
        <v>1357</v>
      </c>
      <c r="L137" t="s">
        <v>1357</v>
      </c>
    </row>
    <row r="138" spans="1:12">
      <c r="H138" t="s">
        <v>1742</v>
      </c>
      <c r="I138" t="s">
        <v>1357</v>
      </c>
      <c r="J138" t="s">
        <v>1357</v>
      </c>
      <c r="K138" t="s">
        <v>1357</v>
      </c>
      <c r="L138" t="s">
        <v>1357</v>
      </c>
    </row>
    <row r="139" spans="1:12">
      <c r="H139" t="s">
        <v>1743</v>
      </c>
      <c r="I139" t="s">
        <v>1357</v>
      </c>
      <c r="J139" t="s">
        <v>1357</v>
      </c>
      <c r="K139" t="s">
        <v>1357</v>
      </c>
      <c r="L139" t="s">
        <v>1357</v>
      </c>
    </row>
    <row r="140" spans="1:12">
      <c r="A140" t="s">
        <v>1396</v>
      </c>
      <c r="B140">
        <f>HYPERLINK("https://github.com/google/gson/commit/e19672d0a394d552469147e12a70bf81413f0076", "e19672d0a394d552469147e12a70bf81413f0076")</f>
        <v>0</v>
      </c>
      <c r="C140">
        <f>HYPERLINK("https://github.com/google/gson/commit/ba283925ae8503ca72f326486a3518fb517df5b7", "ba283925ae8503ca72f326486a3518fb517df5b7")</f>
        <v>0</v>
      </c>
      <c r="D140" t="s">
        <v>1428</v>
      </c>
      <c r="E140" t="s">
        <v>1448</v>
      </c>
      <c r="F140" t="s">
        <v>1480</v>
      </c>
      <c r="G140" t="s">
        <v>1546</v>
      </c>
      <c r="H140" t="s">
        <v>1744</v>
      </c>
      <c r="I140" t="s">
        <v>1357</v>
      </c>
      <c r="J140" t="s">
        <v>1357</v>
      </c>
      <c r="K140" t="s">
        <v>1357</v>
      </c>
      <c r="L140" t="s">
        <v>1357</v>
      </c>
    </row>
    <row r="141" spans="1:12">
      <c r="H141" t="s">
        <v>1745</v>
      </c>
      <c r="I141" t="s">
        <v>1357</v>
      </c>
      <c r="J141" t="s">
        <v>1357</v>
      </c>
      <c r="K141" t="s">
        <v>1357</v>
      </c>
      <c r="L141" t="s">
        <v>1357</v>
      </c>
    </row>
    <row r="142" spans="1:12">
      <c r="H142" t="s">
        <v>1746</v>
      </c>
      <c r="I142" t="s">
        <v>1357</v>
      </c>
      <c r="J142" t="s">
        <v>1357</v>
      </c>
      <c r="K142" t="s">
        <v>1357</v>
      </c>
      <c r="L142" t="s">
        <v>1357</v>
      </c>
    </row>
    <row r="143" spans="1:12">
      <c r="H143" t="s">
        <v>1747</v>
      </c>
      <c r="I143" t="s">
        <v>1357</v>
      </c>
      <c r="J143" t="s">
        <v>1357</v>
      </c>
      <c r="K143" t="s">
        <v>1357</v>
      </c>
      <c r="L143" t="s">
        <v>1357</v>
      </c>
    </row>
    <row r="144" spans="1:12">
      <c r="H144" t="s">
        <v>1748</v>
      </c>
      <c r="I144" t="s">
        <v>1357</v>
      </c>
      <c r="J144" t="s">
        <v>1357</v>
      </c>
      <c r="K144" t="s">
        <v>1357</v>
      </c>
      <c r="L144" t="s">
        <v>1357</v>
      </c>
    </row>
    <row r="145" spans="1:14">
      <c r="H145" t="s">
        <v>1749</v>
      </c>
      <c r="I145" t="s">
        <v>1357</v>
      </c>
      <c r="J145" t="s">
        <v>1357</v>
      </c>
      <c r="K145" t="s">
        <v>1357</v>
      </c>
      <c r="L145" t="s">
        <v>1357</v>
      </c>
    </row>
    <row r="146" spans="1:14">
      <c r="H146" t="s">
        <v>1750</v>
      </c>
      <c r="I146" t="s">
        <v>1357</v>
      </c>
      <c r="J146" t="s">
        <v>1357</v>
      </c>
      <c r="K146" t="s">
        <v>1357</v>
      </c>
      <c r="L146" t="s">
        <v>1357</v>
      </c>
    </row>
    <row r="147" spans="1:14">
      <c r="H147" t="s">
        <v>1751</v>
      </c>
      <c r="I147" t="s">
        <v>1358</v>
      </c>
      <c r="J147" t="s">
        <v>1358</v>
      </c>
      <c r="K147" t="s">
        <v>1358</v>
      </c>
      <c r="L147" t="s">
        <v>1358</v>
      </c>
    </row>
    <row r="148" spans="1:14">
      <c r="A148" t="s">
        <v>1397</v>
      </c>
      <c r="B148">
        <f>HYPERLINK("https://github.com/google/gson/commit/da67003eeff2c506a2c84ac0ee4191a9e11c25df", "da67003eeff2c506a2c84ac0ee4191a9e11c25df")</f>
        <v>0</v>
      </c>
      <c r="C148">
        <f>HYPERLINK("https://github.com/google/gson/commit/a7e9ac36123ad66ec4ac9a7dff3197276b55d5d1", "a7e9ac36123ad66ec4ac9a7dff3197276b55d5d1")</f>
        <v>0</v>
      </c>
      <c r="D148" t="s">
        <v>1428</v>
      </c>
      <c r="E148" t="s">
        <v>1449</v>
      </c>
      <c r="F148" t="s">
        <v>1480</v>
      </c>
      <c r="G148" t="s">
        <v>1546</v>
      </c>
      <c r="H148" t="s">
        <v>1752</v>
      </c>
      <c r="I148" t="s">
        <v>1359</v>
      </c>
      <c r="J148" t="s">
        <v>1358</v>
      </c>
      <c r="K148" t="s">
        <v>1358</v>
      </c>
      <c r="L148" t="s">
        <v>1357</v>
      </c>
    </row>
    <row r="149" spans="1:14">
      <c r="A149" t="s">
        <v>1398</v>
      </c>
      <c r="B149">
        <f>HYPERLINK("https://github.com/google/gson/commit/9424949245bb46bd63f3fed83e67daa9fdbdbff9", "9424949245bb46bd63f3fed83e67daa9fdbdbff9")</f>
        <v>0</v>
      </c>
      <c r="C149">
        <f>HYPERLINK("https://github.com/google/gson/commit/99801915aa324c4d07b852e23debfbcefb1a3007", "99801915aa324c4d07b852e23debfbcefb1a3007")</f>
        <v>0</v>
      </c>
      <c r="D149" t="s">
        <v>1428</v>
      </c>
      <c r="E149" t="s">
        <v>1450</v>
      </c>
      <c r="F149" t="s">
        <v>1503</v>
      </c>
      <c r="G149" t="s">
        <v>1567</v>
      </c>
      <c r="H149" t="s">
        <v>1753</v>
      </c>
      <c r="I149" t="s">
        <v>1357</v>
      </c>
      <c r="J149" t="s">
        <v>1357</v>
      </c>
      <c r="K149" t="s">
        <v>1357</v>
      </c>
      <c r="L149" t="s">
        <v>1357</v>
      </c>
    </row>
    <row r="150" spans="1:14">
      <c r="A150" t="s">
        <v>1399</v>
      </c>
      <c r="B150">
        <f>HYPERLINK("https://github.com/google/gson/commit/e7566085683827ae9278880c38e21a80ccd573d9", "e7566085683827ae9278880c38e21a80ccd573d9")</f>
        <v>0</v>
      </c>
      <c r="C150">
        <f>HYPERLINK("https://github.com/google/gson/commit/fede584b9811f35432a936af0c9441f4e05df80a", "fede584b9811f35432a936af0c9441f4e05df80a")</f>
        <v>0</v>
      </c>
      <c r="D150" t="s">
        <v>1428</v>
      </c>
      <c r="E150" t="s">
        <v>1451</v>
      </c>
      <c r="F150" t="s">
        <v>1504</v>
      </c>
      <c r="G150" t="s">
        <v>1568</v>
      </c>
      <c r="H150" t="s">
        <v>1754</v>
      </c>
      <c r="I150" t="s">
        <v>1357</v>
      </c>
      <c r="J150" t="s">
        <v>1357</v>
      </c>
      <c r="K150" t="s">
        <v>1357</v>
      </c>
      <c r="L150" t="s">
        <v>1357</v>
      </c>
    </row>
    <row r="151" spans="1:14">
      <c r="H151" t="s">
        <v>1755</v>
      </c>
      <c r="I151" t="s">
        <v>1357</v>
      </c>
      <c r="J151" t="s">
        <v>1357</v>
      </c>
      <c r="K151" t="s">
        <v>1357</v>
      </c>
      <c r="L151" t="s">
        <v>1357</v>
      </c>
    </row>
    <row r="152" spans="1:14">
      <c r="F152" t="s">
        <v>1505</v>
      </c>
      <c r="G152" t="s">
        <v>1569</v>
      </c>
      <c r="H152" t="s">
        <v>1756</v>
      </c>
      <c r="I152" t="s">
        <v>1358</v>
      </c>
      <c r="J152" t="s">
        <v>1358</v>
      </c>
      <c r="K152" t="s">
        <v>1358</v>
      </c>
      <c r="L152" t="s">
        <v>1358</v>
      </c>
      <c r="N152" t="s">
        <v>1871</v>
      </c>
    </row>
    <row r="153" spans="1:14">
      <c r="H153" t="s">
        <v>1757</v>
      </c>
      <c r="I153" t="s">
        <v>1358</v>
      </c>
      <c r="J153" t="s">
        <v>1358</v>
      </c>
      <c r="K153" t="s">
        <v>1358</v>
      </c>
      <c r="L153" t="s">
        <v>1358</v>
      </c>
      <c r="N153" t="s">
        <v>1871</v>
      </c>
    </row>
    <row r="154" spans="1:14">
      <c r="A154" t="s">
        <v>1400</v>
      </c>
      <c r="B154">
        <f>HYPERLINK("https://github.com/google/gson/commit/25c6ae177b1ca56db7f3c29eb574bdd032a06165", "25c6ae177b1ca56db7f3c29eb574bdd032a06165")</f>
        <v>0</v>
      </c>
      <c r="C154">
        <f>HYPERLINK("https://github.com/google/gson/commit/cdd5d80b85155c21c61f888fb3e70c65e72edef7", "cdd5d80b85155c21c61f888fb3e70c65e72edef7")</f>
        <v>0</v>
      </c>
      <c r="D154" t="s">
        <v>1428</v>
      </c>
      <c r="E154" t="s">
        <v>1452</v>
      </c>
      <c r="F154" t="s">
        <v>1506</v>
      </c>
      <c r="G154" t="s">
        <v>1570</v>
      </c>
      <c r="H154" t="s">
        <v>1758</v>
      </c>
      <c r="I154" t="s">
        <v>1357</v>
      </c>
      <c r="J154" t="s">
        <v>1357</v>
      </c>
      <c r="K154" t="s">
        <v>1357</v>
      </c>
      <c r="L154" t="s">
        <v>1357</v>
      </c>
    </row>
    <row r="155" spans="1:14">
      <c r="H155" t="s">
        <v>1759</v>
      </c>
      <c r="I155" t="s">
        <v>1357</v>
      </c>
      <c r="J155" t="s">
        <v>1357</v>
      </c>
      <c r="K155" t="s">
        <v>1357</v>
      </c>
      <c r="L155" t="s">
        <v>1357</v>
      </c>
    </row>
    <row r="156" spans="1:14">
      <c r="F156" t="s">
        <v>1507</v>
      </c>
      <c r="G156" t="s">
        <v>1571</v>
      </c>
      <c r="H156" t="s">
        <v>1760</v>
      </c>
      <c r="I156" t="s">
        <v>1357</v>
      </c>
      <c r="J156" t="s">
        <v>1357</v>
      </c>
      <c r="K156" t="s">
        <v>1357</v>
      </c>
      <c r="L156" t="s">
        <v>1357</v>
      </c>
    </row>
    <row r="157" spans="1:14">
      <c r="H157" t="s">
        <v>1761</v>
      </c>
      <c r="I157" t="s">
        <v>1357</v>
      </c>
      <c r="J157" t="s">
        <v>1357</v>
      </c>
      <c r="K157" t="s">
        <v>1357</v>
      </c>
      <c r="L157" t="s">
        <v>1357</v>
      </c>
    </row>
    <row r="158" spans="1:14">
      <c r="H158" t="s">
        <v>1762</v>
      </c>
      <c r="I158" t="s">
        <v>1357</v>
      </c>
      <c r="J158" t="s">
        <v>1357</v>
      </c>
      <c r="K158" t="s">
        <v>1357</v>
      </c>
      <c r="L158" t="s">
        <v>1357</v>
      </c>
    </row>
    <row r="159" spans="1:14">
      <c r="F159" t="s">
        <v>1508</v>
      </c>
      <c r="G159" t="s">
        <v>1572</v>
      </c>
      <c r="H159" t="s">
        <v>1763</v>
      </c>
      <c r="I159" t="s">
        <v>1357</v>
      </c>
      <c r="J159" t="s">
        <v>1357</v>
      </c>
      <c r="K159" t="s">
        <v>1357</v>
      </c>
      <c r="L159" t="s">
        <v>1357</v>
      </c>
    </row>
    <row r="160" spans="1:14">
      <c r="H160" t="s">
        <v>1764</v>
      </c>
      <c r="I160" t="s">
        <v>1357</v>
      </c>
      <c r="J160" t="s">
        <v>1357</v>
      </c>
      <c r="K160" t="s">
        <v>1357</v>
      </c>
      <c r="L160" t="s">
        <v>1357</v>
      </c>
    </row>
    <row r="161" spans="1:12">
      <c r="H161" t="s">
        <v>1765</v>
      </c>
      <c r="I161" t="s">
        <v>1357</v>
      </c>
      <c r="J161" t="s">
        <v>1357</v>
      </c>
      <c r="K161" t="s">
        <v>1357</v>
      </c>
      <c r="L161" t="s">
        <v>1357</v>
      </c>
    </row>
    <row r="162" spans="1:12">
      <c r="H162" t="s">
        <v>1079</v>
      </c>
      <c r="I162" t="s">
        <v>1357</v>
      </c>
      <c r="J162" t="s">
        <v>1357</v>
      </c>
      <c r="K162" t="s">
        <v>1357</v>
      </c>
      <c r="L162" t="s">
        <v>1357</v>
      </c>
    </row>
    <row r="163" spans="1:12">
      <c r="F163" t="s">
        <v>1509</v>
      </c>
      <c r="G163" t="s">
        <v>1573</v>
      </c>
      <c r="H163" t="s">
        <v>1766</v>
      </c>
      <c r="I163" t="s">
        <v>1357</v>
      </c>
      <c r="J163" t="s">
        <v>1357</v>
      </c>
      <c r="K163" t="s">
        <v>1357</v>
      </c>
      <c r="L163" t="s">
        <v>1357</v>
      </c>
    </row>
    <row r="164" spans="1:12">
      <c r="H164" t="s">
        <v>1767</v>
      </c>
      <c r="I164" t="s">
        <v>1357</v>
      </c>
      <c r="J164" t="s">
        <v>1357</v>
      </c>
      <c r="K164" t="s">
        <v>1357</v>
      </c>
      <c r="L164" t="s">
        <v>1357</v>
      </c>
    </row>
    <row r="165" spans="1:12">
      <c r="A165" t="s">
        <v>1401</v>
      </c>
      <c r="B165">
        <f>HYPERLINK("https://github.com/google/gson/commit/c71e61cf4830ee950b8fbc601ccadfe4d7ab6d1a", "c71e61cf4830ee950b8fbc601ccadfe4d7ab6d1a")</f>
        <v>0</v>
      </c>
      <c r="C165">
        <f>HYPERLINK("https://github.com/google/gson/commit/915c5d4d6f46ca65f60430b7a9b403be87453243", "915c5d4d6f46ca65f60430b7a9b403be87453243")</f>
        <v>0</v>
      </c>
      <c r="D165" t="s">
        <v>1426</v>
      </c>
      <c r="E165" t="s">
        <v>1453</v>
      </c>
      <c r="F165" t="s">
        <v>1481</v>
      </c>
      <c r="G165" t="s">
        <v>480</v>
      </c>
      <c r="H165" t="s">
        <v>1768</v>
      </c>
      <c r="I165" t="s">
        <v>1357</v>
      </c>
      <c r="J165" t="s">
        <v>1357</v>
      </c>
      <c r="K165" t="s">
        <v>1357</v>
      </c>
      <c r="L165" t="s">
        <v>1357</v>
      </c>
    </row>
    <row r="166" spans="1:12">
      <c r="A166" t="s">
        <v>1402</v>
      </c>
      <c r="B166">
        <f>HYPERLINK("https://github.com/google/gson/commit/2236c95c37e4ac882c20ac080e4ebc68b85b296c", "2236c95c37e4ac882c20ac080e4ebc68b85b296c")</f>
        <v>0</v>
      </c>
      <c r="C166">
        <f>HYPERLINK("https://github.com/google/gson/commit/3f261441651fe6a5f57cf4e6aa655f9661dc606a", "3f261441651fe6a5f57cf4e6aa655f9661dc606a")</f>
        <v>0</v>
      </c>
      <c r="D166" t="s">
        <v>1428</v>
      </c>
      <c r="E166" t="s">
        <v>1454</v>
      </c>
      <c r="F166" t="s">
        <v>1510</v>
      </c>
      <c r="G166" t="s">
        <v>1574</v>
      </c>
      <c r="H166" t="s">
        <v>1769</v>
      </c>
      <c r="I166" t="s">
        <v>1357</v>
      </c>
      <c r="J166" t="s">
        <v>1357</v>
      </c>
      <c r="K166" t="s">
        <v>1357</v>
      </c>
      <c r="L166" t="s">
        <v>1357</v>
      </c>
    </row>
    <row r="167" spans="1:12">
      <c r="H167" t="s">
        <v>1770</v>
      </c>
      <c r="I167" t="s">
        <v>1357</v>
      </c>
      <c r="J167" t="s">
        <v>1357</v>
      </c>
      <c r="K167" t="s">
        <v>1357</v>
      </c>
      <c r="L167" t="s">
        <v>1357</v>
      </c>
    </row>
    <row r="168" spans="1:12">
      <c r="A168" t="s">
        <v>1403</v>
      </c>
      <c r="B168">
        <f>HYPERLINK("https://github.com/google/gson/commit/172143df7c37482f8c1d43ac4bff769d40ee5ac9", "172143df7c37482f8c1d43ac4bff769d40ee5ac9")</f>
        <v>0</v>
      </c>
      <c r="C168">
        <f>HYPERLINK("https://github.com/google/gson/commit/0ac36805c22209cf736a895466f36d56536b3a8d", "0ac36805c22209cf736a895466f36d56536b3a8d")</f>
        <v>0</v>
      </c>
      <c r="D168" t="s">
        <v>1428</v>
      </c>
      <c r="E168" t="s">
        <v>1455</v>
      </c>
      <c r="F168" t="s">
        <v>1511</v>
      </c>
      <c r="G168" t="s">
        <v>1575</v>
      </c>
      <c r="H168" t="s">
        <v>1771</v>
      </c>
      <c r="I168" t="s">
        <v>1357</v>
      </c>
      <c r="J168" t="s">
        <v>1357</v>
      </c>
      <c r="K168" t="s">
        <v>1357</v>
      </c>
      <c r="L168" t="s">
        <v>1357</v>
      </c>
    </row>
    <row r="169" spans="1:12">
      <c r="F169" t="s">
        <v>1512</v>
      </c>
      <c r="G169" t="s">
        <v>1576</v>
      </c>
      <c r="H169" t="s">
        <v>1771</v>
      </c>
      <c r="I169" t="s">
        <v>1357</v>
      </c>
      <c r="J169" t="s">
        <v>1357</v>
      </c>
      <c r="K169" t="s">
        <v>1357</v>
      </c>
      <c r="L169" t="s">
        <v>1357</v>
      </c>
    </row>
    <row r="170" spans="1:12">
      <c r="A170" t="s">
        <v>1404</v>
      </c>
      <c r="B170">
        <f>HYPERLINK("https://github.com/google/gson/commit/f89e92aa9fd4c705655dbc0b0584defc996d796f", "f89e92aa9fd4c705655dbc0b0584defc996d796f")</f>
        <v>0</v>
      </c>
      <c r="C170">
        <f>HYPERLINK("https://github.com/google/gson/commit/f777a192ee13fd59048aa7ba640cc8023051c89d", "f777a192ee13fd59048aa7ba640cc8023051c89d")</f>
        <v>0</v>
      </c>
      <c r="D170" t="s">
        <v>1428</v>
      </c>
      <c r="E170" t="s">
        <v>1456</v>
      </c>
      <c r="F170" t="s">
        <v>1513</v>
      </c>
      <c r="G170" t="s">
        <v>1577</v>
      </c>
      <c r="H170" t="s">
        <v>1772</v>
      </c>
      <c r="I170" t="s">
        <v>1357</v>
      </c>
      <c r="J170" t="s">
        <v>1357</v>
      </c>
      <c r="K170" t="s">
        <v>1357</v>
      </c>
      <c r="L170" t="s">
        <v>1357</v>
      </c>
    </row>
    <row r="171" spans="1:12">
      <c r="H171" t="s">
        <v>1773</v>
      </c>
      <c r="I171" t="s">
        <v>1357</v>
      </c>
      <c r="J171" t="s">
        <v>1357</v>
      </c>
      <c r="K171" t="s">
        <v>1357</v>
      </c>
      <c r="L171" t="s">
        <v>1357</v>
      </c>
    </row>
    <row r="172" spans="1:12">
      <c r="H172" t="s">
        <v>1774</v>
      </c>
      <c r="I172" t="s">
        <v>1357</v>
      </c>
      <c r="J172" t="s">
        <v>1357</v>
      </c>
      <c r="K172" t="s">
        <v>1357</v>
      </c>
      <c r="L172" t="s">
        <v>1357</v>
      </c>
    </row>
    <row r="173" spans="1:12">
      <c r="H173" t="s">
        <v>1775</v>
      </c>
      <c r="I173" t="s">
        <v>1357</v>
      </c>
      <c r="J173" t="s">
        <v>1357</v>
      </c>
      <c r="K173" t="s">
        <v>1357</v>
      </c>
      <c r="L173" t="s">
        <v>1357</v>
      </c>
    </row>
    <row r="174" spans="1:12">
      <c r="H174" t="s">
        <v>1776</v>
      </c>
      <c r="I174" t="s">
        <v>1357</v>
      </c>
      <c r="J174" t="s">
        <v>1357</v>
      </c>
      <c r="K174" t="s">
        <v>1357</v>
      </c>
      <c r="L174" t="s">
        <v>1357</v>
      </c>
    </row>
    <row r="175" spans="1:12">
      <c r="F175" t="s">
        <v>1514</v>
      </c>
      <c r="G175" t="s">
        <v>1578</v>
      </c>
      <c r="H175" t="s">
        <v>1777</v>
      </c>
      <c r="I175" t="s">
        <v>1357</v>
      </c>
      <c r="J175" t="s">
        <v>1357</v>
      </c>
      <c r="K175" t="s">
        <v>1357</v>
      </c>
      <c r="L175" t="s">
        <v>1357</v>
      </c>
    </row>
    <row r="176" spans="1:12">
      <c r="F176" t="s">
        <v>1515</v>
      </c>
      <c r="G176" t="s">
        <v>1579</v>
      </c>
      <c r="H176" t="s">
        <v>1778</v>
      </c>
      <c r="I176" t="s">
        <v>1357</v>
      </c>
      <c r="J176" t="s">
        <v>1357</v>
      </c>
      <c r="K176" t="s">
        <v>1357</v>
      </c>
      <c r="L176" t="s">
        <v>1357</v>
      </c>
    </row>
    <row r="177" spans="6:12">
      <c r="H177" t="s">
        <v>1779</v>
      </c>
      <c r="I177" t="s">
        <v>1357</v>
      </c>
      <c r="J177" t="s">
        <v>1357</v>
      </c>
      <c r="K177" t="s">
        <v>1357</v>
      </c>
      <c r="L177" t="s">
        <v>1357</v>
      </c>
    </row>
    <row r="178" spans="6:12">
      <c r="F178" t="s">
        <v>1516</v>
      </c>
      <c r="G178" t="s">
        <v>1580</v>
      </c>
      <c r="H178" t="s">
        <v>1780</v>
      </c>
      <c r="I178" t="s">
        <v>1357</v>
      </c>
      <c r="J178" t="s">
        <v>1357</v>
      </c>
      <c r="K178" t="s">
        <v>1357</v>
      </c>
      <c r="L178" t="s">
        <v>1357</v>
      </c>
    </row>
    <row r="179" spans="6:12">
      <c r="H179" t="s">
        <v>1781</v>
      </c>
      <c r="I179" t="s">
        <v>1357</v>
      </c>
      <c r="J179" t="s">
        <v>1357</v>
      </c>
      <c r="K179" t="s">
        <v>1357</v>
      </c>
      <c r="L179" t="s">
        <v>1357</v>
      </c>
    </row>
    <row r="180" spans="6:12">
      <c r="H180" t="s">
        <v>1776</v>
      </c>
      <c r="I180" t="s">
        <v>1357</v>
      </c>
      <c r="J180" t="s">
        <v>1357</v>
      </c>
      <c r="K180" t="s">
        <v>1357</v>
      </c>
      <c r="L180" t="s">
        <v>1357</v>
      </c>
    </row>
    <row r="181" spans="6:12">
      <c r="H181" t="s">
        <v>1782</v>
      </c>
      <c r="I181" t="s">
        <v>1357</v>
      </c>
      <c r="J181" t="s">
        <v>1357</v>
      </c>
      <c r="K181" t="s">
        <v>1357</v>
      </c>
      <c r="L181" t="s">
        <v>1357</v>
      </c>
    </row>
    <row r="182" spans="6:12">
      <c r="F182" t="s">
        <v>1517</v>
      </c>
      <c r="G182" t="s">
        <v>1581</v>
      </c>
      <c r="H182" t="s">
        <v>1783</v>
      </c>
      <c r="I182" t="s">
        <v>1357</v>
      </c>
      <c r="J182" t="s">
        <v>1357</v>
      </c>
      <c r="K182" t="s">
        <v>1357</v>
      </c>
      <c r="L182" t="s">
        <v>1357</v>
      </c>
    </row>
    <row r="183" spans="6:12">
      <c r="H183" t="s">
        <v>1784</v>
      </c>
      <c r="I183" t="s">
        <v>1357</v>
      </c>
      <c r="J183" t="s">
        <v>1357</v>
      </c>
      <c r="K183" t="s">
        <v>1357</v>
      </c>
      <c r="L183" t="s">
        <v>1357</v>
      </c>
    </row>
    <row r="184" spans="6:12">
      <c r="H184" t="s">
        <v>1785</v>
      </c>
      <c r="I184" t="s">
        <v>1357</v>
      </c>
      <c r="J184" t="s">
        <v>1357</v>
      </c>
      <c r="K184" t="s">
        <v>1357</v>
      </c>
      <c r="L184" t="s">
        <v>1357</v>
      </c>
    </row>
    <row r="185" spans="6:12">
      <c r="F185" t="s">
        <v>1518</v>
      </c>
      <c r="G185" t="s">
        <v>1582</v>
      </c>
      <c r="H185" t="s">
        <v>1686</v>
      </c>
      <c r="I185" t="s">
        <v>1357</v>
      </c>
      <c r="J185" t="s">
        <v>1357</v>
      </c>
      <c r="K185" t="s">
        <v>1357</v>
      </c>
      <c r="L185" t="s">
        <v>1357</v>
      </c>
    </row>
    <row r="186" spans="6:12">
      <c r="H186" t="s">
        <v>1786</v>
      </c>
      <c r="I186" t="s">
        <v>1357</v>
      </c>
      <c r="J186" t="s">
        <v>1357</v>
      </c>
      <c r="K186" t="s">
        <v>1357</v>
      </c>
      <c r="L186" t="s">
        <v>1357</v>
      </c>
    </row>
    <row r="187" spans="6:12">
      <c r="H187" t="s">
        <v>1787</v>
      </c>
      <c r="I187" t="s">
        <v>1357</v>
      </c>
      <c r="J187" t="s">
        <v>1357</v>
      </c>
      <c r="K187" t="s">
        <v>1357</v>
      </c>
      <c r="L187" t="s">
        <v>1357</v>
      </c>
    </row>
    <row r="188" spans="6:12">
      <c r="H188" t="s">
        <v>1788</v>
      </c>
      <c r="I188" t="s">
        <v>1357</v>
      </c>
      <c r="J188" t="s">
        <v>1357</v>
      </c>
      <c r="K188" t="s">
        <v>1357</v>
      </c>
      <c r="L188" t="s">
        <v>1357</v>
      </c>
    </row>
    <row r="189" spans="6:12">
      <c r="H189" t="s">
        <v>1789</v>
      </c>
      <c r="I189" t="s">
        <v>1357</v>
      </c>
      <c r="J189" t="s">
        <v>1357</v>
      </c>
      <c r="K189" t="s">
        <v>1357</v>
      </c>
      <c r="L189" t="s">
        <v>1357</v>
      </c>
    </row>
    <row r="190" spans="6:12">
      <c r="H190" t="s">
        <v>1790</v>
      </c>
      <c r="I190" t="s">
        <v>1357</v>
      </c>
      <c r="J190" t="s">
        <v>1357</v>
      </c>
      <c r="K190" t="s">
        <v>1357</v>
      </c>
      <c r="L190" t="s">
        <v>1357</v>
      </c>
    </row>
    <row r="191" spans="6:12">
      <c r="H191" t="s">
        <v>1791</v>
      </c>
      <c r="I191" t="s">
        <v>1357</v>
      </c>
      <c r="J191" t="s">
        <v>1357</v>
      </c>
      <c r="K191" t="s">
        <v>1357</v>
      </c>
      <c r="L191" t="s">
        <v>1357</v>
      </c>
    </row>
    <row r="192" spans="6:12">
      <c r="H192" t="s">
        <v>1792</v>
      </c>
      <c r="I192" t="s">
        <v>1357</v>
      </c>
      <c r="J192" t="s">
        <v>1357</v>
      </c>
      <c r="K192" t="s">
        <v>1357</v>
      </c>
      <c r="L192" t="s">
        <v>1357</v>
      </c>
    </row>
    <row r="193" spans="1:12">
      <c r="F193" t="s">
        <v>1519</v>
      </c>
      <c r="G193" t="s">
        <v>1583</v>
      </c>
      <c r="H193" t="s">
        <v>1793</v>
      </c>
      <c r="I193" t="s">
        <v>1357</v>
      </c>
      <c r="J193" t="s">
        <v>1357</v>
      </c>
      <c r="K193" t="s">
        <v>1357</v>
      </c>
      <c r="L193" t="s">
        <v>1357</v>
      </c>
    </row>
    <row r="194" spans="1:12">
      <c r="H194" t="s">
        <v>1794</v>
      </c>
      <c r="I194" t="s">
        <v>1357</v>
      </c>
      <c r="J194" t="s">
        <v>1357</v>
      </c>
      <c r="K194" t="s">
        <v>1357</v>
      </c>
      <c r="L194" t="s">
        <v>1357</v>
      </c>
    </row>
    <row r="195" spans="1:12">
      <c r="F195" t="s">
        <v>1520</v>
      </c>
      <c r="G195" t="s">
        <v>1584</v>
      </c>
      <c r="H195" t="s">
        <v>1783</v>
      </c>
      <c r="I195" t="s">
        <v>1357</v>
      </c>
      <c r="J195" t="s">
        <v>1357</v>
      </c>
      <c r="K195" t="s">
        <v>1357</v>
      </c>
      <c r="L195" t="s">
        <v>1357</v>
      </c>
    </row>
    <row r="196" spans="1:12">
      <c r="H196" t="s">
        <v>1784</v>
      </c>
      <c r="I196" t="s">
        <v>1357</v>
      </c>
      <c r="J196" t="s">
        <v>1357</v>
      </c>
      <c r="K196" t="s">
        <v>1357</v>
      </c>
      <c r="L196" t="s">
        <v>1357</v>
      </c>
    </row>
    <row r="197" spans="1:12">
      <c r="H197" t="s">
        <v>1795</v>
      </c>
      <c r="I197" t="s">
        <v>1357</v>
      </c>
      <c r="J197" t="s">
        <v>1357</v>
      </c>
      <c r="K197" t="s">
        <v>1357</v>
      </c>
      <c r="L197" t="s">
        <v>1357</v>
      </c>
    </row>
    <row r="198" spans="1:12">
      <c r="H198" t="s">
        <v>1796</v>
      </c>
      <c r="I198" t="s">
        <v>1357</v>
      </c>
      <c r="J198" t="s">
        <v>1357</v>
      </c>
      <c r="K198" t="s">
        <v>1357</v>
      </c>
      <c r="L198" t="s">
        <v>1357</v>
      </c>
    </row>
    <row r="199" spans="1:12">
      <c r="H199" t="s">
        <v>1785</v>
      </c>
      <c r="I199" t="s">
        <v>1357</v>
      </c>
      <c r="J199" t="s">
        <v>1357</v>
      </c>
      <c r="K199" t="s">
        <v>1357</v>
      </c>
      <c r="L199" t="s">
        <v>1357</v>
      </c>
    </row>
    <row r="200" spans="1:12">
      <c r="F200" t="s">
        <v>1521</v>
      </c>
      <c r="G200" t="s">
        <v>1585</v>
      </c>
      <c r="H200" t="s">
        <v>1783</v>
      </c>
      <c r="I200" t="s">
        <v>1357</v>
      </c>
      <c r="J200" t="s">
        <v>1357</v>
      </c>
      <c r="K200" t="s">
        <v>1357</v>
      </c>
      <c r="L200" t="s">
        <v>1357</v>
      </c>
    </row>
    <row r="201" spans="1:12">
      <c r="H201" t="s">
        <v>1784</v>
      </c>
      <c r="I201" t="s">
        <v>1357</v>
      </c>
      <c r="J201" t="s">
        <v>1357</v>
      </c>
      <c r="K201" t="s">
        <v>1357</v>
      </c>
      <c r="L201" t="s">
        <v>1357</v>
      </c>
    </row>
    <row r="202" spans="1:12">
      <c r="H202" t="s">
        <v>1785</v>
      </c>
      <c r="I202" t="s">
        <v>1357</v>
      </c>
      <c r="J202" t="s">
        <v>1357</v>
      </c>
      <c r="K202" t="s">
        <v>1357</v>
      </c>
      <c r="L202" t="s">
        <v>1357</v>
      </c>
    </row>
    <row r="203" spans="1:12">
      <c r="A203" t="s">
        <v>1405</v>
      </c>
      <c r="B203">
        <f>HYPERLINK("https://github.com/google/gson/commit/fed332906debe74d0879c77a03825b66f7970c41", "fed332906debe74d0879c77a03825b66f7970c41")</f>
        <v>0</v>
      </c>
      <c r="C203">
        <f>HYPERLINK("https://github.com/google/gson/commit/0ff7d980c5430be317aca0405477dec74ab0390c", "0ff7d980c5430be317aca0405477dec74ab0390c")</f>
        <v>0</v>
      </c>
      <c r="D203" t="s">
        <v>1428</v>
      </c>
      <c r="E203" t="s">
        <v>1457</v>
      </c>
      <c r="F203" t="s">
        <v>1522</v>
      </c>
      <c r="G203" t="s">
        <v>1586</v>
      </c>
      <c r="H203" t="s">
        <v>1797</v>
      </c>
      <c r="I203" t="s">
        <v>1357</v>
      </c>
      <c r="J203" t="s">
        <v>1357</v>
      </c>
      <c r="K203" t="s">
        <v>1357</v>
      </c>
      <c r="L203" t="s">
        <v>1357</v>
      </c>
    </row>
    <row r="204" spans="1:12">
      <c r="H204" t="s">
        <v>1798</v>
      </c>
      <c r="I204" t="s">
        <v>1357</v>
      </c>
      <c r="J204" t="s">
        <v>1357</v>
      </c>
      <c r="K204" t="s">
        <v>1357</v>
      </c>
      <c r="L204" t="s">
        <v>1357</v>
      </c>
    </row>
    <row r="205" spans="1:12">
      <c r="H205" t="s">
        <v>1799</v>
      </c>
      <c r="I205" t="s">
        <v>1357</v>
      </c>
      <c r="J205" t="s">
        <v>1357</v>
      </c>
      <c r="K205" t="s">
        <v>1357</v>
      </c>
      <c r="L205" t="s">
        <v>1357</v>
      </c>
    </row>
    <row r="206" spans="1:12">
      <c r="F206" t="s">
        <v>1523</v>
      </c>
      <c r="G206" t="s">
        <v>1587</v>
      </c>
      <c r="H206" t="s">
        <v>1800</v>
      </c>
      <c r="I206" t="s">
        <v>1357</v>
      </c>
      <c r="J206" t="s">
        <v>1357</v>
      </c>
      <c r="K206" t="s">
        <v>1357</v>
      </c>
      <c r="L206" t="s">
        <v>1357</v>
      </c>
    </row>
    <row r="207" spans="1:12">
      <c r="A207" t="s">
        <v>1406</v>
      </c>
      <c r="B207">
        <f>HYPERLINK("https://github.com/google/gson/commit/aa2f61b7d8defddc2a78de43b8042178241daedb", "aa2f61b7d8defddc2a78de43b8042178241daedb")</f>
        <v>0</v>
      </c>
      <c r="C207">
        <f>HYPERLINK("https://github.com/google/gson/commit/fed332906debe74d0879c77a03825b66f7970c41", "fed332906debe74d0879c77a03825b66f7970c41")</f>
        <v>0</v>
      </c>
      <c r="D207" t="s">
        <v>1428</v>
      </c>
      <c r="E207" t="s">
        <v>1458</v>
      </c>
      <c r="F207" t="s">
        <v>1498</v>
      </c>
      <c r="G207" t="s">
        <v>1562</v>
      </c>
      <c r="H207" t="s">
        <v>1801</v>
      </c>
      <c r="I207" t="s">
        <v>1357</v>
      </c>
      <c r="J207" t="s">
        <v>1357</v>
      </c>
      <c r="K207" t="s">
        <v>1357</v>
      </c>
      <c r="L207" t="s">
        <v>1357</v>
      </c>
    </row>
    <row r="208" spans="1:12">
      <c r="A208" t="s">
        <v>1407</v>
      </c>
      <c r="B208">
        <f>HYPERLINK("https://github.com/google/gson/commit/1794182a560588973c6ec131e9c24bd39508433d", "1794182a560588973c6ec131e9c24bd39508433d")</f>
        <v>0</v>
      </c>
      <c r="C208">
        <f>HYPERLINK("https://github.com/google/gson/commit/3cbe355cb6b1ab5d84ddb75837430c3d9584119b", "3cbe355cb6b1ab5d84ddb75837430c3d9584119b")</f>
        <v>0</v>
      </c>
      <c r="D208" t="s">
        <v>1428</v>
      </c>
      <c r="E208" t="s">
        <v>1459</v>
      </c>
      <c r="F208" t="s">
        <v>1524</v>
      </c>
      <c r="G208" t="s">
        <v>1588</v>
      </c>
      <c r="H208" t="s">
        <v>1607</v>
      </c>
      <c r="I208" t="s">
        <v>1357</v>
      </c>
      <c r="J208" t="s">
        <v>1357</v>
      </c>
      <c r="K208" t="s">
        <v>1357</v>
      </c>
      <c r="L208" t="s">
        <v>1357</v>
      </c>
    </row>
    <row r="209" spans="1:14">
      <c r="H209" t="s">
        <v>1608</v>
      </c>
      <c r="I209" t="s">
        <v>1357</v>
      </c>
      <c r="J209" t="s">
        <v>1357</v>
      </c>
      <c r="K209" t="s">
        <v>1357</v>
      </c>
      <c r="L209" t="s">
        <v>1357</v>
      </c>
    </row>
    <row r="210" spans="1:14">
      <c r="H210" t="s">
        <v>1609</v>
      </c>
      <c r="I210" t="s">
        <v>1357</v>
      </c>
      <c r="J210" t="s">
        <v>1357</v>
      </c>
      <c r="K210" t="s">
        <v>1357</v>
      </c>
      <c r="L210" t="s">
        <v>1357</v>
      </c>
    </row>
    <row r="211" spans="1:14">
      <c r="F211" t="s">
        <v>1500</v>
      </c>
      <c r="G211" t="s">
        <v>1564</v>
      </c>
      <c r="H211" t="s">
        <v>1802</v>
      </c>
      <c r="I211" t="s">
        <v>1358</v>
      </c>
      <c r="J211" t="s">
        <v>1358</v>
      </c>
      <c r="K211" t="s">
        <v>1358</v>
      </c>
      <c r="L211" t="s">
        <v>1358</v>
      </c>
      <c r="N211" t="s">
        <v>1872</v>
      </c>
    </row>
    <row r="212" spans="1:14">
      <c r="F212" t="s">
        <v>1525</v>
      </c>
      <c r="G212" t="s">
        <v>1589</v>
      </c>
      <c r="H212" t="s">
        <v>822</v>
      </c>
      <c r="I212" t="s">
        <v>1357</v>
      </c>
      <c r="J212" t="s">
        <v>1357</v>
      </c>
      <c r="K212" t="s">
        <v>1357</v>
      </c>
      <c r="L212" t="s">
        <v>1357</v>
      </c>
    </row>
    <row r="213" spans="1:14">
      <c r="H213" t="s">
        <v>1803</v>
      </c>
      <c r="I213" t="s">
        <v>1357</v>
      </c>
      <c r="J213" t="s">
        <v>1357</v>
      </c>
      <c r="K213" t="s">
        <v>1357</v>
      </c>
      <c r="L213" t="s">
        <v>1357</v>
      </c>
    </row>
    <row r="214" spans="1:14">
      <c r="H214" t="s">
        <v>1804</v>
      </c>
      <c r="I214" t="s">
        <v>1357</v>
      </c>
      <c r="J214" t="s">
        <v>1357</v>
      </c>
      <c r="K214" t="s">
        <v>1357</v>
      </c>
      <c r="L214" t="s">
        <v>1357</v>
      </c>
    </row>
    <row r="215" spans="1:14">
      <c r="H215" t="s">
        <v>1805</v>
      </c>
      <c r="I215" t="s">
        <v>1357</v>
      </c>
      <c r="J215" t="s">
        <v>1357</v>
      </c>
      <c r="K215" t="s">
        <v>1357</v>
      </c>
      <c r="L215" t="s">
        <v>1357</v>
      </c>
    </row>
    <row r="216" spans="1:14">
      <c r="H216" t="s">
        <v>1806</v>
      </c>
      <c r="I216" t="s">
        <v>1357</v>
      </c>
      <c r="J216" t="s">
        <v>1357</v>
      </c>
      <c r="K216" t="s">
        <v>1357</v>
      </c>
      <c r="L216" t="s">
        <v>1357</v>
      </c>
    </row>
    <row r="217" spans="1:14">
      <c r="H217" t="s">
        <v>1807</v>
      </c>
      <c r="I217" t="s">
        <v>1357</v>
      </c>
      <c r="J217" t="s">
        <v>1357</v>
      </c>
      <c r="K217" t="s">
        <v>1357</v>
      </c>
      <c r="L217" t="s">
        <v>1357</v>
      </c>
    </row>
    <row r="218" spans="1:14">
      <c r="H218" t="s">
        <v>1808</v>
      </c>
      <c r="I218" t="s">
        <v>1357</v>
      </c>
      <c r="J218" t="s">
        <v>1357</v>
      </c>
      <c r="K218" t="s">
        <v>1357</v>
      </c>
      <c r="L218" t="s">
        <v>1357</v>
      </c>
    </row>
    <row r="219" spans="1:14">
      <c r="H219" t="s">
        <v>1809</v>
      </c>
      <c r="I219" t="s">
        <v>1357</v>
      </c>
      <c r="J219" t="s">
        <v>1357</v>
      </c>
      <c r="K219" t="s">
        <v>1357</v>
      </c>
      <c r="L219" t="s">
        <v>1357</v>
      </c>
    </row>
    <row r="220" spans="1:14">
      <c r="H220" t="s">
        <v>1810</v>
      </c>
      <c r="I220" t="s">
        <v>1357</v>
      </c>
      <c r="J220" t="s">
        <v>1357</v>
      </c>
      <c r="K220" t="s">
        <v>1357</v>
      </c>
      <c r="L220" t="s">
        <v>1357</v>
      </c>
    </row>
    <row r="221" spans="1:14">
      <c r="A221" t="s">
        <v>1408</v>
      </c>
      <c r="B221">
        <f>HYPERLINK("https://github.com/google/gson/commit/4c06b013697d06b327f3c537e23181887aeab774", "4c06b013697d06b327f3c537e23181887aeab774")</f>
        <v>0</v>
      </c>
      <c r="C221">
        <f>HYPERLINK("https://github.com/google/gson/commit/ddde79c861cd2a3f62c33650698942cac1bb961c", "ddde79c861cd2a3f62c33650698942cac1bb961c")</f>
        <v>0</v>
      </c>
      <c r="D221" t="s">
        <v>1428</v>
      </c>
      <c r="E221" t="s">
        <v>1460</v>
      </c>
      <c r="F221" t="s">
        <v>1526</v>
      </c>
      <c r="G221" t="s">
        <v>1590</v>
      </c>
      <c r="H221" t="s">
        <v>1811</v>
      </c>
      <c r="I221" t="s">
        <v>1357</v>
      </c>
      <c r="J221" t="s">
        <v>1357</v>
      </c>
      <c r="K221" t="s">
        <v>1357</v>
      </c>
      <c r="L221" t="s">
        <v>1357</v>
      </c>
    </row>
    <row r="222" spans="1:14">
      <c r="H222" t="s">
        <v>1812</v>
      </c>
      <c r="I222" t="s">
        <v>1357</v>
      </c>
      <c r="J222" t="s">
        <v>1357</v>
      </c>
      <c r="K222" t="s">
        <v>1357</v>
      </c>
      <c r="L222" t="s">
        <v>1357</v>
      </c>
    </row>
    <row r="223" spans="1:14">
      <c r="H223" t="s">
        <v>1813</v>
      </c>
      <c r="I223" t="s">
        <v>1357</v>
      </c>
      <c r="J223" t="s">
        <v>1357</v>
      </c>
      <c r="K223" t="s">
        <v>1357</v>
      </c>
      <c r="L223" t="s">
        <v>1357</v>
      </c>
    </row>
    <row r="224" spans="1:14">
      <c r="A224" t="s">
        <v>1409</v>
      </c>
      <c r="B224">
        <f>HYPERLINK("https://github.com/google/gson/commit/7b61e784c0c55870225637de639f43fe71cc2492", "7b61e784c0c55870225637de639f43fe71cc2492")</f>
        <v>0</v>
      </c>
      <c r="C224">
        <f>HYPERLINK("https://github.com/google/gson/commit/6d351fea073bf0795dfba4ff8fc88f9557ca8979", "6d351fea073bf0795dfba4ff8fc88f9557ca8979")</f>
        <v>0</v>
      </c>
      <c r="D224" t="s">
        <v>1428</v>
      </c>
      <c r="E224" t="s">
        <v>1461</v>
      </c>
      <c r="F224" t="s">
        <v>1527</v>
      </c>
      <c r="G224" t="s">
        <v>1591</v>
      </c>
      <c r="H224" t="s">
        <v>1814</v>
      </c>
      <c r="I224" t="s">
        <v>1357</v>
      </c>
      <c r="J224" t="s">
        <v>1357</v>
      </c>
      <c r="K224" t="s">
        <v>1357</v>
      </c>
      <c r="L224" t="s">
        <v>1357</v>
      </c>
    </row>
    <row r="225" spans="1:14">
      <c r="A225" t="s">
        <v>1410</v>
      </c>
      <c r="B225">
        <f>HYPERLINK("https://github.com/google/gson/commit/dc4e43bb237c3878d12902e562ac352cbf463333", "dc4e43bb237c3878d12902e562ac352cbf463333")</f>
        <v>0</v>
      </c>
      <c r="C225">
        <f>HYPERLINK("https://github.com/google/gson/commit/c3ada66749870df16fc549a16efe1905f2ee7989", "c3ada66749870df16fc549a16efe1905f2ee7989")</f>
        <v>0</v>
      </c>
      <c r="D225" t="s">
        <v>1428</v>
      </c>
      <c r="E225" t="s">
        <v>1462</v>
      </c>
      <c r="F225" t="s">
        <v>1505</v>
      </c>
      <c r="G225" t="s">
        <v>1569</v>
      </c>
      <c r="H225" t="s">
        <v>1815</v>
      </c>
      <c r="I225" t="s">
        <v>1358</v>
      </c>
      <c r="J225" t="s">
        <v>1358</v>
      </c>
      <c r="K225" t="s">
        <v>1358</v>
      </c>
      <c r="L225" t="s">
        <v>1358</v>
      </c>
      <c r="N225" t="s">
        <v>1873</v>
      </c>
    </row>
    <row r="226" spans="1:14">
      <c r="H226" t="s">
        <v>1816</v>
      </c>
      <c r="I226" t="s">
        <v>1358</v>
      </c>
      <c r="J226" t="s">
        <v>1358</v>
      </c>
      <c r="K226" t="s">
        <v>1358</v>
      </c>
      <c r="L226" t="s">
        <v>1358</v>
      </c>
    </row>
    <row r="227" spans="1:14">
      <c r="A227" t="s">
        <v>1411</v>
      </c>
      <c r="B227">
        <f>HYPERLINK("https://github.com/google/gson/commit/d1ff7bb397d10ab60136ebaedb5db9c7009cbeca", "d1ff7bb397d10ab60136ebaedb5db9c7009cbeca")</f>
        <v>0</v>
      </c>
      <c r="C227">
        <f>HYPERLINK("https://github.com/google/gson/commit/411c5c0b502401c7af381a64e94253972b7db5f2", "411c5c0b502401c7af381a64e94253972b7db5f2")</f>
        <v>0</v>
      </c>
      <c r="D227" t="s">
        <v>1426</v>
      </c>
      <c r="E227" t="s">
        <v>1463</v>
      </c>
      <c r="F227" t="s">
        <v>1528</v>
      </c>
      <c r="G227" t="s">
        <v>1592</v>
      </c>
      <c r="H227" t="s">
        <v>1817</v>
      </c>
      <c r="I227" t="s">
        <v>1357</v>
      </c>
      <c r="J227" t="s">
        <v>1357</v>
      </c>
      <c r="K227" t="s">
        <v>1357</v>
      </c>
      <c r="L227" t="s">
        <v>1357</v>
      </c>
    </row>
    <row r="228" spans="1:14">
      <c r="A228" t="s">
        <v>1412</v>
      </c>
      <c r="B228">
        <f>HYPERLINK("https://github.com/google/gson/commit/714ac8e64399eb156abc4ce3e517185c098fb7e6", "714ac8e64399eb156abc4ce3e517185c098fb7e6")</f>
        <v>0</v>
      </c>
      <c r="C228">
        <f>HYPERLINK("https://github.com/google/gson/commit/c25278b4d6036a0e0ae758b13194813936d9e911", "c25278b4d6036a0e0ae758b13194813936d9e911")</f>
        <v>0</v>
      </c>
      <c r="D228" t="s">
        <v>1426</v>
      </c>
      <c r="E228" t="s">
        <v>1464</v>
      </c>
      <c r="F228" t="s">
        <v>1529</v>
      </c>
      <c r="G228" t="s">
        <v>1593</v>
      </c>
      <c r="H228" t="s">
        <v>1818</v>
      </c>
      <c r="I228" t="s">
        <v>1357</v>
      </c>
      <c r="J228" t="s">
        <v>1357</v>
      </c>
      <c r="K228" t="s">
        <v>1357</v>
      </c>
      <c r="L228" t="s">
        <v>1357</v>
      </c>
    </row>
    <row r="229" spans="1:14">
      <c r="A229" t="s">
        <v>1413</v>
      </c>
      <c r="B229">
        <f>HYPERLINK("https://github.com/google/gson/commit/6d90f0d894c468bc2f5b1e138ef21174ae644a0b", "6d90f0d894c468bc2f5b1e138ef21174ae644a0b")</f>
        <v>0</v>
      </c>
      <c r="C229">
        <f>HYPERLINK("https://github.com/google/gson/commit/b4d51db776325cd0da58d96d973175dc1b86b256", "b4d51db776325cd0da58d96d973175dc1b86b256")</f>
        <v>0</v>
      </c>
      <c r="D229" t="s">
        <v>1427</v>
      </c>
      <c r="E229" t="s">
        <v>1465</v>
      </c>
      <c r="F229" t="s">
        <v>1530</v>
      </c>
      <c r="G229" t="s">
        <v>1594</v>
      </c>
      <c r="H229" t="s">
        <v>1819</v>
      </c>
      <c r="I229" t="s">
        <v>1358</v>
      </c>
      <c r="J229" t="s">
        <v>1358</v>
      </c>
      <c r="K229" t="s">
        <v>1358</v>
      </c>
      <c r="L229" t="s">
        <v>1358</v>
      </c>
    </row>
    <row r="230" spans="1:14">
      <c r="A230" t="s">
        <v>1414</v>
      </c>
      <c r="B230">
        <f>HYPERLINK("https://github.com/google/gson/commit/af6aa5f782dcfc38a060d2de9476337e14ffedcb", "af6aa5f782dcfc38a060d2de9476337e14ffedcb")</f>
        <v>0</v>
      </c>
      <c r="C230">
        <f>HYPERLINK("https://github.com/google/gson/commit/7d53113ebc9ef6921c6238f013aabd10890611a0", "7d53113ebc9ef6921c6238f013aabd10890611a0")</f>
        <v>0</v>
      </c>
      <c r="D230" t="s">
        <v>1427</v>
      </c>
      <c r="E230" t="s">
        <v>1466</v>
      </c>
      <c r="F230" t="s">
        <v>1531</v>
      </c>
      <c r="G230" t="s">
        <v>1595</v>
      </c>
      <c r="H230" t="s">
        <v>1820</v>
      </c>
      <c r="I230" t="s">
        <v>1357</v>
      </c>
      <c r="J230" t="s">
        <v>1357</v>
      </c>
      <c r="K230" t="s">
        <v>1357</v>
      </c>
      <c r="L230" t="s">
        <v>1357</v>
      </c>
    </row>
    <row r="231" spans="1:14">
      <c r="H231" t="s">
        <v>1821</v>
      </c>
      <c r="I231" t="s">
        <v>1357</v>
      </c>
      <c r="J231" t="s">
        <v>1357</v>
      </c>
      <c r="K231" t="s">
        <v>1357</v>
      </c>
      <c r="L231" t="s">
        <v>1357</v>
      </c>
    </row>
    <row r="232" spans="1:14">
      <c r="H232" t="s">
        <v>1822</v>
      </c>
      <c r="I232" t="s">
        <v>1357</v>
      </c>
      <c r="J232" t="s">
        <v>1357</v>
      </c>
      <c r="K232" t="s">
        <v>1357</v>
      </c>
      <c r="L232" t="s">
        <v>1357</v>
      </c>
    </row>
    <row r="233" spans="1:14">
      <c r="H233" t="s">
        <v>1823</v>
      </c>
      <c r="I233" t="s">
        <v>1357</v>
      </c>
      <c r="J233" t="s">
        <v>1357</v>
      </c>
      <c r="K233" t="s">
        <v>1357</v>
      </c>
      <c r="L233" t="s">
        <v>1357</v>
      </c>
    </row>
    <row r="234" spans="1:14">
      <c r="H234" t="s">
        <v>1824</v>
      </c>
      <c r="I234" t="s">
        <v>1357</v>
      </c>
      <c r="J234" t="s">
        <v>1357</v>
      </c>
      <c r="K234" t="s">
        <v>1357</v>
      </c>
      <c r="L234" t="s">
        <v>1357</v>
      </c>
      <c r="M234" t="s">
        <v>1869</v>
      </c>
    </row>
    <row r="235" spans="1:14">
      <c r="H235" t="s">
        <v>1825</v>
      </c>
      <c r="I235" t="s">
        <v>1357</v>
      </c>
      <c r="J235" t="s">
        <v>1357</v>
      </c>
      <c r="K235" t="s">
        <v>1357</v>
      </c>
      <c r="L235" t="s">
        <v>1357</v>
      </c>
    </row>
    <row r="236" spans="1:14">
      <c r="A236" t="s">
        <v>1415</v>
      </c>
      <c r="B236">
        <f>HYPERLINK("https://github.com/google/gson/commit/b9998e511f3a3c19d52c104d66d78037eaff88ec", "b9998e511f3a3c19d52c104d66d78037eaff88ec")</f>
        <v>0</v>
      </c>
      <c r="C236">
        <f>HYPERLINK("https://github.com/google/gson/commit/bf549f0589105a42f159c78a621fc28087561d16", "bf549f0589105a42f159c78a621fc28087561d16")</f>
        <v>0</v>
      </c>
      <c r="D236" t="s">
        <v>1426</v>
      </c>
      <c r="E236" t="s">
        <v>1467</v>
      </c>
      <c r="F236" t="s">
        <v>1532</v>
      </c>
      <c r="G236" t="s">
        <v>1596</v>
      </c>
      <c r="H236" t="s">
        <v>1826</v>
      </c>
      <c r="I236" t="s">
        <v>1357</v>
      </c>
      <c r="J236" t="s">
        <v>1357</v>
      </c>
      <c r="K236" t="s">
        <v>1357</v>
      </c>
      <c r="L236" t="s">
        <v>1357</v>
      </c>
    </row>
    <row r="237" spans="1:14">
      <c r="H237" t="s">
        <v>1827</v>
      </c>
      <c r="I237" t="s">
        <v>1357</v>
      </c>
      <c r="J237" t="s">
        <v>1357</v>
      </c>
      <c r="K237" t="s">
        <v>1357</v>
      </c>
      <c r="L237" t="s">
        <v>1357</v>
      </c>
    </row>
    <row r="238" spans="1:14">
      <c r="H238" t="s">
        <v>1828</v>
      </c>
      <c r="I238" t="s">
        <v>1357</v>
      </c>
      <c r="J238" t="s">
        <v>1357</v>
      </c>
      <c r="K238" t="s">
        <v>1357</v>
      </c>
      <c r="L238" t="s">
        <v>1357</v>
      </c>
    </row>
    <row r="239" spans="1:14">
      <c r="H239" t="s">
        <v>1829</v>
      </c>
      <c r="I239" t="s">
        <v>1357</v>
      </c>
      <c r="J239" t="s">
        <v>1357</v>
      </c>
      <c r="K239" t="s">
        <v>1357</v>
      </c>
      <c r="L239" t="s">
        <v>1357</v>
      </c>
    </row>
    <row r="240" spans="1:14">
      <c r="H240" t="s">
        <v>1830</v>
      </c>
      <c r="I240" t="s">
        <v>1357</v>
      </c>
      <c r="J240" t="s">
        <v>1357</v>
      </c>
      <c r="K240" t="s">
        <v>1357</v>
      </c>
      <c r="L240" t="s">
        <v>1357</v>
      </c>
    </row>
    <row r="241" spans="1:14">
      <c r="H241" t="s">
        <v>1831</v>
      </c>
      <c r="I241" t="s">
        <v>1357</v>
      </c>
      <c r="J241" t="s">
        <v>1357</v>
      </c>
      <c r="K241" t="s">
        <v>1357</v>
      </c>
      <c r="L241" t="s">
        <v>1357</v>
      </c>
    </row>
    <row r="242" spans="1:14">
      <c r="H242" t="s">
        <v>1832</v>
      </c>
      <c r="I242" t="s">
        <v>1357</v>
      </c>
      <c r="J242" t="s">
        <v>1357</v>
      </c>
      <c r="K242" t="s">
        <v>1357</v>
      </c>
      <c r="L242" t="s">
        <v>1357</v>
      </c>
    </row>
    <row r="243" spans="1:14">
      <c r="H243" t="s">
        <v>1833</v>
      </c>
      <c r="I243" t="s">
        <v>1357</v>
      </c>
      <c r="J243" t="s">
        <v>1357</v>
      </c>
      <c r="K243" t="s">
        <v>1357</v>
      </c>
      <c r="L243" t="s">
        <v>1357</v>
      </c>
    </row>
    <row r="244" spans="1:14">
      <c r="A244" t="s">
        <v>1416</v>
      </c>
      <c r="B244">
        <f>HYPERLINK("https://github.com/google/gson/commit/c8627c8ab831dec86eeb52fc02600b22c81ba858", "c8627c8ab831dec86eeb52fc02600b22c81ba858")</f>
        <v>0</v>
      </c>
      <c r="C244">
        <f>HYPERLINK("https://github.com/google/gson/commit/2ab776b5f5075bd98e7eb730cb03772f2b734b45", "2ab776b5f5075bd98e7eb730cb03772f2b734b45")</f>
        <v>0</v>
      </c>
      <c r="D244" t="s">
        <v>1429</v>
      </c>
      <c r="E244" t="s">
        <v>1468</v>
      </c>
      <c r="F244" t="s">
        <v>1533</v>
      </c>
      <c r="G244" t="s">
        <v>1597</v>
      </c>
      <c r="H244" t="s">
        <v>1834</v>
      </c>
      <c r="I244" t="s">
        <v>1358</v>
      </c>
      <c r="J244" t="s">
        <v>1358</v>
      </c>
      <c r="K244" t="s">
        <v>1358</v>
      </c>
      <c r="L244" t="s">
        <v>1358</v>
      </c>
      <c r="N244" t="s">
        <v>1369</v>
      </c>
    </row>
    <row r="245" spans="1:14">
      <c r="H245" t="s">
        <v>1835</v>
      </c>
      <c r="I245" t="s">
        <v>1359</v>
      </c>
      <c r="J245" t="s">
        <v>1358</v>
      </c>
      <c r="K245" t="s">
        <v>1358</v>
      </c>
      <c r="L245" t="s">
        <v>1357</v>
      </c>
      <c r="N245" t="s">
        <v>1874</v>
      </c>
    </row>
    <row r="246" spans="1:14">
      <c r="H246" t="s">
        <v>1836</v>
      </c>
      <c r="I246" t="s">
        <v>1358</v>
      </c>
      <c r="J246" t="s">
        <v>1358</v>
      </c>
      <c r="K246" t="s">
        <v>1358</v>
      </c>
      <c r="L246" t="s">
        <v>1358</v>
      </c>
      <c r="N246" t="s">
        <v>1369</v>
      </c>
    </row>
    <row r="247" spans="1:14">
      <c r="H247" t="s">
        <v>1837</v>
      </c>
      <c r="I247" t="s">
        <v>1358</v>
      </c>
      <c r="J247" t="s">
        <v>1358</v>
      </c>
      <c r="K247" t="s">
        <v>1358</v>
      </c>
      <c r="L247" t="s">
        <v>1358</v>
      </c>
      <c r="N247" t="s">
        <v>1369</v>
      </c>
    </row>
    <row r="248" spans="1:14">
      <c r="H248" t="s">
        <v>1838</v>
      </c>
      <c r="I248" t="s">
        <v>1358</v>
      </c>
      <c r="J248" t="s">
        <v>1358</v>
      </c>
      <c r="K248" t="s">
        <v>1358</v>
      </c>
      <c r="L248" t="s">
        <v>1358</v>
      </c>
    </row>
    <row r="249" spans="1:14">
      <c r="A249" t="s">
        <v>1417</v>
      </c>
      <c r="B249">
        <f>HYPERLINK("https://github.com/google/gson/commit/79a00cd90695c9ab72f301ca30fe2cbbc1fe8e36", "79a00cd90695c9ab72f301ca30fe2cbbc1fe8e36")</f>
        <v>0</v>
      </c>
      <c r="C249">
        <f>HYPERLINK("https://github.com/google/gson/commit/c731abb293e79b26e53db3264306768fb86ef4c4", "c731abb293e79b26e53db3264306768fb86ef4c4")</f>
        <v>0</v>
      </c>
      <c r="D249" t="s">
        <v>1430</v>
      </c>
      <c r="E249" t="s">
        <v>1469</v>
      </c>
      <c r="F249" t="s">
        <v>1534</v>
      </c>
      <c r="G249" t="s">
        <v>1598</v>
      </c>
      <c r="H249" t="s">
        <v>1839</v>
      </c>
      <c r="I249" t="s">
        <v>1359</v>
      </c>
      <c r="J249" t="s">
        <v>1358</v>
      </c>
      <c r="K249" t="s">
        <v>1358</v>
      </c>
      <c r="L249" t="s">
        <v>1357</v>
      </c>
    </row>
    <row r="250" spans="1:14">
      <c r="A250" t="s">
        <v>1418</v>
      </c>
      <c r="B250">
        <f>HYPERLINK("https://github.com/google/gson/commit/26a1928277f7eba70609f02697509ba9258dd8ef", "26a1928277f7eba70609f02697509ba9258dd8ef")</f>
        <v>0</v>
      </c>
      <c r="C250">
        <f>HYPERLINK("https://github.com/google/gson/commit/f1f90313fc22c122a28716e7ecac1543e6fa253e", "f1f90313fc22c122a28716e7ecac1543e6fa253e")</f>
        <v>0</v>
      </c>
      <c r="D250" t="s">
        <v>1431</v>
      </c>
      <c r="E250" t="s">
        <v>1470</v>
      </c>
      <c r="F250" t="s">
        <v>1535</v>
      </c>
      <c r="G250" t="s">
        <v>1599</v>
      </c>
      <c r="H250" t="s">
        <v>1840</v>
      </c>
      <c r="I250" t="s">
        <v>1357</v>
      </c>
      <c r="J250" t="s">
        <v>1357</v>
      </c>
      <c r="K250" t="s">
        <v>1357</v>
      </c>
      <c r="L250" t="s">
        <v>1357</v>
      </c>
    </row>
    <row r="251" spans="1:14">
      <c r="A251" t="s">
        <v>1419</v>
      </c>
      <c r="B251">
        <f>HYPERLINK("https://github.com/google/gson/commit/e0de45ff69ba3daacc3b7623cc74fc69a4eaf6d0", "e0de45ff69ba3daacc3b7623cc74fc69a4eaf6d0")</f>
        <v>0</v>
      </c>
      <c r="C251">
        <f>HYPERLINK("https://github.com/google/gson/commit/b4dab86b105c85e6b7d7106c9ff11e3e923e3485", "b4dab86b105c85e6b7d7106c9ff11e3e923e3485")</f>
        <v>0</v>
      </c>
      <c r="D251" t="s">
        <v>1431</v>
      </c>
      <c r="E251" t="s">
        <v>1471</v>
      </c>
      <c r="F251" t="s">
        <v>1536</v>
      </c>
      <c r="G251" t="s">
        <v>1600</v>
      </c>
      <c r="H251" t="s">
        <v>1841</v>
      </c>
      <c r="I251" t="s">
        <v>1357</v>
      </c>
      <c r="J251" t="s">
        <v>1357</v>
      </c>
      <c r="K251" t="s">
        <v>1357</v>
      </c>
      <c r="L251" t="s">
        <v>1357</v>
      </c>
    </row>
    <row r="252" spans="1:14">
      <c r="H252" t="s">
        <v>1842</v>
      </c>
      <c r="I252" t="s">
        <v>1357</v>
      </c>
      <c r="J252" t="s">
        <v>1357</v>
      </c>
      <c r="K252" t="s">
        <v>1357</v>
      </c>
      <c r="L252" t="s">
        <v>1357</v>
      </c>
    </row>
    <row r="253" spans="1:14">
      <c r="H253" t="s">
        <v>1843</v>
      </c>
      <c r="I253" t="s">
        <v>1357</v>
      </c>
      <c r="J253" t="s">
        <v>1357</v>
      </c>
      <c r="K253" t="s">
        <v>1357</v>
      </c>
      <c r="L253" t="s">
        <v>1357</v>
      </c>
    </row>
    <row r="254" spans="1:14">
      <c r="H254" t="s">
        <v>1844</v>
      </c>
      <c r="I254" t="s">
        <v>1357</v>
      </c>
      <c r="J254" t="s">
        <v>1357</v>
      </c>
      <c r="K254" t="s">
        <v>1357</v>
      </c>
      <c r="L254" t="s">
        <v>1357</v>
      </c>
    </row>
    <row r="255" spans="1:14">
      <c r="H255" t="s">
        <v>1845</v>
      </c>
      <c r="I255" t="s">
        <v>1357</v>
      </c>
      <c r="J255" t="s">
        <v>1357</v>
      </c>
      <c r="K255" t="s">
        <v>1357</v>
      </c>
      <c r="L255" t="s">
        <v>1357</v>
      </c>
    </row>
    <row r="256" spans="1:14">
      <c r="H256" t="s">
        <v>1846</v>
      </c>
      <c r="I256" t="s">
        <v>1357</v>
      </c>
      <c r="J256" t="s">
        <v>1357</v>
      </c>
      <c r="K256" t="s">
        <v>1357</v>
      </c>
      <c r="L256" t="s">
        <v>1357</v>
      </c>
    </row>
    <row r="257" spans="1:12">
      <c r="H257" t="s">
        <v>1847</v>
      </c>
      <c r="I257" t="s">
        <v>1357</v>
      </c>
      <c r="J257" t="s">
        <v>1357</v>
      </c>
      <c r="K257" t="s">
        <v>1357</v>
      </c>
      <c r="L257" t="s">
        <v>1357</v>
      </c>
    </row>
    <row r="258" spans="1:12">
      <c r="H258" t="s">
        <v>1848</v>
      </c>
      <c r="I258" t="s">
        <v>1357</v>
      </c>
      <c r="J258" t="s">
        <v>1357</v>
      </c>
      <c r="K258" t="s">
        <v>1357</v>
      </c>
      <c r="L258" t="s">
        <v>1357</v>
      </c>
    </row>
    <row r="259" spans="1:12">
      <c r="H259" t="s">
        <v>1849</v>
      </c>
      <c r="I259" t="s">
        <v>1357</v>
      </c>
      <c r="J259" t="s">
        <v>1357</v>
      </c>
      <c r="K259" t="s">
        <v>1357</v>
      </c>
      <c r="L259" t="s">
        <v>1357</v>
      </c>
    </row>
    <row r="260" spans="1:12">
      <c r="H260" t="s">
        <v>1077</v>
      </c>
      <c r="I260" t="s">
        <v>1357</v>
      </c>
      <c r="J260" t="s">
        <v>1357</v>
      </c>
      <c r="K260" t="s">
        <v>1357</v>
      </c>
      <c r="L260" t="s">
        <v>1357</v>
      </c>
    </row>
    <row r="261" spans="1:12">
      <c r="H261" t="s">
        <v>1850</v>
      </c>
      <c r="I261" t="s">
        <v>1357</v>
      </c>
      <c r="J261" t="s">
        <v>1357</v>
      </c>
      <c r="K261" t="s">
        <v>1357</v>
      </c>
      <c r="L261" t="s">
        <v>1357</v>
      </c>
    </row>
    <row r="262" spans="1:12">
      <c r="H262" t="s">
        <v>1851</v>
      </c>
      <c r="I262" t="s">
        <v>1357</v>
      </c>
      <c r="J262" t="s">
        <v>1357</v>
      </c>
      <c r="K262" t="s">
        <v>1357</v>
      </c>
      <c r="L262" t="s">
        <v>1357</v>
      </c>
    </row>
    <row r="263" spans="1:12">
      <c r="H263" t="s">
        <v>1852</v>
      </c>
      <c r="I263" t="s">
        <v>1357</v>
      </c>
      <c r="J263" t="s">
        <v>1357</v>
      </c>
      <c r="K263" t="s">
        <v>1357</v>
      </c>
      <c r="L263" t="s">
        <v>1357</v>
      </c>
    </row>
    <row r="264" spans="1:12">
      <c r="H264" t="s">
        <v>1853</v>
      </c>
      <c r="I264" t="s">
        <v>1357</v>
      </c>
      <c r="J264" t="s">
        <v>1357</v>
      </c>
      <c r="K264" t="s">
        <v>1357</v>
      </c>
      <c r="L264" t="s">
        <v>1357</v>
      </c>
    </row>
    <row r="265" spans="1:12">
      <c r="H265" t="s">
        <v>1854</v>
      </c>
      <c r="I265" t="s">
        <v>1357</v>
      </c>
      <c r="J265" t="s">
        <v>1357</v>
      </c>
      <c r="K265" t="s">
        <v>1357</v>
      </c>
      <c r="L265" t="s">
        <v>1357</v>
      </c>
    </row>
    <row r="266" spans="1:12">
      <c r="H266" t="s">
        <v>1855</v>
      </c>
      <c r="I266" t="s">
        <v>1357</v>
      </c>
      <c r="J266" t="s">
        <v>1357</v>
      </c>
      <c r="K266" t="s">
        <v>1357</v>
      </c>
      <c r="L266" t="s">
        <v>1357</v>
      </c>
    </row>
    <row r="267" spans="1:12">
      <c r="A267" t="s">
        <v>1420</v>
      </c>
      <c r="B267">
        <f>HYPERLINK("https://github.com/google/gson/commit/b0595c595bd2c052cd05e0283bb37b67c02bd06f", "b0595c595bd2c052cd05e0283bb37b67c02bd06f")</f>
        <v>0</v>
      </c>
      <c r="C267">
        <f>HYPERLINK("https://github.com/google/gson/commit/0d9f6b677ae67cbd749ebca817139041d1977831", "0d9f6b677ae67cbd749ebca817139041d1977831")</f>
        <v>0</v>
      </c>
      <c r="D267" t="s">
        <v>1431</v>
      </c>
      <c r="E267" t="s">
        <v>1472</v>
      </c>
      <c r="F267" t="s">
        <v>1537</v>
      </c>
      <c r="G267" t="s">
        <v>1601</v>
      </c>
      <c r="H267" t="s">
        <v>1856</v>
      </c>
      <c r="I267" t="s">
        <v>1357</v>
      </c>
      <c r="J267" t="s">
        <v>1357</v>
      </c>
      <c r="K267" t="s">
        <v>1357</v>
      </c>
      <c r="L267" t="s">
        <v>1357</v>
      </c>
    </row>
    <row r="268" spans="1:12">
      <c r="H268" t="s">
        <v>1857</v>
      </c>
      <c r="I268" t="s">
        <v>1357</v>
      </c>
      <c r="J268" t="s">
        <v>1357</v>
      </c>
      <c r="K268" t="s">
        <v>1357</v>
      </c>
      <c r="L268" t="s">
        <v>1357</v>
      </c>
    </row>
    <row r="269" spans="1:12">
      <c r="H269" t="s">
        <v>1858</v>
      </c>
      <c r="I269" t="s">
        <v>1357</v>
      </c>
      <c r="J269" t="s">
        <v>1357</v>
      </c>
      <c r="K269" t="s">
        <v>1357</v>
      </c>
      <c r="L269" t="s">
        <v>1357</v>
      </c>
    </row>
    <row r="270" spans="1:12">
      <c r="H270" t="s">
        <v>1859</v>
      </c>
      <c r="I270" t="s">
        <v>1357</v>
      </c>
      <c r="J270" t="s">
        <v>1357</v>
      </c>
      <c r="K270" t="s">
        <v>1357</v>
      </c>
      <c r="L270" t="s">
        <v>1357</v>
      </c>
    </row>
    <row r="271" spans="1:12">
      <c r="H271" t="s">
        <v>1860</v>
      </c>
      <c r="I271" t="s">
        <v>1357</v>
      </c>
      <c r="J271" t="s">
        <v>1357</v>
      </c>
      <c r="K271" t="s">
        <v>1357</v>
      </c>
      <c r="L271" t="s">
        <v>1357</v>
      </c>
    </row>
    <row r="272" spans="1:12">
      <c r="F272" t="s">
        <v>1538</v>
      </c>
      <c r="G272" t="s">
        <v>1602</v>
      </c>
      <c r="H272" t="s">
        <v>1861</v>
      </c>
      <c r="I272" t="s">
        <v>1357</v>
      </c>
      <c r="J272" t="s">
        <v>1357</v>
      </c>
      <c r="K272" t="s">
        <v>1357</v>
      </c>
      <c r="L272" t="s">
        <v>1357</v>
      </c>
    </row>
    <row r="273" spans="1:14">
      <c r="H273" t="s">
        <v>1862</v>
      </c>
      <c r="I273" t="s">
        <v>1357</v>
      </c>
      <c r="J273" t="s">
        <v>1357</v>
      </c>
      <c r="K273" t="s">
        <v>1357</v>
      </c>
      <c r="L273" t="s">
        <v>1357</v>
      </c>
    </row>
    <row r="274" spans="1:14">
      <c r="F274" t="s">
        <v>1539</v>
      </c>
      <c r="G274" t="s">
        <v>1603</v>
      </c>
      <c r="H274" t="s">
        <v>1863</v>
      </c>
      <c r="I274" t="s">
        <v>1357</v>
      </c>
      <c r="J274" t="s">
        <v>1357</v>
      </c>
      <c r="K274" t="s">
        <v>1357</v>
      </c>
      <c r="L274" t="s">
        <v>1357</v>
      </c>
    </row>
    <row r="275" spans="1:14">
      <c r="H275" t="s">
        <v>1864</v>
      </c>
      <c r="I275" t="s">
        <v>1357</v>
      </c>
      <c r="J275" t="s">
        <v>1357</v>
      </c>
      <c r="K275" t="s">
        <v>1357</v>
      </c>
      <c r="L275" t="s">
        <v>1357</v>
      </c>
    </row>
    <row r="276" spans="1:14">
      <c r="A276" t="s">
        <v>1421</v>
      </c>
      <c r="B276">
        <f>HYPERLINK("https://github.com/google/gson/commit/b2b1424582f973457e15f4eeba35cd3c0c0ed2b6", "b2b1424582f973457e15f4eeba35cd3c0c0ed2b6")</f>
        <v>0</v>
      </c>
      <c r="C276">
        <f>HYPERLINK("https://github.com/google/gson/commit/774c751a9ee026c6d7e4b0ca44dac6ad526de557", "774c751a9ee026c6d7e4b0ca44dac6ad526de557")</f>
        <v>0</v>
      </c>
      <c r="D276" t="s">
        <v>1431</v>
      </c>
      <c r="E276" t="s">
        <v>1473</v>
      </c>
      <c r="F276" t="s">
        <v>1540</v>
      </c>
      <c r="G276" t="s">
        <v>1592</v>
      </c>
      <c r="H276" t="s">
        <v>1817</v>
      </c>
      <c r="I276" t="s">
        <v>1357</v>
      </c>
      <c r="J276" t="s">
        <v>1357</v>
      </c>
      <c r="K276" t="s">
        <v>1357</v>
      </c>
      <c r="L276" t="s">
        <v>1357</v>
      </c>
    </row>
    <row r="277" spans="1:14">
      <c r="A277" t="s">
        <v>1422</v>
      </c>
      <c r="B277">
        <f>HYPERLINK("https://github.com/google/gson/commit/6d2557d5d1a8ac498f2bcee20e5053c93b33ecce", "6d2557d5d1a8ac498f2bcee20e5053c93b33ecce")</f>
        <v>0</v>
      </c>
      <c r="C277">
        <f>HYPERLINK("https://github.com/google/gson/commit/2deb2099d3007b8bb0e324bc364b6f9dddada0cd", "2deb2099d3007b8bb0e324bc364b6f9dddada0cd")</f>
        <v>0</v>
      </c>
      <c r="D277" t="s">
        <v>1431</v>
      </c>
      <c r="E277" t="s">
        <v>1474</v>
      </c>
      <c r="F277" t="s">
        <v>1541</v>
      </c>
      <c r="G277" t="s">
        <v>1604</v>
      </c>
      <c r="H277" t="s">
        <v>1865</v>
      </c>
      <c r="I277" t="s">
        <v>1357</v>
      </c>
      <c r="J277" t="s">
        <v>1357</v>
      </c>
      <c r="K277" t="s">
        <v>1357</v>
      </c>
      <c r="L277" t="s">
        <v>1357</v>
      </c>
    </row>
    <row r="278" spans="1:14">
      <c r="A278" t="s">
        <v>1423</v>
      </c>
      <c r="B278">
        <f>HYPERLINK("https://github.com/google/gson/commit/a45c55739f4e5eb25e9b67a8b7e2bfad25851fb6", "a45c55739f4e5eb25e9b67a8b7e2bfad25851fb6")</f>
        <v>0</v>
      </c>
      <c r="C278">
        <f>HYPERLINK("https://github.com/google/gson/commit/5f2513a407793b4f9d5293f77414144e76041087", "5f2513a407793b4f9d5293f77414144e76041087")</f>
        <v>0</v>
      </c>
      <c r="D278" t="s">
        <v>1431</v>
      </c>
      <c r="E278" t="s">
        <v>1475</v>
      </c>
      <c r="F278" t="s">
        <v>1502</v>
      </c>
      <c r="G278" t="s">
        <v>1566</v>
      </c>
      <c r="H278" t="s">
        <v>1866</v>
      </c>
      <c r="I278" t="s">
        <v>1358</v>
      </c>
      <c r="J278" t="s">
        <v>1358</v>
      </c>
      <c r="K278" t="s">
        <v>1358</v>
      </c>
      <c r="L278" t="s">
        <v>1358</v>
      </c>
      <c r="N278" t="s">
        <v>1374</v>
      </c>
    </row>
    <row r="279" spans="1:14">
      <c r="A279" t="s">
        <v>1424</v>
      </c>
      <c r="B279">
        <f>HYPERLINK("https://github.com/google/gson/commit/9eb04414c0a7f201d039cdbf9a9ebc4144990d3f", "9eb04414c0a7f201d039cdbf9a9ebc4144990d3f")</f>
        <v>0</v>
      </c>
      <c r="C279">
        <f>HYPERLINK("https://github.com/google/gson/commit/76c78f5925ec80434cbbd28332f841f74fee3275", "76c78f5925ec80434cbbd28332f841f74fee3275")</f>
        <v>0</v>
      </c>
      <c r="D279" t="s">
        <v>1431</v>
      </c>
      <c r="E279" t="s">
        <v>1476</v>
      </c>
      <c r="F279" t="s">
        <v>1542</v>
      </c>
      <c r="G279" t="s">
        <v>1605</v>
      </c>
      <c r="H279" t="s">
        <v>1867</v>
      </c>
      <c r="I279" t="s">
        <v>1357</v>
      </c>
      <c r="J279" t="s">
        <v>1357</v>
      </c>
      <c r="K279" t="s">
        <v>1357</v>
      </c>
      <c r="L279" t="s">
        <v>1357</v>
      </c>
      <c r="N279" t="s">
        <v>1875</v>
      </c>
    </row>
    <row r="280" spans="1:14">
      <c r="A280" t="s">
        <v>1425</v>
      </c>
      <c r="B280">
        <f>HYPERLINK("https://github.com/google/gson/commit/66d9621ce87c04a5167ee04097694093b13b514c", "66d9621ce87c04a5167ee04097694093b13b514c")</f>
        <v>0</v>
      </c>
      <c r="C280">
        <f>HYPERLINK("https://github.com/google/gson/commit/954d526af4ad9e58872e7a64f92e749421d1cdf5", "954d526af4ad9e58872e7a64f92e749421d1cdf5")</f>
        <v>0</v>
      </c>
      <c r="D280" t="s">
        <v>1431</v>
      </c>
      <c r="E280" t="s">
        <v>1477</v>
      </c>
      <c r="F280" t="s">
        <v>1543</v>
      </c>
      <c r="G280" t="s">
        <v>1606</v>
      </c>
      <c r="H280" t="s">
        <v>1868</v>
      </c>
      <c r="I280" t="s">
        <v>1358</v>
      </c>
      <c r="J280" t="s">
        <v>1358</v>
      </c>
      <c r="K280" t="s">
        <v>1358</v>
      </c>
      <c r="L280" t="s">
        <v>1358</v>
      </c>
      <c r="N280" t="s">
        <v>1363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3416"/>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1876</v>
      </c>
      <c r="B2">
        <f>HYPERLINK("https://github.com/apache/commons-math/commit/7651a6b14d5be6151432e7d709efd884d9ec3a6c", "7651a6b14d5be6151432e7d709efd884d9ec3a6c")</f>
        <v>0</v>
      </c>
      <c r="C2">
        <f>HYPERLINK("https://github.com/apache/commons-math/commit/065a88e24188fd324e7f6e5f70aefaf95c9a49b9", "065a88e24188fd324e7f6e5f70aefaf95c9a49b9")</f>
        <v>0</v>
      </c>
      <c r="D2" t="s">
        <v>2144</v>
      </c>
      <c r="E2" t="s">
        <v>2165</v>
      </c>
      <c r="F2" t="s">
        <v>2422</v>
      </c>
      <c r="G2" t="s">
        <v>2896</v>
      </c>
      <c r="H2" t="s">
        <v>3246</v>
      </c>
      <c r="I2" t="s">
        <v>1358</v>
      </c>
      <c r="J2" t="s">
        <v>1358</v>
      </c>
      <c r="K2" t="s">
        <v>1358</v>
      </c>
      <c r="L2" t="s">
        <v>1358</v>
      </c>
      <c r="N2" t="s">
        <v>1374</v>
      </c>
    </row>
    <row r="3" spans="1:14">
      <c r="H3" t="s">
        <v>3247</v>
      </c>
      <c r="I3" t="s">
        <v>1357</v>
      </c>
      <c r="J3" t="s">
        <v>1357</v>
      </c>
      <c r="K3" t="s">
        <v>1357</v>
      </c>
      <c r="L3" t="s">
        <v>1357</v>
      </c>
    </row>
    <row r="4" spans="1:14">
      <c r="H4" t="s">
        <v>3248</v>
      </c>
      <c r="I4" t="s">
        <v>1357</v>
      </c>
      <c r="J4" t="s">
        <v>1357</v>
      </c>
      <c r="K4" t="s">
        <v>1357</v>
      </c>
      <c r="L4" t="s">
        <v>1357</v>
      </c>
    </row>
    <row r="5" spans="1:14">
      <c r="A5" t="s">
        <v>1877</v>
      </c>
      <c r="B5">
        <f>HYPERLINK("https://github.com/apache/commons-math/commit/d6f7028269df96a72cccf7b72a41b89aaa820e9f", "d6f7028269df96a72cccf7b72a41b89aaa820e9f")</f>
        <v>0</v>
      </c>
      <c r="C5">
        <f>HYPERLINK("https://github.com/apache/commons-math/commit/71dfdabde1f5e9f0def1d2035822518b43e70587", "71dfdabde1f5e9f0def1d2035822518b43e70587")</f>
        <v>0</v>
      </c>
      <c r="D5" t="s">
        <v>2144</v>
      </c>
      <c r="E5" t="s">
        <v>2166</v>
      </c>
      <c r="F5" t="s">
        <v>2423</v>
      </c>
      <c r="G5" t="s">
        <v>2897</v>
      </c>
      <c r="H5" t="s">
        <v>3249</v>
      </c>
      <c r="I5" t="s">
        <v>1357</v>
      </c>
      <c r="J5" t="s">
        <v>1357</v>
      </c>
      <c r="K5" t="s">
        <v>1357</v>
      </c>
      <c r="L5" t="s">
        <v>1357</v>
      </c>
      <c r="N5" t="s">
        <v>5102</v>
      </c>
    </row>
    <row r="6" spans="1:14">
      <c r="H6" t="s">
        <v>3250</v>
      </c>
      <c r="I6" t="s">
        <v>1357</v>
      </c>
      <c r="J6" t="s">
        <v>1357</v>
      </c>
      <c r="K6" t="s">
        <v>1357</v>
      </c>
      <c r="L6" t="s">
        <v>1357</v>
      </c>
    </row>
    <row r="7" spans="1:14">
      <c r="H7" t="s">
        <v>3251</v>
      </c>
      <c r="I7" t="s">
        <v>1357</v>
      </c>
      <c r="J7" t="s">
        <v>1357</v>
      </c>
      <c r="K7" t="s">
        <v>1357</v>
      </c>
      <c r="L7" t="s">
        <v>1357</v>
      </c>
      <c r="N7" t="s">
        <v>5102</v>
      </c>
    </row>
    <row r="8" spans="1:14">
      <c r="H8" t="s">
        <v>3252</v>
      </c>
      <c r="I8" t="s">
        <v>1357</v>
      </c>
      <c r="J8" t="s">
        <v>1357</v>
      </c>
      <c r="K8" t="s">
        <v>1357</v>
      </c>
      <c r="L8" t="s">
        <v>1357</v>
      </c>
      <c r="N8" t="s">
        <v>5102</v>
      </c>
    </row>
    <row r="9" spans="1:14">
      <c r="A9" t="s">
        <v>1878</v>
      </c>
      <c r="B9">
        <f>HYPERLINK("https://github.com/apache/commons-math/commit/429a652114f94bf81e97a7737f1b3ea63fb3de91", "429a652114f94bf81e97a7737f1b3ea63fb3de91")</f>
        <v>0</v>
      </c>
      <c r="C9">
        <f>HYPERLINK("https://github.com/apache/commons-math/commit/e9488d7cf6fe7708fefe306a642f045a75eab498", "e9488d7cf6fe7708fefe306a642f045a75eab498")</f>
        <v>0</v>
      </c>
      <c r="D9" t="s">
        <v>2144</v>
      </c>
      <c r="E9" t="s">
        <v>2167</v>
      </c>
      <c r="F9" t="s">
        <v>2424</v>
      </c>
      <c r="G9" t="s">
        <v>2898</v>
      </c>
      <c r="H9" t="s">
        <v>3253</v>
      </c>
      <c r="I9" t="s">
        <v>1357</v>
      </c>
      <c r="J9" t="s">
        <v>1357</v>
      </c>
      <c r="K9" t="s">
        <v>1357</v>
      </c>
      <c r="L9" t="s">
        <v>1357</v>
      </c>
    </row>
    <row r="10" spans="1:14">
      <c r="H10" t="s">
        <v>3254</v>
      </c>
      <c r="I10" t="s">
        <v>1357</v>
      </c>
      <c r="J10" t="s">
        <v>1357</v>
      </c>
      <c r="K10" t="s">
        <v>1357</v>
      </c>
      <c r="L10" t="s">
        <v>1357</v>
      </c>
    </row>
    <row r="11" spans="1:14">
      <c r="F11" t="s">
        <v>2425</v>
      </c>
      <c r="G11" t="s">
        <v>2899</v>
      </c>
      <c r="H11" t="s">
        <v>3255</v>
      </c>
      <c r="I11" t="s">
        <v>1357</v>
      </c>
      <c r="J11" t="s">
        <v>1357</v>
      </c>
      <c r="K11" t="s">
        <v>1357</v>
      </c>
      <c r="L11" t="s">
        <v>1357</v>
      </c>
    </row>
    <row r="12" spans="1:14">
      <c r="H12" t="s">
        <v>3256</v>
      </c>
      <c r="I12" t="s">
        <v>1357</v>
      </c>
      <c r="J12" t="s">
        <v>1357</v>
      </c>
      <c r="K12" t="s">
        <v>1357</v>
      </c>
      <c r="L12" t="s">
        <v>1357</v>
      </c>
    </row>
    <row r="13" spans="1:14">
      <c r="H13" t="s">
        <v>3257</v>
      </c>
      <c r="I13" t="s">
        <v>1357</v>
      </c>
      <c r="J13" t="s">
        <v>1357</v>
      </c>
      <c r="K13" t="s">
        <v>1357</v>
      </c>
      <c r="L13" t="s">
        <v>1357</v>
      </c>
    </row>
    <row r="14" spans="1:14">
      <c r="H14" t="s">
        <v>1077</v>
      </c>
      <c r="I14" t="s">
        <v>1357</v>
      </c>
      <c r="J14" t="s">
        <v>1357</v>
      </c>
      <c r="K14" t="s">
        <v>1357</v>
      </c>
      <c r="L14" t="s">
        <v>1357</v>
      </c>
    </row>
    <row r="15" spans="1:14">
      <c r="F15" t="s">
        <v>2426</v>
      </c>
      <c r="G15" t="s">
        <v>2900</v>
      </c>
      <c r="H15" t="s">
        <v>3253</v>
      </c>
      <c r="I15" t="s">
        <v>1357</v>
      </c>
      <c r="J15" t="s">
        <v>1357</v>
      </c>
      <c r="K15" t="s">
        <v>1357</v>
      </c>
      <c r="L15" t="s">
        <v>1357</v>
      </c>
    </row>
    <row r="16" spans="1:14">
      <c r="H16" t="s">
        <v>3258</v>
      </c>
      <c r="I16" t="s">
        <v>1357</v>
      </c>
      <c r="J16" t="s">
        <v>1357</v>
      </c>
      <c r="K16" t="s">
        <v>1357</v>
      </c>
      <c r="L16" t="s">
        <v>1357</v>
      </c>
    </row>
    <row r="17" spans="1:12">
      <c r="H17" t="s">
        <v>3259</v>
      </c>
      <c r="I17" t="s">
        <v>1357</v>
      </c>
      <c r="J17" t="s">
        <v>1357</v>
      </c>
      <c r="K17" t="s">
        <v>1357</v>
      </c>
      <c r="L17" t="s">
        <v>1357</v>
      </c>
    </row>
    <row r="18" spans="1:12">
      <c r="H18" t="s">
        <v>3260</v>
      </c>
      <c r="I18" t="s">
        <v>1357</v>
      </c>
      <c r="J18" t="s">
        <v>1357</v>
      </c>
      <c r="K18" t="s">
        <v>1357</v>
      </c>
      <c r="L18" t="s">
        <v>1357</v>
      </c>
    </row>
    <row r="19" spans="1:12">
      <c r="F19" t="s">
        <v>2427</v>
      </c>
      <c r="G19" t="s">
        <v>2901</v>
      </c>
      <c r="H19" t="s">
        <v>3253</v>
      </c>
      <c r="I19" t="s">
        <v>1357</v>
      </c>
      <c r="J19" t="s">
        <v>1357</v>
      </c>
      <c r="K19" t="s">
        <v>1357</v>
      </c>
      <c r="L19" t="s">
        <v>1357</v>
      </c>
    </row>
    <row r="20" spans="1:12">
      <c r="H20" t="s">
        <v>3258</v>
      </c>
      <c r="I20" t="s">
        <v>1357</v>
      </c>
      <c r="J20" t="s">
        <v>1357</v>
      </c>
      <c r="K20" t="s">
        <v>1357</v>
      </c>
      <c r="L20" t="s">
        <v>1357</v>
      </c>
    </row>
    <row r="21" spans="1:12">
      <c r="H21" t="s">
        <v>3259</v>
      </c>
      <c r="I21" t="s">
        <v>1357</v>
      </c>
      <c r="J21" t="s">
        <v>1357</v>
      </c>
      <c r="K21" t="s">
        <v>1357</v>
      </c>
      <c r="L21" t="s">
        <v>1357</v>
      </c>
    </row>
    <row r="22" spans="1:12">
      <c r="H22" t="s">
        <v>3260</v>
      </c>
      <c r="I22" t="s">
        <v>1357</v>
      </c>
      <c r="J22" t="s">
        <v>1357</v>
      </c>
      <c r="K22" t="s">
        <v>1357</v>
      </c>
      <c r="L22" t="s">
        <v>1357</v>
      </c>
    </row>
    <row r="23" spans="1:12">
      <c r="F23" t="s">
        <v>2428</v>
      </c>
      <c r="G23" t="s">
        <v>2902</v>
      </c>
      <c r="H23" t="s">
        <v>3253</v>
      </c>
      <c r="I23" t="s">
        <v>1357</v>
      </c>
      <c r="J23" t="s">
        <v>1357</v>
      </c>
      <c r="K23" t="s">
        <v>1357</v>
      </c>
      <c r="L23" t="s">
        <v>1357</v>
      </c>
    </row>
    <row r="24" spans="1:12">
      <c r="H24" t="s">
        <v>3258</v>
      </c>
      <c r="I24" t="s">
        <v>1357</v>
      </c>
      <c r="J24" t="s">
        <v>1357</v>
      </c>
      <c r="K24" t="s">
        <v>1357</v>
      </c>
      <c r="L24" t="s">
        <v>1357</v>
      </c>
    </row>
    <row r="25" spans="1:12">
      <c r="H25" t="s">
        <v>3260</v>
      </c>
      <c r="I25" t="s">
        <v>1357</v>
      </c>
      <c r="J25" t="s">
        <v>1357</v>
      </c>
      <c r="K25" t="s">
        <v>1357</v>
      </c>
      <c r="L25" t="s">
        <v>1357</v>
      </c>
    </row>
    <row r="26" spans="1:12">
      <c r="H26" t="s">
        <v>3261</v>
      </c>
      <c r="I26" t="s">
        <v>1357</v>
      </c>
      <c r="J26" t="s">
        <v>1357</v>
      </c>
      <c r="K26" t="s">
        <v>1357</v>
      </c>
      <c r="L26" t="s">
        <v>1357</v>
      </c>
    </row>
    <row r="27" spans="1:12">
      <c r="H27" t="s">
        <v>3262</v>
      </c>
      <c r="I27" t="s">
        <v>1357</v>
      </c>
      <c r="J27" t="s">
        <v>1357</v>
      </c>
      <c r="K27" t="s">
        <v>1357</v>
      </c>
      <c r="L27" t="s">
        <v>1357</v>
      </c>
    </row>
    <row r="28" spans="1:12">
      <c r="A28" t="s">
        <v>1879</v>
      </c>
      <c r="B28">
        <f>HYPERLINK("https://github.com/apache/commons-math/commit/d23bf18b40bc7f731498acd042f6d0c0800a9290", "d23bf18b40bc7f731498acd042f6d0c0800a9290")</f>
        <v>0</v>
      </c>
      <c r="C28">
        <f>HYPERLINK("https://github.com/apache/commons-math/commit/6aa45e2047db100c6230dbf6db62498f1dcaa79a", "6aa45e2047db100c6230dbf6db62498f1dcaa79a")</f>
        <v>0</v>
      </c>
      <c r="D28" t="s">
        <v>2144</v>
      </c>
      <c r="E28" t="s">
        <v>2168</v>
      </c>
      <c r="F28" t="s">
        <v>2429</v>
      </c>
      <c r="G28" t="s">
        <v>2903</v>
      </c>
      <c r="H28" t="s">
        <v>3263</v>
      </c>
      <c r="I28" t="s">
        <v>1357</v>
      </c>
      <c r="J28" t="s">
        <v>1357</v>
      </c>
      <c r="K28" t="s">
        <v>1357</v>
      </c>
      <c r="L28" t="s">
        <v>1357</v>
      </c>
    </row>
    <row r="29" spans="1:12">
      <c r="H29" t="s">
        <v>3264</v>
      </c>
      <c r="I29" t="s">
        <v>1357</v>
      </c>
      <c r="J29" t="s">
        <v>1357</v>
      </c>
      <c r="K29" t="s">
        <v>1357</v>
      </c>
      <c r="L29" t="s">
        <v>1357</v>
      </c>
    </row>
    <row r="30" spans="1:12">
      <c r="H30" t="s">
        <v>3265</v>
      </c>
      <c r="I30" t="s">
        <v>1357</v>
      </c>
      <c r="J30" t="s">
        <v>1357</v>
      </c>
      <c r="K30" t="s">
        <v>1357</v>
      </c>
      <c r="L30" t="s">
        <v>1357</v>
      </c>
    </row>
    <row r="31" spans="1:12">
      <c r="H31" t="s">
        <v>3266</v>
      </c>
      <c r="I31" t="s">
        <v>1357</v>
      </c>
      <c r="J31" t="s">
        <v>1357</v>
      </c>
      <c r="K31" t="s">
        <v>1357</v>
      </c>
      <c r="L31" t="s">
        <v>1357</v>
      </c>
    </row>
    <row r="32" spans="1:12">
      <c r="F32" t="s">
        <v>2430</v>
      </c>
      <c r="G32" t="s">
        <v>2904</v>
      </c>
      <c r="H32" t="s">
        <v>3267</v>
      </c>
      <c r="I32" t="s">
        <v>1357</v>
      </c>
      <c r="J32" t="s">
        <v>1357</v>
      </c>
      <c r="K32" t="s">
        <v>1357</v>
      </c>
      <c r="L32" t="s">
        <v>1357</v>
      </c>
    </row>
    <row r="33" spans="1:14">
      <c r="H33" t="s">
        <v>3268</v>
      </c>
      <c r="I33" t="s">
        <v>1357</v>
      </c>
      <c r="J33" t="s">
        <v>1357</v>
      </c>
      <c r="K33" t="s">
        <v>1357</v>
      </c>
      <c r="L33" t="s">
        <v>1357</v>
      </c>
    </row>
    <row r="34" spans="1:14">
      <c r="H34" t="s">
        <v>3269</v>
      </c>
      <c r="I34" t="s">
        <v>1357</v>
      </c>
      <c r="J34" t="s">
        <v>1357</v>
      </c>
      <c r="K34" t="s">
        <v>1357</v>
      </c>
      <c r="L34" t="s">
        <v>1357</v>
      </c>
    </row>
    <row r="35" spans="1:14">
      <c r="H35" t="s">
        <v>3270</v>
      </c>
      <c r="I35" t="s">
        <v>1357</v>
      </c>
      <c r="J35" t="s">
        <v>1357</v>
      </c>
      <c r="K35" t="s">
        <v>1357</v>
      </c>
      <c r="L35" t="s">
        <v>1357</v>
      </c>
    </row>
    <row r="36" spans="1:14">
      <c r="H36" t="s">
        <v>3271</v>
      </c>
      <c r="I36" t="s">
        <v>1357</v>
      </c>
      <c r="J36" t="s">
        <v>1357</v>
      </c>
      <c r="K36" t="s">
        <v>1357</v>
      </c>
      <c r="L36" t="s">
        <v>1357</v>
      </c>
    </row>
    <row r="37" spans="1:14">
      <c r="H37" t="s">
        <v>3272</v>
      </c>
      <c r="I37" t="s">
        <v>1357</v>
      </c>
      <c r="J37" t="s">
        <v>1357</v>
      </c>
      <c r="K37" t="s">
        <v>1357</v>
      </c>
      <c r="L37" t="s">
        <v>1357</v>
      </c>
    </row>
    <row r="38" spans="1:14">
      <c r="H38" t="s">
        <v>3273</v>
      </c>
      <c r="I38" t="s">
        <v>1357</v>
      </c>
      <c r="J38" t="s">
        <v>1357</v>
      </c>
      <c r="K38" t="s">
        <v>1357</v>
      </c>
      <c r="L38" t="s">
        <v>1357</v>
      </c>
    </row>
    <row r="39" spans="1:14">
      <c r="H39" t="s">
        <v>3274</v>
      </c>
      <c r="I39" t="s">
        <v>1357</v>
      </c>
      <c r="J39" t="s">
        <v>1357</v>
      </c>
      <c r="K39" t="s">
        <v>1357</v>
      </c>
      <c r="L39" t="s">
        <v>1357</v>
      </c>
    </row>
    <row r="40" spans="1:14">
      <c r="F40" t="s">
        <v>2431</v>
      </c>
      <c r="G40" t="s">
        <v>2905</v>
      </c>
      <c r="H40" t="s">
        <v>3275</v>
      </c>
      <c r="I40" t="s">
        <v>1357</v>
      </c>
      <c r="J40" t="s">
        <v>1357</v>
      </c>
      <c r="K40" t="s">
        <v>1357</v>
      </c>
      <c r="L40" t="s">
        <v>1357</v>
      </c>
    </row>
    <row r="41" spans="1:14">
      <c r="A41" t="s">
        <v>1880</v>
      </c>
      <c r="B41">
        <f>HYPERLINK("https://github.com/apache/commons-math/commit/546eeaf21921cad98f1785c34006823b7bcda43b", "546eeaf21921cad98f1785c34006823b7bcda43b")</f>
        <v>0</v>
      </c>
      <c r="C41">
        <f>HYPERLINK("https://github.com/apache/commons-math/commit/736e42145ca2547b0385f9e841d4efdbcce1bee9", "736e42145ca2547b0385f9e841d4efdbcce1bee9")</f>
        <v>0</v>
      </c>
      <c r="D41" t="s">
        <v>2145</v>
      </c>
      <c r="E41" t="s">
        <v>2169</v>
      </c>
      <c r="F41" t="s">
        <v>2432</v>
      </c>
      <c r="G41" t="s">
        <v>2906</v>
      </c>
      <c r="H41" t="s">
        <v>3276</v>
      </c>
      <c r="I41" t="s">
        <v>1357</v>
      </c>
      <c r="J41" t="s">
        <v>1357</v>
      </c>
      <c r="K41" t="s">
        <v>1357</v>
      </c>
      <c r="L41" t="s">
        <v>1357</v>
      </c>
    </row>
    <row r="42" spans="1:14">
      <c r="A42" t="s">
        <v>1881</v>
      </c>
      <c r="B42">
        <f>HYPERLINK("https://github.com/apache/commons-math/commit/09c8b57924bc90dfcf93aa35eb79a6bd752add1d", "09c8b57924bc90dfcf93aa35eb79a6bd752add1d")</f>
        <v>0</v>
      </c>
      <c r="C42">
        <f>HYPERLINK("https://github.com/apache/commons-math/commit/d20ee8ab0e803031d14af734ac934fe2b770990c", "d20ee8ab0e803031d14af734ac934fe2b770990c")</f>
        <v>0</v>
      </c>
      <c r="D42" t="s">
        <v>2145</v>
      </c>
      <c r="E42" t="s">
        <v>2170</v>
      </c>
      <c r="F42" t="s">
        <v>2433</v>
      </c>
      <c r="G42" t="s">
        <v>2907</v>
      </c>
      <c r="H42" t="s">
        <v>3265</v>
      </c>
      <c r="I42" t="s">
        <v>1358</v>
      </c>
      <c r="J42" t="s">
        <v>1358</v>
      </c>
      <c r="K42" t="s">
        <v>1358</v>
      </c>
      <c r="L42" t="s">
        <v>1358</v>
      </c>
      <c r="N42" t="s">
        <v>5103</v>
      </c>
    </row>
    <row r="43" spans="1:14">
      <c r="A43" t="s">
        <v>1882</v>
      </c>
      <c r="B43">
        <f>HYPERLINK("https://github.com/apache/commons-math/commit/db0b59b9bc2d0dc4faae24bede1b085a796163a1", "db0b59b9bc2d0dc4faae24bede1b085a796163a1")</f>
        <v>0</v>
      </c>
      <c r="C43">
        <f>HYPERLINK("https://github.com/apache/commons-math/commit/dc115509c871b36a9bda8af3d6655dc5869d7078", "dc115509c871b36a9bda8af3d6655dc5869d7078")</f>
        <v>0</v>
      </c>
      <c r="D43" t="s">
        <v>2144</v>
      </c>
      <c r="E43" t="s">
        <v>2171</v>
      </c>
      <c r="F43" t="s">
        <v>2434</v>
      </c>
      <c r="G43" t="s">
        <v>2908</v>
      </c>
      <c r="H43" t="s">
        <v>3277</v>
      </c>
      <c r="I43" t="s">
        <v>1357</v>
      </c>
      <c r="J43" t="s">
        <v>1357</v>
      </c>
      <c r="K43" t="s">
        <v>1357</v>
      </c>
      <c r="L43" t="s">
        <v>1357</v>
      </c>
    </row>
    <row r="44" spans="1:14">
      <c r="H44" t="s">
        <v>3278</v>
      </c>
      <c r="I44" t="s">
        <v>1357</v>
      </c>
      <c r="J44" t="s">
        <v>1357</v>
      </c>
      <c r="K44" t="s">
        <v>1357</v>
      </c>
      <c r="L44" t="s">
        <v>1357</v>
      </c>
    </row>
    <row r="45" spans="1:14">
      <c r="A45" t="s">
        <v>1883</v>
      </c>
      <c r="B45">
        <f>HYPERLINK("https://github.com/apache/commons-math/commit/7dc1c05c596e9e42097d0af2d0c6c9e495b5bd93", "7dc1c05c596e9e42097d0af2d0c6c9e495b5bd93")</f>
        <v>0</v>
      </c>
      <c r="C45">
        <f>HYPERLINK("https://github.com/apache/commons-math/commit/5e7fe90154176753fb2d77fddac2bd5035ec7ba6", "5e7fe90154176753fb2d77fddac2bd5035ec7ba6")</f>
        <v>0</v>
      </c>
      <c r="D45" t="s">
        <v>2145</v>
      </c>
      <c r="E45" t="s">
        <v>2172</v>
      </c>
      <c r="F45" t="s">
        <v>2435</v>
      </c>
      <c r="G45" t="s">
        <v>2909</v>
      </c>
      <c r="H45" t="s">
        <v>3279</v>
      </c>
      <c r="I45" t="s">
        <v>1357</v>
      </c>
      <c r="J45" t="s">
        <v>1357</v>
      </c>
      <c r="K45" t="s">
        <v>1357</v>
      </c>
      <c r="L45" t="s">
        <v>1357</v>
      </c>
    </row>
    <row r="46" spans="1:14">
      <c r="H46" t="s">
        <v>3280</v>
      </c>
      <c r="I46" t="s">
        <v>1357</v>
      </c>
      <c r="J46" t="s">
        <v>1357</v>
      </c>
      <c r="K46" t="s">
        <v>1357</v>
      </c>
      <c r="L46" t="s">
        <v>1357</v>
      </c>
    </row>
    <row r="47" spans="1:14">
      <c r="A47" t="s">
        <v>1884</v>
      </c>
      <c r="B47">
        <f>HYPERLINK("https://github.com/apache/commons-math/commit/62577ea18b61fd9af1cf3c54615d3613e12ed948", "62577ea18b61fd9af1cf3c54615d3613e12ed948")</f>
        <v>0</v>
      </c>
      <c r="C47">
        <f>HYPERLINK("https://github.com/apache/commons-math/commit/fd93fdf0a4a6242fb36f4bd5e968bbc86adf26b6", "fd93fdf0a4a6242fb36f4bd5e968bbc86adf26b6")</f>
        <v>0</v>
      </c>
      <c r="D47" t="s">
        <v>2145</v>
      </c>
      <c r="E47" t="s">
        <v>2173</v>
      </c>
      <c r="F47" t="s">
        <v>2436</v>
      </c>
      <c r="G47" t="s">
        <v>2910</v>
      </c>
      <c r="H47" t="s">
        <v>3281</v>
      </c>
      <c r="I47" t="s">
        <v>1357</v>
      </c>
      <c r="J47" t="s">
        <v>1357</v>
      </c>
      <c r="K47" t="s">
        <v>1357</v>
      </c>
      <c r="L47" t="s">
        <v>1357</v>
      </c>
    </row>
    <row r="48" spans="1:14">
      <c r="A48" t="s">
        <v>1885</v>
      </c>
      <c r="B48">
        <f>HYPERLINK("https://github.com/apache/commons-math/commit/e389289e779612c5930d7c292bbbc94027695ae5", "e389289e779612c5930d7c292bbbc94027695ae5")</f>
        <v>0</v>
      </c>
      <c r="C48">
        <f>HYPERLINK("https://github.com/apache/commons-math/commit/991078eceb9479657094c8a4ee062d816f132446", "991078eceb9479657094c8a4ee062d816f132446")</f>
        <v>0</v>
      </c>
      <c r="D48" t="s">
        <v>2145</v>
      </c>
      <c r="E48" t="s">
        <v>2174</v>
      </c>
      <c r="F48" t="s">
        <v>2437</v>
      </c>
      <c r="G48" t="s">
        <v>2911</v>
      </c>
      <c r="H48" t="s">
        <v>795</v>
      </c>
      <c r="I48" t="s">
        <v>1357</v>
      </c>
      <c r="J48" t="s">
        <v>1357</v>
      </c>
      <c r="K48" t="s">
        <v>1357</v>
      </c>
      <c r="L48" t="s">
        <v>1357</v>
      </c>
      <c r="M48" t="s">
        <v>5097</v>
      </c>
    </row>
    <row r="49" spans="6:12">
      <c r="H49" t="s">
        <v>3282</v>
      </c>
      <c r="I49" t="s">
        <v>1357</v>
      </c>
      <c r="J49" t="s">
        <v>1357</v>
      </c>
      <c r="K49" t="s">
        <v>1357</v>
      </c>
      <c r="L49" t="s">
        <v>1357</v>
      </c>
    </row>
    <row r="50" spans="6:12">
      <c r="H50" t="s">
        <v>3283</v>
      </c>
      <c r="I50" t="s">
        <v>1357</v>
      </c>
      <c r="J50" t="s">
        <v>1357</v>
      </c>
      <c r="K50" t="s">
        <v>1357</v>
      </c>
      <c r="L50" t="s">
        <v>1357</v>
      </c>
    </row>
    <row r="51" spans="6:12">
      <c r="H51" t="s">
        <v>3284</v>
      </c>
      <c r="I51" t="s">
        <v>1357</v>
      </c>
      <c r="J51" t="s">
        <v>1357</v>
      </c>
      <c r="K51" t="s">
        <v>1357</v>
      </c>
      <c r="L51" t="s">
        <v>1357</v>
      </c>
    </row>
    <row r="52" spans="6:12">
      <c r="F52" t="s">
        <v>2438</v>
      </c>
      <c r="G52" t="s">
        <v>2912</v>
      </c>
      <c r="H52" t="s">
        <v>795</v>
      </c>
      <c r="I52" t="s">
        <v>1357</v>
      </c>
      <c r="J52" t="s">
        <v>1357</v>
      </c>
      <c r="K52" t="s">
        <v>1357</v>
      </c>
      <c r="L52" t="s">
        <v>1357</v>
      </c>
    </row>
    <row r="53" spans="6:12">
      <c r="H53" t="s">
        <v>3282</v>
      </c>
      <c r="I53" t="s">
        <v>1357</v>
      </c>
      <c r="J53" t="s">
        <v>1357</v>
      </c>
      <c r="K53" t="s">
        <v>1357</v>
      </c>
      <c r="L53" t="s">
        <v>1357</v>
      </c>
    </row>
    <row r="54" spans="6:12">
      <c r="H54" t="s">
        <v>3283</v>
      </c>
      <c r="I54" t="s">
        <v>1357</v>
      </c>
      <c r="J54" t="s">
        <v>1357</v>
      </c>
      <c r="K54" t="s">
        <v>1357</v>
      </c>
      <c r="L54" t="s">
        <v>1357</v>
      </c>
    </row>
    <row r="55" spans="6:12">
      <c r="H55" t="s">
        <v>3284</v>
      </c>
      <c r="I55" t="s">
        <v>1357</v>
      </c>
      <c r="J55" t="s">
        <v>1357</v>
      </c>
      <c r="K55" t="s">
        <v>1357</v>
      </c>
      <c r="L55" t="s">
        <v>1357</v>
      </c>
    </row>
    <row r="56" spans="6:12">
      <c r="F56" t="s">
        <v>2439</v>
      </c>
      <c r="G56" t="s">
        <v>2913</v>
      </c>
      <c r="H56" t="s">
        <v>3277</v>
      </c>
      <c r="I56" t="s">
        <v>1357</v>
      </c>
      <c r="J56" t="s">
        <v>1357</v>
      </c>
      <c r="K56" t="s">
        <v>1357</v>
      </c>
      <c r="L56" t="s">
        <v>1357</v>
      </c>
    </row>
    <row r="57" spans="6:12">
      <c r="H57" t="s">
        <v>3278</v>
      </c>
      <c r="I57" t="s">
        <v>1357</v>
      </c>
      <c r="J57" t="s">
        <v>1357</v>
      </c>
      <c r="K57" t="s">
        <v>1357</v>
      </c>
      <c r="L57" t="s">
        <v>1357</v>
      </c>
    </row>
    <row r="58" spans="6:12">
      <c r="H58" t="s">
        <v>3285</v>
      </c>
      <c r="I58" t="s">
        <v>1357</v>
      </c>
      <c r="J58" t="s">
        <v>1357</v>
      </c>
      <c r="K58" t="s">
        <v>1357</v>
      </c>
      <c r="L58" t="s">
        <v>1357</v>
      </c>
    </row>
    <row r="59" spans="6:12">
      <c r="H59" t="s">
        <v>3286</v>
      </c>
      <c r="I59" t="s">
        <v>1357</v>
      </c>
      <c r="J59" t="s">
        <v>1357</v>
      </c>
      <c r="K59" t="s">
        <v>1357</v>
      </c>
      <c r="L59" t="s">
        <v>1357</v>
      </c>
    </row>
    <row r="60" spans="6:12">
      <c r="H60" t="s">
        <v>3287</v>
      </c>
      <c r="I60" t="s">
        <v>1357</v>
      </c>
      <c r="J60" t="s">
        <v>1357</v>
      </c>
      <c r="K60" t="s">
        <v>1357</v>
      </c>
      <c r="L60" t="s">
        <v>1357</v>
      </c>
    </row>
    <row r="61" spans="6:12">
      <c r="H61" t="s">
        <v>3288</v>
      </c>
      <c r="I61" t="s">
        <v>1357</v>
      </c>
      <c r="J61" t="s">
        <v>1357</v>
      </c>
      <c r="K61" t="s">
        <v>1357</v>
      </c>
      <c r="L61" t="s">
        <v>1357</v>
      </c>
    </row>
    <row r="62" spans="6:12">
      <c r="H62" t="s">
        <v>3289</v>
      </c>
      <c r="I62" t="s">
        <v>1357</v>
      </c>
      <c r="J62" t="s">
        <v>1357</v>
      </c>
      <c r="K62" t="s">
        <v>1357</v>
      </c>
      <c r="L62" t="s">
        <v>1357</v>
      </c>
    </row>
    <row r="63" spans="6:12">
      <c r="H63" t="s">
        <v>3290</v>
      </c>
      <c r="I63" t="s">
        <v>1357</v>
      </c>
      <c r="J63" t="s">
        <v>1357</v>
      </c>
      <c r="K63" t="s">
        <v>1357</v>
      </c>
      <c r="L63" t="s">
        <v>1357</v>
      </c>
    </row>
    <row r="64" spans="6:12">
      <c r="H64" t="s">
        <v>3291</v>
      </c>
      <c r="I64" t="s">
        <v>1357</v>
      </c>
      <c r="J64" t="s">
        <v>1357</v>
      </c>
      <c r="K64" t="s">
        <v>1357</v>
      </c>
      <c r="L64" t="s">
        <v>1357</v>
      </c>
    </row>
    <row r="65" spans="6:12">
      <c r="H65" t="s">
        <v>3292</v>
      </c>
      <c r="I65" t="s">
        <v>1357</v>
      </c>
      <c r="J65" t="s">
        <v>1357</v>
      </c>
      <c r="K65" t="s">
        <v>1357</v>
      </c>
      <c r="L65" t="s">
        <v>1357</v>
      </c>
    </row>
    <row r="66" spans="6:12">
      <c r="F66" t="s">
        <v>2440</v>
      </c>
      <c r="G66" t="s">
        <v>2914</v>
      </c>
      <c r="H66" t="s">
        <v>795</v>
      </c>
      <c r="I66" t="s">
        <v>1357</v>
      </c>
      <c r="J66" t="s">
        <v>1357</v>
      </c>
      <c r="K66" t="s">
        <v>1357</v>
      </c>
      <c r="L66" t="s">
        <v>1357</v>
      </c>
    </row>
    <row r="67" spans="6:12">
      <c r="H67" t="s">
        <v>3282</v>
      </c>
      <c r="I67" t="s">
        <v>1357</v>
      </c>
      <c r="J67" t="s">
        <v>1357</v>
      </c>
      <c r="K67" t="s">
        <v>1357</v>
      </c>
      <c r="L67" t="s">
        <v>1357</v>
      </c>
    </row>
    <row r="68" spans="6:12">
      <c r="H68" t="s">
        <v>3283</v>
      </c>
      <c r="I68" t="s">
        <v>1357</v>
      </c>
      <c r="J68" t="s">
        <v>1357</v>
      </c>
      <c r="K68" t="s">
        <v>1357</v>
      </c>
      <c r="L68" t="s">
        <v>1357</v>
      </c>
    </row>
    <row r="69" spans="6:12">
      <c r="H69" t="s">
        <v>3284</v>
      </c>
      <c r="I69" t="s">
        <v>1357</v>
      </c>
      <c r="J69" t="s">
        <v>1357</v>
      </c>
      <c r="K69" t="s">
        <v>1357</v>
      </c>
      <c r="L69" t="s">
        <v>1357</v>
      </c>
    </row>
    <row r="70" spans="6:12">
      <c r="F70" t="s">
        <v>2441</v>
      </c>
      <c r="G70" t="s">
        <v>2915</v>
      </c>
      <c r="H70" t="s">
        <v>3293</v>
      </c>
      <c r="I70" t="s">
        <v>1357</v>
      </c>
      <c r="J70" t="s">
        <v>1357</v>
      </c>
      <c r="K70" t="s">
        <v>1357</v>
      </c>
      <c r="L70" t="s">
        <v>1357</v>
      </c>
    </row>
    <row r="71" spans="6:12">
      <c r="H71" t="s">
        <v>3294</v>
      </c>
      <c r="I71" t="s">
        <v>1357</v>
      </c>
      <c r="J71" t="s">
        <v>1357</v>
      </c>
      <c r="K71" t="s">
        <v>1357</v>
      </c>
      <c r="L71" t="s">
        <v>1357</v>
      </c>
    </row>
    <row r="72" spans="6:12">
      <c r="H72" t="s">
        <v>3295</v>
      </c>
      <c r="I72" t="s">
        <v>1357</v>
      </c>
      <c r="J72" t="s">
        <v>1357</v>
      </c>
      <c r="K72" t="s">
        <v>1357</v>
      </c>
      <c r="L72" t="s">
        <v>1357</v>
      </c>
    </row>
    <row r="73" spans="6:12">
      <c r="H73" t="s">
        <v>3296</v>
      </c>
      <c r="I73" t="s">
        <v>1357</v>
      </c>
      <c r="J73" t="s">
        <v>1357</v>
      </c>
      <c r="K73" t="s">
        <v>1357</v>
      </c>
      <c r="L73" t="s">
        <v>1357</v>
      </c>
    </row>
    <row r="74" spans="6:12">
      <c r="H74" t="s">
        <v>1039</v>
      </c>
      <c r="I74" t="s">
        <v>1357</v>
      </c>
      <c r="J74" t="s">
        <v>1357</v>
      </c>
      <c r="K74" t="s">
        <v>1357</v>
      </c>
      <c r="L74" t="s">
        <v>1357</v>
      </c>
    </row>
    <row r="75" spans="6:12">
      <c r="F75" t="s">
        <v>2442</v>
      </c>
      <c r="G75" t="s">
        <v>2908</v>
      </c>
      <c r="H75" t="s">
        <v>3277</v>
      </c>
      <c r="I75" t="s">
        <v>1357</v>
      </c>
      <c r="J75" t="s">
        <v>1357</v>
      </c>
      <c r="K75" t="s">
        <v>1357</v>
      </c>
      <c r="L75" t="s">
        <v>1357</v>
      </c>
    </row>
    <row r="76" spans="6:12">
      <c r="H76" t="s">
        <v>3278</v>
      </c>
      <c r="I76" t="s">
        <v>1357</v>
      </c>
      <c r="J76" t="s">
        <v>1357</v>
      </c>
      <c r="K76" t="s">
        <v>1357</v>
      </c>
      <c r="L76" t="s">
        <v>1357</v>
      </c>
    </row>
    <row r="77" spans="6:12">
      <c r="F77" t="s">
        <v>2443</v>
      </c>
      <c r="G77" t="s">
        <v>2916</v>
      </c>
      <c r="H77" t="s">
        <v>3297</v>
      </c>
      <c r="I77" t="s">
        <v>1357</v>
      </c>
      <c r="J77" t="s">
        <v>1357</v>
      </c>
      <c r="K77" t="s">
        <v>1357</v>
      </c>
      <c r="L77" t="s">
        <v>1357</v>
      </c>
    </row>
    <row r="78" spans="6:12">
      <c r="H78" t="s">
        <v>3298</v>
      </c>
      <c r="I78" t="s">
        <v>1357</v>
      </c>
      <c r="J78" t="s">
        <v>1357</v>
      </c>
      <c r="K78" t="s">
        <v>1357</v>
      </c>
      <c r="L78" t="s">
        <v>1357</v>
      </c>
    </row>
    <row r="79" spans="6:12">
      <c r="H79" t="s">
        <v>3299</v>
      </c>
      <c r="I79" t="s">
        <v>1357</v>
      </c>
      <c r="J79" t="s">
        <v>1357</v>
      </c>
      <c r="K79" t="s">
        <v>1357</v>
      </c>
      <c r="L79" t="s">
        <v>1357</v>
      </c>
    </row>
    <row r="80" spans="6:12">
      <c r="H80" t="s">
        <v>3300</v>
      </c>
      <c r="I80" t="s">
        <v>1357</v>
      </c>
      <c r="J80" t="s">
        <v>1357</v>
      </c>
      <c r="K80" t="s">
        <v>1357</v>
      </c>
      <c r="L80" t="s">
        <v>1357</v>
      </c>
    </row>
    <row r="81" spans="6:12">
      <c r="F81" t="s">
        <v>2444</v>
      </c>
      <c r="G81" t="s">
        <v>2917</v>
      </c>
      <c r="H81" t="s">
        <v>795</v>
      </c>
      <c r="I81" t="s">
        <v>1357</v>
      </c>
      <c r="J81" t="s">
        <v>1357</v>
      </c>
      <c r="K81" t="s">
        <v>1357</v>
      </c>
      <c r="L81" t="s">
        <v>1357</v>
      </c>
    </row>
    <row r="82" spans="6:12">
      <c r="H82" t="s">
        <v>3301</v>
      </c>
      <c r="I82" t="s">
        <v>1357</v>
      </c>
      <c r="J82" t="s">
        <v>1357</v>
      </c>
      <c r="K82" t="s">
        <v>1357</v>
      </c>
      <c r="L82" t="s">
        <v>1357</v>
      </c>
    </row>
    <row r="83" spans="6:12">
      <c r="H83" t="s">
        <v>3302</v>
      </c>
      <c r="I83" t="s">
        <v>1357</v>
      </c>
      <c r="J83" t="s">
        <v>1357</v>
      </c>
      <c r="K83" t="s">
        <v>1357</v>
      </c>
      <c r="L83" t="s">
        <v>1357</v>
      </c>
    </row>
    <row r="84" spans="6:12">
      <c r="H84" t="s">
        <v>3303</v>
      </c>
      <c r="I84" t="s">
        <v>1357</v>
      </c>
      <c r="J84" t="s">
        <v>1357</v>
      </c>
      <c r="K84" t="s">
        <v>1357</v>
      </c>
      <c r="L84" t="s">
        <v>1357</v>
      </c>
    </row>
    <row r="85" spans="6:12">
      <c r="H85" t="s">
        <v>3304</v>
      </c>
      <c r="I85" t="s">
        <v>1357</v>
      </c>
      <c r="J85" t="s">
        <v>1357</v>
      </c>
      <c r="K85" t="s">
        <v>1357</v>
      </c>
      <c r="L85" t="s">
        <v>1357</v>
      </c>
    </row>
    <row r="86" spans="6:12">
      <c r="H86" t="s">
        <v>3305</v>
      </c>
      <c r="I86" t="s">
        <v>1357</v>
      </c>
      <c r="J86" t="s">
        <v>1357</v>
      </c>
      <c r="K86" t="s">
        <v>1357</v>
      </c>
      <c r="L86" t="s">
        <v>1357</v>
      </c>
    </row>
    <row r="87" spans="6:12">
      <c r="H87" t="s">
        <v>3306</v>
      </c>
      <c r="I87" t="s">
        <v>1357</v>
      </c>
      <c r="J87" t="s">
        <v>1357</v>
      </c>
      <c r="K87" t="s">
        <v>1357</v>
      </c>
      <c r="L87" t="s">
        <v>1357</v>
      </c>
    </row>
    <row r="88" spans="6:12">
      <c r="H88" t="s">
        <v>3307</v>
      </c>
      <c r="I88" t="s">
        <v>1357</v>
      </c>
      <c r="J88" t="s">
        <v>1357</v>
      </c>
      <c r="K88" t="s">
        <v>1357</v>
      </c>
      <c r="L88" t="s">
        <v>1357</v>
      </c>
    </row>
    <row r="89" spans="6:12">
      <c r="H89" t="s">
        <v>3308</v>
      </c>
      <c r="I89" t="s">
        <v>1357</v>
      </c>
      <c r="J89" t="s">
        <v>1357</v>
      </c>
      <c r="K89" t="s">
        <v>1357</v>
      </c>
      <c r="L89" t="s">
        <v>1357</v>
      </c>
    </row>
    <row r="90" spans="6:12">
      <c r="H90" t="s">
        <v>3309</v>
      </c>
      <c r="I90" t="s">
        <v>1357</v>
      </c>
      <c r="J90" t="s">
        <v>1357</v>
      </c>
      <c r="K90" t="s">
        <v>1357</v>
      </c>
      <c r="L90" t="s">
        <v>1357</v>
      </c>
    </row>
    <row r="91" spans="6:12">
      <c r="H91" t="s">
        <v>3310</v>
      </c>
      <c r="I91" t="s">
        <v>1357</v>
      </c>
      <c r="J91" t="s">
        <v>1357</v>
      </c>
      <c r="K91" t="s">
        <v>1357</v>
      </c>
      <c r="L91" t="s">
        <v>1357</v>
      </c>
    </row>
    <row r="92" spans="6:12">
      <c r="H92" t="s">
        <v>3311</v>
      </c>
      <c r="I92" t="s">
        <v>1357</v>
      </c>
      <c r="J92" t="s">
        <v>1357</v>
      </c>
      <c r="K92" t="s">
        <v>1357</v>
      </c>
      <c r="L92" t="s">
        <v>1357</v>
      </c>
    </row>
    <row r="93" spans="6:12">
      <c r="H93" t="s">
        <v>3312</v>
      </c>
      <c r="I93" t="s">
        <v>1357</v>
      </c>
      <c r="J93" t="s">
        <v>1357</v>
      </c>
      <c r="K93" t="s">
        <v>1357</v>
      </c>
      <c r="L93" t="s">
        <v>1357</v>
      </c>
    </row>
    <row r="94" spans="6:12">
      <c r="H94" t="s">
        <v>3313</v>
      </c>
      <c r="I94" t="s">
        <v>1357</v>
      </c>
      <c r="J94" t="s">
        <v>1357</v>
      </c>
      <c r="K94" t="s">
        <v>1357</v>
      </c>
      <c r="L94" t="s">
        <v>1357</v>
      </c>
    </row>
    <row r="95" spans="6:12">
      <c r="H95" t="s">
        <v>3314</v>
      </c>
      <c r="I95" t="s">
        <v>1357</v>
      </c>
      <c r="J95" t="s">
        <v>1357</v>
      </c>
      <c r="K95" t="s">
        <v>1357</v>
      </c>
      <c r="L95" t="s">
        <v>1357</v>
      </c>
    </row>
    <row r="96" spans="6:12">
      <c r="F96" t="s">
        <v>2445</v>
      </c>
      <c r="G96" t="s">
        <v>2918</v>
      </c>
      <c r="H96" t="s">
        <v>3315</v>
      </c>
      <c r="I96" t="s">
        <v>1357</v>
      </c>
      <c r="J96" t="s">
        <v>1357</v>
      </c>
      <c r="K96" t="s">
        <v>1357</v>
      </c>
      <c r="L96" t="s">
        <v>1357</v>
      </c>
    </row>
    <row r="97" spans="6:12">
      <c r="H97" t="s">
        <v>3316</v>
      </c>
      <c r="I97" t="s">
        <v>1357</v>
      </c>
      <c r="J97" t="s">
        <v>1357</v>
      </c>
      <c r="K97" t="s">
        <v>1357</v>
      </c>
      <c r="L97" t="s">
        <v>1357</v>
      </c>
    </row>
    <row r="98" spans="6:12">
      <c r="H98" t="s">
        <v>3317</v>
      </c>
      <c r="I98" t="s">
        <v>1357</v>
      </c>
      <c r="J98" t="s">
        <v>1357</v>
      </c>
      <c r="K98" t="s">
        <v>1357</v>
      </c>
      <c r="L98" t="s">
        <v>1357</v>
      </c>
    </row>
    <row r="99" spans="6:12">
      <c r="H99" t="s">
        <v>3318</v>
      </c>
      <c r="I99" t="s">
        <v>1357</v>
      </c>
      <c r="J99" t="s">
        <v>1357</v>
      </c>
      <c r="K99" t="s">
        <v>1357</v>
      </c>
      <c r="L99" t="s">
        <v>1357</v>
      </c>
    </row>
    <row r="100" spans="6:12">
      <c r="H100" t="s">
        <v>3319</v>
      </c>
      <c r="I100" t="s">
        <v>1357</v>
      </c>
      <c r="J100" t="s">
        <v>1357</v>
      </c>
      <c r="K100" t="s">
        <v>1357</v>
      </c>
      <c r="L100" t="s">
        <v>1357</v>
      </c>
    </row>
    <row r="101" spans="6:12">
      <c r="H101" t="s">
        <v>3320</v>
      </c>
      <c r="I101" t="s">
        <v>1357</v>
      </c>
      <c r="J101" t="s">
        <v>1357</v>
      </c>
      <c r="K101" t="s">
        <v>1357</v>
      </c>
      <c r="L101" t="s">
        <v>1357</v>
      </c>
    </row>
    <row r="102" spans="6:12">
      <c r="H102" t="s">
        <v>3321</v>
      </c>
      <c r="I102" t="s">
        <v>1357</v>
      </c>
      <c r="J102" t="s">
        <v>1357</v>
      </c>
      <c r="K102" t="s">
        <v>1357</v>
      </c>
      <c r="L102" t="s">
        <v>1357</v>
      </c>
    </row>
    <row r="103" spans="6:12">
      <c r="H103" t="s">
        <v>3322</v>
      </c>
      <c r="I103" t="s">
        <v>1357</v>
      </c>
      <c r="J103" t="s">
        <v>1357</v>
      </c>
      <c r="K103" t="s">
        <v>1357</v>
      </c>
      <c r="L103" t="s">
        <v>1357</v>
      </c>
    </row>
    <row r="104" spans="6:12">
      <c r="H104" t="s">
        <v>3323</v>
      </c>
      <c r="I104" t="s">
        <v>1357</v>
      </c>
      <c r="J104" t="s">
        <v>1357</v>
      </c>
      <c r="K104" t="s">
        <v>1357</v>
      </c>
      <c r="L104" t="s">
        <v>1357</v>
      </c>
    </row>
    <row r="105" spans="6:12">
      <c r="H105" t="s">
        <v>3324</v>
      </c>
      <c r="I105" t="s">
        <v>1357</v>
      </c>
      <c r="J105" t="s">
        <v>1357</v>
      </c>
      <c r="K105" t="s">
        <v>1357</v>
      </c>
      <c r="L105" t="s">
        <v>1357</v>
      </c>
    </row>
    <row r="106" spans="6:12">
      <c r="H106" t="s">
        <v>3325</v>
      </c>
      <c r="I106" t="s">
        <v>1357</v>
      </c>
      <c r="J106" t="s">
        <v>1357</v>
      </c>
      <c r="K106" t="s">
        <v>1357</v>
      </c>
      <c r="L106" t="s">
        <v>1357</v>
      </c>
    </row>
    <row r="107" spans="6:12">
      <c r="H107" t="s">
        <v>3326</v>
      </c>
      <c r="I107" t="s">
        <v>1357</v>
      </c>
      <c r="J107" t="s">
        <v>1357</v>
      </c>
      <c r="K107" t="s">
        <v>1357</v>
      </c>
      <c r="L107" t="s">
        <v>1357</v>
      </c>
    </row>
    <row r="108" spans="6:12">
      <c r="H108" t="s">
        <v>3327</v>
      </c>
      <c r="I108" t="s">
        <v>1357</v>
      </c>
      <c r="J108" t="s">
        <v>1357</v>
      </c>
      <c r="K108" t="s">
        <v>1357</v>
      </c>
      <c r="L108" t="s">
        <v>1357</v>
      </c>
    </row>
    <row r="109" spans="6:12">
      <c r="H109" t="s">
        <v>3328</v>
      </c>
      <c r="I109" t="s">
        <v>1357</v>
      </c>
      <c r="J109" t="s">
        <v>1357</v>
      </c>
      <c r="K109" t="s">
        <v>1357</v>
      </c>
      <c r="L109" t="s">
        <v>1357</v>
      </c>
    </row>
    <row r="110" spans="6:12">
      <c r="H110" t="s">
        <v>3329</v>
      </c>
      <c r="I110" t="s">
        <v>1357</v>
      </c>
      <c r="J110" t="s">
        <v>1357</v>
      </c>
      <c r="K110" t="s">
        <v>1357</v>
      </c>
      <c r="L110" t="s">
        <v>1357</v>
      </c>
    </row>
    <row r="111" spans="6:12">
      <c r="H111" t="s">
        <v>3330</v>
      </c>
      <c r="I111" t="s">
        <v>1357</v>
      </c>
      <c r="J111" t="s">
        <v>1357</v>
      </c>
      <c r="K111" t="s">
        <v>1357</v>
      </c>
      <c r="L111" t="s">
        <v>1357</v>
      </c>
    </row>
    <row r="112" spans="6:12">
      <c r="F112" t="s">
        <v>2429</v>
      </c>
      <c r="G112" t="s">
        <v>2903</v>
      </c>
      <c r="H112" t="s">
        <v>3263</v>
      </c>
      <c r="I112" t="s">
        <v>1357</v>
      </c>
      <c r="J112" t="s">
        <v>1357</v>
      </c>
      <c r="K112" t="s">
        <v>1357</v>
      </c>
      <c r="L112" t="s">
        <v>1357</v>
      </c>
    </row>
    <row r="113" spans="6:12">
      <c r="H113" t="s">
        <v>3264</v>
      </c>
      <c r="I113" t="s">
        <v>1357</v>
      </c>
      <c r="J113" t="s">
        <v>1357</v>
      </c>
      <c r="K113" t="s">
        <v>1357</v>
      </c>
      <c r="L113" t="s">
        <v>1357</v>
      </c>
    </row>
    <row r="114" spans="6:12">
      <c r="H114" t="s">
        <v>3265</v>
      </c>
      <c r="I114" t="s">
        <v>1357</v>
      </c>
      <c r="J114" t="s">
        <v>1357</v>
      </c>
      <c r="K114" t="s">
        <v>1357</v>
      </c>
      <c r="L114" t="s">
        <v>1357</v>
      </c>
    </row>
    <row r="115" spans="6:12">
      <c r="H115" t="s">
        <v>3266</v>
      </c>
      <c r="I115" t="s">
        <v>1357</v>
      </c>
      <c r="J115" t="s">
        <v>1357</v>
      </c>
      <c r="K115" t="s">
        <v>1357</v>
      </c>
      <c r="L115" t="s">
        <v>1357</v>
      </c>
    </row>
    <row r="116" spans="6:12">
      <c r="F116" t="s">
        <v>2430</v>
      </c>
      <c r="G116" t="s">
        <v>2904</v>
      </c>
      <c r="H116" t="s">
        <v>3267</v>
      </c>
      <c r="I116" t="s">
        <v>1357</v>
      </c>
      <c r="J116" t="s">
        <v>1357</v>
      </c>
      <c r="K116" t="s">
        <v>1357</v>
      </c>
      <c r="L116" t="s">
        <v>1357</v>
      </c>
    </row>
    <row r="117" spans="6:12">
      <c r="H117" t="s">
        <v>3268</v>
      </c>
      <c r="I117" t="s">
        <v>1357</v>
      </c>
      <c r="J117" t="s">
        <v>1357</v>
      </c>
      <c r="K117" t="s">
        <v>1357</v>
      </c>
      <c r="L117" t="s">
        <v>1357</v>
      </c>
    </row>
    <row r="118" spans="6:12">
      <c r="H118" t="s">
        <v>3269</v>
      </c>
      <c r="I118" t="s">
        <v>1357</v>
      </c>
      <c r="J118" t="s">
        <v>1357</v>
      </c>
      <c r="K118" t="s">
        <v>1357</v>
      </c>
      <c r="L118" t="s">
        <v>1357</v>
      </c>
    </row>
    <row r="119" spans="6:12">
      <c r="H119" t="s">
        <v>3331</v>
      </c>
      <c r="I119" t="s">
        <v>1357</v>
      </c>
      <c r="J119" t="s">
        <v>1357</v>
      </c>
      <c r="K119" t="s">
        <v>1357</v>
      </c>
      <c r="L119" t="s">
        <v>1357</v>
      </c>
    </row>
    <row r="120" spans="6:12">
      <c r="H120" t="s">
        <v>3332</v>
      </c>
      <c r="I120" t="s">
        <v>1357</v>
      </c>
      <c r="J120" t="s">
        <v>1357</v>
      </c>
      <c r="K120" t="s">
        <v>1357</v>
      </c>
      <c r="L120" t="s">
        <v>1357</v>
      </c>
    </row>
    <row r="121" spans="6:12">
      <c r="H121" t="s">
        <v>3333</v>
      </c>
      <c r="I121" t="s">
        <v>1357</v>
      </c>
      <c r="J121" t="s">
        <v>1357</v>
      </c>
      <c r="K121" t="s">
        <v>1357</v>
      </c>
      <c r="L121" t="s">
        <v>1357</v>
      </c>
    </row>
    <row r="122" spans="6:12">
      <c r="H122" t="s">
        <v>3334</v>
      </c>
      <c r="I122" t="s">
        <v>1357</v>
      </c>
      <c r="J122" t="s">
        <v>1357</v>
      </c>
      <c r="K122" t="s">
        <v>1357</v>
      </c>
      <c r="L122" t="s">
        <v>1357</v>
      </c>
    </row>
    <row r="123" spans="6:12">
      <c r="H123" t="s">
        <v>3335</v>
      </c>
      <c r="I123" t="s">
        <v>1357</v>
      </c>
      <c r="J123" t="s">
        <v>1357</v>
      </c>
      <c r="K123" t="s">
        <v>1357</v>
      </c>
      <c r="L123" t="s">
        <v>1357</v>
      </c>
    </row>
    <row r="124" spans="6:12">
      <c r="H124" t="s">
        <v>3336</v>
      </c>
      <c r="I124" t="s">
        <v>1357</v>
      </c>
      <c r="J124" t="s">
        <v>1357</v>
      </c>
      <c r="K124" t="s">
        <v>1357</v>
      </c>
      <c r="L124" t="s">
        <v>1357</v>
      </c>
    </row>
    <row r="125" spans="6:12">
      <c r="H125" t="s">
        <v>3337</v>
      </c>
      <c r="I125" t="s">
        <v>1357</v>
      </c>
      <c r="J125" t="s">
        <v>1357</v>
      </c>
      <c r="K125" t="s">
        <v>1357</v>
      </c>
      <c r="L125" t="s">
        <v>1357</v>
      </c>
    </row>
    <row r="126" spans="6:12">
      <c r="H126" t="s">
        <v>3338</v>
      </c>
      <c r="I126" t="s">
        <v>1357</v>
      </c>
      <c r="J126" t="s">
        <v>1357</v>
      </c>
      <c r="K126" t="s">
        <v>1357</v>
      </c>
      <c r="L126" t="s">
        <v>1357</v>
      </c>
    </row>
    <row r="127" spans="6:12">
      <c r="H127" t="s">
        <v>3270</v>
      </c>
      <c r="I127" t="s">
        <v>1357</v>
      </c>
      <c r="J127" t="s">
        <v>1357</v>
      </c>
      <c r="K127" t="s">
        <v>1357</v>
      </c>
      <c r="L127" t="s">
        <v>1357</v>
      </c>
    </row>
    <row r="128" spans="6:12">
      <c r="H128" t="s">
        <v>3271</v>
      </c>
      <c r="I128" t="s">
        <v>1357</v>
      </c>
      <c r="J128" t="s">
        <v>1357</v>
      </c>
      <c r="K128" t="s">
        <v>1357</v>
      </c>
      <c r="L128" t="s">
        <v>1357</v>
      </c>
    </row>
    <row r="129" spans="8:12">
      <c r="H129" t="s">
        <v>3272</v>
      </c>
      <c r="I129" t="s">
        <v>1357</v>
      </c>
      <c r="J129" t="s">
        <v>1357</v>
      </c>
      <c r="K129" t="s">
        <v>1357</v>
      </c>
      <c r="L129" t="s">
        <v>1357</v>
      </c>
    </row>
    <row r="130" spans="8:12">
      <c r="H130" t="s">
        <v>3273</v>
      </c>
      <c r="I130" t="s">
        <v>1357</v>
      </c>
      <c r="J130" t="s">
        <v>1357</v>
      </c>
      <c r="K130" t="s">
        <v>1357</v>
      </c>
      <c r="L130" t="s">
        <v>1357</v>
      </c>
    </row>
    <row r="131" spans="8:12">
      <c r="H131" t="s">
        <v>3274</v>
      </c>
      <c r="I131" t="s">
        <v>1357</v>
      </c>
      <c r="J131" t="s">
        <v>1357</v>
      </c>
      <c r="K131" t="s">
        <v>1357</v>
      </c>
      <c r="L131" t="s">
        <v>1357</v>
      </c>
    </row>
    <row r="132" spans="8:12">
      <c r="H132" t="s">
        <v>3339</v>
      </c>
      <c r="I132" t="s">
        <v>1357</v>
      </c>
      <c r="J132" t="s">
        <v>1357</v>
      </c>
      <c r="K132" t="s">
        <v>1357</v>
      </c>
      <c r="L132" t="s">
        <v>1357</v>
      </c>
    </row>
    <row r="133" spans="8:12">
      <c r="H133" t="s">
        <v>3340</v>
      </c>
      <c r="I133" t="s">
        <v>1357</v>
      </c>
      <c r="J133" t="s">
        <v>1357</v>
      </c>
      <c r="K133" t="s">
        <v>1357</v>
      </c>
      <c r="L133" t="s">
        <v>1357</v>
      </c>
    </row>
    <row r="134" spans="8:12">
      <c r="H134" t="s">
        <v>3341</v>
      </c>
      <c r="I134" t="s">
        <v>1357</v>
      </c>
      <c r="J134" t="s">
        <v>1357</v>
      </c>
      <c r="K134" t="s">
        <v>1357</v>
      </c>
      <c r="L134" t="s">
        <v>1357</v>
      </c>
    </row>
    <row r="135" spans="8:12">
      <c r="H135" t="s">
        <v>3342</v>
      </c>
      <c r="I135" t="s">
        <v>1357</v>
      </c>
      <c r="J135" t="s">
        <v>1357</v>
      </c>
      <c r="K135" t="s">
        <v>1357</v>
      </c>
      <c r="L135" t="s">
        <v>1357</v>
      </c>
    </row>
    <row r="136" spans="8:12">
      <c r="H136" t="s">
        <v>3343</v>
      </c>
      <c r="I136" t="s">
        <v>1357</v>
      </c>
      <c r="J136" t="s">
        <v>1357</v>
      </c>
      <c r="K136" t="s">
        <v>1357</v>
      </c>
      <c r="L136" t="s">
        <v>1357</v>
      </c>
    </row>
    <row r="137" spans="8:12">
      <c r="H137" t="s">
        <v>3344</v>
      </c>
      <c r="I137" t="s">
        <v>1357</v>
      </c>
      <c r="J137" t="s">
        <v>1357</v>
      </c>
      <c r="K137" t="s">
        <v>1357</v>
      </c>
      <c r="L137" t="s">
        <v>1357</v>
      </c>
    </row>
    <row r="138" spans="8:12">
      <c r="H138" t="s">
        <v>3345</v>
      </c>
      <c r="I138" t="s">
        <v>1357</v>
      </c>
      <c r="J138" t="s">
        <v>1357</v>
      </c>
      <c r="K138" t="s">
        <v>1357</v>
      </c>
      <c r="L138" t="s">
        <v>1357</v>
      </c>
    </row>
    <row r="139" spans="8:12">
      <c r="H139" t="s">
        <v>3346</v>
      </c>
      <c r="I139" t="s">
        <v>1357</v>
      </c>
      <c r="J139" t="s">
        <v>1357</v>
      </c>
      <c r="K139" t="s">
        <v>1357</v>
      </c>
      <c r="L139" t="s">
        <v>1357</v>
      </c>
    </row>
    <row r="140" spans="8:12">
      <c r="H140" t="s">
        <v>3347</v>
      </c>
      <c r="I140" t="s">
        <v>1357</v>
      </c>
      <c r="J140" t="s">
        <v>1357</v>
      </c>
      <c r="K140" t="s">
        <v>1357</v>
      </c>
      <c r="L140" t="s">
        <v>1357</v>
      </c>
    </row>
    <row r="141" spans="8:12">
      <c r="H141" t="s">
        <v>3348</v>
      </c>
      <c r="I141" t="s">
        <v>1357</v>
      </c>
      <c r="J141" t="s">
        <v>1357</v>
      </c>
      <c r="K141" t="s">
        <v>1357</v>
      </c>
      <c r="L141" t="s">
        <v>1357</v>
      </c>
    </row>
    <row r="142" spans="8:12">
      <c r="H142" t="s">
        <v>3349</v>
      </c>
      <c r="I142" t="s">
        <v>1357</v>
      </c>
      <c r="J142" t="s">
        <v>1357</v>
      </c>
      <c r="K142" t="s">
        <v>1357</v>
      </c>
      <c r="L142" t="s">
        <v>1357</v>
      </c>
    </row>
    <row r="143" spans="8:12">
      <c r="H143" t="s">
        <v>3350</v>
      </c>
      <c r="I143" t="s">
        <v>1357</v>
      </c>
      <c r="J143" t="s">
        <v>1357</v>
      </c>
      <c r="K143" t="s">
        <v>1357</v>
      </c>
      <c r="L143" t="s">
        <v>1357</v>
      </c>
    </row>
    <row r="144" spans="8:12">
      <c r="H144" t="s">
        <v>3351</v>
      </c>
      <c r="I144" t="s">
        <v>1357</v>
      </c>
      <c r="J144" t="s">
        <v>1357</v>
      </c>
      <c r="K144" t="s">
        <v>1357</v>
      </c>
      <c r="L144" t="s">
        <v>1357</v>
      </c>
    </row>
    <row r="145" spans="6:12">
      <c r="H145" t="s">
        <v>3352</v>
      </c>
      <c r="I145" t="s">
        <v>1357</v>
      </c>
      <c r="J145" t="s">
        <v>1357</v>
      </c>
      <c r="K145" t="s">
        <v>1357</v>
      </c>
      <c r="L145" t="s">
        <v>1357</v>
      </c>
    </row>
    <row r="146" spans="6:12">
      <c r="H146" t="s">
        <v>3353</v>
      </c>
      <c r="I146" t="s">
        <v>1357</v>
      </c>
      <c r="J146" t="s">
        <v>1357</v>
      </c>
      <c r="K146" t="s">
        <v>1357</v>
      </c>
      <c r="L146" t="s">
        <v>1357</v>
      </c>
    </row>
    <row r="147" spans="6:12">
      <c r="H147" t="s">
        <v>3354</v>
      </c>
      <c r="I147" t="s">
        <v>1357</v>
      </c>
      <c r="J147" t="s">
        <v>1357</v>
      </c>
      <c r="K147" t="s">
        <v>1357</v>
      </c>
      <c r="L147" t="s">
        <v>1357</v>
      </c>
    </row>
    <row r="148" spans="6:12">
      <c r="F148" t="s">
        <v>2433</v>
      </c>
      <c r="G148" t="s">
        <v>2907</v>
      </c>
      <c r="H148" t="s">
        <v>3315</v>
      </c>
      <c r="I148" t="s">
        <v>1357</v>
      </c>
      <c r="J148" t="s">
        <v>1357</v>
      </c>
      <c r="K148" t="s">
        <v>1357</v>
      </c>
      <c r="L148" t="s">
        <v>1357</v>
      </c>
    </row>
    <row r="149" spans="6:12">
      <c r="H149" t="s">
        <v>3355</v>
      </c>
      <c r="I149" t="s">
        <v>1357</v>
      </c>
      <c r="J149" t="s">
        <v>1357</v>
      </c>
      <c r="K149" t="s">
        <v>1357</v>
      </c>
      <c r="L149" t="s">
        <v>1357</v>
      </c>
    </row>
    <row r="150" spans="6:12">
      <c r="H150" t="s">
        <v>3356</v>
      </c>
      <c r="I150" t="s">
        <v>1357</v>
      </c>
      <c r="J150" t="s">
        <v>1357</v>
      </c>
      <c r="K150" t="s">
        <v>1357</v>
      </c>
      <c r="L150" t="s">
        <v>1357</v>
      </c>
    </row>
    <row r="151" spans="6:12">
      <c r="H151" t="s">
        <v>3357</v>
      </c>
      <c r="I151" t="s">
        <v>1357</v>
      </c>
      <c r="J151" t="s">
        <v>1357</v>
      </c>
      <c r="K151" t="s">
        <v>1357</v>
      </c>
      <c r="L151" t="s">
        <v>1357</v>
      </c>
    </row>
    <row r="152" spans="6:12">
      <c r="H152" t="s">
        <v>3358</v>
      </c>
      <c r="I152" t="s">
        <v>1357</v>
      </c>
      <c r="J152" t="s">
        <v>1357</v>
      </c>
      <c r="K152" t="s">
        <v>1357</v>
      </c>
      <c r="L152" t="s">
        <v>1357</v>
      </c>
    </row>
    <row r="153" spans="6:12">
      <c r="H153" t="s">
        <v>3320</v>
      </c>
      <c r="I153" t="s">
        <v>1357</v>
      </c>
      <c r="J153" t="s">
        <v>1357</v>
      </c>
      <c r="K153" t="s">
        <v>1357</v>
      </c>
      <c r="L153" t="s">
        <v>1357</v>
      </c>
    </row>
    <row r="154" spans="6:12">
      <c r="H154" t="s">
        <v>3359</v>
      </c>
      <c r="I154" t="s">
        <v>1357</v>
      </c>
      <c r="J154" t="s">
        <v>1357</v>
      </c>
      <c r="K154" t="s">
        <v>1357</v>
      </c>
      <c r="L154" t="s">
        <v>1357</v>
      </c>
    </row>
    <row r="155" spans="6:12">
      <c r="H155" t="s">
        <v>3360</v>
      </c>
      <c r="I155" t="s">
        <v>1357</v>
      </c>
      <c r="J155" t="s">
        <v>1357</v>
      </c>
      <c r="K155" t="s">
        <v>1357</v>
      </c>
      <c r="L155" t="s">
        <v>1357</v>
      </c>
    </row>
    <row r="156" spans="6:12">
      <c r="H156" t="s">
        <v>3361</v>
      </c>
      <c r="I156" t="s">
        <v>1357</v>
      </c>
      <c r="J156" t="s">
        <v>1357</v>
      </c>
      <c r="K156" t="s">
        <v>1357</v>
      </c>
      <c r="L156" t="s">
        <v>1357</v>
      </c>
    </row>
    <row r="157" spans="6:12">
      <c r="H157" t="s">
        <v>3362</v>
      </c>
      <c r="I157" t="s">
        <v>1357</v>
      </c>
      <c r="J157" t="s">
        <v>1357</v>
      </c>
      <c r="K157" t="s">
        <v>1357</v>
      </c>
      <c r="L157" t="s">
        <v>1357</v>
      </c>
    </row>
    <row r="158" spans="6:12">
      <c r="H158" t="s">
        <v>3363</v>
      </c>
      <c r="I158" t="s">
        <v>1357</v>
      </c>
      <c r="J158" t="s">
        <v>1357</v>
      </c>
      <c r="K158" t="s">
        <v>1357</v>
      </c>
      <c r="L158" t="s">
        <v>1357</v>
      </c>
    </row>
    <row r="159" spans="6:12">
      <c r="H159" t="s">
        <v>3364</v>
      </c>
      <c r="I159" t="s">
        <v>1357</v>
      </c>
      <c r="J159" t="s">
        <v>1357</v>
      </c>
      <c r="K159" t="s">
        <v>1357</v>
      </c>
      <c r="L159" t="s">
        <v>1357</v>
      </c>
    </row>
    <row r="160" spans="6:12">
      <c r="H160" t="s">
        <v>3365</v>
      </c>
      <c r="I160" t="s">
        <v>1357</v>
      </c>
      <c r="J160" t="s">
        <v>1357</v>
      </c>
      <c r="K160" t="s">
        <v>1357</v>
      </c>
      <c r="L160" t="s">
        <v>1357</v>
      </c>
    </row>
    <row r="161" spans="6:12">
      <c r="H161" t="s">
        <v>3366</v>
      </c>
      <c r="I161" t="s">
        <v>1357</v>
      </c>
      <c r="J161" t="s">
        <v>1357</v>
      </c>
      <c r="K161" t="s">
        <v>1357</v>
      </c>
      <c r="L161" t="s">
        <v>1357</v>
      </c>
    </row>
    <row r="162" spans="6:12">
      <c r="H162" t="s">
        <v>3367</v>
      </c>
      <c r="I162" t="s">
        <v>1357</v>
      </c>
      <c r="J162" t="s">
        <v>1357</v>
      </c>
      <c r="K162" t="s">
        <v>1357</v>
      </c>
      <c r="L162" t="s">
        <v>1357</v>
      </c>
    </row>
    <row r="163" spans="6:12">
      <c r="H163" t="s">
        <v>3368</v>
      </c>
      <c r="I163" t="s">
        <v>1357</v>
      </c>
      <c r="J163" t="s">
        <v>1357</v>
      </c>
      <c r="K163" t="s">
        <v>1357</v>
      </c>
      <c r="L163" t="s">
        <v>1357</v>
      </c>
    </row>
    <row r="164" spans="6:12">
      <c r="H164" t="s">
        <v>3369</v>
      </c>
      <c r="I164" t="s">
        <v>1357</v>
      </c>
      <c r="J164" t="s">
        <v>1357</v>
      </c>
      <c r="K164" t="s">
        <v>1357</v>
      </c>
      <c r="L164" t="s">
        <v>1357</v>
      </c>
    </row>
    <row r="165" spans="6:12">
      <c r="H165" t="s">
        <v>3370</v>
      </c>
      <c r="I165" t="s">
        <v>1357</v>
      </c>
      <c r="J165" t="s">
        <v>1357</v>
      </c>
      <c r="K165" t="s">
        <v>1357</v>
      </c>
      <c r="L165" t="s">
        <v>1357</v>
      </c>
    </row>
    <row r="166" spans="6:12">
      <c r="H166" t="s">
        <v>3371</v>
      </c>
      <c r="I166" t="s">
        <v>1357</v>
      </c>
      <c r="J166" t="s">
        <v>1357</v>
      </c>
      <c r="K166" t="s">
        <v>1357</v>
      </c>
      <c r="L166" t="s">
        <v>1357</v>
      </c>
    </row>
    <row r="167" spans="6:12">
      <c r="H167" t="s">
        <v>3372</v>
      </c>
      <c r="I167" t="s">
        <v>1357</v>
      </c>
      <c r="J167" t="s">
        <v>1357</v>
      </c>
      <c r="K167" t="s">
        <v>1357</v>
      </c>
      <c r="L167" t="s">
        <v>1357</v>
      </c>
    </row>
    <row r="168" spans="6:12">
      <c r="H168" t="s">
        <v>3373</v>
      </c>
      <c r="I168" t="s">
        <v>1357</v>
      </c>
      <c r="J168" t="s">
        <v>1357</v>
      </c>
      <c r="K168" t="s">
        <v>1357</v>
      </c>
      <c r="L168" t="s">
        <v>1357</v>
      </c>
    </row>
    <row r="169" spans="6:12">
      <c r="H169" t="s">
        <v>3374</v>
      </c>
      <c r="I169" t="s">
        <v>1357</v>
      </c>
      <c r="J169" t="s">
        <v>1357</v>
      </c>
      <c r="K169" t="s">
        <v>1357</v>
      </c>
      <c r="L169" t="s">
        <v>1357</v>
      </c>
    </row>
    <row r="170" spans="6:12">
      <c r="H170" t="s">
        <v>3375</v>
      </c>
      <c r="I170" t="s">
        <v>1357</v>
      </c>
      <c r="J170" t="s">
        <v>1357</v>
      </c>
      <c r="K170" t="s">
        <v>1357</v>
      </c>
      <c r="L170" t="s">
        <v>1357</v>
      </c>
    </row>
    <row r="171" spans="6:12">
      <c r="H171" t="s">
        <v>3376</v>
      </c>
      <c r="I171" t="s">
        <v>1357</v>
      </c>
      <c r="J171" t="s">
        <v>1357</v>
      </c>
      <c r="K171" t="s">
        <v>1357</v>
      </c>
      <c r="L171" t="s">
        <v>1357</v>
      </c>
    </row>
    <row r="172" spans="6:12">
      <c r="H172" t="s">
        <v>3377</v>
      </c>
      <c r="I172" t="s">
        <v>1357</v>
      </c>
      <c r="J172" t="s">
        <v>1357</v>
      </c>
      <c r="K172" t="s">
        <v>1357</v>
      </c>
      <c r="L172" t="s">
        <v>1357</v>
      </c>
    </row>
    <row r="173" spans="6:12">
      <c r="H173" t="s">
        <v>3378</v>
      </c>
      <c r="I173" t="s">
        <v>1357</v>
      </c>
      <c r="J173" t="s">
        <v>1357</v>
      </c>
      <c r="K173" t="s">
        <v>1357</v>
      </c>
      <c r="L173" t="s">
        <v>1357</v>
      </c>
    </row>
    <row r="174" spans="6:12">
      <c r="H174" t="s">
        <v>3379</v>
      </c>
      <c r="I174" t="s">
        <v>1357</v>
      </c>
      <c r="J174" t="s">
        <v>1357</v>
      </c>
      <c r="K174" t="s">
        <v>1357</v>
      </c>
      <c r="L174" t="s">
        <v>1357</v>
      </c>
    </row>
    <row r="175" spans="6:12">
      <c r="F175" t="s">
        <v>2446</v>
      </c>
      <c r="G175" t="s">
        <v>2919</v>
      </c>
      <c r="H175" t="s">
        <v>3263</v>
      </c>
      <c r="I175" t="s">
        <v>1357</v>
      </c>
      <c r="J175" t="s">
        <v>1357</v>
      </c>
      <c r="K175" t="s">
        <v>1357</v>
      </c>
      <c r="L175" t="s">
        <v>1357</v>
      </c>
    </row>
    <row r="176" spans="6:12">
      <c r="H176" t="s">
        <v>3264</v>
      </c>
      <c r="I176" t="s">
        <v>1357</v>
      </c>
      <c r="J176" t="s">
        <v>1357</v>
      </c>
      <c r="K176" t="s">
        <v>1357</v>
      </c>
      <c r="L176" t="s">
        <v>1357</v>
      </c>
    </row>
    <row r="177" spans="6:12">
      <c r="H177" t="s">
        <v>3265</v>
      </c>
      <c r="I177" t="s">
        <v>1357</v>
      </c>
      <c r="J177" t="s">
        <v>1357</v>
      </c>
      <c r="K177" t="s">
        <v>1357</v>
      </c>
      <c r="L177" t="s">
        <v>1357</v>
      </c>
    </row>
    <row r="178" spans="6:12">
      <c r="H178" t="s">
        <v>3266</v>
      </c>
      <c r="I178" t="s">
        <v>1357</v>
      </c>
      <c r="J178" t="s">
        <v>1357</v>
      </c>
      <c r="K178" t="s">
        <v>1357</v>
      </c>
      <c r="L178" t="s">
        <v>1357</v>
      </c>
    </row>
    <row r="179" spans="6:12">
      <c r="F179" t="s">
        <v>2431</v>
      </c>
      <c r="G179" t="s">
        <v>2905</v>
      </c>
      <c r="H179" t="s">
        <v>3275</v>
      </c>
      <c r="I179" t="s">
        <v>1357</v>
      </c>
      <c r="J179" t="s">
        <v>1357</v>
      </c>
      <c r="K179" t="s">
        <v>1357</v>
      </c>
      <c r="L179" t="s">
        <v>1357</v>
      </c>
    </row>
    <row r="180" spans="6:12">
      <c r="H180" t="s">
        <v>3380</v>
      </c>
      <c r="I180" t="s">
        <v>1357</v>
      </c>
      <c r="J180" t="s">
        <v>1357</v>
      </c>
      <c r="K180" t="s">
        <v>1357</v>
      </c>
      <c r="L180" t="s">
        <v>1357</v>
      </c>
    </row>
    <row r="181" spans="6:12">
      <c r="F181" t="s">
        <v>2447</v>
      </c>
      <c r="G181" t="s">
        <v>2920</v>
      </c>
      <c r="H181" t="s">
        <v>3315</v>
      </c>
      <c r="I181" t="s">
        <v>1357</v>
      </c>
      <c r="J181" t="s">
        <v>1357</v>
      </c>
      <c r="K181" t="s">
        <v>1357</v>
      </c>
      <c r="L181" t="s">
        <v>1357</v>
      </c>
    </row>
    <row r="182" spans="6:12">
      <c r="H182" t="s">
        <v>3316</v>
      </c>
      <c r="I182" t="s">
        <v>1357</v>
      </c>
      <c r="J182" t="s">
        <v>1357</v>
      </c>
      <c r="K182" t="s">
        <v>1357</v>
      </c>
      <c r="L182" t="s">
        <v>1357</v>
      </c>
    </row>
    <row r="183" spans="6:12">
      <c r="H183" t="s">
        <v>3317</v>
      </c>
      <c r="I183" t="s">
        <v>1357</v>
      </c>
      <c r="J183" t="s">
        <v>1357</v>
      </c>
      <c r="K183" t="s">
        <v>1357</v>
      </c>
      <c r="L183" t="s">
        <v>1357</v>
      </c>
    </row>
    <row r="184" spans="6:12">
      <c r="H184" t="s">
        <v>3318</v>
      </c>
      <c r="I184" t="s">
        <v>1357</v>
      </c>
      <c r="J184" t="s">
        <v>1357</v>
      </c>
      <c r="K184" t="s">
        <v>1357</v>
      </c>
      <c r="L184" t="s">
        <v>1357</v>
      </c>
    </row>
    <row r="185" spans="6:12">
      <c r="H185" t="s">
        <v>3319</v>
      </c>
      <c r="I185" t="s">
        <v>1357</v>
      </c>
      <c r="J185" t="s">
        <v>1357</v>
      </c>
      <c r="K185" t="s">
        <v>1357</v>
      </c>
      <c r="L185" t="s">
        <v>1357</v>
      </c>
    </row>
    <row r="186" spans="6:12">
      <c r="H186" t="s">
        <v>3320</v>
      </c>
      <c r="I186" t="s">
        <v>1357</v>
      </c>
      <c r="J186" t="s">
        <v>1357</v>
      </c>
      <c r="K186" t="s">
        <v>1357</v>
      </c>
      <c r="L186" t="s">
        <v>1357</v>
      </c>
    </row>
    <row r="187" spans="6:12">
      <c r="H187" t="s">
        <v>3321</v>
      </c>
      <c r="I187" t="s">
        <v>1357</v>
      </c>
      <c r="J187" t="s">
        <v>1357</v>
      </c>
      <c r="K187" t="s">
        <v>1357</v>
      </c>
      <c r="L187" t="s">
        <v>1357</v>
      </c>
    </row>
    <row r="188" spans="6:12">
      <c r="H188" t="s">
        <v>3322</v>
      </c>
      <c r="I188" t="s">
        <v>1357</v>
      </c>
      <c r="J188" t="s">
        <v>1357</v>
      </c>
      <c r="K188" t="s">
        <v>1357</v>
      </c>
      <c r="L188" t="s">
        <v>1357</v>
      </c>
    </row>
    <row r="189" spans="6:12">
      <c r="H189" t="s">
        <v>3323</v>
      </c>
      <c r="I189" t="s">
        <v>1357</v>
      </c>
      <c r="J189" t="s">
        <v>1357</v>
      </c>
      <c r="K189" t="s">
        <v>1357</v>
      </c>
      <c r="L189" t="s">
        <v>1357</v>
      </c>
    </row>
    <row r="190" spans="6:12">
      <c r="H190" t="s">
        <v>3324</v>
      </c>
      <c r="I190" t="s">
        <v>1357</v>
      </c>
      <c r="J190" t="s">
        <v>1357</v>
      </c>
      <c r="K190" t="s">
        <v>1357</v>
      </c>
      <c r="L190" t="s">
        <v>1357</v>
      </c>
    </row>
    <row r="191" spans="6:12">
      <c r="H191" t="s">
        <v>3381</v>
      </c>
      <c r="I191" t="s">
        <v>1357</v>
      </c>
      <c r="J191" t="s">
        <v>1357</v>
      </c>
      <c r="K191" t="s">
        <v>1357</v>
      </c>
      <c r="L191" t="s">
        <v>1357</v>
      </c>
    </row>
    <row r="192" spans="6:12">
      <c r="H192" t="s">
        <v>3325</v>
      </c>
      <c r="I192" t="s">
        <v>1357</v>
      </c>
      <c r="J192" t="s">
        <v>1357</v>
      </c>
      <c r="K192" t="s">
        <v>1357</v>
      </c>
      <c r="L192" t="s">
        <v>1357</v>
      </c>
    </row>
    <row r="193" spans="6:12">
      <c r="H193" t="s">
        <v>3326</v>
      </c>
      <c r="I193" t="s">
        <v>1357</v>
      </c>
      <c r="J193" t="s">
        <v>1357</v>
      </c>
      <c r="K193" t="s">
        <v>1357</v>
      </c>
      <c r="L193" t="s">
        <v>1357</v>
      </c>
    </row>
    <row r="194" spans="6:12">
      <c r="H194" t="s">
        <v>3327</v>
      </c>
      <c r="I194" t="s">
        <v>1357</v>
      </c>
      <c r="J194" t="s">
        <v>1357</v>
      </c>
      <c r="K194" t="s">
        <v>1357</v>
      </c>
      <c r="L194" t="s">
        <v>1357</v>
      </c>
    </row>
    <row r="195" spans="6:12">
      <c r="H195" t="s">
        <v>3328</v>
      </c>
      <c r="I195" t="s">
        <v>1357</v>
      </c>
      <c r="J195" t="s">
        <v>1357</v>
      </c>
      <c r="K195" t="s">
        <v>1357</v>
      </c>
      <c r="L195" t="s">
        <v>1357</v>
      </c>
    </row>
    <row r="196" spans="6:12">
      <c r="H196" t="s">
        <v>3382</v>
      </c>
      <c r="I196" t="s">
        <v>1357</v>
      </c>
      <c r="J196" t="s">
        <v>1357</v>
      </c>
      <c r="K196" t="s">
        <v>1357</v>
      </c>
      <c r="L196" t="s">
        <v>1357</v>
      </c>
    </row>
    <row r="197" spans="6:12">
      <c r="F197" t="s">
        <v>2448</v>
      </c>
      <c r="G197" t="s">
        <v>2921</v>
      </c>
      <c r="H197" t="s">
        <v>3315</v>
      </c>
      <c r="I197" t="s">
        <v>1357</v>
      </c>
      <c r="J197" t="s">
        <v>1357</v>
      </c>
      <c r="K197" t="s">
        <v>1357</v>
      </c>
      <c r="L197" t="s">
        <v>1357</v>
      </c>
    </row>
    <row r="198" spans="6:12">
      <c r="H198" t="s">
        <v>3316</v>
      </c>
      <c r="I198" t="s">
        <v>1357</v>
      </c>
      <c r="J198" t="s">
        <v>1357</v>
      </c>
      <c r="K198" t="s">
        <v>1357</v>
      </c>
      <c r="L198" t="s">
        <v>1357</v>
      </c>
    </row>
    <row r="199" spans="6:12">
      <c r="H199" t="s">
        <v>3317</v>
      </c>
      <c r="I199" t="s">
        <v>1357</v>
      </c>
      <c r="J199" t="s">
        <v>1357</v>
      </c>
      <c r="K199" t="s">
        <v>1357</v>
      </c>
      <c r="L199" t="s">
        <v>1357</v>
      </c>
    </row>
    <row r="200" spans="6:12">
      <c r="H200" t="s">
        <v>3318</v>
      </c>
      <c r="I200" t="s">
        <v>1357</v>
      </c>
      <c r="J200" t="s">
        <v>1357</v>
      </c>
      <c r="K200" t="s">
        <v>1357</v>
      </c>
      <c r="L200" t="s">
        <v>1357</v>
      </c>
    </row>
    <row r="201" spans="6:12">
      <c r="H201" t="s">
        <v>3319</v>
      </c>
      <c r="I201" t="s">
        <v>1357</v>
      </c>
      <c r="J201" t="s">
        <v>1357</v>
      </c>
      <c r="K201" t="s">
        <v>1357</v>
      </c>
      <c r="L201" t="s">
        <v>1357</v>
      </c>
    </row>
    <row r="202" spans="6:12">
      <c r="H202" t="s">
        <v>3320</v>
      </c>
      <c r="I202" t="s">
        <v>1357</v>
      </c>
      <c r="J202" t="s">
        <v>1357</v>
      </c>
      <c r="K202" t="s">
        <v>1357</v>
      </c>
      <c r="L202" t="s">
        <v>1357</v>
      </c>
    </row>
    <row r="203" spans="6:12">
      <c r="H203" t="s">
        <v>3321</v>
      </c>
      <c r="I203" t="s">
        <v>1357</v>
      </c>
      <c r="J203" t="s">
        <v>1357</v>
      </c>
      <c r="K203" t="s">
        <v>1357</v>
      </c>
      <c r="L203" t="s">
        <v>1357</v>
      </c>
    </row>
    <row r="204" spans="6:12">
      <c r="H204" t="s">
        <v>3322</v>
      </c>
      <c r="I204" t="s">
        <v>1357</v>
      </c>
      <c r="J204" t="s">
        <v>1357</v>
      </c>
      <c r="K204" t="s">
        <v>1357</v>
      </c>
      <c r="L204" t="s">
        <v>1357</v>
      </c>
    </row>
    <row r="205" spans="6:12">
      <c r="H205" t="s">
        <v>3323</v>
      </c>
      <c r="I205" t="s">
        <v>1357</v>
      </c>
      <c r="J205" t="s">
        <v>1357</v>
      </c>
      <c r="K205" t="s">
        <v>1357</v>
      </c>
      <c r="L205" t="s">
        <v>1357</v>
      </c>
    </row>
    <row r="206" spans="6:12">
      <c r="H206" t="s">
        <v>3324</v>
      </c>
      <c r="I206" t="s">
        <v>1357</v>
      </c>
      <c r="J206" t="s">
        <v>1357</v>
      </c>
      <c r="K206" t="s">
        <v>1357</v>
      </c>
      <c r="L206" t="s">
        <v>1357</v>
      </c>
    </row>
    <row r="207" spans="6:12">
      <c r="H207" t="s">
        <v>3363</v>
      </c>
      <c r="I207" t="s">
        <v>1357</v>
      </c>
      <c r="J207" t="s">
        <v>1357</v>
      </c>
      <c r="K207" t="s">
        <v>1357</v>
      </c>
      <c r="L207" t="s">
        <v>1357</v>
      </c>
    </row>
    <row r="208" spans="6:12">
      <c r="H208" t="s">
        <v>3383</v>
      </c>
      <c r="I208" t="s">
        <v>1357</v>
      </c>
      <c r="J208" t="s">
        <v>1357</v>
      </c>
      <c r="K208" t="s">
        <v>1357</v>
      </c>
      <c r="L208" t="s">
        <v>1357</v>
      </c>
    </row>
    <row r="209" spans="6:12">
      <c r="H209" t="s">
        <v>3384</v>
      </c>
      <c r="I209" t="s">
        <v>1357</v>
      </c>
      <c r="J209" t="s">
        <v>1357</v>
      </c>
      <c r="K209" t="s">
        <v>1357</v>
      </c>
      <c r="L209" t="s">
        <v>1357</v>
      </c>
    </row>
    <row r="210" spans="6:12">
      <c r="H210" t="s">
        <v>3385</v>
      </c>
      <c r="I210" t="s">
        <v>1357</v>
      </c>
      <c r="J210" t="s">
        <v>1357</v>
      </c>
      <c r="K210" t="s">
        <v>1357</v>
      </c>
      <c r="L210" t="s">
        <v>1357</v>
      </c>
    </row>
    <row r="211" spans="6:12">
      <c r="H211" t="s">
        <v>3386</v>
      </c>
      <c r="I211" t="s">
        <v>1357</v>
      </c>
      <c r="J211" t="s">
        <v>1357</v>
      </c>
      <c r="K211" t="s">
        <v>1357</v>
      </c>
      <c r="L211" t="s">
        <v>1357</v>
      </c>
    </row>
    <row r="212" spans="6:12">
      <c r="H212" t="s">
        <v>3368</v>
      </c>
      <c r="I212" t="s">
        <v>1357</v>
      </c>
      <c r="J212" t="s">
        <v>1357</v>
      </c>
      <c r="K212" t="s">
        <v>1357</v>
      </c>
      <c r="L212" t="s">
        <v>1357</v>
      </c>
    </row>
    <row r="213" spans="6:12">
      <c r="H213" t="s">
        <v>3387</v>
      </c>
      <c r="I213" t="s">
        <v>1357</v>
      </c>
      <c r="J213" t="s">
        <v>1357</v>
      </c>
      <c r="K213" t="s">
        <v>1357</v>
      </c>
      <c r="L213" t="s">
        <v>1357</v>
      </c>
    </row>
    <row r="214" spans="6:12">
      <c r="H214" t="s">
        <v>3388</v>
      </c>
      <c r="I214" t="s">
        <v>1357</v>
      </c>
      <c r="J214" t="s">
        <v>1357</v>
      </c>
      <c r="K214" t="s">
        <v>1357</v>
      </c>
      <c r="L214" t="s">
        <v>1357</v>
      </c>
    </row>
    <row r="215" spans="6:12">
      <c r="H215" t="s">
        <v>3389</v>
      </c>
      <c r="I215" t="s">
        <v>1357</v>
      </c>
      <c r="J215" t="s">
        <v>1357</v>
      </c>
      <c r="K215" t="s">
        <v>1357</v>
      </c>
      <c r="L215" t="s">
        <v>1357</v>
      </c>
    </row>
    <row r="216" spans="6:12">
      <c r="H216" t="s">
        <v>3390</v>
      </c>
      <c r="I216" t="s">
        <v>1357</v>
      </c>
      <c r="J216" t="s">
        <v>1357</v>
      </c>
      <c r="K216" t="s">
        <v>1357</v>
      </c>
      <c r="L216" t="s">
        <v>1357</v>
      </c>
    </row>
    <row r="217" spans="6:12">
      <c r="F217" t="s">
        <v>2449</v>
      </c>
      <c r="G217" t="s">
        <v>2922</v>
      </c>
      <c r="H217" t="s">
        <v>3391</v>
      </c>
      <c r="I217" t="s">
        <v>1357</v>
      </c>
      <c r="J217" t="s">
        <v>1357</v>
      </c>
      <c r="K217" t="s">
        <v>1357</v>
      </c>
      <c r="L217" t="s">
        <v>1357</v>
      </c>
    </row>
    <row r="218" spans="6:12">
      <c r="H218" t="s">
        <v>3392</v>
      </c>
      <c r="I218" t="s">
        <v>1357</v>
      </c>
      <c r="J218" t="s">
        <v>1357</v>
      </c>
      <c r="K218" t="s">
        <v>1357</v>
      </c>
      <c r="L218" t="s">
        <v>1357</v>
      </c>
    </row>
    <row r="219" spans="6:12">
      <c r="H219" t="s">
        <v>3303</v>
      </c>
      <c r="I219" t="s">
        <v>1357</v>
      </c>
      <c r="J219" t="s">
        <v>1357</v>
      </c>
      <c r="K219" t="s">
        <v>1357</v>
      </c>
      <c r="L219" t="s">
        <v>1357</v>
      </c>
    </row>
    <row r="220" spans="6:12">
      <c r="H220" t="s">
        <v>3393</v>
      </c>
      <c r="I220" t="s">
        <v>1357</v>
      </c>
      <c r="J220" t="s">
        <v>1357</v>
      </c>
      <c r="K220" t="s">
        <v>1357</v>
      </c>
      <c r="L220" t="s">
        <v>1357</v>
      </c>
    </row>
    <row r="221" spans="6:12">
      <c r="H221" t="s">
        <v>3394</v>
      </c>
      <c r="I221" t="s">
        <v>1357</v>
      </c>
      <c r="J221" t="s">
        <v>1357</v>
      </c>
      <c r="K221" t="s">
        <v>1357</v>
      </c>
      <c r="L221" t="s">
        <v>1357</v>
      </c>
    </row>
    <row r="222" spans="6:12">
      <c r="H222" t="s">
        <v>3395</v>
      </c>
      <c r="I222" t="s">
        <v>1357</v>
      </c>
      <c r="J222" t="s">
        <v>1357</v>
      </c>
      <c r="K222" t="s">
        <v>1357</v>
      </c>
      <c r="L222" t="s">
        <v>1357</v>
      </c>
    </row>
    <row r="223" spans="6:12">
      <c r="H223" t="s">
        <v>3309</v>
      </c>
      <c r="I223" t="s">
        <v>1357</v>
      </c>
      <c r="J223" t="s">
        <v>1357</v>
      </c>
      <c r="K223" t="s">
        <v>1357</v>
      </c>
      <c r="L223" t="s">
        <v>1357</v>
      </c>
    </row>
    <row r="224" spans="6:12">
      <c r="H224" t="s">
        <v>3396</v>
      </c>
      <c r="I224" t="s">
        <v>1357</v>
      </c>
      <c r="J224" t="s">
        <v>1357</v>
      </c>
      <c r="K224" t="s">
        <v>1357</v>
      </c>
      <c r="L224" t="s">
        <v>1357</v>
      </c>
    </row>
    <row r="225" spans="6:12">
      <c r="H225" t="s">
        <v>3397</v>
      </c>
      <c r="I225" t="s">
        <v>1357</v>
      </c>
      <c r="J225" t="s">
        <v>1357</v>
      </c>
      <c r="K225" t="s">
        <v>1357</v>
      </c>
      <c r="L225" t="s">
        <v>1357</v>
      </c>
    </row>
    <row r="226" spans="6:12">
      <c r="H226" t="s">
        <v>3398</v>
      </c>
      <c r="I226" t="s">
        <v>1357</v>
      </c>
      <c r="J226" t="s">
        <v>1357</v>
      </c>
      <c r="K226" t="s">
        <v>1357</v>
      </c>
      <c r="L226" t="s">
        <v>1357</v>
      </c>
    </row>
    <row r="227" spans="6:12">
      <c r="H227" t="s">
        <v>3399</v>
      </c>
      <c r="I227" t="s">
        <v>1357</v>
      </c>
      <c r="J227" t="s">
        <v>1357</v>
      </c>
      <c r="K227" t="s">
        <v>1357</v>
      </c>
      <c r="L227" t="s">
        <v>1357</v>
      </c>
    </row>
    <row r="228" spans="6:12">
      <c r="H228" t="s">
        <v>3400</v>
      </c>
      <c r="I228" t="s">
        <v>1357</v>
      </c>
      <c r="J228" t="s">
        <v>1357</v>
      </c>
      <c r="K228" t="s">
        <v>1357</v>
      </c>
      <c r="L228" t="s">
        <v>1357</v>
      </c>
    </row>
    <row r="229" spans="6:12">
      <c r="H229" t="s">
        <v>3401</v>
      </c>
      <c r="I229" t="s">
        <v>1357</v>
      </c>
      <c r="J229" t="s">
        <v>1357</v>
      </c>
      <c r="K229" t="s">
        <v>1357</v>
      </c>
      <c r="L229" t="s">
        <v>1357</v>
      </c>
    </row>
    <row r="230" spans="6:12">
      <c r="H230" t="s">
        <v>3402</v>
      </c>
      <c r="I230" t="s">
        <v>1357</v>
      </c>
      <c r="J230" t="s">
        <v>1357</v>
      </c>
      <c r="K230" t="s">
        <v>1357</v>
      </c>
      <c r="L230" t="s">
        <v>1357</v>
      </c>
    </row>
    <row r="231" spans="6:12">
      <c r="H231" t="s">
        <v>3403</v>
      </c>
      <c r="I231" t="s">
        <v>1357</v>
      </c>
      <c r="J231" t="s">
        <v>1357</v>
      </c>
      <c r="K231" t="s">
        <v>1357</v>
      </c>
      <c r="L231" t="s">
        <v>1357</v>
      </c>
    </row>
    <row r="232" spans="6:12">
      <c r="H232" t="s">
        <v>3404</v>
      </c>
      <c r="I232" t="s">
        <v>1357</v>
      </c>
      <c r="J232" t="s">
        <v>1357</v>
      </c>
      <c r="K232" t="s">
        <v>1357</v>
      </c>
      <c r="L232" t="s">
        <v>1357</v>
      </c>
    </row>
    <row r="233" spans="6:12">
      <c r="H233" t="s">
        <v>3405</v>
      </c>
      <c r="I233" t="s">
        <v>1357</v>
      </c>
      <c r="J233" t="s">
        <v>1357</v>
      </c>
      <c r="K233" t="s">
        <v>1357</v>
      </c>
      <c r="L233" t="s">
        <v>1357</v>
      </c>
    </row>
    <row r="234" spans="6:12">
      <c r="H234" t="s">
        <v>3406</v>
      </c>
      <c r="I234" t="s">
        <v>1357</v>
      </c>
      <c r="J234" t="s">
        <v>1357</v>
      </c>
      <c r="K234" t="s">
        <v>1357</v>
      </c>
      <c r="L234" t="s">
        <v>1357</v>
      </c>
    </row>
    <row r="235" spans="6:12">
      <c r="F235" t="s">
        <v>2450</v>
      </c>
      <c r="G235" t="s">
        <v>2923</v>
      </c>
      <c r="H235" t="s">
        <v>3407</v>
      </c>
      <c r="I235" t="s">
        <v>1357</v>
      </c>
      <c r="J235" t="s">
        <v>1357</v>
      </c>
      <c r="K235" t="s">
        <v>1357</v>
      </c>
      <c r="L235" t="s">
        <v>1357</v>
      </c>
    </row>
    <row r="236" spans="6:12">
      <c r="H236" t="s">
        <v>3408</v>
      </c>
      <c r="I236" t="s">
        <v>1357</v>
      </c>
      <c r="J236" t="s">
        <v>1357</v>
      </c>
      <c r="K236" t="s">
        <v>1357</v>
      </c>
      <c r="L236" t="s">
        <v>1357</v>
      </c>
    </row>
    <row r="237" spans="6:12">
      <c r="H237" t="s">
        <v>3409</v>
      </c>
      <c r="I237" t="s">
        <v>1357</v>
      </c>
      <c r="J237" t="s">
        <v>1357</v>
      </c>
      <c r="K237" t="s">
        <v>1357</v>
      </c>
      <c r="L237" t="s">
        <v>1357</v>
      </c>
    </row>
    <row r="238" spans="6:12">
      <c r="H238" t="s">
        <v>3410</v>
      </c>
      <c r="I238" t="s">
        <v>1357</v>
      </c>
      <c r="J238" t="s">
        <v>1357</v>
      </c>
      <c r="K238" t="s">
        <v>1357</v>
      </c>
      <c r="L238" t="s">
        <v>1357</v>
      </c>
    </row>
    <row r="239" spans="6:12">
      <c r="H239" t="s">
        <v>3411</v>
      </c>
      <c r="I239" t="s">
        <v>1357</v>
      </c>
      <c r="J239" t="s">
        <v>1357</v>
      </c>
      <c r="K239" t="s">
        <v>1357</v>
      </c>
      <c r="L239" t="s">
        <v>1357</v>
      </c>
    </row>
    <row r="240" spans="6:12">
      <c r="F240" t="s">
        <v>2451</v>
      </c>
      <c r="G240" t="s">
        <v>2924</v>
      </c>
      <c r="H240" t="s">
        <v>1027</v>
      </c>
      <c r="I240" t="s">
        <v>1357</v>
      </c>
      <c r="J240" t="s">
        <v>1357</v>
      </c>
      <c r="K240" t="s">
        <v>1357</v>
      </c>
      <c r="L240" t="s">
        <v>1357</v>
      </c>
    </row>
    <row r="241" spans="6:12">
      <c r="H241" t="s">
        <v>1030</v>
      </c>
      <c r="I241" t="s">
        <v>1357</v>
      </c>
      <c r="J241" t="s">
        <v>1357</v>
      </c>
      <c r="K241" t="s">
        <v>1357</v>
      </c>
      <c r="L241" t="s">
        <v>1357</v>
      </c>
    </row>
    <row r="242" spans="6:12">
      <c r="H242" t="s">
        <v>3412</v>
      </c>
      <c r="I242" t="s">
        <v>1357</v>
      </c>
      <c r="J242" t="s">
        <v>1357</v>
      </c>
      <c r="K242" t="s">
        <v>1357</v>
      </c>
      <c r="L242" t="s">
        <v>1357</v>
      </c>
    </row>
    <row r="243" spans="6:12">
      <c r="H243" t="s">
        <v>3413</v>
      </c>
      <c r="I243" t="s">
        <v>1357</v>
      </c>
      <c r="J243" t="s">
        <v>1357</v>
      </c>
      <c r="K243" t="s">
        <v>1357</v>
      </c>
      <c r="L243" t="s">
        <v>1357</v>
      </c>
    </row>
    <row r="244" spans="6:12">
      <c r="H244" t="s">
        <v>3414</v>
      </c>
      <c r="I244" t="s">
        <v>1357</v>
      </c>
      <c r="J244" t="s">
        <v>1357</v>
      </c>
      <c r="K244" t="s">
        <v>1357</v>
      </c>
      <c r="L244" t="s">
        <v>1357</v>
      </c>
    </row>
    <row r="245" spans="6:12">
      <c r="H245" t="s">
        <v>3415</v>
      </c>
      <c r="I245" t="s">
        <v>1357</v>
      </c>
      <c r="J245" t="s">
        <v>1357</v>
      </c>
      <c r="K245" t="s">
        <v>1357</v>
      </c>
      <c r="L245" t="s">
        <v>1357</v>
      </c>
    </row>
    <row r="246" spans="6:12">
      <c r="H246" t="s">
        <v>3416</v>
      </c>
      <c r="I246" t="s">
        <v>1357</v>
      </c>
      <c r="J246" t="s">
        <v>1357</v>
      </c>
      <c r="K246" t="s">
        <v>1357</v>
      </c>
      <c r="L246" t="s">
        <v>1357</v>
      </c>
    </row>
    <row r="247" spans="6:12">
      <c r="H247" t="s">
        <v>3417</v>
      </c>
      <c r="I247" t="s">
        <v>1357</v>
      </c>
      <c r="J247" t="s">
        <v>1357</v>
      </c>
      <c r="K247" t="s">
        <v>1357</v>
      </c>
      <c r="L247" t="s">
        <v>1357</v>
      </c>
    </row>
    <row r="248" spans="6:12">
      <c r="H248" t="s">
        <v>3418</v>
      </c>
      <c r="I248" t="s">
        <v>1357</v>
      </c>
      <c r="J248" t="s">
        <v>1357</v>
      </c>
      <c r="K248" t="s">
        <v>1357</v>
      </c>
      <c r="L248" t="s">
        <v>1357</v>
      </c>
    </row>
    <row r="249" spans="6:12">
      <c r="H249" t="s">
        <v>3419</v>
      </c>
      <c r="I249" t="s">
        <v>1357</v>
      </c>
      <c r="J249" t="s">
        <v>1357</v>
      </c>
      <c r="K249" t="s">
        <v>1357</v>
      </c>
      <c r="L249" t="s">
        <v>1357</v>
      </c>
    </row>
    <row r="250" spans="6:12">
      <c r="H250" t="s">
        <v>3420</v>
      </c>
      <c r="I250" t="s">
        <v>1357</v>
      </c>
      <c r="J250" t="s">
        <v>1357</v>
      </c>
      <c r="K250" t="s">
        <v>1357</v>
      </c>
      <c r="L250" t="s">
        <v>1357</v>
      </c>
    </row>
    <row r="251" spans="6:12">
      <c r="H251" t="s">
        <v>3421</v>
      </c>
      <c r="I251" t="s">
        <v>1357</v>
      </c>
      <c r="J251" t="s">
        <v>1357</v>
      </c>
      <c r="K251" t="s">
        <v>1357</v>
      </c>
      <c r="L251" t="s">
        <v>1357</v>
      </c>
    </row>
    <row r="252" spans="6:12">
      <c r="H252" t="s">
        <v>3422</v>
      </c>
      <c r="I252" t="s">
        <v>1357</v>
      </c>
      <c r="J252" t="s">
        <v>1357</v>
      </c>
      <c r="K252" t="s">
        <v>1357</v>
      </c>
      <c r="L252" t="s">
        <v>1357</v>
      </c>
    </row>
    <row r="253" spans="6:12">
      <c r="F253" t="s">
        <v>2452</v>
      </c>
      <c r="G253" t="s">
        <v>2925</v>
      </c>
      <c r="H253" t="s">
        <v>3423</v>
      </c>
      <c r="I253" t="s">
        <v>1357</v>
      </c>
      <c r="J253" t="s">
        <v>1357</v>
      </c>
      <c r="K253" t="s">
        <v>1357</v>
      </c>
      <c r="L253" t="s">
        <v>1357</v>
      </c>
    </row>
    <row r="254" spans="6:12">
      <c r="H254" t="s">
        <v>3424</v>
      </c>
      <c r="I254" t="s">
        <v>1357</v>
      </c>
      <c r="J254" t="s">
        <v>1357</v>
      </c>
      <c r="K254" t="s">
        <v>1357</v>
      </c>
      <c r="L254" t="s">
        <v>1357</v>
      </c>
    </row>
    <row r="255" spans="6:12">
      <c r="H255" t="s">
        <v>3425</v>
      </c>
      <c r="I255" t="s">
        <v>1357</v>
      </c>
      <c r="J255" t="s">
        <v>1357</v>
      </c>
      <c r="K255" t="s">
        <v>1357</v>
      </c>
      <c r="L255" t="s">
        <v>1357</v>
      </c>
    </row>
    <row r="256" spans="6:12">
      <c r="H256" t="s">
        <v>3426</v>
      </c>
      <c r="I256" t="s">
        <v>1357</v>
      </c>
      <c r="J256" t="s">
        <v>1357</v>
      </c>
      <c r="K256" t="s">
        <v>1357</v>
      </c>
      <c r="L256" t="s">
        <v>1357</v>
      </c>
    </row>
    <row r="257" spans="6:12">
      <c r="H257" t="s">
        <v>3427</v>
      </c>
      <c r="I257" t="s">
        <v>1357</v>
      </c>
      <c r="J257" t="s">
        <v>1357</v>
      </c>
      <c r="K257" t="s">
        <v>1357</v>
      </c>
      <c r="L257" t="s">
        <v>1357</v>
      </c>
    </row>
    <row r="258" spans="6:12">
      <c r="H258" t="s">
        <v>3428</v>
      </c>
      <c r="I258" t="s">
        <v>1357</v>
      </c>
      <c r="J258" t="s">
        <v>1357</v>
      </c>
      <c r="K258" t="s">
        <v>1357</v>
      </c>
      <c r="L258" t="s">
        <v>1357</v>
      </c>
    </row>
    <row r="259" spans="6:12">
      <c r="H259" t="s">
        <v>3429</v>
      </c>
      <c r="I259" t="s">
        <v>1357</v>
      </c>
      <c r="J259" t="s">
        <v>1357</v>
      </c>
      <c r="K259" t="s">
        <v>1357</v>
      </c>
      <c r="L259" t="s">
        <v>1357</v>
      </c>
    </row>
    <row r="260" spans="6:12">
      <c r="F260" t="s">
        <v>2453</v>
      </c>
      <c r="G260" t="s">
        <v>2926</v>
      </c>
      <c r="H260" t="s">
        <v>3430</v>
      </c>
      <c r="I260" t="s">
        <v>1357</v>
      </c>
      <c r="J260" t="s">
        <v>1357</v>
      </c>
      <c r="K260" t="s">
        <v>1357</v>
      </c>
      <c r="L260" t="s">
        <v>1357</v>
      </c>
    </row>
    <row r="261" spans="6:12">
      <c r="H261" t="s">
        <v>3431</v>
      </c>
      <c r="I261" t="s">
        <v>1357</v>
      </c>
      <c r="J261" t="s">
        <v>1357</v>
      </c>
      <c r="K261" t="s">
        <v>1357</v>
      </c>
      <c r="L261" t="s">
        <v>1357</v>
      </c>
    </row>
    <row r="262" spans="6:12">
      <c r="H262" t="s">
        <v>3432</v>
      </c>
      <c r="I262" t="s">
        <v>1357</v>
      </c>
      <c r="J262" t="s">
        <v>1357</v>
      </c>
      <c r="K262" t="s">
        <v>1357</v>
      </c>
      <c r="L262" t="s">
        <v>1357</v>
      </c>
    </row>
    <row r="263" spans="6:12">
      <c r="H263" t="s">
        <v>3433</v>
      </c>
      <c r="I263" t="s">
        <v>1357</v>
      </c>
      <c r="J263" t="s">
        <v>1357</v>
      </c>
      <c r="K263" t="s">
        <v>1357</v>
      </c>
      <c r="L263" t="s">
        <v>1357</v>
      </c>
    </row>
    <row r="264" spans="6:12">
      <c r="H264" t="s">
        <v>3434</v>
      </c>
      <c r="I264" t="s">
        <v>1357</v>
      </c>
      <c r="J264" t="s">
        <v>1357</v>
      </c>
      <c r="K264" t="s">
        <v>1357</v>
      </c>
      <c r="L264" t="s">
        <v>1357</v>
      </c>
    </row>
    <row r="265" spans="6:12">
      <c r="H265" t="s">
        <v>3435</v>
      </c>
      <c r="I265" t="s">
        <v>1357</v>
      </c>
      <c r="J265" t="s">
        <v>1357</v>
      </c>
      <c r="K265" t="s">
        <v>1357</v>
      </c>
      <c r="L265" t="s">
        <v>1357</v>
      </c>
    </row>
    <row r="266" spans="6:12">
      <c r="H266" t="s">
        <v>3436</v>
      </c>
      <c r="I266" t="s">
        <v>1357</v>
      </c>
      <c r="J266" t="s">
        <v>1357</v>
      </c>
      <c r="K266" t="s">
        <v>1357</v>
      </c>
      <c r="L266" t="s">
        <v>1357</v>
      </c>
    </row>
    <row r="267" spans="6:12">
      <c r="H267" t="s">
        <v>3437</v>
      </c>
      <c r="I267" t="s">
        <v>1357</v>
      </c>
      <c r="J267" t="s">
        <v>1357</v>
      </c>
      <c r="K267" t="s">
        <v>1357</v>
      </c>
      <c r="L267" t="s">
        <v>1357</v>
      </c>
    </row>
    <row r="268" spans="6:12">
      <c r="H268" t="s">
        <v>3438</v>
      </c>
      <c r="I268" t="s">
        <v>1357</v>
      </c>
      <c r="J268" t="s">
        <v>1357</v>
      </c>
      <c r="K268" t="s">
        <v>1357</v>
      </c>
      <c r="L268" t="s">
        <v>1357</v>
      </c>
    </row>
    <row r="269" spans="6:12">
      <c r="H269" t="s">
        <v>3439</v>
      </c>
      <c r="I269" t="s">
        <v>1357</v>
      </c>
      <c r="J269" t="s">
        <v>1357</v>
      </c>
      <c r="K269" t="s">
        <v>1357</v>
      </c>
      <c r="L269" t="s">
        <v>1357</v>
      </c>
    </row>
    <row r="270" spans="6:12">
      <c r="H270" t="s">
        <v>3440</v>
      </c>
      <c r="I270" t="s">
        <v>1357</v>
      </c>
      <c r="J270" t="s">
        <v>1357</v>
      </c>
      <c r="K270" t="s">
        <v>1357</v>
      </c>
      <c r="L270" t="s">
        <v>1357</v>
      </c>
    </row>
    <row r="271" spans="6:12">
      <c r="H271" t="s">
        <v>3441</v>
      </c>
      <c r="I271" t="s">
        <v>1357</v>
      </c>
      <c r="J271" t="s">
        <v>1357</v>
      </c>
      <c r="K271" t="s">
        <v>1357</v>
      </c>
      <c r="L271" t="s">
        <v>1357</v>
      </c>
    </row>
    <row r="272" spans="6:12">
      <c r="H272" t="s">
        <v>3442</v>
      </c>
      <c r="I272" t="s">
        <v>1357</v>
      </c>
      <c r="J272" t="s">
        <v>1357</v>
      </c>
      <c r="K272" t="s">
        <v>1357</v>
      </c>
      <c r="L272" t="s">
        <v>1357</v>
      </c>
    </row>
    <row r="273" spans="6:12">
      <c r="H273" t="s">
        <v>3443</v>
      </c>
      <c r="I273" t="s">
        <v>1357</v>
      </c>
      <c r="J273" t="s">
        <v>1357</v>
      </c>
      <c r="K273" t="s">
        <v>1357</v>
      </c>
      <c r="L273" t="s">
        <v>1357</v>
      </c>
    </row>
    <row r="274" spans="6:12">
      <c r="H274" t="s">
        <v>3444</v>
      </c>
      <c r="I274" t="s">
        <v>1357</v>
      </c>
      <c r="J274" t="s">
        <v>1357</v>
      </c>
      <c r="K274" t="s">
        <v>1357</v>
      </c>
      <c r="L274" t="s">
        <v>1357</v>
      </c>
    </row>
    <row r="275" spans="6:12">
      <c r="H275" t="s">
        <v>3445</v>
      </c>
      <c r="I275" t="s">
        <v>1357</v>
      </c>
      <c r="J275" t="s">
        <v>1357</v>
      </c>
      <c r="K275" t="s">
        <v>1357</v>
      </c>
      <c r="L275" t="s">
        <v>1357</v>
      </c>
    </row>
    <row r="276" spans="6:12">
      <c r="H276" t="s">
        <v>3446</v>
      </c>
      <c r="I276" t="s">
        <v>1357</v>
      </c>
      <c r="J276" t="s">
        <v>1357</v>
      </c>
      <c r="K276" t="s">
        <v>1357</v>
      </c>
      <c r="L276" t="s">
        <v>1357</v>
      </c>
    </row>
    <row r="277" spans="6:12">
      <c r="F277" t="s">
        <v>2454</v>
      </c>
      <c r="G277" t="s">
        <v>2927</v>
      </c>
      <c r="H277" t="s">
        <v>3447</v>
      </c>
      <c r="I277" t="s">
        <v>1357</v>
      </c>
      <c r="J277" t="s">
        <v>1357</v>
      </c>
      <c r="K277" t="s">
        <v>1357</v>
      </c>
      <c r="L277" t="s">
        <v>1357</v>
      </c>
    </row>
    <row r="278" spans="6:12">
      <c r="H278" t="s">
        <v>3448</v>
      </c>
      <c r="I278" t="s">
        <v>1357</v>
      </c>
      <c r="J278" t="s">
        <v>1357</v>
      </c>
      <c r="K278" t="s">
        <v>1357</v>
      </c>
      <c r="L278" t="s">
        <v>1357</v>
      </c>
    </row>
    <row r="279" spans="6:12">
      <c r="H279" t="s">
        <v>3449</v>
      </c>
      <c r="I279" t="s">
        <v>1357</v>
      </c>
      <c r="J279" t="s">
        <v>1357</v>
      </c>
      <c r="K279" t="s">
        <v>1357</v>
      </c>
      <c r="L279" t="s">
        <v>1357</v>
      </c>
    </row>
    <row r="280" spans="6:12">
      <c r="H280" t="s">
        <v>3450</v>
      </c>
      <c r="I280" t="s">
        <v>1357</v>
      </c>
      <c r="J280" t="s">
        <v>1357</v>
      </c>
      <c r="K280" t="s">
        <v>1357</v>
      </c>
      <c r="L280" t="s">
        <v>1357</v>
      </c>
    </row>
    <row r="281" spans="6:12">
      <c r="H281" t="s">
        <v>3451</v>
      </c>
      <c r="I281" t="s">
        <v>1357</v>
      </c>
      <c r="J281" t="s">
        <v>1357</v>
      </c>
      <c r="K281" t="s">
        <v>1357</v>
      </c>
      <c r="L281" t="s">
        <v>1357</v>
      </c>
    </row>
    <row r="282" spans="6:12">
      <c r="H282" t="s">
        <v>3452</v>
      </c>
      <c r="I282" t="s">
        <v>1357</v>
      </c>
      <c r="J282" t="s">
        <v>1357</v>
      </c>
      <c r="K282" t="s">
        <v>1357</v>
      </c>
      <c r="L282" t="s">
        <v>1357</v>
      </c>
    </row>
    <row r="283" spans="6:12">
      <c r="H283" t="s">
        <v>3453</v>
      </c>
      <c r="I283" t="s">
        <v>1357</v>
      </c>
      <c r="J283" t="s">
        <v>1357</v>
      </c>
      <c r="K283" t="s">
        <v>1357</v>
      </c>
      <c r="L283" t="s">
        <v>1357</v>
      </c>
    </row>
    <row r="284" spans="6:12">
      <c r="H284" t="s">
        <v>3454</v>
      </c>
      <c r="I284" t="s">
        <v>1357</v>
      </c>
      <c r="J284" t="s">
        <v>1357</v>
      </c>
      <c r="K284" t="s">
        <v>1357</v>
      </c>
      <c r="L284" t="s">
        <v>1357</v>
      </c>
    </row>
    <row r="285" spans="6:12">
      <c r="H285" t="s">
        <v>3455</v>
      </c>
      <c r="I285" t="s">
        <v>1357</v>
      </c>
      <c r="J285" t="s">
        <v>1357</v>
      </c>
      <c r="K285" t="s">
        <v>1357</v>
      </c>
      <c r="L285" t="s">
        <v>1357</v>
      </c>
    </row>
    <row r="286" spans="6:12">
      <c r="H286" t="s">
        <v>3456</v>
      </c>
      <c r="I286" t="s">
        <v>1357</v>
      </c>
      <c r="J286" t="s">
        <v>1357</v>
      </c>
      <c r="K286" t="s">
        <v>1357</v>
      </c>
      <c r="L286" t="s">
        <v>1357</v>
      </c>
    </row>
    <row r="287" spans="6:12">
      <c r="H287" t="s">
        <v>3457</v>
      </c>
      <c r="I287" t="s">
        <v>1357</v>
      </c>
      <c r="J287" t="s">
        <v>1357</v>
      </c>
      <c r="K287" t="s">
        <v>1357</v>
      </c>
      <c r="L287" t="s">
        <v>1357</v>
      </c>
    </row>
    <row r="288" spans="6:12">
      <c r="F288" t="s">
        <v>2455</v>
      </c>
      <c r="G288" t="s">
        <v>2898</v>
      </c>
      <c r="H288" t="s">
        <v>3253</v>
      </c>
      <c r="I288" t="s">
        <v>1357</v>
      </c>
      <c r="J288" t="s">
        <v>1357</v>
      </c>
      <c r="K288" t="s">
        <v>1357</v>
      </c>
      <c r="L288" t="s">
        <v>1357</v>
      </c>
    </row>
    <row r="289" spans="6:12">
      <c r="H289" t="s">
        <v>3254</v>
      </c>
      <c r="I289" t="s">
        <v>1357</v>
      </c>
      <c r="J289" t="s">
        <v>1357</v>
      </c>
      <c r="K289" t="s">
        <v>1357</v>
      </c>
      <c r="L289" t="s">
        <v>1357</v>
      </c>
    </row>
    <row r="290" spans="6:12">
      <c r="H290" t="s">
        <v>3458</v>
      </c>
      <c r="I290" t="s">
        <v>1357</v>
      </c>
      <c r="J290" t="s">
        <v>1357</v>
      </c>
      <c r="K290" t="s">
        <v>1357</v>
      </c>
      <c r="L290" t="s">
        <v>1357</v>
      </c>
    </row>
    <row r="291" spans="6:12">
      <c r="F291" t="s">
        <v>2456</v>
      </c>
      <c r="G291" t="s">
        <v>2899</v>
      </c>
      <c r="H291" t="s">
        <v>3255</v>
      </c>
      <c r="I291" t="s">
        <v>1357</v>
      </c>
      <c r="J291" t="s">
        <v>1357</v>
      </c>
      <c r="K291" t="s">
        <v>1357</v>
      </c>
      <c r="L291" t="s">
        <v>1357</v>
      </c>
    </row>
    <row r="292" spans="6:12">
      <c r="H292" t="s">
        <v>3256</v>
      </c>
      <c r="I292" t="s">
        <v>1357</v>
      </c>
      <c r="J292" t="s">
        <v>1357</v>
      </c>
      <c r="K292" t="s">
        <v>1357</v>
      </c>
      <c r="L292" t="s">
        <v>1357</v>
      </c>
    </row>
    <row r="293" spans="6:12">
      <c r="H293" t="s">
        <v>3257</v>
      </c>
      <c r="I293" t="s">
        <v>1357</v>
      </c>
      <c r="J293" t="s">
        <v>1357</v>
      </c>
      <c r="K293" t="s">
        <v>1357</v>
      </c>
      <c r="L293" t="s">
        <v>1357</v>
      </c>
    </row>
    <row r="294" spans="6:12">
      <c r="H294" t="s">
        <v>1077</v>
      </c>
      <c r="I294" t="s">
        <v>1357</v>
      </c>
      <c r="J294" t="s">
        <v>1357</v>
      </c>
      <c r="K294" t="s">
        <v>1357</v>
      </c>
      <c r="L294" t="s">
        <v>1357</v>
      </c>
    </row>
    <row r="295" spans="6:12">
      <c r="H295" t="s">
        <v>3459</v>
      </c>
      <c r="I295" t="s">
        <v>1357</v>
      </c>
      <c r="J295" t="s">
        <v>1357</v>
      </c>
      <c r="K295" t="s">
        <v>1357</v>
      </c>
      <c r="L295" t="s">
        <v>1357</v>
      </c>
    </row>
    <row r="296" spans="6:12">
      <c r="F296" t="s">
        <v>2432</v>
      </c>
      <c r="G296" t="s">
        <v>2906</v>
      </c>
      <c r="H296" t="s">
        <v>3276</v>
      </c>
      <c r="I296" t="s">
        <v>1357</v>
      </c>
      <c r="J296" t="s">
        <v>1357</v>
      </c>
      <c r="K296" t="s">
        <v>1357</v>
      </c>
      <c r="L296" t="s">
        <v>1357</v>
      </c>
    </row>
    <row r="297" spans="6:12">
      <c r="H297" t="s">
        <v>3460</v>
      </c>
      <c r="I297" t="s">
        <v>1357</v>
      </c>
      <c r="J297" t="s">
        <v>1357</v>
      </c>
      <c r="K297" t="s">
        <v>1357</v>
      </c>
      <c r="L297" t="s">
        <v>1357</v>
      </c>
    </row>
    <row r="298" spans="6:12">
      <c r="F298" t="s">
        <v>2457</v>
      </c>
      <c r="G298" t="s">
        <v>2928</v>
      </c>
      <c r="H298" t="s">
        <v>3461</v>
      </c>
      <c r="I298" t="s">
        <v>1357</v>
      </c>
      <c r="J298" t="s">
        <v>1357</v>
      </c>
      <c r="K298" t="s">
        <v>1357</v>
      </c>
      <c r="L298" t="s">
        <v>1357</v>
      </c>
    </row>
    <row r="299" spans="6:12">
      <c r="H299" t="s">
        <v>3462</v>
      </c>
      <c r="I299" t="s">
        <v>1357</v>
      </c>
      <c r="J299" t="s">
        <v>1357</v>
      </c>
      <c r="K299" t="s">
        <v>1357</v>
      </c>
      <c r="L299" t="s">
        <v>1357</v>
      </c>
    </row>
    <row r="300" spans="6:12">
      <c r="H300" t="s">
        <v>901</v>
      </c>
      <c r="I300" t="s">
        <v>1357</v>
      </c>
      <c r="J300" t="s">
        <v>1357</v>
      </c>
      <c r="K300" t="s">
        <v>1357</v>
      </c>
      <c r="L300" t="s">
        <v>1357</v>
      </c>
    </row>
    <row r="301" spans="6:12">
      <c r="H301" t="s">
        <v>3463</v>
      </c>
      <c r="I301" t="s">
        <v>1357</v>
      </c>
      <c r="J301" t="s">
        <v>1357</v>
      </c>
      <c r="K301" t="s">
        <v>1357</v>
      </c>
      <c r="L301" t="s">
        <v>1357</v>
      </c>
    </row>
    <row r="302" spans="6:12">
      <c r="F302" t="s">
        <v>2458</v>
      </c>
      <c r="G302" t="s">
        <v>2900</v>
      </c>
      <c r="H302" t="s">
        <v>3253</v>
      </c>
      <c r="I302" t="s">
        <v>1357</v>
      </c>
      <c r="J302" t="s">
        <v>1357</v>
      </c>
      <c r="K302" t="s">
        <v>1357</v>
      </c>
      <c r="L302" t="s">
        <v>1357</v>
      </c>
    </row>
    <row r="303" spans="6:12">
      <c r="H303" t="s">
        <v>3258</v>
      </c>
      <c r="I303" t="s">
        <v>1357</v>
      </c>
      <c r="J303" t="s">
        <v>1357</v>
      </c>
      <c r="K303" t="s">
        <v>1357</v>
      </c>
      <c r="L303" t="s">
        <v>1357</v>
      </c>
    </row>
    <row r="304" spans="6:12">
      <c r="H304" t="s">
        <v>3259</v>
      </c>
      <c r="I304" t="s">
        <v>1357</v>
      </c>
      <c r="J304" t="s">
        <v>1357</v>
      </c>
      <c r="K304" t="s">
        <v>1357</v>
      </c>
      <c r="L304" t="s">
        <v>1357</v>
      </c>
    </row>
    <row r="305" spans="6:12">
      <c r="H305" t="s">
        <v>3260</v>
      </c>
      <c r="I305" t="s">
        <v>1357</v>
      </c>
      <c r="J305" t="s">
        <v>1357</v>
      </c>
      <c r="K305" t="s">
        <v>1357</v>
      </c>
      <c r="L305" t="s">
        <v>1357</v>
      </c>
    </row>
    <row r="306" spans="6:12">
      <c r="F306" t="s">
        <v>2459</v>
      </c>
      <c r="G306" t="s">
        <v>2929</v>
      </c>
      <c r="H306" t="s">
        <v>3253</v>
      </c>
      <c r="I306" t="s">
        <v>1357</v>
      </c>
      <c r="J306" t="s">
        <v>1357</v>
      </c>
      <c r="K306" t="s">
        <v>1357</v>
      </c>
      <c r="L306" t="s">
        <v>1357</v>
      </c>
    </row>
    <row r="307" spans="6:12">
      <c r="H307" t="s">
        <v>3258</v>
      </c>
      <c r="I307" t="s">
        <v>1357</v>
      </c>
      <c r="J307" t="s">
        <v>1357</v>
      </c>
      <c r="K307" t="s">
        <v>1357</v>
      </c>
      <c r="L307" t="s">
        <v>1357</v>
      </c>
    </row>
    <row r="308" spans="6:12">
      <c r="H308" t="s">
        <v>3259</v>
      </c>
      <c r="I308" t="s">
        <v>1357</v>
      </c>
      <c r="J308" t="s">
        <v>1357</v>
      </c>
      <c r="K308" t="s">
        <v>1357</v>
      </c>
      <c r="L308" t="s">
        <v>1357</v>
      </c>
    </row>
    <row r="309" spans="6:12">
      <c r="H309" t="s">
        <v>3260</v>
      </c>
      <c r="I309" t="s">
        <v>1357</v>
      </c>
      <c r="J309" t="s">
        <v>1357</v>
      </c>
      <c r="K309" t="s">
        <v>1357</v>
      </c>
      <c r="L309" t="s">
        <v>1357</v>
      </c>
    </row>
    <row r="310" spans="6:12">
      <c r="F310" t="s">
        <v>2460</v>
      </c>
      <c r="G310" t="s">
        <v>2930</v>
      </c>
      <c r="H310" t="s">
        <v>3253</v>
      </c>
      <c r="I310" t="s">
        <v>1357</v>
      </c>
      <c r="J310" t="s">
        <v>1357</v>
      </c>
      <c r="K310" t="s">
        <v>1357</v>
      </c>
      <c r="L310" t="s">
        <v>1357</v>
      </c>
    </row>
    <row r="311" spans="6:12">
      <c r="H311" t="s">
        <v>3258</v>
      </c>
      <c r="I311" t="s">
        <v>1357</v>
      </c>
      <c r="J311" t="s">
        <v>1357</v>
      </c>
      <c r="K311" t="s">
        <v>1357</v>
      </c>
      <c r="L311" t="s">
        <v>1357</v>
      </c>
    </row>
    <row r="312" spans="6:12">
      <c r="H312" t="s">
        <v>3259</v>
      </c>
      <c r="I312" t="s">
        <v>1357</v>
      </c>
      <c r="J312" t="s">
        <v>1357</v>
      </c>
      <c r="K312" t="s">
        <v>1357</v>
      </c>
      <c r="L312" t="s">
        <v>1357</v>
      </c>
    </row>
    <row r="313" spans="6:12">
      <c r="H313" t="s">
        <v>3260</v>
      </c>
      <c r="I313" t="s">
        <v>1357</v>
      </c>
      <c r="J313" t="s">
        <v>1357</v>
      </c>
      <c r="K313" t="s">
        <v>1357</v>
      </c>
      <c r="L313" t="s">
        <v>1357</v>
      </c>
    </row>
    <row r="314" spans="6:12">
      <c r="H314" t="s">
        <v>3464</v>
      </c>
      <c r="I314" t="s">
        <v>1357</v>
      </c>
      <c r="J314" t="s">
        <v>1357</v>
      </c>
      <c r="K314" t="s">
        <v>1357</v>
      </c>
      <c r="L314" t="s">
        <v>1357</v>
      </c>
    </row>
    <row r="315" spans="6:12">
      <c r="F315" t="s">
        <v>2461</v>
      </c>
      <c r="G315" t="s">
        <v>2901</v>
      </c>
      <c r="H315" t="s">
        <v>3253</v>
      </c>
      <c r="I315" t="s">
        <v>1357</v>
      </c>
      <c r="J315" t="s">
        <v>1357</v>
      </c>
      <c r="K315" t="s">
        <v>1357</v>
      </c>
      <c r="L315" t="s">
        <v>1357</v>
      </c>
    </row>
    <row r="316" spans="6:12">
      <c r="H316" t="s">
        <v>3258</v>
      </c>
      <c r="I316" t="s">
        <v>1357</v>
      </c>
      <c r="J316" t="s">
        <v>1357</v>
      </c>
      <c r="K316" t="s">
        <v>1357</v>
      </c>
      <c r="L316" t="s">
        <v>1357</v>
      </c>
    </row>
    <row r="317" spans="6:12">
      <c r="H317" t="s">
        <v>3259</v>
      </c>
      <c r="I317" t="s">
        <v>1357</v>
      </c>
      <c r="J317" t="s">
        <v>1357</v>
      </c>
      <c r="K317" t="s">
        <v>1357</v>
      </c>
      <c r="L317" t="s">
        <v>1357</v>
      </c>
    </row>
    <row r="318" spans="6:12">
      <c r="H318" t="s">
        <v>3260</v>
      </c>
      <c r="I318" t="s">
        <v>1357</v>
      </c>
      <c r="J318" t="s">
        <v>1357</v>
      </c>
      <c r="K318" t="s">
        <v>1357</v>
      </c>
      <c r="L318" t="s">
        <v>1357</v>
      </c>
    </row>
    <row r="319" spans="6:12">
      <c r="H319" t="s">
        <v>3465</v>
      </c>
      <c r="I319" t="s">
        <v>1357</v>
      </c>
      <c r="J319" t="s">
        <v>1357</v>
      </c>
      <c r="K319" t="s">
        <v>1357</v>
      </c>
      <c r="L319" t="s">
        <v>1357</v>
      </c>
    </row>
    <row r="320" spans="6:12">
      <c r="H320" t="s">
        <v>3466</v>
      </c>
      <c r="I320" t="s">
        <v>1357</v>
      </c>
      <c r="J320" t="s">
        <v>1357</v>
      </c>
      <c r="K320" t="s">
        <v>1357</v>
      </c>
      <c r="L320" t="s">
        <v>1357</v>
      </c>
    </row>
    <row r="321" spans="6:12">
      <c r="F321" t="s">
        <v>2462</v>
      </c>
      <c r="G321" t="s">
        <v>2909</v>
      </c>
      <c r="H321" t="s">
        <v>3279</v>
      </c>
      <c r="I321" t="s">
        <v>1357</v>
      </c>
      <c r="J321" t="s">
        <v>1357</v>
      </c>
      <c r="K321" t="s">
        <v>1357</v>
      </c>
      <c r="L321" t="s">
        <v>1357</v>
      </c>
    </row>
    <row r="322" spans="6:12">
      <c r="H322" t="s">
        <v>3280</v>
      </c>
      <c r="I322" t="s">
        <v>1357</v>
      </c>
      <c r="J322" t="s">
        <v>1357</v>
      </c>
      <c r="K322" t="s">
        <v>1357</v>
      </c>
      <c r="L322" t="s">
        <v>1357</v>
      </c>
    </row>
    <row r="323" spans="6:12">
      <c r="F323" t="s">
        <v>2463</v>
      </c>
      <c r="G323" t="s">
        <v>2902</v>
      </c>
      <c r="H323" t="s">
        <v>3253</v>
      </c>
      <c r="I323" t="s">
        <v>1357</v>
      </c>
      <c r="J323" t="s">
        <v>1357</v>
      </c>
      <c r="K323" t="s">
        <v>1357</v>
      </c>
      <c r="L323" t="s">
        <v>1357</v>
      </c>
    </row>
    <row r="324" spans="6:12">
      <c r="H324" t="s">
        <v>3258</v>
      </c>
      <c r="I324" t="s">
        <v>1357</v>
      </c>
      <c r="J324" t="s">
        <v>1357</v>
      </c>
      <c r="K324" t="s">
        <v>1357</v>
      </c>
      <c r="L324" t="s">
        <v>1357</v>
      </c>
    </row>
    <row r="325" spans="6:12">
      <c r="H325" t="s">
        <v>3260</v>
      </c>
      <c r="I325" t="s">
        <v>1357</v>
      </c>
      <c r="J325" t="s">
        <v>1357</v>
      </c>
      <c r="K325" t="s">
        <v>1357</v>
      </c>
      <c r="L325" t="s">
        <v>1357</v>
      </c>
    </row>
    <row r="326" spans="6:12">
      <c r="H326" t="s">
        <v>3261</v>
      </c>
      <c r="I326" t="s">
        <v>1357</v>
      </c>
      <c r="J326" t="s">
        <v>1357</v>
      </c>
      <c r="K326" t="s">
        <v>1357</v>
      </c>
      <c r="L326" t="s">
        <v>1357</v>
      </c>
    </row>
    <row r="327" spans="6:12">
      <c r="H327" t="s">
        <v>3262</v>
      </c>
      <c r="I327" t="s">
        <v>1357</v>
      </c>
      <c r="J327" t="s">
        <v>1357</v>
      </c>
      <c r="K327" t="s">
        <v>1357</v>
      </c>
      <c r="L327" t="s">
        <v>1357</v>
      </c>
    </row>
    <row r="328" spans="6:12">
      <c r="H328" t="s">
        <v>3259</v>
      </c>
      <c r="I328" t="s">
        <v>1357</v>
      </c>
      <c r="J328" t="s">
        <v>1357</v>
      </c>
      <c r="K328" t="s">
        <v>1357</v>
      </c>
      <c r="L328" t="s">
        <v>1357</v>
      </c>
    </row>
    <row r="329" spans="6:12">
      <c r="F329" t="s">
        <v>2464</v>
      </c>
      <c r="G329" t="s">
        <v>2931</v>
      </c>
      <c r="H329" t="s">
        <v>3467</v>
      </c>
      <c r="I329" t="s">
        <v>1357</v>
      </c>
      <c r="J329" t="s">
        <v>1357</v>
      </c>
      <c r="K329" t="s">
        <v>1357</v>
      </c>
      <c r="L329" t="s">
        <v>1357</v>
      </c>
    </row>
    <row r="330" spans="6:12">
      <c r="F330" t="s">
        <v>2465</v>
      </c>
      <c r="G330" t="s">
        <v>2932</v>
      </c>
      <c r="H330" t="s">
        <v>3468</v>
      </c>
      <c r="I330" t="s">
        <v>1357</v>
      </c>
      <c r="J330" t="s">
        <v>1357</v>
      </c>
      <c r="K330" t="s">
        <v>1357</v>
      </c>
      <c r="L330" t="s">
        <v>1357</v>
      </c>
    </row>
    <row r="331" spans="6:12">
      <c r="F331" t="s">
        <v>2466</v>
      </c>
      <c r="G331" t="s">
        <v>2933</v>
      </c>
      <c r="H331" t="s">
        <v>3469</v>
      </c>
      <c r="I331" t="s">
        <v>1357</v>
      </c>
      <c r="J331" t="s">
        <v>1357</v>
      </c>
      <c r="K331" t="s">
        <v>1357</v>
      </c>
      <c r="L331" t="s">
        <v>1357</v>
      </c>
    </row>
    <row r="332" spans="6:12">
      <c r="F332" t="s">
        <v>2467</v>
      </c>
      <c r="G332" t="s">
        <v>2934</v>
      </c>
      <c r="H332" t="s">
        <v>3470</v>
      </c>
      <c r="I332" t="s">
        <v>1357</v>
      </c>
      <c r="J332" t="s">
        <v>1357</v>
      </c>
      <c r="K332" t="s">
        <v>1357</v>
      </c>
      <c r="L332" t="s">
        <v>1357</v>
      </c>
    </row>
    <row r="333" spans="6:12">
      <c r="F333" t="s">
        <v>2468</v>
      </c>
      <c r="G333" t="s">
        <v>2935</v>
      </c>
      <c r="H333" t="s">
        <v>795</v>
      </c>
      <c r="I333" t="s">
        <v>1357</v>
      </c>
      <c r="J333" t="s">
        <v>1357</v>
      </c>
      <c r="K333" t="s">
        <v>1357</v>
      </c>
      <c r="L333" t="s">
        <v>1357</v>
      </c>
    </row>
    <row r="334" spans="6:12">
      <c r="H334" t="s">
        <v>3471</v>
      </c>
      <c r="I334" t="s">
        <v>1357</v>
      </c>
      <c r="J334" t="s">
        <v>1357</v>
      </c>
      <c r="K334" t="s">
        <v>1357</v>
      </c>
      <c r="L334" t="s">
        <v>1357</v>
      </c>
    </row>
    <row r="335" spans="6:12">
      <c r="H335" t="s">
        <v>3458</v>
      </c>
      <c r="I335" t="s">
        <v>1357</v>
      </c>
      <c r="J335" t="s">
        <v>1357</v>
      </c>
      <c r="K335" t="s">
        <v>1357</v>
      </c>
      <c r="L335" t="s">
        <v>1357</v>
      </c>
    </row>
    <row r="336" spans="6:12">
      <c r="H336" t="s">
        <v>3472</v>
      </c>
      <c r="I336" t="s">
        <v>1357</v>
      </c>
      <c r="J336" t="s">
        <v>1357</v>
      </c>
      <c r="K336" t="s">
        <v>1357</v>
      </c>
      <c r="L336" t="s">
        <v>1357</v>
      </c>
    </row>
    <row r="337" spans="6:12">
      <c r="H337" t="s">
        <v>3473</v>
      </c>
      <c r="I337" t="s">
        <v>1357</v>
      </c>
      <c r="J337" t="s">
        <v>1357</v>
      </c>
      <c r="K337" t="s">
        <v>1357</v>
      </c>
      <c r="L337" t="s">
        <v>1357</v>
      </c>
    </row>
    <row r="338" spans="6:12">
      <c r="H338" t="s">
        <v>3474</v>
      </c>
      <c r="I338" t="s">
        <v>1357</v>
      </c>
      <c r="J338" t="s">
        <v>1357</v>
      </c>
      <c r="K338" t="s">
        <v>1357</v>
      </c>
      <c r="L338" t="s">
        <v>1357</v>
      </c>
    </row>
    <row r="339" spans="6:12">
      <c r="H339" t="s">
        <v>3475</v>
      </c>
      <c r="I339" t="s">
        <v>1357</v>
      </c>
      <c r="J339" t="s">
        <v>1357</v>
      </c>
      <c r="K339" t="s">
        <v>1357</v>
      </c>
      <c r="L339" t="s">
        <v>1357</v>
      </c>
    </row>
    <row r="340" spans="6:12">
      <c r="F340" t="s">
        <v>2469</v>
      </c>
      <c r="G340" t="s">
        <v>2936</v>
      </c>
      <c r="H340" t="s">
        <v>3476</v>
      </c>
      <c r="I340" t="s">
        <v>1357</v>
      </c>
      <c r="J340" t="s">
        <v>1357</v>
      </c>
      <c r="K340" t="s">
        <v>1357</v>
      </c>
      <c r="L340" t="s">
        <v>1357</v>
      </c>
    </row>
    <row r="341" spans="6:12">
      <c r="F341" t="s">
        <v>2470</v>
      </c>
      <c r="G341" t="s">
        <v>2937</v>
      </c>
      <c r="H341" t="s">
        <v>3477</v>
      </c>
      <c r="I341" t="s">
        <v>1357</v>
      </c>
      <c r="J341" t="s">
        <v>1357</v>
      </c>
      <c r="K341" t="s">
        <v>1357</v>
      </c>
      <c r="L341" t="s">
        <v>1357</v>
      </c>
    </row>
    <row r="342" spans="6:12">
      <c r="H342" t="s">
        <v>3478</v>
      </c>
      <c r="I342" t="s">
        <v>1357</v>
      </c>
      <c r="J342" t="s">
        <v>1357</v>
      </c>
      <c r="K342" t="s">
        <v>1357</v>
      </c>
      <c r="L342" t="s">
        <v>1357</v>
      </c>
    </row>
    <row r="343" spans="6:12">
      <c r="H343" t="s">
        <v>3479</v>
      </c>
      <c r="I343" t="s">
        <v>1357</v>
      </c>
      <c r="J343" t="s">
        <v>1357</v>
      </c>
      <c r="K343" t="s">
        <v>1357</v>
      </c>
      <c r="L343" t="s">
        <v>1357</v>
      </c>
    </row>
    <row r="344" spans="6:12">
      <c r="H344" t="s">
        <v>3480</v>
      </c>
      <c r="I344" t="s">
        <v>1357</v>
      </c>
      <c r="J344" t="s">
        <v>1357</v>
      </c>
      <c r="K344" t="s">
        <v>1357</v>
      </c>
      <c r="L344" t="s">
        <v>1357</v>
      </c>
    </row>
    <row r="345" spans="6:12">
      <c r="H345" t="s">
        <v>3481</v>
      </c>
      <c r="I345" t="s">
        <v>1357</v>
      </c>
      <c r="J345" t="s">
        <v>1357</v>
      </c>
      <c r="K345" t="s">
        <v>1357</v>
      </c>
      <c r="L345" t="s">
        <v>1357</v>
      </c>
    </row>
    <row r="346" spans="6:12">
      <c r="H346" t="s">
        <v>3482</v>
      </c>
      <c r="I346" t="s">
        <v>1357</v>
      </c>
      <c r="J346" t="s">
        <v>1357</v>
      </c>
      <c r="K346" t="s">
        <v>1357</v>
      </c>
      <c r="L346" t="s">
        <v>1357</v>
      </c>
    </row>
    <row r="347" spans="6:12">
      <c r="F347" t="s">
        <v>2471</v>
      </c>
      <c r="G347" t="s">
        <v>2938</v>
      </c>
      <c r="H347" t="s">
        <v>3249</v>
      </c>
      <c r="I347" t="s">
        <v>1357</v>
      </c>
      <c r="J347" t="s">
        <v>1357</v>
      </c>
      <c r="K347" t="s">
        <v>1357</v>
      </c>
      <c r="L347" t="s">
        <v>1357</v>
      </c>
    </row>
    <row r="348" spans="6:12">
      <c r="H348" t="s">
        <v>3483</v>
      </c>
      <c r="I348" t="s">
        <v>1357</v>
      </c>
      <c r="J348" t="s">
        <v>1357</v>
      </c>
      <c r="K348" t="s">
        <v>1357</v>
      </c>
      <c r="L348" t="s">
        <v>1357</v>
      </c>
    </row>
    <row r="349" spans="6:12">
      <c r="H349" t="s">
        <v>3250</v>
      </c>
      <c r="I349" t="s">
        <v>1357</v>
      </c>
      <c r="J349" t="s">
        <v>1357</v>
      </c>
      <c r="K349" t="s">
        <v>1357</v>
      </c>
      <c r="L349" t="s">
        <v>1357</v>
      </c>
    </row>
    <row r="350" spans="6:12">
      <c r="H350" t="s">
        <v>3484</v>
      </c>
      <c r="I350" t="s">
        <v>1357</v>
      </c>
      <c r="J350" t="s">
        <v>1357</v>
      </c>
      <c r="K350" t="s">
        <v>1357</v>
      </c>
      <c r="L350" t="s">
        <v>1357</v>
      </c>
    </row>
    <row r="351" spans="6:12">
      <c r="F351" t="s">
        <v>2472</v>
      </c>
      <c r="G351" t="s">
        <v>2896</v>
      </c>
      <c r="H351" t="s">
        <v>3485</v>
      </c>
      <c r="I351" t="s">
        <v>1357</v>
      </c>
      <c r="J351" t="s">
        <v>1357</v>
      </c>
      <c r="K351" t="s">
        <v>1357</v>
      </c>
      <c r="L351" t="s">
        <v>1357</v>
      </c>
    </row>
    <row r="352" spans="6:12">
      <c r="H352" t="s">
        <v>3249</v>
      </c>
      <c r="I352" t="s">
        <v>1357</v>
      </c>
      <c r="J352" t="s">
        <v>1357</v>
      </c>
      <c r="K352" t="s">
        <v>1357</v>
      </c>
      <c r="L352" t="s">
        <v>1357</v>
      </c>
    </row>
    <row r="353" spans="6:12">
      <c r="H353" t="s">
        <v>3250</v>
      </c>
      <c r="I353" t="s">
        <v>1357</v>
      </c>
      <c r="J353" t="s">
        <v>1357</v>
      </c>
      <c r="K353" t="s">
        <v>1357</v>
      </c>
      <c r="L353" t="s">
        <v>1357</v>
      </c>
    </row>
    <row r="354" spans="6:12">
      <c r="H354" t="s">
        <v>3486</v>
      </c>
      <c r="I354" t="s">
        <v>1357</v>
      </c>
      <c r="J354" t="s">
        <v>1357</v>
      </c>
      <c r="K354" t="s">
        <v>1357</v>
      </c>
      <c r="L354" t="s">
        <v>1357</v>
      </c>
    </row>
    <row r="355" spans="6:12">
      <c r="H355" t="s">
        <v>3487</v>
      </c>
      <c r="I355" t="s">
        <v>1357</v>
      </c>
      <c r="J355" t="s">
        <v>1357</v>
      </c>
      <c r="K355" t="s">
        <v>1357</v>
      </c>
      <c r="L355" t="s">
        <v>1357</v>
      </c>
    </row>
    <row r="356" spans="6:12">
      <c r="H356" t="s">
        <v>3488</v>
      </c>
      <c r="I356" t="s">
        <v>1357</v>
      </c>
      <c r="J356" t="s">
        <v>1357</v>
      </c>
      <c r="K356" t="s">
        <v>1357</v>
      </c>
      <c r="L356" t="s">
        <v>1357</v>
      </c>
    </row>
    <row r="357" spans="6:12">
      <c r="H357" t="s">
        <v>3489</v>
      </c>
      <c r="I357" t="s">
        <v>1357</v>
      </c>
      <c r="J357" t="s">
        <v>1357</v>
      </c>
      <c r="K357" t="s">
        <v>1357</v>
      </c>
      <c r="L357" t="s">
        <v>1357</v>
      </c>
    </row>
    <row r="358" spans="6:12">
      <c r="H358" t="s">
        <v>3251</v>
      </c>
      <c r="I358" t="s">
        <v>1357</v>
      </c>
      <c r="J358" t="s">
        <v>1357</v>
      </c>
      <c r="K358" t="s">
        <v>1357</v>
      </c>
      <c r="L358" t="s">
        <v>1357</v>
      </c>
    </row>
    <row r="359" spans="6:12">
      <c r="H359" t="s">
        <v>3252</v>
      </c>
      <c r="I359" t="s">
        <v>1357</v>
      </c>
      <c r="J359" t="s">
        <v>1357</v>
      </c>
      <c r="K359" t="s">
        <v>1357</v>
      </c>
      <c r="L359" t="s">
        <v>1357</v>
      </c>
    </row>
    <row r="360" spans="6:12">
      <c r="H360" t="s">
        <v>3248</v>
      </c>
      <c r="I360" t="s">
        <v>1357</v>
      </c>
      <c r="J360" t="s">
        <v>1357</v>
      </c>
      <c r="K360" t="s">
        <v>1357</v>
      </c>
      <c r="L360" t="s">
        <v>1357</v>
      </c>
    </row>
    <row r="361" spans="6:12">
      <c r="H361" t="s">
        <v>3247</v>
      </c>
      <c r="I361" t="s">
        <v>1357</v>
      </c>
      <c r="J361" t="s">
        <v>1357</v>
      </c>
      <c r="K361" t="s">
        <v>1357</v>
      </c>
      <c r="L361" t="s">
        <v>1357</v>
      </c>
    </row>
    <row r="362" spans="6:12">
      <c r="F362" t="s">
        <v>2436</v>
      </c>
      <c r="G362" t="s">
        <v>2910</v>
      </c>
      <c r="H362" t="s">
        <v>3250</v>
      </c>
      <c r="I362" t="s">
        <v>1357</v>
      </c>
      <c r="J362" t="s">
        <v>1357</v>
      </c>
      <c r="K362" t="s">
        <v>1357</v>
      </c>
      <c r="L362" t="s">
        <v>1357</v>
      </c>
    </row>
    <row r="363" spans="6:12">
      <c r="H363" t="s">
        <v>3490</v>
      </c>
      <c r="I363" t="s">
        <v>1357</v>
      </c>
      <c r="J363" t="s">
        <v>1357</v>
      </c>
      <c r="K363" t="s">
        <v>1357</v>
      </c>
      <c r="L363" t="s">
        <v>1357</v>
      </c>
    </row>
    <row r="364" spans="6:12">
      <c r="H364" t="s">
        <v>3491</v>
      </c>
      <c r="I364" t="s">
        <v>1357</v>
      </c>
      <c r="J364" t="s">
        <v>1357</v>
      </c>
      <c r="K364" t="s">
        <v>1357</v>
      </c>
      <c r="L364" t="s">
        <v>1357</v>
      </c>
    </row>
    <row r="365" spans="6:12">
      <c r="H365" t="s">
        <v>3492</v>
      </c>
      <c r="I365" t="s">
        <v>1357</v>
      </c>
      <c r="J365" t="s">
        <v>1357</v>
      </c>
      <c r="K365" t="s">
        <v>1357</v>
      </c>
      <c r="L365" t="s">
        <v>1357</v>
      </c>
    </row>
    <row r="366" spans="6:12">
      <c r="H366" t="s">
        <v>3493</v>
      </c>
      <c r="I366" t="s">
        <v>1357</v>
      </c>
      <c r="J366" t="s">
        <v>1357</v>
      </c>
      <c r="K366" t="s">
        <v>1357</v>
      </c>
      <c r="L366" t="s">
        <v>1357</v>
      </c>
    </row>
    <row r="367" spans="6:12">
      <c r="H367" t="s">
        <v>1077</v>
      </c>
      <c r="I367" t="s">
        <v>1357</v>
      </c>
      <c r="J367" t="s">
        <v>1357</v>
      </c>
      <c r="K367" t="s">
        <v>1357</v>
      </c>
      <c r="L367" t="s">
        <v>1357</v>
      </c>
    </row>
    <row r="368" spans="6:12">
      <c r="F368" t="s">
        <v>2473</v>
      </c>
      <c r="G368" t="s">
        <v>2939</v>
      </c>
      <c r="H368" t="s">
        <v>3494</v>
      </c>
      <c r="I368" t="s">
        <v>1357</v>
      </c>
      <c r="J368" t="s">
        <v>1357</v>
      </c>
      <c r="K368" t="s">
        <v>1357</v>
      </c>
      <c r="L368" t="s">
        <v>1357</v>
      </c>
    </row>
    <row r="369" spans="6:12">
      <c r="H369" t="s">
        <v>3495</v>
      </c>
      <c r="I369" t="s">
        <v>1357</v>
      </c>
      <c r="J369" t="s">
        <v>1357</v>
      </c>
      <c r="K369" t="s">
        <v>1357</v>
      </c>
      <c r="L369" t="s">
        <v>1357</v>
      </c>
    </row>
    <row r="370" spans="6:12">
      <c r="H370" t="s">
        <v>3496</v>
      </c>
      <c r="I370" t="s">
        <v>1357</v>
      </c>
      <c r="J370" t="s">
        <v>1357</v>
      </c>
      <c r="K370" t="s">
        <v>1357</v>
      </c>
      <c r="L370" t="s">
        <v>1357</v>
      </c>
    </row>
    <row r="371" spans="6:12">
      <c r="H371" t="s">
        <v>3497</v>
      </c>
      <c r="I371" t="s">
        <v>1357</v>
      </c>
      <c r="J371" t="s">
        <v>1357</v>
      </c>
      <c r="K371" t="s">
        <v>1357</v>
      </c>
      <c r="L371" t="s">
        <v>1357</v>
      </c>
    </row>
    <row r="372" spans="6:12">
      <c r="H372" t="s">
        <v>3498</v>
      </c>
      <c r="I372" t="s">
        <v>1357</v>
      </c>
      <c r="J372" t="s">
        <v>1357</v>
      </c>
      <c r="K372" t="s">
        <v>1357</v>
      </c>
      <c r="L372" t="s">
        <v>1357</v>
      </c>
    </row>
    <row r="373" spans="6:12">
      <c r="H373" t="s">
        <v>3499</v>
      </c>
      <c r="I373" t="s">
        <v>1357</v>
      </c>
      <c r="J373" t="s">
        <v>1357</v>
      </c>
      <c r="K373" t="s">
        <v>1357</v>
      </c>
      <c r="L373" t="s">
        <v>1357</v>
      </c>
    </row>
    <row r="374" spans="6:12">
      <c r="H374" t="s">
        <v>3500</v>
      </c>
      <c r="I374" t="s">
        <v>1357</v>
      </c>
      <c r="J374" t="s">
        <v>1357</v>
      </c>
      <c r="K374" t="s">
        <v>1357</v>
      </c>
      <c r="L374" t="s">
        <v>1357</v>
      </c>
    </row>
    <row r="375" spans="6:12">
      <c r="H375" t="s">
        <v>3501</v>
      </c>
      <c r="I375" t="s">
        <v>1357</v>
      </c>
      <c r="J375" t="s">
        <v>1357</v>
      </c>
      <c r="K375" t="s">
        <v>1357</v>
      </c>
      <c r="L375" t="s">
        <v>1357</v>
      </c>
    </row>
    <row r="376" spans="6:12">
      <c r="H376" t="s">
        <v>3502</v>
      </c>
      <c r="I376" t="s">
        <v>1357</v>
      </c>
      <c r="J376" t="s">
        <v>1357</v>
      </c>
      <c r="K376" t="s">
        <v>1357</v>
      </c>
      <c r="L376" t="s">
        <v>1357</v>
      </c>
    </row>
    <row r="377" spans="6:12">
      <c r="H377" t="s">
        <v>3503</v>
      </c>
      <c r="I377" t="s">
        <v>1357</v>
      </c>
      <c r="J377" t="s">
        <v>1357</v>
      </c>
      <c r="K377" t="s">
        <v>1357</v>
      </c>
      <c r="L377" t="s">
        <v>1357</v>
      </c>
    </row>
    <row r="378" spans="6:12">
      <c r="F378" t="s">
        <v>2474</v>
      </c>
      <c r="G378" t="s">
        <v>2940</v>
      </c>
      <c r="H378" t="s">
        <v>3504</v>
      </c>
      <c r="I378" t="s">
        <v>1357</v>
      </c>
      <c r="J378" t="s">
        <v>1357</v>
      </c>
      <c r="K378" t="s">
        <v>1357</v>
      </c>
      <c r="L378" t="s">
        <v>1357</v>
      </c>
    </row>
    <row r="379" spans="6:12">
      <c r="H379" t="s">
        <v>3505</v>
      </c>
      <c r="I379" t="s">
        <v>1357</v>
      </c>
      <c r="J379" t="s">
        <v>1357</v>
      </c>
      <c r="K379" t="s">
        <v>1357</v>
      </c>
      <c r="L379" t="s">
        <v>1357</v>
      </c>
    </row>
    <row r="380" spans="6:12">
      <c r="H380" t="s">
        <v>3506</v>
      </c>
      <c r="I380" t="s">
        <v>1357</v>
      </c>
      <c r="J380" t="s">
        <v>1357</v>
      </c>
      <c r="K380" t="s">
        <v>1357</v>
      </c>
      <c r="L380" t="s">
        <v>1357</v>
      </c>
    </row>
    <row r="381" spans="6:12">
      <c r="H381" t="s">
        <v>3507</v>
      </c>
      <c r="I381" t="s">
        <v>1357</v>
      </c>
      <c r="J381" t="s">
        <v>1357</v>
      </c>
      <c r="K381" t="s">
        <v>1357</v>
      </c>
      <c r="L381" t="s">
        <v>1357</v>
      </c>
    </row>
    <row r="382" spans="6:12">
      <c r="H382" t="s">
        <v>1077</v>
      </c>
      <c r="I382" t="s">
        <v>1357</v>
      </c>
      <c r="J382" t="s">
        <v>1357</v>
      </c>
      <c r="K382" t="s">
        <v>1357</v>
      </c>
      <c r="L382" t="s">
        <v>1357</v>
      </c>
    </row>
    <row r="383" spans="6:12">
      <c r="H383" t="s">
        <v>3508</v>
      </c>
      <c r="I383" t="s">
        <v>1357</v>
      </c>
      <c r="J383" t="s">
        <v>1357</v>
      </c>
      <c r="K383" t="s">
        <v>1357</v>
      </c>
      <c r="L383" t="s">
        <v>1357</v>
      </c>
    </row>
    <row r="384" spans="6:12">
      <c r="H384" t="s">
        <v>3509</v>
      </c>
      <c r="I384" t="s">
        <v>1357</v>
      </c>
      <c r="J384" t="s">
        <v>1357</v>
      </c>
      <c r="K384" t="s">
        <v>1357</v>
      </c>
      <c r="L384" t="s">
        <v>1357</v>
      </c>
    </row>
    <row r="385" spans="1:12">
      <c r="A385" t="s">
        <v>1886</v>
      </c>
      <c r="B385">
        <f>HYPERLINK("https://github.com/apache/commons-math/commit/d0ac3d2a5f49e58d9bbcd0ba214a8b66cc81990c", "d0ac3d2a5f49e58d9bbcd0ba214a8b66cc81990c")</f>
        <v>0</v>
      </c>
      <c r="C385">
        <f>HYPERLINK("https://github.com/apache/commons-math/commit/e8098d425e627f81dd95dc36cb8734ee6ed9b0c8", "e8098d425e627f81dd95dc36cb8734ee6ed9b0c8")</f>
        <v>0</v>
      </c>
      <c r="D385" t="s">
        <v>2146</v>
      </c>
      <c r="E385" t="s">
        <v>2175</v>
      </c>
      <c r="F385" t="s">
        <v>2452</v>
      </c>
      <c r="G385" t="s">
        <v>2925</v>
      </c>
      <c r="H385" t="s">
        <v>3425</v>
      </c>
      <c r="I385" t="s">
        <v>1357</v>
      </c>
      <c r="J385" t="s">
        <v>1357</v>
      </c>
      <c r="K385" t="s">
        <v>1357</v>
      </c>
      <c r="L385" t="s">
        <v>1357</v>
      </c>
    </row>
    <row r="386" spans="1:12">
      <c r="A386" t="s">
        <v>1887</v>
      </c>
      <c r="B386">
        <f>HYPERLINK("https://github.com/apache/commons-math/commit/1b96f28e41ecb466a42e5a86c6bcdd97c510e0bb", "1b96f28e41ecb466a42e5a86c6bcdd97c510e0bb")</f>
        <v>0</v>
      </c>
      <c r="C386">
        <f>HYPERLINK("https://github.com/apache/commons-math/commit/985aad0b1adff2212144d276022d39d082866aa1", "985aad0b1adff2212144d276022d39d082866aa1")</f>
        <v>0</v>
      </c>
      <c r="D386" t="s">
        <v>2146</v>
      </c>
      <c r="E386" t="s">
        <v>2176</v>
      </c>
      <c r="F386" t="s">
        <v>2475</v>
      </c>
      <c r="G386" t="s">
        <v>2902</v>
      </c>
      <c r="H386" t="s">
        <v>3261</v>
      </c>
      <c r="I386" t="s">
        <v>1357</v>
      </c>
      <c r="J386" t="s">
        <v>1357</v>
      </c>
      <c r="K386" t="s">
        <v>1357</v>
      </c>
      <c r="L386" t="s">
        <v>1357</v>
      </c>
    </row>
    <row r="387" spans="1:12">
      <c r="H387" t="s">
        <v>3259</v>
      </c>
      <c r="I387" t="s">
        <v>1357</v>
      </c>
      <c r="J387" t="s">
        <v>1357</v>
      </c>
      <c r="K387" t="s">
        <v>1357</v>
      </c>
      <c r="L387" t="s">
        <v>1357</v>
      </c>
    </row>
    <row r="388" spans="1:12">
      <c r="A388" t="s">
        <v>1888</v>
      </c>
      <c r="B388">
        <f>HYPERLINK("https://github.com/apache/commons-math/commit/21ef26838dc27b12450eac55d12e0562f3e64721", "21ef26838dc27b12450eac55d12e0562f3e64721")</f>
        <v>0</v>
      </c>
      <c r="C388">
        <f>HYPERLINK("https://github.com/apache/commons-math/commit/f1e2670f72723678eb7cfdf913ef3c1a5b586b0d", "f1e2670f72723678eb7cfdf913ef3c1a5b586b0d")</f>
        <v>0</v>
      </c>
      <c r="D388" t="s">
        <v>2146</v>
      </c>
      <c r="E388" t="s">
        <v>2177</v>
      </c>
      <c r="F388" t="s">
        <v>2457</v>
      </c>
      <c r="G388" t="s">
        <v>2928</v>
      </c>
      <c r="H388" t="s">
        <v>3463</v>
      </c>
      <c r="I388" t="s">
        <v>1357</v>
      </c>
      <c r="J388" t="s">
        <v>1357</v>
      </c>
      <c r="K388" t="s">
        <v>1357</v>
      </c>
      <c r="L388" t="s">
        <v>1357</v>
      </c>
    </row>
    <row r="389" spans="1:12">
      <c r="A389" t="s">
        <v>1889</v>
      </c>
      <c r="B389">
        <f>HYPERLINK("https://github.com/apache/commons-math/commit/9267ae3bb27364ebba95cc615c2bf0308e6cb32e", "9267ae3bb27364ebba95cc615c2bf0308e6cb32e")</f>
        <v>0</v>
      </c>
      <c r="C389">
        <f>HYPERLINK("https://github.com/apache/commons-math/commit/11da77c693a5d218be561275d922dfdcb46a6617", "11da77c693a5d218be561275d922dfdcb46a6617")</f>
        <v>0</v>
      </c>
      <c r="D389" t="s">
        <v>2146</v>
      </c>
      <c r="E389" t="s">
        <v>2178</v>
      </c>
      <c r="F389" t="s">
        <v>2468</v>
      </c>
      <c r="G389" t="s">
        <v>2935</v>
      </c>
      <c r="H389" t="s">
        <v>3474</v>
      </c>
      <c r="I389" t="s">
        <v>1357</v>
      </c>
      <c r="J389" t="s">
        <v>1357</v>
      </c>
      <c r="K389" t="s">
        <v>1357</v>
      </c>
      <c r="L389" t="s">
        <v>1357</v>
      </c>
    </row>
    <row r="390" spans="1:12">
      <c r="A390" t="s">
        <v>1890</v>
      </c>
      <c r="B390">
        <f>HYPERLINK("https://github.com/apache/commons-math/commit/6f44b3961194851984aeb211dd16616bb97cfef5", "6f44b3961194851984aeb211dd16616bb97cfef5")</f>
        <v>0</v>
      </c>
      <c r="C390">
        <f>HYPERLINK("https://github.com/apache/commons-math/commit/5f543b9e930b56844f5a5627f9ed24242509d154", "5f543b9e930b56844f5a5627f9ed24242509d154")</f>
        <v>0</v>
      </c>
      <c r="D390" t="s">
        <v>2146</v>
      </c>
      <c r="E390" t="s">
        <v>2179</v>
      </c>
      <c r="F390" t="s">
        <v>2441</v>
      </c>
      <c r="G390" t="s">
        <v>2915</v>
      </c>
      <c r="H390" t="s">
        <v>3293</v>
      </c>
      <c r="I390" t="s">
        <v>1357</v>
      </c>
      <c r="J390" t="s">
        <v>1357</v>
      </c>
      <c r="K390" t="s">
        <v>1357</v>
      </c>
      <c r="L390" t="s">
        <v>1357</v>
      </c>
    </row>
    <row r="391" spans="1:12">
      <c r="H391" t="s">
        <v>3294</v>
      </c>
      <c r="I391" t="s">
        <v>1357</v>
      </c>
      <c r="J391" t="s">
        <v>1357</v>
      </c>
      <c r="K391" t="s">
        <v>1357</v>
      </c>
      <c r="L391" t="s">
        <v>1357</v>
      </c>
    </row>
    <row r="392" spans="1:12">
      <c r="H392" t="s">
        <v>3295</v>
      </c>
      <c r="I392" t="s">
        <v>1357</v>
      </c>
      <c r="J392" t="s">
        <v>1357</v>
      </c>
      <c r="K392" t="s">
        <v>1357</v>
      </c>
      <c r="L392" t="s">
        <v>1357</v>
      </c>
    </row>
    <row r="393" spans="1:12">
      <c r="H393" t="s">
        <v>3296</v>
      </c>
      <c r="I393" t="s">
        <v>1357</v>
      </c>
      <c r="J393" t="s">
        <v>1357</v>
      </c>
      <c r="K393" t="s">
        <v>1357</v>
      </c>
      <c r="L393" t="s">
        <v>1357</v>
      </c>
    </row>
    <row r="394" spans="1:12">
      <c r="H394" t="s">
        <v>1039</v>
      </c>
      <c r="I394" t="s">
        <v>1357</v>
      </c>
      <c r="J394" t="s">
        <v>1357</v>
      </c>
      <c r="K394" t="s">
        <v>1357</v>
      </c>
      <c r="L394" t="s">
        <v>1357</v>
      </c>
    </row>
    <row r="395" spans="1:12">
      <c r="A395" t="s">
        <v>1891</v>
      </c>
      <c r="B395">
        <f>HYPERLINK("https://github.com/apache/commons-math/commit/3e97a3afbbb65d858babfe3bf905fc62665f98fe", "3e97a3afbbb65d858babfe3bf905fc62665f98fe")</f>
        <v>0</v>
      </c>
      <c r="C395">
        <f>HYPERLINK("https://github.com/apache/commons-math/commit/81da2fafa1b08a181fb32eee3643f3832b033595", "81da2fafa1b08a181fb32eee3643f3832b033595")</f>
        <v>0</v>
      </c>
      <c r="D395" t="s">
        <v>2146</v>
      </c>
      <c r="E395" t="s">
        <v>2180</v>
      </c>
      <c r="F395" t="s">
        <v>2476</v>
      </c>
      <c r="G395" t="s">
        <v>2909</v>
      </c>
      <c r="H395" t="s">
        <v>3279</v>
      </c>
      <c r="I395" t="s">
        <v>1357</v>
      </c>
      <c r="J395" t="s">
        <v>1357</v>
      </c>
      <c r="K395" t="s">
        <v>1357</v>
      </c>
      <c r="L395" t="s">
        <v>1357</v>
      </c>
    </row>
    <row r="396" spans="1:12">
      <c r="H396" t="s">
        <v>3280</v>
      </c>
      <c r="I396" t="s">
        <v>1357</v>
      </c>
      <c r="J396" t="s">
        <v>1357</v>
      </c>
      <c r="K396" t="s">
        <v>1357</v>
      </c>
      <c r="L396" t="s">
        <v>1357</v>
      </c>
    </row>
    <row r="397" spans="1:12">
      <c r="A397" t="s">
        <v>1892</v>
      </c>
      <c r="B397">
        <f>HYPERLINK("https://github.com/apache/commons-math/commit/631377f86befb652e2927757de52944d3d2d6a61", "631377f86befb652e2927757de52944d3d2d6a61")</f>
        <v>0</v>
      </c>
      <c r="C397">
        <f>HYPERLINK("https://github.com/apache/commons-math/commit/d522e47b8e07862d3a01944ad26314fc7eae5d8a", "d522e47b8e07862d3a01944ad26314fc7eae5d8a")</f>
        <v>0</v>
      </c>
      <c r="D397" t="s">
        <v>2147</v>
      </c>
      <c r="E397" t="s">
        <v>2181</v>
      </c>
      <c r="F397" t="s">
        <v>2477</v>
      </c>
      <c r="G397" t="s">
        <v>2941</v>
      </c>
      <c r="H397" t="s">
        <v>3510</v>
      </c>
      <c r="I397" t="s">
        <v>1357</v>
      </c>
      <c r="J397" t="s">
        <v>1357</v>
      </c>
      <c r="K397" t="s">
        <v>1357</v>
      </c>
      <c r="L397" t="s">
        <v>1357</v>
      </c>
    </row>
    <row r="398" spans="1:12">
      <c r="A398" t="s">
        <v>1893</v>
      </c>
      <c r="B398">
        <f>HYPERLINK("https://github.com/apache/commons-math/commit/80b101bea540755a6c37a1dc47c2ba0ff74aeb51", "80b101bea540755a6c37a1dc47c2ba0ff74aeb51")</f>
        <v>0</v>
      </c>
      <c r="C398">
        <f>HYPERLINK("https://github.com/apache/commons-math/commit/84839d3f059fd06da2cee514580a83bb7afdb0ce", "84839d3f059fd06da2cee514580a83bb7afdb0ce")</f>
        <v>0</v>
      </c>
      <c r="D398" t="s">
        <v>2146</v>
      </c>
      <c r="E398" t="s">
        <v>2182</v>
      </c>
      <c r="F398" t="s">
        <v>2478</v>
      </c>
      <c r="G398" t="s">
        <v>2942</v>
      </c>
      <c r="H398" t="s">
        <v>3511</v>
      </c>
      <c r="I398" t="s">
        <v>1357</v>
      </c>
      <c r="J398" t="s">
        <v>1357</v>
      </c>
      <c r="K398" t="s">
        <v>1357</v>
      </c>
      <c r="L398" t="s">
        <v>1357</v>
      </c>
    </row>
    <row r="399" spans="1:12">
      <c r="H399" t="s">
        <v>3512</v>
      </c>
      <c r="I399" t="s">
        <v>1357</v>
      </c>
      <c r="J399" t="s">
        <v>1357</v>
      </c>
      <c r="K399" t="s">
        <v>1357</v>
      </c>
      <c r="L399" t="s">
        <v>1357</v>
      </c>
    </row>
    <row r="400" spans="1:12">
      <c r="H400" t="s">
        <v>3513</v>
      </c>
      <c r="I400" t="s">
        <v>1357</v>
      </c>
      <c r="J400" t="s">
        <v>1357</v>
      </c>
      <c r="K400" t="s">
        <v>1357</v>
      </c>
      <c r="L400" t="s">
        <v>1357</v>
      </c>
    </row>
    <row r="401" spans="8:12">
      <c r="H401" t="s">
        <v>3514</v>
      </c>
      <c r="I401" t="s">
        <v>1357</v>
      </c>
      <c r="J401" t="s">
        <v>1357</v>
      </c>
      <c r="K401" t="s">
        <v>1357</v>
      </c>
      <c r="L401" t="s">
        <v>1357</v>
      </c>
    </row>
    <row r="402" spans="8:12">
      <c r="H402" t="s">
        <v>3515</v>
      </c>
      <c r="I402" t="s">
        <v>1357</v>
      </c>
      <c r="J402" t="s">
        <v>1357</v>
      </c>
      <c r="K402" t="s">
        <v>1357</v>
      </c>
      <c r="L402" t="s">
        <v>1357</v>
      </c>
    </row>
    <row r="403" spans="8:12">
      <c r="H403" t="s">
        <v>3516</v>
      </c>
      <c r="I403" t="s">
        <v>1357</v>
      </c>
      <c r="J403" t="s">
        <v>1357</v>
      </c>
      <c r="K403" t="s">
        <v>1357</v>
      </c>
      <c r="L403" t="s">
        <v>1357</v>
      </c>
    </row>
    <row r="404" spans="8:12">
      <c r="H404" t="s">
        <v>3517</v>
      </c>
      <c r="I404" t="s">
        <v>1357</v>
      </c>
      <c r="J404" t="s">
        <v>1357</v>
      </c>
      <c r="K404" t="s">
        <v>1357</v>
      </c>
      <c r="L404" t="s">
        <v>1357</v>
      </c>
    </row>
    <row r="405" spans="8:12">
      <c r="H405" t="s">
        <v>3518</v>
      </c>
      <c r="I405" t="s">
        <v>1357</v>
      </c>
      <c r="J405" t="s">
        <v>1357</v>
      </c>
      <c r="K405" t="s">
        <v>1357</v>
      </c>
      <c r="L405" t="s">
        <v>1357</v>
      </c>
    </row>
    <row r="406" spans="8:12">
      <c r="H406" t="s">
        <v>3519</v>
      </c>
      <c r="I406" t="s">
        <v>1357</v>
      </c>
      <c r="J406" t="s">
        <v>1357</v>
      </c>
      <c r="K406" t="s">
        <v>1357</v>
      </c>
      <c r="L406" t="s">
        <v>1357</v>
      </c>
    </row>
    <row r="407" spans="8:12">
      <c r="H407" t="s">
        <v>3520</v>
      </c>
      <c r="I407" t="s">
        <v>1357</v>
      </c>
      <c r="J407" t="s">
        <v>1357</v>
      </c>
      <c r="K407" t="s">
        <v>1357</v>
      </c>
      <c r="L407" t="s">
        <v>1357</v>
      </c>
    </row>
    <row r="408" spans="8:12">
      <c r="H408" t="s">
        <v>3316</v>
      </c>
      <c r="I408" t="s">
        <v>1357</v>
      </c>
      <c r="J408" t="s">
        <v>1357</v>
      </c>
      <c r="K408" t="s">
        <v>1357</v>
      </c>
      <c r="L408" t="s">
        <v>1357</v>
      </c>
    </row>
    <row r="409" spans="8:12">
      <c r="H409" t="s">
        <v>3317</v>
      </c>
      <c r="I409" t="s">
        <v>1357</v>
      </c>
      <c r="J409" t="s">
        <v>1357</v>
      </c>
      <c r="K409" t="s">
        <v>1357</v>
      </c>
      <c r="L409" t="s">
        <v>1357</v>
      </c>
    </row>
    <row r="410" spans="8:12">
      <c r="H410" t="s">
        <v>3318</v>
      </c>
      <c r="I410" t="s">
        <v>1357</v>
      </c>
      <c r="J410" t="s">
        <v>1357</v>
      </c>
      <c r="K410" t="s">
        <v>1357</v>
      </c>
      <c r="L410" t="s">
        <v>1357</v>
      </c>
    </row>
    <row r="411" spans="8:12">
      <c r="H411" t="s">
        <v>3319</v>
      </c>
      <c r="I411" t="s">
        <v>1357</v>
      </c>
      <c r="J411" t="s">
        <v>1357</v>
      </c>
      <c r="K411" t="s">
        <v>1357</v>
      </c>
      <c r="L411" t="s">
        <v>1357</v>
      </c>
    </row>
    <row r="412" spans="8:12">
      <c r="H412" t="s">
        <v>3324</v>
      </c>
      <c r="I412" t="s">
        <v>1357</v>
      </c>
      <c r="J412" t="s">
        <v>1357</v>
      </c>
      <c r="K412" t="s">
        <v>1357</v>
      </c>
      <c r="L412" t="s">
        <v>1357</v>
      </c>
    </row>
    <row r="413" spans="8:12">
      <c r="H413" t="s">
        <v>3323</v>
      </c>
      <c r="I413" t="s">
        <v>1357</v>
      </c>
      <c r="J413" t="s">
        <v>1357</v>
      </c>
      <c r="K413" t="s">
        <v>1357</v>
      </c>
      <c r="L413" t="s">
        <v>1357</v>
      </c>
    </row>
    <row r="414" spans="8:12">
      <c r="H414" t="s">
        <v>3322</v>
      </c>
      <c r="I414" t="s">
        <v>1357</v>
      </c>
      <c r="J414" t="s">
        <v>1357</v>
      </c>
      <c r="K414" t="s">
        <v>1357</v>
      </c>
      <c r="L414" t="s">
        <v>1357</v>
      </c>
    </row>
    <row r="415" spans="8:12">
      <c r="H415" t="s">
        <v>3321</v>
      </c>
      <c r="I415" t="s">
        <v>1357</v>
      </c>
      <c r="J415" t="s">
        <v>1357</v>
      </c>
      <c r="K415" t="s">
        <v>1357</v>
      </c>
      <c r="L415" t="s">
        <v>1357</v>
      </c>
    </row>
    <row r="416" spans="8:12">
      <c r="H416" t="s">
        <v>3521</v>
      </c>
      <c r="I416" t="s">
        <v>1357</v>
      </c>
      <c r="J416" t="s">
        <v>1357</v>
      </c>
      <c r="K416" t="s">
        <v>1357</v>
      </c>
      <c r="L416" t="s">
        <v>1357</v>
      </c>
    </row>
    <row r="417" spans="1:12">
      <c r="H417" t="s">
        <v>3522</v>
      </c>
      <c r="I417" t="s">
        <v>1357</v>
      </c>
      <c r="J417" t="s">
        <v>1357</v>
      </c>
      <c r="K417" t="s">
        <v>1357</v>
      </c>
      <c r="L417" t="s">
        <v>1357</v>
      </c>
    </row>
    <row r="418" spans="1:12">
      <c r="H418" t="s">
        <v>3523</v>
      </c>
      <c r="I418" t="s">
        <v>1357</v>
      </c>
      <c r="J418" t="s">
        <v>1357</v>
      </c>
      <c r="K418" t="s">
        <v>1357</v>
      </c>
      <c r="L418" t="s">
        <v>1357</v>
      </c>
    </row>
    <row r="419" spans="1:12">
      <c r="H419" t="s">
        <v>3524</v>
      </c>
      <c r="I419" t="s">
        <v>1357</v>
      </c>
      <c r="J419" t="s">
        <v>1357</v>
      </c>
      <c r="K419" t="s">
        <v>1357</v>
      </c>
      <c r="L419" t="s">
        <v>1357</v>
      </c>
    </row>
    <row r="420" spans="1:12">
      <c r="H420" t="s">
        <v>3525</v>
      </c>
      <c r="I420" t="s">
        <v>1357</v>
      </c>
      <c r="J420" t="s">
        <v>1357</v>
      </c>
      <c r="K420" t="s">
        <v>1357</v>
      </c>
      <c r="L420" t="s">
        <v>1357</v>
      </c>
    </row>
    <row r="421" spans="1:12">
      <c r="H421" t="s">
        <v>3526</v>
      </c>
      <c r="I421" t="s">
        <v>1357</v>
      </c>
      <c r="J421" t="s">
        <v>1357</v>
      </c>
      <c r="K421" t="s">
        <v>1357</v>
      </c>
      <c r="L421" t="s">
        <v>1357</v>
      </c>
    </row>
    <row r="422" spans="1:12">
      <c r="H422" t="s">
        <v>3527</v>
      </c>
      <c r="I422" t="s">
        <v>1357</v>
      </c>
      <c r="J422" t="s">
        <v>1357</v>
      </c>
      <c r="K422" t="s">
        <v>1357</v>
      </c>
      <c r="L422" t="s">
        <v>1357</v>
      </c>
    </row>
    <row r="423" spans="1:12">
      <c r="H423" t="s">
        <v>3528</v>
      </c>
      <c r="I423" t="s">
        <v>1357</v>
      </c>
      <c r="J423" t="s">
        <v>1357</v>
      </c>
      <c r="K423" t="s">
        <v>1357</v>
      </c>
      <c r="L423" t="s">
        <v>1357</v>
      </c>
    </row>
    <row r="424" spans="1:12">
      <c r="A424" t="s">
        <v>1894</v>
      </c>
      <c r="B424">
        <f>HYPERLINK("https://github.com/apache/commons-math/commit/73812e41db0aa040b53c6ff3f35804c037aa2a9b", "73812e41db0aa040b53c6ff3f35804c037aa2a9b")</f>
        <v>0</v>
      </c>
      <c r="C424">
        <f>HYPERLINK("https://github.com/apache/commons-math/commit/cd6d71b967019626734e81103a897729e70cd64b", "cd6d71b967019626734e81103a897729e70cd64b")</f>
        <v>0</v>
      </c>
      <c r="D424" t="s">
        <v>2146</v>
      </c>
      <c r="E424" t="s">
        <v>2183</v>
      </c>
      <c r="F424" t="s">
        <v>2445</v>
      </c>
      <c r="G424" t="s">
        <v>2918</v>
      </c>
      <c r="H424" t="s">
        <v>3520</v>
      </c>
      <c r="I424" t="s">
        <v>1357</v>
      </c>
      <c r="J424" t="s">
        <v>1357</v>
      </c>
      <c r="K424" t="s">
        <v>1357</v>
      </c>
      <c r="L424" t="s">
        <v>1357</v>
      </c>
    </row>
    <row r="425" spans="1:12">
      <c r="H425" t="s">
        <v>3316</v>
      </c>
      <c r="I425" t="s">
        <v>1357</v>
      </c>
      <c r="J425" t="s">
        <v>1357</v>
      </c>
      <c r="K425" t="s">
        <v>1357</v>
      </c>
      <c r="L425" t="s">
        <v>1357</v>
      </c>
    </row>
    <row r="426" spans="1:12">
      <c r="H426" t="s">
        <v>3317</v>
      </c>
      <c r="I426" t="s">
        <v>1357</v>
      </c>
      <c r="J426" t="s">
        <v>1357</v>
      </c>
      <c r="K426" t="s">
        <v>1357</v>
      </c>
      <c r="L426" t="s">
        <v>1357</v>
      </c>
    </row>
    <row r="427" spans="1:12">
      <c r="H427" t="s">
        <v>3318</v>
      </c>
      <c r="I427" t="s">
        <v>1357</v>
      </c>
      <c r="J427" t="s">
        <v>1357</v>
      </c>
      <c r="K427" t="s">
        <v>1357</v>
      </c>
      <c r="L427" t="s">
        <v>1357</v>
      </c>
    </row>
    <row r="428" spans="1:12">
      <c r="H428" t="s">
        <v>3319</v>
      </c>
      <c r="I428" t="s">
        <v>1357</v>
      </c>
      <c r="J428" t="s">
        <v>1357</v>
      </c>
      <c r="K428" t="s">
        <v>1357</v>
      </c>
      <c r="L428" t="s">
        <v>1357</v>
      </c>
    </row>
    <row r="429" spans="1:12">
      <c r="H429" t="s">
        <v>3521</v>
      </c>
      <c r="I429" t="s">
        <v>1357</v>
      </c>
      <c r="J429" t="s">
        <v>1357</v>
      </c>
      <c r="K429" t="s">
        <v>1357</v>
      </c>
      <c r="L429" t="s">
        <v>1357</v>
      </c>
    </row>
    <row r="430" spans="1:12">
      <c r="H430" t="s">
        <v>3321</v>
      </c>
      <c r="I430" t="s">
        <v>1357</v>
      </c>
      <c r="J430" t="s">
        <v>1357</v>
      </c>
      <c r="K430" t="s">
        <v>1357</v>
      </c>
      <c r="L430" t="s">
        <v>1357</v>
      </c>
    </row>
    <row r="431" spans="1:12">
      <c r="H431" t="s">
        <v>3322</v>
      </c>
      <c r="I431" t="s">
        <v>1357</v>
      </c>
      <c r="J431" t="s">
        <v>1357</v>
      </c>
      <c r="K431" t="s">
        <v>1357</v>
      </c>
      <c r="L431" t="s">
        <v>1357</v>
      </c>
    </row>
    <row r="432" spans="1:12">
      <c r="H432" t="s">
        <v>3323</v>
      </c>
      <c r="I432" t="s">
        <v>1357</v>
      </c>
      <c r="J432" t="s">
        <v>1357</v>
      </c>
      <c r="K432" t="s">
        <v>1357</v>
      </c>
      <c r="L432" t="s">
        <v>1357</v>
      </c>
    </row>
    <row r="433" spans="6:12">
      <c r="H433" t="s">
        <v>3324</v>
      </c>
      <c r="I433" t="s">
        <v>1357</v>
      </c>
      <c r="J433" t="s">
        <v>1357</v>
      </c>
      <c r="K433" t="s">
        <v>1357</v>
      </c>
      <c r="L433" t="s">
        <v>1357</v>
      </c>
    </row>
    <row r="434" spans="6:12">
      <c r="H434" t="s">
        <v>3529</v>
      </c>
      <c r="I434" t="s">
        <v>1357</v>
      </c>
      <c r="J434" t="s">
        <v>1357</v>
      </c>
      <c r="K434" t="s">
        <v>1357</v>
      </c>
      <c r="L434" t="s">
        <v>1357</v>
      </c>
    </row>
    <row r="435" spans="6:12">
      <c r="H435" t="s">
        <v>3326</v>
      </c>
      <c r="I435" t="s">
        <v>1357</v>
      </c>
      <c r="J435" t="s">
        <v>1357</v>
      </c>
      <c r="K435" t="s">
        <v>1357</v>
      </c>
      <c r="L435" t="s">
        <v>1357</v>
      </c>
    </row>
    <row r="436" spans="6:12">
      <c r="H436" t="s">
        <v>3327</v>
      </c>
      <c r="I436" t="s">
        <v>1357</v>
      </c>
      <c r="J436" t="s">
        <v>1357</v>
      </c>
      <c r="K436" t="s">
        <v>1357</v>
      </c>
      <c r="L436" t="s">
        <v>1357</v>
      </c>
    </row>
    <row r="437" spans="6:12">
      <c r="H437" t="s">
        <v>3328</v>
      </c>
      <c r="I437" t="s">
        <v>1357</v>
      </c>
      <c r="J437" t="s">
        <v>1357</v>
      </c>
      <c r="K437" t="s">
        <v>1357</v>
      </c>
      <c r="L437" t="s">
        <v>1357</v>
      </c>
    </row>
    <row r="438" spans="6:12">
      <c r="H438" t="s">
        <v>3329</v>
      </c>
      <c r="I438" t="s">
        <v>1357</v>
      </c>
      <c r="J438" t="s">
        <v>1357</v>
      </c>
      <c r="K438" t="s">
        <v>1357</v>
      </c>
      <c r="L438" t="s">
        <v>1357</v>
      </c>
    </row>
    <row r="439" spans="6:12">
      <c r="H439" t="s">
        <v>3530</v>
      </c>
      <c r="I439" t="s">
        <v>1357</v>
      </c>
      <c r="J439" t="s">
        <v>1357</v>
      </c>
      <c r="K439" t="s">
        <v>1357</v>
      </c>
      <c r="L439" t="s">
        <v>1357</v>
      </c>
    </row>
    <row r="440" spans="6:12">
      <c r="F440" t="s">
        <v>2447</v>
      </c>
      <c r="G440" t="s">
        <v>2920</v>
      </c>
      <c r="H440" t="s">
        <v>3520</v>
      </c>
      <c r="I440" t="s">
        <v>1357</v>
      </c>
      <c r="J440" t="s">
        <v>1357</v>
      </c>
      <c r="K440" t="s">
        <v>1357</v>
      </c>
      <c r="L440" t="s">
        <v>1357</v>
      </c>
    </row>
    <row r="441" spans="6:12">
      <c r="H441" t="s">
        <v>3316</v>
      </c>
      <c r="I441" t="s">
        <v>1357</v>
      </c>
      <c r="J441" t="s">
        <v>1357</v>
      </c>
      <c r="K441" t="s">
        <v>1357</v>
      </c>
      <c r="L441" t="s">
        <v>1357</v>
      </c>
    </row>
    <row r="442" spans="6:12">
      <c r="H442" t="s">
        <v>3317</v>
      </c>
      <c r="I442" t="s">
        <v>1357</v>
      </c>
      <c r="J442" t="s">
        <v>1357</v>
      </c>
      <c r="K442" t="s">
        <v>1357</v>
      </c>
      <c r="L442" t="s">
        <v>1357</v>
      </c>
    </row>
    <row r="443" spans="6:12">
      <c r="H443" t="s">
        <v>3318</v>
      </c>
      <c r="I443" t="s">
        <v>1357</v>
      </c>
      <c r="J443" t="s">
        <v>1357</v>
      </c>
      <c r="K443" t="s">
        <v>1357</v>
      </c>
      <c r="L443" t="s">
        <v>1357</v>
      </c>
    </row>
    <row r="444" spans="6:12">
      <c r="H444" t="s">
        <v>3319</v>
      </c>
      <c r="I444" t="s">
        <v>1357</v>
      </c>
      <c r="J444" t="s">
        <v>1357</v>
      </c>
      <c r="K444" t="s">
        <v>1357</v>
      </c>
      <c r="L444" t="s">
        <v>1357</v>
      </c>
    </row>
    <row r="445" spans="6:12">
      <c r="H445" t="s">
        <v>3521</v>
      </c>
      <c r="I445" t="s">
        <v>1357</v>
      </c>
      <c r="J445" t="s">
        <v>1357</v>
      </c>
      <c r="K445" t="s">
        <v>1357</v>
      </c>
      <c r="L445" t="s">
        <v>1357</v>
      </c>
    </row>
    <row r="446" spans="6:12">
      <c r="H446" t="s">
        <v>3321</v>
      </c>
      <c r="I446" t="s">
        <v>1357</v>
      </c>
      <c r="J446" t="s">
        <v>1357</v>
      </c>
      <c r="K446" t="s">
        <v>1357</v>
      </c>
      <c r="L446" t="s">
        <v>1357</v>
      </c>
    </row>
    <row r="447" spans="6:12">
      <c r="H447" t="s">
        <v>3322</v>
      </c>
      <c r="I447" t="s">
        <v>1357</v>
      </c>
      <c r="J447" t="s">
        <v>1357</v>
      </c>
      <c r="K447" t="s">
        <v>1357</v>
      </c>
      <c r="L447" t="s">
        <v>1357</v>
      </c>
    </row>
    <row r="448" spans="6:12">
      <c r="H448" t="s">
        <v>3323</v>
      </c>
      <c r="I448" t="s">
        <v>1357</v>
      </c>
      <c r="J448" t="s">
        <v>1357</v>
      </c>
      <c r="K448" t="s">
        <v>1357</v>
      </c>
      <c r="L448" t="s">
        <v>1357</v>
      </c>
    </row>
    <row r="449" spans="1:12">
      <c r="H449" t="s">
        <v>3324</v>
      </c>
      <c r="I449" t="s">
        <v>1357</v>
      </c>
      <c r="J449" t="s">
        <v>1357</v>
      </c>
      <c r="K449" t="s">
        <v>1357</v>
      </c>
      <c r="L449" t="s">
        <v>1357</v>
      </c>
    </row>
    <row r="450" spans="1:12">
      <c r="H450" t="s">
        <v>3531</v>
      </c>
      <c r="I450" t="s">
        <v>1357</v>
      </c>
      <c r="J450" t="s">
        <v>1357</v>
      </c>
      <c r="K450" t="s">
        <v>1357</v>
      </c>
      <c r="L450" t="s">
        <v>1357</v>
      </c>
    </row>
    <row r="451" spans="1:12">
      <c r="H451" t="s">
        <v>3529</v>
      </c>
      <c r="I451" t="s">
        <v>1357</v>
      </c>
      <c r="J451" t="s">
        <v>1357</v>
      </c>
      <c r="K451" t="s">
        <v>1357</v>
      </c>
      <c r="L451" t="s">
        <v>1357</v>
      </c>
    </row>
    <row r="452" spans="1:12">
      <c r="H452" t="s">
        <v>3326</v>
      </c>
      <c r="I452" t="s">
        <v>1357</v>
      </c>
      <c r="J452" t="s">
        <v>1357</v>
      </c>
      <c r="K452" t="s">
        <v>1357</v>
      </c>
      <c r="L452" t="s">
        <v>1357</v>
      </c>
    </row>
    <row r="453" spans="1:12">
      <c r="H453" t="s">
        <v>3327</v>
      </c>
      <c r="I453" t="s">
        <v>1357</v>
      </c>
      <c r="J453" t="s">
        <v>1357</v>
      </c>
      <c r="K453" t="s">
        <v>1357</v>
      </c>
      <c r="L453" t="s">
        <v>1357</v>
      </c>
    </row>
    <row r="454" spans="1:12">
      <c r="H454" t="s">
        <v>3328</v>
      </c>
      <c r="I454" t="s">
        <v>1357</v>
      </c>
      <c r="J454" t="s">
        <v>1357</v>
      </c>
      <c r="K454" t="s">
        <v>1357</v>
      </c>
      <c r="L454" t="s">
        <v>1357</v>
      </c>
    </row>
    <row r="455" spans="1:12">
      <c r="H455" t="s">
        <v>3382</v>
      </c>
      <c r="I455" t="s">
        <v>1357</v>
      </c>
      <c r="J455" t="s">
        <v>1357</v>
      </c>
      <c r="K455" t="s">
        <v>1357</v>
      </c>
      <c r="L455" t="s">
        <v>1357</v>
      </c>
    </row>
    <row r="456" spans="1:12">
      <c r="A456" t="s">
        <v>1895</v>
      </c>
      <c r="B456">
        <f>HYPERLINK("https://github.com/apache/commons-math/commit/e0452e4d79ade8380dafea2dd1b4cfd3b3fde9f0", "e0452e4d79ade8380dafea2dd1b4cfd3b3fde9f0")</f>
        <v>0</v>
      </c>
      <c r="C456">
        <f>HYPERLINK("https://github.com/apache/commons-math/commit/9459e748c874f7fd43c90ea6f90bce35d47ca778", "9459e748c874f7fd43c90ea6f90bce35d47ca778")</f>
        <v>0</v>
      </c>
      <c r="D456" t="s">
        <v>2144</v>
      </c>
      <c r="E456" t="s">
        <v>2184</v>
      </c>
      <c r="F456" t="s">
        <v>2477</v>
      </c>
      <c r="G456" t="s">
        <v>2941</v>
      </c>
      <c r="H456" t="s">
        <v>3532</v>
      </c>
      <c r="I456" t="s">
        <v>1357</v>
      </c>
      <c r="J456" t="s">
        <v>1357</v>
      </c>
      <c r="K456" t="s">
        <v>1357</v>
      </c>
      <c r="L456" t="s">
        <v>1357</v>
      </c>
    </row>
    <row r="457" spans="1:12">
      <c r="A457" t="s">
        <v>1896</v>
      </c>
      <c r="B457">
        <f>HYPERLINK("https://github.com/apache/commons-math/commit/b31439f3ec9bb216465ae77de5f7cb8433dd3140", "b31439f3ec9bb216465ae77de5f7cb8433dd3140")</f>
        <v>0</v>
      </c>
      <c r="C457">
        <f>HYPERLINK("https://github.com/apache/commons-math/commit/8e995890ea35399b6da6bc86532f0694accd511b", "8e995890ea35399b6da6bc86532f0694accd511b")</f>
        <v>0</v>
      </c>
      <c r="D457" t="s">
        <v>2146</v>
      </c>
      <c r="E457" t="s">
        <v>2185</v>
      </c>
      <c r="F457" t="s">
        <v>2429</v>
      </c>
      <c r="G457" t="s">
        <v>2903</v>
      </c>
      <c r="H457" t="s">
        <v>3263</v>
      </c>
      <c r="I457" t="s">
        <v>1357</v>
      </c>
      <c r="J457" t="s">
        <v>1357</v>
      </c>
      <c r="K457" t="s">
        <v>1357</v>
      </c>
      <c r="L457" t="s">
        <v>1357</v>
      </c>
    </row>
    <row r="458" spans="1:12">
      <c r="H458" t="s">
        <v>3264</v>
      </c>
      <c r="I458" t="s">
        <v>1357</v>
      </c>
      <c r="J458" t="s">
        <v>1357</v>
      </c>
      <c r="K458" t="s">
        <v>1357</v>
      </c>
      <c r="L458" t="s">
        <v>1357</v>
      </c>
    </row>
    <row r="459" spans="1:12">
      <c r="H459" t="s">
        <v>3265</v>
      </c>
      <c r="I459" t="s">
        <v>1357</v>
      </c>
      <c r="J459" t="s">
        <v>1357</v>
      </c>
      <c r="K459" t="s">
        <v>1357</v>
      </c>
      <c r="L459" t="s">
        <v>1357</v>
      </c>
    </row>
    <row r="460" spans="1:12">
      <c r="H460" t="s">
        <v>3266</v>
      </c>
      <c r="I460" t="s">
        <v>1357</v>
      </c>
      <c r="J460" t="s">
        <v>1357</v>
      </c>
      <c r="K460" t="s">
        <v>1357</v>
      </c>
      <c r="L460" t="s">
        <v>1357</v>
      </c>
    </row>
    <row r="461" spans="1:12">
      <c r="A461" t="s">
        <v>1897</v>
      </c>
      <c r="B461">
        <f>HYPERLINK("https://github.com/apache/commons-math/commit/1d5a4e2d3d0fbd894b4e344a3d6ea601c14ab80e", "1d5a4e2d3d0fbd894b4e344a3d6ea601c14ab80e")</f>
        <v>0</v>
      </c>
      <c r="C461">
        <f>HYPERLINK("https://github.com/apache/commons-math/commit/dc8569711fd1771539290d84bb69c33e5f2901fd", "dc8569711fd1771539290d84bb69c33e5f2901fd")</f>
        <v>0</v>
      </c>
      <c r="D461" t="s">
        <v>2146</v>
      </c>
      <c r="E461" t="s">
        <v>2186</v>
      </c>
      <c r="F461" t="s">
        <v>2446</v>
      </c>
      <c r="G461" t="s">
        <v>2919</v>
      </c>
      <c r="H461" t="s">
        <v>3263</v>
      </c>
      <c r="I461" t="s">
        <v>1357</v>
      </c>
      <c r="J461" t="s">
        <v>1357</v>
      </c>
      <c r="K461" t="s">
        <v>1357</v>
      </c>
      <c r="L461" t="s">
        <v>1357</v>
      </c>
    </row>
    <row r="462" spans="1:12">
      <c r="H462" t="s">
        <v>3264</v>
      </c>
      <c r="I462" t="s">
        <v>1357</v>
      </c>
      <c r="J462" t="s">
        <v>1357</v>
      </c>
      <c r="K462" t="s">
        <v>1357</v>
      </c>
      <c r="L462" t="s">
        <v>1357</v>
      </c>
    </row>
    <row r="463" spans="1:12">
      <c r="H463" t="s">
        <v>3265</v>
      </c>
      <c r="I463" t="s">
        <v>1357</v>
      </c>
      <c r="J463" t="s">
        <v>1357</v>
      </c>
      <c r="K463" t="s">
        <v>1357</v>
      </c>
      <c r="L463" t="s">
        <v>1357</v>
      </c>
    </row>
    <row r="464" spans="1:12">
      <c r="H464" t="s">
        <v>3266</v>
      </c>
      <c r="I464" t="s">
        <v>1357</v>
      </c>
      <c r="J464" t="s">
        <v>1357</v>
      </c>
      <c r="K464" t="s">
        <v>1357</v>
      </c>
      <c r="L464" t="s">
        <v>1357</v>
      </c>
    </row>
    <row r="465" spans="1:12">
      <c r="A465" t="s">
        <v>1898</v>
      </c>
      <c r="B465">
        <f>HYPERLINK("https://github.com/apache/commons-math/commit/229c782087d2eaef17d23682fcd8b36a73bb756b", "229c782087d2eaef17d23682fcd8b36a73bb756b")</f>
        <v>0</v>
      </c>
      <c r="C465">
        <f>HYPERLINK("https://github.com/apache/commons-math/commit/df23d31d6fe1c8da7c02efd03a474f8cb050b21f", "df23d31d6fe1c8da7c02efd03a474f8cb050b21f")</f>
        <v>0</v>
      </c>
      <c r="D465" t="s">
        <v>2146</v>
      </c>
      <c r="E465" t="s">
        <v>2187</v>
      </c>
      <c r="F465" t="s">
        <v>2478</v>
      </c>
      <c r="G465" t="s">
        <v>2942</v>
      </c>
      <c r="H465" t="s">
        <v>3511</v>
      </c>
      <c r="I465" t="s">
        <v>1357</v>
      </c>
      <c r="J465" t="s">
        <v>1357</v>
      </c>
      <c r="K465" t="s">
        <v>1357</v>
      </c>
      <c r="L465" t="s">
        <v>1357</v>
      </c>
    </row>
    <row r="466" spans="1:12">
      <c r="H466" t="s">
        <v>3512</v>
      </c>
      <c r="I466" t="s">
        <v>1357</v>
      </c>
      <c r="J466" t="s">
        <v>1357</v>
      </c>
      <c r="K466" t="s">
        <v>1357</v>
      </c>
      <c r="L466" t="s">
        <v>1357</v>
      </c>
    </row>
    <row r="467" spans="1:12">
      <c r="H467" t="s">
        <v>3513</v>
      </c>
      <c r="I467" t="s">
        <v>1357</v>
      </c>
      <c r="J467" t="s">
        <v>1357</v>
      </c>
      <c r="K467" t="s">
        <v>1357</v>
      </c>
      <c r="L467" t="s">
        <v>1357</v>
      </c>
    </row>
    <row r="468" spans="1:12">
      <c r="H468" t="s">
        <v>3514</v>
      </c>
      <c r="I468" t="s">
        <v>1357</v>
      </c>
      <c r="J468" t="s">
        <v>1357</v>
      </c>
      <c r="K468" t="s">
        <v>1357</v>
      </c>
      <c r="L468" t="s">
        <v>1357</v>
      </c>
    </row>
    <row r="469" spans="1:12">
      <c r="H469" t="s">
        <v>3515</v>
      </c>
      <c r="I469" t="s">
        <v>1357</v>
      </c>
      <c r="J469" t="s">
        <v>1357</v>
      </c>
      <c r="K469" t="s">
        <v>1357</v>
      </c>
      <c r="L469" t="s">
        <v>1357</v>
      </c>
    </row>
    <row r="470" spans="1:12">
      <c r="H470" t="s">
        <v>3516</v>
      </c>
      <c r="I470" t="s">
        <v>1357</v>
      </c>
      <c r="J470" t="s">
        <v>1357</v>
      </c>
      <c r="K470" t="s">
        <v>1357</v>
      </c>
      <c r="L470" t="s">
        <v>1357</v>
      </c>
    </row>
    <row r="471" spans="1:12">
      <c r="H471" t="s">
        <v>3517</v>
      </c>
      <c r="I471" t="s">
        <v>1357</v>
      </c>
      <c r="J471" t="s">
        <v>1357</v>
      </c>
      <c r="K471" t="s">
        <v>1357</v>
      </c>
      <c r="L471" t="s">
        <v>1357</v>
      </c>
    </row>
    <row r="472" spans="1:12">
      <c r="H472" t="s">
        <v>3518</v>
      </c>
      <c r="I472" t="s">
        <v>1357</v>
      </c>
      <c r="J472" t="s">
        <v>1357</v>
      </c>
      <c r="K472" t="s">
        <v>1357</v>
      </c>
      <c r="L472" t="s">
        <v>1357</v>
      </c>
    </row>
    <row r="473" spans="1:12">
      <c r="H473" t="s">
        <v>3520</v>
      </c>
      <c r="I473" t="s">
        <v>1357</v>
      </c>
      <c r="J473" t="s">
        <v>1357</v>
      </c>
      <c r="K473" t="s">
        <v>1357</v>
      </c>
      <c r="L473" t="s">
        <v>1357</v>
      </c>
    </row>
    <row r="474" spans="1:12">
      <c r="H474" t="s">
        <v>3316</v>
      </c>
      <c r="I474" t="s">
        <v>1357</v>
      </c>
      <c r="J474" t="s">
        <v>1357</v>
      </c>
      <c r="K474" t="s">
        <v>1357</v>
      </c>
      <c r="L474" t="s">
        <v>1357</v>
      </c>
    </row>
    <row r="475" spans="1:12">
      <c r="H475" t="s">
        <v>3317</v>
      </c>
      <c r="I475" t="s">
        <v>1357</v>
      </c>
      <c r="J475" t="s">
        <v>1357</v>
      </c>
      <c r="K475" t="s">
        <v>1357</v>
      </c>
      <c r="L475" t="s">
        <v>1357</v>
      </c>
    </row>
    <row r="476" spans="1:12">
      <c r="H476" t="s">
        <v>3318</v>
      </c>
      <c r="I476" t="s">
        <v>1357</v>
      </c>
      <c r="J476" t="s">
        <v>1357</v>
      </c>
      <c r="K476" t="s">
        <v>1357</v>
      </c>
      <c r="L476" t="s">
        <v>1357</v>
      </c>
    </row>
    <row r="477" spans="1:12">
      <c r="H477" t="s">
        <v>3319</v>
      </c>
      <c r="I477" t="s">
        <v>1357</v>
      </c>
      <c r="J477" t="s">
        <v>1357</v>
      </c>
      <c r="K477" t="s">
        <v>1357</v>
      </c>
      <c r="L477" t="s">
        <v>1357</v>
      </c>
    </row>
    <row r="478" spans="1:12">
      <c r="H478" t="s">
        <v>3324</v>
      </c>
      <c r="I478" t="s">
        <v>1357</v>
      </c>
      <c r="J478" t="s">
        <v>1357</v>
      </c>
      <c r="K478" t="s">
        <v>1357</v>
      </c>
      <c r="L478" t="s">
        <v>1357</v>
      </c>
    </row>
    <row r="479" spans="1:12">
      <c r="H479" t="s">
        <v>3323</v>
      </c>
      <c r="I479" t="s">
        <v>1357</v>
      </c>
      <c r="J479" t="s">
        <v>1357</v>
      </c>
      <c r="K479" t="s">
        <v>1357</v>
      </c>
      <c r="L479" t="s">
        <v>1357</v>
      </c>
    </row>
    <row r="480" spans="1:12">
      <c r="H480" t="s">
        <v>3322</v>
      </c>
      <c r="I480" t="s">
        <v>1357</v>
      </c>
      <c r="J480" t="s">
        <v>1357</v>
      </c>
      <c r="K480" t="s">
        <v>1357</v>
      </c>
      <c r="L480" t="s">
        <v>1357</v>
      </c>
    </row>
    <row r="481" spans="1:12">
      <c r="H481" t="s">
        <v>3321</v>
      </c>
      <c r="I481" t="s">
        <v>1357</v>
      </c>
      <c r="J481" t="s">
        <v>1357</v>
      </c>
      <c r="K481" t="s">
        <v>1357</v>
      </c>
      <c r="L481" t="s">
        <v>1357</v>
      </c>
    </row>
    <row r="482" spans="1:12">
      <c r="H482" t="s">
        <v>3521</v>
      </c>
      <c r="I482" t="s">
        <v>1357</v>
      </c>
      <c r="J482" t="s">
        <v>1357</v>
      </c>
      <c r="K482" t="s">
        <v>1357</v>
      </c>
      <c r="L482" t="s">
        <v>1357</v>
      </c>
    </row>
    <row r="483" spans="1:12">
      <c r="A483" t="s">
        <v>1899</v>
      </c>
      <c r="B483">
        <f>HYPERLINK("https://github.com/apache/commons-math/commit/5b9f353eeabc824146443b3c413be1f670985b4d", "5b9f353eeabc824146443b3c413be1f670985b4d")</f>
        <v>0</v>
      </c>
      <c r="C483">
        <f>HYPERLINK("https://github.com/apache/commons-math/commit/229c782087d2eaef17d23682fcd8b36a73bb756b", "229c782087d2eaef17d23682fcd8b36a73bb756b")</f>
        <v>0</v>
      </c>
      <c r="D483" t="s">
        <v>2146</v>
      </c>
      <c r="E483" t="s">
        <v>2188</v>
      </c>
      <c r="F483" t="s">
        <v>2448</v>
      </c>
      <c r="G483" t="s">
        <v>2921</v>
      </c>
      <c r="H483" t="s">
        <v>3520</v>
      </c>
      <c r="I483" t="s">
        <v>1357</v>
      </c>
      <c r="J483" t="s">
        <v>1357</v>
      </c>
      <c r="K483" t="s">
        <v>1357</v>
      </c>
      <c r="L483" t="s">
        <v>1357</v>
      </c>
    </row>
    <row r="484" spans="1:12">
      <c r="H484" t="s">
        <v>3316</v>
      </c>
      <c r="I484" t="s">
        <v>1357</v>
      </c>
      <c r="J484" t="s">
        <v>1357</v>
      </c>
      <c r="K484" t="s">
        <v>1357</v>
      </c>
      <c r="L484" t="s">
        <v>1357</v>
      </c>
    </row>
    <row r="485" spans="1:12">
      <c r="H485" t="s">
        <v>3317</v>
      </c>
      <c r="I485" t="s">
        <v>1357</v>
      </c>
      <c r="J485" t="s">
        <v>1357</v>
      </c>
      <c r="K485" t="s">
        <v>1357</v>
      </c>
      <c r="L485" t="s">
        <v>1357</v>
      </c>
    </row>
    <row r="486" spans="1:12">
      <c r="H486" t="s">
        <v>3318</v>
      </c>
      <c r="I486" t="s">
        <v>1357</v>
      </c>
      <c r="J486" t="s">
        <v>1357</v>
      </c>
      <c r="K486" t="s">
        <v>1357</v>
      </c>
      <c r="L486" t="s">
        <v>1357</v>
      </c>
    </row>
    <row r="487" spans="1:12">
      <c r="H487" t="s">
        <v>3319</v>
      </c>
      <c r="I487" t="s">
        <v>1357</v>
      </c>
      <c r="J487" t="s">
        <v>1357</v>
      </c>
      <c r="K487" t="s">
        <v>1357</v>
      </c>
      <c r="L487" t="s">
        <v>1357</v>
      </c>
    </row>
    <row r="488" spans="1:12">
      <c r="H488" t="s">
        <v>3521</v>
      </c>
      <c r="I488" t="s">
        <v>1357</v>
      </c>
      <c r="J488" t="s">
        <v>1357</v>
      </c>
      <c r="K488" t="s">
        <v>1357</v>
      </c>
      <c r="L488" t="s">
        <v>1357</v>
      </c>
    </row>
    <row r="489" spans="1:12">
      <c r="H489" t="s">
        <v>3321</v>
      </c>
      <c r="I489" t="s">
        <v>1357</v>
      </c>
      <c r="J489" t="s">
        <v>1357</v>
      </c>
      <c r="K489" t="s">
        <v>1357</v>
      </c>
      <c r="L489" t="s">
        <v>1357</v>
      </c>
    </row>
    <row r="490" spans="1:12">
      <c r="H490" t="s">
        <v>3322</v>
      </c>
      <c r="I490" t="s">
        <v>1357</v>
      </c>
      <c r="J490" t="s">
        <v>1357</v>
      </c>
      <c r="K490" t="s">
        <v>1357</v>
      </c>
      <c r="L490" t="s">
        <v>1357</v>
      </c>
    </row>
    <row r="491" spans="1:12">
      <c r="H491" t="s">
        <v>3323</v>
      </c>
      <c r="I491" t="s">
        <v>1357</v>
      </c>
      <c r="J491" t="s">
        <v>1357</v>
      </c>
      <c r="K491" t="s">
        <v>1357</v>
      </c>
      <c r="L491" t="s">
        <v>1357</v>
      </c>
    </row>
    <row r="492" spans="1:12">
      <c r="H492" t="s">
        <v>3324</v>
      </c>
      <c r="I492" t="s">
        <v>1357</v>
      </c>
      <c r="J492" t="s">
        <v>1357</v>
      </c>
      <c r="K492" t="s">
        <v>1357</v>
      </c>
      <c r="L492" t="s">
        <v>1357</v>
      </c>
    </row>
    <row r="493" spans="1:12">
      <c r="H493" t="s">
        <v>3533</v>
      </c>
      <c r="I493" t="s">
        <v>1357</v>
      </c>
      <c r="J493" t="s">
        <v>1357</v>
      </c>
      <c r="K493" t="s">
        <v>1357</v>
      </c>
      <c r="L493" t="s">
        <v>1357</v>
      </c>
    </row>
    <row r="494" spans="1:12">
      <c r="H494" t="s">
        <v>3383</v>
      </c>
      <c r="I494" t="s">
        <v>1357</v>
      </c>
      <c r="J494" t="s">
        <v>1357</v>
      </c>
      <c r="K494" t="s">
        <v>1357</v>
      </c>
      <c r="L494" t="s">
        <v>1357</v>
      </c>
    </row>
    <row r="495" spans="1:12">
      <c r="H495" t="s">
        <v>3384</v>
      </c>
      <c r="I495" t="s">
        <v>1357</v>
      </c>
      <c r="J495" t="s">
        <v>1357</v>
      </c>
      <c r="K495" t="s">
        <v>1357</v>
      </c>
      <c r="L495" t="s">
        <v>1357</v>
      </c>
    </row>
    <row r="496" spans="1:12">
      <c r="H496" t="s">
        <v>3385</v>
      </c>
      <c r="I496" t="s">
        <v>1357</v>
      </c>
      <c r="J496" t="s">
        <v>1357</v>
      </c>
      <c r="K496" t="s">
        <v>1357</v>
      </c>
      <c r="L496" t="s">
        <v>1357</v>
      </c>
    </row>
    <row r="497" spans="1:14">
      <c r="H497" t="s">
        <v>3386</v>
      </c>
      <c r="I497" t="s">
        <v>1357</v>
      </c>
      <c r="J497" t="s">
        <v>1357</v>
      </c>
      <c r="K497" t="s">
        <v>1357</v>
      </c>
      <c r="L497" t="s">
        <v>1357</v>
      </c>
    </row>
    <row r="498" spans="1:14">
      <c r="H498" t="s">
        <v>3534</v>
      </c>
      <c r="I498" t="s">
        <v>1357</v>
      </c>
      <c r="J498" t="s">
        <v>1357</v>
      </c>
      <c r="K498" t="s">
        <v>1357</v>
      </c>
      <c r="L498" t="s">
        <v>1357</v>
      </c>
    </row>
    <row r="499" spans="1:14">
      <c r="H499" t="s">
        <v>3387</v>
      </c>
      <c r="I499" t="s">
        <v>1357</v>
      </c>
      <c r="J499" t="s">
        <v>1357</v>
      </c>
      <c r="K499" t="s">
        <v>1357</v>
      </c>
      <c r="L499" t="s">
        <v>1357</v>
      </c>
    </row>
    <row r="500" spans="1:14">
      <c r="H500" t="s">
        <v>3388</v>
      </c>
      <c r="I500" t="s">
        <v>1357</v>
      </c>
      <c r="J500" t="s">
        <v>1357</v>
      </c>
      <c r="K500" t="s">
        <v>1357</v>
      </c>
      <c r="L500" t="s">
        <v>1357</v>
      </c>
    </row>
    <row r="501" spans="1:14">
      <c r="H501" t="s">
        <v>3389</v>
      </c>
      <c r="I501" t="s">
        <v>1357</v>
      </c>
      <c r="J501" t="s">
        <v>1357</v>
      </c>
      <c r="K501" t="s">
        <v>1357</v>
      </c>
      <c r="L501" t="s">
        <v>1357</v>
      </c>
    </row>
    <row r="502" spans="1:14">
      <c r="H502" t="s">
        <v>3390</v>
      </c>
      <c r="I502" t="s">
        <v>1357</v>
      </c>
      <c r="J502" t="s">
        <v>1357</v>
      </c>
      <c r="K502" t="s">
        <v>1357</v>
      </c>
      <c r="L502" t="s">
        <v>1357</v>
      </c>
    </row>
    <row r="503" spans="1:14">
      <c r="A503" t="s">
        <v>1900</v>
      </c>
      <c r="B503">
        <f>HYPERLINK("https://github.com/apache/commons-math/commit/a40de0d92f8af0ce318904f75d85da4e1af34bfe", "a40de0d92f8af0ce318904f75d85da4e1af34bfe")</f>
        <v>0</v>
      </c>
      <c r="C503">
        <f>HYPERLINK("https://github.com/apache/commons-math/commit/7538855855007bc0e2077fcc1b2bfe51bff1dec7", "7538855855007bc0e2077fcc1b2bfe51bff1dec7")</f>
        <v>0</v>
      </c>
      <c r="D503" t="s">
        <v>2145</v>
      </c>
      <c r="E503" t="s">
        <v>2189</v>
      </c>
      <c r="F503" t="s">
        <v>2479</v>
      </c>
      <c r="G503" t="s">
        <v>2935</v>
      </c>
      <c r="H503" t="s">
        <v>795</v>
      </c>
      <c r="I503" t="s">
        <v>1357</v>
      </c>
      <c r="J503" t="s">
        <v>1357</v>
      </c>
      <c r="K503" t="s">
        <v>1357</v>
      </c>
      <c r="L503" t="s">
        <v>1357</v>
      </c>
    </row>
    <row r="504" spans="1:14">
      <c r="H504" t="s">
        <v>3471</v>
      </c>
      <c r="I504" t="s">
        <v>1357</v>
      </c>
      <c r="J504" t="s">
        <v>1357</v>
      </c>
      <c r="K504" t="s">
        <v>1357</v>
      </c>
      <c r="L504" t="s">
        <v>1357</v>
      </c>
    </row>
    <row r="505" spans="1:14">
      <c r="H505" t="s">
        <v>3458</v>
      </c>
      <c r="I505" t="s">
        <v>1357</v>
      </c>
      <c r="J505" t="s">
        <v>1357</v>
      </c>
      <c r="K505" t="s">
        <v>1357</v>
      </c>
      <c r="L505" t="s">
        <v>1357</v>
      </c>
    </row>
    <row r="506" spans="1:14">
      <c r="H506" t="s">
        <v>3472</v>
      </c>
      <c r="I506" t="s">
        <v>1357</v>
      </c>
      <c r="J506" t="s">
        <v>1357</v>
      </c>
      <c r="K506" t="s">
        <v>1357</v>
      </c>
      <c r="L506" t="s">
        <v>1357</v>
      </c>
    </row>
    <row r="507" spans="1:14">
      <c r="H507" t="s">
        <v>3473</v>
      </c>
      <c r="I507" t="s">
        <v>1357</v>
      </c>
      <c r="J507" t="s">
        <v>1357</v>
      </c>
      <c r="K507" t="s">
        <v>1357</v>
      </c>
      <c r="L507" t="s">
        <v>1357</v>
      </c>
    </row>
    <row r="508" spans="1:14">
      <c r="H508" t="s">
        <v>3475</v>
      </c>
      <c r="I508" t="s">
        <v>1357</v>
      </c>
      <c r="J508" t="s">
        <v>1357</v>
      </c>
      <c r="K508" t="s">
        <v>1357</v>
      </c>
      <c r="L508" t="s">
        <v>1357</v>
      </c>
    </row>
    <row r="509" spans="1:14">
      <c r="A509" t="s">
        <v>1901</v>
      </c>
      <c r="B509">
        <f>HYPERLINK("https://github.com/apache/commons-math/commit/73d8935012ba2726fba44b4458f469584c2c889b", "73d8935012ba2726fba44b4458f469584c2c889b")</f>
        <v>0</v>
      </c>
      <c r="C509">
        <f>HYPERLINK("https://github.com/apache/commons-math/commit/7f04479e5c653b7e7e7a2dd3ead56d370f914213", "7f04479e5c653b7e7e7a2dd3ead56d370f914213")</f>
        <v>0</v>
      </c>
      <c r="D509" t="s">
        <v>2146</v>
      </c>
      <c r="E509" t="s">
        <v>2190</v>
      </c>
      <c r="F509" t="s">
        <v>2480</v>
      </c>
      <c r="G509" t="s">
        <v>2943</v>
      </c>
      <c r="H509" t="s">
        <v>3280</v>
      </c>
      <c r="I509" t="s">
        <v>1358</v>
      </c>
      <c r="J509" t="s">
        <v>1358</v>
      </c>
      <c r="K509" t="s">
        <v>1358</v>
      </c>
      <c r="L509" t="s">
        <v>1358</v>
      </c>
      <c r="N509" t="s">
        <v>1374</v>
      </c>
    </row>
    <row r="510" spans="1:14">
      <c r="A510" t="s">
        <v>1902</v>
      </c>
      <c r="B510">
        <f>HYPERLINK("https://github.com/apache/commons-math/commit/e571567af922731d3c01fe62c266c71994ee931b", "e571567af922731d3c01fe62c266c71994ee931b")</f>
        <v>0</v>
      </c>
      <c r="C510">
        <f>HYPERLINK("https://github.com/apache/commons-math/commit/c9f353cee21a636b8d32ab35319105b061cefcaf", "c9f353cee21a636b8d32ab35319105b061cefcaf")</f>
        <v>0</v>
      </c>
      <c r="D510" t="s">
        <v>2146</v>
      </c>
      <c r="E510" t="s">
        <v>2191</v>
      </c>
      <c r="F510" t="s">
        <v>2433</v>
      </c>
      <c r="G510" t="s">
        <v>2907</v>
      </c>
      <c r="H510" t="s">
        <v>3520</v>
      </c>
      <c r="I510" t="s">
        <v>1357</v>
      </c>
      <c r="J510" t="s">
        <v>1357</v>
      </c>
      <c r="K510" t="s">
        <v>1357</v>
      </c>
      <c r="L510" t="s">
        <v>1357</v>
      </c>
    </row>
    <row r="511" spans="1:14">
      <c r="H511" t="s">
        <v>3316</v>
      </c>
      <c r="I511" t="s">
        <v>1357</v>
      </c>
      <c r="J511" t="s">
        <v>1357</v>
      </c>
      <c r="K511" t="s">
        <v>1357</v>
      </c>
      <c r="L511" t="s">
        <v>1357</v>
      </c>
    </row>
    <row r="512" spans="1:14">
      <c r="H512" t="s">
        <v>3317</v>
      </c>
      <c r="I512" t="s">
        <v>1357</v>
      </c>
      <c r="J512" t="s">
        <v>1357</v>
      </c>
      <c r="K512" t="s">
        <v>1357</v>
      </c>
      <c r="L512" t="s">
        <v>1357</v>
      </c>
    </row>
    <row r="513" spans="8:12">
      <c r="H513" t="s">
        <v>3318</v>
      </c>
      <c r="I513" t="s">
        <v>1357</v>
      </c>
      <c r="J513" t="s">
        <v>1357</v>
      </c>
      <c r="K513" t="s">
        <v>1357</v>
      </c>
      <c r="L513" t="s">
        <v>1357</v>
      </c>
    </row>
    <row r="514" spans="8:12">
      <c r="H514" t="s">
        <v>3319</v>
      </c>
      <c r="I514" t="s">
        <v>1357</v>
      </c>
      <c r="J514" t="s">
        <v>1357</v>
      </c>
      <c r="K514" t="s">
        <v>1357</v>
      </c>
      <c r="L514" t="s">
        <v>1357</v>
      </c>
    </row>
    <row r="515" spans="8:12">
      <c r="H515" t="s">
        <v>3521</v>
      </c>
      <c r="I515" t="s">
        <v>1357</v>
      </c>
      <c r="J515" t="s">
        <v>1357</v>
      </c>
      <c r="K515" t="s">
        <v>1357</v>
      </c>
      <c r="L515" t="s">
        <v>1357</v>
      </c>
    </row>
    <row r="516" spans="8:12">
      <c r="H516" t="s">
        <v>3321</v>
      </c>
      <c r="I516" t="s">
        <v>1357</v>
      </c>
      <c r="J516" t="s">
        <v>1357</v>
      </c>
      <c r="K516" t="s">
        <v>1357</v>
      </c>
      <c r="L516" t="s">
        <v>1357</v>
      </c>
    </row>
    <row r="517" spans="8:12">
      <c r="H517" t="s">
        <v>3322</v>
      </c>
      <c r="I517" t="s">
        <v>1357</v>
      </c>
      <c r="J517" t="s">
        <v>1357</v>
      </c>
      <c r="K517" t="s">
        <v>1357</v>
      </c>
      <c r="L517" t="s">
        <v>1357</v>
      </c>
    </row>
    <row r="518" spans="8:12">
      <c r="H518" t="s">
        <v>3323</v>
      </c>
      <c r="I518" t="s">
        <v>1357</v>
      </c>
      <c r="J518" t="s">
        <v>1357</v>
      </c>
      <c r="K518" t="s">
        <v>1357</v>
      </c>
      <c r="L518" t="s">
        <v>1357</v>
      </c>
    </row>
    <row r="519" spans="8:12">
      <c r="H519" t="s">
        <v>3324</v>
      </c>
      <c r="I519" t="s">
        <v>1357</v>
      </c>
      <c r="J519" t="s">
        <v>1357</v>
      </c>
      <c r="K519" t="s">
        <v>1357</v>
      </c>
      <c r="L519" t="s">
        <v>1357</v>
      </c>
    </row>
    <row r="520" spans="8:12">
      <c r="H520" t="s">
        <v>3533</v>
      </c>
      <c r="I520" t="s">
        <v>1357</v>
      </c>
      <c r="J520" t="s">
        <v>1357</v>
      </c>
      <c r="K520" t="s">
        <v>1357</v>
      </c>
      <c r="L520" t="s">
        <v>1357</v>
      </c>
    </row>
    <row r="521" spans="8:12">
      <c r="H521" t="s">
        <v>3383</v>
      </c>
      <c r="I521" t="s">
        <v>1357</v>
      </c>
      <c r="J521" t="s">
        <v>1357</v>
      </c>
      <c r="K521" t="s">
        <v>1357</v>
      </c>
      <c r="L521" t="s">
        <v>1357</v>
      </c>
    </row>
    <row r="522" spans="8:12">
      <c r="H522" t="s">
        <v>3384</v>
      </c>
      <c r="I522" t="s">
        <v>1357</v>
      </c>
      <c r="J522" t="s">
        <v>1357</v>
      </c>
      <c r="K522" t="s">
        <v>1357</v>
      </c>
      <c r="L522" t="s">
        <v>1357</v>
      </c>
    </row>
    <row r="523" spans="8:12">
      <c r="H523" t="s">
        <v>3385</v>
      </c>
      <c r="I523" t="s">
        <v>1357</v>
      </c>
      <c r="J523" t="s">
        <v>1357</v>
      </c>
      <c r="K523" t="s">
        <v>1357</v>
      </c>
      <c r="L523" t="s">
        <v>1357</v>
      </c>
    </row>
    <row r="524" spans="8:12">
      <c r="H524" t="s">
        <v>3386</v>
      </c>
      <c r="I524" t="s">
        <v>1357</v>
      </c>
      <c r="J524" t="s">
        <v>1357</v>
      </c>
      <c r="K524" t="s">
        <v>1357</v>
      </c>
      <c r="L524" t="s">
        <v>1357</v>
      </c>
    </row>
    <row r="525" spans="8:12">
      <c r="H525" t="s">
        <v>3534</v>
      </c>
      <c r="I525" t="s">
        <v>1357</v>
      </c>
      <c r="J525" t="s">
        <v>1357</v>
      </c>
      <c r="K525" t="s">
        <v>1357</v>
      </c>
      <c r="L525" t="s">
        <v>1357</v>
      </c>
    </row>
    <row r="526" spans="8:12">
      <c r="H526" t="s">
        <v>3387</v>
      </c>
      <c r="I526" t="s">
        <v>1357</v>
      </c>
      <c r="J526" t="s">
        <v>1357</v>
      </c>
      <c r="K526" t="s">
        <v>1357</v>
      </c>
      <c r="L526" t="s">
        <v>1357</v>
      </c>
    </row>
    <row r="527" spans="8:12">
      <c r="H527" t="s">
        <v>3388</v>
      </c>
      <c r="I527" t="s">
        <v>1357</v>
      </c>
      <c r="J527" t="s">
        <v>1357</v>
      </c>
      <c r="K527" t="s">
        <v>1357</v>
      </c>
      <c r="L527" t="s">
        <v>1357</v>
      </c>
    </row>
    <row r="528" spans="8:12">
      <c r="H528" t="s">
        <v>3389</v>
      </c>
      <c r="I528" t="s">
        <v>1357</v>
      </c>
      <c r="J528" t="s">
        <v>1357</v>
      </c>
      <c r="K528" t="s">
        <v>1357</v>
      </c>
      <c r="L528" t="s">
        <v>1357</v>
      </c>
    </row>
    <row r="529" spans="1:12">
      <c r="H529" t="s">
        <v>3390</v>
      </c>
      <c r="I529" t="s">
        <v>1357</v>
      </c>
      <c r="J529" t="s">
        <v>1357</v>
      </c>
      <c r="K529" t="s">
        <v>1357</v>
      </c>
      <c r="L529" t="s">
        <v>1357</v>
      </c>
    </row>
    <row r="530" spans="1:12">
      <c r="H530" t="s">
        <v>3535</v>
      </c>
      <c r="I530" t="s">
        <v>1357</v>
      </c>
      <c r="J530" t="s">
        <v>1357</v>
      </c>
      <c r="K530" t="s">
        <v>1357</v>
      </c>
      <c r="L530" t="s">
        <v>1357</v>
      </c>
    </row>
    <row r="531" spans="1:12">
      <c r="H531" t="s">
        <v>3536</v>
      </c>
      <c r="I531" t="s">
        <v>1357</v>
      </c>
      <c r="J531" t="s">
        <v>1357</v>
      </c>
      <c r="K531" t="s">
        <v>1357</v>
      </c>
      <c r="L531" t="s">
        <v>1357</v>
      </c>
    </row>
    <row r="532" spans="1:12">
      <c r="H532" t="s">
        <v>3537</v>
      </c>
      <c r="I532" t="s">
        <v>1357</v>
      </c>
      <c r="J532" t="s">
        <v>1357</v>
      </c>
      <c r="K532" t="s">
        <v>1357</v>
      </c>
      <c r="L532" t="s">
        <v>1357</v>
      </c>
    </row>
    <row r="533" spans="1:12">
      <c r="H533" t="s">
        <v>3538</v>
      </c>
      <c r="I533" t="s">
        <v>1357</v>
      </c>
      <c r="J533" t="s">
        <v>1357</v>
      </c>
      <c r="K533" t="s">
        <v>1357</v>
      </c>
      <c r="L533" t="s">
        <v>1357</v>
      </c>
    </row>
    <row r="534" spans="1:12">
      <c r="H534" t="s">
        <v>3539</v>
      </c>
      <c r="I534" t="s">
        <v>1357</v>
      </c>
      <c r="J534" t="s">
        <v>1357</v>
      </c>
      <c r="K534" t="s">
        <v>1357</v>
      </c>
      <c r="L534" t="s">
        <v>1357</v>
      </c>
    </row>
    <row r="535" spans="1:12">
      <c r="H535" t="s">
        <v>3540</v>
      </c>
      <c r="I535" t="s">
        <v>1357</v>
      </c>
      <c r="J535" t="s">
        <v>1357</v>
      </c>
      <c r="K535" t="s">
        <v>1357</v>
      </c>
      <c r="L535" t="s">
        <v>1357</v>
      </c>
    </row>
    <row r="536" spans="1:12">
      <c r="A536" t="s">
        <v>1903</v>
      </c>
      <c r="B536">
        <f>HYPERLINK("https://github.com/apache/commons-math/commit/45224a8ead4295f0941720322a744b5f5318506a", "45224a8ead4295f0941720322a744b5f5318506a")</f>
        <v>0</v>
      </c>
      <c r="C536">
        <f>HYPERLINK("https://github.com/apache/commons-math/commit/15aac108f19c9a81edaaea3a08b370f4df0012fc", "15aac108f19c9a81edaaea3a08b370f4df0012fc")</f>
        <v>0</v>
      </c>
      <c r="D536" t="s">
        <v>2146</v>
      </c>
      <c r="E536" t="s">
        <v>2192</v>
      </c>
      <c r="F536" t="s">
        <v>2436</v>
      </c>
      <c r="G536" t="s">
        <v>2910</v>
      </c>
      <c r="H536" t="s">
        <v>3250</v>
      </c>
      <c r="I536" t="s">
        <v>1357</v>
      </c>
      <c r="J536" t="s">
        <v>1357</v>
      </c>
      <c r="K536" t="s">
        <v>1357</v>
      </c>
      <c r="L536" t="s">
        <v>1357</v>
      </c>
    </row>
    <row r="537" spans="1:12">
      <c r="H537" t="s">
        <v>3490</v>
      </c>
      <c r="I537" t="s">
        <v>1357</v>
      </c>
      <c r="J537" t="s">
        <v>1357</v>
      </c>
      <c r="K537" t="s">
        <v>1357</v>
      </c>
      <c r="L537" t="s">
        <v>1357</v>
      </c>
    </row>
    <row r="538" spans="1:12">
      <c r="H538" t="s">
        <v>3491</v>
      </c>
      <c r="I538" t="s">
        <v>1357</v>
      </c>
      <c r="J538" t="s">
        <v>1357</v>
      </c>
      <c r="K538" t="s">
        <v>1357</v>
      </c>
      <c r="L538" t="s">
        <v>1357</v>
      </c>
    </row>
    <row r="539" spans="1:12">
      <c r="H539" t="s">
        <v>3492</v>
      </c>
      <c r="I539" t="s">
        <v>1357</v>
      </c>
      <c r="J539" t="s">
        <v>1357</v>
      </c>
      <c r="K539" t="s">
        <v>1357</v>
      </c>
      <c r="L539" t="s">
        <v>1357</v>
      </c>
    </row>
    <row r="540" spans="1:12">
      <c r="H540" t="s">
        <v>3493</v>
      </c>
      <c r="I540" t="s">
        <v>1357</v>
      </c>
      <c r="J540" t="s">
        <v>1357</v>
      </c>
      <c r="K540" t="s">
        <v>1357</v>
      </c>
      <c r="L540" t="s">
        <v>1357</v>
      </c>
    </row>
    <row r="541" spans="1:12">
      <c r="H541" t="s">
        <v>1077</v>
      </c>
      <c r="I541" t="s">
        <v>1357</v>
      </c>
      <c r="J541" t="s">
        <v>1357</v>
      </c>
      <c r="K541" t="s">
        <v>1357</v>
      </c>
      <c r="L541" t="s">
        <v>1357</v>
      </c>
    </row>
    <row r="542" spans="1:12">
      <c r="A542" t="s">
        <v>1904</v>
      </c>
      <c r="B542">
        <f>HYPERLINK("https://github.com/apache/commons-math/commit/65b57b6018eda2b0f5a6eb7e7833bd96eb20e4b6", "65b57b6018eda2b0f5a6eb7e7833bd96eb20e4b6")</f>
        <v>0</v>
      </c>
      <c r="C542">
        <f>HYPERLINK("https://github.com/apache/commons-math/commit/27cbce332c2f3b17b8146295e53e87f773ddbd18", "27cbce332c2f3b17b8146295e53e87f773ddbd18")</f>
        <v>0</v>
      </c>
      <c r="D542" t="s">
        <v>2146</v>
      </c>
      <c r="E542" t="s">
        <v>2193</v>
      </c>
      <c r="F542" t="s">
        <v>2477</v>
      </c>
      <c r="G542" t="s">
        <v>2941</v>
      </c>
      <c r="H542" t="s">
        <v>3541</v>
      </c>
      <c r="I542" t="s">
        <v>1357</v>
      </c>
      <c r="J542" t="s">
        <v>1357</v>
      </c>
      <c r="K542" t="s">
        <v>1357</v>
      </c>
      <c r="L542" t="s">
        <v>1357</v>
      </c>
    </row>
    <row r="543" spans="1:12">
      <c r="H543" t="s">
        <v>3542</v>
      </c>
      <c r="I543" t="s">
        <v>1357</v>
      </c>
      <c r="J543" t="s">
        <v>1357</v>
      </c>
      <c r="K543" t="s">
        <v>1357</v>
      </c>
      <c r="L543" t="s">
        <v>1357</v>
      </c>
    </row>
    <row r="544" spans="1:12">
      <c r="A544" t="s">
        <v>1905</v>
      </c>
      <c r="B544">
        <f>HYPERLINK("https://github.com/apache/commons-math/commit/75dc4f119ab82b07ab1d73a2321fba7d1ce4630d", "75dc4f119ab82b07ab1d73a2321fba7d1ce4630d")</f>
        <v>0</v>
      </c>
      <c r="C544">
        <f>HYPERLINK("https://github.com/apache/commons-math/commit/fbae62101e5d0a04cfec3a6161652ee7ab05aa03", "fbae62101e5d0a04cfec3a6161652ee7ab05aa03")</f>
        <v>0</v>
      </c>
      <c r="D544" t="s">
        <v>2146</v>
      </c>
      <c r="E544" t="s">
        <v>2194</v>
      </c>
      <c r="F544" t="s">
        <v>2460</v>
      </c>
      <c r="G544" t="s">
        <v>2930</v>
      </c>
      <c r="H544" t="s">
        <v>3259</v>
      </c>
      <c r="I544" t="s">
        <v>1357</v>
      </c>
      <c r="J544" t="s">
        <v>1357</v>
      </c>
      <c r="K544" t="s">
        <v>1357</v>
      </c>
      <c r="L544" t="s">
        <v>1357</v>
      </c>
    </row>
    <row r="545" spans="1:12">
      <c r="H545" t="s">
        <v>3260</v>
      </c>
      <c r="I545" t="s">
        <v>1357</v>
      </c>
      <c r="J545" t="s">
        <v>1357</v>
      </c>
      <c r="K545" t="s">
        <v>1357</v>
      </c>
      <c r="L545" t="s">
        <v>1357</v>
      </c>
    </row>
    <row r="546" spans="1:12">
      <c r="A546" t="s">
        <v>1906</v>
      </c>
      <c r="B546">
        <f>HYPERLINK("https://github.com/apache/commons-math/commit/c528c90ae914cd30734fb0c7c5254fcd4174a00d", "c528c90ae914cd30734fb0c7c5254fcd4174a00d")</f>
        <v>0</v>
      </c>
      <c r="C546">
        <f>HYPERLINK("https://github.com/apache/commons-math/commit/7ae35df8c0671774622e0fe7efacbe81086fa83e", "7ae35df8c0671774622e0fe7efacbe81086fa83e")</f>
        <v>0</v>
      </c>
      <c r="D546" t="s">
        <v>2147</v>
      </c>
      <c r="E546" t="s">
        <v>2195</v>
      </c>
      <c r="F546" t="s">
        <v>2481</v>
      </c>
      <c r="G546" t="s">
        <v>2944</v>
      </c>
      <c r="H546" t="s">
        <v>3543</v>
      </c>
      <c r="I546" t="s">
        <v>1357</v>
      </c>
      <c r="J546" t="s">
        <v>1357</v>
      </c>
      <c r="K546" t="s">
        <v>1357</v>
      </c>
      <c r="L546" t="s">
        <v>1357</v>
      </c>
    </row>
    <row r="547" spans="1:12">
      <c r="H547" t="s">
        <v>3544</v>
      </c>
      <c r="I547" t="s">
        <v>1357</v>
      </c>
      <c r="J547" t="s">
        <v>1357</v>
      </c>
      <c r="K547" t="s">
        <v>1357</v>
      </c>
      <c r="L547" t="s">
        <v>1357</v>
      </c>
    </row>
    <row r="548" spans="1:12">
      <c r="H548" t="s">
        <v>3545</v>
      </c>
      <c r="I548" t="s">
        <v>1357</v>
      </c>
      <c r="J548" t="s">
        <v>1357</v>
      </c>
      <c r="K548" t="s">
        <v>1357</v>
      </c>
      <c r="L548" t="s">
        <v>1357</v>
      </c>
    </row>
    <row r="549" spans="1:12">
      <c r="H549" t="s">
        <v>3546</v>
      </c>
      <c r="I549" t="s">
        <v>1357</v>
      </c>
      <c r="J549" t="s">
        <v>1357</v>
      </c>
      <c r="K549" t="s">
        <v>1357</v>
      </c>
      <c r="L549" t="s">
        <v>1357</v>
      </c>
    </row>
    <row r="550" spans="1:12">
      <c r="H550" t="s">
        <v>3547</v>
      </c>
      <c r="I550" t="s">
        <v>1357</v>
      </c>
      <c r="J550" t="s">
        <v>1357</v>
      </c>
      <c r="K550" t="s">
        <v>1357</v>
      </c>
      <c r="L550" t="s">
        <v>1357</v>
      </c>
    </row>
    <row r="551" spans="1:12">
      <c r="H551" t="s">
        <v>3548</v>
      </c>
      <c r="I551" t="s">
        <v>1357</v>
      </c>
      <c r="J551" t="s">
        <v>1357</v>
      </c>
      <c r="K551" t="s">
        <v>1357</v>
      </c>
      <c r="L551" t="s">
        <v>1357</v>
      </c>
    </row>
    <row r="552" spans="1:12">
      <c r="H552" t="s">
        <v>3549</v>
      </c>
      <c r="I552" t="s">
        <v>1357</v>
      </c>
      <c r="J552" t="s">
        <v>1357</v>
      </c>
      <c r="K552" t="s">
        <v>1357</v>
      </c>
      <c r="L552" t="s">
        <v>1357</v>
      </c>
    </row>
    <row r="553" spans="1:12">
      <c r="H553" t="s">
        <v>3550</v>
      </c>
      <c r="I553" t="s">
        <v>1357</v>
      </c>
      <c r="J553" t="s">
        <v>1357</v>
      </c>
      <c r="K553" t="s">
        <v>1357</v>
      </c>
      <c r="L553" t="s">
        <v>1357</v>
      </c>
    </row>
    <row r="554" spans="1:12">
      <c r="H554" t="s">
        <v>3551</v>
      </c>
      <c r="I554" t="s">
        <v>1357</v>
      </c>
      <c r="J554" t="s">
        <v>1357</v>
      </c>
      <c r="K554" t="s">
        <v>1357</v>
      </c>
      <c r="L554" t="s">
        <v>1357</v>
      </c>
    </row>
    <row r="555" spans="1:12">
      <c r="H555" t="s">
        <v>3552</v>
      </c>
      <c r="I555" t="s">
        <v>1357</v>
      </c>
      <c r="J555" t="s">
        <v>1357</v>
      </c>
      <c r="K555" t="s">
        <v>1357</v>
      </c>
      <c r="L555" t="s">
        <v>1357</v>
      </c>
    </row>
    <row r="556" spans="1:12">
      <c r="H556" t="s">
        <v>3553</v>
      </c>
      <c r="I556" t="s">
        <v>1357</v>
      </c>
      <c r="J556" t="s">
        <v>1357</v>
      </c>
      <c r="K556" t="s">
        <v>1357</v>
      </c>
      <c r="L556" t="s">
        <v>1357</v>
      </c>
    </row>
    <row r="557" spans="1:12">
      <c r="H557" t="s">
        <v>3554</v>
      </c>
      <c r="I557" t="s">
        <v>1357</v>
      </c>
      <c r="J557" t="s">
        <v>1357</v>
      </c>
      <c r="K557" t="s">
        <v>1357</v>
      </c>
      <c r="L557" t="s">
        <v>1357</v>
      </c>
    </row>
    <row r="558" spans="1:12">
      <c r="H558" t="s">
        <v>3555</v>
      </c>
      <c r="I558" t="s">
        <v>1357</v>
      </c>
      <c r="J558" t="s">
        <v>1357</v>
      </c>
      <c r="K558" t="s">
        <v>1357</v>
      </c>
      <c r="L558" t="s">
        <v>1357</v>
      </c>
    </row>
    <row r="559" spans="1:12">
      <c r="H559" t="s">
        <v>3556</v>
      </c>
      <c r="I559" t="s">
        <v>1357</v>
      </c>
      <c r="J559" t="s">
        <v>1357</v>
      </c>
      <c r="K559" t="s">
        <v>1357</v>
      </c>
      <c r="L559" t="s">
        <v>1357</v>
      </c>
    </row>
    <row r="560" spans="1:12">
      <c r="H560" t="s">
        <v>3557</v>
      </c>
      <c r="I560" t="s">
        <v>1357</v>
      </c>
      <c r="J560" t="s">
        <v>1357</v>
      </c>
      <c r="K560" t="s">
        <v>1357</v>
      </c>
      <c r="L560" t="s">
        <v>1357</v>
      </c>
    </row>
    <row r="561" spans="8:12">
      <c r="H561" t="s">
        <v>3558</v>
      </c>
      <c r="I561" t="s">
        <v>1357</v>
      </c>
      <c r="J561" t="s">
        <v>1357</v>
      </c>
      <c r="K561" t="s">
        <v>1357</v>
      </c>
      <c r="L561" t="s">
        <v>1357</v>
      </c>
    </row>
    <row r="562" spans="8:12">
      <c r="H562" t="s">
        <v>3559</v>
      </c>
      <c r="I562" t="s">
        <v>1357</v>
      </c>
      <c r="J562" t="s">
        <v>1357</v>
      </c>
      <c r="K562" t="s">
        <v>1357</v>
      </c>
      <c r="L562" t="s">
        <v>1357</v>
      </c>
    </row>
    <row r="563" spans="8:12">
      <c r="H563" t="s">
        <v>3560</v>
      </c>
      <c r="I563" t="s">
        <v>1357</v>
      </c>
      <c r="J563" t="s">
        <v>1357</v>
      </c>
      <c r="K563" t="s">
        <v>1357</v>
      </c>
      <c r="L563" t="s">
        <v>1357</v>
      </c>
    </row>
    <row r="564" spans="8:12">
      <c r="H564" t="s">
        <v>3561</v>
      </c>
      <c r="I564" t="s">
        <v>1357</v>
      </c>
      <c r="J564" t="s">
        <v>1357</v>
      </c>
      <c r="K564" t="s">
        <v>1357</v>
      </c>
      <c r="L564" t="s">
        <v>1357</v>
      </c>
    </row>
    <row r="565" spans="8:12">
      <c r="H565" t="s">
        <v>3562</v>
      </c>
      <c r="I565" t="s">
        <v>1357</v>
      </c>
      <c r="J565" t="s">
        <v>1357</v>
      </c>
      <c r="K565" t="s">
        <v>1357</v>
      </c>
      <c r="L565" t="s">
        <v>1357</v>
      </c>
    </row>
    <row r="566" spans="8:12">
      <c r="H566" t="s">
        <v>3563</v>
      </c>
      <c r="I566" t="s">
        <v>1357</v>
      </c>
      <c r="J566" t="s">
        <v>1357</v>
      </c>
      <c r="K566" t="s">
        <v>1357</v>
      </c>
      <c r="L566" t="s">
        <v>1357</v>
      </c>
    </row>
    <row r="567" spans="8:12">
      <c r="H567" t="s">
        <v>3564</v>
      </c>
      <c r="I567" t="s">
        <v>1357</v>
      </c>
      <c r="J567" t="s">
        <v>1357</v>
      </c>
      <c r="K567" t="s">
        <v>1357</v>
      </c>
      <c r="L567" t="s">
        <v>1357</v>
      </c>
    </row>
    <row r="568" spans="8:12">
      <c r="H568" t="s">
        <v>3565</v>
      </c>
      <c r="I568" t="s">
        <v>1357</v>
      </c>
      <c r="J568" t="s">
        <v>1357</v>
      </c>
      <c r="K568" t="s">
        <v>1357</v>
      </c>
      <c r="L568" t="s">
        <v>1357</v>
      </c>
    </row>
    <row r="569" spans="8:12">
      <c r="H569" t="s">
        <v>3566</v>
      </c>
      <c r="I569" t="s">
        <v>1357</v>
      </c>
      <c r="J569" t="s">
        <v>1357</v>
      </c>
      <c r="K569" t="s">
        <v>1357</v>
      </c>
      <c r="L569" t="s">
        <v>1357</v>
      </c>
    </row>
    <row r="570" spans="8:12">
      <c r="H570" t="s">
        <v>3567</v>
      </c>
      <c r="I570" t="s">
        <v>1357</v>
      </c>
      <c r="J570" t="s">
        <v>1357</v>
      </c>
      <c r="K570" t="s">
        <v>1357</v>
      </c>
      <c r="L570" t="s">
        <v>1357</v>
      </c>
    </row>
    <row r="571" spans="8:12">
      <c r="H571" t="s">
        <v>3568</v>
      </c>
      <c r="I571" t="s">
        <v>1357</v>
      </c>
      <c r="J571" t="s">
        <v>1357</v>
      </c>
      <c r="K571" t="s">
        <v>1357</v>
      </c>
      <c r="L571" t="s">
        <v>1357</v>
      </c>
    </row>
    <row r="572" spans="8:12">
      <c r="H572" t="s">
        <v>3569</v>
      </c>
      <c r="I572" t="s">
        <v>1357</v>
      </c>
      <c r="J572" t="s">
        <v>1357</v>
      </c>
      <c r="K572" t="s">
        <v>1357</v>
      </c>
      <c r="L572" t="s">
        <v>1357</v>
      </c>
    </row>
    <row r="573" spans="8:12">
      <c r="H573" t="s">
        <v>3570</v>
      </c>
      <c r="I573" t="s">
        <v>1357</v>
      </c>
      <c r="J573" t="s">
        <v>1357</v>
      </c>
      <c r="K573" t="s">
        <v>1357</v>
      </c>
      <c r="L573" t="s">
        <v>1357</v>
      </c>
    </row>
    <row r="574" spans="8:12">
      <c r="H574" t="s">
        <v>3571</v>
      </c>
      <c r="I574" t="s">
        <v>1357</v>
      </c>
      <c r="J574" t="s">
        <v>1357</v>
      </c>
      <c r="K574" t="s">
        <v>1357</v>
      </c>
      <c r="L574" t="s">
        <v>1357</v>
      </c>
    </row>
    <row r="575" spans="8:12">
      <c r="H575" t="s">
        <v>3572</v>
      </c>
      <c r="I575" t="s">
        <v>1357</v>
      </c>
      <c r="J575" t="s">
        <v>1357</v>
      </c>
      <c r="K575" t="s">
        <v>1357</v>
      </c>
      <c r="L575" t="s">
        <v>1357</v>
      </c>
    </row>
    <row r="576" spans="8:12">
      <c r="H576" t="s">
        <v>3573</v>
      </c>
      <c r="I576" t="s">
        <v>1357</v>
      </c>
      <c r="J576" t="s">
        <v>1357</v>
      </c>
      <c r="K576" t="s">
        <v>1357</v>
      </c>
      <c r="L576" t="s">
        <v>1357</v>
      </c>
    </row>
    <row r="577" spans="1:12">
      <c r="H577" t="s">
        <v>3574</v>
      </c>
      <c r="I577" t="s">
        <v>1357</v>
      </c>
      <c r="J577" t="s">
        <v>1357</v>
      </c>
      <c r="K577" t="s">
        <v>1357</v>
      </c>
      <c r="L577" t="s">
        <v>1357</v>
      </c>
    </row>
    <row r="578" spans="1:12">
      <c r="H578" t="s">
        <v>859</v>
      </c>
      <c r="I578" t="s">
        <v>1357</v>
      </c>
      <c r="J578" t="s">
        <v>1357</v>
      </c>
      <c r="K578" t="s">
        <v>1357</v>
      </c>
      <c r="L578" t="s">
        <v>1357</v>
      </c>
    </row>
    <row r="579" spans="1:12">
      <c r="H579" t="s">
        <v>863</v>
      </c>
      <c r="I579" t="s">
        <v>1357</v>
      </c>
      <c r="J579" t="s">
        <v>1357</v>
      </c>
      <c r="K579" t="s">
        <v>1357</v>
      </c>
      <c r="L579" t="s">
        <v>1357</v>
      </c>
    </row>
    <row r="580" spans="1:12">
      <c r="A580" t="s">
        <v>1907</v>
      </c>
      <c r="B580">
        <f>HYPERLINK("https://github.com/apache/commons-math/commit/488ed27c25ef5c2900001021cab50636ebc65c28", "488ed27c25ef5c2900001021cab50636ebc65c28")</f>
        <v>0</v>
      </c>
      <c r="C580">
        <f>HYPERLINK("https://github.com/apache/commons-math/commit/0d564ce2f102e5bf453b2b242bc0137a89068987", "0d564ce2f102e5bf453b2b242bc0137a89068987")</f>
        <v>0</v>
      </c>
      <c r="D580" t="s">
        <v>2146</v>
      </c>
      <c r="E580" t="s">
        <v>2196</v>
      </c>
      <c r="F580" t="s">
        <v>2449</v>
      </c>
      <c r="G580" t="s">
        <v>2922</v>
      </c>
      <c r="H580" t="s">
        <v>3406</v>
      </c>
      <c r="I580" t="s">
        <v>1359</v>
      </c>
      <c r="J580" t="s">
        <v>1358</v>
      </c>
      <c r="K580" t="s">
        <v>1358</v>
      </c>
      <c r="L580" t="s">
        <v>1357</v>
      </c>
    </row>
    <row r="581" spans="1:12">
      <c r="A581" t="s">
        <v>1908</v>
      </c>
      <c r="B581">
        <f>HYPERLINK("https://github.com/apache/commons-math/commit/20a6b4de56fa812cae5753d3e2595b3882d2df17", "20a6b4de56fa812cae5753d3e2595b3882d2df17")</f>
        <v>0</v>
      </c>
      <c r="C581">
        <f>HYPERLINK("https://github.com/apache/commons-math/commit/4bd409554cff04b6957170437b2c060b7d48b9e9", "4bd409554cff04b6957170437b2c060b7d48b9e9")</f>
        <v>0</v>
      </c>
      <c r="D581" t="s">
        <v>2146</v>
      </c>
      <c r="E581" t="s">
        <v>2197</v>
      </c>
      <c r="F581" t="s">
        <v>2482</v>
      </c>
      <c r="G581" t="s">
        <v>2945</v>
      </c>
      <c r="H581" t="s">
        <v>3406</v>
      </c>
      <c r="I581" t="s">
        <v>1357</v>
      </c>
      <c r="J581" t="s">
        <v>1357</v>
      </c>
      <c r="K581" t="s">
        <v>1357</v>
      </c>
      <c r="L581" t="s">
        <v>1357</v>
      </c>
    </row>
    <row r="582" spans="1:12">
      <c r="A582" t="s">
        <v>1909</v>
      </c>
      <c r="B582">
        <f>HYPERLINK("https://github.com/apache/commons-math/commit/6e57f9a1bada3577e81997a209304db0911e12c4", "6e57f9a1bada3577e81997a209304db0911e12c4")</f>
        <v>0</v>
      </c>
      <c r="C582">
        <f>HYPERLINK("https://github.com/apache/commons-math/commit/ab2028cdfca40fcb8b2d69663ecac0bb98d1f30b", "ab2028cdfca40fcb8b2d69663ecac0bb98d1f30b")</f>
        <v>0</v>
      </c>
      <c r="D582" t="s">
        <v>2146</v>
      </c>
      <c r="E582" t="s">
        <v>2198</v>
      </c>
      <c r="F582" t="s">
        <v>2483</v>
      </c>
      <c r="G582" t="s">
        <v>2946</v>
      </c>
      <c r="H582" t="s">
        <v>3283</v>
      </c>
      <c r="I582" t="s">
        <v>1357</v>
      </c>
      <c r="J582" t="s">
        <v>1357</v>
      </c>
      <c r="K582" t="s">
        <v>1357</v>
      </c>
      <c r="L582" t="s">
        <v>1357</v>
      </c>
    </row>
    <row r="583" spans="1:12">
      <c r="H583" t="s">
        <v>3284</v>
      </c>
      <c r="I583" t="s">
        <v>1357</v>
      </c>
      <c r="J583" t="s">
        <v>1357</v>
      </c>
      <c r="K583" t="s">
        <v>1357</v>
      </c>
      <c r="L583" t="s">
        <v>1357</v>
      </c>
    </row>
    <row r="584" spans="1:12">
      <c r="F584" t="s">
        <v>2484</v>
      </c>
      <c r="G584" t="s">
        <v>2947</v>
      </c>
      <c r="H584" t="s">
        <v>3283</v>
      </c>
      <c r="I584" t="s">
        <v>1357</v>
      </c>
      <c r="J584" t="s">
        <v>1357</v>
      </c>
      <c r="K584" t="s">
        <v>1357</v>
      </c>
      <c r="L584" t="s">
        <v>1357</v>
      </c>
    </row>
    <row r="585" spans="1:12">
      <c r="H585" t="s">
        <v>3284</v>
      </c>
      <c r="I585" t="s">
        <v>1357</v>
      </c>
      <c r="J585" t="s">
        <v>1357</v>
      </c>
      <c r="K585" t="s">
        <v>1357</v>
      </c>
      <c r="L585" t="s">
        <v>1357</v>
      </c>
    </row>
    <row r="586" spans="1:12">
      <c r="A586" t="s">
        <v>1910</v>
      </c>
      <c r="B586">
        <f>HYPERLINK("https://github.com/apache/commons-math/commit/1d1e19921ccc1ec10ba3a20212efc1f5c1d0f155", "1d1e19921ccc1ec10ba3a20212efc1f5c1d0f155")</f>
        <v>0</v>
      </c>
      <c r="C586">
        <f>HYPERLINK("https://github.com/apache/commons-math/commit/05195b77ca8d86fbb4fdd9216f436d8b7f3a57de", "05195b77ca8d86fbb4fdd9216f436d8b7f3a57de")</f>
        <v>0</v>
      </c>
      <c r="D586" t="s">
        <v>2146</v>
      </c>
      <c r="E586" t="s">
        <v>2199</v>
      </c>
      <c r="F586" t="s">
        <v>2485</v>
      </c>
      <c r="G586" t="s">
        <v>2948</v>
      </c>
      <c r="H586" t="s">
        <v>3575</v>
      </c>
      <c r="I586" t="s">
        <v>1357</v>
      </c>
      <c r="J586" t="s">
        <v>1357</v>
      </c>
      <c r="K586" t="s">
        <v>1357</v>
      </c>
      <c r="L586" t="s">
        <v>1357</v>
      </c>
    </row>
    <row r="587" spans="1:12">
      <c r="A587" t="s">
        <v>1911</v>
      </c>
      <c r="B587">
        <f>HYPERLINK("https://github.com/apache/commons-math/commit/cc73bfb42fa86c01e37a1b7021b1ab41e0f0cb63", "cc73bfb42fa86c01e37a1b7021b1ab41e0f0cb63")</f>
        <v>0</v>
      </c>
      <c r="C587">
        <f>HYPERLINK("https://github.com/apache/commons-math/commit/8242bc26448f3d92ecc0e16fbc8b57dda9295e41", "8242bc26448f3d92ecc0e16fbc8b57dda9295e41")</f>
        <v>0</v>
      </c>
      <c r="D587" t="s">
        <v>2146</v>
      </c>
      <c r="E587" t="s">
        <v>2200</v>
      </c>
      <c r="F587" t="s">
        <v>2486</v>
      </c>
      <c r="G587" t="s">
        <v>2949</v>
      </c>
      <c r="H587" t="s">
        <v>3576</v>
      </c>
      <c r="I587" t="s">
        <v>1357</v>
      </c>
      <c r="J587" t="s">
        <v>1357</v>
      </c>
      <c r="K587" t="s">
        <v>1357</v>
      </c>
      <c r="L587" t="s">
        <v>1357</v>
      </c>
    </row>
    <row r="588" spans="1:12">
      <c r="H588" t="s">
        <v>3577</v>
      </c>
      <c r="I588" t="s">
        <v>1357</v>
      </c>
      <c r="J588" t="s">
        <v>1357</v>
      </c>
      <c r="K588" t="s">
        <v>1357</v>
      </c>
      <c r="L588" t="s">
        <v>1357</v>
      </c>
    </row>
    <row r="589" spans="1:12">
      <c r="H589" t="s">
        <v>3578</v>
      </c>
      <c r="I589" t="s">
        <v>1357</v>
      </c>
      <c r="J589" t="s">
        <v>1357</v>
      </c>
      <c r="K589" t="s">
        <v>1357</v>
      </c>
      <c r="L589" t="s">
        <v>1357</v>
      </c>
    </row>
    <row r="590" spans="1:12">
      <c r="H590" t="s">
        <v>3579</v>
      </c>
      <c r="I590" t="s">
        <v>1357</v>
      </c>
      <c r="J590" t="s">
        <v>1357</v>
      </c>
      <c r="K590" t="s">
        <v>1357</v>
      </c>
      <c r="L590" t="s">
        <v>1357</v>
      </c>
    </row>
    <row r="591" spans="1:12">
      <c r="H591" t="s">
        <v>3580</v>
      </c>
      <c r="I591" t="s">
        <v>1357</v>
      </c>
      <c r="J591" t="s">
        <v>1357</v>
      </c>
      <c r="K591" t="s">
        <v>1357</v>
      </c>
      <c r="L591" t="s">
        <v>1357</v>
      </c>
    </row>
    <row r="592" spans="1:12">
      <c r="H592" t="s">
        <v>3581</v>
      </c>
      <c r="I592" t="s">
        <v>1357</v>
      </c>
      <c r="J592" t="s">
        <v>1357</v>
      </c>
      <c r="K592" t="s">
        <v>1357</v>
      </c>
      <c r="L592" t="s">
        <v>1357</v>
      </c>
    </row>
    <row r="593" spans="1:12">
      <c r="H593" t="s">
        <v>3582</v>
      </c>
      <c r="I593" t="s">
        <v>1357</v>
      </c>
      <c r="J593" t="s">
        <v>1357</v>
      </c>
      <c r="K593" t="s">
        <v>1357</v>
      </c>
      <c r="L593" t="s">
        <v>1357</v>
      </c>
    </row>
    <row r="594" spans="1:12">
      <c r="H594" t="s">
        <v>3583</v>
      </c>
      <c r="I594" t="s">
        <v>1357</v>
      </c>
      <c r="J594" t="s">
        <v>1357</v>
      </c>
      <c r="K594" t="s">
        <v>1357</v>
      </c>
      <c r="L594" t="s">
        <v>1357</v>
      </c>
    </row>
    <row r="595" spans="1:12">
      <c r="H595" t="s">
        <v>3584</v>
      </c>
      <c r="I595" t="s">
        <v>1357</v>
      </c>
      <c r="J595" t="s">
        <v>1357</v>
      </c>
      <c r="K595" t="s">
        <v>1357</v>
      </c>
      <c r="L595" t="s">
        <v>1357</v>
      </c>
    </row>
    <row r="596" spans="1:12">
      <c r="H596" t="s">
        <v>3585</v>
      </c>
      <c r="I596" t="s">
        <v>1357</v>
      </c>
      <c r="J596" t="s">
        <v>1357</v>
      </c>
      <c r="K596" t="s">
        <v>1357</v>
      </c>
      <c r="L596" t="s">
        <v>1357</v>
      </c>
    </row>
    <row r="597" spans="1:12">
      <c r="H597" t="s">
        <v>3586</v>
      </c>
      <c r="I597" t="s">
        <v>1357</v>
      </c>
      <c r="J597" t="s">
        <v>1357</v>
      </c>
      <c r="K597" t="s">
        <v>1357</v>
      </c>
      <c r="L597" t="s">
        <v>1357</v>
      </c>
    </row>
    <row r="598" spans="1:12">
      <c r="H598" t="s">
        <v>3587</v>
      </c>
      <c r="I598" t="s">
        <v>1357</v>
      </c>
      <c r="J598" t="s">
        <v>1357</v>
      </c>
      <c r="K598" t="s">
        <v>1357</v>
      </c>
      <c r="L598" t="s">
        <v>1357</v>
      </c>
    </row>
    <row r="599" spans="1:12">
      <c r="H599" t="s">
        <v>3588</v>
      </c>
      <c r="I599" t="s">
        <v>1357</v>
      </c>
      <c r="J599" t="s">
        <v>1357</v>
      </c>
      <c r="K599" t="s">
        <v>1357</v>
      </c>
      <c r="L599" t="s">
        <v>1357</v>
      </c>
    </row>
    <row r="600" spans="1:12">
      <c r="H600" t="s">
        <v>3589</v>
      </c>
      <c r="I600" t="s">
        <v>1357</v>
      </c>
      <c r="J600" t="s">
        <v>1357</v>
      </c>
      <c r="K600" t="s">
        <v>1357</v>
      </c>
      <c r="L600" t="s">
        <v>1357</v>
      </c>
    </row>
    <row r="601" spans="1:12">
      <c r="H601" t="s">
        <v>3590</v>
      </c>
      <c r="I601" t="s">
        <v>1357</v>
      </c>
      <c r="J601" t="s">
        <v>1357</v>
      </c>
      <c r="K601" t="s">
        <v>1357</v>
      </c>
      <c r="L601" t="s">
        <v>1357</v>
      </c>
    </row>
    <row r="602" spans="1:12">
      <c r="H602" t="s">
        <v>3591</v>
      </c>
      <c r="I602" t="s">
        <v>1357</v>
      </c>
      <c r="J602" t="s">
        <v>1357</v>
      </c>
      <c r="K602" t="s">
        <v>1357</v>
      </c>
      <c r="L602" t="s">
        <v>1357</v>
      </c>
    </row>
    <row r="603" spans="1:12">
      <c r="H603" t="s">
        <v>3592</v>
      </c>
      <c r="I603" t="s">
        <v>1357</v>
      </c>
      <c r="J603" t="s">
        <v>1357</v>
      </c>
      <c r="K603" t="s">
        <v>1357</v>
      </c>
      <c r="L603" t="s">
        <v>1357</v>
      </c>
    </row>
    <row r="604" spans="1:12">
      <c r="H604" t="s">
        <v>3593</v>
      </c>
      <c r="I604" t="s">
        <v>1357</v>
      </c>
      <c r="J604" t="s">
        <v>1357</v>
      </c>
      <c r="K604" t="s">
        <v>1357</v>
      </c>
      <c r="L604" t="s">
        <v>1357</v>
      </c>
    </row>
    <row r="605" spans="1:12">
      <c r="F605" t="s">
        <v>2487</v>
      </c>
      <c r="G605" t="s">
        <v>2950</v>
      </c>
      <c r="H605" t="s">
        <v>3594</v>
      </c>
      <c r="I605" t="s">
        <v>1357</v>
      </c>
      <c r="J605" t="s">
        <v>1357</v>
      </c>
      <c r="K605" t="s">
        <v>1357</v>
      </c>
      <c r="L605" t="s">
        <v>1357</v>
      </c>
    </row>
    <row r="606" spans="1:12">
      <c r="H606" t="s">
        <v>3595</v>
      </c>
      <c r="I606" t="s">
        <v>1357</v>
      </c>
      <c r="J606" t="s">
        <v>1357</v>
      </c>
      <c r="K606" t="s">
        <v>1357</v>
      </c>
      <c r="L606" t="s">
        <v>1357</v>
      </c>
    </row>
    <row r="607" spans="1:12">
      <c r="A607" t="s">
        <v>1912</v>
      </c>
      <c r="B607">
        <f>HYPERLINK("https://github.com/apache/commons-math/commit/15d96cbafda499c3a41203c695bfe314d1db9b74", "15d96cbafda499c3a41203c695bfe314d1db9b74")</f>
        <v>0</v>
      </c>
      <c r="C607">
        <f>HYPERLINK("https://github.com/apache/commons-math/commit/2a4219105eb7abc98bc393ebae4422cbcad11b1e", "2a4219105eb7abc98bc393ebae4422cbcad11b1e")</f>
        <v>0</v>
      </c>
      <c r="D607" t="s">
        <v>2148</v>
      </c>
      <c r="E607" t="s">
        <v>2201</v>
      </c>
      <c r="F607" t="s">
        <v>2488</v>
      </c>
      <c r="G607" t="s">
        <v>2951</v>
      </c>
      <c r="H607" t="s">
        <v>3596</v>
      </c>
      <c r="I607" t="s">
        <v>1357</v>
      </c>
      <c r="J607" t="s">
        <v>1357</v>
      </c>
      <c r="K607" t="s">
        <v>1357</v>
      </c>
      <c r="L607" t="s">
        <v>1357</v>
      </c>
    </row>
    <row r="608" spans="1:12">
      <c r="H608" t="s">
        <v>3597</v>
      </c>
      <c r="I608" t="s">
        <v>1357</v>
      </c>
      <c r="J608" t="s">
        <v>1357</v>
      </c>
      <c r="K608" t="s">
        <v>1357</v>
      </c>
      <c r="L608" t="s">
        <v>1357</v>
      </c>
    </row>
    <row r="609" spans="1:12">
      <c r="H609" t="s">
        <v>3598</v>
      </c>
      <c r="I609" t="s">
        <v>1357</v>
      </c>
      <c r="J609" t="s">
        <v>1357</v>
      </c>
      <c r="K609" t="s">
        <v>1357</v>
      </c>
      <c r="L609" t="s">
        <v>1357</v>
      </c>
    </row>
    <row r="610" spans="1:12">
      <c r="F610" t="s">
        <v>2489</v>
      </c>
      <c r="G610" t="s">
        <v>2952</v>
      </c>
      <c r="H610" t="s">
        <v>3599</v>
      </c>
      <c r="I610" t="s">
        <v>1357</v>
      </c>
      <c r="J610" t="s">
        <v>1357</v>
      </c>
      <c r="K610" t="s">
        <v>1357</v>
      </c>
      <c r="L610" t="s">
        <v>1357</v>
      </c>
    </row>
    <row r="611" spans="1:12">
      <c r="H611" t="s">
        <v>3600</v>
      </c>
      <c r="I611" t="s">
        <v>1357</v>
      </c>
      <c r="J611" t="s">
        <v>1357</v>
      </c>
      <c r="K611" t="s">
        <v>1357</v>
      </c>
      <c r="L611" t="s">
        <v>1357</v>
      </c>
    </row>
    <row r="612" spans="1:12">
      <c r="A612" t="s">
        <v>1913</v>
      </c>
      <c r="B612">
        <f>HYPERLINK("https://github.com/apache/commons-math/commit/7f8c5e256211085edcb5180310e7b6ec6a63b588", "7f8c5e256211085edcb5180310e7b6ec6a63b588")</f>
        <v>0</v>
      </c>
      <c r="C612">
        <f>HYPERLINK("https://github.com/apache/commons-math/commit/b4bbd4672eb805abd027ba13fb00d6231a9322ff", "b4bbd4672eb805abd027ba13fb00d6231a9322ff")</f>
        <v>0</v>
      </c>
      <c r="D612" t="s">
        <v>2148</v>
      </c>
      <c r="E612" t="s">
        <v>2202</v>
      </c>
      <c r="F612" t="s">
        <v>2484</v>
      </c>
      <c r="G612" t="s">
        <v>2947</v>
      </c>
      <c r="H612" t="s">
        <v>795</v>
      </c>
      <c r="I612" t="s">
        <v>1357</v>
      </c>
      <c r="J612" t="s">
        <v>1357</v>
      </c>
      <c r="K612" t="s">
        <v>1357</v>
      </c>
      <c r="L612" t="s">
        <v>1357</v>
      </c>
    </row>
    <row r="613" spans="1:12">
      <c r="A613" t="s">
        <v>1914</v>
      </c>
      <c r="B613">
        <f>HYPERLINK("https://github.com/apache/commons-math/commit/f3b02ccea3be696a8fc0d3f6d0cabcc7b718eb97", "f3b02ccea3be696a8fc0d3f6d0cabcc7b718eb97")</f>
        <v>0</v>
      </c>
      <c r="C613">
        <f>HYPERLINK("https://github.com/apache/commons-math/commit/7f8c5e256211085edcb5180310e7b6ec6a63b588", "7f8c5e256211085edcb5180310e7b6ec6a63b588")</f>
        <v>0</v>
      </c>
      <c r="D613" t="s">
        <v>2148</v>
      </c>
      <c r="E613" t="s">
        <v>2203</v>
      </c>
      <c r="F613" t="s">
        <v>2490</v>
      </c>
      <c r="G613" t="s">
        <v>2953</v>
      </c>
      <c r="H613" t="s">
        <v>3601</v>
      </c>
      <c r="I613" t="s">
        <v>1357</v>
      </c>
      <c r="J613" t="s">
        <v>1357</v>
      </c>
      <c r="K613" t="s">
        <v>1357</v>
      </c>
      <c r="L613" t="s">
        <v>1357</v>
      </c>
    </row>
    <row r="614" spans="1:12">
      <c r="H614" t="s">
        <v>3602</v>
      </c>
      <c r="I614" t="s">
        <v>1357</v>
      </c>
      <c r="J614" t="s">
        <v>1357</v>
      </c>
      <c r="K614" t="s">
        <v>1357</v>
      </c>
      <c r="L614" t="s">
        <v>1357</v>
      </c>
    </row>
    <row r="615" spans="1:12">
      <c r="H615" t="s">
        <v>3603</v>
      </c>
      <c r="I615" t="s">
        <v>1357</v>
      </c>
      <c r="J615" t="s">
        <v>1357</v>
      </c>
      <c r="K615" t="s">
        <v>1357</v>
      </c>
      <c r="L615" t="s">
        <v>1357</v>
      </c>
    </row>
    <row r="616" spans="1:12">
      <c r="H616" t="s">
        <v>3604</v>
      </c>
      <c r="I616" t="s">
        <v>1357</v>
      </c>
      <c r="J616" t="s">
        <v>1357</v>
      </c>
      <c r="K616" t="s">
        <v>1357</v>
      </c>
      <c r="L616" t="s">
        <v>1357</v>
      </c>
    </row>
    <row r="617" spans="1:12">
      <c r="A617" t="s">
        <v>1915</v>
      </c>
      <c r="B617">
        <f>HYPERLINK("https://github.com/apache/commons-math/commit/e2ffb905724787ed87bbc64ce56673391a00279e", "e2ffb905724787ed87bbc64ce56673391a00279e")</f>
        <v>0</v>
      </c>
      <c r="C617">
        <f>HYPERLINK("https://github.com/apache/commons-math/commit/4b1994a2ff9ee572271d0ed4fe54943330e23c1f", "4b1994a2ff9ee572271d0ed4fe54943330e23c1f")</f>
        <v>0</v>
      </c>
      <c r="D617" t="s">
        <v>2148</v>
      </c>
      <c r="E617" t="s">
        <v>2204</v>
      </c>
      <c r="F617" t="s">
        <v>2491</v>
      </c>
      <c r="G617" t="s">
        <v>2954</v>
      </c>
      <c r="H617" t="s">
        <v>3605</v>
      </c>
      <c r="I617" t="s">
        <v>1357</v>
      </c>
      <c r="J617" t="s">
        <v>1357</v>
      </c>
      <c r="K617" t="s">
        <v>1357</v>
      </c>
      <c r="L617" t="s">
        <v>1357</v>
      </c>
    </row>
    <row r="618" spans="1:12">
      <c r="F618" t="s">
        <v>2492</v>
      </c>
      <c r="G618" t="s">
        <v>2955</v>
      </c>
      <c r="H618" t="s">
        <v>3605</v>
      </c>
      <c r="I618" t="s">
        <v>1357</v>
      </c>
      <c r="J618" t="s">
        <v>1357</v>
      </c>
      <c r="K618" t="s">
        <v>1357</v>
      </c>
      <c r="L618" t="s">
        <v>1357</v>
      </c>
    </row>
    <row r="619" spans="1:12">
      <c r="F619" t="s">
        <v>2493</v>
      </c>
      <c r="G619" t="s">
        <v>2956</v>
      </c>
      <c r="H619" t="s">
        <v>3605</v>
      </c>
      <c r="I619" t="s">
        <v>1357</v>
      </c>
      <c r="J619" t="s">
        <v>1357</v>
      </c>
      <c r="K619" t="s">
        <v>1357</v>
      </c>
      <c r="L619" t="s">
        <v>1357</v>
      </c>
    </row>
    <row r="620" spans="1:12">
      <c r="F620" t="s">
        <v>2494</v>
      </c>
      <c r="G620" t="s">
        <v>2957</v>
      </c>
      <c r="H620" t="s">
        <v>3605</v>
      </c>
      <c r="I620" t="s">
        <v>1357</v>
      </c>
      <c r="J620" t="s">
        <v>1357</v>
      </c>
      <c r="K620" t="s">
        <v>1357</v>
      </c>
      <c r="L620" t="s">
        <v>1357</v>
      </c>
    </row>
    <row r="621" spans="1:12">
      <c r="F621" t="s">
        <v>2495</v>
      </c>
      <c r="G621" t="s">
        <v>2958</v>
      </c>
      <c r="H621" t="s">
        <v>3605</v>
      </c>
      <c r="I621" t="s">
        <v>1357</v>
      </c>
      <c r="J621" t="s">
        <v>1357</v>
      </c>
      <c r="K621" t="s">
        <v>1357</v>
      </c>
      <c r="L621" t="s">
        <v>1357</v>
      </c>
    </row>
    <row r="622" spans="1:12">
      <c r="A622" t="s">
        <v>1916</v>
      </c>
      <c r="B622">
        <f>HYPERLINK("https://github.com/apache/commons-math/commit/a012ec83ecd0d13fd7ba250da322a6183adb45aa", "a012ec83ecd0d13fd7ba250da322a6183adb45aa")</f>
        <v>0</v>
      </c>
      <c r="C622">
        <f>HYPERLINK("https://github.com/apache/commons-math/commit/b345aa99c18edbdb2d338f325389b771913a64d6", "b345aa99c18edbdb2d338f325389b771913a64d6")</f>
        <v>0</v>
      </c>
      <c r="D622" t="s">
        <v>2147</v>
      </c>
      <c r="E622" t="s">
        <v>2205</v>
      </c>
      <c r="F622" t="s">
        <v>2430</v>
      </c>
      <c r="G622" t="s">
        <v>2904</v>
      </c>
      <c r="H622" t="s">
        <v>3267</v>
      </c>
      <c r="I622" t="s">
        <v>1357</v>
      </c>
      <c r="J622" t="s">
        <v>1357</v>
      </c>
      <c r="K622" t="s">
        <v>1357</v>
      </c>
      <c r="L622" t="s">
        <v>1357</v>
      </c>
    </row>
    <row r="623" spans="1:12">
      <c r="H623" t="s">
        <v>3268</v>
      </c>
      <c r="I623" t="s">
        <v>1357</v>
      </c>
      <c r="J623" t="s">
        <v>1357</v>
      </c>
      <c r="K623" t="s">
        <v>1357</v>
      </c>
      <c r="L623" t="s">
        <v>1357</v>
      </c>
    </row>
    <row r="624" spans="1:12">
      <c r="H624" t="s">
        <v>3269</v>
      </c>
      <c r="I624" t="s">
        <v>1357</v>
      </c>
      <c r="J624" t="s">
        <v>1357</v>
      </c>
      <c r="K624" t="s">
        <v>1357</v>
      </c>
      <c r="L624" t="s">
        <v>1357</v>
      </c>
    </row>
    <row r="625" spans="8:12">
      <c r="H625" t="s">
        <v>3331</v>
      </c>
      <c r="I625" t="s">
        <v>1357</v>
      </c>
      <c r="J625" t="s">
        <v>1357</v>
      </c>
      <c r="K625" t="s">
        <v>1357</v>
      </c>
      <c r="L625" t="s">
        <v>1357</v>
      </c>
    </row>
    <row r="626" spans="8:12">
      <c r="H626" t="s">
        <v>3332</v>
      </c>
      <c r="I626" t="s">
        <v>1357</v>
      </c>
      <c r="J626" t="s">
        <v>1357</v>
      </c>
      <c r="K626" t="s">
        <v>1357</v>
      </c>
      <c r="L626" t="s">
        <v>1357</v>
      </c>
    </row>
    <row r="627" spans="8:12">
      <c r="H627" t="s">
        <v>3333</v>
      </c>
      <c r="I627" t="s">
        <v>1357</v>
      </c>
      <c r="J627" t="s">
        <v>1357</v>
      </c>
      <c r="K627" t="s">
        <v>1357</v>
      </c>
      <c r="L627" t="s">
        <v>1357</v>
      </c>
    </row>
    <row r="628" spans="8:12">
      <c r="H628" t="s">
        <v>3334</v>
      </c>
      <c r="I628" t="s">
        <v>1357</v>
      </c>
      <c r="J628" t="s">
        <v>1357</v>
      </c>
      <c r="K628" t="s">
        <v>1357</v>
      </c>
      <c r="L628" t="s">
        <v>1357</v>
      </c>
    </row>
    <row r="629" spans="8:12">
      <c r="H629" t="s">
        <v>3335</v>
      </c>
      <c r="I629" t="s">
        <v>1357</v>
      </c>
      <c r="J629" t="s">
        <v>1357</v>
      </c>
      <c r="K629" t="s">
        <v>1357</v>
      </c>
      <c r="L629" t="s">
        <v>1357</v>
      </c>
    </row>
    <row r="630" spans="8:12">
      <c r="H630" t="s">
        <v>3336</v>
      </c>
      <c r="I630" t="s">
        <v>1357</v>
      </c>
      <c r="J630" t="s">
        <v>1357</v>
      </c>
      <c r="K630" t="s">
        <v>1357</v>
      </c>
      <c r="L630" t="s">
        <v>1357</v>
      </c>
    </row>
    <row r="631" spans="8:12">
      <c r="H631" t="s">
        <v>3337</v>
      </c>
      <c r="I631" t="s">
        <v>1357</v>
      </c>
      <c r="J631" t="s">
        <v>1357</v>
      </c>
      <c r="K631" t="s">
        <v>1357</v>
      </c>
      <c r="L631" t="s">
        <v>1357</v>
      </c>
    </row>
    <row r="632" spans="8:12">
      <c r="H632" t="s">
        <v>3338</v>
      </c>
      <c r="I632" t="s">
        <v>1357</v>
      </c>
      <c r="J632" t="s">
        <v>1357</v>
      </c>
      <c r="K632" t="s">
        <v>1357</v>
      </c>
      <c r="L632" t="s">
        <v>1357</v>
      </c>
    </row>
    <row r="633" spans="8:12">
      <c r="H633" t="s">
        <v>3270</v>
      </c>
      <c r="I633" t="s">
        <v>1357</v>
      </c>
      <c r="J633" t="s">
        <v>1357</v>
      </c>
      <c r="K633" t="s">
        <v>1357</v>
      </c>
      <c r="L633" t="s">
        <v>1357</v>
      </c>
    </row>
    <row r="634" spans="8:12">
      <c r="H634" t="s">
        <v>3271</v>
      </c>
      <c r="I634" t="s">
        <v>1357</v>
      </c>
      <c r="J634" t="s">
        <v>1357</v>
      </c>
      <c r="K634" t="s">
        <v>1357</v>
      </c>
      <c r="L634" t="s">
        <v>1357</v>
      </c>
    </row>
    <row r="635" spans="8:12">
      <c r="H635" t="s">
        <v>3272</v>
      </c>
      <c r="I635" t="s">
        <v>1357</v>
      </c>
      <c r="J635" t="s">
        <v>1357</v>
      </c>
      <c r="K635" t="s">
        <v>1357</v>
      </c>
      <c r="L635" t="s">
        <v>1357</v>
      </c>
    </row>
    <row r="636" spans="8:12">
      <c r="H636" t="s">
        <v>3273</v>
      </c>
      <c r="I636" t="s">
        <v>1357</v>
      </c>
      <c r="J636" t="s">
        <v>1357</v>
      </c>
      <c r="K636" t="s">
        <v>1357</v>
      </c>
      <c r="L636" t="s">
        <v>1357</v>
      </c>
    </row>
    <row r="637" spans="8:12">
      <c r="H637" t="s">
        <v>3274</v>
      </c>
      <c r="I637" t="s">
        <v>1357</v>
      </c>
      <c r="J637" t="s">
        <v>1357</v>
      </c>
      <c r="K637" t="s">
        <v>1357</v>
      </c>
      <c r="L637" t="s">
        <v>1357</v>
      </c>
    </row>
    <row r="638" spans="8:12">
      <c r="H638" t="s">
        <v>3339</v>
      </c>
      <c r="I638" t="s">
        <v>1357</v>
      </c>
      <c r="J638" t="s">
        <v>1357</v>
      </c>
      <c r="K638" t="s">
        <v>1357</v>
      </c>
      <c r="L638" t="s">
        <v>1357</v>
      </c>
    </row>
    <row r="639" spans="8:12">
      <c r="H639" t="s">
        <v>3340</v>
      </c>
      <c r="I639" t="s">
        <v>1357</v>
      </c>
      <c r="J639" t="s">
        <v>1357</v>
      </c>
      <c r="K639" t="s">
        <v>1357</v>
      </c>
      <c r="L639" t="s">
        <v>1357</v>
      </c>
    </row>
    <row r="640" spans="8:12">
      <c r="H640" t="s">
        <v>3341</v>
      </c>
      <c r="I640" t="s">
        <v>1357</v>
      </c>
      <c r="J640" t="s">
        <v>1357</v>
      </c>
      <c r="K640" t="s">
        <v>1357</v>
      </c>
      <c r="L640" t="s">
        <v>1357</v>
      </c>
    </row>
    <row r="641" spans="8:12">
      <c r="H641" t="s">
        <v>3342</v>
      </c>
      <c r="I641" t="s">
        <v>1357</v>
      </c>
      <c r="J641" t="s">
        <v>1357</v>
      </c>
      <c r="K641" t="s">
        <v>1357</v>
      </c>
      <c r="L641" t="s">
        <v>1357</v>
      </c>
    </row>
    <row r="642" spans="8:12">
      <c r="H642" t="s">
        <v>3343</v>
      </c>
      <c r="I642" t="s">
        <v>1357</v>
      </c>
      <c r="J642" t="s">
        <v>1357</v>
      </c>
      <c r="K642" t="s">
        <v>1357</v>
      </c>
      <c r="L642" t="s">
        <v>1357</v>
      </c>
    </row>
    <row r="643" spans="8:12">
      <c r="H643" t="s">
        <v>3344</v>
      </c>
      <c r="I643" t="s">
        <v>1357</v>
      </c>
      <c r="J643" t="s">
        <v>1357</v>
      </c>
      <c r="K643" t="s">
        <v>1357</v>
      </c>
      <c r="L643" t="s">
        <v>1357</v>
      </c>
    </row>
    <row r="644" spans="8:12">
      <c r="H644" t="s">
        <v>3345</v>
      </c>
      <c r="I644" t="s">
        <v>1357</v>
      </c>
      <c r="J644" t="s">
        <v>1357</v>
      </c>
      <c r="K644" t="s">
        <v>1357</v>
      </c>
      <c r="L644" t="s">
        <v>1357</v>
      </c>
    </row>
    <row r="645" spans="8:12">
      <c r="H645" t="s">
        <v>3346</v>
      </c>
      <c r="I645" t="s">
        <v>1357</v>
      </c>
      <c r="J645" t="s">
        <v>1357</v>
      </c>
      <c r="K645" t="s">
        <v>1357</v>
      </c>
      <c r="L645" t="s">
        <v>1357</v>
      </c>
    </row>
    <row r="646" spans="8:12">
      <c r="H646" t="s">
        <v>3347</v>
      </c>
      <c r="I646" t="s">
        <v>1357</v>
      </c>
      <c r="J646" t="s">
        <v>1357</v>
      </c>
      <c r="K646" t="s">
        <v>1357</v>
      </c>
      <c r="L646" t="s">
        <v>1357</v>
      </c>
    </row>
    <row r="647" spans="8:12">
      <c r="H647" t="s">
        <v>3348</v>
      </c>
      <c r="I647" t="s">
        <v>1357</v>
      </c>
      <c r="J647" t="s">
        <v>1357</v>
      </c>
      <c r="K647" t="s">
        <v>1357</v>
      </c>
      <c r="L647" t="s">
        <v>1357</v>
      </c>
    </row>
    <row r="648" spans="8:12">
      <c r="H648" t="s">
        <v>3349</v>
      </c>
      <c r="I648" t="s">
        <v>1357</v>
      </c>
      <c r="J648" t="s">
        <v>1357</v>
      </c>
      <c r="K648" t="s">
        <v>1357</v>
      </c>
      <c r="L648" t="s">
        <v>1357</v>
      </c>
    </row>
    <row r="649" spans="8:12">
      <c r="H649" t="s">
        <v>3350</v>
      </c>
      <c r="I649" t="s">
        <v>1357</v>
      </c>
      <c r="J649" t="s">
        <v>1357</v>
      </c>
      <c r="K649" t="s">
        <v>1357</v>
      </c>
      <c r="L649" t="s">
        <v>1357</v>
      </c>
    </row>
    <row r="650" spans="8:12">
      <c r="H650" t="s">
        <v>3351</v>
      </c>
      <c r="I650" t="s">
        <v>1357</v>
      </c>
      <c r="J650" t="s">
        <v>1357</v>
      </c>
      <c r="K650" t="s">
        <v>1357</v>
      </c>
      <c r="L650" t="s">
        <v>1357</v>
      </c>
    </row>
    <row r="651" spans="8:12">
      <c r="H651" t="s">
        <v>3352</v>
      </c>
      <c r="I651" t="s">
        <v>1357</v>
      </c>
      <c r="J651" t="s">
        <v>1357</v>
      </c>
      <c r="K651" t="s">
        <v>1357</v>
      </c>
      <c r="L651" t="s">
        <v>1357</v>
      </c>
    </row>
    <row r="652" spans="8:12">
      <c r="H652" t="s">
        <v>3353</v>
      </c>
      <c r="I652" t="s">
        <v>1357</v>
      </c>
      <c r="J652" t="s">
        <v>1357</v>
      </c>
      <c r="K652" t="s">
        <v>1357</v>
      </c>
      <c r="L652" t="s">
        <v>1357</v>
      </c>
    </row>
    <row r="653" spans="8:12">
      <c r="H653" t="s">
        <v>3354</v>
      </c>
      <c r="I653" t="s">
        <v>1357</v>
      </c>
      <c r="J653" t="s">
        <v>1357</v>
      </c>
      <c r="K653" t="s">
        <v>1357</v>
      </c>
      <c r="L653" t="s">
        <v>1357</v>
      </c>
    </row>
    <row r="654" spans="8:12">
      <c r="H654" t="s">
        <v>3606</v>
      </c>
      <c r="I654" t="s">
        <v>1357</v>
      </c>
      <c r="J654" t="s">
        <v>1357</v>
      </c>
      <c r="K654" t="s">
        <v>1357</v>
      </c>
      <c r="L654" t="s">
        <v>1357</v>
      </c>
    </row>
    <row r="655" spans="8:12">
      <c r="H655" t="s">
        <v>3607</v>
      </c>
      <c r="I655" t="s">
        <v>1357</v>
      </c>
      <c r="J655" t="s">
        <v>1357</v>
      </c>
      <c r="K655" t="s">
        <v>1357</v>
      </c>
      <c r="L655" t="s">
        <v>1357</v>
      </c>
    </row>
    <row r="656" spans="8:12">
      <c r="H656" t="s">
        <v>3608</v>
      </c>
      <c r="I656" t="s">
        <v>1357</v>
      </c>
      <c r="J656" t="s">
        <v>1357</v>
      </c>
      <c r="K656" t="s">
        <v>1357</v>
      </c>
      <c r="L656" t="s">
        <v>1357</v>
      </c>
    </row>
    <row r="657" spans="1:14">
      <c r="H657" t="s">
        <v>3609</v>
      </c>
      <c r="I657" t="s">
        <v>1357</v>
      </c>
      <c r="J657" t="s">
        <v>1357</v>
      </c>
      <c r="K657" t="s">
        <v>1357</v>
      </c>
      <c r="L657" t="s">
        <v>1357</v>
      </c>
    </row>
    <row r="658" spans="1:14">
      <c r="H658" t="s">
        <v>3610</v>
      </c>
      <c r="I658" t="s">
        <v>1357</v>
      </c>
      <c r="J658" t="s">
        <v>1357</v>
      </c>
      <c r="K658" t="s">
        <v>1357</v>
      </c>
      <c r="L658" t="s">
        <v>1357</v>
      </c>
    </row>
    <row r="659" spans="1:14">
      <c r="H659" t="s">
        <v>3611</v>
      </c>
      <c r="I659" t="s">
        <v>1357</v>
      </c>
      <c r="J659" t="s">
        <v>1357</v>
      </c>
      <c r="K659" t="s">
        <v>1357</v>
      </c>
      <c r="L659" t="s">
        <v>1357</v>
      </c>
    </row>
    <row r="660" spans="1:14">
      <c r="H660" t="s">
        <v>3612</v>
      </c>
      <c r="I660" t="s">
        <v>1357</v>
      </c>
      <c r="J660" t="s">
        <v>1357</v>
      </c>
      <c r="K660" t="s">
        <v>1357</v>
      </c>
      <c r="L660" t="s">
        <v>1357</v>
      </c>
    </row>
    <row r="661" spans="1:14">
      <c r="A661" t="s">
        <v>1917</v>
      </c>
      <c r="B661">
        <f>HYPERLINK("https://github.com/apache/commons-math/commit/62c72ca66d16eeda12c79dc56460b772e541dbf3", "62c72ca66d16eeda12c79dc56460b772e541dbf3")</f>
        <v>0</v>
      </c>
      <c r="C661">
        <f>HYPERLINK("https://github.com/apache/commons-math/commit/0b61d3963c802ff6c1648cdf626a5e8b86c76ecb", "0b61d3963c802ff6c1648cdf626a5e8b86c76ecb")</f>
        <v>0</v>
      </c>
      <c r="D661" t="s">
        <v>2148</v>
      </c>
      <c r="E661" t="s">
        <v>2206</v>
      </c>
      <c r="F661" t="s">
        <v>2496</v>
      </c>
      <c r="G661" t="s">
        <v>2954</v>
      </c>
      <c r="H661" t="s">
        <v>3613</v>
      </c>
      <c r="I661" t="s">
        <v>1358</v>
      </c>
      <c r="J661" t="s">
        <v>1358</v>
      </c>
      <c r="K661" t="s">
        <v>1358</v>
      </c>
      <c r="L661" t="s">
        <v>1358</v>
      </c>
    </row>
    <row r="662" spans="1:14">
      <c r="H662" t="s">
        <v>3614</v>
      </c>
      <c r="I662" t="s">
        <v>1358</v>
      </c>
      <c r="J662" t="s">
        <v>1358</v>
      </c>
      <c r="K662" t="s">
        <v>1358</v>
      </c>
      <c r="L662" t="s">
        <v>1358</v>
      </c>
    </row>
    <row r="663" spans="1:14">
      <c r="F663" t="s">
        <v>2497</v>
      </c>
      <c r="G663" t="s">
        <v>2959</v>
      </c>
      <c r="H663" t="s">
        <v>3613</v>
      </c>
      <c r="I663" t="s">
        <v>1358</v>
      </c>
      <c r="J663" t="s">
        <v>1358</v>
      </c>
      <c r="K663" t="s">
        <v>1358</v>
      </c>
      <c r="L663" t="s">
        <v>1358</v>
      </c>
      <c r="N663" t="s">
        <v>1374</v>
      </c>
    </row>
    <row r="664" spans="1:14">
      <c r="A664" t="s">
        <v>1918</v>
      </c>
      <c r="B664">
        <f>HYPERLINK("https://github.com/apache/commons-math/commit/6afeedf16113b2836a1d88d97e677f1db8ed41b7", "6afeedf16113b2836a1d88d97e677f1db8ed41b7")</f>
        <v>0</v>
      </c>
      <c r="C664">
        <f>HYPERLINK("https://github.com/apache/commons-math/commit/2e8332522efa2d6886a8d7d5ea213cedcfb03d9e", "2e8332522efa2d6886a8d7d5ea213cedcfb03d9e")</f>
        <v>0</v>
      </c>
      <c r="D664" t="s">
        <v>2147</v>
      </c>
      <c r="E664" t="s">
        <v>2207</v>
      </c>
      <c r="F664" t="s">
        <v>2498</v>
      </c>
      <c r="G664" t="s">
        <v>2960</v>
      </c>
      <c r="H664" t="s">
        <v>3253</v>
      </c>
      <c r="I664" t="s">
        <v>1359</v>
      </c>
      <c r="J664" t="s">
        <v>1357</v>
      </c>
      <c r="K664" t="s">
        <v>1357</v>
      </c>
      <c r="L664" t="s">
        <v>1358</v>
      </c>
      <c r="N664" t="s">
        <v>5104</v>
      </c>
    </row>
    <row r="665" spans="1:14">
      <c r="H665" t="s">
        <v>3258</v>
      </c>
      <c r="I665" t="s">
        <v>1359</v>
      </c>
      <c r="J665" t="s">
        <v>1357</v>
      </c>
      <c r="K665" t="s">
        <v>1357</v>
      </c>
      <c r="L665" t="s">
        <v>1358</v>
      </c>
      <c r="N665" t="s">
        <v>5104</v>
      </c>
    </row>
    <row r="666" spans="1:14">
      <c r="H666" t="s">
        <v>3259</v>
      </c>
      <c r="I666" t="s">
        <v>1359</v>
      </c>
      <c r="J666" t="s">
        <v>1357</v>
      </c>
      <c r="K666" t="s">
        <v>1357</v>
      </c>
      <c r="L666" t="s">
        <v>1358</v>
      </c>
      <c r="N666" t="s">
        <v>5104</v>
      </c>
    </row>
    <row r="667" spans="1:14">
      <c r="H667" t="s">
        <v>3260</v>
      </c>
      <c r="I667" t="s">
        <v>1359</v>
      </c>
      <c r="J667" t="s">
        <v>1357</v>
      </c>
      <c r="K667" t="s">
        <v>1357</v>
      </c>
      <c r="L667" t="s">
        <v>1358</v>
      </c>
      <c r="N667" t="s">
        <v>5104</v>
      </c>
    </row>
    <row r="668" spans="1:14">
      <c r="H668" t="s">
        <v>3465</v>
      </c>
      <c r="I668" t="s">
        <v>1357</v>
      </c>
      <c r="J668" t="s">
        <v>1357</v>
      </c>
      <c r="K668" t="s">
        <v>1357</v>
      </c>
      <c r="L668" t="s">
        <v>1357</v>
      </c>
    </row>
    <row r="669" spans="1:14">
      <c r="H669" t="s">
        <v>3466</v>
      </c>
      <c r="I669" t="s">
        <v>1357</v>
      </c>
      <c r="J669" t="s">
        <v>1357</v>
      </c>
      <c r="K669" t="s">
        <v>1357</v>
      </c>
      <c r="L669" t="s">
        <v>1357</v>
      </c>
    </row>
    <row r="670" spans="1:14">
      <c r="A670" t="s">
        <v>1919</v>
      </c>
      <c r="B670">
        <f>HYPERLINK("https://github.com/apache/commons-math/commit/7953b0007a47fe25a463d5e27b50e3c50981f2e2", "7953b0007a47fe25a463d5e27b50e3c50981f2e2")</f>
        <v>0</v>
      </c>
      <c r="C670">
        <f>HYPERLINK("https://github.com/apache/commons-math/commit/513804d9d426730bf71623b8189654b65340ce67", "513804d9d426730bf71623b8189654b65340ce67")</f>
        <v>0</v>
      </c>
      <c r="D670" t="s">
        <v>2148</v>
      </c>
      <c r="E670" t="s">
        <v>2208</v>
      </c>
      <c r="F670" t="s">
        <v>2499</v>
      </c>
      <c r="G670" t="s">
        <v>2961</v>
      </c>
      <c r="H670" t="s">
        <v>3615</v>
      </c>
      <c r="I670" t="s">
        <v>1357</v>
      </c>
      <c r="J670" t="s">
        <v>1357</v>
      </c>
      <c r="K670" t="s">
        <v>1357</v>
      </c>
      <c r="L670" t="s">
        <v>1357</v>
      </c>
    </row>
    <row r="671" spans="1:14">
      <c r="A671" t="s">
        <v>1920</v>
      </c>
      <c r="B671">
        <f>HYPERLINK("https://github.com/apache/commons-math/commit/cffe7c6cc6757f634d90b6fd009ce02737fdd3ce", "cffe7c6cc6757f634d90b6fd009ce02737fdd3ce")</f>
        <v>0</v>
      </c>
      <c r="C671">
        <f>HYPERLINK("https://github.com/apache/commons-math/commit/5ae0852fe0ca0f0b9590ee7f86994ff00ed1124a", "5ae0852fe0ca0f0b9590ee7f86994ff00ed1124a")</f>
        <v>0</v>
      </c>
      <c r="D671" t="s">
        <v>2148</v>
      </c>
      <c r="E671" t="s">
        <v>2209</v>
      </c>
      <c r="F671" t="s">
        <v>2500</v>
      </c>
      <c r="G671" t="s">
        <v>2962</v>
      </c>
      <c r="H671" t="s">
        <v>3616</v>
      </c>
      <c r="I671" t="s">
        <v>1357</v>
      </c>
      <c r="J671" t="s">
        <v>1357</v>
      </c>
      <c r="K671" t="s">
        <v>1357</v>
      </c>
      <c r="L671" t="s">
        <v>1357</v>
      </c>
    </row>
    <row r="672" spans="1:14">
      <c r="H672" t="s">
        <v>3465</v>
      </c>
      <c r="I672" t="s">
        <v>1357</v>
      </c>
      <c r="J672" t="s">
        <v>1357</v>
      </c>
      <c r="K672" t="s">
        <v>1357</v>
      </c>
      <c r="L672" t="s">
        <v>1357</v>
      </c>
    </row>
    <row r="673" spans="1:12">
      <c r="H673" t="s">
        <v>3258</v>
      </c>
      <c r="I673" t="s">
        <v>1358</v>
      </c>
      <c r="J673" t="s">
        <v>1358</v>
      </c>
      <c r="K673" t="s">
        <v>1358</v>
      </c>
      <c r="L673" t="s">
        <v>1358</v>
      </c>
    </row>
    <row r="674" spans="1:12">
      <c r="H674" t="s">
        <v>3617</v>
      </c>
      <c r="I674" t="s">
        <v>1357</v>
      </c>
      <c r="J674" t="s">
        <v>1357</v>
      </c>
      <c r="K674" t="s">
        <v>1357</v>
      </c>
      <c r="L674" t="s">
        <v>1357</v>
      </c>
    </row>
    <row r="675" spans="1:12">
      <c r="H675" t="s">
        <v>3618</v>
      </c>
      <c r="I675" t="s">
        <v>1357</v>
      </c>
      <c r="J675" t="s">
        <v>1357</v>
      </c>
      <c r="K675" t="s">
        <v>1357</v>
      </c>
      <c r="L675" t="s">
        <v>1357</v>
      </c>
    </row>
    <row r="676" spans="1:12">
      <c r="H676" t="s">
        <v>3466</v>
      </c>
      <c r="I676" t="s">
        <v>1357</v>
      </c>
      <c r="J676" t="s">
        <v>1357</v>
      </c>
      <c r="K676" t="s">
        <v>1357</v>
      </c>
      <c r="L676" t="s">
        <v>1357</v>
      </c>
    </row>
    <row r="677" spans="1:12">
      <c r="H677" t="s">
        <v>906</v>
      </c>
      <c r="I677" t="s">
        <v>1358</v>
      </c>
      <c r="J677" t="s">
        <v>1358</v>
      </c>
      <c r="K677" t="s">
        <v>1358</v>
      </c>
      <c r="L677" t="s">
        <v>1358</v>
      </c>
    </row>
    <row r="678" spans="1:12">
      <c r="H678" t="s">
        <v>3259</v>
      </c>
      <c r="I678" t="s">
        <v>1357</v>
      </c>
      <c r="J678" t="s">
        <v>1357</v>
      </c>
      <c r="K678" t="s">
        <v>1357</v>
      </c>
      <c r="L678" t="s">
        <v>1357</v>
      </c>
    </row>
    <row r="679" spans="1:12">
      <c r="H679" t="s">
        <v>3253</v>
      </c>
      <c r="I679" t="s">
        <v>1358</v>
      </c>
      <c r="J679" t="s">
        <v>1358</v>
      </c>
      <c r="K679" t="s">
        <v>1358</v>
      </c>
      <c r="L679" t="s">
        <v>1358</v>
      </c>
    </row>
    <row r="680" spans="1:12">
      <c r="H680" t="s">
        <v>901</v>
      </c>
      <c r="I680" t="s">
        <v>1357</v>
      </c>
      <c r="J680" t="s">
        <v>1357</v>
      </c>
      <c r="K680" t="s">
        <v>1357</v>
      </c>
      <c r="L680" t="s">
        <v>1357</v>
      </c>
    </row>
    <row r="681" spans="1:12">
      <c r="H681" t="s">
        <v>3619</v>
      </c>
      <c r="I681" t="s">
        <v>1357</v>
      </c>
      <c r="J681" t="s">
        <v>1357</v>
      </c>
      <c r="K681" t="s">
        <v>1357</v>
      </c>
      <c r="L681" t="s">
        <v>1357</v>
      </c>
    </row>
    <row r="682" spans="1:12">
      <c r="H682" t="s">
        <v>3620</v>
      </c>
      <c r="I682" t="s">
        <v>1357</v>
      </c>
      <c r="J682" t="s">
        <v>1357</v>
      </c>
      <c r="K682" t="s">
        <v>1357</v>
      </c>
      <c r="L682" t="s">
        <v>1357</v>
      </c>
    </row>
    <row r="683" spans="1:12">
      <c r="A683" t="s">
        <v>1921</v>
      </c>
      <c r="B683">
        <f>HYPERLINK("https://github.com/apache/commons-math/commit/6c76ad2d0754c11539b4b178017db672c8e135a4", "6c76ad2d0754c11539b4b178017db672c8e135a4")</f>
        <v>0</v>
      </c>
      <c r="C683">
        <f>HYPERLINK("https://github.com/apache/commons-math/commit/5c6f299aec234cd83113b1fe8f3b1f625adac245", "5c6f299aec234cd83113b1fe8f3b1f625adac245")</f>
        <v>0</v>
      </c>
      <c r="D683" t="s">
        <v>2148</v>
      </c>
      <c r="E683" t="s">
        <v>2210</v>
      </c>
      <c r="F683" t="s">
        <v>2501</v>
      </c>
      <c r="G683" t="s">
        <v>2963</v>
      </c>
      <c r="H683" t="s">
        <v>3621</v>
      </c>
      <c r="I683" t="s">
        <v>1357</v>
      </c>
      <c r="J683" t="s">
        <v>1357</v>
      </c>
      <c r="K683" t="s">
        <v>1357</v>
      </c>
      <c r="L683" t="s">
        <v>1357</v>
      </c>
    </row>
    <row r="684" spans="1:12">
      <c r="H684" t="s">
        <v>3622</v>
      </c>
      <c r="I684" t="s">
        <v>1357</v>
      </c>
      <c r="J684" t="s">
        <v>1357</v>
      </c>
      <c r="K684" t="s">
        <v>1357</v>
      </c>
      <c r="L684" t="s">
        <v>1357</v>
      </c>
    </row>
    <row r="685" spans="1:12">
      <c r="H685" t="s">
        <v>3623</v>
      </c>
      <c r="I685" t="s">
        <v>1357</v>
      </c>
      <c r="J685" t="s">
        <v>1357</v>
      </c>
      <c r="K685" t="s">
        <v>1357</v>
      </c>
      <c r="L685" t="s">
        <v>1357</v>
      </c>
    </row>
    <row r="686" spans="1:12">
      <c r="H686" t="s">
        <v>3624</v>
      </c>
      <c r="I686" t="s">
        <v>1357</v>
      </c>
      <c r="J686" t="s">
        <v>1357</v>
      </c>
      <c r="K686" t="s">
        <v>1357</v>
      </c>
      <c r="L686" t="s">
        <v>1357</v>
      </c>
    </row>
    <row r="687" spans="1:12">
      <c r="H687" t="s">
        <v>3625</v>
      </c>
      <c r="I687" t="s">
        <v>1357</v>
      </c>
      <c r="J687" t="s">
        <v>1357</v>
      </c>
      <c r="K687" t="s">
        <v>1357</v>
      </c>
      <c r="L687" t="s">
        <v>1357</v>
      </c>
    </row>
    <row r="688" spans="1:12">
      <c r="H688" t="s">
        <v>3626</v>
      </c>
      <c r="I688" t="s">
        <v>1357</v>
      </c>
      <c r="J688" t="s">
        <v>1357</v>
      </c>
      <c r="K688" t="s">
        <v>1357</v>
      </c>
      <c r="L688" t="s">
        <v>1357</v>
      </c>
    </row>
    <row r="689" spans="8:12">
      <c r="H689" t="s">
        <v>3627</v>
      </c>
      <c r="I689" t="s">
        <v>1357</v>
      </c>
      <c r="J689" t="s">
        <v>1357</v>
      </c>
      <c r="K689" t="s">
        <v>1357</v>
      </c>
      <c r="L689" t="s">
        <v>1357</v>
      </c>
    </row>
    <row r="690" spans="8:12">
      <c r="H690" t="s">
        <v>3628</v>
      </c>
      <c r="I690" t="s">
        <v>1357</v>
      </c>
      <c r="J690" t="s">
        <v>1357</v>
      </c>
      <c r="K690" t="s">
        <v>1357</v>
      </c>
      <c r="L690" t="s">
        <v>1357</v>
      </c>
    </row>
    <row r="691" spans="8:12">
      <c r="H691" t="s">
        <v>3629</v>
      </c>
      <c r="I691" t="s">
        <v>1357</v>
      </c>
      <c r="J691" t="s">
        <v>1357</v>
      </c>
      <c r="K691" t="s">
        <v>1357</v>
      </c>
      <c r="L691" t="s">
        <v>1357</v>
      </c>
    </row>
    <row r="692" spans="8:12">
      <c r="H692" t="s">
        <v>3630</v>
      </c>
      <c r="I692" t="s">
        <v>1357</v>
      </c>
      <c r="J692" t="s">
        <v>1357</v>
      </c>
      <c r="K692" t="s">
        <v>1357</v>
      </c>
      <c r="L692" t="s">
        <v>1357</v>
      </c>
    </row>
    <row r="693" spans="8:12">
      <c r="H693" t="s">
        <v>3631</v>
      </c>
      <c r="I693" t="s">
        <v>1357</v>
      </c>
      <c r="J693" t="s">
        <v>1357</v>
      </c>
      <c r="K693" t="s">
        <v>1357</v>
      </c>
      <c r="L693" t="s">
        <v>1357</v>
      </c>
    </row>
    <row r="694" spans="8:12">
      <c r="H694" t="s">
        <v>3632</v>
      </c>
      <c r="I694" t="s">
        <v>1357</v>
      </c>
      <c r="J694" t="s">
        <v>1357</v>
      </c>
      <c r="K694" t="s">
        <v>1357</v>
      </c>
      <c r="L694" t="s">
        <v>1357</v>
      </c>
    </row>
    <row r="695" spans="8:12">
      <c r="H695" t="s">
        <v>3633</v>
      </c>
      <c r="I695" t="s">
        <v>1357</v>
      </c>
      <c r="J695" t="s">
        <v>1357</v>
      </c>
      <c r="K695" t="s">
        <v>1357</v>
      </c>
      <c r="L695" t="s">
        <v>1357</v>
      </c>
    </row>
    <row r="696" spans="8:12">
      <c r="H696" t="s">
        <v>3634</v>
      </c>
      <c r="I696" t="s">
        <v>1357</v>
      </c>
      <c r="J696" t="s">
        <v>1357</v>
      </c>
      <c r="K696" t="s">
        <v>1357</v>
      </c>
      <c r="L696" t="s">
        <v>1357</v>
      </c>
    </row>
    <row r="697" spans="8:12">
      <c r="H697" t="s">
        <v>3635</v>
      </c>
      <c r="I697" t="s">
        <v>1357</v>
      </c>
      <c r="J697" t="s">
        <v>1357</v>
      </c>
      <c r="K697" t="s">
        <v>1357</v>
      </c>
      <c r="L697" t="s">
        <v>1357</v>
      </c>
    </row>
    <row r="698" spans="8:12">
      <c r="H698" t="s">
        <v>3636</v>
      </c>
      <c r="I698" t="s">
        <v>1357</v>
      </c>
      <c r="J698" t="s">
        <v>1357</v>
      </c>
      <c r="K698" t="s">
        <v>1357</v>
      </c>
      <c r="L698" t="s">
        <v>1357</v>
      </c>
    </row>
    <row r="699" spans="8:12">
      <c r="H699" t="s">
        <v>3637</v>
      </c>
      <c r="I699" t="s">
        <v>1357</v>
      </c>
      <c r="J699" t="s">
        <v>1357</v>
      </c>
      <c r="K699" t="s">
        <v>1357</v>
      </c>
      <c r="L699" t="s">
        <v>1357</v>
      </c>
    </row>
    <row r="700" spans="8:12">
      <c r="H700" t="s">
        <v>3638</v>
      </c>
      <c r="I700" t="s">
        <v>1357</v>
      </c>
      <c r="J700" t="s">
        <v>1357</v>
      </c>
      <c r="K700" t="s">
        <v>1357</v>
      </c>
      <c r="L700" t="s">
        <v>1357</v>
      </c>
    </row>
    <row r="701" spans="8:12">
      <c r="H701" t="s">
        <v>3639</v>
      </c>
      <c r="I701" t="s">
        <v>1357</v>
      </c>
      <c r="J701" t="s">
        <v>1357</v>
      </c>
      <c r="K701" t="s">
        <v>1357</v>
      </c>
      <c r="L701" t="s">
        <v>1357</v>
      </c>
    </row>
    <row r="702" spans="8:12">
      <c r="H702" t="s">
        <v>3640</v>
      </c>
      <c r="I702" t="s">
        <v>1357</v>
      </c>
      <c r="J702" t="s">
        <v>1357</v>
      </c>
      <c r="K702" t="s">
        <v>1357</v>
      </c>
      <c r="L702" t="s">
        <v>1357</v>
      </c>
    </row>
    <row r="703" spans="8:12">
      <c r="H703" t="s">
        <v>3641</v>
      </c>
      <c r="I703" t="s">
        <v>1357</v>
      </c>
      <c r="J703" t="s">
        <v>1357</v>
      </c>
      <c r="K703" t="s">
        <v>1357</v>
      </c>
      <c r="L703" t="s">
        <v>1357</v>
      </c>
    </row>
    <row r="704" spans="8:12">
      <c r="H704" t="s">
        <v>3642</v>
      </c>
      <c r="I704" t="s">
        <v>1357</v>
      </c>
      <c r="J704" t="s">
        <v>1357</v>
      </c>
      <c r="K704" t="s">
        <v>1357</v>
      </c>
      <c r="L704" t="s">
        <v>1357</v>
      </c>
    </row>
    <row r="705" spans="8:12">
      <c r="H705" t="s">
        <v>3643</v>
      </c>
      <c r="I705" t="s">
        <v>1357</v>
      </c>
      <c r="J705" t="s">
        <v>1357</v>
      </c>
      <c r="K705" t="s">
        <v>1357</v>
      </c>
      <c r="L705" t="s">
        <v>1357</v>
      </c>
    </row>
    <row r="706" spans="8:12">
      <c r="H706" t="s">
        <v>3644</v>
      </c>
      <c r="I706" t="s">
        <v>1357</v>
      </c>
      <c r="J706" t="s">
        <v>1357</v>
      </c>
      <c r="K706" t="s">
        <v>1357</v>
      </c>
      <c r="L706" t="s">
        <v>1357</v>
      </c>
    </row>
    <row r="707" spans="8:12">
      <c r="H707" t="s">
        <v>3645</v>
      </c>
      <c r="I707" t="s">
        <v>1357</v>
      </c>
      <c r="J707" t="s">
        <v>1357</v>
      </c>
      <c r="K707" t="s">
        <v>1357</v>
      </c>
      <c r="L707" t="s">
        <v>1357</v>
      </c>
    </row>
    <row r="708" spans="8:12">
      <c r="H708" t="s">
        <v>3646</v>
      </c>
      <c r="I708" t="s">
        <v>1357</v>
      </c>
      <c r="J708" t="s">
        <v>1357</v>
      </c>
      <c r="K708" t="s">
        <v>1357</v>
      </c>
      <c r="L708" t="s">
        <v>1357</v>
      </c>
    </row>
    <row r="709" spans="8:12">
      <c r="H709" t="s">
        <v>3647</v>
      </c>
      <c r="I709" t="s">
        <v>1357</v>
      </c>
      <c r="J709" t="s">
        <v>1357</v>
      </c>
      <c r="K709" t="s">
        <v>1357</v>
      </c>
      <c r="L709" t="s">
        <v>1357</v>
      </c>
    </row>
    <row r="710" spans="8:12">
      <c r="H710" t="s">
        <v>3648</v>
      </c>
      <c r="I710" t="s">
        <v>1357</v>
      </c>
      <c r="J710" t="s">
        <v>1357</v>
      </c>
      <c r="K710" t="s">
        <v>1357</v>
      </c>
      <c r="L710" t="s">
        <v>1357</v>
      </c>
    </row>
    <row r="711" spans="8:12">
      <c r="H711" t="s">
        <v>3649</v>
      </c>
      <c r="I711" t="s">
        <v>1357</v>
      </c>
      <c r="J711" t="s">
        <v>1357</v>
      </c>
      <c r="K711" t="s">
        <v>1357</v>
      </c>
      <c r="L711" t="s">
        <v>1357</v>
      </c>
    </row>
    <row r="712" spans="8:12">
      <c r="H712" t="s">
        <v>3650</v>
      </c>
      <c r="I712" t="s">
        <v>1357</v>
      </c>
      <c r="J712" t="s">
        <v>1357</v>
      </c>
      <c r="K712" t="s">
        <v>1357</v>
      </c>
      <c r="L712" t="s">
        <v>1357</v>
      </c>
    </row>
    <row r="713" spans="8:12">
      <c r="H713" t="s">
        <v>3651</v>
      </c>
      <c r="I713" t="s">
        <v>1357</v>
      </c>
      <c r="J713" t="s">
        <v>1357</v>
      </c>
      <c r="K713" t="s">
        <v>1357</v>
      </c>
      <c r="L713" t="s">
        <v>1357</v>
      </c>
    </row>
    <row r="714" spans="8:12">
      <c r="H714" t="s">
        <v>3652</v>
      </c>
      <c r="I714" t="s">
        <v>1357</v>
      </c>
      <c r="J714" t="s">
        <v>1357</v>
      </c>
      <c r="K714" t="s">
        <v>1357</v>
      </c>
      <c r="L714" t="s">
        <v>1357</v>
      </c>
    </row>
    <row r="715" spans="8:12">
      <c r="H715" t="s">
        <v>3653</v>
      </c>
      <c r="I715" t="s">
        <v>1357</v>
      </c>
      <c r="J715" t="s">
        <v>1357</v>
      </c>
      <c r="K715" t="s">
        <v>1357</v>
      </c>
      <c r="L715" t="s">
        <v>1357</v>
      </c>
    </row>
    <row r="716" spans="8:12">
      <c r="H716" t="s">
        <v>3654</v>
      </c>
      <c r="I716" t="s">
        <v>1357</v>
      </c>
      <c r="J716" t="s">
        <v>1357</v>
      </c>
      <c r="K716" t="s">
        <v>1357</v>
      </c>
      <c r="L716" t="s">
        <v>1357</v>
      </c>
    </row>
    <row r="717" spans="8:12">
      <c r="H717" t="s">
        <v>3655</v>
      </c>
      <c r="I717" t="s">
        <v>1357</v>
      </c>
      <c r="J717" t="s">
        <v>1357</v>
      </c>
      <c r="K717" t="s">
        <v>1357</v>
      </c>
      <c r="L717" t="s">
        <v>1357</v>
      </c>
    </row>
    <row r="718" spans="8:12">
      <c r="H718" t="s">
        <v>3656</v>
      </c>
      <c r="I718" t="s">
        <v>1357</v>
      </c>
      <c r="J718" t="s">
        <v>1357</v>
      </c>
      <c r="K718" t="s">
        <v>1357</v>
      </c>
      <c r="L718" t="s">
        <v>1357</v>
      </c>
    </row>
    <row r="719" spans="8:12">
      <c r="H719" t="s">
        <v>3657</v>
      </c>
      <c r="I719" t="s">
        <v>1357</v>
      </c>
      <c r="J719" t="s">
        <v>1357</v>
      </c>
      <c r="K719" t="s">
        <v>1357</v>
      </c>
      <c r="L719" t="s">
        <v>1357</v>
      </c>
    </row>
    <row r="720" spans="8:12">
      <c r="H720" t="s">
        <v>3658</v>
      </c>
      <c r="I720" t="s">
        <v>1357</v>
      </c>
      <c r="J720" t="s">
        <v>1357</v>
      </c>
      <c r="K720" t="s">
        <v>1357</v>
      </c>
      <c r="L720" t="s">
        <v>1357</v>
      </c>
    </row>
    <row r="721" spans="8:12">
      <c r="H721" t="s">
        <v>3659</v>
      </c>
      <c r="I721" t="s">
        <v>1357</v>
      </c>
      <c r="J721" t="s">
        <v>1357</v>
      </c>
      <c r="K721" t="s">
        <v>1357</v>
      </c>
      <c r="L721" t="s">
        <v>1357</v>
      </c>
    </row>
    <row r="722" spans="8:12">
      <c r="H722" t="s">
        <v>3660</v>
      </c>
      <c r="I722" t="s">
        <v>1357</v>
      </c>
      <c r="J722" t="s">
        <v>1357</v>
      </c>
      <c r="K722" t="s">
        <v>1357</v>
      </c>
      <c r="L722" t="s">
        <v>1357</v>
      </c>
    </row>
    <row r="723" spans="8:12">
      <c r="H723" t="s">
        <v>3661</v>
      </c>
      <c r="I723" t="s">
        <v>1357</v>
      </c>
      <c r="J723" t="s">
        <v>1357</v>
      </c>
      <c r="K723" t="s">
        <v>1357</v>
      </c>
      <c r="L723" t="s">
        <v>1357</v>
      </c>
    </row>
    <row r="724" spans="8:12">
      <c r="H724" t="s">
        <v>3662</v>
      </c>
      <c r="I724" t="s">
        <v>1357</v>
      </c>
      <c r="J724" t="s">
        <v>1357</v>
      </c>
      <c r="K724" t="s">
        <v>1357</v>
      </c>
      <c r="L724" t="s">
        <v>1357</v>
      </c>
    </row>
    <row r="725" spans="8:12">
      <c r="H725" t="s">
        <v>3663</v>
      </c>
      <c r="I725" t="s">
        <v>1357</v>
      </c>
      <c r="J725" t="s">
        <v>1357</v>
      </c>
      <c r="K725" t="s">
        <v>1357</v>
      </c>
      <c r="L725" t="s">
        <v>1357</v>
      </c>
    </row>
    <row r="726" spans="8:12">
      <c r="H726" t="s">
        <v>3664</v>
      </c>
      <c r="I726" t="s">
        <v>1357</v>
      </c>
      <c r="J726" t="s">
        <v>1357</v>
      </c>
      <c r="K726" t="s">
        <v>1357</v>
      </c>
      <c r="L726" t="s">
        <v>1357</v>
      </c>
    </row>
    <row r="727" spans="8:12">
      <c r="H727" t="s">
        <v>3665</v>
      </c>
      <c r="I727" t="s">
        <v>1357</v>
      </c>
      <c r="J727" t="s">
        <v>1357</v>
      </c>
      <c r="K727" t="s">
        <v>1357</v>
      </c>
      <c r="L727" t="s">
        <v>1357</v>
      </c>
    </row>
    <row r="728" spans="8:12">
      <c r="H728" t="s">
        <v>3666</v>
      </c>
      <c r="I728" t="s">
        <v>1357</v>
      </c>
      <c r="J728" t="s">
        <v>1357</v>
      </c>
      <c r="K728" t="s">
        <v>1357</v>
      </c>
      <c r="L728" t="s">
        <v>1357</v>
      </c>
    </row>
    <row r="729" spans="8:12">
      <c r="H729" t="s">
        <v>3667</v>
      </c>
      <c r="I729" t="s">
        <v>1357</v>
      </c>
      <c r="J729" t="s">
        <v>1357</v>
      </c>
      <c r="K729" t="s">
        <v>1357</v>
      </c>
      <c r="L729" t="s">
        <v>1357</v>
      </c>
    </row>
    <row r="730" spans="8:12">
      <c r="H730" t="s">
        <v>3668</v>
      </c>
      <c r="I730" t="s">
        <v>1357</v>
      </c>
      <c r="J730" t="s">
        <v>1357</v>
      </c>
      <c r="K730" t="s">
        <v>1357</v>
      </c>
      <c r="L730" t="s">
        <v>1357</v>
      </c>
    </row>
    <row r="731" spans="8:12">
      <c r="H731" t="s">
        <v>3669</v>
      </c>
      <c r="I731" t="s">
        <v>1357</v>
      </c>
      <c r="J731" t="s">
        <v>1357</v>
      </c>
      <c r="K731" t="s">
        <v>1357</v>
      </c>
      <c r="L731" t="s">
        <v>1357</v>
      </c>
    </row>
    <row r="732" spans="8:12">
      <c r="H732" t="s">
        <v>3670</v>
      </c>
      <c r="I732" t="s">
        <v>1357</v>
      </c>
      <c r="J732" t="s">
        <v>1357</v>
      </c>
      <c r="K732" t="s">
        <v>1357</v>
      </c>
      <c r="L732" t="s">
        <v>1357</v>
      </c>
    </row>
    <row r="733" spans="8:12">
      <c r="H733" t="s">
        <v>3671</v>
      </c>
      <c r="I733" t="s">
        <v>1357</v>
      </c>
      <c r="J733" t="s">
        <v>1357</v>
      </c>
      <c r="K733" t="s">
        <v>1357</v>
      </c>
      <c r="L733" t="s">
        <v>1357</v>
      </c>
    </row>
    <row r="734" spans="8:12">
      <c r="H734" t="s">
        <v>3672</v>
      </c>
      <c r="I734" t="s">
        <v>1357</v>
      </c>
      <c r="J734" t="s">
        <v>1357</v>
      </c>
      <c r="K734" t="s">
        <v>1357</v>
      </c>
      <c r="L734" t="s">
        <v>1357</v>
      </c>
    </row>
    <row r="735" spans="8:12">
      <c r="H735" t="s">
        <v>3673</v>
      </c>
      <c r="I735" t="s">
        <v>1357</v>
      </c>
      <c r="J735" t="s">
        <v>1357</v>
      </c>
      <c r="K735" t="s">
        <v>1357</v>
      </c>
      <c r="L735" t="s">
        <v>1357</v>
      </c>
    </row>
    <row r="736" spans="8:12">
      <c r="H736" t="s">
        <v>3674</v>
      </c>
      <c r="I736" t="s">
        <v>1357</v>
      </c>
      <c r="J736" t="s">
        <v>1357</v>
      </c>
      <c r="K736" t="s">
        <v>1357</v>
      </c>
      <c r="L736" t="s">
        <v>1357</v>
      </c>
    </row>
    <row r="737" spans="1:12">
      <c r="H737" t="s">
        <v>3675</v>
      </c>
      <c r="I737" t="s">
        <v>1357</v>
      </c>
      <c r="J737" t="s">
        <v>1357</v>
      </c>
      <c r="K737" t="s">
        <v>1357</v>
      </c>
      <c r="L737" t="s">
        <v>1357</v>
      </c>
    </row>
    <row r="738" spans="1:12">
      <c r="H738" t="s">
        <v>3676</v>
      </c>
      <c r="I738" t="s">
        <v>1357</v>
      </c>
      <c r="J738" t="s">
        <v>1357</v>
      </c>
      <c r="K738" t="s">
        <v>1357</v>
      </c>
      <c r="L738" t="s">
        <v>1357</v>
      </c>
    </row>
    <row r="739" spans="1:12">
      <c r="H739" t="s">
        <v>3677</v>
      </c>
      <c r="I739" t="s">
        <v>1357</v>
      </c>
      <c r="J739" t="s">
        <v>1357</v>
      </c>
      <c r="K739" t="s">
        <v>1357</v>
      </c>
      <c r="L739" t="s">
        <v>1357</v>
      </c>
    </row>
    <row r="740" spans="1:12">
      <c r="H740" t="s">
        <v>3678</v>
      </c>
      <c r="I740" t="s">
        <v>1357</v>
      </c>
      <c r="J740" t="s">
        <v>1357</v>
      </c>
      <c r="K740" t="s">
        <v>1357</v>
      </c>
      <c r="L740" t="s">
        <v>1357</v>
      </c>
    </row>
    <row r="741" spans="1:12">
      <c r="H741" t="s">
        <v>3679</v>
      </c>
      <c r="I741" t="s">
        <v>1357</v>
      </c>
      <c r="J741" t="s">
        <v>1357</v>
      </c>
      <c r="K741" t="s">
        <v>1357</v>
      </c>
      <c r="L741" t="s">
        <v>1357</v>
      </c>
    </row>
    <row r="742" spans="1:12">
      <c r="H742" t="s">
        <v>3680</v>
      </c>
      <c r="I742" t="s">
        <v>1357</v>
      </c>
      <c r="J742" t="s">
        <v>1357</v>
      </c>
      <c r="K742" t="s">
        <v>1357</v>
      </c>
      <c r="L742" t="s">
        <v>1357</v>
      </c>
    </row>
    <row r="743" spans="1:12">
      <c r="H743" t="s">
        <v>3681</v>
      </c>
      <c r="I743" t="s">
        <v>1357</v>
      </c>
      <c r="J743" t="s">
        <v>1357</v>
      </c>
      <c r="K743" t="s">
        <v>1357</v>
      </c>
      <c r="L743" t="s">
        <v>1357</v>
      </c>
    </row>
    <row r="744" spans="1:12">
      <c r="H744" t="s">
        <v>3682</v>
      </c>
      <c r="I744" t="s">
        <v>1357</v>
      </c>
      <c r="J744" t="s">
        <v>1357</v>
      </c>
      <c r="K744" t="s">
        <v>1357</v>
      </c>
      <c r="L744" t="s">
        <v>1357</v>
      </c>
    </row>
    <row r="745" spans="1:12">
      <c r="H745" t="s">
        <v>3683</v>
      </c>
      <c r="I745" t="s">
        <v>1357</v>
      </c>
      <c r="J745" t="s">
        <v>1357</v>
      </c>
      <c r="K745" t="s">
        <v>1357</v>
      </c>
      <c r="L745" t="s">
        <v>1357</v>
      </c>
    </row>
    <row r="746" spans="1:12">
      <c r="H746" t="s">
        <v>3684</v>
      </c>
      <c r="I746" t="s">
        <v>1357</v>
      </c>
      <c r="J746" t="s">
        <v>1357</v>
      </c>
      <c r="K746" t="s">
        <v>1357</v>
      </c>
      <c r="L746" t="s">
        <v>1357</v>
      </c>
    </row>
    <row r="747" spans="1:12">
      <c r="H747" t="s">
        <v>3685</v>
      </c>
      <c r="I747" t="s">
        <v>1357</v>
      </c>
      <c r="J747" t="s">
        <v>1357</v>
      </c>
      <c r="K747" t="s">
        <v>1357</v>
      </c>
      <c r="L747" t="s">
        <v>1357</v>
      </c>
    </row>
    <row r="748" spans="1:12">
      <c r="A748" t="s">
        <v>1922</v>
      </c>
      <c r="B748">
        <f>HYPERLINK("https://github.com/apache/commons-math/commit/22d13e12320f2d878880eba50a5bcdc48aa63cc3", "22d13e12320f2d878880eba50a5bcdc48aa63cc3")</f>
        <v>0</v>
      </c>
      <c r="C748">
        <f>HYPERLINK("https://github.com/apache/commons-math/commit/b51a782d1bc3088d71eb2dfeabc1885b259c74d3", "b51a782d1bc3088d71eb2dfeabc1885b259c74d3")</f>
        <v>0</v>
      </c>
      <c r="D748" t="s">
        <v>2146</v>
      </c>
      <c r="E748" t="s">
        <v>2211</v>
      </c>
      <c r="F748" t="s">
        <v>2502</v>
      </c>
      <c r="G748" t="s">
        <v>2964</v>
      </c>
      <c r="H748" t="s">
        <v>3686</v>
      </c>
      <c r="I748" t="s">
        <v>1358</v>
      </c>
      <c r="J748" t="s">
        <v>1358</v>
      </c>
      <c r="K748" t="s">
        <v>1358</v>
      </c>
      <c r="L748" t="s">
        <v>1358</v>
      </c>
    </row>
    <row r="749" spans="1:12">
      <c r="H749" t="s">
        <v>3687</v>
      </c>
      <c r="I749" t="s">
        <v>1358</v>
      </c>
      <c r="J749" t="s">
        <v>1358</v>
      </c>
      <c r="K749" t="s">
        <v>1358</v>
      </c>
      <c r="L749" t="s">
        <v>1358</v>
      </c>
    </row>
    <row r="750" spans="1:12">
      <c r="A750" t="s">
        <v>1923</v>
      </c>
      <c r="B750">
        <f>HYPERLINK("https://github.com/apache/commons-math/commit/670ebf6f931bb80bcad63a07ab950afed5a262c5", "670ebf6f931bb80bcad63a07ab950afed5a262c5")</f>
        <v>0</v>
      </c>
      <c r="C750">
        <f>HYPERLINK("https://github.com/apache/commons-math/commit/d3f7151590189213b544c9736c0611332dc022c1", "d3f7151590189213b544c9736c0611332dc022c1")</f>
        <v>0</v>
      </c>
      <c r="D750" t="s">
        <v>2148</v>
      </c>
      <c r="E750" t="s">
        <v>2212</v>
      </c>
      <c r="F750" t="s">
        <v>2449</v>
      </c>
      <c r="G750" t="s">
        <v>2922</v>
      </c>
      <c r="H750" t="s">
        <v>3396</v>
      </c>
      <c r="I750" t="s">
        <v>1357</v>
      </c>
      <c r="J750" t="s">
        <v>1357</v>
      </c>
      <c r="K750" t="s">
        <v>1357</v>
      </c>
      <c r="L750" t="s">
        <v>1357</v>
      </c>
    </row>
    <row r="751" spans="1:12">
      <c r="H751" t="s">
        <v>3397</v>
      </c>
      <c r="I751" t="s">
        <v>1357</v>
      </c>
      <c r="J751" t="s">
        <v>1357</v>
      </c>
      <c r="K751" t="s">
        <v>1357</v>
      </c>
      <c r="L751" t="s">
        <v>1357</v>
      </c>
    </row>
    <row r="752" spans="1:12">
      <c r="H752" t="s">
        <v>3398</v>
      </c>
      <c r="I752" t="s">
        <v>1357</v>
      </c>
      <c r="J752" t="s">
        <v>1357</v>
      </c>
      <c r="K752" t="s">
        <v>1357</v>
      </c>
      <c r="L752" t="s">
        <v>1357</v>
      </c>
    </row>
    <row r="753" spans="1:13">
      <c r="H753" t="s">
        <v>3399</v>
      </c>
      <c r="I753" t="s">
        <v>1357</v>
      </c>
      <c r="J753" t="s">
        <v>1357</v>
      </c>
      <c r="K753" t="s">
        <v>1357</v>
      </c>
      <c r="L753" t="s">
        <v>1357</v>
      </c>
    </row>
    <row r="754" spans="1:13">
      <c r="H754" t="s">
        <v>3688</v>
      </c>
      <c r="I754" t="s">
        <v>1357</v>
      </c>
      <c r="J754" t="s">
        <v>1357</v>
      </c>
      <c r="K754" t="s">
        <v>1357</v>
      </c>
      <c r="L754" t="s">
        <v>1357</v>
      </c>
    </row>
    <row r="755" spans="1:13">
      <c r="A755" t="s">
        <v>1924</v>
      </c>
      <c r="B755">
        <f>HYPERLINK("https://github.com/apache/commons-math/commit/9e8e88d91649762dbcc94c803e637d8f7c57cf3c", "9e8e88d91649762dbcc94c803e637d8f7c57cf3c")</f>
        <v>0</v>
      </c>
      <c r="C755">
        <f>HYPERLINK("https://github.com/apache/commons-math/commit/13ea282ab8fa16207f871ed08b9c329112fa7cbd", "13ea282ab8fa16207f871ed08b9c329112fa7cbd")</f>
        <v>0</v>
      </c>
      <c r="D755" t="s">
        <v>2148</v>
      </c>
      <c r="E755" t="s">
        <v>2213</v>
      </c>
      <c r="F755" t="s">
        <v>2483</v>
      </c>
      <c r="G755" t="s">
        <v>2946</v>
      </c>
      <c r="H755" t="s">
        <v>795</v>
      </c>
      <c r="I755" t="s">
        <v>1357</v>
      </c>
      <c r="J755" t="s">
        <v>1357</v>
      </c>
      <c r="K755" t="s">
        <v>1357</v>
      </c>
      <c r="L755" t="s">
        <v>1357</v>
      </c>
    </row>
    <row r="756" spans="1:13">
      <c r="A756" t="s">
        <v>1925</v>
      </c>
      <c r="B756">
        <f>HYPERLINK("https://github.com/apache/commons-math/commit/2c36a666c7a9efdfab8490c12f76a98c28ebfb06", "2c36a666c7a9efdfab8490c12f76a98c28ebfb06")</f>
        <v>0</v>
      </c>
      <c r="C756">
        <f>HYPERLINK("https://github.com/apache/commons-math/commit/fc3b778033c3f8df1ca657e25a740958bcf287c7", "fc3b778033c3f8df1ca657e25a740958bcf287c7")</f>
        <v>0</v>
      </c>
      <c r="D756" t="s">
        <v>2148</v>
      </c>
      <c r="E756" t="s">
        <v>2214</v>
      </c>
      <c r="F756" t="s">
        <v>2503</v>
      </c>
      <c r="G756" t="s">
        <v>2965</v>
      </c>
      <c r="H756" t="s">
        <v>3689</v>
      </c>
      <c r="I756" t="s">
        <v>1357</v>
      </c>
      <c r="J756" t="s">
        <v>1357</v>
      </c>
      <c r="K756" t="s">
        <v>1357</v>
      </c>
      <c r="L756" t="s">
        <v>1357</v>
      </c>
    </row>
    <row r="757" spans="1:13">
      <c r="F757" t="s">
        <v>2504</v>
      </c>
      <c r="G757" t="s">
        <v>2966</v>
      </c>
      <c r="H757" t="s">
        <v>3690</v>
      </c>
      <c r="I757" t="s">
        <v>1357</v>
      </c>
      <c r="J757" t="s">
        <v>1357</v>
      </c>
      <c r="K757" t="s">
        <v>1357</v>
      </c>
      <c r="L757" t="s">
        <v>1357</v>
      </c>
    </row>
    <row r="758" spans="1:13">
      <c r="F758" t="s">
        <v>2505</v>
      </c>
      <c r="G758" t="s">
        <v>2967</v>
      </c>
      <c r="H758" t="s">
        <v>3690</v>
      </c>
      <c r="I758" t="s">
        <v>1357</v>
      </c>
      <c r="J758" t="s">
        <v>1357</v>
      </c>
      <c r="K758" t="s">
        <v>1357</v>
      </c>
      <c r="L758" t="s">
        <v>1357</v>
      </c>
    </row>
    <row r="759" spans="1:13">
      <c r="A759" t="s">
        <v>1926</v>
      </c>
      <c r="B759">
        <f>HYPERLINK("https://github.com/apache/commons-math/commit/483f55064e9953267fa1fdc8819aac9a3c239a30", "483f55064e9953267fa1fdc8819aac9a3c239a30")</f>
        <v>0</v>
      </c>
      <c r="C759">
        <f>HYPERLINK("https://github.com/apache/commons-math/commit/cc080433e43be46b9bd92e21977a6f98553c16e9", "cc080433e43be46b9bd92e21977a6f98553c16e9")</f>
        <v>0</v>
      </c>
      <c r="D759" t="s">
        <v>2148</v>
      </c>
      <c r="E759" t="s">
        <v>2215</v>
      </c>
      <c r="F759" t="s">
        <v>2505</v>
      </c>
      <c r="G759" t="s">
        <v>2967</v>
      </c>
      <c r="H759" t="s">
        <v>3596</v>
      </c>
      <c r="I759" t="s">
        <v>1358</v>
      </c>
      <c r="J759" t="s">
        <v>1358</v>
      </c>
      <c r="K759" t="s">
        <v>1358</v>
      </c>
      <c r="L759" t="s">
        <v>1358</v>
      </c>
    </row>
    <row r="760" spans="1:13">
      <c r="A760" t="s">
        <v>1927</v>
      </c>
      <c r="B760">
        <f>HYPERLINK("https://github.com/apache/commons-math/commit/71a29150bb9794bdcece023f961831d904055719", "71a29150bb9794bdcece023f961831d904055719")</f>
        <v>0</v>
      </c>
      <c r="C760">
        <f>HYPERLINK("https://github.com/apache/commons-math/commit/50fea383986e6f7815d87d9b5ed6dc4e0fdaa3e9", "50fea383986e6f7815d87d9b5ed6dc4e0fdaa3e9")</f>
        <v>0</v>
      </c>
      <c r="D760" t="s">
        <v>2148</v>
      </c>
      <c r="E760" t="s">
        <v>2216</v>
      </c>
      <c r="F760" t="s">
        <v>2506</v>
      </c>
      <c r="G760" t="s">
        <v>2968</v>
      </c>
      <c r="H760" t="s">
        <v>3691</v>
      </c>
      <c r="I760" t="s">
        <v>1357</v>
      </c>
      <c r="J760" t="s">
        <v>1357</v>
      </c>
      <c r="K760" t="s">
        <v>1357</v>
      </c>
      <c r="L760" t="s">
        <v>1357</v>
      </c>
    </row>
    <row r="761" spans="1:13">
      <c r="H761" t="s">
        <v>3692</v>
      </c>
      <c r="I761" t="s">
        <v>1357</v>
      </c>
      <c r="J761" t="s">
        <v>1357</v>
      </c>
      <c r="K761" t="s">
        <v>1357</v>
      </c>
      <c r="L761" t="s">
        <v>1357</v>
      </c>
    </row>
    <row r="762" spans="1:13">
      <c r="H762" t="s">
        <v>3693</v>
      </c>
      <c r="I762" t="s">
        <v>1357</v>
      </c>
      <c r="J762" t="s">
        <v>1357</v>
      </c>
      <c r="K762" t="s">
        <v>1357</v>
      </c>
      <c r="L762" t="s">
        <v>1357</v>
      </c>
    </row>
    <row r="763" spans="1:13">
      <c r="H763" t="s">
        <v>3694</v>
      </c>
      <c r="I763" t="s">
        <v>1357</v>
      </c>
      <c r="J763" t="s">
        <v>1357</v>
      </c>
      <c r="K763" t="s">
        <v>1357</v>
      </c>
      <c r="L763" t="s">
        <v>1357</v>
      </c>
    </row>
    <row r="764" spans="1:13">
      <c r="A764" t="s">
        <v>1928</v>
      </c>
      <c r="B764">
        <f>HYPERLINK("https://github.com/apache/commons-math/commit/8ce2128585be00b451355dd616fc995ddb0be741", "8ce2128585be00b451355dd616fc995ddb0be741")</f>
        <v>0</v>
      </c>
      <c r="C764">
        <f>HYPERLINK("https://github.com/apache/commons-math/commit/6a965532e6fa5cb6c12ec3192ee0b8f0ec7a46f0", "6a965532e6fa5cb6c12ec3192ee0b8f0ec7a46f0")</f>
        <v>0</v>
      </c>
      <c r="D764" t="s">
        <v>2148</v>
      </c>
      <c r="E764" t="s">
        <v>2217</v>
      </c>
      <c r="F764" t="s">
        <v>2507</v>
      </c>
      <c r="G764" t="s">
        <v>2969</v>
      </c>
      <c r="H764" t="s">
        <v>3695</v>
      </c>
      <c r="I764" t="s">
        <v>1357</v>
      </c>
      <c r="J764" t="s">
        <v>1357</v>
      </c>
      <c r="K764" t="s">
        <v>1357</v>
      </c>
      <c r="L764" t="s">
        <v>1357</v>
      </c>
    </row>
    <row r="765" spans="1:13">
      <c r="H765" t="s">
        <v>3696</v>
      </c>
      <c r="I765" t="s">
        <v>1357</v>
      </c>
      <c r="J765" t="s">
        <v>1357</v>
      </c>
      <c r="K765" t="s">
        <v>1357</v>
      </c>
      <c r="L765" t="s">
        <v>1357</v>
      </c>
      <c r="M765" t="s">
        <v>1365</v>
      </c>
    </row>
    <row r="766" spans="1:13">
      <c r="H766" t="s">
        <v>3697</v>
      </c>
      <c r="I766" t="s">
        <v>1357</v>
      </c>
      <c r="J766" t="s">
        <v>1357</v>
      </c>
      <c r="K766" t="s">
        <v>1357</v>
      </c>
      <c r="L766" t="s">
        <v>1357</v>
      </c>
    </row>
    <row r="767" spans="1:13">
      <c r="F767" t="s">
        <v>2508</v>
      </c>
      <c r="G767" t="s">
        <v>2970</v>
      </c>
      <c r="H767" t="s">
        <v>3695</v>
      </c>
      <c r="I767" t="s">
        <v>1357</v>
      </c>
      <c r="J767" t="s">
        <v>1357</v>
      </c>
      <c r="K767" t="s">
        <v>1357</v>
      </c>
      <c r="L767" t="s">
        <v>1357</v>
      </c>
    </row>
    <row r="768" spans="1:13">
      <c r="H768" t="s">
        <v>3696</v>
      </c>
      <c r="I768" t="s">
        <v>1357</v>
      </c>
      <c r="J768" t="s">
        <v>1357</v>
      </c>
      <c r="K768" t="s">
        <v>1357</v>
      </c>
      <c r="L768" t="s">
        <v>1357</v>
      </c>
      <c r="M768" t="s">
        <v>1365</v>
      </c>
    </row>
    <row r="769" spans="1:13">
      <c r="F769" t="s">
        <v>2509</v>
      </c>
      <c r="G769" t="s">
        <v>2971</v>
      </c>
      <c r="H769" t="s">
        <v>3695</v>
      </c>
      <c r="I769" t="s">
        <v>1357</v>
      </c>
      <c r="J769" t="s">
        <v>1357</v>
      </c>
      <c r="K769" t="s">
        <v>1357</v>
      </c>
      <c r="L769" t="s">
        <v>1357</v>
      </c>
    </row>
    <row r="770" spans="1:13">
      <c r="H770" t="s">
        <v>3696</v>
      </c>
      <c r="I770" t="s">
        <v>1357</v>
      </c>
      <c r="J770" t="s">
        <v>1357</v>
      </c>
      <c r="K770" t="s">
        <v>1357</v>
      </c>
      <c r="L770" t="s">
        <v>1357</v>
      </c>
      <c r="M770" t="s">
        <v>1365</v>
      </c>
    </row>
    <row r="771" spans="1:13">
      <c r="F771" t="s">
        <v>2510</v>
      </c>
      <c r="G771" t="s">
        <v>2972</v>
      </c>
      <c r="H771" t="s">
        <v>3695</v>
      </c>
      <c r="I771" t="s">
        <v>1357</v>
      </c>
      <c r="J771" t="s">
        <v>1357</v>
      </c>
      <c r="K771" t="s">
        <v>1357</v>
      </c>
      <c r="L771" t="s">
        <v>1357</v>
      </c>
    </row>
    <row r="772" spans="1:13">
      <c r="H772" t="s">
        <v>3696</v>
      </c>
      <c r="I772" t="s">
        <v>1357</v>
      </c>
      <c r="J772" t="s">
        <v>1357</v>
      </c>
      <c r="K772" t="s">
        <v>1357</v>
      </c>
      <c r="L772" t="s">
        <v>1357</v>
      </c>
    </row>
    <row r="773" spans="1:13">
      <c r="H773" t="s">
        <v>3698</v>
      </c>
      <c r="I773" t="s">
        <v>1357</v>
      </c>
      <c r="J773" t="s">
        <v>1357</v>
      </c>
      <c r="K773" t="s">
        <v>1357</v>
      </c>
      <c r="L773" t="s">
        <v>1357</v>
      </c>
      <c r="M773" t="s">
        <v>1365</v>
      </c>
    </row>
    <row r="774" spans="1:13">
      <c r="A774" t="s">
        <v>1929</v>
      </c>
      <c r="B774">
        <f>HYPERLINK("https://github.com/apache/commons-math/commit/c37f06ed3ad2de8d49a80ac46aae3ab7748598a4", "c37f06ed3ad2de8d49a80ac46aae3ab7748598a4")</f>
        <v>0</v>
      </c>
      <c r="C774">
        <f>HYPERLINK("https://github.com/apache/commons-math/commit/3a0df1ba4839d20d4ace6c0060c8e989b8c8f985", "3a0df1ba4839d20d4ace6c0060c8e989b8c8f985")</f>
        <v>0</v>
      </c>
      <c r="D774" t="s">
        <v>2148</v>
      </c>
      <c r="E774" t="s">
        <v>2218</v>
      </c>
      <c r="F774" t="s">
        <v>2511</v>
      </c>
      <c r="G774" t="s">
        <v>2973</v>
      </c>
      <c r="H774" t="s">
        <v>1707</v>
      </c>
      <c r="I774" t="s">
        <v>1357</v>
      </c>
      <c r="J774" t="s">
        <v>1357</v>
      </c>
      <c r="K774" t="s">
        <v>1357</v>
      </c>
      <c r="L774" t="s">
        <v>1357</v>
      </c>
    </row>
    <row r="775" spans="1:13">
      <c r="H775" t="s">
        <v>3699</v>
      </c>
      <c r="I775" t="s">
        <v>1357</v>
      </c>
      <c r="J775" t="s">
        <v>1357</v>
      </c>
      <c r="K775" t="s">
        <v>1357</v>
      </c>
      <c r="L775" t="s">
        <v>1357</v>
      </c>
    </row>
    <row r="776" spans="1:13">
      <c r="H776" t="s">
        <v>3700</v>
      </c>
      <c r="I776" t="s">
        <v>1357</v>
      </c>
      <c r="J776" t="s">
        <v>1357</v>
      </c>
      <c r="K776" t="s">
        <v>1357</v>
      </c>
      <c r="L776" t="s">
        <v>1357</v>
      </c>
    </row>
    <row r="777" spans="1:13">
      <c r="F777" t="s">
        <v>2512</v>
      </c>
      <c r="G777" t="s">
        <v>2974</v>
      </c>
      <c r="H777" t="s">
        <v>1707</v>
      </c>
      <c r="I777" t="s">
        <v>1357</v>
      </c>
      <c r="J777" t="s">
        <v>1357</v>
      </c>
      <c r="K777" t="s">
        <v>1357</v>
      </c>
      <c r="L777" t="s">
        <v>1357</v>
      </c>
    </row>
    <row r="778" spans="1:13">
      <c r="H778" t="s">
        <v>3701</v>
      </c>
      <c r="I778" t="s">
        <v>1357</v>
      </c>
      <c r="J778" t="s">
        <v>1357</v>
      </c>
      <c r="K778" t="s">
        <v>1357</v>
      </c>
      <c r="L778" t="s">
        <v>1357</v>
      </c>
    </row>
    <row r="779" spans="1:13">
      <c r="H779" t="s">
        <v>3702</v>
      </c>
      <c r="I779" t="s">
        <v>1357</v>
      </c>
      <c r="J779" t="s">
        <v>1357</v>
      </c>
      <c r="K779" t="s">
        <v>1357</v>
      </c>
      <c r="L779" t="s">
        <v>1357</v>
      </c>
    </row>
    <row r="780" spans="1:13">
      <c r="A780" t="s">
        <v>1930</v>
      </c>
      <c r="B780">
        <f>HYPERLINK("https://github.com/apache/commons-math/commit/d34584bb62d312df58b8e654a8cb91c0a380699d", "d34584bb62d312df58b8e654a8cb91c0a380699d")</f>
        <v>0</v>
      </c>
      <c r="C780">
        <f>HYPERLINK("https://github.com/apache/commons-math/commit/f692b4d38471a07458eb3bcfc5e3cc8212da7b46", "f692b4d38471a07458eb3bcfc5e3cc8212da7b46")</f>
        <v>0</v>
      </c>
      <c r="D780" t="s">
        <v>2148</v>
      </c>
      <c r="E780" t="s">
        <v>2219</v>
      </c>
      <c r="F780" t="s">
        <v>2513</v>
      </c>
      <c r="G780" t="s">
        <v>2975</v>
      </c>
      <c r="H780" t="s">
        <v>3703</v>
      </c>
      <c r="I780" t="s">
        <v>1357</v>
      </c>
      <c r="J780" t="s">
        <v>1357</v>
      </c>
      <c r="K780" t="s">
        <v>1357</v>
      </c>
      <c r="L780" t="s">
        <v>1357</v>
      </c>
    </row>
    <row r="781" spans="1:13">
      <c r="H781" t="s">
        <v>3397</v>
      </c>
      <c r="I781" t="s">
        <v>1357</v>
      </c>
      <c r="J781" t="s">
        <v>1357</v>
      </c>
      <c r="K781" t="s">
        <v>1357</v>
      </c>
      <c r="L781" t="s">
        <v>1357</v>
      </c>
    </row>
    <row r="782" spans="1:13">
      <c r="A782" t="s">
        <v>1931</v>
      </c>
      <c r="B782">
        <f>HYPERLINK("https://github.com/apache/commons-math/commit/b8ad7ef60696828e842e252845ace6b1799976ba", "b8ad7ef60696828e842e252845ace6b1799976ba")</f>
        <v>0</v>
      </c>
      <c r="C782">
        <f>HYPERLINK("https://github.com/apache/commons-math/commit/7ad5c8196b1221e2d820b4fdf52124543f7d1f5c", "7ad5c8196b1221e2d820b4fdf52124543f7d1f5c")</f>
        <v>0</v>
      </c>
      <c r="D782" t="s">
        <v>2146</v>
      </c>
      <c r="E782" t="s">
        <v>2220</v>
      </c>
      <c r="F782" t="s">
        <v>2514</v>
      </c>
      <c r="G782" t="s">
        <v>2976</v>
      </c>
      <c r="H782" t="s">
        <v>3704</v>
      </c>
      <c r="I782" t="s">
        <v>1357</v>
      </c>
      <c r="J782" t="s">
        <v>1357</v>
      </c>
      <c r="K782" t="s">
        <v>1357</v>
      </c>
      <c r="L782" t="s">
        <v>1357</v>
      </c>
    </row>
    <row r="783" spans="1:13">
      <c r="A783" t="s">
        <v>1932</v>
      </c>
      <c r="B783">
        <f>HYPERLINK("https://github.com/apache/commons-math/commit/273892eeca02f0e10f775625ba4964227e874d98", "273892eeca02f0e10f775625ba4964227e874d98")</f>
        <v>0</v>
      </c>
      <c r="C783">
        <f>HYPERLINK("https://github.com/apache/commons-math/commit/5c8715be36de620b6477050cceb7ed2bf3163058", "5c8715be36de620b6477050cceb7ed2bf3163058")</f>
        <v>0</v>
      </c>
      <c r="D783" t="s">
        <v>2148</v>
      </c>
      <c r="E783" t="s">
        <v>2221</v>
      </c>
      <c r="F783" t="s">
        <v>2515</v>
      </c>
      <c r="G783" t="s">
        <v>2977</v>
      </c>
      <c r="H783" t="s">
        <v>3705</v>
      </c>
      <c r="I783" t="s">
        <v>1358</v>
      </c>
      <c r="J783" t="s">
        <v>1358</v>
      </c>
      <c r="K783" t="s">
        <v>1358</v>
      </c>
      <c r="L783" t="s">
        <v>1358</v>
      </c>
    </row>
    <row r="784" spans="1:13">
      <c r="F784" t="s">
        <v>2516</v>
      </c>
      <c r="G784" t="s">
        <v>2978</v>
      </c>
      <c r="H784" t="s">
        <v>3705</v>
      </c>
      <c r="I784" t="s">
        <v>1358</v>
      </c>
      <c r="J784" t="s">
        <v>1358</v>
      </c>
      <c r="K784" t="s">
        <v>1358</v>
      </c>
      <c r="L784" t="s">
        <v>1358</v>
      </c>
    </row>
    <row r="785" spans="1:13">
      <c r="F785" t="s">
        <v>2517</v>
      </c>
      <c r="G785" t="s">
        <v>2979</v>
      </c>
      <c r="H785" t="s">
        <v>3705</v>
      </c>
      <c r="I785" t="s">
        <v>1358</v>
      </c>
      <c r="J785" t="s">
        <v>1358</v>
      </c>
      <c r="K785" t="s">
        <v>1358</v>
      </c>
      <c r="L785" t="s">
        <v>1358</v>
      </c>
    </row>
    <row r="786" spans="1:13">
      <c r="F786" t="s">
        <v>2518</v>
      </c>
      <c r="G786" t="s">
        <v>2980</v>
      </c>
      <c r="H786" t="s">
        <v>3705</v>
      </c>
      <c r="I786" t="s">
        <v>1358</v>
      </c>
      <c r="J786" t="s">
        <v>1358</v>
      </c>
      <c r="K786" t="s">
        <v>1358</v>
      </c>
      <c r="L786" t="s">
        <v>1358</v>
      </c>
    </row>
    <row r="787" spans="1:13">
      <c r="F787" t="s">
        <v>2519</v>
      </c>
      <c r="G787" t="s">
        <v>2981</v>
      </c>
      <c r="H787" t="s">
        <v>3705</v>
      </c>
      <c r="I787" t="s">
        <v>1358</v>
      </c>
      <c r="J787" t="s">
        <v>1358</v>
      </c>
      <c r="K787" t="s">
        <v>1358</v>
      </c>
      <c r="L787" t="s">
        <v>1358</v>
      </c>
    </row>
    <row r="788" spans="1:13">
      <c r="F788" t="s">
        <v>2520</v>
      </c>
      <c r="G788" t="s">
        <v>2982</v>
      </c>
      <c r="H788" t="s">
        <v>3705</v>
      </c>
      <c r="I788" t="s">
        <v>1358</v>
      </c>
      <c r="J788" t="s">
        <v>1358</v>
      </c>
      <c r="K788" t="s">
        <v>1358</v>
      </c>
      <c r="L788" t="s">
        <v>1358</v>
      </c>
    </row>
    <row r="789" spans="1:13">
      <c r="F789" t="s">
        <v>2521</v>
      </c>
      <c r="G789" t="s">
        <v>2983</v>
      </c>
      <c r="H789" t="s">
        <v>3705</v>
      </c>
      <c r="I789" t="s">
        <v>1358</v>
      </c>
      <c r="J789" t="s">
        <v>1358</v>
      </c>
      <c r="K789" t="s">
        <v>1358</v>
      </c>
      <c r="L789" t="s">
        <v>1358</v>
      </c>
    </row>
    <row r="790" spans="1:13">
      <c r="A790" t="s">
        <v>1933</v>
      </c>
      <c r="B790">
        <f>HYPERLINK("https://github.com/apache/commons-math/commit/e33f09ce4fe77a1ce2aa90461f9b9d87d89404ce", "e33f09ce4fe77a1ce2aa90461f9b9d87d89404ce")</f>
        <v>0</v>
      </c>
      <c r="C790">
        <f>HYPERLINK("https://github.com/apache/commons-math/commit/2c1d911e2acef6bc216adfccbe91e034c2e47a17", "2c1d911e2acef6bc216adfccbe91e034c2e47a17")</f>
        <v>0</v>
      </c>
      <c r="D790" t="s">
        <v>2148</v>
      </c>
      <c r="E790" t="s">
        <v>2222</v>
      </c>
      <c r="F790" t="s">
        <v>2522</v>
      </c>
      <c r="G790" t="s">
        <v>2984</v>
      </c>
      <c r="H790" t="s">
        <v>3706</v>
      </c>
      <c r="I790" t="s">
        <v>1357</v>
      </c>
      <c r="J790" t="s">
        <v>1357</v>
      </c>
      <c r="K790" t="s">
        <v>1357</v>
      </c>
      <c r="L790" t="s">
        <v>1357</v>
      </c>
      <c r="M790" t="s">
        <v>1361</v>
      </c>
    </row>
    <row r="791" spans="1:13">
      <c r="H791" t="s">
        <v>3613</v>
      </c>
      <c r="I791" t="s">
        <v>1357</v>
      </c>
      <c r="J791" t="s">
        <v>1357</v>
      </c>
      <c r="K791" t="s">
        <v>1357</v>
      </c>
      <c r="L791" t="s">
        <v>1357</v>
      </c>
    </row>
    <row r="792" spans="1:13">
      <c r="F792" t="s">
        <v>2523</v>
      </c>
      <c r="G792" t="s">
        <v>2985</v>
      </c>
      <c r="H792" t="s">
        <v>3707</v>
      </c>
      <c r="I792" t="s">
        <v>1357</v>
      </c>
      <c r="J792" t="s">
        <v>1357</v>
      </c>
      <c r="K792" t="s">
        <v>1357</v>
      </c>
      <c r="L792" t="s">
        <v>1357</v>
      </c>
    </row>
    <row r="793" spans="1:13">
      <c r="H793" t="s">
        <v>3708</v>
      </c>
      <c r="I793" t="s">
        <v>1357</v>
      </c>
      <c r="J793" t="s">
        <v>1357</v>
      </c>
      <c r="K793" t="s">
        <v>1357</v>
      </c>
      <c r="L793" t="s">
        <v>1357</v>
      </c>
    </row>
    <row r="794" spans="1:13">
      <c r="H794" t="s">
        <v>3613</v>
      </c>
      <c r="I794" t="s">
        <v>1357</v>
      </c>
      <c r="J794" t="s">
        <v>1357</v>
      </c>
      <c r="K794" t="s">
        <v>1357</v>
      </c>
      <c r="L794" t="s">
        <v>1357</v>
      </c>
    </row>
    <row r="795" spans="1:13">
      <c r="A795" t="s">
        <v>1934</v>
      </c>
      <c r="B795">
        <f>HYPERLINK("https://github.com/apache/commons-math/commit/8de68c4404b566ff8809ff9a5d896d277d56e5cc", "8de68c4404b566ff8809ff9a5d896d277d56e5cc")</f>
        <v>0</v>
      </c>
      <c r="C795">
        <f>HYPERLINK("https://github.com/apache/commons-math/commit/8b63564297d3a19f26d0325edb6bf0cde4a629b4", "8b63564297d3a19f26d0325edb6bf0cde4a629b4")</f>
        <v>0</v>
      </c>
      <c r="D795" t="s">
        <v>2148</v>
      </c>
      <c r="E795" t="s">
        <v>2223</v>
      </c>
      <c r="F795" t="s">
        <v>2513</v>
      </c>
      <c r="G795" t="s">
        <v>2975</v>
      </c>
      <c r="H795" t="s">
        <v>3709</v>
      </c>
      <c r="I795" t="s">
        <v>1357</v>
      </c>
      <c r="J795" t="s">
        <v>1357</v>
      </c>
      <c r="K795" t="s">
        <v>1357</v>
      </c>
      <c r="L795" t="s">
        <v>1357</v>
      </c>
    </row>
    <row r="796" spans="1:13">
      <c r="H796" t="s">
        <v>3710</v>
      </c>
      <c r="I796" t="s">
        <v>1357</v>
      </c>
      <c r="J796" t="s">
        <v>1357</v>
      </c>
      <c r="K796" t="s">
        <v>1357</v>
      </c>
      <c r="L796" t="s">
        <v>1357</v>
      </c>
    </row>
    <row r="797" spans="1:13">
      <c r="H797" t="s">
        <v>3711</v>
      </c>
      <c r="I797" t="s">
        <v>1357</v>
      </c>
      <c r="J797" t="s">
        <v>1357</v>
      </c>
      <c r="K797" t="s">
        <v>1357</v>
      </c>
      <c r="L797" t="s">
        <v>1357</v>
      </c>
    </row>
    <row r="798" spans="1:13">
      <c r="H798" t="s">
        <v>3712</v>
      </c>
      <c r="I798" t="s">
        <v>1357</v>
      </c>
      <c r="J798" t="s">
        <v>1357</v>
      </c>
      <c r="K798" t="s">
        <v>1357</v>
      </c>
      <c r="L798" t="s">
        <v>1357</v>
      </c>
    </row>
    <row r="799" spans="1:13">
      <c r="H799" t="s">
        <v>3713</v>
      </c>
      <c r="I799" t="s">
        <v>1357</v>
      </c>
      <c r="J799" t="s">
        <v>1357</v>
      </c>
      <c r="K799" t="s">
        <v>1357</v>
      </c>
      <c r="L799" t="s">
        <v>1357</v>
      </c>
    </row>
    <row r="800" spans="1:13">
      <c r="H800" t="s">
        <v>3714</v>
      </c>
      <c r="I800" t="s">
        <v>1357</v>
      </c>
      <c r="J800" t="s">
        <v>1357</v>
      </c>
      <c r="K800" t="s">
        <v>1357</v>
      </c>
      <c r="L800" t="s">
        <v>1357</v>
      </c>
    </row>
    <row r="801" spans="1:13">
      <c r="H801" t="s">
        <v>3715</v>
      </c>
      <c r="I801" t="s">
        <v>1357</v>
      </c>
      <c r="J801" t="s">
        <v>1357</v>
      </c>
      <c r="K801" t="s">
        <v>1357</v>
      </c>
      <c r="L801" t="s">
        <v>1357</v>
      </c>
    </row>
    <row r="802" spans="1:13">
      <c r="H802" t="s">
        <v>3716</v>
      </c>
      <c r="I802" t="s">
        <v>1357</v>
      </c>
      <c r="J802" t="s">
        <v>1357</v>
      </c>
      <c r="K802" t="s">
        <v>1357</v>
      </c>
      <c r="L802" t="s">
        <v>1357</v>
      </c>
    </row>
    <row r="803" spans="1:13">
      <c r="H803" t="s">
        <v>3717</v>
      </c>
      <c r="I803" t="s">
        <v>1357</v>
      </c>
      <c r="J803" t="s">
        <v>1357</v>
      </c>
      <c r="K803" t="s">
        <v>1357</v>
      </c>
      <c r="L803" t="s">
        <v>1357</v>
      </c>
    </row>
    <row r="804" spans="1:13">
      <c r="H804" t="s">
        <v>3718</v>
      </c>
      <c r="I804" t="s">
        <v>1357</v>
      </c>
      <c r="J804" t="s">
        <v>1357</v>
      </c>
      <c r="K804" t="s">
        <v>1357</v>
      </c>
      <c r="L804" t="s">
        <v>1357</v>
      </c>
    </row>
    <row r="805" spans="1:13">
      <c r="H805" t="s">
        <v>3719</v>
      </c>
      <c r="I805" t="s">
        <v>1357</v>
      </c>
      <c r="J805" t="s">
        <v>1357</v>
      </c>
      <c r="K805" t="s">
        <v>1357</v>
      </c>
      <c r="L805" t="s">
        <v>1357</v>
      </c>
    </row>
    <row r="806" spans="1:13">
      <c r="H806" t="s">
        <v>3720</v>
      </c>
      <c r="I806" t="s">
        <v>1357</v>
      </c>
      <c r="J806" t="s">
        <v>1357</v>
      </c>
      <c r="K806" t="s">
        <v>1357</v>
      </c>
      <c r="L806" t="s">
        <v>1357</v>
      </c>
    </row>
    <row r="807" spans="1:13">
      <c r="H807" t="s">
        <v>3721</v>
      </c>
      <c r="I807" t="s">
        <v>1357</v>
      </c>
      <c r="J807" t="s">
        <v>1357</v>
      </c>
      <c r="K807" t="s">
        <v>1357</v>
      </c>
      <c r="L807" t="s">
        <v>1357</v>
      </c>
    </row>
    <row r="808" spans="1:13">
      <c r="H808" t="s">
        <v>3722</v>
      </c>
      <c r="I808" t="s">
        <v>1357</v>
      </c>
      <c r="J808" t="s">
        <v>1357</v>
      </c>
      <c r="K808" t="s">
        <v>1357</v>
      </c>
      <c r="L808" t="s">
        <v>1357</v>
      </c>
    </row>
    <row r="809" spans="1:13">
      <c r="H809" t="s">
        <v>3723</v>
      </c>
      <c r="I809" t="s">
        <v>1357</v>
      </c>
      <c r="J809" t="s">
        <v>1357</v>
      </c>
      <c r="K809" t="s">
        <v>1357</v>
      </c>
      <c r="L809" t="s">
        <v>1357</v>
      </c>
    </row>
    <row r="810" spans="1:13">
      <c r="H810" t="s">
        <v>3724</v>
      </c>
      <c r="I810" t="s">
        <v>1357</v>
      </c>
      <c r="J810" t="s">
        <v>1357</v>
      </c>
      <c r="K810" t="s">
        <v>1357</v>
      </c>
      <c r="L810" t="s">
        <v>1357</v>
      </c>
    </row>
    <row r="811" spans="1:13">
      <c r="A811" t="s">
        <v>1935</v>
      </c>
      <c r="B811">
        <f>HYPERLINK("https://github.com/apache/commons-math/commit/4db6140e9ada212e4e10c0f650cea9264624d2ce", "4db6140e9ada212e4e10c0f650cea9264624d2ce")</f>
        <v>0</v>
      </c>
      <c r="C811">
        <f>HYPERLINK("https://github.com/apache/commons-math/commit/1cdc029378f3b7d8031152990215911460c02644", "1cdc029378f3b7d8031152990215911460c02644")</f>
        <v>0</v>
      </c>
      <c r="D811" t="s">
        <v>2148</v>
      </c>
      <c r="E811" t="s">
        <v>2224</v>
      </c>
      <c r="F811" t="s">
        <v>2524</v>
      </c>
      <c r="G811" t="s">
        <v>2986</v>
      </c>
      <c r="H811" t="s">
        <v>3725</v>
      </c>
      <c r="I811" t="s">
        <v>1357</v>
      </c>
      <c r="J811" t="s">
        <v>1357</v>
      </c>
      <c r="K811" t="s">
        <v>1357</v>
      </c>
      <c r="L811" t="s">
        <v>1357</v>
      </c>
    </row>
    <row r="812" spans="1:13">
      <c r="A812" t="s">
        <v>1936</v>
      </c>
      <c r="B812">
        <f>HYPERLINK("https://github.com/apache/commons-math/commit/2138d3bfbab31de768da28cba774f0efb701071a", "2138d3bfbab31de768da28cba774f0efb701071a")</f>
        <v>0</v>
      </c>
      <c r="C812">
        <f>HYPERLINK("https://github.com/apache/commons-math/commit/6dec8fa07d48acd31d8ddca879b774256f8860db", "6dec8fa07d48acd31d8ddca879b774256f8860db")</f>
        <v>0</v>
      </c>
      <c r="D812" t="s">
        <v>2148</v>
      </c>
      <c r="E812" t="s">
        <v>2225</v>
      </c>
      <c r="F812" t="s">
        <v>2525</v>
      </c>
      <c r="G812" t="s">
        <v>2987</v>
      </c>
      <c r="H812" t="s">
        <v>3726</v>
      </c>
      <c r="I812" t="s">
        <v>1357</v>
      </c>
      <c r="J812" t="s">
        <v>1357</v>
      </c>
      <c r="K812" t="s">
        <v>1357</v>
      </c>
      <c r="L812" t="s">
        <v>1357</v>
      </c>
    </row>
    <row r="813" spans="1:13">
      <c r="A813" t="s">
        <v>1937</v>
      </c>
      <c r="B813">
        <f>HYPERLINK("https://github.com/apache/commons-math/commit/2a1842f3ef3a665fac85672aeff02f55e6c576a0", "2a1842f3ef3a665fac85672aeff02f55e6c576a0")</f>
        <v>0</v>
      </c>
      <c r="C813">
        <f>HYPERLINK("https://github.com/apache/commons-math/commit/6463532544ea30ce8605a0ad689fb53a30567493", "6463532544ea30ce8605a0ad689fb53a30567493")</f>
        <v>0</v>
      </c>
      <c r="D813" t="s">
        <v>2148</v>
      </c>
      <c r="E813" t="s">
        <v>2226</v>
      </c>
      <c r="F813" t="s">
        <v>2526</v>
      </c>
      <c r="G813" t="s">
        <v>2988</v>
      </c>
      <c r="H813" t="s">
        <v>3727</v>
      </c>
      <c r="I813" t="s">
        <v>1357</v>
      </c>
      <c r="J813" t="s">
        <v>1357</v>
      </c>
      <c r="K813" t="s">
        <v>1357</v>
      </c>
      <c r="L813" t="s">
        <v>1357</v>
      </c>
    </row>
    <row r="814" spans="1:13">
      <c r="H814" t="s">
        <v>3728</v>
      </c>
      <c r="I814" t="s">
        <v>1357</v>
      </c>
      <c r="J814" t="s">
        <v>1357</v>
      </c>
      <c r="K814" t="s">
        <v>1357</v>
      </c>
      <c r="L814" t="s">
        <v>1357</v>
      </c>
    </row>
    <row r="815" spans="1:13">
      <c r="H815" t="s">
        <v>3729</v>
      </c>
      <c r="I815" t="s">
        <v>1357</v>
      </c>
      <c r="J815" t="s">
        <v>1357</v>
      </c>
      <c r="K815" t="s">
        <v>1357</v>
      </c>
      <c r="L815" t="s">
        <v>1357</v>
      </c>
    </row>
    <row r="816" spans="1:13">
      <c r="A816" t="s">
        <v>1938</v>
      </c>
      <c r="B816">
        <f>HYPERLINK("https://github.com/apache/commons-math/commit/d8575cde512b07b039a14b15fb3a196dacaf9a99", "d8575cde512b07b039a14b15fb3a196dacaf9a99")</f>
        <v>0</v>
      </c>
      <c r="C816">
        <f>HYPERLINK("https://github.com/apache/commons-math/commit/83ec0f9328645c8b6ee4b24811f978011d4142fa", "83ec0f9328645c8b6ee4b24811f978011d4142fa")</f>
        <v>0</v>
      </c>
      <c r="D816" t="s">
        <v>2148</v>
      </c>
      <c r="E816" t="s">
        <v>2227</v>
      </c>
      <c r="F816" t="s">
        <v>2523</v>
      </c>
      <c r="G816" t="s">
        <v>2985</v>
      </c>
      <c r="H816" t="s">
        <v>3730</v>
      </c>
      <c r="I816" t="s">
        <v>1359</v>
      </c>
      <c r="J816" t="s">
        <v>1358</v>
      </c>
      <c r="K816" t="s">
        <v>1357</v>
      </c>
      <c r="L816" t="s">
        <v>1358</v>
      </c>
      <c r="M816" t="s">
        <v>5098</v>
      </c>
    </row>
    <row r="817" spans="1:14">
      <c r="H817" t="s">
        <v>3731</v>
      </c>
      <c r="I817" t="s">
        <v>1358</v>
      </c>
      <c r="J817" t="s">
        <v>1358</v>
      </c>
      <c r="K817" t="s">
        <v>1358</v>
      </c>
      <c r="L817" t="s">
        <v>1358</v>
      </c>
    </row>
    <row r="818" spans="1:14">
      <c r="A818" t="s">
        <v>1939</v>
      </c>
      <c r="B818">
        <f>HYPERLINK("https://github.com/apache/commons-math/commit/4474f96263e32ea0194ab21b63816bed8e4238e1", "4474f96263e32ea0194ab21b63816bed8e4238e1")</f>
        <v>0</v>
      </c>
      <c r="C818">
        <f>HYPERLINK("https://github.com/apache/commons-math/commit/5fc860d2c151e7d39b49961fe8514563f890e9ce", "5fc860d2c151e7d39b49961fe8514563f890e9ce")</f>
        <v>0</v>
      </c>
      <c r="D818" t="s">
        <v>2148</v>
      </c>
      <c r="E818" t="s">
        <v>2228</v>
      </c>
      <c r="F818" t="s">
        <v>2522</v>
      </c>
      <c r="G818" t="s">
        <v>2984</v>
      </c>
      <c r="H818" t="s">
        <v>3732</v>
      </c>
      <c r="I818" t="s">
        <v>1357</v>
      </c>
      <c r="J818" t="s">
        <v>1357</v>
      </c>
      <c r="K818" t="s">
        <v>1357</v>
      </c>
      <c r="L818" t="s">
        <v>1357</v>
      </c>
    </row>
    <row r="819" spans="1:14">
      <c r="F819" t="s">
        <v>2523</v>
      </c>
      <c r="G819" t="s">
        <v>2985</v>
      </c>
      <c r="H819" t="s">
        <v>3732</v>
      </c>
      <c r="I819" t="s">
        <v>1357</v>
      </c>
      <c r="J819" t="s">
        <v>1357</v>
      </c>
      <c r="K819" t="s">
        <v>1357</v>
      </c>
      <c r="L819" t="s">
        <v>1357</v>
      </c>
    </row>
    <row r="820" spans="1:14">
      <c r="A820" t="s">
        <v>1940</v>
      </c>
      <c r="B820">
        <f>HYPERLINK("https://github.com/apache/commons-math/commit/15c9f02e5cec03298c28f20190c73398694188fa", "15c9f02e5cec03298c28f20190c73398694188fa")</f>
        <v>0</v>
      </c>
      <c r="C820">
        <f>HYPERLINK("https://github.com/apache/commons-math/commit/7f8175d4f690fc249515279acb47ca15a44927b6", "7f8175d4f690fc249515279acb47ca15a44927b6")</f>
        <v>0</v>
      </c>
      <c r="D820" t="s">
        <v>2149</v>
      </c>
      <c r="E820" t="s">
        <v>2229</v>
      </c>
      <c r="F820" t="s">
        <v>2527</v>
      </c>
      <c r="G820" t="s">
        <v>2913</v>
      </c>
      <c r="H820" t="s">
        <v>906</v>
      </c>
      <c r="I820" t="s">
        <v>1357</v>
      </c>
      <c r="J820" t="s">
        <v>1357</v>
      </c>
      <c r="K820" t="s">
        <v>1357</v>
      </c>
      <c r="L820" t="s">
        <v>1357</v>
      </c>
    </row>
    <row r="821" spans="1:14">
      <c r="F821" t="s">
        <v>2528</v>
      </c>
      <c r="G821" t="s">
        <v>2989</v>
      </c>
      <c r="H821" t="s">
        <v>906</v>
      </c>
      <c r="I821" t="s">
        <v>1357</v>
      </c>
      <c r="J821" t="s">
        <v>1357</v>
      </c>
      <c r="K821" t="s">
        <v>1357</v>
      </c>
      <c r="L821" t="s">
        <v>1357</v>
      </c>
    </row>
    <row r="822" spans="1:14">
      <c r="A822" t="s">
        <v>1941</v>
      </c>
      <c r="B822">
        <f>HYPERLINK("https://github.com/apache/commons-math/commit/b9d8c68e2f5f7f3a13773140a7ee4bf62972f17c", "b9d8c68e2f5f7f3a13773140a7ee4bf62972f17c")</f>
        <v>0</v>
      </c>
      <c r="C822">
        <f>HYPERLINK("https://github.com/apache/commons-math/commit/26281773d85fa96594c16aee56e36805f3254064", "26281773d85fa96594c16aee56e36805f3254064")</f>
        <v>0</v>
      </c>
      <c r="D822" t="s">
        <v>2148</v>
      </c>
      <c r="E822" t="s">
        <v>2230</v>
      </c>
      <c r="F822" t="s">
        <v>2529</v>
      </c>
      <c r="G822" t="s">
        <v>2916</v>
      </c>
      <c r="H822" t="s">
        <v>3733</v>
      </c>
      <c r="I822" t="s">
        <v>1357</v>
      </c>
      <c r="J822" t="s">
        <v>1357</v>
      </c>
      <c r="K822" t="s">
        <v>1357</v>
      </c>
      <c r="L822" t="s">
        <v>1357</v>
      </c>
    </row>
    <row r="823" spans="1:14">
      <c r="A823" t="s">
        <v>1942</v>
      </c>
      <c r="B823">
        <f>HYPERLINK("https://github.com/apache/commons-math/commit/5fbeb731b9d26a6f340fd3772e86cd23ba61c65a", "5fbeb731b9d26a6f340fd3772e86cd23ba61c65a")</f>
        <v>0</v>
      </c>
      <c r="C823">
        <f>HYPERLINK("https://github.com/apache/commons-math/commit/59a0da9c4cf83c6cd76a9d1a5b2e69ac50d6a9c5", "59a0da9c4cf83c6cd76a9d1a5b2e69ac50d6a9c5")</f>
        <v>0</v>
      </c>
      <c r="D823" t="s">
        <v>2148</v>
      </c>
      <c r="E823" t="s">
        <v>2231</v>
      </c>
      <c r="F823" t="s">
        <v>2530</v>
      </c>
      <c r="G823" t="s">
        <v>2990</v>
      </c>
      <c r="H823" t="s">
        <v>3734</v>
      </c>
      <c r="I823" t="s">
        <v>1358</v>
      </c>
      <c r="J823" t="s">
        <v>1358</v>
      </c>
      <c r="K823" t="s">
        <v>1358</v>
      </c>
      <c r="L823" t="s">
        <v>1358</v>
      </c>
      <c r="N823" t="s">
        <v>5105</v>
      </c>
    </row>
    <row r="824" spans="1:14">
      <c r="H824" t="s">
        <v>3735</v>
      </c>
      <c r="I824" t="s">
        <v>1358</v>
      </c>
      <c r="J824" t="s">
        <v>1358</v>
      </c>
      <c r="K824" t="s">
        <v>1358</v>
      </c>
      <c r="L824" t="s">
        <v>1358</v>
      </c>
      <c r="N824" t="s">
        <v>5106</v>
      </c>
    </row>
    <row r="825" spans="1:14">
      <c r="H825" t="s">
        <v>3736</v>
      </c>
      <c r="I825" t="s">
        <v>1358</v>
      </c>
      <c r="J825" t="s">
        <v>1358</v>
      </c>
      <c r="K825" t="s">
        <v>1358</v>
      </c>
      <c r="L825" t="s">
        <v>1358</v>
      </c>
      <c r="N825" t="s">
        <v>5106</v>
      </c>
    </row>
    <row r="826" spans="1:14">
      <c r="A826" t="s">
        <v>1943</v>
      </c>
      <c r="B826">
        <f>HYPERLINK("https://github.com/apache/commons-math/commit/2c8a114f766d05929e908fd79c5e4baf5a3841ae", "2c8a114f766d05929e908fd79c5e4baf5a3841ae")</f>
        <v>0</v>
      </c>
      <c r="C826">
        <f>HYPERLINK("https://github.com/apache/commons-math/commit/5fb5e80a151513a91cc961221e96267100abe1f4", "5fb5e80a151513a91cc961221e96267100abe1f4")</f>
        <v>0</v>
      </c>
      <c r="D826" t="s">
        <v>2146</v>
      </c>
      <c r="E826" t="s">
        <v>2232</v>
      </c>
      <c r="F826" t="s">
        <v>2531</v>
      </c>
      <c r="G826" t="s">
        <v>2924</v>
      </c>
      <c r="H826" t="s">
        <v>3737</v>
      </c>
      <c r="I826" t="s">
        <v>1357</v>
      </c>
      <c r="J826" t="s">
        <v>1357</v>
      </c>
      <c r="K826" t="s">
        <v>1357</v>
      </c>
      <c r="L826" t="s">
        <v>1357</v>
      </c>
    </row>
    <row r="827" spans="1:14">
      <c r="A827" t="s">
        <v>1944</v>
      </c>
      <c r="B827">
        <f>HYPERLINK("https://github.com/apache/commons-math/commit/c06cc933b6814a76ecf2c6aef459b61d0bc25fb2", "c06cc933b6814a76ecf2c6aef459b61d0bc25fb2")</f>
        <v>0</v>
      </c>
      <c r="C827">
        <f>HYPERLINK("https://github.com/apache/commons-math/commit/52c9e2a2f8197623d97b757d96196b1af32ef429", "52c9e2a2f8197623d97b757d96196b1af32ef429")</f>
        <v>0</v>
      </c>
      <c r="D827" t="s">
        <v>2148</v>
      </c>
      <c r="E827" t="s">
        <v>2233</v>
      </c>
      <c r="F827" t="s">
        <v>2532</v>
      </c>
      <c r="G827" t="s">
        <v>2991</v>
      </c>
      <c r="H827" t="s">
        <v>3738</v>
      </c>
      <c r="I827" t="s">
        <v>1358</v>
      </c>
      <c r="J827" t="s">
        <v>1358</v>
      </c>
      <c r="K827" t="s">
        <v>1358</v>
      </c>
      <c r="L827" t="s">
        <v>1358</v>
      </c>
    </row>
    <row r="828" spans="1:14">
      <c r="A828" t="s">
        <v>1945</v>
      </c>
      <c r="B828">
        <f>HYPERLINK("https://github.com/apache/commons-math/commit/25f0b048097d109201db7735e0bb53ce878581df", "25f0b048097d109201db7735e0bb53ce878581df")</f>
        <v>0</v>
      </c>
      <c r="C828">
        <f>HYPERLINK("https://github.com/apache/commons-math/commit/d4338927c884c6973bb15413c29e01bed8b5f5c8", "d4338927c884c6973bb15413c29e01bed8b5f5c8")</f>
        <v>0</v>
      </c>
      <c r="D828" t="s">
        <v>2146</v>
      </c>
      <c r="E828" t="s">
        <v>2234</v>
      </c>
      <c r="F828" t="s">
        <v>2531</v>
      </c>
      <c r="G828" t="s">
        <v>2924</v>
      </c>
      <c r="H828" t="s">
        <v>3739</v>
      </c>
      <c r="I828" t="s">
        <v>1357</v>
      </c>
      <c r="J828" t="s">
        <v>1357</v>
      </c>
      <c r="K828" t="s">
        <v>1357</v>
      </c>
      <c r="L828" t="s">
        <v>1357</v>
      </c>
    </row>
    <row r="829" spans="1:14">
      <c r="A829" t="s">
        <v>1946</v>
      </c>
      <c r="B829">
        <f>HYPERLINK("https://github.com/apache/commons-math/commit/4119c355543a62c950ac981f802ab201e20de1a4", "4119c355543a62c950ac981f802ab201e20de1a4")</f>
        <v>0</v>
      </c>
      <c r="C829">
        <f>HYPERLINK("https://github.com/apache/commons-math/commit/25f0b048097d109201db7735e0bb53ce878581df", "25f0b048097d109201db7735e0bb53ce878581df")</f>
        <v>0</v>
      </c>
      <c r="D829" t="s">
        <v>2148</v>
      </c>
      <c r="E829" t="s">
        <v>2235</v>
      </c>
      <c r="F829" t="s">
        <v>2530</v>
      </c>
      <c r="G829" t="s">
        <v>2990</v>
      </c>
      <c r="H829" t="s">
        <v>3740</v>
      </c>
      <c r="I829" t="s">
        <v>1357</v>
      </c>
      <c r="J829" t="s">
        <v>1357</v>
      </c>
      <c r="K829" t="s">
        <v>1357</v>
      </c>
      <c r="L829" t="s">
        <v>1357</v>
      </c>
    </row>
    <row r="830" spans="1:14">
      <c r="A830" t="s">
        <v>1947</v>
      </c>
      <c r="B830">
        <f>HYPERLINK("https://github.com/apache/commons-math/commit/c1ce0e39e0f74fd50e7fd3687423e6cc7151beb2", "c1ce0e39e0f74fd50e7fd3687423e6cc7151beb2")</f>
        <v>0</v>
      </c>
      <c r="C830">
        <f>HYPERLINK("https://github.com/apache/commons-math/commit/95627968c1d078f49d5b7feaab84e050130769ab", "95627968c1d078f49d5b7feaab84e050130769ab")</f>
        <v>0</v>
      </c>
      <c r="D830" t="s">
        <v>2150</v>
      </c>
      <c r="E830" t="s">
        <v>2236</v>
      </c>
      <c r="F830" t="s">
        <v>2532</v>
      </c>
      <c r="G830" t="s">
        <v>2991</v>
      </c>
      <c r="H830" t="s">
        <v>3741</v>
      </c>
      <c r="I830" t="s">
        <v>1357</v>
      </c>
      <c r="J830" t="s">
        <v>1357</v>
      </c>
      <c r="K830" t="s">
        <v>1357</v>
      </c>
      <c r="L830" t="s">
        <v>1357</v>
      </c>
    </row>
    <row r="831" spans="1:14">
      <c r="H831" t="s">
        <v>3742</v>
      </c>
      <c r="I831" t="s">
        <v>1357</v>
      </c>
      <c r="J831" t="s">
        <v>1357</v>
      </c>
      <c r="K831" t="s">
        <v>1357</v>
      </c>
      <c r="L831" t="s">
        <v>1357</v>
      </c>
    </row>
    <row r="832" spans="1:14">
      <c r="A832" t="s">
        <v>1948</v>
      </c>
      <c r="B832">
        <f>HYPERLINK("https://github.com/apache/commons-math/commit/b24f72809bfdc17ac7e9dd4114208f36b319ea80", "b24f72809bfdc17ac7e9dd4114208f36b319ea80")</f>
        <v>0</v>
      </c>
      <c r="C832">
        <f>HYPERLINK("https://github.com/apache/commons-math/commit/a33ee7213f8f49d78621e572052b21686693c342", "a33ee7213f8f49d78621e572052b21686693c342")</f>
        <v>0</v>
      </c>
      <c r="D832" t="s">
        <v>2146</v>
      </c>
      <c r="E832" t="s">
        <v>2237</v>
      </c>
      <c r="F832" t="s">
        <v>2533</v>
      </c>
      <c r="G832" t="s">
        <v>2992</v>
      </c>
      <c r="H832" t="s">
        <v>3743</v>
      </c>
      <c r="I832" t="s">
        <v>1357</v>
      </c>
      <c r="J832" t="s">
        <v>1357</v>
      </c>
      <c r="K832" t="s">
        <v>1357</v>
      </c>
      <c r="L832" t="s">
        <v>1357</v>
      </c>
    </row>
    <row r="833" spans="6:12">
      <c r="H833" t="s">
        <v>3744</v>
      </c>
      <c r="I833" t="s">
        <v>1357</v>
      </c>
      <c r="J833" t="s">
        <v>1357</v>
      </c>
      <c r="K833" t="s">
        <v>1357</v>
      </c>
      <c r="L833" t="s">
        <v>1357</v>
      </c>
    </row>
    <row r="834" spans="6:12">
      <c r="H834" t="s">
        <v>3745</v>
      </c>
      <c r="I834" t="s">
        <v>1357</v>
      </c>
      <c r="J834" t="s">
        <v>1357</v>
      </c>
      <c r="K834" t="s">
        <v>1357</v>
      </c>
      <c r="L834" t="s">
        <v>1357</v>
      </c>
    </row>
    <row r="835" spans="6:12">
      <c r="F835" t="s">
        <v>2534</v>
      </c>
      <c r="G835" t="s">
        <v>2993</v>
      </c>
      <c r="H835" t="s">
        <v>3746</v>
      </c>
      <c r="I835" t="s">
        <v>1357</v>
      </c>
      <c r="J835" t="s">
        <v>1357</v>
      </c>
      <c r="K835" t="s">
        <v>1357</v>
      </c>
      <c r="L835" t="s">
        <v>1357</v>
      </c>
    </row>
    <row r="836" spans="6:12">
      <c r="F836" t="s">
        <v>2535</v>
      </c>
      <c r="G836" t="s">
        <v>2994</v>
      </c>
      <c r="H836" t="s">
        <v>3391</v>
      </c>
      <c r="I836" t="s">
        <v>1357</v>
      </c>
      <c r="J836" t="s">
        <v>1357</v>
      </c>
      <c r="K836" t="s">
        <v>1357</v>
      </c>
      <c r="L836" t="s">
        <v>1357</v>
      </c>
    </row>
    <row r="837" spans="6:12">
      <c r="H837" t="s">
        <v>3392</v>
      </c>
      <c r="I837" t="s">
        <v>1357</v>
      </c>
      <c r="J837" t="s">
        <v>1357</v>
      </c>
      <c r="K837" t="s">
        <v>1357</v>
      </c>
      <c r="L837" t="s">
        <v>1357</v>
      </c>
    </row>
    <row r="838" spans="6:12">
      <c r="H838" t="s">
        <v>3303</v>
      </c>
      <c r="I838" t="s">
        <v>1357</v>
      </c>
      <c r="J838" t="s">
        <v>1357</v>
      </c>
      <c r="K838" t="s">
        <v>1357</v>
      </c>
      <c r="L838" t="s">
        <v>1357</v>
      </c>
    </row>
    <row r="839" spans="6:12">
      <c r="H839" t="s">
        <v>3393</v>
      </c>
      <c r="I839" t="s">
        <v>1357</v>
      </c>
      <c r="J839" t="s">
        <v>1357</v>
      </c>
      <c r="K839" t="s">
        <v>1357</v>
      </c>
      <c r="L839" t="s">
        <v>1357</v>
      </c>
    </row>
    <row r="840" spans="6:12">
      <c r="H840" t="s">
        <v>3394</v>
      </c>
      <c r="I840" t="s">
        <v>1357</v>
      </c>
      <c r="J840" t="s">
        <v>1357</v>
      </c>
      <c r="K840" t="s">
        <v>1357</v>
      </c>
      <c r="L840" t="s">
        <v>1357</v>
      </c>
    </row>
    <row r="841" spans="6:12">
      <c r="H841" t="s">
        <v>3747</v>
      </c>
      <c r="I841" t="s">
        <v>1357</v>
      </c>
      <c r="J841" t="s">
        <v>1357</v>
      </c>
      <c r="K841" t="s">
        <v>1357</v>
      </c>
      <c r="L841" t="s">
        <v>1357</v>
      </c>
    </row>
    <row r="842" spans="6:12">
      <c r="H842" t="s">
        <v>3395</v>
      </c>
      <c r="I842" t="s">
        <v>1357</v>
      </c>
      <c r="J842" t="s">
        <v>1357</v>
      </c>
      <c r="K842" t="s">
        <v>1357</v>
      </c>
      <c r="L842" t="s">
        <v>1357</v>
      </c>
    </row>
    <row r="843" spans="6:12">
      <c r="H843" t="s">
        <v>3309</v>
      </c>
      <c r="I843" t="s">
        <v>1357</v>
      </c>
      <c r="J843" t="s">
        <v>1357</v>
      </c>
      <c r="K843" t="s">
        <v>1357</v>
      </c>
      <c r="L843" t="s">
        <v>1357</v>
      </c>
    </row>
    <row r="844" spans="6:12">
      <c r="H844" t="s">
        <v>3748</v>
      </c>
      <c r="I844" t="s">
        <v>1357</v>
      </c>
      <c r="J844" t="s">
        <v>1357</v>
      </c>
      <c r="K844" t="s">
        <v>1357</v>
      </c>
      <c r="L844" t="s">
        <v>1357</v>
      </c>
    </row>
    <row r="845" spans="6:12">
      <c r="H845" t="s">
        <v>3749</v>
      </c>
      <c r="I845" t="s">
        <v>1357</v>
      </c>
      <c r="J845" t="s">
        <v>1357</v>
      </c>
      <c r="K845" t="s">
        <v>1357</v>
      </c>
      <c r="L845" t="s">
        <v>1357</v>
      </c>
    </row>
    <row r="846" spans="6:12">
      <c r="H846" t="s">
        <v>3400</v>
      </c>
      <c r="I846" t="s">
        <v>1357</v>
      </c>
      <c r="J846" t="s">
        <v>1357</v>
      </c>
      <c r="K846" t="s">
        <v>1357</v>
      </c>
      <c r="L846" t="s">
        <v>1357</v>
      </c>
    </row>
    <row r="847" spans="6:12">
      <c r="H847" t="s">
        <v>3401</v>
      </c>
      <c r="I847" t="s">
        <v>1357</v>
      </c>
      <c r="J847" t="s">
        <v>1357</v>
      </c>
      <c r="K847" t="s">
        <v>1357</v>
      </c>
      <c r="L847" t="s">
        <v>1357</v>
      </c>
    </row>
    <row r="848" spans="6:12">
      <c r="H848" t="s">
        <v>3402</v>
      </c>
      <c r="I848" t="s">
        <v>1357</v>
      </c>
      <c r="J848" t="s">
        <v>1357</v>
      </c>
      <c r="K848" t="s">
        <v>1357</v>
      </c>
      <c r="L848" t="s">
        <v>1357</v>
      </c>
    </row>
    <row r="849" spans="8:12">
      <c r="H849" t="s">
        <v>3750</v>
      </c>
      <c r="I849" t="s">
        <v>1357</v>
      </c>
      <c r="J849" t="s">
        <v>1357</v>
      </c>
      <c r="K849" t="s">
        <v>1357</v>
      </c>
      <c r="L849" t="s">
        <v>1357</v>
      </c>
    </row>
    <row r="850" spans="8:12">
      <c r="H850" t="s">
        <v>3751</v>
      </c>
      <c r="I850" t="s">
        <v>1357</v>
      </c>
      <c r="J850" t="s">
        <v>1357</v>
      </c>
      <c r="K850" t="s">
        <v>1357</v>
      </c>
      <c r="L850" t="s">
        <v>1357</v>
      </c>
    </row>
    <row r="851" spans="8:12">
      <c r="H851" t="s">
        <v>3752</v>
      </c>
      <c r="I851" t="s">
        <v>1357</v>
      </c>
      <c r="J851" t="s">
        <v>1357</v>
      </c>
      <c r="K851" t="s">
        <v>1357</v>
      </c>
      <c r="L851" t="s">
        <v>1357</v>
      </c>
    </row>
    <row r="852" spans="8:12">
      <c r="H852" t="s">
        <v>3753</v>
      </c>
      <c r="I852" t="s">
        <v>1357</v>
      </c>
      <c r="J852" t="s">
        <v>1357</v>
      </c>
      <c r="K852" t="s">
        <v>1357</v>
      </c>
      <c r="L852" t="s">
        <v>1357</v>
      </c>
    </row>
    <row r="853" spans="8:12">
      <c r="H853" t="s">
        <v>3403</v>
      </c>
      <c r="I853" t="s">
        <v>1357</v>
      </c>
      <c r="J853" t="s">
        <v>1357</v>
      </c>
      <c r="K853" t="s">
        <v>1357</v>
      </c>
      <c r="L853" t="s">
        <v>1357</v>
      </c>
    </row>
    <row r="854" spans="8:12">
      <c r="H854" t="s">
        <v>3754</v>
      </c>
      <c r="I854" t="s">
        <v>1357</v>
      </c>
      <c r="J854" t="s">
        <v>1357</v>
      </c>
      <c r="K854" t="s">
        <v>1357</v>
      </c>
      <c r="L854" t="s">
        <v>1357</v>
      </c>
    </row>
    <row r="855" spans="8:12">
      <c r="H855" t="s">
        <v>3404</v>
      </c>
      <c r="I855" t="s">
        <v>1357</v>
      </c>
      <c r="J855" t="s">
        <v>1357</v>
      </c>
      <c r="K855" t="s">
        <v>1357</v>
      </c>
      <c r="L855" t="s">
        <v>1357</v>
      </c>
    </row>
    <row r="856" spans="8:12">
      <c r="H856" t="s">
        <v>3405</v>
      </c>
      <c r="I856" t="s">
        <v>1357</v>
      </c>
      <c r="J856" t="s">
        <v>1357</v>
      </c>
      <c r="K856" t="s">
        <v>1357</v>
      </c>
      <c r="L856" t="s">
        <v>1357</v>
      </c>
    </row>
    <row r="857" spans="8:12">
      <c r="H857" t="s">
        <v>3755</v>
      </c>
      <c r="I857" t="s">
        <v>1357</v>
      </c>
      <c r="J857" t="s">
        <v>1357</v>
      </c>
      <c r="K857" t="s">
        <v>1357</v>
      </c>
      <c r="L857" t="s">
        <v>1357</v>
      </c>
    </row>
    <row r="858" spans="8:12">
      <c r="H858" t="s">
        <v>3756</v>
      </c>
      <c r="I858" t="s">
        <v>1357</v>
      </c>
      <c r="J858" t="s">
        <v>1357</v>
      </c>
      <c r="K858" t="s">
        <v>1357</v>
      </c>
      <c r="L858" t="s">
        <v>1357</v>
      </c>
    </row>
    <row r="859" spans="8:12">
      <c r="H859" t="s">
        <v>3757</v>
      </c>
      <c r="I859" t="s">
        <v>1357</v>
      </c>
      <c r="J859" t="s">
        <v>1357</v>
      </c>
      <c r="K859" t="s">
        <v>1357</v>
      </c>
      <c r="L859" t="s">
        <v>1357</v>
      </c>
    </row>
    <row r="860" spans="8:12">
      <c r="H860" t="s">
        <v>3758</v>
      </c>
      <c r="I860" t="s">
        <v>1357</v>
      </c>
      <c r="J860" t="s">
        <v>1357</v>
      </c>
      <c r="K860" t="s">
        <v>1357</v>
      </c>
      <c r="L860" t="s">
        <v>1357</v>
      </c>
    </row>
    <row r="861" spans="8:12">
      <c r="H861" t="s">
        <v>3759</v>
      </c>
      <c r="I861" t="s">
        <v>1357</v>
      </c>
      <c r="J861" t="s">
        <v>1357</v>
      </c>
      <c r="K861" t="s">
        <v>1357</v>
      </c>
      <c r="L861" t="s">
        <v>1357</v>
      </c>
    </row>
    <row r="862" spans="8:12">
      <c r="H862" t="s">
        <v>3760</v>
      </c>
      <c r="I862" t="s">
        <v>1357</v>
      </c>
      <c r="J862" t="s">
        <v>1357</v>
      </c>
      <c r="K862" t="s">
        <v>1357</v>
      </c>
      <c r="L862" t="s">
        <v>1357</v>
      </c>
    </row>
    <row r="863" spans="8:12">
      <c r="H863" t="s">
        <v>3761</v>
      </c>
      <c r="I863" t="s">
        <v>1357</v>
      </c>
      <c r="J863" t="s">
        <v>1357</v>
      </c>
      <c r="K863" t="s">
        <v>1357</v>
      </c>
      <c r="L863" t="s">
        <v>1357</v>
      </c>
    </row>
    <row r="864" spans="8:12">
      <c r="H864" t="s">
        <v>3762</v>
      </c>
      <c r="I864" t="s">
        <v>1357</v>
      </c>
      <c r="J864" t="s">
        <v>1357</v>
      </c>
      <c r="K864" t="s">
        <v>1357</v>
      </c>
      <c r="L864" t="s">
        <v>1357</v>
      </c>
    </row>
    <row r="865" spans="8:12">
      <c r="H865" t="s">
        <v>3763</v>
      </c>
      <c r="I865" t="s">
        <v>1357</v>
      </c>
      <c r="J865" t="s">
        <v>1357</v>
      </c>
      <c r="K865" t="s">
        <v>1357</v>
      </c>
      <c r="L865" t="s">
        <v>1357</v>
      </c>
    </row>
    <row r="866" spans="8:12">
      <c r="H866" t="s">
        <v>3764</v>
      </c>
      <c r="I866" t="s">
        <v>1357</v>
      </c>
      <c r="J866" t="s">
        <v>1357</v>
      </c>
      <c r="K866" t="s">
        <v>1357</v>
      </c>
      <c r="L866" t="s">
        <v>1357</v>
      </c>
    </row>
    <row r="867" spans="8:12">
      <c r="H867" t="s">
        <v>3765</v>
      </c>
      <c r="I867" t="s">
        <v>1357</v>
      </c>
      <c r="J867" t="s">
        <v>1357</v>
      </c>
      <c r="K867" t="s">
        <v>1357</v>
      </c>
      <c r="L867" t="s">
        <v>1357</v>
      </c>
    </row>
    <row r="868" spans="8:12">
      <c r="H868" t="s">
        <v>3766</v>
      </c>
      <c r="I868" t="s">
        <v>1357</v>
      </c>
      <c r="J868" t="s">
        <v>1357</v>
      </c>
      <c r="K868" t="s">
        <v>1357</v>
      </c>
      <c r="L868" t="s">
        <v>1357</v>
      </c>
    </row>
    <row r="869" spans="8:12">
      <c r="H869" t="s">
        <v>3767</v>
      </c>
      <c r="I869" t="s">
        <v>1357</v>
      </c>
      <c r="J869" t="s">
        <v>1357</v>
      </c>
      <c r="K869" t="s">
        <v>1357</v>
      </c>
      <c r="L869" t="s">
        <v>1357</v>
      </c>
    </row>
    <row r="870" spans="8:12">
      <c r="H870" t="s">
        <v>3768</v>
      </c>
      <c r="I870" t="s">
        <v>1357</v>
      </c>
      <c r="J870" t="s">
        <v>1357</v>
      </c>
      <c r="K870" t="s">
        <v>1357</v>
      </c>
      <c r="L870" t="s">
        <v>1357</v>
      </c>
    </row>
    <row r="871" spans="8:12">
      <c r="H871" t="s">
        <v>3769</v>
      </c>
      <c r="I871" t="s">
        <v>1357</v>
      </c>
      <c r="J871" t="s">
        <v>1357</v>
      </c>
      <c r="K871" t="s">
        <v>1357</v>
      </c>
      <c r="L871" t="s">
        <v>1357</v>
      </c>
    </row>
    <row r="872" spans="8:12">
      <c r="H872" t="s">
        <v>3770</v>
      </c>
      <c r="I872" t="s">
        <v>1357</v>
      </c>
      <c r="J872" t="s">
        <v>1357</v>
      </c>
      <c r="K872" t="s">
        <v>1357</v>
      </c>
      <c r="L872" t="s">
        <v>1357</v>
      </c>
    </row>
    <row r="873" spans="8:12">
      <c r="H873" t="s">
        <v>3771</v>
      </c>
      <c r="I873" t="s">
        <v>1357</v>
      </c>
      <c r="J873" t="s">
        <v>1357</v>
      </c>
      <c r="K873" t="s">
        <v>1357</v>
      </c>
      <c r="L873" t="s">
        <v>1357</v>
      </c>
    </row>
    <row r="874" spans="8:12">
      <c r="H874" t="s">
        <v>3772</v>
      </c>
      <c r="I874" t="s">
        <v>1357</v>
      </c>
      <c r="J874" t="s">
        <v>1357</v>
      </c>
      <c r="K874" t="s">
        <v>1357</v>
      </c>
      <c r="L874" t="s">
        <v>1357</v>
      </c>
    </row>
    <row r="875" spans="8:12">
      <c r="H875" t="s">
        <v>3773</v>
      </c>
      <c r="I875" t="s">
        <v>1357</v>
      </c>
      <c r="J875" t="s">
        <v>1357</v>
      </c>
      <c r="K875" t="s">
        <v>1357</v>
      </c>
      <c r="L875" t="s">
        <v>1357</v>
      </c>
    </row>
    <row r="876" spans="8:12">
      <c r="H876" t="s">
        <v>3774</v>
      </c>
      <c r="I876" t="s">
        <v>1357</v>
      </c>
      <c r="J876" t="s">
        <v>1357</v>
      </c>
      <c r="K876" t="s">
        <v>1357</v>
      </c>
      <c r="L876" t="s">
        <v>1357</v>
      </c>
    </row>
    <row r="877" spans="8:12">
      <c r="H877" t="s">
        <v>3775</v>
      </c>
      <c r="I877" t="s">
        <v>1357</v>
      </c>
      <c r="J877" t="s">
        <v>1357</v>
      </c>
      <c r="K877" t="s">
        <v>1357</v>
      </c>
      <c r="L877" t="s">
        <v>1357</v>
      </c>
    </row>
    <row r="878" spans="8:12">
      <c r="H878" t="s">
        <v>3776</v>
      </c>
      <c r="I878" t="s">
        <v>1357</v>
      </c>
      <c r="J878" t="s">
        <v>1357</v>
      </c>
      <c r="K878" t="s">
        <v>1357</v>
      </c>
      <c r="L878" t="s">
        <v>1357</v>
      </c>
    </row>
    <row r="879" spans="8:12">
      <c r="H879" t="s">
        <v>3777</v>
      </c>
      <c r="I879" t="s">
        <v>1357</v>
      </c>
      <c r="J879" t="s">
        <v>1357</v>
      </c>
      <c r="K879" t="s">
        <v>1357</v>
      </c>
      <c r="L879" t="s">
        <v>1357</v>
      </c>
    </row>
    <row r="880" spans="8:12">
      <c r="H880" t="s">
        <v>1850</v>
      </c>
      <c r="I880" t="s">
        <v>1357</v>
      </c>
      <c r="J880" t="s">
        <v>1357</v>
      </c>
      <c r="K880" t="s">
        <v>1357</v>
      </c>
      <c r="L880" t="s">
        <v>1357</v>
      </c>
    </row>
    <row r="881" spans="6:12">
      <c r="H881" t="s">
        <v>901</v>
      </c>
      <c r="I881" t="s">
        <v>1357</v>
      </c>
      <c r="J881" t="s">
        <v>1357</v>
      </c>
      <c r="K881" t="s">
        <v>1357</v>
      </c>
      <c r="L881" t="s">
        <v>1357</v>
      </c>
    </row>
    <row r="882" spans="6:12">
      <c r="H882" t="s">
        <v>3778</v>
      </c>
      <c r="I882" t="s">
        <v>1357</v>
      </c>
      <c r="J882" t="s">
        <v>1357</v>
      </c>
      <c r="K882" t="s">
        <v>1357</v>
      </c>
      <c r="L882" t="s">
        <v>1357</v>
      </c>
    </row>
    <row r="883" spans="6:12">
      <c r="H883" t="s">
        <v>3779</v>
      </c>
      <c r="I883" t="s">
        <v>1357</v>
      </c>
      <c r="J883" t="s">
        <v>1357</v>
      </c>
      <c r="K883" t="s">
        <v>1357</v>
      </c>
      <c r="L883" t="s">
        <v>1357</v>
      </c>
    </row>
    <row r="884" spans="6:12">
      <c r="F884" t="s">
        <v>2536</v>
      </c>
      <c r="G884" t="s">
        <v>2898</v>
      </c>
      <c r="H884" t="s">
        <v>3253</v>
      </c>
      <c r="I884" t="s">
        <v>1357</v>
      </c>
      <c r="J884" t="s">
        <v>1357</v>
      </c>
      <c r="K884" t="s">
        <v>1357</v>
      </c>
      <c r="L884" t="s">
        <v>1357</v>
      </c>
    </row>
    <row r="885" spans="6:12">
      <c r="H885" t="s">
        <v>3254</v>
      </c>
      <c r="I885" t="s">
        <v>1357</v>
      </c>
      <c r="J885" t="s">
        <v>1357</v>
      </c>
      <c r="K885" t="s">
        <v>1357</v>
      </c>
      <c r="L885" t="s">
        <v>1357</v>
      </c>
    </row>
    <row r="886" spans="6:12">
      <c r="H886" t="s">
        <v>3458</v>
      </c>
      <c r="I886" t="s">
        <v>1357</v>
      </c>
      <c r="J886" t="s">
        <v>1357</v>
      </c>
      <c r="K886" t="s">
        <v>1357</v>
      </c>
      <c r="L886" t="s">
        <v>1357</v>
      </c>
    </row>
    <row r="887" spans="6:12">
      <c r="H887" t="s">
        <v>3616</v>
      </c>
      <c r="I887" t="s">
        <v>1357</v>
      </c>
      <c r="J887" t="s">
        <v>1357</v>
      </c>
      <c r="K887" t="s">
        <v>1357</v>
      </c>
      <c r="L887" t="s">
        <v>1357</v>
      </c>
    </row>
    <row r="888" spans="6:12">
      <c r="H888" t="s">
        <v>906</v>
      </c>
      <c r="I888" t="s">
        <v>1357</v>
      </c>
      <c r="J888" t="s">
        <v>1357</v>
      </c>
      <c r="K888" t="s">
        <v>1357</v>
      </c>
      <c r="L888" t="s">
        <v>1357</v>
      </c>
    </row>
    <row r="889" spans="6:12">
      <c r="F889" t="s">
        <v>2479</v>
      </c>
      <c r="G889" t="s">
        <v>2935</v>
      </c>
      <c r="H889" t="s">
        <v>795</v>
      </c>
      <c r="I889" t="s">
        <v>1357</v>
      </c>
      <c r="J889" t="s">
        <v>1357</v>
      </c>
      <c r="K889" t="s">
        <v>1357</v>
      </c>
      <c r="L889" t="s">
        <v>1357</v>
      </c>
    </row>
    <row r="890" spans="6:12">
      <c r="H890" t="s">
        <v>3471</v>
      </c>
      <c r="I890" t="s">
        <v>1357</v>
      </c>
      <c r="J890" t="s">
        <v>1357</v>
      </c>
      <c r="K890" t="s">
        <v>1357</v>
      </c>
      <c r="L890" t="s">
        <v>1357</v>
      </c>
    </row>
    <row r="891" spans="6:12">
      <c r="H891" t="s">
        <v>3458</v>
      </c>
      <c r="I891" t="s">
        <v>1357</v>
      </c>
      <c r="J891" t="s">
        <v>1357</v>
      </c>
      <c r="K891" t="s">
        <v>1357</v>
      </c>
      <c r="L891" t="s">
        <v>1357</v>
      </c>
    </row>
    <row r="892" spans="6:12">
      <c r="H892" t="s">
        <v>3472</v>
      </c>
      <c r="I892" t="s">
        <v>1357</v>
      </c>
      <c r="J892" t="s">
        <v>1357</v>
      </c>
      <c r="K892" t="s">
        <v>1357</v>
      </c>
      <c r="L892" t="s">
        <v>1357</v>
      </c>
    </row>
    <row r="893" spans="6:12">
      <c r="H893" t="s">
        <v>3473</v>
      </c>
      <c r="I893" t="s">
        <v>1357</v>
      </c>
      <c r="J893" t="s">
        <v>1357</v>
      </c>
      <c r="K893" t="s">
        <v>1357</v>
      </c>
      <c r="L893" t="s">
        <v>1357</v>
      </c>
    </row>
    <row r="894" spans="6:12">
      <c r="H894" t="s">
        <v>3475</v>
      </c>
      <c r="I894" t="s">
        <v>1357</v>
      </c>
      <c r="J894" t="s">
        <v>1357</v>
      </c>
      <c r="K894" t="s">
        <v>1357</v>
      </c>
      <c r="L894" t="s">
        <v>1357</v>
      </c>
    </row>
    <row r="895" spans="6:12">
      <c r="F895" t="s">
        <v>2537</v>
      </c>
      <c r="G895" t="s">
        <v>2995</v>
      </c>
      <c r="H895" t="s">
        <v>3780</v>
      </c>
      <c r="I895" t="s">
        <v>1357</v>
      </c>
      <c r="J895" t="s">
        <v>1357</v>
      </c>
      <c r="K895" t="s">
        <v>1357</v>
      </c>
      <c r="L895" t="s">
        <v>1357</v>
      </c>
    </row>
    <row r="896" spans="6:12">
      <c r="H896" t="s">
        <v>3781</v>
      </c>
      <c r="I896" t="s">
        <v>1357</v>
      </c>
      <c r="J896" t="s">
        <v>1357</v>
      </c>
      <c r="K896" t="s">
        <v>1357</v>
      </c>
      <c r="L896" t="s">
        <v>1357</v>
      </c>
    </row>
    <row r="897" spans="6:12">
      <c r="H897" t="s">
        <v>1692</v>
      </c>
      <c r="I897" t="s">
        <v>1357</v>
      </c>
      <c r="J897" t="s">
        <v>1357</v>
      </c>
      <c r="K897" t="s">
        <v>1357</v>
      </c>
      <c r="L897" t="s">
        <v>1357</v>
      </c>
    </row>
    <row r="898" spans="6:12">
      <c r="H898" t="s">
        <v>3782</v>
      </c>
      <c r="I898" t="s">
        <v>1357</v>
      </c>
      <c r="J898" t="s">
        <v>1357</v>
      </c>
      <c r="K898" t="s">
        <v>1357</v>
      </c>
      <c r="L898" t="s">
        <v>1357</v>
      </c>
    </row>
    <row r="899" spans="6:12">
      <c r="H899" t="s">
        <v>3783</v>
      </c>
      <c r="I899" t="s">
        <v>1357</v>
      </c>
      <c r="J899" t="s">
        <v>1357</v>
      </c>
      <c r="K899" t="s">
        <v>1357</v>
      </c>
      <c r="L899" t="s">
        <v>1357</v>
      </c>
    </row>
    <row r="900" spans="6:12">
      <c r="H900" t="s">
        <v>3784</v>
      </c>
      <c r="I900" t="s">
        <v>1357</v>
      </c>
      <c r="J900" t="s">
        <v>1357</v>
      </c>
      <c r="K900" t="s">
        <v>1357</v>
      </c>
      <c r="L900" t="s">
        <v>1357</v>
      </c>
    </row>
    <row r="901" spans="6:12">
      <c r="F901" t="s">
        <v>2538</v>
      </c>
      <c r="G901" t="s">
        <v>2996</v>
      </c>
      <c r="H901" t="s">
        <v>3785</v>
      </c>
      <c r="I901" t="s">
        <v>1357</v>
      </c>
      <c r="J901" t="s">
        <v>1357</v>
      </c>
      <c r="K901" t="s">
        <v>1357</v>
      </c>
      <c r="L901" t="s">
        <v>1357</v>
      </c>
    </row>
    <row r="902" spans="6:12">
      <c r="H902" t="s">
        <v>901</v>
      </c>
      <c r="I902" t="s">
        <v>1357</v>
      </c>
      <c r="J902" t="s">
        <v>1357</v>
      </c>
      <c r="K902" t="s">
        <v>1357</v>
      </c>
      <c r="L902" t="s">
        <v>1357</v>
      </c>
    </row>
    <row r="903" spans="6:12">
      <c r="H903" t="s">
        <v>3786</v>
      </c>
      <c r="I903" t="s">
        <v>1357</v>
      </c>
      <c r="J903" t="s">
        <v>1357</v>
      </c>
      <c r="K903" t="s">
        <v>1357</v>
      </c>
      <c r="L903" t="s">
        <v>1357</v>
      </c>
    </row>
    <row r="904" spans="6:12">
      <c r="H904" t="s">
        <v>3787</v>
      </c>
      <c r="I904" t="s">
        <v>1357</v>
      </c>
      <c r="J904" t="s">
        <v>1357</v>
      </c>
      <c r="K904" t="s">
        <v>1357</v>
      </c>
      <c r="L904" t="s">
        <v>1357</v>
      </c>
    </row>
    <row r="905" spans="6:12">
      <c r="H905" t="s">
        <v>3782</v>
      </c>
      <c r="I905" t="s">
        <v>1357</v>
      </c>
      <c r="J905" t="s">
        <v>1357</v>
      </c>
      <c r="K905" t="s">
        <v>1357</v>
      </c>
      <c r="L905" t="s">
        <v>1357</v>
      </c>
    </row>
    <row r="906" spans="6:12">
      <c r="H906" t="s">
        <v>3783</v>
      </c>
      <c r="I906" t="s">
        <v>1357</v>
      </c>
      <c r="J906" t="s">
        <v>1357</v>
      </c>
      <c r="K906" t="s">
        <v>1357</v>
      </c>
      <c r="L906" t="s">
        <v>1357</v>
      </c>
    </row>
    <row r="907" spans="6:12">
      <c r="H907" t="s">
        <v>3784</v>
      </c>
      <c r="I907" t="s">
        <v>1357</v>
      </c>
      <c r="J907" t="s">
        <v>1357</v>
      </c>
      <c r="K907" t="s">
        <v>1357</v>
      </c>
      <c r="L907" t="s">
        <v>1357</v>
      </c>
    </row>
    <row r="908" spans="6:12">
      <c r="H908" t="s">
        <v>3788</v>
      </c>
      <c r="I908" t="s">
        <v>1357</v>
      </c>
      <c r="J908" t="s">
        <v>1357</v>
      </c>
      <c r="K908" t="s">
        <v>1357</v>
      </c>
      <c r="L908" t="s">
        <v>1357</v>
      </c>
    </row>
    <row r="909" spans="6:12">
      <c r="H909" t="s">
        <v>3789</v>
      </c>
      <c r="I909" t="s">
        <v>1357</v>
      </c>
      <c r="J909" t="s">
        <v>1357</v>
      </c>
      <c r="K909" t="s">
        <v>1357</v>
      </c>
      <c r="L909" t="s">
        <v>1357</v>
      </c>
    </row>
    <row r="910" spans="6:12">
      <c r="F910" t="s">
        <v>2539</v>
      </c>
      <c r="G910" t="s">
        <v>2997</v>
      </c>
      <c r="H910" t="s">
        <v>3790</v>
      </c>
      <c r="I910" t="s">
        <v>1357</v>
      </c>
      <c r="J910" t="s">
        <v>1357</v>
      </c>
      <c r="K910" t="s">
        <v>1357</v>
      </c>
      <c r="L910" t="s">
        <v>1357</v>
      </c>
    </row>
    <row r="911" spans="6:12">
      <c r="H911" t="s">
        <v>3780</v>
      </c>
      <c r="I911" t="s">
        <v>1357</v>
      </c>
      <c r="J911" t="s">
        <v>1357</v>
      </c>
      <c r="K911" t="s">
        <v>1357</v>
      </c>
      <c r="L911" t="s">
        <v>1357</v>
      </c>
    </row>
    <row r="912" spans="6:12">
      <c r="H912" t="s">
        <v>1692</v>
      </c>
      <c r="I912" t="s">
        <v>1357</v>
      </c>
      <c r="J912" t="s">
        <v>1357</v>
      </c>
      <c r="K912" t="s">
        <v>1357</v>
      </c>
      <c r="L912" t="s">
        <v>1357</v>
      </c>
    </row>
    <row r="913" spans="6:12">
      <c r="H913" t="s">
        <v>3782</v>
      </c>
      <c r="I913" t="s">
        <v>1357</v>
      </c>
      <c r="J913" t="s">
        <v>1357</v>
      </c>
      <c r="K913" t="s">
        <v>1357</v>
      </c>
      <c r="L913" t="s">
        <v>1357</v>
      </c>
    </row>
    <row r="914" spans="6:12">
      <c r="H914" t="s">
        <v>3783</v>
      </c>
      <c r="I914" t="s">
        <v>1357</v>
      </c>
      <c r="J914" t="s">
        <v>1357</v>
      </c>
      <c r="K914" t="s">
        <v>1357</v>
      </c>
      <c r="L914" t="s">
        <v>1357</v>
      </c>
    </row>
    <row r="915" spans="6:12">
      <c r="H915" t="s">
        <v>3784</v>
      </c>
      <c r="I915" t="s">
        <v>1357</v>
      </c>
      <c r="J915" t="s">
        <v>1357</v>
      </c>
      <c r="K915" t="s">
        <v>1357</v>
      </c>
      <c r="L915" t="s">
        <v>1357</v>
      </c>
    </row>
    <row r="916" spans="6:12">
      <c r="H916" t="s">
        <v>3791</v>
      </c>
      <c r="I916" t="s">
        <v>1357</v>
      </c>
      <c r="J916" t="s">
        <v>1357</v>
      </c>
      <c r="K916" t="s">
        <v>1357</v>
      </c>
      <c r="L916" t="s">
        <v>1357</v>
      </c>
    </row>
    <row r="917" spans="6:12">
      <c r="H917" t="s">
        <v>3789</v>
      </c>
      <c r="I917" t="s">
        <v>1357</v>
      </c>
      <c r="J917" t="s">
        <v>1357</v>
      </c>
      <c r="K917" t="s">
        <v>1357</v>
      </c>
      <c r="L917" t="s">
        <v>1357</v>
      </c>
    </row>
    <row r="918" spans="6:12">
      <c r="F918" t="s">
        <v>2540</v>
      </c>
      <c r="G918" t="s">
        <v>2998</v>
      </c>
      <c r="H918" t="s">
        <v>3785</v>
      </c>
      <c r="I918" t="s">
        <v>1357</v>
      </c>
      <c r="J918" t="s">
        <v>1357</v>
      </c>
      <c r="K918" t="s">
        <v>1357</v>
      </c>
      <c r="L918" t="s">
        <v>1357</v>
      </c>
    </row>
    <row r="919" spans="6:12">
      <c r="H919" t="s">
        <v>901</v>
      </c>
      <c r="I919" t="s">
        <v>1357</v>
      </c>
      <c r="J919" t="s">
        <v>1357</v>
      </c>
      <c r="K919" t="s">
        <v>1357</v>
      </c>
      <c r="L919" t="s">
        <v>1357</v>
      </c>
    </row>
    <row r="920" spans="6:12">
      <c r="H920" t="s">
        <v>3786</v>
      </c>
      <c r="I920" t="s">
        <v>1357</v>
      </c>
      <c r="J920" t="s">
        <v>1357</v>
      </c>
      <c r="K920" t="s">
        <v>1357</v>
      </c>
      <c r="L920" t="s">
        <v>1357</v>
      </c>
    </row>
    <row r="921" spans="6:12">
      <c r="H921" t="s">
        <v>3787</v>
      </c>
      <c r="I921" t="s">
        <v>1357</v>
      </c>
      <c r="J921" t="s">
        <v>1357</v>
      </c>
      <c r="K921" t="s">
        <v>1357</v>
      </c>
      <c r="L921" t="s">
        <v>1357</v>
      </c>
    </row>
    <row r="922" spans="6:12">
      <c r="H922" t="s">
        <v>3782</v>
      </c>
      <c r="I922" t="s">
        <v>1357</v>
      </c>
      <c r="J922" t="s">
        <v>1357</v>
      </c>
      <c r="K922" t="s">
        <v>1357</v>
      </c>
      <c r="L922" t="s">
        <v>1357</v>
      </c>
    </row>
    <row r="923" spans="6:12">
      <c r="H923" t="s">
        <v>3783</v>
      </c>
      <c r="I923" t="s">
        <v>1357</v>
      </c>
      <c r="J923" t="s">
        <v>1357</v>
      </c>
      <c r="K923" t="s">
        <v>1357</v>
      </c>
      <c r="L923" t="s">
        <v>1357</v>
      </c>
    </row>
    <row r="924" spans="6:12">
      <c r="H924" t="s">
        <v>3784</v>
      </c>
      <c r="I924" t="s">
        <v>1357</v>
      </c>
      <c r="J924" t="s">
        <v>1357</v>
      </c>
      <c r="K924" t="s">
        <v>1357</v>
      </c>
      <c r="L924" t="s">
        <v>1357</v>
      </c>
    </row>
    <row r="925" spans="6:12">
      <c r="H925" t="s">
        <v>3788</v>
      </c>
      <c r="I925" t="s">
        <v>1357</v>
      </c>
      <c r="J925" t="s">
        <v>1357</v>
      </c>
      <c r="K925" t="s">
        <v>1357</v>
      </c>
      <c r="L925" t="s">
        <v>1357</v>
      </c>
    </row>
    <row r="926" spans="6:12">
      <c r="F926" t="s">
        <v>2541</v>
      </c>
      <c r="G926" t="s">
        <v>2999</v>
      </c>
      <c r="H926" t="s">
        <v>3792</v>
      </c>
      <c r="I926" t="s">
        <v>1357</v>
      </c>
      <c r="J926" t="s">
        <v>1357</v>
      </c>
      <c r="K926" t="s">
        <v>1357</v>
      </c>
      <c r="L926" t="s">
        <v>1357</v>
      </c>
    </row>
    <row r="927" spans="6:12">
      <c r="H927" t="s">
        <v>3793</v>
      </c>
      <c r="I927" t="s">
        <v>1357</v>
      </c>
      <c r="J927" t="s">
        <v>1357</v>
      </c>
      <c r="K927" t="s">
        <v>1357</v>
      </c>
      <c r="L927" t="s">
        <v>1357</v>
      </c>
    </row>
    <row r="928" spans="6:12">
      <c r="H928" t="s">
        <v>3794</v>
      </c>
      <c r="I928" t="s">
        <v>1357</v>
      </c>
      <c r="J928" t="s">
        <v>1357</v>
      </c>
      <c r="K928" t="s">
        <v>1357</v>
      </c>
      <c r="L928" t="s">
        <v>1357</v>
      </c>
    </row>
    <row r="929" spans="6:12">
      <c r="F929" t="s">
        <v>2542</v>
      </c>
      <c r="G929" t="s">
        <v>3000</v>
      </c>
      <c r="H929" t="s">
        <v>3795</v>
      </c>
      <c r="I929" t="s">
        <v>1357</v>
      </c>
      <c r="J929" t="s">
        <v>1357</v>
      </c>
      <c r="K929" t="s">
        <v>1357</v>
      </c>
      <c r="L929" t="s">
        <v>1357</v>
      </c>
    </row>
    <row r="930" spans="6:12">
      <c r="H930" t="s">
        <v>3796</v>
      </c>
      <c r="I930" t="s">
        <v>1357</v>
      </c>
      <c r="J930" t="s">
        <v>1357</v>
      </c>
      <c r="K930" t="s">
        <v>1357</v>
      </c>
      <c r="L930" t="s">
        <v>1357</v>
      </c>
    </row>
    <row r="931" spans="6:12">
      <c r="H931" t="s">
        <v>3797</v>
      </c>
      <c r="I931" t="s">
        <v>1357</v>
      </c>
      <c r="J931" t="s">
        <v>1357</v>
      </c>
      <c r="K931" t="s">
        <v>1357</v>
      </c>
      <c r="L931" t="s">
        <v>1357</v>
      </c>
    </row>
    <row r="932" spans="6:12">
      <c r="H932" t="s">
        <v>3798</v>
      </c>
      <c r="I932" t="s">
        <v>1357</v>
      </c>
      <c r="J932" t="s">
        <v>1357</v>
      </c>
      <c r="K932" t="s">
        <v>1357</v>
      </c>
      <c r="L932" t="s">
        <v>1357</v>
      </c>
    </row>
    <row r="933" spans="6:12">
      <c r="H933" t="s">
        <v>1233</v>
      </c>
      <c r="I933" t="s">
        <v>1357</v>
      </c>
      <c r="J933" t="s">
        <v>1357</v>
      </c>
      <c r="K933" t="s">
        <v>1357</v>
      </c>
      <c r="L933" t="s">
        <v>1357</v>
      </c>
    </row>
    <row r="934" spans="6:12">
      <c r="H934" t="s">
        <v>3794</v>
      </c>
      <c r="I934" t="s">
        <v>1357</v>
      </c>
      <c r="J934" t="s">
        <v>1357</v>
      </c>
      <c r="K934" t="s">
        <v>1357</v>
      </c>
      <c r="L934" t="s">
        <v>1357</v>
      </c>
    </row>
    <row r="935" spans="6:12">
      <c r="F935" t="s">
        <v>2543</v>
      </c>
      <c r="G935" t="s">
        <v>3001</v>
      </c>
      <c r="H935" t="s">
        <v>795</v>
      </c>
      <c r="I935" t="s">
        <v>1357</v>
      </c>
      <c r="J935" t="s">
        <v>1357</v>
      </c>
      <c r="K935" t="s">
        <v>1357</v>
      </c>
      <c r="L935" t="s">
        <v>1357</v>
      </c>
    </row>
    <row r="936" spans="6:12">
      <c r="H936" t="s">
        <v>3799</v>
      </c>
      <c r="I936" t="s">
        <v>1357</v>
      </c>
      <c r="J936" t="s">
        <v>1357</v>
      </c>
      <c r="K936" t="s">
        <v>1357</v>
      </c>
      <c r="L936" t="s">
        <v>1357</v>
      </c>
    </row>
    <row r="937" spans="6:12">
      <c r="F937" t="s">
        <v>2544</v>
      </c>
      <c r="G937" t="s">
        <v>2999</v>
      </c>
      <c r="H937" t="s">
        <v>3792</v>
      </c>
      <c r="I937" t="s">
        <v>1357</v>
      </c>
      <c r="J937" t="s">
        <v>1357</v>
      </c>
      <c r="K937" t="s">
        <v>1357</v>
      </c>
      <c r="L937" t="s">
        <v>1357</v>
      </c>
    </row>
    <row r="938" spans="6:12">
      <c r="H938" t="s">
        <v>3793</v>
      </c>
      <c r="I938" t="s">
        <v>1357</v>
      </c>
      <c r="J938" t="s">
        <v>1357</v>
      </c>
      <c r="K938" t="s">
        <v>1357</v>
      </c>
      <c r="L938" t="s">
        <v>1357</v>
      </c>
    </row>
    <row r="939" spans="6:12">
      <c r="H939" t="s">
        <v>3794</v>
      </c>
      <c r="I939" t="s">
        <v>1357</v>
      </c>
      <c r="J939" t="s">
        <v>1357</v>
      </c>
      <c r="K939" t="s">
        <v>1357</v>
      </c>
      <c r="L939" t="s">
        <v>1357</v>
      </c>
    </row>
    <row r="940" spans="6:12">
      <c r="F940" t="s">
        <v>2545</v>
      </c>
      <c r="G940" t="s">
        <v>3000</v>
      </c>
      <c r="H940" t="s">
        <v>3795</v>
      </c>
      <c r="I940" t="s">
        <v>1357</v>
      </c>
      <c r="J940" t="s">
        <v>1357</v>
      </c>
      <c r="K940" t="s">
        <v>1357</v>
      </c>
      <c r="L940" t="s">
        <v>1357</v>
      </c>
    </row>
    <row r="941" spans="6:12">
      <c r="H941" t="s">
        <v>3796</v>
      </c>
      <c r="I941" t="s">
        <v>1357</v>
      </c>
      <c r="J941" t="s">
        <v>1357</v>
      </c>
      <c r="K941" t="s">
        <v>1357</v>
      </c>
      <c r="L941" t="s">
        <v>1357</v>
      </c>
    </row>
    <row r="942" spans="6:12">
      <c r="H942" t="s">
        <v>3797</v>
      </c>
      <c r="I942" t="s">
        <v>1357</v>
      </c>
      <c r="J942" t="s">
        <v>1357</v>
      </c>
      <c r="K942" t="s">
        <v>1357</v>
      </c>
      <c r="L942" t="s">
        <v>1357</v>
      </c>
    </row>
    <row r="943" spans="6:12">
      <c r="H943" t="s">
        <v>3798</v>
      </c>
      <c r="I943" t="s">
        <v>1357</v>
      </c>
      <c r="J943" t="s">
        <v>1357</v>
      </c>
      <c r="K943" t="s">
        <v>1357</v>
      </c>
      <c r="L943" t="s">
        <v>1357</v>
      </c>
    </row>
    <row r="944" spans="6:12">
      <c r="H944" t="s">
        <v>1233</v>
      </c>
      <c r="I944" t="s">
        <v>1357</v>
      </c>
      <c r="J944" t="s">
        <v>1357</v>
      </c>
      <c r="K944" t="s">
        <v>1357</v>
      </c>
      <c r="L944" t="s">
        <v>1357</v>
      </c>
    </row>
    <row r="945" spans="6:12">
      <c r="H945" t="s">
        <v>3794</v>
      </c>
      <c r="I945" t="s">
        <v>1357</v>
      </c>
      <c r="J945" t="s">
        <v>1357</v>
      </c>
      <c r="K945" t="s">
        <v>1357</v>
      </c>
      <c r="L945" t="s">
        <v>1357</v>
      </c>
    </row>
    <row r="946" spans="6:12">
      <c r="F946" t="s">
        <v>2546</v>
      </c>
      <c r="G946" t="s">
        <v>3002</v>
      </c>
      <c r="H946" t="s">
        <v>795</v>
      </c>
      <c r="I946" t="s">
        <v>1357</v>
      </c>
      <c r="J946" t="s">
        <v>1357</v>
      </c>
      <c r="K946" t="s">
        <v>1357</v>
      </c>
      <c r="L946" t="s">
        <v>1357</v>
      </c>
    </row>
    <row r="947" spans="6:12">
      <c r="H947" t="s">
        <v>3799</v>
      </c>
      <c r="I947" t="s">
        <v>1357</v>
      </c>
      <c r="J947" t="s">
        <v>1357</v>
      </c>
      <c r="K947" t="s">
        <v>1357</v>
      </c>
      <c r="L947" t="s">
        <v>1357</v>
      </c>
    </row>
    <row r="948" spans="6:12">
      <c r="F948" t="s">
        <v>2547</v>
      </c>
      <c r="G948" t="s">
        <v>3003</v>
      </c>
      <c r="H948" t="s">
        <v>3800</v>
      </c>
      <c r="I948" t="s">
        <v>1357</v>
      </c>
      <c r="J948" t="s">
        <v>1357</v>
      </c>
      <c r="K948" t="s">
        <v>1357</v>
      </c>
      <c r="L948" t="s">
        <v>1357</v>
      </c>
    </row>
    <row r="949" spans="6:12">
      <c r="H949" t="s">
        <v>3801</v>
      </c>
      <c r="I949" t="s">
        <v>1357</v>
      </c>
      <c r="J949" t="s">
        <v>1357</v>
      </c>
      <c r="K949" t="s">
        <v>1357</v>
      </c>
      <c r="L949" t="s">
        <v>1357</v>
      </c>
    </row>
    <row r="950" spans="6:12">
      <c r="H950" t="s">
        <v>3802</v>
      </c>
      <c r="I950" t="s">
        <v>1357</v>
      </c>
      <c r="J950" t="s">
        <v>1357</v>
      </c>
      <c r="K950" t="s">
        <v>1357</v>
      </c>
      <c r="L950" t="s">
        <v>1357</v>
      </c>
    </row>
    <row r="951" spans="6:12">
      <c r="H951" t="s">
        <v>3803</v>
      </c>
      <c r="I951" t="s">
        <v>1357</v>
      </c>
      <c r="J951" t="s">
        <v>1357</v>
      </c>
      <c r="K951" t="s">
        <v>1357</v>
      </c>
      <c r="L951" t="s">
        <v>1357</v>
      </c>
    </row>
    <row r="952" spans="6:12">
      <c r="H952" t="s">
        <v>3403</v>
      </c>
      <c r="I952" t="s">
        <v>1357</v>
      </c>
      <c r="J952" t="s">
        <v>1357</v>
      </c>
      <c r="K952" t="s">
        <v>1357</v>
      </c>
      <c r="L952" t="s">
        <v>1357</v>
      </c>
    </row>
    <row r="953" spans="6:12">
      <c r="H953" t="s">
        <v>3399</v>
      </c>
      <c r="I953" t="s">
        <v>1357</v>
      </c>
      <c r="J953" t="s">
        <v>1357</v>
      </c>
      <c r="K953" t="s">
        <v>1357</v>
      </c>
      <c r="L953" t="s">
        <v>1357</v>
      </c>
    </row>
    <row r="954" spans="6:12">
      <c r="H954" t="s">
        <v>3398</v>
      </c>
      <c r="I954" t="s">
        <v>1357</v>
      </c>
      <c r="J954" t="s">
        <v>1357</v>
      </c>
      <c r="K954" t="s">
        <v>1357</v>
      </c>
      <c r="L954" t="s">
        <v>1357</v>
      </c>
    </row>
    <row r="955" spans="6:12">
      <c r="H955" t="s">
        <v>3397</v>
      </c>
      <c r="I955" t="s">
        <v>1357</v>
      </c>
      <c r="J955" t="s">
        <v>1357</v>
      </c>
      <c r="K955" t="s">
        <v>1357</v>
      </c>
      <c r="L955" t="s">
        <v>1357</v>
      </c>
    </row>
    <row r="956" spans="6:12">
      <c r="F956" t="s">
        <v>2548</v>
      </c>
      <c r="G956" t="s">
        <v>3004</v>
      </c>
      <c r="H956" t="s">
        <v>3391</v>
      </c>
      <c r="I956" t="s">
        <v>1357</v>
      </c>
      <c r="J956" t="s">
        <v>1357</v>
      </c>
      <c r="K956" t="s">
        <v>1357</v>
      </c>
      <c r="L956" t="s">
        <v>1357</v>
      </c>
    </row>
    <row r="957" spans="6:12">
      <c r="H957" t="s">
        <v>3804</v>
      </c>
      <c r="I957" t="s">
        <v>1357</v>
      </c>
      <c r="J957" t="s">
        <v>1357</v>
      </c>
      <c r="K957" t="s">
        <v>1357</v>
      </c>
      <c r="L957" t="s">
        <v>1357</v>
      </c>
    </row>
    <row r="958" spans="6:12">
      <c r="H958" t="s">
        <v>3805</v>
      </c>
      <c r="I958" t="s">
        <v>1357</v>
      </c>
      <c r="J958" t="s">
        <v>1357</v>
      </c>
      <c r="K958" t="s">
        <v>1357</v>
      </c>
      <c r="L958" t="s">
        <v>1357</v>
      </c>
    </row>
    <row r="959" spans="6:12">
      <c r="H959" t="s">
        <v>3802</v>
      </c>
      <c r="I959" t="s">
        <v>1357</v>
      </c>
      <c r="J959" t="s">
        <v>1357</v>
      </c>
      <c r="K959" t="s">
        <v>1357</v>
      </c>
      <c r="L959" t="s">
        <v>1357</v>
      </c>
    </row>
    <row r="960" spans="6:12">
      <c r="H960" t="s">
        <v>3803</v>
      </c>
      <c r="I960" t="s">
        <v>1357</v>
      </c>
      <c r="J960" t="s">
        <v>1357</v>
      </c>
      <c r="K960" t="s">
        <v>1357</v>
      </c>
      <c r="L960" t="s">
        <v>1357</v>
      </c>
    </row>
    <row r="961" spans="6:12">
      <c r="H961" t="s">
        <v>3806</v>
      </c>
      <c r="I961" t="s">
        <v>1357</v>
      </c>
      <c r="J961" t="s">
        <v>1357</v>
      </c>
      <c r="K961" t="s">
        <v>1357</v>
      </c>
      <c r="L961" t="s">
        <v>1357</v>
      </c>
    </row>
    <row r="962" spans="6:12">
      <c r="H962" t="s">
        <v>3807</v>
      </c>
      <c r="I962" t="s">
        <v>1357</v>
      </c>
      <c r="J962" t="s">
        <v>1357</v>
      </c>
      <c r="K962" t="s">
        <v>1357</v>
      </c>
      <c r="L962" t="s">
        <v>1357</v>
      </c>
    </row>
    <row r="963" spans="6:12">
      <c r="H963" t="s">
        <v>3808</v>
      </c>
      <c r="I963" t="s">
        <v>1357</v>
      </c>
      <c r="J963" t="s">
        <v>1357</v>
      </c>
      <c r="K963" t="s">
        <v>1357</v>
      </c>
      <c r="L963" t="s">
        <v>1357</v>
      </c>
    </row>
    <row r="964" spans="6:12">
      <c r="H964" t="s">
        <v>3809</v>
      </c>
      <c r="I964" t="s">
        <v>1357</v>
      </c>
      <c r="J964" t="s">
        <v>1357</v>
      </c>
      <c r="K964" t="s">
        <v>1357</v>
      </c>
      <c r="L964" t="s">
        <v>1357</v>
      </c>
    </row>
    <row r="965" spans="6:12">
      <c r="H965" t="s">
        <v>3810</v>
      </c>
      <c r="I965" t="s">
        <v>1357</v>
      </c>
      <c r="J965" t="s">
        <v>1357</v>
      </c>
      <c r="K965" t="s">
        <v>1357</v>
      </c>
      <c r="L965" t="s">
        <v>1357</v>
      </c>
    </row>
    <row r="966" spans="6:12">
      <c r="H966" t="s">
        <v>3811</v>
      </c>
      <c r="I966" t="s">
        <v>1357</v>
      </c>
      <c r="J966" t="s">
        <v>1357</v>
      </c>
      <c r="K966" t="s">
        <v>1357</v>
      </c>
      <c r="L966" t="s">
        <v>1357</v>
      </c>
    </row>
    <row r="967" spans="6:12">
      <c r="H967" t="s">
        <v>3812</v>
      </c>
      <c r="I967" t="s">
        <v>1357</v>
      </c>
      <c r="J967" t="s">
        <v>1357</v>
      </c>
      <c r="K967" t="s">
        <v>1357</v>
      </c>
      <c r="L967" t="s">
        <v>1357</v>
      </c>
    </row>
    <row r="968" spans="6:12">
      <c r="H968" t="s">
        <v>3813</v>
      </c>
      <c r="I968" t="s">
        <v>1357</v>
      </c>
      <c r="J968" t="s">
        <v>1357</v>
      </c>
      <c r="K968" t="s">
        <v>1357</v>
      </c>
      <c r="L968" t="s">
        <v>1357</v>
      </c>
    </row>
    <row r="969" spans="6:12">
      <c r="H969" t="s">
        <v>3814</v>
      </c>
      <c r="I969" t="s">
        <v>1357</v>
      </c>
      <c r="J969" t="s">
        <v>1357</v>
      </c>
      <c r="K969" t="s">
        <v>1357</v>
      </c>
      <c r="L969" t="s">
        <v>1357</v>
      </c>
    </row>
    <row r="970" spans="6:12">
      <c r="H970" t="s">
        <v>3815</v>
      </c>
      <c r="I970" t="s">
        <v>1357</v>
      </c>
      <c r="J970" t="s">
        <v>1357</v>
      </c>
      <c r="K970" t="s">
        <v>1357</v>
      </c>
      <c r="L970" t="s">
        <v>1357</v>
      </c>
    </row>
    <row r="971" spans="6:12">
      <c r="H971" t="s">
        <v>3403</v>
      </c>
      <c r="I971" t="s">
        <v>1357</v>
      </c>
      <c r="J971" t="s">
        <v>1357</v>
      </c>
      <c r="K971" t="s">
        <v>1357</v>
      </c>
      <c r="L971" t="s">
        <v>1357</v>
      </c>
    </row>
    <row r="972" spans="6:12">
      <c r="F972" t="s">
        <v>2549</v>
      </c>
      <c r="G972" t="s">
        <v>3005</v>
      </c>
      <c r="H972" t="s">
        <v>3391</v>
      </c>
      <c r="I972" t="s">
        <v>1357</v>
      </c>
      <c r="J972" t="s">
        <v>1357</v>
      </c>
      <c r="K972" t="s">
        <v>1357</v>
      </c>
      <c r="L972" t="s">
        <v>1357</v>
      </c>
    </row>
    <row r="973" spans="6:12">
      <c r="H973" t="s">
        <v>3804</v>
      </c>
      <c r="I973" t="s">
        <v>1357</v>
      </c>
      <c r="J973" t="s">
        <v>1357</v>
      </c>
      <c r="K973" t="s">
        <v>1357</v>
      </c>
      <c r="L973" t="s">
        <v>1357</v>
      </c>
    </row>
    <row r="974" spans="6:12">
      <c r="H974" t="s">
        <v>3805</v>
      </c>
      <c r="I974" t="s">
        <v>1357</v>
      </c>
      <c r="J974" t="s">
        <v>1357</v>
      </c>
      <c r="K974" t="s">
        <v>1357</v>
      </c>
      <c r="L974" t="s">
        <v>1357</v>
      </c>
    </row>
    <row r="975" spans="6:12">
      <c r="H975" t="s">
        <v>3802</v>
      </c>
      <c r="I975" t="s">
        <v>1357</v>
      </c>
      <c r="J975" t="s">
        <v>1357</v>
      </c>
      <c r="K975" t="s">
        <v>1357</v>
      </c>
      <c r="L975" t="s">
        <v>1357</v>
      </c>
    </row>
    <row r="976" spans="6:12">
      <c r="H976" t="s">
        <v>3803</v>
      </c>
      <c r="I976" t="s">
        <v>1357</v>
      </c>
      <c r="J976" t="s">
        <v>1357</v>
      </c>
      <c r="K976" t="s">
        <v>1357</v>
      </c>
      <c r="L976" t="s">
        <v>1357</v>
      </c>
    </row>
    <row r="977" spans="6:12">
      <c r="H977" t="s">
        <v>3808</v>
      </c>
      <c r="I977" t="s">
        <v>1357</v>
      </c>
      <c r="J977" t="s">
        <v>1357</v>
      </c>
      <c r="K977" t="s">
        <v>1357</v>
      </c>
      <c r="L977" t="s">
        <v>1357</v>
      </c>
    </row>
    <row r="978" spans="6:12">
      <c r="H978" t="s">
        <v>3811</v>
      </c>
      <c r="I978" t="s">
        <v>1357</v>
      </c>
      <c r="J978" t="s">
        <v>1357</v>
      </c>
      <c r="K978" t="s">
        <v>1357</v>
      </c>
      <c r="L978" t="s">
        <v>1357</v>
      </c>
    </row>
    <row r="979" spans="6:12">
      <c r="H979" t="s">
        <v>3399</v>
      </c>
      <c r="I979" t="s">
        <v>1357</v>
      </c>
      <c r="J979" t="s">
        <v>1357</v>
      </c>
      <c r="K979" t="s">
        <v>1357</v>
      </c>
      <c r="L979" t="s">
        <v>1357</v>
      </c>
    </row>
    <row r="980" spans="6:12">
      <c r="H980" t="s">
        <v>3398</v>
      </c>
      <c r="I980" t="s">
        <v>1357</v>
      </c>
      <c r="J980" t="s">
        <v>1357</v>
      </c>
      <c r="K980" t="s">
        <v>1357</v>
      </c>
      <c r="L980" t="s">
        <v>1357</v>
      </c>
    </row>
    <row r="981" spans="6:12">
      <c r="H981" t="s">
        <v>3397</v>
      </c>
      <c r="I981" t="s">
        <v>1357</v>
      </c>
      <c r="J981" t="s">
        <v>1357</v>
      </c>
      <c r="K981" t="s">
        <v>1357</v>
      </c>
      <c r="L981" t="s">
        <v>1357</v>
      </c>
    </row>
    <row r="982" spans="6:12">
      <c r="F982" t="s">
        <v>2550</v>
      </c>
      <c r="G982" t="s">
        <v>3006</v>
      </c>
      <c r="H982" t="s">
        <v>3816</v>
      </c>
      <c r="I982" t="s">
        <v>1357</v>
      </c>
      <c r="J982" t="s">
        <v>1357</v>
      </c>
      <c r="K982" t="s">
        <v>1357</v>
      </c>
      <c r="L982" t="s">
        <v>1357</v>
      </c>
    </row>
    <row r="983" spans="6:12">
      <c r="H983" t="s">
        <v>3802</v>
      </c>
      <c r="I983" t="s">
        <v>1357</v>
      </c>
      <c r="J983" t="s">
        <v>1357</v>
      </c>
      <c r="K983" t="s">
        <v>1357</v>
      </c>
      <c r="L983" t="s">
        <v>1357</v>
      </c>
    </row>
    <row r="984" spans="6:12">
      <c r="H984" t="s">
        <v>3803</v>
      </c>
      <c r="I984" t="s">
        <v>1357</v>
      </c>
      <c r="J984" t="s">
        <v>1357</v>
      </c>
      <c r="K984" t="s">
        <v>1357</v>
      </c>
      <c r="L984" t="s">
        <v>1357</v>
      </c>
    </row>
    <row r="985" spans="6:12">
      <c r="H985" t="s">
        <v>3403</v>
      </c>
      <c r="I985" t="s">
        <v>1357</v>
      </c>
      <c r="J985" t="s">
        <v>1357</v>
      </c>
      <c r="K985" t="s">
        <v>1357</v>
      </c>
      <c r="L985" t="s">
        <v>1357</v>
      </c>
    </row>
    <row r="986" spans="6:12">
      <c r="H986" t="s">
        <v>3808</v>
      </c>
      <c r="I986" t="s">
        <v>1357</v>
      </c>
      <c r="J986" t="s">
        <v>1357</v>
      </c>
      <c r="K986" t="s">
        <v>1357</v>
      </c>
      <c r="L986" t="s">
        <v>1357</v>
      </c>
    </row>
    <row r="987" spans="6:12">
      <c r="H987" t="s">
        <v>3811</v>
      </c>
      <c r="I987" t="s">
        <v>1357</v>
      </c>
      <c r="J987" t="s">
        <v>1357</v>
      </c>
      <c r="K987" t="s">
        <v>1357</v>
      </c>
      <c r="L987" t="s">
        <v>1357</v>
      </c>
    </row>
    <row r="988" spans="6:12">
      <c r="H988" t="s">
        <v>3399</v>
      </c>
      <c r="I988" t="s">
        <v>1357</v>
      </c>
      <c r="J988" t="s">
        <v>1357</v>
      </c>
      <c r="K988" t="s">
        <v>1357</v>
      </c>
      <c r="L988" t="s">
        <v>1357</v>
      </c>
    </row>
    <row r="989" spans="6:12">
      <c r="H989" t="s">
        <v>3398</v>
      </c>
      <c r="I989" t="s">
        <v>1357</v>
      </c>
      <c r="J989" t="s">
        <v>1357</v>
      </c>
      <c r="K989" t="s">
        <v>1357</v>
      </c>
      <c r="L989" t="s">
        <v>1357</v>
      </c>
    </row>
    <row r="990" spans="6:12">
      <c r="H990" t="s">
        <v>3397</v>
      </c>
      <c r="I990" t="s">
        <v>1357</v>
      </c>
      <c r="J990" t="s">
        <v>1357</v>
      </c>
      <c r="K990" t="s">
        <v>1357</v>
      </c>
      <c r="L990" t="s">
        <v>1357</v>
      </c>
    </row>
    <row r="991" spans="6:12">
      <c r="F991" t="s">
        <v>2551</v>
      </c>
      <c r="G991" t="s">
        <v>3007</v>
      </c>
      <c r="H991" t="s">
        <v>3804</v>
      </c>
      <c r="I991" t="s">
        <v>1357</v>
      </c>
      <c r="J991" t="s">
        <v>1357</v>
      </c>
      <c r="K991" t="s">
        <v>1357</v>
      </c>
      <c r="L991" t="s">
        <v>1357</v>
      </c>
    </row>
    <row r="992" spans="6:12">
      <c r="H992" t="s">
        <v>3817</v>
      </c>
      <c r="I992" t="s">
        <v>1357</v>
      </c>
      <c r="J992" t="s">
        <v>1357</v>
      </c>
      <c r="K992" t="s">
        <v>1357</v>
      </c>
      <c r="L992" t="s">
        <v>1357</v>
      </c>
    </row>
    <row r="993" spans="6:12">
      <c r="H993" t="s">
        <v>3818</v>
      </c>
      <c r="I993" t="s">
        <v>1357</v>
      </c>
      <c r="J993" t="s">
        <v>1357</v>
      </c>
      <c r="K993" t="s">
        <v>1357</v>
      </c>
      <c r="L993" t="s">
        <v>1357</v>
      </c>
    </row>
    <row r="994" spans="6:12">
      <c r="H994" t="s">
        <v>3819</v>
      </c>
      <c r="I994" t="s">
        <v>1357</v>
      </c>
      <c r="J994" t="s">
        <v>1357</v>
      </c>
      <c r="K994" t="s">
        <v>1357</v>
      </c>
      <c r="L994" t="s">
        <v>1357</v>
      </c>
    </row>
    <row r="995" spans="6:12">
      <c r="H995" t="s">
        <v>3820</v>
      </c>
      <c r="I995" t="s">
        <v>1357</v>
      </c>
      <c r="J995" t="s">
        <v>1357</v>
      </c>
      <c r="K995" t="s">
        <v>1357</v>
      </c>
      <c r="L995" t="s">
        <v>1357</v>
      </c>
    </row>
    <row r="996" spans="6:12">
      <c r="H996" t="s">
        <v>3821</v>
      </c>
      <c r="I996" t="s">
        <v>1357</v>
      </c>
      <c r="J996" t="s">
        <v>1357</v>
      </c>
      <c r="K996" t="s">
        <v>1357</v>
      </c>
      <c r="L996" t="s">
        <v>1357</v>
      </c>
    </row>
    <row r="997" spans="6:12">
      <c r="F997" t="s">
        <v>2552</v>
      </c>
      <c r="G997" t="s">
        <v>3008</v>
      </c>
      <c r="H997" t="s">
        <v>3822</v>
      </c>
      <c r="I997" t="s">
        <v>1357</v>
      </c>
      <c r="J997" t="s">
        <v>1357</v>
      </c>
      <c r="K997" t="s">
        <v>1357</v>
      </c>
      <c r="L997" t="s">
        <v>1357</v>
      </c>
    </row>
    <row r="998" spans="6:12">
      <c r="H998" t="s">
        <v>3802</v>
      </c>
      <c r="I998" t="s">
        <v>1357</v>
      </c>
      <c r="J998" t="s">
        <v>1357</v>
      </c>
      <c r="K998" t="s">
        <v>1357</v>
      </c>
      <c r="L998" t="s">
        <v>1357</v>
      </c>
    </row>
    <row r="999" spans="6:12">
      <c r="H999" t="s">
        <v>3823</v>
      </c>
      <c r="I999" t="s">
        <v>1357</v>
      </c>
      <c r="J999" t="s">
        <v>1357</v>
      </c>
      <c r="K999" t="s">
        <v>1357</v>
      </c>
      <c r="L999" t="s">
        <v>1357</v>
      </c>
    </row>
    <row r="1000" spans="6:12">
      <c r="H1000" t="s">
        <v>3824</v>
      </c>
      <c r="I1000" t="s">
        <v>1357</v>
      </c>
      <c r="J1000" t="s">
        <v>1357</v>
      </c>
      <c r="K1000" t="s">
        <v>1357</v>
      </c>
      <c r="L1000" t="s">
        <v>1357</v>
      </c>
    </row>
    <row r="1001" spans="6:12">
      <c r="F1001" t="s">
        <v>2553</v>
      </c>
      <c r="G1001" t="s">
        <v>3009</v>
      </c>
      <c r="H1001" t="s">
        <v>3825</v>
      </c>
      <c r="I1001" t="s">
        <v>1357</v>
      </c>
      <c r="J1001" t="s">
        <v>1357</v>
      </c>
      <c r="K1001" t="s">
        <v>1357</v>
      </c>
      <c r="L1001" t="s">
        <v>1357</v>
      </c>
    </row>
    <row r="1002" spans="6:12">
      <c r="H1002" t="s">
        <v>3801</v>
      </c>
      <c r="I1002" t="s">
        <v>1357</v>
      </c>
      <c r="J1002" t="s">
        <v>1357</v>
      </c>
      <c r="K1002" t="s">
        <v>1357</v>
      </c>
      <c r="L1002" t="s">
        <v>1357</v>
      </c>
    </row>
    <row r="1003" spans="6:12">
      <c r="H1003" t="s">
        <v>3826</v>
      </c>
      <c r="I1003" t="s">
        <v>1357</v>
      </c>
      <c r="J1003" t="s">
        <v>1357</v>
      </c>
      <c r="K1003" t="s">
        <v>1357</v>
      </c>
      <c r="L1003" t="s">
        <v>1357</v>
      </c>
    </row>
    <row r="1004" spans="6:12">
      <c r="H1004" t="s">
        <v>3802</v>
      </c>
      <c r="I1004" t="s">
        <v>1357</v>
      </c>
      <c r="J1004" t="s">
        <v>1357</v>
      </c>
      <c r="K1004" t="s">
        <v>1357</v>
      </c>
      <c r="L1004" t="s">
        <v>1357</v>
      </c>
    </row>
    <row r="1005" spans="6:12">
      <c r="H1005" t="s">
        <v>3803</v>
      </c>
      <c r="I1005" t="s">
        <v>1357</v>
      </c>
      <c r="J1005" t="s">
        <v>1357</v>
      </c>
      <c r="K1005" t="s">
        <v>1357</v>
      </c>
      <c r="L1005" t="s">
        <v>1357</v>
      </c>
    </row>
    <row r="1006" spans="6:12">
      <c r="H1006" t="s">
        <v>3808</v>
      </c>
      <c r="I1006" t="s">
        <v>1357</v>
      </c>
      <c r="J1006" t="s">
        <v>1357</v>
      </c>
      <c r="K1006" t="s">
        <v>1357</v>
      </c>
      <c r="L1006" t="s">
        <v>1357</v>
      </c>
    </row>
    <row r="1007" spans="6:12">
      <c r="H1007" t="s">
        <v>3811</v>
      </c>
      <c r="I1007" t="s">
        <v>1357</v>
      </c>
      <c r="J1007" t="s">
        <v>1357</v>
      </c>
      <c r="K1007" t="s">
        <v>1357</v>
      </c>
      <c r="L1007" t="s">
        <v>1357</v>
      </c>
    </row>
    <row r="1008" spans="6:12">
      <c r="H1008" t="s">
        <v>3827</v>
      </c>
      <c r="I1008" t="s">
        <v>1357</v>
      </c>
      <c r="J1008" t="s">
        <v>1357</v>
      </c>
      <c r="K1008" t="s">
        <v>1357</v>
      </c>
      <c r="L1008" t="s">
        <v>1357</v>
      </c>
    </row>
    <row r="1009" spans="6:12">
      <c r="H1009" t="s">
        <v>3828</v>
      </c>
      <c r="I1009" t="s">
        <v>1357</v>
      </c>
      <c r="J1009" t="s">
        <v>1357</v>
      </c>
      <c r="K1009" t="s">
        <v>1357</v>
      </c>
      <c r="L1009" t="s">
        <v>1357</v>
      </c>
    </row>
    <row r="1010" spans="6:12">
      <c r="H1010" t="s">
        <v>3398</v>
      </c>
      <c r="I1010" t="s">
        <v>1357</v>
      </c>
      <c r="J1010" t="s">
        <v>1357</v>
      </c>
      <c r="K1010" t="s">
        <v>1357</v>
      </c>
      <c r="L1010" t="s">
        <v>1357</v>
      </c>
    </row>
    <row r="1011" spans="6:12">
      <c r="F1011" t="s">
        <v>2554</v>
      </c>
      <c r="G1011" t="s">
        <v>3010</v>
      </c>
      <c r="H1011" t="s">
        <v>3829</v>
      </c>
      <c r="I1011" t="s">
        <v>1357</v>
      </c>
      <c r="J1011" t="s">
        <v>1357</v>
      </c>
      <c r="K1011" t="s">
        <v>1357</v>
      </c>
      <c r="L1011" t="s">
        <v>1357</v>
      </c>
    </row>
    <row r="1012" spans="6:12">
      <c r="H1012" t="s">
        <v>3802</v>
      </c>
      <c r="I1012" t="s">
        <v>1357</v>
      </c>
      <c r="J1012" t="s">
        <v>1357</v>
      </c>
      <c r="K1012" t="s">
        <v>1357</v>
      </c>
      <c r="L1012" t="s">
        <v>1357</v>
      </c>
    </row>
    <row r="1013" spans="6:12">
      <c r="H1013" t="s">
        <v>3803</v>
      </c>
      <c r="I1013" t="s">
        <v>1357</v>
      </c>
      <c r="J1013" t="s">
        <v>1357</v>
      </c>
      <c r="K1013" t="s">
        <v>1357</v>
      </c>
      <c r="L1013" t="s">
        <v>1357</v>
      </c>
    </row>
    <row r="1014" spans="6:12">
      <c r="H1014" t="s">
        <v>3403</v>
      </c>
      <c r="I1014" t="s">
        <v>1357</v>
      </c>
      <c r="J1014" t="s">
        <v>1357</v>
      </c>
      <c r="K1014" t="s">
        <v>1357</v>
      </c>
      <c r="L1014" t="s">
        <v>1357</v>
      </c>
    </row>
    <row r="1015" spans="6:12">
      <c r="H1015" t="s">
        <v>3808</v>
      </c>
      <c r="I1015" t="s">
        <v>1357</v>
      </c>
      <c r="J1015" t="s">
        <v>1357</v>
      </c>
      <c r="K1015" t="s">
        <v>1357</v>
      </c>
      <c r="L1015" t="s">
        <v>1357</v>
      </c>
    </row>
    <row r="1016" spans="6:12">
      <c r="H1016" t="s">
        <v>3811</v>
      </c>
      <c r="I1016" t="s">
        <v>1357</v>
      </c>
      <c r="J1016" t="s">
        <v>1357</v>
      </c>
      <c r="K1016" t="s">
        <v>1357</v>
      </c>
      <c r="L1016" t="s">
        <v>1357</v>
      </c>
    </row>
    <row r="1017" spans="6:12">
      <c r="H1017" t="s">
        <v>3399</v>
      </c>
      <c r="I1017" t="s">
        <v>1357</v>
      </c>
      <c r="J1017" t="s">
        <v>1357</v>
      </c>
      <c r="K1017" t="s">
        <v>1357</v>
      </c>
      <c r="L1017" t="s">
        <v>1357</v>
      </c>
    </row>
    <row r="1018" spans="6:12">
      <c r="H1018" t="s">
        <v>3398</v>
      </c>
      <c r="I1018" t="s">
        <v>1357</v>
      </c>
      <c r="J1018" t="s">
        <v>1357</v>
      </c>
      <c r="K1018" t="s">
        <v>1357</v>
      </c>
      <c r="L1018" t="s">
        <v>1357</v>
      </c>
    </row>
    <row r="1019" spans="6:12">
      <c r="H1019" t="s">
        <v>3397</v>
      </c>
      <c r="I1019" t="s">
        <v>1357</v>
      </c>
      <c r="J1019" t="s">
        <v>1357</v>
      </c>
      <c r="K1019" t="s">
        <v>1357</v>
      </c>
      <c r="L1019" t="s">
        <v>1357</v>
      </c>
    </row>
    <row r="1020" spans="6:12">
      <c r="F1020" t="s">
        <v>2555</v>
      </c>
      <c r="G1020" t="s">
        <v>3011</v>
      </c>
      <c r="H1020" t="s">
        <v>3830</v>
      </c>
      <c r="I1020" t="s">
        <v>1357</v>
      </c>
      <c r="J1020" t="s">
        <v>1357</v>
      </c>
      <c r="K1020" t="s">
        <v>1357</v>
      </c>
      <c r="L1020" t="s">
        <v>1357</v>
      </c>
    </row>
    <row r="1021" spans="6:12">
      <c r="F1021" t="s">
        <v>2556</v>
      </c>
      <c r="G1021" t="s">
        <v>3012</v>
      </c>
      <c r="H1021" t="s">
        <v>3831</v>
      </c>
      <c r="I1021" t="s">
        <v>1357</v>
      </c>
      <c r="J1021" t="s">
        <v>1357</v>
      </c>
      <c r="K1021" t="s">
        <v>1357</v>
      </c>
      <c r="L1021" t="s">
        <v>1357</v>
      </c>
    </row>
    <row r="1022" spans="6:12">
      <c r="H1022" t="s">
        <v>3599</v>
      </c>
      <c r="I1022" t="s">
        <v>1357</v>
      </c>
      <c r="J1022" t="s">
        <v>1357</v>
      </c>
      <c r="K1022" t="s">
        <v>1357</v>
      </c>
      <c r="L1022" t="s">
        <v>1357</v>
      </c>
    </row>
    <row r="1023" spans="6:12">
      <c r="H1023" t="s">
        <v>3600</v>
      </c>
      <c r="I1023" t="s">
        <v>1357</v>
      </c>
      <c r="J1023" t="s">
        <v>1357</v>
      </c>
      <c r="K1023" t="s">
        <v>1357</v>
      </c>
      <c r="L1023" t="s">
        <v>1357</v>
      </c>
    </row>
    <row r="1024" spans="6:12">
      <c r="F1024" t="s">
        <v>2557</v>
      </c>
      <c r="G1024" t="s">
        <v>3013</v>
      </c>
      <c r="H1024" t="s">
        <v>3832</v>
      </c>
      <c r="I1024" t="s">
        <v>1357</v>
      </c>
      <c r="J1024" t="s">
        <v>1357</v>
      </c>
      <c r="K1024" t="s">
        <v>1357</v>
      </c>
      <c r="L1024" t="s">
        <v>1357</v>
      </c>
    </row>
    <row r="1025" spans="6:12">
      <c r="F1025" t="s">
        <v>2558</v>
      </c>
      <c r="G1025" t="s">
        <v>3014</v>
      </c>
      <c r="H1025" t="s">
        <v>3613</v>
      </c>
      <c r="I1025" t="s">
        <v>1357</v>
      </c>
      <c r="J1025" t="s">
        <v>1357</v>
      </c>
      <c r="K1025" t="s">
        <v>1357</v>
      </c>
      <c r="L1025" t="s">
        <v>1357</v>
      </c>
    </row>
    <row r="1026" spans="6:12">
      <c r="H1026" t="s">
        <v>3833</v>
      </c>
      <c r="I1026" t="s">
        <v>1357</v>
      </c>
      <c r="J1026" t="s">
        <v>1357</v>
      </c>
      <c r="K1026" t="s">
        <v>1357</v>
      </c>
      <c r="L1026" t="s">
        <v>1357</v>
      </c>
    </row>
    <row r="1027" spans="6:12">
      <c r="H1027" t="s">
        <v>3595</v>
      </c>
      <c r="I1027" t="s">
        <v>1357</v>
      </c>
      <c r="J1027" t="s">
        <v>1357</v>
      </c>
      <c r="K1027" t="s">
        <v>1357</v>
      </c>
      <c r="L1027" t="s">
        <v>1357</v>
      </c>
    </row>
    <row r="1028" spans="6:12">
      <c r="F1028" t="s">
        <v>2559</v>
      </c>
      <c r="G1028" t="s">
        <v>3015</v>
      </c>
      <c r="H1028" t="s">
        <v>3834</v>
      </c>
      <c r="I1028" t="s">
        <v>1357</v>
      </c>
      <c r="J1028" t="s">
        <v>1357</v>
      </c>
      <c r="K1028" t="s">
        <v>1357</v>
      </c>
      <c r="L1028" t="s">
        <v>1357</v>
      </c>
    </row>
    <row r="1029" spans="6:12">
      <c r="H1029" t="s">
        <v>3835</v>
      </c>
      <c r="I1029" t="s">
        <v>1357</v>
      </c>
      <c r="J1029" t="s">
        <v>1357</v>
      </c>
      <c r="K1029" t="s">
        <v>1357</v>
      </c>
      <c r="L1029" t="s">
        <v>1357</v>
      </c>
    </row>
    <row r="1030" spans="6:12">
      <c r="H1030" t="s">
        <v>3836</v>
      </c>
      <c r="I1030" t="s">
        <v>1357</v>
      </c>
      <c r="J1030" t="s">
        <v>1357</v>
      </c>
      <c r="K1030" t="s">
        <v>1357</v>
      </c>
      <c r="L1030" t="s">
        <v>1357</v>
      </c>
    </row>
    <row r="1031" spans="6:12">
      <c r="H1031" t="s">
        <v>3837</v>
      </c>
      <c r="I1031" t="s">
        <v>1357</v>
      </c>
      <c r="J1031" t="s">
        <v>1357</v>
      </c>
      <c r="K1031" t="s">
        <v>1357</v>
      </c>
      <c r="L1031" t="s">
        <v>1357</v>
      </c>
    </row>
    <row r="1032" spans="6:12">
      <c r="H1032" t="s">
        <v>3838</v>
      </c>
      <c r="I1032" t="s">
        <v>1357</v>
      </c>
      <c r="J1032" t="s">
        <v>1357</v>
      </c>
      <c r="K1032" t="s">
        <v>1357</v>
      </c>
      <c r="L1032" t="s">
        <v>1357</v>
      </c>
    </row>
    <row r="1033" spans="6:12">
      <c r="F1033" t="s">
        <v>2560</v>
      </c>
      <c r="G1033" t="s">
        <v>3016</v>
      </c>
      <c r="H1033" t="s">
        <v>3839</v>
      </c>
      <c r="I1033" t="s">
        <v>1357</v>
      </c>
      <c r="J1033" t="s">
        <v>1357</v>
      </c>
      <c r="K1033" t="s">
        <v>1357</v>
      </c>
      <c r="L1033" t="s">
        <v>1357</v>
      </c>
    </row>
    <row r="1034" spans="6:12">
      <c r="H1034" t="s">
        <v>3840</v>
      </c>
      <c r="I1034" t="s">
        <v>1357</v>
      </c>
      <c r="J1034" t="s">
        <v>1357</v>
      </c>
      <c r="K1034" t="s">
        <v>1357</v>
      </c>
      <c r="L1034" t="s">
        <v>1357</v>
      </c>
    </row>
    <row r="1035" spans="6:12">
      <c r="H1035" t="s">
        <v>3834</v>
      </c>
      <c r="I1035" t="s">
        <v>1357</v>
      </c>
      <c r="J1035" t="s">
        <v>1357</v>
      </c>
      <c r="K1035" t="s">
        <v>1357</v>
      </c>
      <c r="L1035" t="s">
        <v>1357</v>
      </c>
    </row>
    <row r="1036" spans="6:12">
      <c r="F1036" t="s">
        <v>2487</v>
      </c>
      <c r="G1036" t="s">
        <v>2950</v>
      </c>
      <c r="H1036" t="s">
        <v>3613</v>
      </c>
      <c r="I1036" t="s">
        <v>1357</v>
      </c>
      <c r="J1036" t="s">
        <v>1357</v>
      </c>
      <c r="K1036" t="s">
        <v>1357</v>
      </c>
      <c r="L1036" t="s">
        <v>1357</v>
      </c>
    </row>
    <row r="1037" spans="6:12">
      <c r="H1037" t="s">
        <v>3833</v>
      </c>
      <c r="I1037" t="s">
        <v>1357</v>
      </c>
      <c r="J1037" t="s">
        <v>1357</v>
      </c>
      <c r="K1037" t="s">
        <v>1357</v>
      </c>
      <c r="L1037" t="s">
        <v>1357</v>
      </c>
    </row>
    <row r="1038" spans="6:12">
      <c r="F1038" t="s">
        <v>2561</v>
      </c>
      <c r="G1038" t="s">
        <v>3017</v>
      </c>
      <c r="H1038" t="s">
        <v>3613</v>
      </c>
      <c r="I1038" t="s">
        <v>1357</v>
      </c>
      <c r="J1038" t="s">
        <v>1357</v>
      </c>
      <c r="K1038" t="s">
        <v>1357</v>
      </c>
      <c r="L1038" t="s">
        <v>1357</v>
      </c>
    </row>
    <row r="1039" spans="6:12">
      <c r="H1039" t="s">
        <v>3833</v>
      </c>
      <c r="I1039" t="s">
        <v>1357</v>
      </c>
      <c r="J1039" t="s">
        <v>1357</v>
      </c>
      <c r="K1039" t="s">
        <v>1357</v>
      </c>
      <c r="L1039" t="s">
        <v>1357</v>
      </c>
    </row>
    <row r="1040" spans="6:12">
      <c r="H1040" t="s">
        <v>3595</v>
      </c>
      <c r="I1040" t="s">
        <v>1357</v>
      </c>
      <c r="J1040" t="s">
        <v>1357</v>
      </c>
      <c r="K1040" t="s">
        <v>1357</v>
      </c>
      <c r="L1040" t="s">
        <v>1357</v>
      </c>
    </row>
    <row r="1041" spans="1:12">
      <c r="A1041" t="s">
        <v>1949</v>
      </c>
      <c r="B1041">
        <f>HYPERLINK("https://github.com/apache/commons-math/commit/962315ba9322bb96d5b1941c4272501cc7cc050e", "962315ba9322bb96d5b1941c4272501cc7cc050e")</f>
        <v>0</v>
      </c>
      <c r="C1041">
        <f>HYPERLINK("https://github.com/apache/commons-math/commit/7572385a7e595c72856124485f1ec088df929975", "7572385a7e595c72856124485f1ec088df929975")</f>
        <v>0</v>
      </c>
      <c r="D1041" t="s">
        <v>2151</v>
      </c>
      <c r="E1041" t="s">
        <v>2238</v>
      </c>
      <c r="F1041" t="s">
        <v>2562</v>
      </c>
      <c r="G1041" t="s">
        <v>3018</v>
      </c>
      <c r="H1041" t="s">
        <v>3841</v>
      </c>
      <c r="I1041" t="s">
        <v>1358</v>
      </c>
      <c r="J1041" t="s">
        <v>1358</v>
      </c>
      <c r="K1041" t="s">
        <v>1358</v>
      </c>
      <c r="L1041" t="s">
        <v>1358</v>
      </c>
    </row>
    <row r="1042" spans="1:12">
      <c r="A1042" t="s">
        <v>1950</v>
      </c>
      <c r="B1042">
        <f>HYPERLINK("https://github.com/apache/commons-math/commit/2431890261cbfe3cf0b5ba85e3037426c646adcf", "2431890261cbfe3cf0b5ba85e3037426c646adcf")</f>
        <v>0</v>
      </c>
      <c r="C1042">
        <f>HYPERLINK("https://github.com/apache/commons-math/commit/accccd996a2ca8f450e7206cb1c9e4c64e53f1cd", "accccd996a2ca8f450e7206cb1c9e4c64e53f1cd")</f>
        <v>0</v>
      </c>
      <c r="D1042" t="s">
        <v>2148</v>
      </c>
      <c r="E1042" t="s">
        <v>2239</v>
      </c>
      <c r="F1042" t="s">
        <v>2563</v>
      </c>
      <c r="G1042" t="s">
        <v>2947</v>
      </c>
      <c r="H1042" t="s">
        <v>3282</v>
      </c>
      <c r="I1042" t="s">
        <v>1357</v>
      </c>
      <c r="J1042" t="s">
        <v>1357</v>
      </c>
      <c r="K1042" t="s">
        <v>1357</v>
      </c>
      <c r="L1042" t="s">
        <v>1357</v>
      </c>
    </row>
    <row r="1043" spans="1:12">
      <c r="A1043" t="s">
        <v>1951</v>
      </c>
      <c r="B1043">
        <f>HYPERLINK("https://github.com/apache/commons-math/commit/a21faeae6ed850c618b4fb739a422e3b144db135", "a21faeae6ed850c618b4fb739a422e3b144db135")</f>
        <v>0</v>
      </c>
      <c r="C1043">
        <f>HYPERLINK("https://github.com/apache/commons-math/commit/320194b3cbfac9bcebe854c7775191e8f32e922c", "320194b3cbfac9bcebe854c7775191e8f32e922c")</f>
        <v>0</v>
      </c>
      <c r="D1043" t="s">
        <v>2151</v>
      </c>
      <c r="E1043" t="s">
        <v>2240</v>
      </c>
      <c r="F1043" t="s">
        <v>2564</v>
      </c>
      <c r="G1043" t="s">
        <v>3019</v>
      </c>
      <c r="H1043" t="s">
        <v>3842</v>
      </c>
      <c r="I1043" t="s">
        <v>1358</v>
      </c>
      <c r="J1043" t="s">
        <v>1358</v>
      </c>
      <c r="K1043" t="s">
        <v>1358</v>
      </c>
      <c r="L1043" t="s">
        <v>1358</v>
      </c>
    </row>
    <row r="1044" spans="1:12">
      <c r="A1044" t="s">
        <v>1952</v>
      </c>
      <c r="B1044">
        <f>HYPERLINK("https://github.com/apache/commons-math/commit/4b9b7585dcfb93bc027f6e08931100edee6a00b8", "4b9b7585dcfb93bc027f6e08931100edee6a00b8")</f>
        <v>0</v>
      </c>
      <c r="C1044">
        <f>HYPERLINK("https://github.com/apache/commons-math/commit/172a818945db3c9ad9be3c82a052e3dd023d3e8e", "172a818945db3c9ad9be3c82a052e3dd023d3e8e")</f>
        <v>0</v>
      </c>
      <c r="D1044" t="s">
        <v>2151</v>
      </c>
      <c r="E1044" t="s">
        <v>2241</v>
      </c>
      <c r="F1044" t="s">
        <v>2565</v>
      </c>
      <c r="G1044" t="s">
        <v>2942</v>
      </c>
      <c r="H1044" t="s">
        <v>3524</v>
      </c>
      <c r="I1044" t="s">
        <v>1357</v>
      </c>
      <c r="J1044" t="s">
        <v>1357</v>
      </c>
      <c r="K1044" t="s">
        <v>1357</v>
      </c>
      <c r="L1044" t="s">
        <v>1357</v>
      </c>
    </row>
    <row r="1045" spans="1:12">
      <c r="H1045" t="s">
        <v>3526</v>
      </c>
      <c r="I1045" t="s">
        <v>1357</v>
      </c>
      <c r="J1045" t="s">
        <v>1357</v>
      </c>
      <c r="K1045" t="s">
        <v>1357</v>
      </c>
      <c r="L1045" t="s">
        <v>1357</v>
      </c>
    </row>
    <row r="1046" spans="1:12">
      <c r="A1046" t="s">
        <v>1953</v>
      </c>
      <c r="B1046">
        <f>HYPERLINK("https://github.com/apache/commons-math/commit/c6d53a52582d2d4c6fdec7a5f1a8cbee16db0e65", "c6d53a52582d2d4c6fdec7a5f1a8cbee16db0e65")</f>
        <v>0</v>
      </c>
      <c r="C1046">
        <f>HYPERLINK("https://github.com/apache/commons-math/commit/3bf8140d6524bb3bccea64f8ca57da1f9b769546", "3bf8140d6524bb3bccea64f8ca57da1f9b769546")</f>
        <v>0</v>
      </c>
      <c r="D1046" t="s">
        <v>2151</v>
      </c>
      <c r="E1046" t="s">
        <v>2242</v>
      </c>
      <c r="F1046" t="s">
        <v>2566</v>
      </c>
      <c r="G1046" t="s">
        <v>3020</v>
      </c>
      <c r="H1046" t="s">
        <v>3843</v>
      </c>
      <c r="I1046" t="s">
        <v>1357</v>
      </c>
      <c r="J1046" t="s">
        <v>1357</v>
      </c>
      <c r="K1046" t="s">
        <v>1357</v>
      </c>
      <c r="L1046" t="s">
        <v>1357</v>
      </c>
    </row>
    <row r="1047" spans="1:12">
      <c r="H1047" t="s">
        <v>3844</v>
      </c>
      <c r="I1047" t="s">
        <v>1357</v>
      </c>
      <c r="J1047" t="s">
        <v>1357</v>
      </c>
      <c r="K1047" t="s">
        <v>1357</v>
      </c>
      <c r="L1047" t="s">
        <v>1357</v>
      </c>
    </row>
    <row r="1048" spans="1:12">
      <c r="A1048" t="s">
        <v>1954</v>
      </c>
      <c r="B1048">
        <f>HYPERLINK("https://github.com/apache/commons-math/commit/de001e7bcf9acb761047bdcf40f48244f8b63642", "de001e7bcf9acb761047bdcf40f48244f8b63642")</f>
        <v>0</v>
      </c>
      <c r="C1048">
        <f>HYPERLINK("https://github.com/apache/commons-math/commit/5321415bc5e6fe2fc3b6a68f53447a72050d407f", "5321415bc5e6fe2fc3b6a68f53447a72050d407f")</f>
        <v>0</v>
      </c>
      <c r="D1048" t="s">
        <v>2151</v>
      </c>
      <c r="E1048" t="s">
        <v>2243</v>
      </c>
      <c r="F1048" t="s">
        <v>2567</v>
      </c>
      <c r="G1048" t="s">
        <v>2920</v>
      </c>
      <c r="H1048" t="s">
        <v>3845</v>
      </c>
      <c r="I1048" t="s">
        <v>1359</v>
      </c>
      <c r="J1048" t="s">
        <v>1357</v>
      </c>
      <c r="K1048" t="s">
        <v>1358</v>
      </c>
      <c r="L1048" t="s">
        <v>1357</v>
      </c>
    </row>
    <row r="1049" spans="1:12">
      <c r="A1049" t="s">
        <v>1955</v>
      </c>
      <c r="B1049">
        <f>HYPERLINK("https://github.com/apache/commons-math/commit/5ca553511dea61641f248f71be203b91f1682e95", "5ca553511dea61641f248f71be203b91f1682e95")</f>
        <v>0</v>
      </c>
      <c r="C1049">
        <f>HYPERLINK("https://github.com/apache/commons-math/commit/82cbcdc3a0ae55f80ae8950c5353cd9f020921af", "82cbcdc3a0ae55f80ae8950c5353cd9f020921af")</f>
        <v>0</v>
      </c>
      <c r="D1049" t="s">
        <v>155</v>
      </c>
      <c r="E1049" t="s">
        <v>2244</v>
      </c>
      <c r="F1049" t="s">
        <v>2568</v>
      </c>
      <c r="G1049" t="s">
        <v>2916</v>
      </c>
      <c r="H1049" t="s">
        <v>3846</v>
      </c>
      <c r="I1049" t="s">
        <v>1358</v>
      </c>
      <c r="J1049" t="s">
        <v>1358</v>
      </c>
      <c r="K1049" t="s">
        <v>1358</v>
      </c>
      <c r="L1049" t="s">
        <v>1358</v>
      </c>
    </row>
    <row r="1050" spans="1:12">
      <c r="H1050" t="s">
        <v>3847</v>
      </c>
      <c r="I1050" t="s">
        <v>1358</v>
      </c>
      <c r="J1050" t="s">
        <v>1358</v>
      </c>
      <c r="K1050" t="s">
        <v>1358</v>
      </c>
      <c r="L1050" t="s">
        <v>1358</v>
      </c>
    </row>
    <row r="1051" spans="1:12">
      <c r="A1051" t="s">
        <v>1956</v>
      </c>
      <c r="B1051">
        <f>HYPERLINK("https://github.com/apache/commons-math/commit/826fc64e968e5fd84dae5757537ab8ed815e2126", "826fc64e968e5fd84dae5757537ab8ed815e2126")</f>
        <v>0</v>
      </c>
      <c r="C1051">
        <f>HYPERLINK("https://github.com/apache/commons-math/commit/0d6a91f69853e57e7811438dde18270eaf161000", "0d6a91f69853e57e7811438dde18270eaf161000")</f>
        <v>0</v>
      </c>
      <c r="D1051" t="s">
        <v>2151</v>
      </c>
      <c r="E1051" t="s">
        <v>2245</v>
      </c>
      <c r="F1051" t="s">
        <v>2569</v>
      </c>
      <c r="G1051" t="s">
        <v>2945</v>
      </c>
      <c r="H1051" t="s">
        <v>3391</v>
      </c>
      <c r="I1051" t="s">
        <v>1357</v>
      </c>
      <c r="J1051" t="s">
        <v>1357</v>
      </c>
      <c r="K1051" t="s">
        <v>1357</v>
      </c>
      <c r="L1051" t="s">
        <v>1357</v>
      </c>
    </row>
    <row r="1052" spans="1:12">
      <c r="H1052" t="s">
        <v>3392</v>
      </c>
      <c r="I1052" t="s">
        <v>1357</v>
      </c>
      <c r="J1052" t="s">
        <v>1357</v>
      </c>
      <c r="K1052" t="s">
        <v>1357</v>
      </c>
      <c r="L1052" t="s">
        <v>1357</v>
      </c>
    </row>
    <row r="1053" spans="1:12">
      <c r="H1053" t="s">
        <v>3780</v>
      </c>
      <c r="I1053" t="s">
        <v>1357</v>
      </c>
      <c r="J1053" t="s">
        <v>1357</v>
      </c>
      <c r="K1053" t="s">
        <v>1357</v>
      </c>
      <c r="L1053" t="s">
        <v>1357</v>
      </c>
    </row>
    <row r="1054" spans="1:12">
      <c r="H1054" t="s">
        <v>3303</v>
      </c>
      <c r="I1054" t="s">
        <v>1357</v>
      </c>
      <c r="J1054" t="s">
        <v>1357</v>
      </c>
      <c r="K1054" t="s">
        <v>1357</v>
      </c>
      <c r="L1054" t="s">
        <v>1357</v>
      </c>
    </row>
    <row r="1055" spans="1:12">
      <c r="H1055" t="s">
        <v>3393</v>
      </c>
      <c r="I1055" t="s">
        <v>1357</v>
      </c>
      <c r="J1055" t="s">
        <v>1357</v>
      </c>
      <c r="K1055" t="s">
        <v>1357</v>
      </c>
      <c r="L1055" t="s">
        <v>1357</v>
      </c>
    </row>
    <row r="1056" spans="1:12">
      <c r="H1056" t="s">
        <v>3394</v>
      </c>
      <c r="I1056" t="s">
        <v>1357</v>
      </c>
      <c r="J1056" t="s">
        <v>1357</v>
      </c>
      <c r="K1056" t="s">
        <v>1357</v>
      </c>
      <c r="L1056" t="s">
        <v>1357</v>
      </c>
    </row>
    <row r="1057" spans="8:12">
      <c r="H1057" t="s">
        <v>3395</v>
      </c>
      <c r="I1057" t="s">
        <v>1357</v>
      </c>
      <c r="J1057" t="s">
        <v>1357</v>
      </c>
      <c r="K1057" t="s">
        <v>1357</v>
      </c>
      <c r="L1057" t="s">
        <v>1357</v>
      </c>
    </row>
    <row r="1058" spans="8:12">
      <c r="H1058" t="s">
        <v>3309</v>
      </c>
      <c r="I1058" t="s">
        <v>1357</v>
      </c>
      <c r="J1058" t="s">
        <v>1357</v>
      </c>
      <c r="K1058" t="s">
        <v>1357</v>
      </c>
      <c r="L1058" t="s">
        <v>1357</v>
      </c>
    </row>
    <row r="1059" spans="8:12">
      <c r="H1059" t="s">
        <v>3749</v>
      </c>
      <c r="I1059" t="s">
        <v>1357</v>
      </c>
      <c r="J1059" t="s">
        <v>1357</v>
      </c>
      <c r="K1059" t="s">
        <v>1357</v>
      </c>
      <c r="L1059" t="s">
        <v>1357</v>
      </c>
    </row>
    <row r="1060" spans="8:12">
      <c r="H1060" t="s">
        <v>3396</v>
      </c>
      <c r="I1060" t="s">
        <v>1357</v>
      </c>
      <c r="J1060" t="s">
        <v>1357</v>
      </c>
      <c r="K1060" t="s">
        <v>1357</v>
      </c>
      <c r="L1060" t="s">
        <v>1357</v>
      </c>
    </row>
    <row r="1061" spans="8:12">
      <c r="H1061" t="s">
        <v>3397</v>
      </c>
      <c r="I1061" t="s">
        <v>1357</v>
      </c>
      <c r="J1061" t="s">
        <v>1357</v>
      </c>
      <c r="K1061" t="s">
        <v>1357</v>
      </c>
      <c r="L1061" t="s">
        <v>1357</v>
      </c>
    </row>
    <row r="1062" spans="8:12">
      <c r="H1062" t="s">
        <v>3398</v>
      </c>
      <c r="I1062" t="s">
        <v>1357</v>
      </c>
      <c r="J1062" t="s">
        <v>1357</v>
      </c>
      <c r="K1062" t="s">
        <v>1357</v>
      </c>
      <c r="L1062" t="s">
        <v>1357</v>
      </c>
    </row>
    <row r="1063" spans="8:12">
      <c r="H1063" t="s">
        <v>3399</v>
      </c>
      <c r="I1063" t="s">
        <v>1357</v>
      </c>
      <c r="J1063" t="s">
        <v>1357</v>
      </c>
      <c r="K1063" t="s">
        <v>1357</v>
      </c>
      <c r="L1063" t="s">
        <v>1357</v>
      </c>
    </row>
    <row r="1064" spans="8:12">
      <c r="H1064" t="s">
        <v>3400</v>
      </c>
      <c r="I1064" t="s">
        <v>1357</v>
      </c>
      <c r="J1064" t="s">
        <v>1357</v>
      </c>
      <c r="K1064" t="s">
        <v>1357</v>
      </c>
      <c r="L1064" t="s">
        <v>1357</v>
      </c>
    </row>
    <row r="1065" spans="8:12">
      <c r="H1065" t="s">
        <v>3401</v>
      </c>
      <c r="I1065" t="s">
        <v>1357</v>
      </c>
      <c r="J1065" t="s">
        <v>1357</v>
      </c>
      <c r="K1065" t="s">
        <v>1357</v>
      </c>
      <c r="L1065" t="s">
        <v>1357</v>
      </c>
    </row>
    <row r="1066" spans="8:12">
      <c r="H1066" t="s">
        <v>3402</v>
      </c>
      <c r="I1066" t="s">
        <v>1357</v>
      </c>
      <c r="J1066" t="s">
        <v>1357</v>
      </c>
      <c r="K1066" t="s">
        <v>1357</v>
      </c>
      <c r="L1066" t="s">
        <v>1357</v>
      </c>
    </row>
    <row r="1067" spans="8:12">
      <c r="H1067" t="s">
        <v>3753</v>
      </c>
      <c r="I1067" t="s">
        <v>1357</v>
      </c>
      <c r="J1067" t="s">
        <v>1357</v>
      </c>
      <c r="K1067" t="s">
        <v>1357</v>
      </c>
      <c r="L1067" t="s">
        <v>1357</v>
      </c>
    </row>
    <row r="1068" spans="8:12">
      <c r="H1068" t="s">
        <v>3403</v>
      </c>
      <c r="I1068" t="s">
        <v>1357</v>
      </c>
      <c r="J1068" t="s">
        <v>1357</v>
      </c>
      <c r="K1068" t="s">
        <v>1357</v>
      </c>
      <c r="L1068" t="s">
        <v>1357</v>
      </c>
    </row>
    <row r="1069" spans="8:12">
      <c r="H1069" t="s">
        <v>3754</v>
      </c>
      <c r="I1069" t="s">
        <v>1357</v>
      </c>
      <c r="J1069" t="s">
        <v>1357</v>
      </c>
      <c r="K1069" t="s">
        <v>1357</v>
      </c>
      <c r="L1069" t="s">
        <v>1357</v>
      </c>
    </row>
    <row r="1070" spans="8:12">
      <c r="H1070" t="s">
        <v>3404</v>
      </c>
      <c r="I1070" t="s">
        <v>1357</v>
      </c>
      <c r="J1070" t="s">
        <v>1357</v>
      </c>
      <c r="K1070" t="s">
        <v>1357</v>
      </c>
      <c r="L1070" t="s">
        <v>1357</v>
      </c>
    </row>
    <row r="1071" spans="8:12">
      <c r="H1071" t="s">
        <v>3405</v>
      </c>
      <c r="I1071" t="s">
        <v>1357</v>
      </c>
      <c r="J1071" t="s">
        <v>1357</v>
      </c>
      <c r="K1071" t="s">
        <v>1357</v>
      </c>
      <c r="L1071" t="s">
        <v>1357</v>
      </c>
    </row>
    <row r="1072" spans="8:12">
      <c r="H1072" t="s">
        <v>3688</v>
      </c>
      <c r="I1072" t="s">
        <v>1357</v>
      </c>
      <c r="J1072" t="s">
        <v>1357</v>
      </c>
      <c r="K1072" t="s">
        <v>1357</v>
      </c>
      <c r="L1072" t="s">
        <v>1357</v>
      </c>
    </row>
    <row r="1073" spans="6:12">
      <c r="H1073" t="s">
        <v>3848</v>
      </c>
      <c r="I1073" t="s">
        <v>1357</v>
      </c>
      <c r="J1073" t="s">
        <v>1357</v>
      </c>
      <c r="K1073" t="s">
        <v>1357</v>
      </c>
      <c r="L1073" t="s">
        <v>1357</v>
      </c>
    </row>
    <row r="1074" spans="6:12">
      <c r="H1074" t="s">
        <v>3763</v>
      </c>
      <c r="I1074" t="s">
        <v>1357</v>
      </c>
      <c r="J1074" t="s">
        <v>1357</v>
      </c>
      <c r="K1074" t="s">
        <v>1357</v>
      </c>
      <c r="L1074" t="s">
        <v>1357</v>
      </c>
    </row>
    <row r="1075" spans="6:12">
      <c r="H1075" t="s">
        <v>3760</v>
      </c>
      <c r="I1075" t="s">
        <v>1357</v>
      </c>
      <c r="J1075" t="s">
        <v>1357</v>
      </c>
      <c r="K1075" t="s">
        <v>1357</v>
      </c>
      <c r="L1075" t="s">
        <v>1357</v>
      </c>
    </row>
    <row r="1076" spans="6:12">
      <c r="H1076" t="s">
        <v>1850</v>
      </c>
      <c r="I1076" t="s">
        <v>1357</v>
      </c>
      <c r="J1076" t="s">
        <v>1357</v>
      </c>
      <c r="K1076" t="s">
        <v>1357</v>
      </c>
      <c r="L1076" t="s">
        <v>1357</v>
      </c>
    </row>
    <row r="1077" spans="6:12">
      <c r="H1077" t="s">
        <v>901</v>
      </c>
      <c r="I1077" t="s">
        <v>1357</v>
      </c>
      <c r="J1077" t="s">
        <v>1357</v>
      </c>
      <c r="K1077" t="s">
        <v>1357</v>
      </c>
      <c r="L1077" t="s">
        <v>1357</v>
      </c>
    </row>
    <row r="1078" spans="6:12">
      <c r="H1078" t="s">
        <v>3778</v>
      </c>
      <c r="I1078" t="s">
        <v>1357</v>
      </c>
      <c r="J1078" t="s">
        <v>1357</v>
      </c>
      <c r="K1078" t="s">
        <v>1357</v>
      </c>
      <c r="L1078" t="s">
        <v>1357</v>
      </c>
    </row>
    <row r="1079" spans="6:12">
      <c r="F1079" t="s">
        <v>2570</v>
      </c>
      <c r="G1079" t="s">
        <v>3021</v>
      </c>
      <c r="H1079" t="s">
        <v>3849</v>
      </c>
      <c r="I1079" t="s">
        <v>1357</v>
      </c>
      <c r="J1079" t="s">
        <v>1357</v>
      </c>
      <c r="K1079" t="s">
        <v>1357</v>
      </c>
      <c r="L1079" t="s">
        <v>1357</v>
      </c>
    </row>
    <row r="1080" spans="6:12">
      <c r="H1080" t="s">
        <v>3850</v>
      </c>
      <c r="I1080" t="s">
        <v>1357</v>
      </c>
      <c r="J1080" t="s">
        <v>1357</v>
      </c>
      <c r="K1080" t="s">
        <v>1357</v>
      </c>
      <c r="L1080" t="s">
        <v>1357</v>
      </c>
    </row>
    <row r="1081" spans="6:12">
      <c r="H1081" t="s">
        <v>3851</v>
      </c>
      <c r="I1081" t="s">
        <v>1357</v>
      </c>
      <c r="J1081" t="s">
        <v>1357</v>
      </c>
      <c r="K1081" t="s">
        <v>1357</v>
      </c>
      <c r="L1081" t="s">
        <v>1357</v>
      </c>
    </row>
    <row r="1082" spans="6:12">
      <c r="H1082" t="s">
        <v>3852</v>
      </c>
      <c r="I1082" t="s">
        <v>1357</v>
      </c>
      <c r="J1082" t="s">
        <v>1357</v>
      </c>
      <c r="K1082" t="s">
        <v>1357</v>
      </c>
      <c r="L1082" t="s">
        <v>1357</v>
      </c>
    </row>
    <row r="1083" spans="6:12">
      <c r="F1083" t="s">
        <v>2571</v>
      </c>
      <c r="G1083" t="s">
        <v>2922</v>
      </c>
      <c r="H1083" t="s">
        <v>3391</v>
      </c>
      <c r="I1083" t="s">
        <v>1357</v>
      </c>
      <c r="J1083" t="s">
        <v>1357</v>
      </c>
      <c r="K1083" t="s">
        <v>1357</v>
      </c>
      <c r="L1083" t="s">
        <v>1357</v>
      </c>
    </row>
    <row r="1084" spans="6:12">
      <c r="H1084" t="s">
        <v>3392</v>
      </c>
      <c r="I1084" t="s">
        <v>1357</v>
      </c>
      <c r="J1084" t="s">
        <v>1357</v>
      </c>
      <c r="K1084" t="s">
        <v>1357</v>
      </c>
      <c r="L1084" t="s">
        <v>1357</v>
      </c>
    </row>
    <row r="1085" spans="6:12">
      <c r="H1085" t="s">
        <v>3303</v>
      </c>
      <c r="I1085" t="s">
        <v>1357</v>
      </c>
      <c r="J1085" t="s">
        <v>1357</v>
      </c>
      <c r="K1085" t="s">
        <v>1357</v>
      </c>
      <c r="L1085" t="s">
        <v>1357</v>
      </c>
    </row>
    <row r="1086" spans="6:12">
      <c r="H1086" t="s">
        <v>3393</v>
      </c>
      <c r="I1086" t="s">
        <v>1357</v>
      </c>
      <c r="J1086" t="s">
        <v>1357</v>
      </c>
      <c r="K1086" t="s">
        <v>1357</v>
      </c>
      <c r="L1086" t="s">
        <v>1357</v>
      </c>
    </row>
    <row r="1087" spans="6:12">
      <c r="H1087" t="s">
        <v>3394</v>
      </c>
      <c r="I1087" t="s">
        <v>1357</v>
      </c>
      <c r="J1087" t="s">
        <v>1357</v>
      </c>
      <c r="K1087" t="s">
        <v>1357</v>
      </c>
      <c r="L1087" t="s">
        <v>1357</v>
      </c>
    </row>
    <row r="1088" spans="6:12">
      <c r="H1088" t="s">
        <v>3747</v>
      </c>
      <c r="I1088" t="s">
        <v>1357</v>
      </c>
      <c r="J1088" t="s">
        <v>1357</v>
      </c>
      <c r="K1088" t="s">
        <v>1357</v>
      </c>
      <c r="L1088" t="s">
        <v>1357</v>
      </c>
    </row>
    <row r="1089" spans="8:13">
      <c r="H1089" t="s">
        <v>3395</v>
      </c>
      <c r="I1089" t="s">
        <v>1357</v>
      </c>
      <c r="J1089" t="s">
        <v>1357</v>
      </c>
      <c r="K1089" t="s">
        <v>1357</v>
      </c>
      <c r="L1089" t="s">
        <v>1357</v>
      </c>
    </row>
    <row r="1090" spans="8:13">
      <c r="H1090" t="s">
        <v>3309</v>
      </c>
      <c r="I1090" t="s">
        <v>1357</v>
      </c>
      <c r="J1090" t="s">
        <v>1357</v>
      </c>
      <c r="K1090" t="s">
        <v>1357</v>
      </c>
      <c r="L1090" t="s">
        <v>1357</v>
      </c>
    </row>
    <row r="1091" spans="8:13">
      <c r="H1091" t="s">
        <v>3749</v>
      </c>
      <c r="I1091" t="s">
        <v>1357</v>
      </c>
      <c r="J1091" t="s">
        <v>1357</v>
      </c>
      <c r="K1091" t="s">
        <v>1357</v>
      </c>
      <c r="L1091" t="s">
        <v>1357</v>
      </c>
    </row>
    <row r="1092" spans="8:13">
      <c r="H1092" t="s">
        <v>3400</v>
      </c>
      <c r="I1092" t="s">
        <v>1357</v>
      </c>
      <c r="J1092" t="s">
        <v>1357</v>
      </c>
      <c r="K1092" t="s">
        <v>1357</v>
      </c>
      <c r="L1092" t="s">
        <v>1357</v>
      </c>
    </row>
    <row r="1093" spans="8:13">
      <c r="H1093" t="s">
        <v>3401</v>
      </c>
      <c r="I1093" t="s">
        <v>1357</v>
      </c>
      <c r="J1093" t="s">
        <v>1357</v>
      </c>
      <c r="K1093" t="s">
        <v>1357</v>
      </c>
      <c r="L1093" t="s">
        <v>1357</v>
      </c>
    </row>
    <row r="1094" spans="8:13">
      <c r="H1094" t="s">
        <v>3402</v>
      </c>
      <c r="I1094" t="s">
        <v>1357</v>
      </c>
      <c r="J1094" t="s">
        <v>1357</v>
      </c>
      <c r="K1094" t="s">
        <v>1357</v>
      </c>
      <c r="L1094" t="s">
        <v>1357</v>
      </c>
      <c r="M1094" t="s">
        <v>5099</v>
      </c>
    </row>
    <row r="1095" spans="8:13">
      <c r="H1095" t="s">
        <v>3753</v>
      </c>
      <c r="I1095" t="s">
        <v>1357</v>
      </c>
      <c r="J1095" t="s">
        <v>1357</v>
      </c>
      <c r="K1095" t="s">
        <v>1357</v>
      </c>
      <c r="L1095" t="s">
        <v>1357</v>
      </c>
    </row>
    <row r="1096" spans="8:13">
      <c r="H1096" t="s">
        <v>3403</v>
      </c>
      <c r="I1096" t="s">
        <v>1357</v>
      </c>
      <c r="J1096" t="s">
        <v>1357</v>
      </c>
      <c r="K1096" t="s">
        <v>1357</v>
      </c>
      <c r="L1096" t="s">
        <v>1357</v>
      </c>
    </row>
    <row r="1097" spans="8:13">
      <c r="H1097" t="s">
        <v>3754</v>
      </c>
      <c r="I1097" t="s">
        <v>1357</v>
      </c>
      <c r="J1097" t="s">
        <v>1357</v>
      </c>
      <c r="K1097" t="s">
        <v>1357</v>
      </c>
      <c r="L1097" t="s">
        <v>1357</v>
      </c>
    </row>
    <row r="1098" spans="8:13">
      <c r="H1098" t="s">
        <v>3404</v>
      </c>
      <c r="I1098" t="s">
        <v>1357</v>
      </c>
      <c r="J1098" t="s">
        <v>1357</v>
      </c>
      <c r="K1098" t="s">
        <v>1357</v>
      </c>
      <c r="L1098" t="s">
        <v>1357</v>
      </c>
    </row>
    <row r="1099" spans="8:13">
      <c r="H1099" t="s">
        <v>3405</v>
      </c>
      <c r="I1099" t="s">
        <v>1357</v>
      </c>
      <c r="J1099" t="s">
        <v>1357</v>
      </c>
      <c r="K1099" t="s">
        <v>1357</v>
      </c>
      <c r="L1099" t="s">
        <v>1357</v>
      </c>
    </row>
    <row r="1100" spans="8:13">
      <c r="H1100" t="s">
        <v>3755</v>
      </c>
      <c r="I1100" t="s">
        <v>1357</v>
      </c>
      <c r="J1100" t="s">
        <v>1357</v>
      </c>
      <c r="K1100" t="s">
        <v>1357</v>
      </c>
      <c r="L1100" t="s">
        <v>1357</v>
      </c>
    </row>
    <row r="1101" spans="8:13">
      <c r="H1101" t="s">
        <v>3756</v>
      </c>
      <c r="I1101" t="s">
        <v>1357</v>
      </c>
      <c r="J1101" t="s">
        <v>1357</v>
      </c>
      <c r="K1101" t="s">
        <v>1357</v>
      </c>
      <c r="L1101" t="s">
        <v>1357</v>
      </c>
    </row>
    <row r="1102" spans="8:13">
      <c r="H1102" t="s">
        <v>3757</v>
      </c>
      <c r="I1102" t="s">
        <v>1357</v>
      </c>
      <c r="J1102" t="s">
        <v>1357</v>
      </c>
      <c r="K1102" t="s">
        <v>1357</v>
      </c>
      <c r="L1102" t="s">
        <v>1357</v>
      </c>
    </row>
    <row r="1103" spans="8:13">
      <c r="H1103" t="s">
        <v>3759</v>
      </c>
      <c r="I1103" t="s">
        <v>1357</v>
      </c>
      <c r="J1103" t="s">
        <v>1357</v>
      </c>
      <c r="K1103" t="s">
        <v>1357</v>
      </c>
      <c r="L1103" t="s">
        <v>1357</v>
      </c>
    </row>
    <row r="1104" spans="8:13">
      <c r="H1104" t="s">
        <v>3760</v>
      </c>
      <c r="I1104" t="s">
        <v>1357</v>
      </c>
      <c r="J1104" t="s">
        <v>1357</v>
      </c>
      <c r="K1104" t="s">
        <v>1357</v>
      </c>
      <c r="L1104" t="s">
        <v>1357</v>
      </c>
    </row>
    <row r="1105" spans="8:12">
      <c r="H1105" t="s">
        <v>3761</v>
      </c>
      <c r="I1105" t="s">
        <v>1357</v>
      </c>
      <c r="J1105" t="s">
        <v>1357</v>
      </c>
      <c r="K1105" t="s">
        <v>1357</v>
      </c>
      <c r="L1105" t="s">
        <v>1357</v>
      </c>
    </row>
    <row r="1106" spans="8:12">
      <c r="H1106" t="s">
        <v>3763</v>
      </c>
      <c r="I1106" t="s">
        <v>1357</v>
      </c>
      <c r="J1106" t="s">
        <v>1357</v>
      </c>
      <c r="K1106" t="s">
        <v>1357</v>
      </c>
      <c r="L1106" t="s">
        <v>1357</v>
      </c>
    </row>
    <row r="1107" spans="8:12">
      <c r="H1107" t="s">
        <v>3764</v>
      </c>
      <c r="I1107" t="s">
        <v>1357</v>
      </c>
      <c r="J1107" t="s">
        <v>1357</v>
      </c>
      <c r="K1107" t="s">
        <v>1357</v>
      </c>
      <c r="L1107" t="s">
        <v>1357</v>
      </c>
    </row>
    <row r="1108" spans="8:12">
      <c r="H1108" t="s">
        <v>3766</v>
      </c>
      <c r="I1108" t="s">
        <v>1357</v>
      </c>
      <c r="J1108" t="s">
        <v>1357</v>
      </c>
      <c r="K1108" t="s">
        <v>1357</v>
      </c>
      <c r="L1108" t="s">
        <v>1357</v>
      </c>
    </row>
    <row r="1109" spans="8:12">
      <c r="H1109" t="s">
        <v>3767</v>
      </c>
      <c r="I1109" t="s">
        <v>1357</v>
      </c>
      <c r="J1109" t="s">
        <v>1357</v>
      </c>
      <c r="K1109" t="s">
        <v>1357</v>
      </c>
      <c r="L1109" t="s">
        <v>1357</v>
      </c>
    </row>
    <row r="1110" spans="8:12">
      <c r="H1110" t="s">
        <v>3769</v>
      </c>
      <c r="I1110" t="s">
        <v>1357</v>
      </c>
      <c r="J1110" t="s">
        <v>1357</v>
      </c>
      <c r="K1110" t="s">
        <v>1357</v>
      </c>
      <c r="L1110" t="s">
        <v>1357</v>
      </c>
    </row>
    <row r="1111" spans="8:12">
      <c r="H1111" t="s">
        <v>3770</v>
      </c>
      <c r="I1111" t="s">
        <v>1357</v>
      </c>
      <c r="J1111" t="s">
        <v>1357</v>
      </c>
      <c r="K1111" t="s">
        <v>1357</v>
      </c>
      <c r="L1111" t="s">
        <v>1357</v>
      </c>
    </row>
    <row r="1112" spans="8:12">
      <c r="H1112" t="s">
        <v>3772</v>
      </c>
      <c r="I1112" t="s">
        <v>1357</v>
      </c>
      <c r="J1112" t="s">
        <v>1357</v>
      </c>
      <c r="K1112" t="s">
        <v>1357</v>
      </c>
      <c r="L1112" t="s">
        <v>1357</v>
      </c>
    </row>
    <row r="1113" spans="8:12">
      <c r="H1113" t="s">
        <v>3773</v>
      </c>
      <c r="I1113" t="s">
        <v>1357</v>
      </c>
      <c r="J1113" t="s">
        <v>1357</v>
      </c>
      <c r="K1113" t="s">
        <v>1357</v>
      </c>
      <c r="L1113" t="s">
        <v>1357</v>
      </c>
    </row>
    <row r="1114" spans="8:12">
      <c r="H1114" t="s">
        <v>3775</v>
      </c>
      <c r="I1114" t="s">
        <v>1357</v>
      </c>
      <c r="J1114" t="s">
        <v>1357</v>
      </c>
      <c r="K1114" t="s">
        <v>1357</v>
      </c>
      <c r="L1114" t="s">
        <v>1357</v>
      </c>
    </row>
    <row r="1115" spans="8:12">
      <c r="H1115" t="s">
        <v>3776</v>
      </c>
      <c r="I1115" t="s">
        <v>1357</v>
      </c>
      <c r="J1115" t="s">
        <v>1357</v>
      </c>
      <c r="K1115" t="s">
        <v>1357</v>
      </c>
      <c r="L1115" t="s">
        <v>1357</v>
      </c>
    </row>
    <row r="1116" spans="8:12">
      <c r="H1116" t="s">
        <v>1850</v>
      </c>
      <c r="I1116" t="s">
        <v>1357</v>
      </c>
      <c r="J1116" t="s">
        <v>1357</v>
      </c>
      <c r="K1116" t="s">
        <v>1357</v>
      </c>
      <c r="L1116" t="s">
        <v>1357</v>
      </c>
    </row>
    <row r="1117" spans="8:12">
      <c r="H1117" t="s">
        <v>901</v>
      </c>
      <c r="I1117" t="s">
        <v>1357</v>
      </c>
      <c r="J1117" t="s">
        <v>1357</v>
      </c>
      <c r="K1117" t="s">
        <v>1357</v>
      </c>
      <c r="L1117" t="s">
        <v>1357</v>
      </c>
    </row>
    <row r="1118" spans="8:12">
      <c r="H1118" t="s">
        <v>3778</v>
      </c>
      <c r="I1118" t="s">
        <v>1357</v>
      </c>
      <c r="J1118" t="s">
        <v>1357</v>
      </c>
      <c r="K1118" t="s">
        <v>1357</v>
      </c>
      <c r="L1118" t="s">
        <v>1357</v>
      </c>
    </row>
    <row r="1119" spans="8:12">
      <c r="H1119" t="s">
        <v>3779</v>
      </c>
      <c r="I1119" t="s">
        <v>1357</v>
      </c>
      <c r="J1119" t="s">
        <v>1357</v>
      </c>
      <c r="K1119" t="s">
        <v>1357</v>
      </c>
      <c r="L1119" t="s">
        <v>1357</v>
      </c>
    </row>
    <row r="1120" spans="8:12">
      <c r="H1120" t="s">
        <v>3853</v>
      </c>
      <c r="I1120" t="s">
        <v>1357</v>
      </c>
      <c r="J1120" t="s">
        <v>1357</v>
      </c>
      <c r="K1120" t="s">
        <v>1357</v>
      </c>
      <c r="L1120" t="s">
        <v>1357</v>
      </c>
    </row>
    <row r="1121" spans="1:13">
      <c r="A1121" t="s">
        <v>1957</v>
      </c>
      <c r="B1121">
        <f>HYPERLINK("https://github.com/apache/commons-math/commit/634e51b50e2000d38498161afcdc7359bae61ce1", "634e51b50e2000d38498161afcdc7359bae61ce1")</f>
        <v>0</v>
      </c>
      <c r="C1121">
        <f>HYPERLINK("https://github.com/apache/commons-math/commit/826fc64e968e5fd84dae5757537ab8ed815e2126", "826fc64e968e5fd84dae5757537ab8ed815e2126")</f>
        <v>0</v>
      </c>
      <c r="D1121" t="s">
        <v>2151</v>
      </c>
      <c r="E1121" t="s">
        <v>2246</v>
      </c>
      <c r="F1121" t="s">
        <v>2572</v>
      </c>
      <c r="G1121" t="s">
        <v>3022</v>
      </c>
      <c r="H1121" t="s">
        <v>3854</v>
      </c>
      <c r="I1121" t="s">
        <v>1357</v>
      </c>
      <c r="J1121" t="s">
        <v>1357</v>
      </c>
      <c r="K1121" t="s">
        <v>1357</v>
      </c>
      <c r="L1121" t="s">
        <v>1357</v>
      </c>
      <c r="M1121" t="s">
        <v>5099</v>
      </c>
    </row>
    <row r="1122" spans="1:13">
      <c r="H1122" t="s">
        <v>3855</v>
      </c>
      <c r="I1122" t="s">
        <v>1357</v>
      </c>
      <c r="J1122" t="s">
        <v>1357</v>
      </c>
      <c r="K1122" t="s">
        <v>1357</v>
      </c>
      <c r="L1122" t="s">
        <v>1357</v>
      </c>
    </row>
    <row r="1123" spans="1:13">
      <c r="H1123" t="s">
        <v>3856</v>
      </c>
      <c r="I1123" t="s">
        <v>1357</v>
      </c>
      <c r="J1123" t="s">
        <v>1357</v>
      </c>
      <c r="K1123" t="s">
        <v>1357</v>
      </c>
      <c r="L1123" t="s">
        <v>1357</v>
      </c>
    </row>
    <row r="1124" spans="1:13">
      <c r="H1124" t="s">
        <v>3857</v>
      </c>
      <c r="I1124" t="s">
        <v>1357</v>
      </c>
      <c r="J1124" t="s">
        <v>1357</v>
      </c>
      <c r="K1124" t="s">
        <v>1357</v>
      </c>
      <c r="L1124" t="s">
        <v>1357</v>
      </c>
    </row>
    <row r="1125" spans="1:13">
      <c r="H1125" t="s">
        <v>3858</v>
      </c>
      <c r="I1125" t="s">
        <v>1357</v>
      </c>
      <c r="J1125" t="s">
        <v>1357</v>
      </c>
      <c r="K1125" t="s">
        <v>1357</v>
      </c>
      <c r="L1125" t="s">
        <v>1357</v>
      </c>
    </row>
    <row r="1126" spans="1:13">
      <c r="F1126" t="s">
        <v>2564</v>
      </c>
      <c r="G1126" t="s">
        <v>3019</v>
      </c>
      <c r="H1126" t="s">
        <v>3854</v>
      </c>
      <c r="I1126" t="s">
        <v>1357</v>
      </c>
      <c r="J1126" t="s">
        <v>1357</v>
      </c>
      <c r="K1126" t="s">
        <v>1357</v>
      </c>
      <c r="L1126" t="s">
        <v>1357</v>
      </c>
    </row>
    <row r="1127" spans="1:13">
      <c r="H1127" t="s">
        <v>3855</v>
      </c>
      <c r="I1127" t="s">
        <v>1357</v>
      </c>
      <c r="J1127" t="s">
        <v>1357</v>
      </c>
      <c r="K1127" t="s">
        <v>1357</v>
      </c>
      <c r="L1127" t="s">
        <v>1357</v>
      </c>
    </row>
    <row r="1128" spans="1:13">
      <c r="H1128" t="s">
        <v>3856</v>
      </c>
      <c r="I1128" t="s">
        <v>1357</v>
      </c>
      <c r="J1128" t="s">
        <v>1357</v>
      </c>
      <c r="K1128" t="s">
        <v>1357</v>
      </c>
      <c r="L1128" t="s">
        <v>1357</v>
      </c>
    </row>
    <row r="1129" spans="1:13">
      <c r="H1129" t="s">
        <v>3857</v>
      </c>
      <c r="I1129" t="s">
        <v>1357</v>
      </c>
      <c r="J1129" t="s">
        <v>1357</v>
      </c>
      <c r="K1129" t="s">
        <v>1357</v>
      </c>
      <c r="L1129" t="s">
        <v>1357</v>
      </c>
    </row>
    <row r="1130" spans="1:13">
      <c r="H1130" t="s">
        <v>3859</v>
      </c>
      <c r="I1130" t="s">
        <v>1357</v>
      </c>
      <c r="J1130" t="s">
        <v>1357</v>
      </c>
      <c r="K1130" t="s">
        <v>1357</v>
      </c>
      <c r="L1130" t="s">
        <v>1357</v>
      </c>
    </row>
    <row r="1131" spans="1:13">
      <c r="H1131" t="s">
        <v>3860</v>
      </c>
      <c r="I1131" t="s">
        <v>1357</v>
      </c>
      <c r="J1131" t="s">
        <v>1357</v>
      </c>
      <c r="K1131" t="s">
        <v>1357</v>
      </c>
      <c r="L1131" t="s">
        <v>1357</v>
      </c>
    </row>
    <row r="1132" spans="1:13">
      <c r="H1132" t="s">
        <v>3861</v>
      </c>
      <c r="I1132" t="s">
        <v>1357</v>
      </c>
      <c r="J1132" t="s">
        <v>1357</v>
      </c>
      <c r="K1132" t="s">
        <v>1357</v>
      </c>
      <c r="L1132" t="s">
        <v>1357</v>
      </c>
    </row>
    <row r="1133" spans="1:13">
      <c r="H1133" t="s">
        <v>3862</v>
      </c>
      <c r="I1133" t="s">
        <v>1357</v>
      </c>
      <c r="J1133" t="s">
        <v>1357</v>
      </c>
      <c r="K1133" t="s">
        <v>1357</v>
      </c>
      <c r="L1133" t="s">
        <v>1357</v>
      </c>
    </row>
    <row r="1134" spans="1:13">
      <c r="A1134" t="s">
        <v>1958</v>
      </c>
      <c r="B1134">
        <f>HYPERLINK("https://github.com/apache/commons-math/commit/07f166332003e7f0857954ffc5bd3e85ca762f69", "07f166332003e7f0857954ffc5bd3e85ca762f69")</f>
        <v>0</v>
      </c>
      <c r="C1134">
        <f>HYPERLINK("https://github.com/apache/commons-math/commit/06ec87572a446d19c83a771395b9d6bbaf27f102", "06ec87572a446d19c83a771395b9d6bbaf27f102")</f>
        <v>0</v>
      </c>
      <c r="D1134" t="s">
        <v>2151</v>
      </c>
      <c r="E1134" t="s">
        <v>2247</v>
      </c>
      <c r="F1134" t="s">
        <v>2573</v>
      </c>
      <c r="G1134" t="s">
        <v>2973</v>
      </c>
      <c r="H1134" t="s">
        <v>1707</v>
      </c>
      <c r="I1134" t="s">
        <v>1357</v>
      </c>
      <c r="J1134" t="s">
        <v>1357</v>
      </c>
      <c r="K1134" t="s">
        <v>1357</v>
      </c>
      <c r="L1134" t="s">
        <v>1357</v>
      </c>
    </row>
    <row r="1135" spans="1:13">
      <c r="H1135" t="s">
        <v>3699</v>
      </c>
      <c r="I1135" t="s">
        <v>1357</v>
      </c>
      <c r="J1135" t="s">
        <v>1357</v>
      </c>
      <c r="K1135" t="s">
        <v>1357</v>
      </c>
      <c r="L1135" t="s">
        <v>1357</v>
      </c>
    </row>
    <row r="1136" spans="1:13">
      <c r="H1136" t="s">
        <v>3700</v>
      </c>
      <c r="I1136" t="s">
        <v>1357</v>
      </c>
      <c r="J1136" t="s">
        <v>1357</v>
      </c>
      <c r="K1136" t="s">
        <v>1357</v>
      </c>
      <c r="L1136" t="s">
        <v>1357</v>
      </c>
    </row>
    <row r="1137" spans="6:13">
      <c r="F1137" t="s">
        <v>2574</v>
      </c>
      <c r="G1137" t="s">
        <v>2953</v>
      </c>
      <c r="H1137" t="s">
        <v>3863</v>
      </c>
      <c r="I1137" t="s">
        <v>1357</v>
      </c>
      <c r="J1137" t="s">
        <v>1357</v>
      </c>
      <c r="K1137" t="s">
        <v>1357</v>
      </c>
      <c r="L1137" t="s">
        <v>1357</v>
      </c>
    </row>
    <row r="1138" spans="6:13">
      <c r="H1138" t="s">
        <v>3864</v>
      </c>
      <c r="I1138" t="s">
        <v>1357</v>
      </c>
      <c r="J1138" t="s">
        <v>1357</v>
      </c>
      <c r="K1138" t="s">
        <v>1357</v>
      </c>
      <c r="L1138" t="s">
        <v>1357</v>
      </c>
    </row>
    <row r="1139" spans="6:13">
      <c r="H1139" t="s">
        <v>3865</v>
      </c>
      <c r="I1139" t="s">
        <v>1357</v>
      </c>
      <c r="J1139" t="s">
        <v>1357</v>
      </c>
      <c r="K1139" t="s">
        <v>1357</v>
      </c>
      <c r="L1139" t="s">
        <v>1357</v>
      </c>
    </row>
    <row r="1140" spans="6:13">
      <c r="H1140" t="s">
        <v>3866</v>
      </c>
      <c r="I1140" t="s">
        <v>1357</v>
      </c>
      <c r="J1140" t="s">
        <v>1357</v>
      </c>
      <c r="K1140" t="s">
        <v>1357</v>
      </c>
      <c r="L1140" t="s">
        <v>1357</v>
      </c>
    </row>
    <row r="1141" spans="6:13">
      <c r="H1141" t="s">
        <v>3867</v>
      </c>
      <c r="I1141" t="s">
        <v>1357</v>
      </c>
      <c r="J1141" t="s">
        <v>1357</v>
      </c>
      <c r="K1141" t="s">
        <v>1357</v>
      </c>
      <c r="L1141" t="s">
        <v>1357</v>
      </c>
    </row>
    <row r="1142" spans="6:13">
      <c r="H1142" t="s">
        <v>3868</v>
      </c>
      <c r="I1142" t="s">
        <v>1357</v>
      </c>
      <c r="J1142" t="s">
        <v>1357</v>
      </c>
      <c r="K1142" t="s">
        <v>1357</v>
      </c>
      <c r="L1142" t="s">
        <v>1357</v>
      </c>
    </row>
    <row r="1143" spans="6:13">
      <c r="H1143" t="s">
        <v>3869</v>
      </c>
      <c r="I1143" t="s">
        <v>1357</v>
      </c>
      <c r="J1143" t="s">
        <v>1357</v>
      </c>
      <c r="K1143" t="s">
        <v>1357</v>
      </c>
      <c r="L1143" t="s">
        <v>1357</v>
      </c>
    </row>
    <row r="1144" spans="6:13">
      <c r="H1144" t="s">
        <v>3870</v>
      </c>
      <c r="I1144" t="s">
        <v>1357</v>
      </c>
      <c r="J1144" t="s">
        <v>1357</v>
      </c>
      <c r="K1144" t="s">
        <v>1357</v>
      </c>
      <c r="L1144" t="s">
        <v>1357</v>
      </c>
    </row>
    <row r="1145" spans="6:13">
      <c r="H1145" t="s">
        <v>3871</v>
      </c>
      <c r="I1145" t="s">
        <v>1357</v>
      </c>
      <c r="J1145" t="s">
        <v>1357</v>
      </c>
      <c r="K1145" t="s">
        <v>1357</v>
      </c>
      <c r="L1145" t="s">
        <v>1357</v>
      </c>
    </row>
    <row r="1146" spans="6:13">
      <c r="H1146" t="s">
        <v>3872</v>
      </c>
      <c r="I1146" t="s">
        <v>1357</v>
      </c>
      <c r="J1146" t="s">
        <v>1357</v>
      </c>
      <c r="K1146" t="s">
        <v>1357</v>
      </c>
      <c r="L1146" t="s">
        <v>1357</v>
      </c>
    </row>
    <row r="1147" spans="6:13">
      <c r="H1147" t="s">
        <v>3873</v>
      </c>
      <c r="I1147" t="s">
        <v>1357</v>
      </c>
      <c r="J1147" t="s">
        <v>1357</v>
      </c>
      <c r="K1147" t="s">
        <v>1357</v>
      </c>
      <c r="L1147" t="s">
        <v>1357</v>
      </c>
    </row>
    <row r="1148" spans="6:13">
      <c r="H1148" t="s">
        <v>3874</v>
      </c>
      <c r="I1148" t="s">
        <v>1357</v>
      </c>
      <c r="J1148" t="s">
        <v>1357</v>
      </c>
      <c r="K1148" t="s">
        <v>1357</v>
      </c>
      <c r="L1148" t="s">
        <v>1357</v>
      </c>
      <c r="M1148" t="s">
        <v>5099</v>
      </c>
    </row>
    <row r="1149" spans="6:13">
      <c r="H1149" t="s">
        <v>3862</v>
      </c>
      <c r="I1149" t="s">
        <v>1357</v>
      </c>
      <c r="J1149" t="s">
        <v>1357</v>
      </c>
      <c r="K1149" t="s">
        <v>1357</v>
      </c>
      <c r="L1149" t="s">
        <v>1357</v>
      </c>
    </row>
    <row r="1150" spans="6:13">
      <c r="H1150" t="s">
        <v>3875</v>
      </c>
      <c r="I1150" t="s">
        <v>1357</v>
      </c>
      <c r="J1150" t="s">
        <v>1357</v>
      </c>
      <c r="K1150" t="s">
        <v>1357</v>
      </c>
      <c r="L1150" t="s">
        <v>1357</v>
      </c>
    </row>
    <row r="1151" spans="6:13">
      <c r="H1151" t="s">
        <v>3876</v>
      </c>
      <c r="I1151" t="s">
        <v>1357</v>
      </c>
      <c r="J1151" t="s">
        <v>1357</v>
      </c>
      <c r="K1151" t="s">
        <v>1357</v>
      </c>
      <c r="L1151" t="s">
        <v>1357</v>
      </c>
    </row>
    <row r="1152" spans="6:13">
      <c r="F1152" t="s">
        <v>2575</v>
      </c>
      <c r="G1152" t="s">
        <v>2949</v>
      </c>
      <c r="H1152" t="s">
        <v>3863</v>
      </c>
      <c r="I1152" t="s">
        <v>1357</v>
      </c>
      <c r="J1152" t="s">
        <v>1357</v>
      </c>
      <c r="K1152" t="s">
        <v>1357</v>
      </c>
      <c r="L1152" t="s">
        <v>1357</v>
      </c>
    </row>
    <row r="1153" spans="6:13">
      <c r="H1153" t="s">
        <v>3864</v>
      </c>
      <c r="I1153" t="s">
        <v>1357</v>
      </c>
      <c r="J1153" t="s">
        <v>1357</v>
      </c>
      <c r="K1153" t="s">
        <v>1357</v>
      </c>
      <c r="L1153" t="s">
        <v>1357</v>
      </c>
    </row>
    <row r="1154" spans="6:13">
      <c r="H1154" t="s">
        <v>3865</v>
      </c>
      <c r="I1154" t="s">
        <v>1357</v>
      </c>
      <c r="J1154" t="s">
        <v>1357</v>
      </c>
      <c r="K1154" t="s">
        <v>1357</v>
      </c>
      <c r="L1154" t="s">
        <v>1357</v>
      </c>
    </row>
    <row r="1155" spans="6:13">
      <c r="H1155" t="s">
        <v>3866</v>
      </c>
      <c r="I1155" t="s">
        <v>1357</v>
      </c>
      <c r="J1155" t="s">
        <v>1357</v>
      </c>
      <c r="K1155" t="s">
        <v>1357</v>
      </c>
      <c r="L1155" t="s">
        <v>1357</v>
      </c>
    </row>
    <row r="1156" spans="6:13">
      <c r="H1156" t="s">
        <v>3867</v>
      </c>
      <c r="I1156" t="s">
        <v>1357</v>
      </c>
      <c r="J1156" t="s">
        <v>1357</v>
      </c>
      <c r="K1156" t="s">
        <v>1357</v>
      </c>
      <c r="L1156" t="s">
        <v>1357</v>
      </c>
    </row>
    <row r="1157" spans="6:13">
      <c r="H1157" t="s">
        <v>3868</v>
      </c>
      <c r="I1157" t="s">
        <v>1357</v>
      </c>
      <c r="J1157" t="s">
        <v>1357</v>
      </c>
      <c r="K1157" t="s">
        <v>1357</v>
      </c>
      <c r="L1157" t="s">
        <v>1357</v>
      </c>
    </row>
    <row r="1158" spans="6:13">
      <c r="H1158" t="s">
        <v>3869</v>
      </c>
      <c r="I1158" t="s">
        <v>1357</v>
      </c>
      <c r="J1158" t="s">
        <v>1357</v>
      </c>
      <c r="K1158" t="s">
        <v>1357</v>
      </c>
      <c r="L1158" t="s">
        <v>1357</v>
      </c>
    </row>
    <row r="1159" spans="6:13">
      <c r="H1159" t="s">
        <v>3870</v>
      </c>
      <c r="I1159" t="s">
        <v>1357</v>
      </c>
      <c r="J1159" t="s">
        <v>1357</v>
      </c>
      <c r="K1159" t="s">
        <v>1357</v>
      </c>
      <c r="L1159" t="s">
        <v>1357</v>
      </c>
    </row>
    <row r="1160" spans="6:13">
      <c r="H1160" t="s">
        <v>3871</v>
      </c>
      <c r="I1160" t="s">
        <v>1357</v>
      </c>
      <c r="J1160" t="s">
        <v>1357</v>
      </c>
      <c r="K1160" t="s">
        <v>1357</v>
      </c>
      <c r="L1160" t="s">
        <v>1357</v>
      </c>
    </row>
    <row r="1161" spans="6:13">
      <c r="H1161" t="s">
        <v>3872</v>
      </c>
      <c r="I1161" t="s">
        <v>1357</v>
      </c>
      <c r="J1161" t="s">
        <v>1357</v>
      </c>
      <c r="K1161" t="s">
        <v>1357</v>
      </c>
      <c r="L1161" t="s">
        <v>1357</v>
      </c>
    </row>
    <row r="1162" spans="6:13">
      <c r="H1162" t="s">
        <v>3873</v>
      </c>
      <c r="I1162" t="s">
        <v>1357</v>
      </c>
      <c r="J1162" t="s">
        <v>1357</v>
      </c>
      <c r="K1162" t="s">
        <v>1357</v>
      </c>
      <c r="L1162" t="s">
        <v>1357</v>
      </c>
    </row>
    <row r="1163" spans="6:13">
      <c r="H1163" t="s">
        <v>3877</v>
      </c>
      <c r="I1163" t="s">
        <v>1357</v>
      </c>
      <c r="J1163" t="s">
        <v>1357</v>
      </c>
      <c r="K1163" t="s">
        <v>1357</v>
      </c>
      <c r="L1163" t="s">
        <v>1357</v>
      </c>
      <c r="M1163" t="s">
        <v>5099</v>
      </c>
    </row>
    <row r="1164" spans="6:13">
      <c r="H1164" t="s">
        <v>3875</v>
      </c>
      <c r="I1164" t="s">
        <v>1357</v>
      </c>
      <c r="J1164" t="s">
        <v>1357</v>
      </c>
      <c r="K1164" t="s">
        <v>1357</v>
      </c>
      <c r="L1164" t="s">
        <v>1357</v>
      </c>
    </row>
    <row r="1165" spans="6:13">
      <c r="H1165" t="s">
        <v>3876</v>
      </c>
      <c r="I1165" t="s">
        <v>1357</v>
      </c>
      <c r="J1165" t="s">
        <v>1357</v>
      </c>
      <c r="K1165" t="s">
        <v>1357</v>
      </c>
      <c r="L1165" t="s">
        <v>1357</v>
      </c>
    </row>
    <row r="1166" spans="6:13">
      <c r="H1166" t="s">
        <v>3878</v>
      </c>
      <c r="I1166" t="s">
        <v>1357</v>
      </c>
      <c r="J1166" t="s">
        <v>1357</v>
      </c>
      <c r="K1166" t="s">
        <v>1357</v>
      </c>
      <c r="L1166" t="s">
        <v>1357</v>
      </c>
    </row>
    <row r="1167" spans="6:13">
      <c r="F1167" t="s">
        <v>2576</v>
      </c>
      <c r="G1167" t="s">
        <v>3023</v>
      </c>
      <c r="H1167" t="s">
        <v>3576</v>
      </c>
      <c r="I1167" t="s">
        <v>1357</v>
      </c>
      <c r="J1167" t="s">
        <v>1357</v>
      </c>
      <c r="K1167" t="s">
        <v>1357</v>
      </c>
      <c r="L1167" t="s">
        <v>1357</v>
      </c>
    </row>
    <row r="1168" spans="6:13">
      <c r="H1168" t="s">
        <v>3577</v>
      </c>
      <c r="I1168" t="s">
        <v>1357</v>
      </c>
      <c r="J1168" t="s">
        <v>1357</v>
      </c>
      <c r="K1168" t="s">
        <v>1357</v>
      </c>
      <c r="L1168" t="s">
        <v>1357</v>
      </c>
    </row>
    <row r="1169" spans="8:12">
      <c r="H1169" t="s">
        <v>3578</v>
      </c>
      <c r="I1169" t="s">
        <v>1357</v>
      </c>
      <c r="J1169" t="s">
        <v>1357</v>
      </c>
      <c r="K1169" t="s">
        <v>1357</v>
      </c>
      <c r="L1169" t="s">
        <v>1357</v>
      </c>
    </row>
    <row r="1170" spans="8:12">
      <c r="H1170" t="s">
        <v>3579</v>
      </c>
      <c r="I1170" t="s">
        <v>1357</v>
      </c>
      <c r="J1170" t="s">
        <v>1357</v>
      </c>
      <c r="K1170" t="s">
        <v>1357</v>
      </c>
      <c r="L1170" t="s">
        <v>1357</v>
      </c>
    </row>
    <row r="1171" spans="8:12">
      <c r="H1171" t="s">
        <v>3580</v>
      </c>
      <c r="I1171" t="s">
        <v>1357</v>
      </c>
      <c r="J1171" t="s">
        <v>1357</v>
      </c>
      <c r="K1171" t="s">
        <v>1357</v>
      </c>
      <c r="L1171" t="s">
        <v>1357</v>
      </c>
    </row>
    <row r="1172" spans="8:12">
      <c r="H1172" t="s">
        <v>3581</v>
      </c>
      <c r="I1172" t="s">
        <v>1357</v>
      </c>
      <c r="J1172" t="s">
        <v>1357</v>
      </c>
      <c r="K1172" t="s">
        <v>1357</v>
      </c>
      <c r="L1172" t="s">
        <v>1357</v>
      </c>
    </row>
    <row r="1173" spans="8:12">
      <c r="H1173" t="s">
        <v>3582</v>
      </c>
      <c r="I1173" t="s">
        <v>1357</v>
      </c>
      <c r="J1173" t="s">
        <v>1357</v>
      </c>
      <c r="K1173" t="s">
        <v>1357</v>
      </c>
      <c r="L1173" t="s">
        <v>1357</v>
      </c>
    </row>
    <row r="1174" spans="8:12">
      <c r="H1174" t="s">
        <v>3583</v>
      </c>
      <c r="I1174" t="s">
        <v>1357</v>
      </c>
      <c r="J1174" t="s">
        <v>1357</v>
      </c>
      <c r="K1174" t="s">
        <v>1357</v>
      </c>
      <c r="L1174" t="s">
        <v>1357</v>
      </c>
    </row>
    <row r="1175" spans="8:12">
      <c r="H1175" t="s">
        <v>3584</v>
      </c>
      <c r="I1175" t="s">
        <v>1357</v>
      </c>
      <c r="J1175" t="s">
        <v>1357</v>
      </c>
      <c r="K1175" t="s">
        <v>1357</v>
      </c>
      <c r="L1175" t="s">
        <v>1357</v>
      </c>
    </row>
    <row r="1176" spans="8:12">
      <c r="H1176" t="s">
        <v>3585</v>
      </c>
      <c r="I1176" t="s">
        <v>1357</v>
      </c>
      <c r="J1176" t="s">
        <v>1357</v>
      </c>
      <c r="K1176" t="s">
        <v>1357</v>
      </c>
      <c r="L1176" t="s">
        <v>1357</v>
      </c>
    </row>
    <row r="1177" spans="8:12">
      <c r="H1177" t="s">
        <v>3586</v>
      </c>
      <c r="I1177" t="s">
        <v>1357</v>
      </c>
      <c r="J1177" t="s">
        <v>1357</v>
      </c>
      <c r="K1177" t="s">
        <v>1357</v>
      </c>
      <c r="L1177" t="s">
        <v>1357</v>
      </c>
    </row>
    <row r="1178" spans="8:12">
      <c r="H1178" t="s">
        <v>3587</v>
      </c>
      <c r="I1178" t="s">
        <v>1357</v>
      </c>
      <c r="J1178" t="s">
        <v>1357</v>
      </c>
      <c r="K1178" t="s">
        <v>1357</v>
      </c>
      <c r="L1178" t="s">
        <v>1357</v>
      </c>
    </row>
    <row r="1179" spans="8:12">
      <c r="H1179" t="s">
        <v>3588</v>
      </c>
      <c r="I1179" t="s">
        <v>1357</v>
      </c>
      <c r="J1179" t="s">
        <v>1357</v>
      </c>
      <c r="K1179" t="s">
        <v>1357</v>
      </c>
      <c r="L1179" t="s">
        <v>1357</v>
      </c>
    </row>
    <row r="1180" spans="8:12">
      <c r="H1180" t="s">
        <v>3589</v>
      </c>
      <c r="I1180" t="s">
        <v>1357</v>
      </c>
      <c r="J1180" t="s">
        <v>1357</v>
      </c>
      <c r="K1180" t="s">
        <v>1357</v>
      </c>
      <c r="L1180" t="s">
        <v>1357</v>
      </c>
    </row>
    <row r="1181" spans="8:12">
      <c r="H1181" t="s">
        <v>3590</v>
      </c>
      <c r="I1181" t="s">
        <v>1357</v>
      </c>
      <c r="J1181" t="s">
        <v>1357</v>
      </c>
      <c r="K1181" t="s">
        <v>1357</v>
      </c>
      <c r="L1181" t="s">
        <v>1357</v>
      </c>
    </row>
    <row r="1182" spans="8:12">
      <c r="H1182" t="s">
        <v>3591</v>
      </c>
      <c r="I1182" t="s">
        <v>1357</v>
      </c>
      <c r="J1182" t="s">
        <v>1357</v>
      </c>
      <c r="K1182" t="s">
        <v>1357</v>
      </c>
      <c r="L1182" t="s">
        <v>1357</v>
      </c>
    </row>
    <row r="1183" spans="8:12">
      <c r="H1183" t="s">
        <v>3592</v>
      </c>
      <c r="I1183" t="s">
        <v>1357</v>
      </c>
      <c r="J1183" t="s">
        <v>1357</v>
      </c>
      <c r="K1183" t="s">
        <v>1357</v>
      </c>
      <c r="L1183" t="s">
        <v>1357</v>
      </c>
    </row>
    <row r="1184" spans="8:12">
      <c r="H1184" t="s">
        <v>3593</v>
      </c>
      <c r="I1184" t="s">
        <v>1357</v>
      </c>
      <c r="J1184" t="s">
        <v>1357</v>
      </c>
      <c r="K1184" t="s">
        <v>1357</v>
      </c>
      <c r="L1184" t="s">
        <v>1357</v>
      </c>
    </row>
    <row r="1185" spans="1:12">
      <c r="F1185" t="s">
        <v>2577</v>
      </c>
      <c r="G1185" t="s">
        <v>2974</v>
      </c>
      <c r="H1185" t="s">
        <v>1707</v>
      </c>
      <c r="I1185" t="s">
        <v>1357</v>
      </c>
      <c r="J1185" t="s">
        <v>1357</v>
      </c>
      <c r="K1185" t="s">
        <v>1357</v>
      </c>
      <c r="L1185" t="s">
        <v>1357</v>
      </c>
    </row>
    <row r="1186" spans="1:12">
      <c r="H1186" t="s">
        <v>3701</v>
      </c>
      <c r="I1186" t="s">
        <v>1357</v>
      </c>
      <c r="J1186" t="s">
        <v>1357</v>
      </c>
      <c r="K1186" t="s">
        <v>1357</v>
      </c>
      <c r="L1186" t="s">
        <v>1357</v>
      </c>
    </row>
    <row r="1187" spans="1:12">
      <c r="H1187" t="s">
        <v>3702</v>
      </c>
      <c r="I1187" t="s">
        <v>1357</v>
      </c>
      <c r="J1187" t="s">
        <v>1357</v>
      </c>
      <c r="K1187" t="s">
        <v>1357</v>
      </c>
      <c r="L1187" t="s">
        <v>1357</v>
      </c>
    </row>
    <row r="1188" spans="1:12">
      <c r="A1188" t="s">
        <v>1959</v>
      </c>
      <c r="B1188">
        <f>HYPERLINK("https://github.com/apache/commons-math/commit/d7d6492c1d089bf090c64c9f36b53edfe7cfaf2d", "d7d6492c1d089bf090c64c9f36b53edfe7cfaf2d")</f>
        <v>0</v>
      </c>
      <c r="C1188">
        <f>HYPERLINK("https://github.com/apache/commons-math/commit/a151bff2f50cb536fb352d2da8165d04f3465245", "a151bff2f50cb536fb352d2da8165d04f3465245")</f>
        <v>0</v>
      </c>
      <c r="D1188" t="s">
        <v>2151</v>
      </c>
      <c r="E1188" t="s">
        <v>2248</v>
      </c>
      <c r="F1188" t="s">
        <v>2563</v>
      </c>
      <c r="G1188" t="s">
        <v>2947</v>
      </c>
      <c r="H1188" t="s">
        <v>3879</v>
      </c>
      <c r="I1188" t="s">
        <v>1357</v>
      </c>
      <c r="J1188" t="s">
        <v>1357</v>
      </c>
      <c r="K1188" t="s">
        <v>1357</v>
      </c>
      <c r="L1188" t="s">
        <v>1357</v>
      </c>
    </row>
    <row r="1189" spans="1:12">
      <c r="A1189" t="s">
        <v>1960</v>
      </c>
      <c r="B1189">
        <f>HYPERLINK("https://github.com/apache/commons-math/commit/374abec6b138520cbb99935ae20732b95a6adf22", "374abec6b138520cbb99935ae20732b95a6adf22")</f>
        <v>0</v>
      </c>
      <c r="C1189">
        <f>HYPERLINK("https://github.com/apache/commons-math/commit/9c804e92f711ae78e8bf9a41725e37bc06b38d71", "9c804e92f711ae78e8bf9a41725e37bc06b38d71")</f>
        <v>0</v>
      </c>
      <c r="D1189" t="s">
        <v>2151</v>
      </c>
      <c r="E1189" t="s">
        <v>2249</v>
      </c>
      <c r="F1189" t="s">
        <v>2578</v>
      </c>
      <c r="G1189" t="s">
        <v>2946</v>
      </c>
      <c r="H1189" t="s">
        <v>3282</v>
      </c>
      <c r="I1189" t="s">
        <v>1357</v>
      </c>
      <c r="J1189" t="s">
        <v>1357</v>
      </c>
      <c r="K1189" t="s">
        <v>1357</v>
      </c>
      <c r="L1189" t="s">
        <v>1357</v>
      </c>
    </row>
    <row r="1190" spans="1:12">
      <c r="A1190" t="s">
        <v>1961</v>
      </c>
      <c r="B1190">
        <f>HYPERLINK("https://github.com/apache/commons-math/commit/c9a24d392f1eefd6e2a0c15b584fc0eb18ec594c", "c9a24d392f1eefd6e2a0c15b584fc0eb18ec594c")</f>
        <v>0</v>
      </c>
      <c r="C1190">
        <f>HYPERLINK("https://github.com/apache/commons-math/commit/2ccb208565923e7fbaa1e9bd864456733732c47f", "2ccb208565923e7fbaa1e9bd864456733732c47f")</f>
        <v>0</v>
      </c>
      <c r="D1190" t="s">
        <v>2151</v>
      </c>
      <c r="E1190" t="s">
        <v>2250</v>
      </c>
      <c r="F1190" t="s">
        <v>2579</v>
      </c>
      <c r="G1190" t="s">
        <v>3024</v>
      </c>
      <c r="H1190" t="s">
        <v>795</v>
      </c>
      <c r="I1190" t="s">
        <v>1357</v>
      </c>
      <c r="J1190" t="s">
        <v>1357</v>
      </c>
      <c r="K1190" t="s">
        <v>1357</v>
      </c>
      <c r="L1190" t="s">
        <v>1357</v>
      </c>
    </row>
    <row r="1191" spans="1:12">
      <c r="A1191" t="s">
        <v>1962</v>
      </c>
      <c r="B1191">
        <f>HYPERLINK("https://github.com/apache/commons-math/commit/9c039e178928c5f532e189c9747c960f47b8145f", "9c039e178928c5f532e189c9747c960f47b8145f")</f>
        <v>0</v>
      </c>
      <c r="C1191">
        <f>HYPERLINK("https://github.com/apache/commons-math/commit/c9a24d392f1eefd6e2a0c15b584fc0eb18ec594c", "c9a24d392f1eefd6e2a0c15b584fc0eb18ec594c")</f>
        <v>0</v>
      </c>
      <c r="D1191" t="s">
        <v>2151</v>
      </c>
      <c r="E1191" t="s">
        <v>2251</v>
      </c>
      <c r="F1191" t="s">
        <v>2580</v>
      </c>
      <c r="G1191" t="s">
        <v>3025</v>
      </c>
      <c r="H1191" t="s">
        <v>795</v>
      </c>
      <c r="I1191" t="s">
        <v>1357</v>
      </c>
      <c r="J1191" t="s">
        <v>1357</v>
      </c>
      <c r="K1191" t="s">
        <v>1357</v>
      </c>
      <c r="L1191" t="s">
        <v>1357</v>
      </c>
    </row>
    <row r="1192" spans="1:12">
      <c r="A1192" t="s">
        <v>1963</v>
      </c>
      <c r="B1192">
        <f>HYPERLINK("https://github.com/apache/commons-math/commit/aa903d1819bd5fc54c72cd97e5ce8c7f9a73d657", "aa903d1819bd5fc54c72cd97e5ce8c7f9a73d657")</f>
        <v>0</v>
      </c>
      <c r="C1192">
        <f>HYPERLINK("https://github.com/apache/commons-math/commit/9c039e178928c5f532e189c9747c960f47b8145f", "9c039e178928c5f532e189c9747c960f47b8145f")</f>
        <v>0</v>
      </c>
      <c r="D1192" t="s">
        <v>2151</v>
      </c>
      <c r="E1192" t="s">
        <v>2252</v>
      </c>
      <c r="F1192" t="s">
        <v>2581</v>
      </c>
      <c r="G1192" t="s">
        <v>3026</v>
      </c>
      <c r="H1192" t="s">
        <v>3880</v>
      </c>
      <c r="I1192" t="s">
        <v>1357</v>
      </c>
      <c r="J1192" t="s">
        <v>1357</v>
      </c>
      <c r="K1192" t="s">
        <v>1357</v>
      </c>
      <c r="L1192" t="s">
        <v>1357</v>
      </c>
    </row>
    <row r="1193" spans="1:12">
      <c r="H1193" t="s">
        <v>3881</v>
      </c>
      <c r="I1193" t="s">
        <v>1357</v>
      </c>
      <c r="J1193" t="s">
        <v>1357</v>
      </c>
      <c r="K1193" t="s">
        <v>1357</v>
      </c>
      <c r="L1193" t="s">
        <v>1357</v>
      </c>
    </row>
    <row r="1194" spans="1:12">
      <c r="H1194" t="s">
        <v>3882</v>
      </c>
      <c r="I1194" t="s">
        <v>1357</v>
      </c>
      <c r="J1194" t="s">
        <v>1357</v>
      </c>
      <c r="K1194" t="s">
        <v>1357</v>
      </c>
      <c r="L1194" t="s">
        <v>1357</v>
      </c>
    </row>
    <row r="1195" spans="1:12">
      <c r="A1195" t="s">
        <v>1964</v>
      </c>
      <c r="B1195">
        <f>HYPERLINK("https://github.com/apache/commons-math/commit/a6052740777ab54400fd4e7c6024d79ff0a0ee32", "a6052740777ab54400fd4e7c6024d79ff0a0ee32")</f>
        <v>0</v>
      </c>
      <c r="C1195">
        <f>HYPERLINK("https://github.com/apache/commons-math/commit/f3d957dfbe751df8c15f9435819fc62469c6ad88", "f3d957dfbe751df8c15f9435819fc62469c6ad88")</f>
        <v>0</v>
      </c>
      <c r="D1195" t="s">
        <v>2151</v>
      </c>
      <c r="E1195" t="s">
        <v>2253</v>
      </c>
      <c r="F1195" t="s">
        <v>2582</v>
      </c>
      <c r="G1195" t="s">
        <v>3027</v>
      </c>
      <c r="H1195" t="s">
        <v>795</v>
      </c>
      <c r="I1195" t="s">
        <v>1357</v>
      </c>
      <c r="J1195" t="s">
        <v>1357</v>
      </c>
      <c r="K1195" t="s">
        <v>1357</v>
      </c>
      <c r="L1195" t="s">
        <v>1357</v>
      </c>
    </row>
    <row r="1196" spans="1:12">
      <c r="H1196" t="s">
        <v>3883</v>
      </c>
      <c r="I1196" t="s">
        <v>1357</v>
      </c>
      <c r="J1196" t="s">
        <v>1357</v>
      </c>
      <c r="K1196" t="s">
        <v>1357</v>
      </c>
      <c r="L1196" t="s">
        <v>1357</v>
      </c>
    </row>
    <row r="1197" spans="1:12">
      <c r="H1197" t="s">
        <v>3884</v>
      </c>
      <c r="I1197" t="s">
        <v>1357</v>
      </c>
      <c r="J1197" t="s">
        <v>1357</v>
      </c>
      <c r="K1197" t="s">
        <v>1357</v>
      </c>
      <c r="L1197" t="s">
        <v>1357</v>
      </c>
    </row>
    <row r="1198" spans="1:12">
      <c r="H1198" t="s">
        <v>3885</v>
      </c>
      <c r="I1198" t="s">
        <v>1357</v>
      </c>
      <c r="J1198" t="s">
        <v>1357</v>
      </c>
      <c r="K1198" t="s">
        <v>1357</v>
      </c>
      <c r="L1198" t="s">
        <v>1357</v>
      </c>
    </row>
    <row r="1199" spans="1:12">
      <c r="H1199" t="s">
        <v>3886</v>
      </c>
      <c r="I1199" t="s">
        <v>1357</v>
      </c>
      <c r="J1199" t="s">
        <v>1357</v>
      </c>
      <c r="K1199" t="s">
        <v>1357</v>
      </c>
      <c r="L1199" t="s">
        <v>1357</v>
      </c>
    </row>
    <row r="1200" spans="1:12">
      <c r="H1200" t="s">
        <v>3887</v>
      </c>
      <c r="I1200" t="s">
        <v>1357</v>
      </c>
      <c r="J1200" t="s">
        <v>1357</v>
      </c>
      <c r="K1200" t="s">
        <v>1357</v>
      </c>
      <c r="L1200" t="s">
        <v>1357</v>
      </c>
    </row>
    <row r="1201" spans="1:12">
      <c r="H1201" t="s">
        <v>3888</v>
      </c>
      <c r="I1201" t="s">
        <v>1357</v>
      </c>
      <c r="J1201" t="s">
        <v>1357</v>
      </c>
      <c r="K1201" t="s">
        <v>1357</v>
      </c>
      <c r="L1201" t="s">
        <v>1357</v>
      </c>
    </row>
    <row r="1202" spans="1:12">
      <c r="H1202" t="s">
        <v>3889</v>
      </c>
      <c r="I1202" t="s">
        <v>1357</v>
      </c>
      <c r="J1202" t="s">
        <v>1357</v>
      </c>
      <c r="K1202" t="s">
        <v>1357</v>
      </c>
      <c r="L1202" t="s">
        <v>1357</v>
      </c>
    </row>
    <row r="1203" spans="1:12">
      <c r="A1203" t="s">
        <v>1965</v>
      </c>
      <c r="B1203">
        <f>HYPERLINK("https://github.com/apache/commons-math/commit/7c9c3017bbd3422c69d7001a1edadd028833a112", "7c9c3017bbd3422c69d7001a1edadd028833a112")</f>
        <v>0</v>
      </c>
      <c r="C1203">
        <f>HYPERLINK("https://github.com/apache/commons-math/commit/b749a02ee196b013d00ca1bdb9535608f35f935d", "b749a02ee196b013d00ca1bdb9535608f35f935d")</f>
        <v>0</v>
      </c>
      <c r="D1203" t="s">
        <v>2151</v>
      </c>
      <c r="E1203" t="s">
        <v>2254</v>
      </c>
      <c r="F1203" t="s">
        <v>2583</v>
      </c>
      <c r="G1203" t="s">
        <v>2928</v>
      </c>
      <c r="H1203" t="s">
        <v>3890</v>
      </c>
      <c r="I1203" t="s">
        <v>1357</v>
      </c>
      <c r="J1203" t="s">
        <v>1357</v>
      </c>
      <c r="K1203" t="s">
        <v>1357</v>
      </c>
      <c r="L1203" t="s">
        <v>1357</v>
      </c>
    </row>
    <row r="1204" spans="1:12">
      <c r="A1204" t="s">
        <v>1966</v>
      </c>
      <c r="B1204">
        <f>HYPERLINK("https://github.com/apache/commons-math/commit/6a50b4cebc27c40f21eb4ae31a0959e7b32b6b85", "6a50b4cebc27c40f21eb4ae31a0959e7b32b6b85")</f>
        <v>0</v>
      </c>
      <c r="C1204">
        <f>HYPERLINK("https://github.com/apache/commons-math/commit/09e1c64fe93063b522e75e61162fc2445ac3450f", "09e1c64fe93063b522e75e61162fc2445ac3450f")</f>
        <v>0</v>
      </c>
      <c r="D1204" t="s">
        <v>2151</v>
      </c>
      <c r="E1204" t="s">
        <v>2255</v>
      </c>
      <c r="F1204" t="s">
        <v>2584</v>
      </c>
      <c r="G1204" t="s">
        <v>2913</v>
      </c>
      <c r="H1204" t="s">
        <v>3891</v>
      </c>
      <c r="I1204" t="s">
        <v>1357</v>
      </c>
      <c r="J1204" t="s">
        <v>1357</v>
      </c>
      <c r="K1204" t="s">
        <v>1357</v>
      </c>
      <c r="L1204" t="s">
        <v>1357</v>
      </c>
    </row>
    <row r="1205" spans="1:12">
      <c r="F1205" t="s">
        <v>2585</v>
      </c>
      <c r="G1205" t="s">
        <v>3013</v>
      </c>
      <c r="H1205" t="s">
        <v>3891</v>
      </c>
      <c r="I1205" t="s">
        <v>1357</v>
      </c>
      <c r="J1205" t="s">
        <v>1357</v>
      </c>
      <c r="K1205" t="s">
        <v>1357</v>
      </c>
      <c r="L1205" t="s">
        <v>1357</v>
      </c>
    </row>
    <row r="1206" spans="1:12">
      <c r="F1206" t="s">
        <v>2586</v>
      </c>
      <c r="G1206" t="s">
        <v>3028</v>
      </c>
      <c r="H1206" t="s">
        <v>3891</v>
      </c>
      <c r="I1206" t="s">
        <v>1357</v>
      </c>
      <c r="J1206" t="s">
        <v>1357</v>
      </c>
      <c r="K1206" t="s">
        <v>1357</v>
      </c>
      <c r="L1206" t="s">
        <v>1357</v>
      </c>
    </row>
    <row r="1207" spans="1:12">
      <c r="F1207" t="s">
        <v>2587</v>
      </c>
      <c r="G1207" t="s">
        <v>3029</v>
      </c>
      <c r="H1207" t="s">
        <v>3891</v>
      </c>
      <c r="I1207" t="s">
        <v>1357</v>
      </c>
      <c r="J1207" t="s">
        <v>1357</v>
      </c>
      <c r="K1207" t="s">
        <v>1357</v>
      </c>
      <c r="L1207" t="s">
        <v>1357</v>
      </c>
    </row>
    <row r="1208" spans="1:12">
      <c r="H1208" t="s">
        <v>3892</v>
      </c>
      <c r="I1208" t="s">
        <v>1357</v>
      </c>
      <c r="J1208" t="s">
        <v>1357</v>
      </c>
      <c r="K1208" t="s">
        <v>1357</v>
      </c>
      <c r="L1208" t="s">
        <v>1357</v>
      </c>
    </row>
    <row r="1209" spans="1:12">
      <c r="F1209" t="s">
        <v>2588</v>
      </c>
      <c r="G1209" t="s">
        <v>2989</v>
      </c>
      <c r="H1209" t="s">
        <v>3891</v>
      </c>
      <c r="I1209" t="s">
        <v>1359</v>
      </c>
      <c r="J1209" t="s">
        <v>1357</v>
      </c>
      <c r="K1209" t="s">
        <v>1357</v>
      </c>
      <c r="L1209" t="s">
        <v>1358</v>
      </c>
    </row>
    <row r="1210" spans="1:12">
      <c r="F1210" t="s">
        <v>2589</v>
      </c>
      <c r="G1210" t="s">
        <v>3030</v>
      </c>
      <c r="H1210" t="s">
        <v>3891</v>
      </c>
      <c r="I1210" t="s">
        <v>1357</v>
      </c>
      <c r="J1210" t="s">
        <v>1357</v>
      </c>
      <c r="K1210" t="s">
        <v>1357</v>
      </c>
      <c r="L1210" t="s">
        <v>1357</v>
      </c>
    </row>
    <row r="1211" spans="1:12">
      <c r="A1211" t="s">
        <v>1967</v>
      </c>
      <c r="B1211">
        <f>HYPERLINK("https://github.com/apache/commons-math/commit/22d63af83d508d170c4f6da52a69bc60be098764", "22d63af83d508d170c4f6da52a69bc60be098764")</f>
        <v>0</v>
      </c>
      <c r="C1211">
        <f>HYPERLINK("https://github.com/apache/commons-math/commit/3859aa17cfce95ac1a02a3e9092535713192d299", "3859aa17cfce95ac1a02a3e9092535713192d299")</f>
        <v>0</v>
      </c>
      <c r="D1211" t="s">
        <v>2148</v>
      </c>
      <c r="E1211" t="s">
        <v>2256</v>
      </c>
      <c r="F1211" t="s">
        <v>2590</v>
      </c>
      <c r="G1211" t="s">
        <v>3031</v>
      </c>
      <c r="H1211" t="s">
        <v>3893</v>
      </c>
      <c r="I1211" t="s">
        <v>1357</v>
      </c>
      <c r="J1211" t="s">
        <v>1357</v>
      </c>
      <c r="K1211" t="s">
        <v>1357</v>
      </c>
      <c r="L1211" t="s">
        <v>1357</v>
      </c>
    </row>
    <row r="1212" spans="1:12">
      <c r="H1212" t="s">
        <v>3894</v>
      </c>
      <c r="I1212" t="s">
        <v>1357</v>
      </c>
      <c r="J1212" t="s">
        <v>1357</v>
      </c>
      <c r="K1212" t="s">
        <v>1357</v>
      </c>
      <c r="L1212" t="s">
        <v>1357</v>
      </c>
    </row>
    <row r="1213" spans="1:12">
      <c r="H1213" t="s">
        <v>3895</v>
      </c>
      <c r="I1213" t="s">
        <v>1357</v>
      </c>
      <c r="J1213" t="s">
        <v>1357</v>
      </c>
      <c r="K1213" t="s">
        <v>1357</v>
      </c>
      <c r="L1213" t="s">
        <v>1357</v>
      </c>
    </row>
    <row r="1214" spans="1:12">
      <c r="H1214" t="s">
        <v>3896</v>
      </c>
      <c r="I1214" t="s">
        <v>1357</v>
      </c>
      <c r="J1214" t="s">
        <v>1357</v>
      </c>
      <c r="K1214" t="s">
        <v>1357</v>
      </c>
      <c r="L1214" t="s">
        <v>1357</v>
      </c>
    </row>
    <row r="1215" spans="1:12">
      <c r="H1215" t="s">
        <v>3897</v>
      </c>
      <c r="I1215" t="s">
        <v>1357</v>
      </c>
      <c r="J1215" t="s">
        <v>1357</v>
      </c>
      <c r="K1215" t="s">
        <v>1357</v>
      </c>
      <c r="L1215" t="s">
        <v>1357</v>
      </c>
    </row>
    <row r="1216" spans="1:12">
      <c r="H1216" t="s">
        <v>3898</v>
      </c>
      <c r="I1216" t="s">
        <v>1357</v>
      </c>
      <c r="J1216" t="s">
        <v>1357</v>
      </c>
      <c r="K1216" t="s">
        <v>1357</v>
      </c>
      <c r="L1216" t="s">
        <v>1357</v>
      </c>
    </row>
    <row r="1217" spans="1:13">
      <c r="H1217" t="s">
        <v>3899</v>
      </c>
      <c r="I1217" t="s">
        <v>1357</v>
      </c>
      <c r="J1217" t="s">
        <v>1357</v>
      </c>
      <c r="K1217" t="s">
        <v>1357</v>
      </c>
      <c r="L1217" t="s">
        <v>1357</v>
      </c>
    </row>
    <row r="1218" spans="1:13">
      <c r="A1218" t="s">
        <v>1968</v>
      </c>
      <c r="B1218">
        <f>HYPERLINK("https://github.com/apache/commons-math/commit/b9559bfce972a8b079ebc5ac8b6326a524ce29f8", "b9559bfce972a8b079ebc5ac8b6326a524ce29f8")</f>
        <v>0</v>
      </c>
      <c r="C1218">
        <f>HYPERLINK("https://github.com/apache/commons-math/commit/c32b8042d81bcc66151e3b2c03695a9a7bfd33c2", "c32b8042d81bcc66151e3b2c03695a9a7bfd33c2")</f>
        <v>0</v>
      </c>
      <c r="D1218" t="s">
        <v>2151</v>
      </c>
      <c r="E1218" t="s">
        <v>2257</v>
      </c>
      <c r="F1218" t="s">
        <v>2584</v>
      </c>
      <c r="G1218" t="s">
        <v>2913</v>
      </c>
      <c r="H1218" t="s">
        <v>3285</v>
      </c>
      <c r="I1218" t="s">
        <v>1357</v>
      </c>
      <c r="J1218" t="s">
        <v>1357</v>
      </c>
      <c r="K1218" t="s">
        <v>1357</v>
      </c>
      <c r="L1218" t="s">
        <v>1357</v>
      </c>
    </row>
    <row r="1219" spans="1:13">
      <c r="H1219" t="s">
        <v>3286</v>
      </c>
      <c r="I1219" t="s">
        <v>1357</v>
      </c>
      <c r="J1219" t="s">
        <v>1357</v>
      </c>
      <c r="K1219" t="s">
        <v>1357</v>
      </c>
      <c r="L1219" t="s">
        <v>1357</v>
      </c>
    </row>
    <row r="1220" spans="1:13">
      <c r="H1220" t="s">
        <v>3287</v>
      </c>
      <c r="I1220" t="s">
        <v>1357</v>
      </c>
      <c r="J1220" t="s">
        <v>1357</v>
      </c>
      <c r="K1220" t="s">
        <v>1357</v>
      </c>
      <c r="L1220" t="s">
        <v>1357</v>
      </c>
    </row>
    <row r="1221" spans="1:13">
      <c r="H1221" t="s">
        <v>3288</v>
      </c>
      <c r="I1221" t="s">
        <v>1357</v>
      </c>
      <c r="J1221" t="s">
        <v>1357</v>
      </c>
      <c r="K1221" t="s">
        <v>1357</v>
      </c>
      <c r="L1221" t="s">
        <v>1357</v>
      </c>
      <c r="M1221" t="s">
        <v>1365</v>
      </c>
    </row>
    <row r="1222" spans="1:13">
      <c r="H1222" t="s">
        <v>3290</v>
      </c>
      <c r="I1222" t="s">
        <v>1357</v>
      </c>
      <c r="J1222" t="s">
        <v>1357</v>
      </c>
      <c r="K1222" t="s">
        <v>1357</v>
      </c>
      <c r="L1222" t="s">
        <v>1357</v>
      </c>
    </row>
    <row r="1223" spans="1:13">
      <c r="H1223" t="s">
        <v>3291</v>
      </c>
      <c r="I1223" t="s">
        <v>1357</v>
      </c>
      <c r="J1223" t="s">
        <v>1357</v>
      </c>
      <c r="K1223" t="s">
        <v>1357</v>
      </c>
      <c r="L1223" t="s">
        <v>1357</v>
      </c>
    </row>
    <row r="1224" spans="1:13">
      <c r="H1224" t="s">
        <v>3292</v>
      </c>
      <c r="I1224" t="s">
        <v>1357</v>
      </c>
      <c r="J1224" t="s">
        <v>1357</v>
      </c>
      <c r="K1224" t="s">
        <v>1357</v>
      </c>
      <c r="L1224" t="s">
        <v>1357</v>
      </c>
    </row>
    <row r="1225" spans="1:13">
      <c r="F1225" t="s">
        <v>2586</v>
      </c>
      <c r="G1225" t="s">
        <v>3028</v>
      </c>
      <c r="H1225" t="s">
        <v>3900</v>
      </c>
      <c r="I1225" t="s">
        <v>1357</v>
      </c>
      <c r="J1225" t="s">
        <v>1357</v>
      </c>
      <c r="K1225" t="s">
        <v>1357</v>
      </c>
      <c r="L1225" t="s">
        <v>1357</v>
      </c>
    </row>
    <row r="1226" spans="1:13">
      <c r="F1226" t="s">
        <v>2591</v>
      </c>
      <c r="G1226" t="s">
        <v>2968</v>
      </c>
      <c r="H1226" t="s">
        <v>3901</v>
      </c>
      <c r="I1226" t="s">
        <v>1357</v>
      </c>
      <c r="J1226" t="s">
        <v>1357</v>
      </c>
      <c r="K1226" t="s">
        <v>1357</v>
      </c>
      <c r="L1226" t="s">
        <v>1357</v>
      </c>
    </row>
    <row r="1227" spans="1:13">
      <c r="H1227" t="s">
        <v>3902</v>
      </c>
      <c r="I1227" t="s">
        <v>1357</v>
      </c>
      <c r="J1227" t="s">
        <v>1357</v>
      </c>
      <c r="K1227" t="s">
        <v>1357</v>
      </c>
      <c r="L1227" t="s">
        <v>1357</v>
      </c>
    </row>
    <row r="1228" spans="1:13">
      <c r="H1228" t="s">
        <v>3903</v>
      </c>
      <c r="I1228" t="s">
        <v>1357</v>
      </c>
      <c r="J1228" t="s">
        <v>1357</v>
      </c>
      <c r="K1228" t="s">
        <v>1357</v>
      </c>
      <c r="L1228" t="s">
        <v>1357</v>
      </c>
    </row>
    <row r="1229" spans="1:13">
      <c r="H1229" t="s">
        <v>3904</v>
      </c>
      <c r="I1229" t="s">
        <v>1357</v>
      </c>
      <c r="J1229" t="s">
        <v>1357</v>
      </c>
      <c r="K1229" t="s">
        <v>1357</v>
      </c>
      <c r="L1229" t="s">
        <v>1357</v>
      </c>
    </row>
    <row r="1230" spans="1:13">
      <c r="A1230" t="s">
        <v>1969</v>
      </c>
      <c r="B1230">
        <f>HYPERLINK("https://github.com/apache/commons-math/commit/f101eb4c2a37a18a513b879e4b31918da5af65ae", "f101eb4c2a37a18a513b879e4b31918da5af65ae")</f>
        <v>0</v>
      </c>
      <c r="C1230">
        <f>HYPERLINK("https://github.com/apache/commons-math/commit/30fd555f2711da72ae0ba920aaee473e62901afa", "30fd555f2711da72ae0ba920aaee473e62901afa")</f>
        <v>0</v>
      </c>
      <c r="D1230" t="s">
        <v>2151</v>
      </c>
      <c r="E1230" t="s">
        <v>2258</v>
      </c>
      <c r="F1230" t="s">
        <v>2592</v>
      </c>
      <c r="G1230" t="s">
        <v>3032</v>
      </c>
      <c r="H1230" t="s">
        <v>3303</v>
      </c>
      <c r="I1230" t="s">
        <v>1357</v>
      </c>
      <c r="J1230" t="s">
        <v>1357</v>
      </c>
      <c r="K1230" t="s">
        <v>1357</v>
      </c>
      <c r="L1230" t="s">
        <v>1357</v>
      </c>
    </row>
    <row r="1231" spans="1:13">
      <c r="H1231" t="s">
        <v>3313</v>
      </c>
      <c r="I1231" t="s">
        <v>1357</v>
      </c>
      <c r="J1231" t="s">
        <v>1357</v>
      </c>
      <c r="K1231" t="s">
        <v>1357</v>
      </c>
      <c r="L1231" t="s">
        <v>1357</v>
      </c>
    </row>
    <row r="1232" spans="1:13">
      <c r="H1232" t="s">
        <v>3309</v>
      </c>
      <c r="I1232" t="s">
        <v>1357</v>
      </c>
      <c r="J1232" t="s">
        <v>1357</v>
      </c>
      <c r="K1232" t="s">
        <v>1357</v>
      </c>
      <c r="L1232" t="s">
        <v>1357</v>
      </c>
    </row>
    <row r="1233" spans="1:12">
      <c r="H1233" t="s">
        <v>3307</v>
      </c>
      <c r="I1233" t="s">
        <v>1357</v>
      </c>
      <c r="J1233" t="s">
        <v>1357</v>
      </c>
      <c r="K1233" t="s">
        <v>1357</v>
      </c>
      <c r="L1233" t="s">
        <v>1357</v>
      </c>
    </row>
    <row r="1234" spans="1:12">
      <c r="H1234" t="s">
        <v>3650</v>
      </c>
      <c r="I1234" t="s">
        <v>1357</v>
      </c>
      <c r="J1234" t="s">
        <v>1357</v>
      </c>
      <c r="K1234" t="s">
        <v>1357</v>
      </c>
      <c r="L1234" t="s">
        <v>1357</v>
      </c>
    </row>
    <row r="1235" spans="1:12">
      <c r="H1235" t="s">
        <v>3905</v>
      </c>
      <c r="I1235" t="s">
        <v>1357</v>
      </c>
      <c r="J1235" t="s">
        <v>1357</v>
      </c>
      <c r="K1235" t="s">
        <v>1357</v>
      </c>
      <c r="L1235" t="s">
        <v>1357</v>
      </c>
    </row>
    <row r="1236" spans="1:12">
      <c r="H1236" t="s">
        <v>3906</v>
      </c>
      <c r="I1236" t="s">
        <v>1357</v>
      </c>
      <c r="J1236" t="s">
        <v>1357</v>
      </c>
      <c r="K1236" t="s">
        <v>1357</v>
      </c>
      <c r="L1236" t="s">
        <v>1357</v>
      </c>
    </row>
    <row r="1237" spans="1:12">
      <c r="H1237" t="s">
        <v>3907</v>
      </c>
      <c r="I1237" t="s">
        <v>1357</v>
      </c>
      <c r="J1237" t="s">
        <v>1357</v>
      </c>
      <c r="K1237" t="s">
        <v>1357</v>
      </c>
      <c r="L1237" t="s">
        <v>1357</v>
      </c>
    </row>
    <row r="1238" spans="1:12">
      <c r="F1238" t="s">
        <v>2593</v>
      </c>
      <c r="G1238" t="s">
        <v>3033</v>
      </c>
      <c r="H1238" t="s">
        <v>3790</v>
      </c>
      <c r="I1238" t="s">
        <v>1357</v>
      </c>
      <c r="J1238" t="s">
        <v>1357</v>
      </c>
      <c r="K1238" t="s">
        <v>1357</v>
      </c>
      <c r="L1238" t="s">
        <v>1357</v>
      </c>
    </row>
    <row r="1239" spans="1:12">
      <c r="H1239" t="s">
        <v>3695</v>
      </c>
      <c r="I1239" t="s">
        <v>1357</v>
      </c>
      <c r="J1239" t="s">
        <v>1357</v>
      </c>
      <c r="K1239" t="s">
        <v>1357</v>
      </c>
      <c r="L1239" t="s">
        <v>1357</v>
      </c>
    </row>
    <row r="1240" spans="1:12">
      <c r="H1240" t="s">
        <v>3908</v>
      </c>
      <c r="I1240" t="s">
        <v>1357</v>
      </c>
      <c r="J1240" t="s">
        <v>1357</v>
      </c>
      <c r="K1240" t="s">
        <v>1357</v>
      </c>
      <c r="L1240" t="s">
        <v>1357</v>
      </c>
    </row>
    <row r="1241" spans="1:12">
      <c r="H1241" t="s">
        <v>3909</v>
      </c>
      <c r="I1241" t="s">
        <v>1357</v>
      </c>
      <c r="J1241" t="s">
        <v>1357</v>
      </c>
      <c r="K1241" t="s">
        <v>1357</v>
      </c>
      <c r="L1241" t="s">
        <v>1357</v>
      </c>
    </row>
    <row r="1242" spans="1:12">
      <c r="H1242" t="s">
        <v>3910</v>
      </c>
      <c r="I1242" t="s">
        <v>1357</v>
      </c>
      <c r="J1242" t="s">
        <v>1357</v>
      </c>
      <c r="K1242" t="s">
        <v>1357</v>
      </c>
      <c r="L1242" t="s">
        <v>1357</v>
      </c>
    </row>
    <row r="1243" spans="1:12">
      <c r="H1243" t="s">
        <v>3911</v>
      </c>
      <c r="I1243" t="s">
        <v>1357</v>
      </c>
      <c r="J1243" t="s">
        <v>1357</v>
      </c>
      <c r="K1243" t="s">
        <v>1357</v>
      </c>
      <c r="L1243" t="s">
        <v>1357</v>
      </c>
    </row>
    <row r="1244" spans="1:12">
      <c r="H1244" t="s">
        <v>3912</v>
      </c>
      <c r="I1244" t="s">
        <v>1357</v>
      </c>
      <c r="J1244" t="s">
        <v>1357</v>
      </c>
      <c r="K1244" t="s">
        <v>1357</v>
      </c>
      <c r="L1244" t="s">
        <v>1357</v>
      </c>
    </row>
    <row r="1245" spans="1:12">
      <c r="H1245" t="s">
        <v>3913</v>
      </c>
      <c r="I1245" t="s">
        <v>1357</v>
      </c>
      <c r="J1245" t="s">
        <v>1357</v>
      </c>
      <c r="K1245" t="s">
        <v>1357</v>
      </c>
      <c r="L1245" t="s">
        <v>1357</v>
      </c>
    </row>
    <row r="1246" spans="1:12">
      <c r="H1246" t="s">
        <v>3914</v>
      </c>
      <c r="I1246" t="s">
        <v>1357</v>
      </c>
      <c r="J1246" t="s">
        <v>1357</v>
      </c>
      <c r="K1246" t="s">
        <v>1357</v>
      </c>
      <c r="L1246" t="s">
        <v>1357</v>
      </c>
    </row>
    <row r="1247" spans="1:12">
      <c r="A1247" t="s">
        <v>1970</v>
      </c>
      <c r="B1247">
        <f>HYPERLINK("https://github.com/apache/commons-math/commit/4d4aa195fea0f1d7550ca816e1a85802aebfc875", "4d4aa195fea0f1d7550ca816e1a85802aebfc875")</f>
        <v>0</v>
      </c>
      <c r="C1247">
        <f>HYPERLINK("https://github.com/apache/commons-math/commit/848c37ee8b8b89f15e4a34ad6fac3683baf76e08", "848c37ee8b8b89f15e4a34ad6fac3683baf76e08")</f>
        <v>0</v>
      </c>
      <c r="D1247" t="s">
        <v>2151</v>
      </c>
      <c r="E1247" t="s">
        <v>2259</v>
      </c>
      <c r="F1247" t="s">
        <v>2584</v>
      </c>
      <c r="G1247" t="s">
        <v>2913</v>
      </c>
      <c r="H1247" t="s">
        <v>3915</v>
      </c>
      <c r="I1247" t="s">
        <v>1357</v>
      </c>
      <c r="J1247" t="s">
        <v>1357</v>
      </c>
      <c r="K1247" t="s">
        <v>1357</v>
      </c>
      <c r="L1247" t="s">
        <v>1357</v>
      </c>
    </row>
    <row r="1248" spans="1:12">
      <c r="A1248" t="s">
        <v>1971</v>
      </c>
      <c r="B1248">
        <f>HYPERLINK("https://github.com/apache/commons-math/commit/fc20a308d7e866c0c18e1a3efbb62e2176d2bab4", "fc20a308d7e866c0c18e1a3efbb62e2176d2bab4")</f>
        <v>0</v>
      </c>
      <c r="C1248">
        <f>HYPERLINK("https://github.com/apache/commons-math/commit/0441b7cc6d02c6539eac4609bff9bb7449720ac2", "0441b7cc6d02c6539eac4609bff9bb7449720ac2")</f>
        <v>0</v>
      </c>
      <c r="D1248" t="s">
        <v>2151</v>
      </c>
      <c r="E1248" t="s">
        <v>2260</v>
      </c>
      <c r="F1248" t="s">
        <v>2594</v>
      </c>
      <c r="G1248" t="s">
        <v>3034</v>
      </c>
      <c r="H1248" t="s">
        <v>863</v>
      </c>
      <c r="I1248" t="s">
        <v>1357</v>
      </c>
      <c r="J1248" t="s">
        <v>1357</v>
      </c>
      <c r="K1248" t="s">
        <v>1357</v>
      </c>
      <c r="L1248" t="s">
        <v>1357</v>
      </c>
    </row>
    <row r="1249" spans="1:14">
      <c r="F1249" t="s">
        <v>2595</v>
      </c>
      <c r="G1249" t="s">
        <v>3035</v>
      </c>
      <c r="H1249" t="s">
        <v>863</v>
      </c>
      <c r="I1249" t="s">
        <v>1357</v>
      </c>
      <c r="J1249" t="s">
        <v>1357</v>
      </c>
      <c r="K1249" t="s">
        <v>1357</v>
      </c>
      <c r="L1249" t="s">
        <v>1357</v>
      </c>
    </row>
    <row r="1250" spans="1:14">
      <c r="F1250" t="s">
        <v>2596</v>
      </c>
      <c r="G1250" t="s">
        <v>3036</v>
      </c>
      <c r="H1250" t="s">
        <v>863</v>
      </c>
      <c r="I1250" t="s">
        <v>1357</v>
      </c>
      <c r="J1250" t="s">
        <v>1357</v>
      </c>
      <c r="K1250" t="s">
        <v>1357</v>
      </c>
      <c r="L1250" t="s">
        <v>1357</v>
      </c>
    </row>
    <row r="1251" spans="1:14">
      <c r="A1251" t="s">
        <v>1972</v>
      </c>
      <c r="B1251">
        <f>HYPERLINK("https://github.com/apache/commons-math/commit/c8e8d8de18cad6566442c138b5a6627127102bfb", "c8e8d8de18cad6566442c138b5a6627127102bfb")</f>
        <v>0</v>
      </c>
      <c r="C1251">
        <f>HYPERLINK("https://github.com/apache/commons-math/commit/fa4135a04857ed0fca64f27cb5e2a8b88b70c7c3", "fa4135a04857ed0fca64f27cb5e2a8b88b70c7c3")</f>
        <v>0</v>
      </c>
      <c r="D1251" t="s">
        <v>2151</v>
      </c>
      <c r="E1251" t="s">
        <v>2261</v>
      </c>
      <c r="F1251" t="s">
        <v>2594</v>
      </c>
      <c r="G1251" t="s">
        <v>3034</v>
      </c>
      <c r="H1251" t="s">
        <v>3570</v>
      </c>
      <c r="I1251" t="s">
        <v>1357</v>
      </c>
      <c r="J1251" t="s">
        <v>1357</v>
      </c>
      <c r="K1251" t="s">
        <v>1357</v>
      </c>
      <c r="L1251" t="s">
        <v>1357</v>
      </c>
    </row>
    <row r="1252" spans="1:14">
      <c r="H1252" t="s">
        <v>3571</v>
      </c>
      <c r="I1252" t="s">
        <v>1357</v>
      </c>
      <c r="J1252" t="s">
        <v>1357</v>
      </c>
      <c r="K1252" t="s">
        <v>1357</v>
      </c>
      <c r="L1252" t="s">
        <v>1357</v>
      </c>
    </row>
    <row r="1253" spans="1:14">
      <c r="H1253" t="s">
        <v>3573</v>
      </c>
      <c r="I1253" t="s">
        <v>1357</v>
      </c>
      <c r="J1253" t="s">
        <v>1357</v>
      </c>
      <c r="K1253" t="s">
        <v>1357</v>
      </c>
      <c r="L1253" t="s">
        <v>1357</v>
      </c>
    </row>
    <row r="1254" spans="1:14">
      <c r="H1254" t="s">
        <v>3574</v>
      </c>
      <c r="I1254" t="s">
        <v>1357</v>
      </c>
      <c r="J1254" t="s">
        <v>1357</v>
      </c>
      <c r="K1254" t="s">
        <v>1357</v>
      </c>
      <c r="L1254" t="s">
        <v>1357</v>
      </c>
    </row>
    <row r="1255" spans="1:14">
      <c r="A1255" t="s">
        <v>1973</v>
      </c>
      <c r="B1255">
        <f>HYPERLINK("https://github.com/apache/commons-math/commit/9b08855c247eb7522fc4b25b8aaece2a0d58d990", "9b08855c247eb7522fc4b25b8aaece2a0d58d990")</f>
        <v>0</v>
      </c>
      <c r="C1255">
        <f>HYPERLINK("https://github.com/apache/commons-math/commit/795e041074a189dc999c4e6141e899fdade04bcb", "795e041074a189dc999c4e6141e899fdade04bcb")</f>
        <v>0</v>
      </c>
      <c r="D1255" t="s">
        <v>155</v>
      </c>
      <c r="E1255" t="s">
        <v>2262</v>
      </c>
      <c r="F1255" t="s">
        <v>2597</v>
      </c>
      <c r="G1255" t="s">
        <v>2939</v>
      </c>
      <c r="H1255" t="s">
        <v>3916</v>
      </c>
      <c r="I1255" t="s">
        <v>1358</v>
      </c>
      <c r="J1255" t="s">
        <v>1358</v>
      </c>
      <c r="K1255" t="s">
        <v>1358</v>
      </c>
      <c r="L1255" t="s">
        <v>1358</v>
      </c>
      <c r="N1255" t="s">
        <v>1372</v>
      </c>
    </row>
    <row r="1256" spans="1:14">
      <c r="A1256" t="s">
        <v>1974</v>
      </c>
      <c r="B1256">
        <f>HYPERLINK("https://github.com/apache/commons-math/commit/3ea6733ee8dffe49deee4d0004215d80e27a8486", "3ea6733ee8dffe49deee4d0004215d80e27a8486")</f>
        <v>0</v>
      </c>
      <c r="C1256">
        <f>HYPERLINK("https://github.com/apache/commons-math/commit/32c230328895e78894c874b077382b77054dab99", "32c230328895e78894c874b077382b77054dab99")</f>
        <v>0</v>
      </c>
      <c r="D1256" t="s">
        <v>2151</v>
      </c>
      <c r="E1256" t="s">
        <v>2263</v>
      </c>
      <c r="F1256" t="s">
        <v>2598</v>
      </c>
      <c r="G1256" t="s">
        <v>3037</v>
      </c>
      <c r="H1256" t="s">
        <v>3917</v>
      </c>
      <c r="I1256" t="s">
        <v>1357</v>
      </c>
      <c r="J1256" t="s">
        <v>1357</v>
      </c>
      <c r="K1256" t="s">
        <v>1357</v>
      </c>
      <c r="L1256" t="s">
        <v>1357</v>
      </c>
    </row>
    <row r="1257" spans="1:14">
      <c r="H1257" t="s">
        <v>3918</v>
      </c>
      <c r="I1257" t="s">
        <v>1357</v>
      </c>
      <c r="J1257" t="s">
        <v>1357</v>
      </c>
      <c r="K1257" t="s">
        <v>1357</v>
      </c>
      <c r="L1257" t="s">
        <v>1357</v>
      </c>
    </row>
    <row r="1258" spans="1:14">
      <c r="A1258" t="s">
        <v>1975</v>
      </c>
      <c r="B1258">
        <f>HYPERLINK("https://github.com/apache/commons-math/commit/f26739a7898b4131e53318c4ba80fa6023fbbf19", "f26739a7898b4131e53318c4ba80fa6023fbbf19")</f>
        <v>0</v>
      </c>
      <c r="C1258">
        <f>HYPERLINK("https://github.com/apache/commons-math/commit/febcb077e7da0b64607b3063df53824987b68bef", "febcb077e7da0b64607b3063df53824987b68bef")</f>
        <v>0</v>
      </c>
      <c r="D1258" t="s">
        <v>2148</v>
      </c>
      <c r="E1258" t="s">
        <v>2264</v>
      </c>
      <c r="F1258" t="s">
        <v>2597</v>
      </c>
      <c r="G1258" t="s">
        <v>2939</v>
      </c>
      <c r="H1258" t="s">
        <v>3919</v>
      </c>
      <c r="I1258" t="s">
        <v>1357</v>
      </c>
      <c r="J1258" t="s">
        <v>1357</v>
      </c>
      <c r="K1258" t="s">
        <v>1357</v>
      </c>
      <c r="L1258" t="s">
        <v>1357</v>
      </c>
      <c r="N1258" t="s">
        <v>5107</v>
      </c>
    </row>
    <row r="1259" spans="1:14">
      <c r="A1259" t="s">
        <v>1976</v>
      </c>
      <c r="B1259">
        <f>HYPERLINK("https://github.com/apache/commons-math/commit/fa0d87fd628b9ac0a330aac226adb2979da334cb", "fa0d87fd628b9ac0a330aac226adb2979da334cb")</f>
        <v>0</v>
      </c>
      <c r="C1259">
        <f>HYPERLINK("https://github.com/apache/commons-math/commit/6e9f0c1dbb7855440658f0efaa0b357237d6d2bf", "6e9f0c1dbb7855440658f0efaa0b357237d6d2bf")</f>
        <v>0</v>
      </c>
      <c r="D1259" t="s">
        <v>155</v>
      </c>
      <c r="E1259" t="s">
        <v>2265</v>
      </c>
      <c r="F1259" t="s">
        <v>2599</v>
      </c>
      <c r="G1259" t="s">
        <v>3038</v>
      </c>
      <c r="H1259" t="s">
        <v>3920</v>
      </c>
      <c r="I1259" t="s">
        <v>1357</v>
      </c>
      <c r="J1259" t="s">
        <v>1357</v>
      </c>
      <c r="K1259" t="s">
        <v>1357</v>
      </c>
      <c r="L1259" t="s">
        <v>1357</v>
      </c>
    </row>
    <row r="1260" spans="1:14">
      <c r="H1260" t="s">
        <v>3921</v>
      </c>
      <c r="I1260" t="s">
        <v>1357</v>
      </c>
      <c r="J1260" t="s">
        <v>1357</v>
      </c>
      <c r="K1260" t="s">
        <v>1357</v>
      </c>
      <c r="L1260" t="s">
        <v>1357</v>
      </c>
    </row>
    <row r="1261" spans="1:14">
      <c r="A1261" t="s">
        <v>1977</v>
      </c>
      <c r="B1261">
        <f>HYPERLINK("https://github.com/apache/commons-math/commit/d063c84cbfd37fa1ec8794d53855664eee252114", "d063c84cbfd37fa1ec8794d53855664eee252114")</f>
        <v>0</v>
      </c>
      <c r="C1261">
        <f>HYPERLINK("https://github.com/apache/commons-math/commit/058bb97d7274ec8172cb6dda9901f44c58e4db53", "058bb97d7274ec8172cb6dda9901f44c58e4db53")</f>
        <v>0</v>
      </c>
      <c r="D1261" t="s">
        <v>155</v>
      </c>
      <c r="E1261" t="s">
        <v>2266</v>
      </c>
      <c r="F1261" t="s">
        <v>2600</v>
      </c>
      <c r="G1261" t="s">
        <v>3039</v>
      </c>
      <c r="H1261" t="s">
        <v>3880</v>
      </c>
      <c r="I1261" t="s">
        <v>1358</v>
      </c>
      <c r="J1261" t="s">
        <v>1358</v>
      </c>
      <c r="K1261" t="s">
        <v>1358</v>
      </c>
      <c r="L1261" t="s">
        <v>1358</v>
      </c>
      <c r="N1261" t="s">
        <v>1372</v>
      </c>
    </row>
    <row r="1262" spans="1:14">
      <c r="A1262" t="s">
        <v>1978</v>
      </c>
      <c r="B1262">
        <f>HYPERLINK("https://github.com/apache/commons-math/commit/76f4c46b448d8d6f1fa9a6ff50cd519d8eeacbce", "76f4c46b448d8d6f1fa9a6ff50cd519d8eeacbce")</f>
        <v>0</v>
      </c>
      <c r="C1262">
        <f>HYPERLINK("https://github.com/apache/commons-math/commit/d063c84cbfd37fa1ec8794d53855664eee252114", "d063c84cbfd37fa1ec8794d53855664eee252114")</f>
        <v>0</v>
      </c>
      <c r="D1262" t="s">
        <v>155</v>
      </c>
      <c r="E1262" t="s">
        <v>2267</v>
      </c>
      <c r="F1262" t="s">
        <v>2601</v>
      </c>
      <c r="G1262" t="s">
        <v>3040</v>
      </c>
      <c r="H1262" t="s">
        <v>3880</v>
      </c>
      <c r="I1262" t="s">
        <v>1358</v>
      </c>
      <c r="J1262" t="s">
        <v>1358</v>
      </c>
      <c r="K1262" t="s">
        <v>1358</v>
      </c>
      <c r="L1262" t="s">
        <v>1358</v>
      </c>
      <c r="N1262" t="s">
        <v>5108</v>
      </c>
    </row>
    <row r="1263" spans="1:14">
      <c r="A1263" t="s">
        <v>1979</v>
      </c>
      <c r="B1263">
        <f>HYPERLINK("https://github.com/apache/commons-math/commit/cc53a6aa67414915ab5adf80819ed5e751a9e8f2", "cc53a6aa67414915ab5adf80819ed5e751a9e8f2")</f>
        <v>0</v>
      </c>
      <c r="C1263">
        <f>HYPERLINK("https://github.com/apache/commons-math/commit/b8478df284c292cbc93405d1e89933cbc99bb40e", "b8478df284c292cbc93405d1e89933cbc99bb40e")</f>
        <v>0</v>
      </c>
      <c r="D1263" t="s">
        <v>2151</v>
      </c>
      <c r="E1263" t="s">
        <v>2268</v>
      </c>
      <c r="F1263" t="s">
        <v>2602</v>
      </c>
      <c r="G1263" t="s">
        <v>3041</v>
      </c>
      <c r="H1263" t="s">
        <v>3922</v>
      </c>
      <c r="I1263" t="s">
        <v>1357</v>
      </c>
      <c r="J1263" t="s">
        <v>1357</v>
      </c>
      <c r="K1263" t="s">
        <v>1357</v>
      </c>
      <c r="L1263" t="s">
        <v>1357</v>
      </c>
    </row>
    <row r="1264" spans="1:14">
      <c r="H1264" t="s">
        <v>3923</v>
      </c>
      <c r="I1264" t="s">
        <v>1357</v>
      </c>
      <c r="J1264" t="s">
        <v>1357</v>
      </c>
      <c r="K1264" t="s">
        <v>1357</v>
      </c>
      <c r="L1264" t="s">
        <v>1357</v>
      </c>
    </row>
    <row r="1265" spans="8:12">
      <c r="H1265" t="s">
        <v>3924</v>
      </c>
      <c r="I1265" t="s">
        <v>1357</v>
      </c>
      <c r="J1265" t="s">
        <v>1357</v>
      </c>
      <c r="K1265" t="s">
        <v>1357</v>
      </c>
      <c r="L1265" t="s">
        <v>1357</v>
      </c>
    </row>
    <row r="1266" spans="8:12">
      <c r="H1266" t="s">
        <v>3925</v>
      </c>
      <c r="I1266" t="s">
        <v>1357</v>
      </c>
      <c r="J1266" t="s">
        <v>1357</v>
      </c>
      <c r="K1266" t="s">
        <v>1357</v>
      </c>
      <c r="L1266" t="s">
        <v>1357</v>
      </c>
    </row>
    <row r="1267" spans="8:12">
      <c r="H1267" t="s">
        <v>3926</v>
      </c>
      <c r="I1267" t="s">
        <v>1357</v>
      </c>
      <c r="J1267" t="s">
        <v>1357</v>
      </c>
      <c r="K1267" t="s">
        <v>1357</v>
      </c>
      <c r="L1267" t="s">
        <v>1357</v>
      </c>
    </row>
    <row r="1268" spans="8:12">
      <c r="H1268" t="s">
        <v>3927</v>
      </c>
      <c r="I1268" t="s">
        <v>1357</v>
      </c>
      <c r="J1268" t="s">
        <v>1357</v>
      </c>
      <c r="K1268" t="s">
        <v>1357</v>
      </c>
      <c r="L1268" t="s">
        <v>1357</v>
      </c>
    </row>
    <row r="1269" spans="8:12">
      <c r="H1269" t="s">
        <v>3928</v>
      </c>
      <c r="I1269" t="s">
        <v>1357</v>
      </c>
      <c r="J1269" t="s">
        <v>1357</v>
      </c>
      <c r="K1269" t="s">
        <v>1357</v>
      </c>
      <c r="L1269" t="s">
        <v>1357</v>
      </c>
    </row>
    <row r="1270" spans="8:12">
      <c r="H1270" t="s">
        <v>3929</v>
      </c>
      <c r="I1270" t="s">
        <v>1357</v>
      </c>
      <c r="J1270" t="s">
        <v>1357</v>
      </c>
      <c r="K1270" t="s">
        <v>1357</v>
      </c>
      <c r="L1270" t="s">
        <v>1357</v>
      </c>
    </row>
    <row r="1271" spans="8:12">
      <c r="H1271" t="s">
        <v>3930</v>
      </c>
      <c r="I1271" t="s">
        <v>1357</v>
      </c>
      <c r="J1271" t="s">
        <v>1357</v>
      </c>
      <c r="K1271" t="s">
        <v>1357</v>
      </c>
      <c r="L1271" t="s">
        <v>1357</v>
      </c>
    </row>
    <row r="1272" spans="8:12">
      <c r="H1272" t="s">
        <v>3931</v>
      </c>
      <c r="I1272" t="s">
        <v>1357</v>
      </c>
      <c r="J1272" t="s">
        <v>1357</v>
      </c>
      <c r="K1272" t="s">
        <v>1357</v>
      </c>
      <c r="L1272" t="s">
        <v>1357</v>
      </c>
    </row>
    <row r="1273" spans="8:12">
      <c r="H1273" t="s">
        <v>3932</v>
      </c>
      <c r="I1273" t="s">
        <v>1357</v>
      </c>
      <c r="J1273" t="s">
        <v>1357</v>
      </c>
      <c r="K1273" t="s">
        <v>1357</v>
      </c>
      <c r="L1273" t="s">
        <v>1357</v>
      </c>
    </row>
    <row r="1274" spans="8:12">
      <c r="H1274" t="s">
        <v>3933</v>
      </c>
      <c r="I1274" t="s">
        <v>1357</v>
      </c>
      <c r="J1274" t="s">
        <v>1357</v>
      </c>
      <c r="K1274" t="s">
        <v>1357</v>
      </c>
      <c r="L1274" t="s">
        <v>1357</v>
      </c>
    </row>
    <row r="1275" spans="8:12">
      <c r="H1275" t="s">
        <v>3934</v>
      </c>
      <c r="I1275" t="s">
        <v>1357</v>
      </c>
      <c r="J1275" t="s">
        <v>1357</v>
      </c>
      <c r="K1275" t="s">
        <v>1357</v>
      </c>
      <c r="L1275" t="s">
        <v>1357</v>
      </c>
    </row>
    <row r="1276" spans="8:12">
      <c r="H1276" t="s">
        <v>3935</v>
      </c>
      <c r="I1276" t="s">
        <v>1357</v>
      </c>
      <c r="J1276" t="s">
        <v>1357</v>
      </c>
      <c r="K1276" t="s">
        <v>1357</v>
      </c>
      <c r="L1276" t="s">
        <v>1357</v>
      </c>
    </row>
    <row r="1277" spans="8:12">
      <c r="H1277" t="s">
        <v>3936</v>
      </c>
      <c r="I1277" t="s">
        <v>1357</v>
      </c>
      <c r="J1277" t="s">
        <v>1357</v>
      </c>
      <c r="K1277" t="s">
        <v>1357</v>
      </c>
      <c r="L1277" t="s">
        <v>1357</v>
      </c>
    </row>
    <row r="1278" spans="8:12">
      <c r="H1278" t="s">
        <v>3937</v>
      </c>
      <c r="I1278" t="s">
        <v>1357</v>
      </c>
      <c r="J1278" t="s">
        <v>1357</v>
      </c>
      <c r="K1278" t="s">
        <v>1357</v>
      </c>
      <c r="L1278" t="s">
        <v>1357</v>
      </c>
    </row>
    <row r="1279" spans="8:12">
      <c r="H1279" t="s">
        <v>3938</v>
      </c>
      <c r="I1279" t="s">
        <v>1357</v>
      </c>
      <c r="J1279" t="s">
        <v>1357</v>
      </c>
      <c r="K1279" t="s">
        <v>1357</v>
      </c>
      <c r="L1279" t="s">
        <v>1357</v>
      </c>
    </row>
    <row r="1280" spans="8:12">
      <c r="H1280" t="s">
        <v>3939</v>
      </c>
      <c r="I1280" t="s">
        <v>1357</v>
      </c>
      <c r="J1280" t="s">
        <v>1357</v>
      </c>
      <c r="K1280" t="s">
        <v>1357</v>
      </c>
      <c r="L1280" t="s">
        <v>1357</v>
      </c>
    </row>
    <row r="1281" spans="1:12">
      <c r="H1281" t="s">
        <v>3940</v>
      </c>
      <c r="I1281" t="s">
        <v>1357</v>
      </c>
      <c r="J1281" t="s">
        <v>1357</v>
      </c>
      <c r="K1281" t="s">
        <v>1357</v>
      </c>
      <c r="L1281" t="s">
        <v>1357</v>
      </c>
    </row>
    <row r="1282" spans="1:12">
      <c r="H1282" t="s">
        <v>3941</v>
      </c>
      <c r="I1282" t="s">
        <v>1357</v>
      </c>
      <c r="J1282" t="s">
        <v>1357</v>
      </c>
      <c r="K1282" t="s">
        <v>1357</v>
      </c>
      <c r="L1282" t="s">
        <v>1357</v>
      </c>
    </row>
    <row r="1283" spans="1:12">
      <c r="H1283" t="s">
        <v>3942</v>
      </c>
      <c r="I1283" t="s">
        <v>1357</v>
      </c>
      <c r="J1283" t="s">
        <v>1357</v>
      </c>
      <c r="K1283" t="s">
        <v>1357</v>
      </c>
      <c r="L1283" t="s">
        <v>1357</v>
      </c>
    </row>
    <row r="1284" spans="1:12">
      <c r="F1284" t="s">
        <v>2597</v>
      </c>
      <c r="G1284" t="s">
        <v>2939</v>
      </c>
      <c r="H1284" t="s">
        <v>3943</v>
      </c>
      <c r="I1284" t="s">
        <v>1357</v>
      </c>
      <c r="J1284" t="s">
        <v>1357</v>
      </c>
      <c r="K1284" t="s">
        <v>1357</v>
      </c>
      <c r="L1284" t="s">
        <v>1357</v>
      </c>
    </row>
    <row r="1285" spans="1:12">
      <c r="H1285" t="s">
        <v>3944</v>
      </c>
      <c r="I1285" t="s">
        <v>1357</v>
      </c>
      <c r="J1285" t="s">
        <v>1357</v>
      </c>
      <c r="K1285" t="s">
        <v>1357</v>
      </c>
      <c r="L1285" t="s">
        <v>1357</v>
      </c>
    </row>
    <row r="1286" spans="1:12">
      <c r="H1286" t="s">
        <v>3945</v>
      </c>
      <c r="I1286" t="s">
        <v>1357</v>
      </c>
      <c r="J1286" t="s">
        <v>1357</v>
      </c>
      <c r="K1286" t="s">
        <v>1357</v>
      </c>
      <c r="L1286" t="s">
        <v>1357</v>
      </c>
    </row>
    <row r="1287" spans="1:12">
      <c r="H1287" t="s">
        <v>3946</v>
      </c>
      <c r="I1287" t="s">
        <v>1357</v>
      </c>
      <c r="J1287" t="s">
        <v>1357</v>
      </c>
      <c r="K1287" t="s">
        <v>1357</v>
      </c>
      <c r="L1287" t="s">
        <v>1357</v>
      </c>
    </row>
    <row r="1288" spans="1:12">
      <c r="A1288" t="s">
        <v>1980</v>
      </c>
      <c r="B1288">
        <f>HYPERLINK("https://github.com/apache/commons-math/commit/f2e551b8ded495c3a62556221500dff932a77c42", "f2e551b8ded495c3a62556221500dff932a77c42")</f>
        <v>0</v>
      </c>
      <c r="C1288">
        <f>HYPERLINK("https://github.com/apache/commons-math/commit/04bbc3fccff35d8092709e557ebf9ad88ad1dea8", "04bbc3fccff35d8092709e557ebf9ad88ad1dea8")</f>
        <v>0</v>
      </c>
      <c r="D1288" t="s">
        <v>2151</v>
      </c>
      <c r="E1288" t="s">
        <v>2269</v>
      </c>
      <c r="F1288" t="s">
        <v>2603</v>
      </c>
      <c r="G1288" t="s">
        <v>3042</v>
      </c>
      <c r="H1288" t="s">
        <v>3947</v>
      </c>
      <c r="I1288" t="s">
        <v>1357</v>
      </c>
      <c r="J1288" t="s">
        <v>1357</v>
      </c>
      <c r="K1288" t="s">
        <v>1357</v>
      </c>
      <c r="L1288" t="s">
        <v>1357</v>
      </c>
    </row>
    <row r="1289" spans="1:12">
      <c r="H1289" t="s">
        <v>3948</v>
      </c>
      <c r="I1289" t="s">
        <v>1357</v>
      </c>
      <c r="J1289" t="s">
        <v>1357</v>
      </c>
      <c r="K1289" t="s">
        <v>1357</v>
      </c>
      <c r="L1289" t="s">
        <v>1357</v>
      </c>
    </row>
    <row r="1290" spans="1:12">
      <c r="H1290" t="s">
        <v>3949</v>
      </c>
      <c r="I1290" t="s">
        <v>1357</v>
      </c>
      <c r="J1290" t="s">
        <v>1357</v>
      </c>
      <c r="K1290" t="s">
        <v>1357</v>
      </c>
      <c r="L1290" t="s">
        <v>1357</v>
      </c>
    </row>
    <row r="1291" spans="1:12">
      <c r="H1291" t="s">
        <v>3950</v>
      </c>
      <c r="I1291" t="s">
        <v>1357</v>
      </c>
      <c r="J1291" t="s">
        <v>1357</v>
      </c>
      <c r="K1291" t="s">
        <v>1357</v>
      </c>
      <c r="L1291" t="s">
        <v>1357</v>
      </c>
    </row>
    <row r="1292" spans="1:12">
      <c r="H1292" t="s">
        <v>3951</v>
      </c>
      <c r="I1292" t="s">
        <v>1357</v>
      </c>
      <c r="J1292" t="s">
        <v>1357</v>
      </c>
      <c r="K1292" t="s">
        <v>1357</v>
      </c>
      <c r="L1292" t="s">
        <v>1357</v>
      </c>
    </row>
    <row r="1293" spans="1:12">
      <c r="A1293" t="s">
        <v>1981</v>
      </c>
      <c r="B1293">
        <f>HYPERLINK("https://github.com/apache/commons-math/commit/da462abca016b80ce42e4cb3523e3eb3522a559f", "da462abca016b80ce42e4cb3523e3eb3522a559f")</f>
        <v>0</v>
      </c>
      <c r="C1293">
        <f>HYPERLINK("https://github.com/apache/commons-math/commit/47d9a5d240d23ef1a83566c4a5ac5de69b884c4c", "47d9a5d240d23ef1a83566c4a5ac5de69b884c4c")</f>
        <v>0</v>
      </c>
      <c r="D1293" t="s">
        <v>2151</v>
      </c>
      <c r="E1293" t="s">
        <v>2270</v>
      </c>
      <c r="F1293" t="s">
        <v>2604</v>
      </c>
      <c r="G1293" t="s">
        <v>2914</v>
      </c>
      <c r="H1293" t="s">
        <v>3884</v>
      </c>
      <c r="I1293" t="s">
        <v>1357</v>
      </c>
      <c r="J1293" t="s">
        <v>1357</v>
      </c>
      <c r="K1293" t="s">
        <v>1357</v>
      </c>
      <c r="L1293" t="s">
        <v>1357</v>
      </c>
    </row>
    <row r="1294" spans="1:12">
      <c r="H1294" t="s">
        <v>3886</v>
      </c>
      <c r="I1294" t="s">
        <v>1357</v>
      </c>
      <c r="J1294" t="s">
        <v>1357</v>
      </c>
      <c r="K1294" t="s">
        <v>1357</v>
      </c>
      <c r="L1294" t="s">
        <v>1357</v>
      </c>
    </row>
    <row r="1295" spans="1:12">
      <c r="F1295" t="s">
        <v>2605</v>
      </c>
      <c r="G1295" t="s">
        <v>2911</v>
      </c>
      <c r="H1295" t="s">
        <v>3884</v>
      </c>
      <c r="I1295" t="s">
        <v>1357</v>
      </c>
      <c r="J1295" t="s">
        <v>1357</v>
      </c>
      <c r="K1295" t="s">
        <v>1357</v>
      </c>
      <c r="L1295" t="s">
        <v>1357</v>
      </c>
    </row>
    <row r="1296" spans="1:12">
      <c r="H1296" t="s">
        <v>3886</v>
      </c>
      <c r="I1296" t="s">
        <v>1357</v>
      </c>
      <c r="J1296" t="s">
        <v>1357</v>
      </c>
      <c r="K1296" t="s">
        <v>1357</v>
      </c>
      <c r="L1296" t="s">
        <v>1357</v>
      </c>
    </row>
    <row r="1297" spans="1:14">
      <c r="F1297" t="s">
        <v>2606</v>
      </c>
      <c r="G1297" t="s">
        <v>2912</v>
      </c>
      <c r="H1297" t="s">
        <v>3884</v>
      </c>
      <c r="I1297" t="s">
        <v>1357</v>
      </c>
      <c r="J1297" t="s">
        <v>1357</v>
      </c>
      <c r="K1297" t="s">
        <v>1357</v>
      </c>
      <c r="L1297" t="s">
        <v>1357</v>
      </c>
    </row>
    <row r="1298" spans="1:14">
      <c r="H1298" t="s">
        <v>3886</v>
      </c>
      <c r="I1298" t="s">
        <v>1357</v>
      </c>
      <c r="J1298" t="s">
        <v>1357</v>
      </c>
      <c r="K1298" t="s">
        <v>1357</v>
      </c>
      <c r="L1298" t="s">
        <v>1357</v>
      </c>
    </row>
    <row r="1299" spans="1:14">
      <c r="A1299" t="s">
        <v>1982</v>
      </c>
      <c r="B1299">
        <f>HYPERLINK("https://github.com/apache/commons-math/commit/dd39f901b25de6571dc62c5430d756dd540383da", "dd39f901b25de6571dc62c5430d756dd540383da")</f>
        <v>0</v>
      </c>
      <c r="C1299">
        <f>HYPERLINK("https://github.com/apache/commons-math/commit/da462abca016b80ce42e4cb3523e3eb3522a559f", "da462abca016b80ce42e4cb3523e3eb3522a559f")</f>
        <v>0</v>
      </c>
      <c r="D1299" t="s">
        <v>2151</v>
      </c>
      <c r="E1299" t="s">
        <v>2271</v>
      </c>
      <c r="F1299" t="s">
        <v>2607</v>
      </c>
      <c r="G1299" t="s">
        <v>3043</v>
      </c>
      <c r="H1299" t="s">
        <v>3952</v>
      </c>
      <c r="I1299" t="s">
        <v>1357</v>
      </c>
      <c r="J1299" t="s">
        <v>1357</v>
      </c>
      <c r="K1299" t="s">
        <v>1357</v>
      </c>
      <c r="L1299" t="s">
        <v>1357</v>
      </c>
    </row>
    <row r="1300" spans="1:14">
      <c r="H1300" t="s">
        <v>3953</v>
      </c>
      <c r="I1300" t="s">
        <v>1357</v>
      </c>
      <c r="J1300" t="s">
        <v>1357</v>
      </c>
      <c r="K1300" t="s">
        <v>1357</v>
      </c>
      <c r="L1300" t="s">
        <v>1357</v>
      </c>
    </row>
    <row r="1301" spans="1:14">
      <c r="H1301" t="s">
        <v>3954</v>
      </c>
      <c r="I1301" t="s">
        <v>1357</v>
      </c>
      <c r="J1301" t="s">
        <v>1357</v>
      </c>
      <c r="K1301" t="s">
        <v>1357</v>
      </c>
      <c r="L1301" t="s">
        <v>1357</v>
      </c>
    </row>
    <row r="1302" spans="1:14">
      <c r="H1302" t="s">
        <v>3955</v>
      </c>
      <c r="I1302" t="s">
        <v>1357</v>
      </c>
      <c r="J1302" t="s">
        <v>1357</v>
      </c>
      <c r="K1302" t="s">
        <v>1357</v>
      </c>
      <c r="L1302" t="s">
        <v>1357</v>
      </c>
    </row>
    <row r="1303" spans="1:14">
      <c r="A1303" t="s">
        <v>1983</v>
      </c>
      <c r="B1303">
        <f>HYPERLINK("https://github.com/apache/commons-math/commit/57e2712f50eec586fc5e46fcf9eba139f82af97a", "57e2712f50eec586fc5e46fcf9eba139f82af97a")</f>
        <v>0</v>
      </c>
      <c r="C1303">
        <f>HYPERLINK("https://github.com/apache/commons-math/commit/c005c8d4da25a68f51691d8d5be818e8566c4ceb", "c005c8d4da25a68f51691d8d5be818e8566c4ceb")</f>
        <v>0</v>
      </c>
      <c r="D1303" t="s">
        <v>2148</v>
      </c>
      <c r="E1303" t="s">
        <v>2272</v>
      </c>
      <c r="F1303" t="s">
        <v>2608</v>
      </c>
      <c r="G1303" t="s">
        <v>3044</v>
      </c>
      <c r="H1303" t="s">
        <v>3956</v>
      </c>
      <c r="I1303" t="s">
        <v>1357</v>
      </c>
      <c r="J1303" t="s">
        <v>1357</v>
      </c>
      <c r="K1303" t="s">
        <v>1357</v>
      </c>
      <c r="L1303" t="s">
        <v>1357</v>
      </c>
    </row>
    <row r="1304" spans="1:14">
      <c r="A1304" t="s">
        <v>1984</v>
      </c>
      <c r="B1304">
        <f>HYPERLINK("https://github.com/apache/commons-math/commit/9af50ca82c8994990992696e17beeb7956cdfd89", "9af50ca82c8994990992696e17beeb7956cdfd89")</f>
        <v>0</v>
      </c>
      <c r="C1304">
        <f>HYPERLINK("https://github.com/apache/commons-math/commit/d171e7dd17441b60b00960eef69f09f3b0ca89c3", "d171e7dd17441b60b00960eef69f09f3b0ca89c3")</f>
        <v>0</v>
      </c>
      <c r="D1304" t="s">
        <v>2151</v>
      </c>
      <c r="E1304" t="s">
        <v>2273</v>
      </c>
      <c r="F1304" t="s">
        <v>2609</v>
      </c>
      <c r="G1304" t="s">
        <v>3045</v>
      </c>
      <c r="H1304" t="s">
        <v>3957</v>
      </c>
      <c r="I1304" t="s">
        <v>1357</v>
      </c>
      <c r="J1304" t="s">
        <v>1357</v>
      </c>
      <c r="K1304" t="s">
        <v>1357</v>
      </c>
      <c r="L1304" t="s">
        <v>1357</v>
      </c>
    </row>
    <row r="1305" spans="1:14">
      <c r="H1305" t="s">
        <v>3958</v>
      </c>
      <c r="I1305" t="s">
        <v>1357</v>
      </c>
      <c r="J1305" t="s">
        <v>1357</v>
      </c>
      <c r="K1305" t="s">
        <v>1357</v>
      </c>
      <c r="L1305" t="s">
        <v>1357</v>
      </c>
    </row>
    <row r="1306" spans="1:14">
      <c r="H1306" t="s">
        <v>3959</v>
      </c>
      <c r="I1306" t="s">
        <v>1357</v>
      </c>
      <c r="J1306" t="s">
        <v>1357</v>
      </c>
      <c r="K1306" t="s">
        <v>1357</v>
      </c>
      <c r="L1306" t="s">
        <v>1357</v>
      </c>
    </row>
    <row r="1307" spans="1:14">
      <c r="H1307" t="s">
        <v>3960</v>
      </c>
      <c r="I1307" t="s">
        <v>1357</v>
      </c>
      <c r="J1307" t="s">
        <v>1357</v>
      </c>
      <c r="K1307" t="s">
        <v>1357</v>
      </c>
      <c r="L1307" t="s">
        <v>1357</v>
      </c>
    </row>
    <row r="1308" spans="1:14">
      <c r="H1308" t="s">
        <v>3961</v>
      </c>
      <c r="I1308" t="s">
        <v>1357</v>
      </c>
      <c r="J1308" t="s">
        <v>1357</v>
      </c>
      <c r="K1308" t="s">
        <v>1357</v>
      </c>
      <c r="L1308" t="s">
        <v>1357</v>
      </c>
    </row>
    <row r="1309" spans="1:14">
      <c r="A1309" t="s">
        <v>1985</v>
      </c>
      <c r="B1309">
        <f>HYPERLINK("https://github.com/apache/commons-math/commit/98556fedcce9e7e4375f994cc171d4803e6c0ee9", "98556fedcce9e7e4375f994cc171d4803e6c0ee9")</f>
        <v>0</v>
      </c>
      <c r="C1309">
        <f>HYPERLINK("https://github.com/apache/commons-math/commit/b42223e931116ad3e8a1b3b3451d6bb14b8af82f", "b42223e931116ad3e8a1b3b3451d6bb14b8af82f")</f>
        <v>0</v>
      </c>
      <c r="D1309" t="s">
        <v>2146</v>
      </c>
      <c r="E1309" t="s">
        <v>2274</v>
      </c>
      <c r="F1309" t="s">
        <v>2610</v>
      </c>
      <c r="G1309" t="s">
        <v>3046</v>
      </c>
      <c r="H1309" t="s">
        <v>1028</v>
      </c>
      <c r="I1309" t="s">
        <v>1357</v>
      </c>
      <c r="J1309" t="s">
        <v>1357</v>
      </c>
      <c r="K1309" t="s">
        <v>1357</v>
      </c>
      <c r="L1309" t="s">
        <v>1357</v>
      </c>
      <c r="M1309" t="s">
        <v>1360</v>
      </c>
      <c r="N1309" t="s">
        <v>1360</v>
      </c>
    </row>
    <row r="1310" spans="1:14">
      <c r="H1310" t="s">
        <v>1031</v>
      </c>
      <c r="I1310" t="s">
        <v>1357</v>
      </c>
      <c r="J1310" t="s">
        <v>1357</v>
      </c>
      <c r="K1310" t="s">
        <v>1357</v>
      </c>
      <c r="L1310" t="s">
        <v>1357</v>
      </c>
      <c r="M1310" t="s">
        <v>1360</v>
      </c>
      <c r="N1310" t="s">
        <v>1360</v>
      </c>
    </row>
    <row r="1311" spans="1:14">
      <c r="A1311" t="s">
        <v>1986</v>
      </c>
      <c r="B1311">
        <f>HYPERLINK("https://github.com/apache/commons-math/commit/d451a1fb921f7dec1bde47a05a37fbed4df5a1ba", "d451a1fb921f7dec1bde47a05a37fbed4df5a1ba")</f>
        <v>0</v>
      </c>
      <c r="C1311">
        <f>HYPERLINK("https://github.com/apache/commons-math/commit/a821e798c3fee1982c81af1974ae44a5c6f92599", "a821e798c3fee1982c81af1974ae44a5c6f92599")</f>
        <v>0</v>
      </c>
      <c r="D1311" t="s">
        <v>2151</v>
      </c>
      <c r="E1311" t="s">
        <v>2275</v>
      </c>
      <c r="F1311" t="s">
        <v>2611</v>
      </c>
      <c r="G1311" t="s">
        <v>3047</v>
      </c>
      <c r="H1311" t="s">
        <v>3924</v>
      </c>
      <c r="I1311" t="s">
        <v>1357</v>
      </c>
      <c r="J1311" t="s">
        <v>1357</v>
      </c>
      <c r="K1311" t="s">
        <v>1357</v>
      </c>
      <c r="L1311" t="s">
        <v>1357</v>
      </c>
    </row>
    <row r="1312" spans="1:14">
      <c r="A1312" t="s">
        <v>1987</v>
      </c>
      <c r="B1312">
        <f>HYPERLINK("https://github.com/apache/commons-math/commit/fca3f676ec65a9642e394e8ee97b5e963d8a0469", "fca3f676ec65a9642e394e8ee97b5e963d8a0469")</f>
        <v>0</v>
      </c>
      <c r="C1312">
        <f>HYPERLINK("https://github.com/apache/commons-math/commit/3872917effefb08c997431a8bdf3aaabbc159fac", "3872917effefb08c997431a8bdf3aaabbc159fac")</f>
        <v>0</v>
      </c>
      <c r="D1312" t="s">
        <v>2151</v>
      </c>
      <c r="E1312" t="s">
        <v>2276</v>
      </c>
      <c r="F1312" t="s">
        <v>2611</v>
      </c>
      <c r="G1312" t="s">
        <v>3047</v>
      </c>
      <c r="H1312" t="s">
        <v>3942</v>
      </c>
      <c r="I1312" t="s">
        <v>1357</v>
      </c>
      <c r="J1312" t="s">
        <v>1357</v>
      </c>
      <c r="K1312" t="s">
        <v>1357</v>
      </c>
      <c r="L1312" t="s">
        <v>1357</v>
      </c>
    </row>
    <row r="1313" spans="1:14">
      <c r="A1313" t="s">
        <v>1988</v>
      </c>
      <c r="B1313">
        <f>HYPERLINK("https://github.com/apache/commons-math/commit/4b1377907d9aff7682fc42fad9c6907e8ae9513c", "4b1377907d9aff7682fc42fad9c6907e8ae9513c")</f>
        <v>0</v>
      </c>
      <c r="C1313">
        <f>HYPERLINK("https://github.com/apache/commons-math/commit/fca3f676ec65a9642e394e8ee97b5e963d8a0469", "fca3f676ec65a9642e394e8ee97b5e963d8a0469")</f>
        <v>0</v>
      </c>
      <c r="D1313" t="s">
        <v>2151</v>
      </c>
      <c r="E1313" t="s">
        <v>2277</v>
      </c>
      <c r="F1313" t="s">
        <v>2611</v>
      </c>
      <c r="G1313" t="s">
        <v>3047</v>
      </c>
      <c r="H1313" t="s">
        <v>3962</v>
      </c>
      <c r="I1313" t="s">
        <v>1357</v>
      </c>
      <c r="J1313" t="s">
        <v>1357</v>
      </c>
      <c r="K1313" t="s">
        <v>1357</v>
      </c>
      <c r="L1313" t="s">
        <v>1357</v>
      </c>
    </row>
    <row r="1314" spans="1:14">
      <c r="A1314" t="s">
        <v>1989</v>
      </c>
      <c r="B1314">
        <f>HYPERLINK("https://github.com/apache/commons-math/commit/37b22700d9992f0a40a46d1b70fed97891565163", "37b22700d9992f0a40a46d1b70fed97891565163")</f>
        <v>0</v>
      </c>
      <c r="C1314">
        <f>HYPERLINK("https://github.com/apache/commons-math/commit/8dc262f9d7c1eb584c797917a40c0118ba8974be", "8dc262f9d7c1eb584c797917a40c0118ba8974be")</f>
        <v>0</v>
      </c>
      <c r="D1314" t="s">
        <v>2151</v>
      </c>
      <c r="E1314" t="s">
        <v>2278</v>
      </c>
      <c r="F1314" t="s">
        <v>2612</v>
      </c>
      <c r="G1314" t="s">
        <v>3048</v>
      </c>
      <c r="H1314" t="s">
        <v>3963</v>
      </c>
      <c r="I1314" t="s">
        <v>1357</v>
      </c>
      <c r="J1314" t="s">
        <v>1357</v>
      </c>
      <c r="K1314" t="s">
        <v>1357</v>
      </c>
      <c r="L1314" t="s">
        <v>1357</v>
      </c>
    </row>
    <row r="1315" spans="1:14">
      <c r="H1315" t="s">
        <v>3964</v>
      </c>
      <c r="I1315" t="s">
        <v>1357</v>
      </c>
      <c r="J1315" t="s">
        <v>1357</v>
      </c>
      <c r="K1315" t="s">
        <v>1357</v>
      </c>
      <c r="L1315" t="s">
        <v>1357</v>
      </c>
    </row>
    <row r="1316" spans="1:14">
      <c r="H1316" t="s">
        <v>3965</v>
      </c>
      <c r="I1316" t="s">
        <v>1357</v>
      </c>
      <c r="J1316" t="s">
        <v>1357</v>
      </c>
      <c r="K1316" t="s">
        <v>1357</v>
      </c>
      <c r="L1316" t="s">
        <v>1357</v>
      </c>
    </row>
    <row r="1317" spans="1:14">
      <c r="H1317" t="s">
        <v>3966</v>
      </c>
      <c r="I1317" t="s">
        <v>1357</v>
      </c>
      <c r="J1317" t="s">
        <v>1357</v>
      </c>
      <c r="K1317" t="s">
        <v>1357</v>
      </c>
      <c r="L1317" t="s">
        <v>1357</v>
      </c>
    </row>
    <row r="1318" spans="1:14">
      <c r="A1318" t="s">
        <v>1990</v>
      </c>
      <c r="B1318">
        <f>HYPERLINK("https://github.com/apache/commons-math/commit/681943d4f2fac25a5c0bce2f2f7c34171b162471", "681943d4f2fac25a5c0bce2f2f7c34171b162471")</f>
        <v>0</v>
      </c>
      <c r="C1318">
        <f>HYPERLINK("https://github.com/apache/commons-math/commit/1ef23c7fb55f7eafcf2593070a82887d0bce586e", "1ef23c7fb55f7eafcf2593070a82887d0bce586e")</f>
        <v>0</v>
      </c>
      <c r="D1318" t="s">
        <v>2151</v>
      </c>
      <c r="E1318" t="s">
        <v>2279</v>
      </c>
      <c r="F1318" t="s">
        <v>2613</v>
      </c>
      <c r="G1318" t="s">
        <v>3049</v>
      </c>
      <c r="H1318" t="s">
        <v>3855</v>
      </c>
      <c r="I1318" t="s">
        <v>1358</v>
      </c>
      <c r="J1318" t="s">
        <v>1358</v>
      </c>
      <c r="K1318" t="s">
        <v>1358</v>
      </c>
      <c r="L1318" t="s">
        <v>1358</v>
      </c>
      <c r="N1318" t="s">
        <v>5109</v>
      </c>
    </row>
    <row r="1319" spans="1:14">
      <c r="F1319" t="s">
        <v>2614</v>
      </c>
      <c r="G1319" t="s">
        <v>3050</v>
      </c>
      <c r="H1319" t="s">
        <v>3855</v>
      </c>
      <c r="I1319" t="s">
        <v>1358</v>
      </c>
      <c r="J1319" t="s">
        <v>1358</v>
      </c>
      <c r="K1319" t="s">
        <v>1358</v>
      </c>
      <c r="L1319" t="s">
        <v>1358</v>
      </c>
      <c r="N1319" t="s">
        <v>5109</v>
      </c>
    </row>
    <row r="1320" spans="1:14">
      <c r="A1320" t="s">
        <v>1991</v>
      </c>
      <c r="B1320">
        <f>HYPERLINK("https://github.com/apache/commons-math/commit/7dabaab1130b8ca475f7e1e5ab8fa5f155081004", "7dabaab1130b8ca475f7e1e5ab8fa5f155081004")</f>
        <v>0</v>
      </c>
      <c r="C1320">
        <f>HYPERLINK("https://github.com/apache/commons-math/commit/97b440fc8e6ce8129bc2c32f23ac4d43a5d012fa", "97b440fc8e6ce8129bc2c32f23ac4d43a5d012fa")</f>
        <v>0</v>
      </c>
      <c r="D1320" t="s">
        <v>2146</v>
      </c>
      <c r="E1320" t="s">
        <v>2280</v>
      </c>
      <c r="F1320" t="s">
        <v>2615</v>
      </c>
      <c r="G1320" t="s">
        <v>2917</v>
      </c>
      <c r="H1320" t="s">
        <v>3967</v>
      </c>
      <c r="I1320" t="s">
        <v>1357</v>
      </c>
      <c r="J1320" t="s">
        <v>1357</v>
      </c>
      <c r="K1320" t="s">
        <v>1357</v>
      </c>
      <c r="L1320" t="s">
        <v>1357</v>
      </c>
      <c r="N1320" t="s">
        <v>5102</v>
      </c>
    </row>
    <row r="1321" spans="1:14">
      <c r="H1321" t="s">
        <v>3968</v>
      </c>
      <c r="I1321" t="s">
        <v>1357</v>
      </c>
      <c r="J1321" t="s">
        <v>1357</v>
      </c>
      <c r="K1321" t="s">
        <v>1357</v>
      </c>
      <c r="L1321" t="s">
        <v>1357</v>
      </c>
    </row>
    <row r="1322" spans="1:14">
      <c r="A1322" t="s">
        <v>1992</v>
      </c>
      <c r="B1322">
        <f>HYPERLINK("https://github.com/apache/commons-math/commit/036ba4efec117f5d4598ce2cdecd99833a65208b", "036ba4efec117f5d4598ce2cdecd99833a65208b")</f>
        <v>0</v>
      </c>
      <c r="C1322">
        <f>HYPERLINK("https://github.com/apache/commons-math/commit/cbb10701a763a000b4311ec290baae0ee2732ac0", "cbb10701a763a000b4311ec290baae0ee2732ac0")</f>
        <v>0</v>
      </c>
      <c r="D1322" t="s">
        <v>2148</v>
      </c>
      <c r="E1322" t="s">
        <v>2281</v>
      </c>
      <c r="F1322" t="s">
        <v>2604</v>
      </c>
      <c r="G1322" t="s">
        <v>2914</v>
      </c>
      <c r="H1322" t="s">
        <v>795</v>
      </c>
      <c r="I1322" t="s">
        <v>1357</v>
      </c>
      <c r="J1322" t="s">
        <v>1357</v>
      </c>
      <c r="K1322" t="s">
        <v>1357</v>
      </c>
      <c r="L1322" t="s">
        <v>1357</v>
      </c>
    </row>
    <row r="1323" spans="1:14">
      <c r="H1323" t="s">
        <v>3284</v>
      </c>
      <c r="I1323" t="s">
        <v>1357</v>
      </c>
      <c r="J1323" t="s">
        <v>1357</v>
      </c>
      <c r="K1323" t="s">
        <v>1357</v>
      </c>
      <c r="L1323" t="s">
        <v>1357</v>
      </c>
    </row>
    <row r="1324" spans="1:14">
      <c r="A1324" t="s">
        <v>1993</v>
      </c>
      <c r="B1324">
        <f>HYPERLINK("https://github.com/apache/commons-math/commit/76b57cddf3d0a4d0b2881e8343b7bee2a505d714", "76b57cddf3d0a4d0b2881e8343b7bee2a505d714")</f>
        <v>0</v>
      </c>
      <c r="C1324">
        <f>HYPERLINK("https://github.com/apache/commons-math/commit/2059461aff27d0937ab313e1787493dfa6d65f1b", "2059461aff27d0937ab313e1787493dfa6d65f1b")</f>
        <v>0</v>
      </c>
      <c r="D1324" t="s">
        <v>2148</v>
      </c>
      <c r="E1324" t="s">
        <v>2282</v>
      </c>
      <c r="F1324" t="s">
        <v>2605</v>
      </c>
      <c r="G1324" t="s">
        <v>2911</v>
      </c>
      <c r="H1324" t="s">
        <v>795</v>
      </c>
      <c r="I1324" t="s">
        <v>1357</v>
      </c>
      <c r="J1324" t="s">
        <v>1357</v>
      </c>
      <c r="K1324" t="s">
        <v>1357</v>
      </c>
      <c r="L1324" t="s">
        <v>1357</v>
      </c>
    </row>
    <row r="1325" spans="1:14">
      <c r="H1325" t="s">
        <v>3284</v>
      </c>
      <c r="I1325" t="s">
        <v>1357</v>
      </c>
      <c r="J1325" t="s">
        <v>1357</v>
      </c>
      <c r="K1325" t="s">
        <v>1357</v>
      </c>
      <c r="L1325" t="s">
        <v>1357</v>
      </c>
    </row>
    <row r="1326" spans="1:14">
      <c r="A1326" t="s">
        <v>1994</v>
      </c>
      <c r="B1326">
        <f>HYPERLINK("https://github.com/apache/commons-math/commit/54364e6b57c0f38b2ec461d52f58a0ab1d5ccbb6", "54364e6b57c0f38b2ec461d52f58a0ab1d5ccbb6")</f>
        <v>0</v>
      </c>
      <c r="C1326">
        <f>HYPERLINK("https://github.com/apache/commons-math/commit/0b3440441bcdd8d0707cb60d1ede688840c9cbe2", "0b3440441bcdd8d0707cb60d1ede688840c9cbe2")</f>
        <v>0</v>
      </c>
      <c r="D1326" t="s">
        <v>2151</v>
      </c>
      <c r="E1326" t="s">
        <v>2283</v>
      </c>
      <c r="F1326" t="s">
        <v>2616</v>
      </c>
      <c r="G1326" t="s">
        <v>3051</v>
      </c>
      <c r="H1326" t="s">
        <v>3969</v>
      </c>
      <c r="I1326" t="s">
        <v>1358</v>
      </c>
      <c r="J1326" t="s">
        <v>1358</v>
      </c>
      <c r="K1326" t="s">
        <v>1358</v>
      </c>
      <c r="L1326" t="s">
        <v>1358</v>
      </c>
      <c r="N1326" t="s">
        <v>1363</v>
      </c>
    </row>
    <row r="1327" spans="1:14">
      <c r="H1327" t="s">
        <v>3970</v>
      </c>
      <c r="I1327" t="s">
        <v>1358</v>
      </c>
      <c r="J1327" t="s">
        <v>1358</v>
      </c>
      <c r="K1327" t="s">
        <v>1358</v>
      </c>
      <c r="L1327" t="s">
        <v>1358</v>
      </c>
      <c r="N1327" t="s">
        <v>1363</v>
      </c>
    </row>
    <row r="1328" spans="1:14">
      <c r="A1328" t="s">
        <v>1995</v>
      </c>
      <c r="B1328">
        <f>HYPERLINK("https://github.com/apache/commons-math/commit/41c29f826daf9acd24a0ff86cd279f6c3d56d893", "41c29f826daf9acd24a0ff86cd279f6c3d56d893")</f>
        <v>0</v>
      </c>
      <c r="C1328">
        <f>HYPERLINK("https://github.com/apache/commons-math/commit/54364e6b57c0f38b2ec461d52f58a0ab1d5ccbb6", "54364e6b57c0f38b2ec461d52f58a0ab1d5ccbb6")</f>
        <v>0</v>
      </c>
      <c r="D1328" t="s">
        <v>2151</v>
      </c>
      <c r="E1328" t="s">
        <v>2284</v>
      </c>
      <c r="F1328" t="s">
        <v>2597</v>
      </c>
      <c r="G1328" t="s">
        <v>2939</v>
      </c>
      <c r="H1328" t="s">
        <v>3637</v>
      </c>
      <c r="I1328" t="s">
        <v>1357</v>
      </c>
      <c r="J1328" t="s">
        <v>1357</v>
      </c>
      <c r="K1328" t="s">
        <v>1357</v>
      </c>
      <c r="L1328" t="s">
        <v>1357</v>
      </c>
    </row>
    <row r="1329" spans="1:12">
      <c r="H1329" t="s">
        <v>3638</v>
      </c>
      <c r="I1329" t="s">
        <v>1357</v>
      </c>
      <c r="J1329" t="s">
        <v>1357</v>
      </c>
      <c r="K1329" t="s">
        <v>1357</v>
      </c>
      <c r="L1329" t="s">
        <v>1357</v>
      </c>
    </row>
    <row r="1330" spans="1:12">
      <c r="H1330" t="s">
        <v>3660</v>
      </c>
      <c r="I1330" t="s">
        <v>1357</v>
      </c>
      <c r="J1330" t="s">
        <v>1357</v>
      </c>
      <c r="K1330" t="s">
        <v>1357</v>
      </c>
      <c r="L1330" t="s">
        <v>1357</v>
      </c>
    </row>
    <row r="1331" spans="1:12">
      <c r="H1331" t="s">
        <v>3661</v>
      </c>
      <c r="I1331" t="s">
        <v>1357</v>
      </c>
      <c r="J1331" t="s">
        <v>1357</v>
      </c>
      <c r="K1331" t="s">
        <v>1357</v>
      </c>
      <c r="L1331" t="s">
        <v>1357</v>
      </c>
    </row>
    <row r="1332" spans="1:12">
      <c r="A1332" t="s">
        <v>1996</v>
      </c>
      <c r="B1332">
        <f>HYPERLINK("https://github.com/apache/commons-math/commit/dadf9a70a0b6ea61e537678cce8277cbe2e4f60c", "dadf9a70a0b6ea61e537678cce8277cbe2e4f60c")</f>
        <v>0</v>
      </c>
      <c r="C1332">
        <f>HYPERLINK("https://github.com/apache/commons-math/commit/3d866e964d95665e71bfec24c5600ce0945695c9", "3d866e964d95665e71bfec24c5600ce0945695c9")</f>
        <v>0</v>
      </c>
      <c r="D1332" t="s">
        <v>155</v>
      </c>
      <c r="E1332" t="s">
        <v>2285</v>
      </c>
      <c r="F1332" t="s">
        <v>2617</v>
      </c>
      <c r="G1332" t="s">
        <v>3052</v>
      </c>
      <c r="H1332" t="s">
        <v>3880</v>
      </c>
      <c r="I1332" t="s">
        <v>1358</v>
      </c>
      <c r="J1332" t="s">
        <v>1358</v>
      </c>
      <c r="K1332" t="s">
        <v>1358</v>
      </c>
      <c r="L1332" t="s">
        <v>1358</v>
      </c>
    </row>
    <row r="1333" spans="1:12">
      <c r="A1333" t="s">
        <v>1997</v>
      </c>
      <c r="B1333">
        <f>HYPERLINK("https://github.com/apache/commons-math/commit/02d7cea111cfe0bebba42d1c030dadd1b82036db", "02d7cea111cfe0bebba42d1c030dadd1b82036db")</f>
        <v>0</v>
      </c>
      <c r="C1333">
        <f>HYPERLINK("https://github.com/apache/commons-math/commit/faa7785779c79578e38336853cb9de5abfae4813", "faa7785779c79578e38336853cb9de5abfae4813")</f>
        <v>0</v>
      </c>
      <c r="D1333" t="s">
        <v>2152</v>
      </c>
      <c r="E1333" t="s">
        <v>2286</v>
      </c>
      <c r="F1333" t="s">
        <v>2618</v>
      </c>
      <c r="G1333" t="s">
        <v>3053</v>
      </c>
      <c r="H1333" t="s">
        <v>3971</v>
      </c>
      <c r="I1333" t="s">
        <v>1357</v>
      </c>
      <c r="J1333" t="s">
        <v>1357</v>
      </c>
      <c r="K1333" t="s">
        <v>1357</v>
      </c>
      <c r="L1333" t="s">
        <v>1357</v>
      </c>
    </row>
    <row r="1334" spans="1:12">
      <c r="H1334" t="s">
        <v>3972</v>
      </c>
      <c r="I1334" t="s">
        <v>1357</v>
      </c>
      <c r="J1334" t="s">
        <v>1357</v>
      </c>
      <c r="K1334" t="s">
        <v>1357</v>
      </c>
      <c r="L1334" t="s">
        <v>1357</v>
      </c>
    </row>
    <row r="1335" spans="1:12">
      <c r="F1335" t="s">
        <v>2619</v>
      </c>
      <c r="G1335" t="s">
        <v>3054</v>
      </c>
      <c r="H1335" t="s">
        <v>3973</v>
      </c>
      <c r="I1335" t="s">
        <v>1357</v>
      </c>
      <c r="J1335" t="s">
        <v>1357</v>
      </c>
      <c r="K1335" t="s">
        <v>1357</v>
      </c>
      <c r="L1335" t="s">
        <v>1357</v>
      </c>
    </row>
    <row r="1336" spans="1:12">
      <c r="A1336" t="s">
        <v>1998</v>
      </c>
      <c r="B1336">
        <f>HYPERLINK("https://github.com/apache/commons-math/commit/9c8bb93443a6e5c2e1261dc5780ebb3f20bcbd58", "9c8bb93443a6e5c2e1261dc5780ebb3f20bcbd58")</f>
        <v>0</v>
      </c>
      <c r="C1336">
        <f>HYPERLINK("https://github.com/apache/commons-math/commit/0093f7b0a2a9e06ec5b5e1e551676269171c3e3d", "0093f7b0a2a9e06ec5b5e1e551676269171c3e3d")</f>
        <v>0</v>
      </c>
      <c r="D1336" t="s">
        <v>2146</v>
      </c>
      <c r="E1336" t="s">
        <v>2287</v>
      </c>
      <c r="F1336" t="s">
        <v>2531</v>
      </c>
      <c r="G1336" t="s">
        <v>2924</v>
      </c>
      <c r="H1336" t="s">
        <v>3417</v>
      </c>
      <c r="I1336" t="s">
        <v>1358</v>
      </c>
      <c r="J1336" t="s">
        <v>1358</v>
      </c>
      <c r="K1336" t="s">
        <v>1358</v>
      </c>
      <c r="L1336" t="s">
        <v>1358</v>
      </c>
    </row>
    <row r="1337" spans="1:12">
      <c r="F1337" t="s">
        <v>2620</v>
      </c>
      <c r="G1337" t="s">
        <v>3055</v>
      </c>
      <c r="H1337" t="s">
        <v>3412</v>
      </c>
      <c r="I1337" t="s">
        <v>1358</v>
      </c>
      <c r="J1337" t="s">
        <v>1358</v>
      </c>
      <c r="K1337" t="s">
        <v>1358</v>
      </c>
      <c r="L1337" t="s">
        <v>1358</v>
      </c>
    </row>
    <row r="1338" spans="1:12">
      <c r="H1338" t="s">
        <v>3413</v>
      </c>
      <c r="I1338" t="s">
        <v>1358</v>
      </c>
      <c r="J1338" t="s">
        <v>1358</v>
      </c>
      <c r="K1338" t="s">
        <v>1358</v>
      </c>
      <c r="L1338" t="s">
        <v>1358</v>
      </c>
    </row>
    <row r="1339" spans="1:12">
      <c r="A1339" t="s">
        <v>1999</v>
      </c>
      <c r="B1339">
        <f>HYPERLINK("https://github.com/apache/commons-math/commit/47bbab88146a4268f0614d87ebbd242c5294f252", "47bbab88146a4268f0614d87ebbd242c5294f252")</f>
        <v>0</v>
      </c>
      <c r="C1339">
        <f>HYPERLINK("https://github.com/apache/commons-math/commit/99c798e46ffa6d6be36af8b05248b42abd6fd6da", "99c798e46ffa6d6be36af8b05248b42abd6fd6da")</f>
        <v>0</v>
      </c>
      <c r="D1339" t="s">
        <v>2152</v>
      </c>
      <c r="E1339" t="s">
        <v>2288</v>
      </c>
      <c r="F1339" t="s">
        <v>2621</v>
      </c>
      <c r="G1339" t="s">
        <v>3056</v>
      </c>
      <c r="H1339" t="s">
        <v>3974</v>
      </c>
      <c r="I1339" t="s">
        <v>1359</v>
      </c>
      <c r="J1339" t="s">
        <v>1358</v>
      </c>
      <c r="K1339" t="s">
        <v>1358</v>
      </c>
      <c r="L1339" t="s">
        <v>1357</v>
      </c>
    </row>
    <row r="1340" spans="1:12">
      <c r="A1340" t="s">
        <v>2000</v>
      </c>
      <c r="B1340">
        <f>HYPERLINK("https://github.com/apache/commons-math/commit/dee1c0d70b774902bbfab9f5eb05e5d77066a8be", "dee1c0d70b774902bbfab9f5eb05e5d77066a8be")</f>
        <v>0</v>
      </c>
      <c r="C1340">
        <f>HYPERLINK("https://github.com/apache/commons-math/commit/49c39e7d1cee0df36e13ed67719ea12320005d7f", "49c39e7d1cee0df36e13ed67719ea12320005d7f")</f>
        <v>0</v>
      </c>
      <c r="D1340" t="s">
        <v>2152</v>
      </c>
      <c r="E1340" t="s">
        <v>2289</v>
      </c>
      <c r="F1340" t="s">
        <v>2621</v>
      </c>
      <c r="G1340" t="s">
        <v>3056</v>
      </c>
      <c r="H1340" t="s">
        <v>3975</v>
      </c>
      <c r="I1340" t="s">
        <v>1359</v>
      </c>
      <c r="J1340" t="s">
        <v>1358</v>
      </c>
      <c r="K1340" t="s">
        <v>1358</v>
      </c>
      <c r="L1340" t="s">
        <v>1357</v>
      </c>
    </row>
    <row r="1341" spans="1:12">
      <c r="H1341" t="s">
        <v>3976</v>
      </c>
      <c r="I1341" t="s">
        <v>1357</v>
      </c>
      <c r="J1341" t="s">
        <v>1357</v>
      </c>
      <c r="K1341" t="s">
        <v>1357</v>
      </c>
      <c r="L1341" t="s">
        <v>1357</v>
      </c>
    </row>
    <row r="1342" spans="1:12">
      <c r="H1342" t="s">
        <v>3977</v>
      </c>
      <c r="I1342" t="s">
        <v>1357</v>
      </c>
      <c r="J1342" t="s">
        <v>1357</v>
      </c>
      <c r="K1342" t="s">
        <v>1357</v>
      </c>
      <c r="L1342" t="s">
        <v>1357</v>
      </c>
    </row>
    <row r="1343" spans="1:12">
      <c r="H1343" t="s">
        <v>3978</v>
      </c>
      <c r="I1343" t="s">
        <v>1357</v>
      </c>
      <c r="J1343" t="s">
        <v>1357</v>
      </c>
      <c r="K1343" t="s">
        <v>1357</v>
      </c>
      <c r="L1343" t="s">
        <v>1357</v>
      </c>
    </row>
    <row r="1344" spans="1:12">
      <c r="H1344" t="s">
        <v>3979</v>
      </c>
      <c r="I1344" t="s">
        <v>1357</v>
      </c>
      <c r="J1344" t="s">
        <v>1357</v>
      </c>
      <c r="K1344" t="s">
        <v>1357</v>
      </c>
      <c r="L1344" t="s">
        <v>1357</v>
      </c>
    </row>
    <row r="1345" spans="8:14">
      <c r="H1345" t="s">
        <v>3980</v>
      </c>
      <c r="I1345" t="s">
        <v>1357</v>
      </c>
      <c r="J1345" t="s">
        <v>1357</v>
      </c>
      <c r="K1345" t="s">
        <v>1357</v>
      </c>
      <c r="L1345" t="s">
        <v>1357</v>
      </c>
    </row>
    <row r="1346" spans="8:14">
      <c r="H1346" t="s">
        <v>3981</v>
      </c>
      <c r="I1346" t="s">
        <v>1357</v>
      </c>
      <c r="J1346" t="s">
        <v>1357</v>
      </c>
      <c r="K1346" t="s">
        <v>1357</v>
      </c>
      <c r="L1346" t="s">
        <v>1357</v>
      </c>
    </row>
    <row r="1347" spans="8:14">
      <c r="H1347" t="s">
        <v>3982</v>
      </c>
      <c r="I1347" t="s">
        <v>1357</v>
      </c>
      <c r="J1347" t="s">
        <v>1357</v>
      </c>
      <c r="K1347" t="s">
        <v>1357</v>
      </c>
      <c r="L1347" t="s">
        <v>1357</v>
      </c>
    </row>
    <row r="1348" spans="8:14">
      <c r="H1348" t="s">
        <v>3983</v>
      </c>
      <c r="I1348" t="s">
        <v>1357</v>
      </c>
      <c r="J1348" t="s">
        <v>1357</v>
      </c>
      <c r="K1348" t="s">
        <v>1357</v>
      </c>
      <c r="L1348" t="s">
        <v>1357</v>
      </c>
    </row>
    <row r="1349" spans="8:14">
      <c r="H1349" t="s">
        <v>3984</v>
      </c>
      <c r="I1349" t="s">
        <v>1357</v>
      </c>
      <c r="J1349" t="s">
        <v>1357</v>
      </c>
      <c r="K1349" t="s">
        <v>1357</v>
      </c>
      <c r="L1349" t="s">
        <v>1357</v>
      </c>
    </row>
    <row r="1350" spans="8:14">
      <c r="H1350" t="s">
        <v>3985</v>
      </c>
      <c r="I1350" t="s">
        <v>1357</v>
      </c>
      <c r="J1350" t="s">
        <v>1357</v>
      </c>
      <c r="K1350" t="s">
        <v>1357</v>
      </c>
      <c r="L1350" t="s">
        <v>1357</v>
      </c>
    </row>
    <row r="1351" spans="8:14">
      <c r="H1351" t="s">
        <v>3986</v>
      </c>
      <c r="I1351" t="s">
        <v>1357</v>
      </c>
      <c r="J1351" t="s">
        <v>1357</v>
      </c>
      <c r="K1351" t="s">
        <v>1357</v>
      </c>
      <c r="L1351" t="s">
        <v>1357</v>
      </c>
    </row>
    <row r="1352" spans="8:14">
      <c r="H1352" t="s">
        <v>3987</v>
      </c>
      <c r="I1352" t="s">
        <v>1357</v>
      </c>
      <c r="J1352" t="s">
        <v>1357</v>
      </c>
      <c r="K1352" t="s">
        <v>1357</v>
      </c>
      <c r="L1352" t="s">
        <v>1357</v>
      </c>
    </row>
    <row r="1353" spans="8:14">
      <c r="H1353" t="s">
        <v>3988</v>
      </c>
      <c r="I1353" t="s">
        <v>1357</v>
      </c>
      <c r="J1353" t="s">
        <v>1357</v>
      </c>
      <c r="K1353" t="s">
        <v>1357</v>
      </c>
      <c r="L1353" t="s">
        <v>1357</v>
      </c>
    </row>
    <row r="1354" spans="8:14">
      <c r="H1354" t="s">
        <v>3989</v>
      </c>
      <c r="I1354" t="s">
        <v>1357</v>
      </c>
      <c r="J1354" t="s">
        <v>1357</v>
      </c>
      <c r="K1354" t="s">
        <v>1357</v>
      </c>
      <c r="L1354" t="s">
        <v>1357</v>
      </c>
    </row>
    <row r="1355" spans="8:14">
      <c r="H1355" t="s">
        <v>3990</v>
      </c>
      <c r="I1355" t="s">
        <v>1357</v>
      </c>
      <c r="J1355" t="s">
        <v>1357</v>
      </c>
      <c r="K1355" t="s">
        <v>1357</v>
      </c>
      <c r="L1355" t="s">
        <v>1357</v>
      </c>
    </row>
    <row r="1356" spans="8:14">
      <c r="H1356" t="s">
        <v>3991</v>
      </c>
      <c r="I1356" t="s">
        <v>1357</v>
      </c>
      <c r="J1356" t="s">
        <v>1357</v>
      </c>
      <c r="K1356" t="s">
        <v>1357</v>
      </c>
      <c r="L1356" t="s">
        <v>1357</v>
      </c>
    </row>
    <row r="1357" spans="8:14">
      <c r="H1357" t="s">
        <v>3992</v>
      </c>
      <c r="I1357" t="s">
        <v>1357</v>
      </c>
      <c r="J1357" t="s">
        <v>1357</v>
      </c>
      <c r="K1357" t="s">
        <v>1357</v>
      </c>
      <c r="L1357" t="s">
        <v>1357</v>
      </c>
    </row>
    <row r="1358" spans="8:14">
      <c r="H1358" t="s">
        <v>3993</v>
      </c>
      <c r="I1358" t="s">
        <v>1359</v>
      </c>
      <c r="J1358" t="s">
        <v>1358</v>
      </c>
      <c r="K1358" t="s">
        <v>1357</v>
      </c>
      <c r="L1358" t="s">
        <v>1358</v>
      </c>
      <c r="N1358" t="s">
        <v>1369</v>
      </c>
    </row>
    <row r="1359" spans="8:14">
      <c r="H1359" t="s">
        <v>3994</v>
      </c>
      <c r="I1359" t="s">
        <v>1357</v>
      </c>
      <c r="J1359" t="s">
        <v>1357</v>
      </c>
      <c r="K1359" t="s">
        <v>1357</v>
      </c>
      <c r="L1359" t="s">
        <v>1357</v>
      </c>
    </row>
    <row r="1360" spans="8:14">
      <c r="H1360" t="s">
        <v>3995</v>
      </c>
      <c r="I1360" t="s">
        <v>1357</v>
      </c>
      <c r="J1360" t="s">
        <v>1357</v>
      </c>
      <c r="K1360" t="s">
        <v>1357</v>
      </c>
      <c r="L1360" t="s">
        <v>1357</v>
      </c>
    </row>
    <row r="1361" spans="1:13">
      <c r="H1361" t="s">
        <v>3996</v>
      </c>
      <c r="I1361" t="s">
        <v>1359</v>
      </c>
      <c r="J1361" t="s">
        <v>1358</v>
      </c>
      <c r="K1361" t="s">
        <v>1357</v>
      </c>
      <c r="L1361" t="s">
        <v>1358</v>
      </c>
    </row>
    <row r="1362" spans="1:13">
      <c r="A1362" t="s">
        <v>2001</v>
      </c>
      <c r="B1362">
        <f>HYPERLINK("https://github.com/apache/commons-math/commit/fb761ffb51ba1436163b094255b6af40bf69bd83", "fb761ffb51ba1436163b094255b6af40bf69bd83")</f>
        <v>0</v>
      </c>
      <c r="C1362">
        <f>HYPERLINK("https://github.com/apache/commons-math/commit/29e63593995f59f93441f08912c0fb3f67184425", "29e63593995f59f93441f08912c0fb3f67184425")</f>
        <v>0</v>
      </c>
      <c r="D1362" t="s">
        <v>2152</v>
      </c>
      <c r="E1362" t="s">
        <v>2290</v>
      </c>
      <c r="F1362" t="s">
        <v>2622</v>
      </c>
      <c r="G1362" t="s">
        <v>3057</v>
      </c>
      <c r="H1362" t="s">
        <v>3997</v>
      </c>
      <c r="I1362" t="s">
        <v>1357</v>
      </c>
      <c r="J1362" t="s">
        <v>1357</v>
      </c>
      <c r="K1362" t="s">
        <v>1357</v>
      </c>
      <c r="L1362" t="s">
        <v>1357</v>
      </c>
    </row>
    <row r="1363" spans="1:13">
      <c r="F1363" t="s">
        <v>2623</v>
      </c>
      <c r="G1363" t="s">
        <v>3058</v>
      </c>
      <c r="H1363" t="s">
        <v>3998</v>
      </c>
      <c r="I1363" t="s">
        <v>1357</v>
      </c>
      <c r="J1363" t="s">
        <v>1357</v>
      </c>
      <c r="K1363" t="s">
        <v>1357</v>
      </c>
      <c r="L1363" t="s">
        <v>1357</v>
      </c>
    </row>
    <row r="1364" spans="1:13">
      <c r="H1364" t="s">
        <v>3999</v>
      </c>
      <c r="I1364" t="s">
        <v>1357</v>
      </c>
      <c r="J1364" t="s">
        <v>1357</v>
      </c>
      <c r="K1364" t="s">
        <v>1357</v>
      </c>
      <c r="L1364" t="s">
        <v>1357</v>
      </c>
    </row>
    <row r="1365" spans="1:13">
      <c r="H1365" t="s">
        <v>4000</v>
      </c>
      <c r="I1365" t="s">
        <v>1357</v>
      </c>
      <c r="J1365" t="s">
        <v>1357</v>
      </c>
      <c r="K1365" t="s">
        <v>1357</v>
      </c>
      <c r="L1365" t="s">
        <v>1357</v>
      </c>
    </row>
    <row r="1366" spans="1:13">
      <c r="H1366" t="s">
        <v>4001</v>
      </c>
      <c r="I1366" t="s">
        <v>1357</v>
      </c>
      <c r="J1366" t="s">
        <v>1357</v>
      </c>
      <c r="K1366" t="s">
        <v>1357</v>
      </c>
      <c r="L1366" t="s">
        <v>1357</v>
      </c>
      <c r="M1366" t="s">
        <v>1365</v>
      </c>
    </row>
    <row r="1367" spans="1:13">
      <c r="H1367" t="s">
        <v>4002</v>
      </c>
      <c r="I1367" t="s">
        <v>1357</v>
      </c>
      <c r="J1367" t="s">
        <v>1357</v>
      </c>
      <c r="K1367" t="s">
        <v>1357</v>
      </c>
      <c r="L1367" t="s">
        <v>1357</v>
      </c>
    </row>
    <row r="1368" spans="1:13">
      <c r="H1368" t="s">
        <v>4003</v>
      </c>
      <c r="I1368" t="s">
        <v>1357</v>
      </c>
      <c r="J1368" t="s">
        <v>1357</v>
      </c>
      <c r="K1368" t="s">
        <v>1357</v>
      </c>
      <c r="L1368" t="s">
        <v>1357</v>
      </c>
    </row>
    <row r="1369" spans="1:13">
      <c r="A1369" t="s">
        <v>2002</v>
      </c>
      <c r="B1369">
        <f>HYPERLINK("https://github.com/apache/commons-math/commit/98c3f3b4cf9ba74a35216969d741c28e533f862a", "98c3f3b4cf9ba74a35216969d741c28e533f862a")</f>
        <v>0</v>
      </c>
      <c r="C1369">
        <f>HYPERLINK("https://github.com/apache/commons-math/commit/d429505103865e9f92c4c21d1a5d51eab35d7733", "d429505103865e9f92c4c21d1a5d51eab35d7733")</f>
        <v>0</v>
      </c>
      <c r="D1369" t="s">
        <v>2151</v>
      </c>
      <c r="E1369" t="s">
        <v>2291</v>
      </c>
      <c r="F1369" t="s">
        <v>2606</v>
      </c>
      <c r="G1369" t="s">
        <v>2912</v>
      </c>
      <c r="H1369" t="s">
        <v>795</v>
      </c>
      <c r="I1369" t="s">
        <v>1357</v>
      </c>
      <c r="J1369" t="s">
        <v>1357</v>
      </c>
      <c r="K1369" t="s">
        <v>1357</v>
      </c>
      <c r="L1369" t="s">
        <v>1357</v>
      </c>
    </row>
    <row r="1370" spans="1:13">
      <c r="H1370" t="s">
        <v>3284</v>
      </c>
      <c r="I1370" t="s">
        <v>1357</v>
      </c>
      <c r="J1370" t="s">
        <v>1357</v>
      </c>
      <c r="K1370" t="s">
        <v>1357</v>
      </c>
      <c r="L1370" t="s">
        <v>1357</v>
      </c>
    </row>
    <row r="1371" spans="1:13">
      <c r="H1371" t="s">
        <v>1016</v>
      </c>
      <c r="I1371" t="s">
        <v>1357</v>
      </c>
      <c r="J1371" t="s">
        <v>1357</v>
      </c>
      <c r="K1371" t="s">
        <v>1357</v>
      </c>
      <c r="L1371" t="s">
        <v>1357</v>
      </c>
    </row>
    <row r="1372" spans="1:13">
      <c r="H1372" t="s">
        <v>906</v>
      </c>
      <c r="I1372" t="s">
        <v>1357</v>
      </c>
      <c r="J1372" t="s">
        <v>1357</v>
      </c>
      <c r="K1372" t="s">
        <v>1357</v>
      </c>
      <c r="L1372" t="s">
        <v>1357</v>
      </c>
    </row>
    <row r="1373" spans="1:13">
      <c r="A1373" t="s">
        <v>2003</v>
      </c>
      <c r="B1373">
        <f>HYPERLINK("https://github.com/apache/commons-math/commit/ef6887f87037cce8f72c6beb233cca8b9b959ff8", "ef6887f87037cce8f72c6beb233cca8b9b959ff8")</f>
        <v>0</v>
      </c>
      <c r="C1373">
        <f>HYPERLINK("https://github.com/apache/commons-math/commit/abb99f4d0d0033ce3bf5f119b6c77a872efa54a5", "abb99f4d0d0033ce3bf5f119b6c77a872efa54a5")</f>
        <v>0</v>
      </c>
      <c r="D1373" t="s">
        <v>2153</v>
      </c>
      <c r="E1373" t="s">
        <v>2292</v>
      </c>
      <c r="F1373" t="s">
        <v>2624</v>
      </c>
      <c r="G1373" t="s">
        <v>3059</v>
      </c>
      <c r="H1373" t="s">
        <v>4004</v>
      </c>
      <c r="I1373" t="s">
        <v>1357</v>
      </c>
      <c r="J1373" t="s">
        <v>1357</v>
      </c>
      <c r="K1373" t="s">
        <v>1357</v>
      </c>
      <c r="L1373" t="s">
        <v>1357</v>
      </c>
    </row>
    <row r="1374" spans="1:13">
      <c r="H1374" t="s">
        <v>4005</v>
      </c>
      <c r="I1374" t="s">
        <v>1359</v>
      </c>
      <c r="J1374" t="s">
        <v>1358</v>
      </c>
      <c r="K1374" t="s">
        <v>1358</v>
      </c>
      <c r="L1374" t="s">
        <v>1357</v>
      </c>
    </row>
    <row r="1375" spans="1:13">
      <c r="A1375" t="s">
        <v>2004</v>
      </c>
      <c r="B1375">
        <f>HYPERLINK("https://github.com/apache/commons-math/commit/f12bb6ddd56aa33a7f883b67c254ab1edaeadcc9", "f12bb6ddd56aa33a7f883b67c254ab1edaeadcc9")</f>
        <v>0</v>
      </c>
      <c r="C1375">
        <f>HYPERLINK("https://github.com/apache/commons-math/commit/52feb7c331e9dce6df9c0cce119c2cbaa78e821e", "52feb7c331e9dce6df9c0cce119c2cbaa78e821e")</f>
        <v>0</v>
      </c>
      <c r="D1375" t="s">
        <v>2151</v>
      </c>
      <c r="E1375" t="s">
        <v>2293</v>
      </c>
      <c r="F1375" t="s">
        <v>2625</v>
      </c>
      <c r="G1375" t="s">
        <v>3060</v>
      </c>
      <c r="H1375" t="s">
        <v>3391</v>
      </c>
      <c r="I1375" t="s">
        <v>1357</v>
      </c>
      <c r="J1375" t="s">
        <v>1357</v>
      </c>
      <c r="K1375" t="s">
        <v>1357</v>
      </c>
      <c r="L1375" t="s">
        <v>1357</v>
      </c>
    </row>
    <row r="1376" spans="1:13">
      <c r="H1376" t="s">
        <v>4006</v>
      </c>
      <c r="I1376" t="s">
        <v>1357</v>
      </c>
      <c r="J1376" t="s">
        <v>1357</v>
      </c>
      <c r="K1376" t="s">
        <v>1357</v>
      </c>
      <c r="L1376" t="s">
        <v>1357</v>
      </c>
    </row>
    <row r="1377" spans="1:12">
      <c r="H1377" t="s">
        <v>4007</v>
      </c>
      <c r="I1377" t="s">
        <v>1357</v>
      </c>
      <c r="J1377" t="s">
        <v>1357</v>
      </c>
      <c r="K1377" t="s">
        <v>1357</v>
      </c>
      <c r="L1377" t="s">
        <v>1357</v>
      </c>
    </row>
    <row r="1378" spans="1:12">
      <c r="H1378" t="s">
        <v>4008</v>
      </c>
      <c r="I1378" t="s">
        <v>1357</v>
      </c>
      <c r="J1378" t="s">
        <v>1357</v>
      </c>
      <c r="K1378" t="s">
        <v>1357</v>
      </c>
      <c r="L1378" t="s">
        <v>1357</v>
      </c>
    </row>
    <row r="1379" spans="1:12">
      <c r="H1379" t="s">
        <v>4009</v>
      </c>
      <c r="I1379" t="s">
        <v>1357</v>
      </c>
      <c r="J1379" t="s">
        <v>1357</v>
      </c>
      <c r="K1379" t="s">
        <v>1357</v>
      </c>
      <c r="L1379" t="s">
        <v>1357</v>
      </c>
    </row>
    <row r="1380" spans="1:12">
      <c r="H1380" t="s">
        <v>4010</v>
      </c>
      <c r="I1380" t="s">
        <v>1357</v>
      </c>
      <c r="J1380" t="s">
        <v>1357</v>
      </c>
      <c r="K1380" t="s">
        <v>1357</v>
      </c>
      <c r="L1380" t="s">
        <v>1357</v>
      </c>
    </row>
    <row r="1381" spans="1:12">
      <c r="F1381" t="s">
        <v>2626</v>
      </c>
      <c r="G1381" t="s">
        <v>3061</v>
      </c>
      <c r="H1381" t="s">
        <v>3596</v>
      </c>
      <c r="I1381" t="s">
        <v>1357</v>
      </c>
      <c r="J1381" t="s">
        <v>1357</v>
      </c>
      <c r="K1381" t="s">
        <v>1357</v>
      </c>
      <c r="L1381" t="s">
        <v>1357</v>
      </c>
    </row>
    <row r="1382" spans="1:12">
      <c r="H1382" t="s">
        <v>4011</v>
      </c>
      <c r="I1382" t="s">
        <v>1357</v>
      </c>
      <c r="J1382" t="s">
        <v>1357</v>
      </c>
      <c r="K1382" t="s">
        <v>1357</v>
      </c>
      <c r="L1382" t="s">
        <v>1357</v>
      </c>
    </row>
    <row r="1383" spans="1:12">
      <c r="H1383" t="s">
        <v>4012</v>
      </c>
      <c r="I1383" t="s">
        <v>1357</v>
      </c>
      <c r="J1383" t="s">
        <v>1357</v>
      </c>
      <c r="K1383" t="s">
        <v>1357</v>
      </c>
      <c r="L1383" t="s">
        <v>1357</v>
      </c>
    </row>
    <row r="1384" spans="1:12">
      <c r="H1384" t="s">
        <v>3398</v>
      </c>
      <c r="I1384" t="s">
        <v>1357</v>
      </c>
      <c r="J1384" t="s">
        <v>1357</v>
      </c>
      <c r="K1384" t="s">
        <v>1357</v>
      </c>
      <c r="L1384" t="s">
        <v>1357</v>
      </c>
    </row>
    <row r="1385" spans="1:12">
      <c r="H1385" t="s">
        <v>4013</v>
      </c>
      <c r="I1385" t="s">
        <v>1357</v>
      </c>
      <c r="J1385" t="s">
        <v>1357</v>
      </c>
      <c r="K1385" t="s">
        <v>1357</v>
      </c>
      <c r="L1385" t="s">
        <v>1357</v>
      </c>
    </row>
    <row r="1386" spans="1:12">
      <c r="H1386" t="s">
        <v>4014</v>
      </c>
      <c r="I1386" t="s">
        <v>1357</v>
      </c>
      <c r="J1386" t="s">
        <v>1357</v>
      </c>
      <c r="K1386" t="s">
        <v>1357</v>
      </c>
      <c r="L1386" t="s">
        <v>1357</v>
      </c>
    </row>
    <row r="1387" spans="1:12">
      <c r="F1387" t="s">
        <v>2627</v>
      </c>
      <c r="G1387" t="s">
        <v>3062</v>
      </c>
      <c r="H1387" t="s">
        <v>4015</v>
      </c>
      <c r="I1387" t="s">
        <v>1357</v>
      </c>
      <c r="J1387" t="s">
        <v>1357</v>
      </c>
      <c r="K1387" t="s">
        <v>1357</v>
      </c>
      <c r="L1387" t="s">
        <v>1357</v>
      </c>
    </row>
    <row r="1388" spans="1:12">
      <c r="H1388" t="s">
        <v>4016</v>
      </c>
      <c r="I1388" t="s">
        <v>1357</v>
      </c>
      <c r="J1388" t="s">
        <v>1357</v>
      </c>
      <c r="K1388" t="s">
        <v>1357</v>
      </c>
      <c r="L1388" t="s">
        <v>1357</v>
      </c>
    </row>
    <row r="1389" spans="1:12">
      <c r="H1389" t="s">
        <v>4017</v>
      </c>
      <c r="I1389" t="s">
        <v>1357</v>
      </c>
      <c r="J1389" t="s">
        <v>1357</v>
      </c>
      <c r="K1389" t="s">
        <v>1357</v>
      </c>
      <c r="L1389" t="s">
        <v>1357</v>
      </c>
    </row>
    <row r="1390" spans="1:12">
      <c r="H1390" t="s">
        <v>4018</v>
      </c>
      <c r="I1390" t="s">
        <v>1357</v>
      </c>
      <c r="J1390" t="s">
        <v>1357</v>
      </c>
      <c r="K1390" t="s">
        <v>1357</v>
      </c>
      <c r="L1390" t="s">
        <v>1357</v>
      </c>
    </row>
    <row r="1391" spans="1:12">
      <c r="A1391" t="s">
        <v>2005</v>
      </c>
      <c r="B1391">
        <f>HYPERLINK("https://github.com/apache/commons-math/commit/ca6583feb8e6dcd9ff23f9495fef0d22a14ff2d6", "ca6583feb8e6dcd9ff23f9495fef0d22a14ff2d6")</f>
        <v>0</v>
      </c>
      <c r="C1391">
        <f>HYPERLINK("https://github.com/apache/commons-math/commit/8987aa0cfe1bc7c20ad7f4e69250bc696261fc23", "8987aa0cfe1bc7c20ad7f4e69250bc696261fc23")</f>
        <v>0</v>
      </c>
      <c r="D1391" t="s">
        <v>2152</v>
      </c>
      <c r="E1391" t="s">
        <v>2294</v>
      </c>
      <c r="F1391" t="s">
        <v>2628</v>
      </c>
      <c r="G1391" t="s">
        <v>3048</v>
      </c>
      <c r="H1391" t="s">
        <v>4019</v>
      </c>
      <c r="I1391" t="s">
        <v>1357</v>
      </c>
      <c r="J1391" t="s">
        <v>1357</v>
      </c>
      <c r="K1391" t="s">
        <v>1357</v>
      </c>
      <c r="L1391" t="s">
        <v>1357</v>
      </c>
    </row>
    <row r="1392" spans="1:12">
      <c r="F1392" t="s">
        <v>2629</v>
      </c>
      <c r="G1392" t="s">
        <v>3063</v>
      </c>
      <c r="H1392" t="s">
        <v>4020</v>
      </c>
      <c r="I1392" t="s">
        <v>1357</v>
      </c>
      <c r="J1392" t="s">
        <v>1357</v>
      </c>
      <c r="K1392" t="s">
        <v>1357</v>
      </c>
      <c r="L1392" t="s">
        <v>1357</v>
      </c>
    </row>
    <row r="1393" spans="1:14">
      <c r="A1393" t="s">
        <v>2006</v>
      </c>
      <c r="B1393">
        <f>HYPERLINK("https://github.com/apache/commons-math/commit/6b4e87c928fbf0ec7f2c9cbb2eb2e10c8f289094", "6b4e87c928fbf0ec7f2c9cbb2eb2e10c8f289094")</f>
        <v>0</v>
      </c>
      <c r="C1393">
        <f>HYPERLINK("https://github.com/apache/commons-math/commit/83461fe890b57e80fa1aae98ffedde628a06ed35", "83461fe890b57e80fa1aae98ffedde628a06ed35")</f>
        <v>0</v>
      </c>
      <c r="D1393" t="s">
        <v>2152</v>
      </c>
      <c r="E1393" t="s">
        <v>2295</v>
      </c>
      <c r="F1393" t="s">
        <v>2630</v>
      </c>
      <c r="G1393" t="s">
        <v>3064</v>
      </c>
      <c r="H1393" t="s">
        <v>4021</v>
      </c>
      <c r="I1393" t="s">
        <v>1359</v>
      </c>
      <c r="J1393" t="s">
        <v>1358</v>
      </c>
      <c r="K1393" t="s">
        <v>1357</v>
      </c>
      <c r="L1393" t="s">
        <v>1358</v>
      </c>
    </row>
    <row r="1394" spans="1:14">
      <c r="F1394" t="s">
        <v>2631</v>
      </c>
      <c r="G1394" t="s">
        <v>3065</v>
      </c>
      <c r="H1394" t="s">
        <v>904</v>
      </c>
      <c r="I1394" t="s">
        <v>1358</v>
      </c>
      <c r="J1394" t="s">
        <v>1358</v>
      </c>
      <c r="K1394" t="s">
        <v>1358</v>
      </c>
      <c r="L1394" t="s">
        <v>1358</v>
      </c>
    </row>
    <row r="1395" spans="1:14">
      <c r="A1395" t="s">
        <v>2007</v>
      </c>
      <c r="B1395">
        <f>HYPERLINK("https://github.com/apache/commons-math/commit/590934526e933d5a3e121d1b575cc6ebf817f97b", "590934526e933d5a3e121d1b575cc6ebf817f97b")</f>
        <v>0</v>
      </c>
      <c r="C1395">
        <f>HYPERLINK("https://github.com/apache/commons-math/commit/fd40f7a4f6bcd5f712582e0bca4306d0123b8455", "fd40f7a4f6bcd5f712582e0bca4306d0123b8455")</f>
        <v>0</v>
      </c>
      <c r="D1395" t="s">
        <v>2152</v>
      </c>
      <c r="E1395" t="s">
        <v>2296</v>
      </c>
      <c r="F1395" t="s">
        <v>2630</v>
      </c>
      <c r="G1395" t="s">
        <v>3064</v>
      </c>
      <c r="H1395" t="s">
        <v>4022</v>
      </c>
      <c r="I1395" t="s">
        <v>1358</v>
      </c>
      <c r="J1395" t="s">
        <v>1358</v>
      </c>
      <c r="K1395" t="s">
        <v>1358</v>
      </c>
      <c r="L1395" t="s">
        <v>1358</v>
      </c>
    </row>
    <row r="1396" spans="1:14">
      <c r="A1396" t="s">
        <v>2008</v>
      </c>
      <c r="B1396">
        <f>HYPERLINK("https://github.com/apache/commons-math/commit/5e5cb5ec2fefdcd469cfdec9197746acdec46149", "5e5cb5ec2fefdcd469cfdec9197746acdec46149")</f>
        <v>0</v>
      </c>
      <c r="C1396">
        <f>HYPERLINK("https://github.com/apache/commons-math/commit/590934526e933d5a3e121d1b575cc6ebf817f97b", "590934526e933d5a3e121d1b575cc6ebf817f97b")</f>
        <v>0</v>
      </c>
      <c r="D1396" t="s">
        <v>2152</v>
      </c>
      <c r="E1396" t="s">
        <v>2297</v>
      </c>
      <c r="F1396" t="s">
        <v>2631</v>
      </c>
      <c r="G1396" t="s">
        <v>3065</v>
      </c>
      <c r="H1396" t="s">
        <v>902</v>
      </c>
      <c r="I1396" t="s">
        <v>1358</v>
      </c>
      <c r="J1396" t="s">
        <v>1358</v>
      </c>
      <c r="K1396" t="s">
        <v>1358</v>
      </c>
      <c r="L1396" t="s">
        <v>1358</v>
      </c>
    </row>
    <row r="1397" spans="1:14">
      <c r="A1397" t="s">
        <v>2009</v>
      </c>
      <c r="B1397">
        <f>HYPERLINK("https://github.com/apache/commons-math/commit/8071ded100328216b09d3e5aecbfc4f9ccad22de", "8071ded100328216b09d3e5aecbfc4f9ccad22de")</f>
        <v>0</v>
      </c>
      <c r="C1397">
        <f>HYPERLINK("https://github.com/apache/commons-math/commit/5e5cb5ec2fefdcd469cfdec9197746acdec46149", "5e5cb5ec2fefdcd469cfdec9197746acdec46149")</f>
        <v>0</v>
      </c>
      <c r="D1397" t="s">
        <v>2152</v>
      </c>
      <c r="E1397" t="s">
        <v>2298</v>
      </c>
      <c r="F1397" t="s">
        <v>2630</v>
      </c>
      <c r="G1397" t="s">
        <v>3064</v>
      </c>
      <c r="H1397" t="s">
        <v>4023</v>
      </c>
      <c r="I1397" t="s">
        <v>1358</v>
      </c>
      <c r="J1397" t="s">
        <v>1358</v>
      </c>
      <c r="K1397" t="s">
        <v>1358</v>
      </c>
      <c r="L1397" t="s">
        <v>1358</v>
      </c>
    </row>
    <row r="1398" spans="1:14">
      <c r="H1398" t="s">
        <v>4024</v>
      </c>
      <c r="I1398" t="s">
        <v>1358</v>
      </c>
      <c r="J1398" t="s">
        <v>1358</v>
      </c>
      <c r="K1398" t="s">
        <v>1358</v>
      </c>
      <c r="L1398" t="s">
        <v>1358</v>
      </c>
    </row>
    <row r="1399" spans="1:14">
      <c r="H1399" t="s">
        <v>4025</v>
      </c>
      <c r="I1399" t="s">
        <v>1358</v>
      </c>
      <c r="J1399" t="s">
        <v>1358</v>
      </c>
      <c r="K1399" t="s">
        <v>1358</v>
      </c>
      <c r="L1399" t="s">
        <v>1358</v>
      </c>
    </row>
    <row r="1400" spans="1:14">
      <c r="H1400" t="s">
        <v>4026</v>
      </c>
      <c r="I1400" t="s">
        <v>1358</v>
      </c>
      <c r="J1400" t="s">
        <v>1358</v>
      </c>
      <c r="K1400" t="s">
        <v>1358</v>
      </c>
      <c r="L1400" t="s">
        <v>1358</v>
      </c>
    </row>
    <row r="1401" spans="1:14">
      <c r="A1401" t="s">
        <v>2010</v>
      </c>
      <c r="B1401">
        <f>HYPERLINK("https://github.com/apache/commons-math/commit/075a88a074d0db35b2ee4549d7b751d68fb699a6", "075a88a074d0db35b2ee4549d7b751d68fb699a6")</f>
        <v>0</v>
      </c>
      <c r="C1401">
        <f>HYPERLINK("https://github.com/apache/commons-math/commit/8071ded100328216b09d3e5aecbfc4f9ccad22de", "8071ded100328216b09d3e5aecbfc4f9ccad22de")</f>
        <v>0</v>
      </c>
      <c r="D1401" t="s">
        <v>2152</v>
      </c>
      <c r="E1401" t="s">
        <v>2299</v>
      </c>
      <c r="F1401" t="s">
        <v>2630</v>
      </c>
      <c r="G1401" t="s">
        <v>3064</v>
      </c>
      <c r="H1401" t="s">
        <v>4027</v>
      </c>
      <c r="I1401" t="s">
        <v>1358</v>
      </c>
      <c r="J1401" t="s">
        <v>1358</v>
      </c>
      <c r="K1401" t="s">
        <v>1358</v>
      </c>
      <c r="L1401" t="s">
        <v>1358</v>
      </c>
    </row>
    <row r="1402" spans="1:14">
      <c r="F1402" t="s">
        <v>2631</v>
      </c>
      <c r="G1402" t="s">
        <v>3065</v>
      </c>
      <c r="H1402" t="s">
        <v>4027</v>
      </c>
      <c r="I1402" t="s">
        <v>1358</v>
      </c>
      <c r="J1402" t="s">
        <v>1358</v>
      </c>
      <c r="K1402" t="s">
        <v>1358</v>
      </c>
      <c r="L1402" t="s">
        <v>1358</v>
      </c>
      <c r="M1402" t="s">
        <v>5100</v>
      </c>
    </row>
    <row r="1403" spans="1:14">
      <c r="A1403" t="s">
        <v>2011</v>
      </c>
      <c r="B1403">
        <f>HYPERLINK("https://github.com/apache/commons-math/commit/8762808a0449fca72050d660767f1ae1dd5e9fa6", "8762808a0449fca72050d660767f1ae1dd5e9fa6")</f>
        <v>0</v>
      </c>
      <c r="C1403">
        <f>HYPERLINK("https://github.com/apache/commons-math/commit/ea6d2beeaf34d01818a53cdee4f4f6582ee95e9e", "ea6d2beeaf34d01818a53cdee4f4f6582ee95e9e")</f>
        <v>0</v>
      </c>
      <c r="D1403" t="s">
        <v>2152</v>
      </c>
      <c r="E1403" t="s">
        <v>2300</v>
      </c>
      <c r="F1403" t="s">
        <v>2630</v>
      </c>
      <c r="G1403" t="s">
        <v>3064</v>
      </c>
      <c r="H1403" t="s">
        <v>4019</v>
      </c>
      <c r="I1403" t="s">
        <v>1357</v>
      </c>
      <c r="J1403" t="s">
        <v>1357</v>
      </c>
      <c r="K1403" t="s">
        <v>1357</v>
      </c>
      <c r="L1403" t="s">
        <v>1357</v>
      </c>
    </row>
    <row r="1404" spans="1:14">
      <c r="H1404" t="s">
        <v>4020</v>
      </c>
      <c r="I1404" t="s">
        <v>1357</v>
      </c>
      <c r="J1404" t="s">
        <v>1357</v>
      </c>
      <c r="K1404" t="s">
        <v>1357</v>
      </c>
      <c r="L1404" t="s">
        <v>1357</v>
      </c>
    </row>
    <row r="1405" spans="1:14">
      <c r="A1405" t="s">
        <v>2012</v>
      </c>
      <c r="B1405">
        <f>HYPERLINK("https://github.com/apache/commons-math/commit/e89009749feffa56922b2fa8fb7ecc42496529c1", "e89009749feffa56922b2fa8fb7ecc42496529c1")</f>
        <v>0</v>
      </c>
      <c r="C1405">
        <f>HYPERLINK("https://github.com/apache/commons-math/commit/8762808a0449fca72050d660767f1ae1dd5e9fa6", "8762808a0449fca72050d660767f1ae1dd5e9fa6")</f>
        <v>0</v>
      </c>
      <c r="D1405" t="s">
        <v>2152</v>
      </c>
      <c r="E1405" t="s">
        <v>2301</v>
      </c>
      <c r="F1405" t="s">
        <v>2631</v>
      </c>
      <c r="G1405" t="s">
        <v>3065</v>
      </c>
      <c r="H1405" t="s">
        <v>4019</v>
      </c>
      <c r="I1405" t="s">
        <v>1357</v>
      </c>
      <c r="J1405" t="s">
        <v>1357</v>
      </c>
      <c r="K1405" t="s">
        <v>1357</v>
      </c>
      <c r="L1405" t="s">
        <v>1357</v>
      </c>
      <c r="M1405" t="s">
        <v>1360</v>
      </c>
      <c r="N1405" t="s">
        <v>5110</v>
      </c>
    </row>
    <row r="1406" spans="1:14">
      <c r="H1406" t="s">
        <v>4028</v>
      </c>
      <c r="I1406" t="s">
        <v>1357</v>
      </c>
      <c r="J1406" t="s">
        <v>1357</v>
      </c>
      <c r="K1406" t="s">
        <v>1357</v>
      </c>
      <c r="L1406" t="s">
        <v>1357</v>
      </c>
    </row>
    <row r="1407" spans="1:14">
      <c r="A1407" t="s">
        <v>2013</v>
      </c>
      <c r="B1407">
        <f>HYPERLINK("https://github.com/apache/commons-math/commit/2094b5cb5fc070a17a018076753733b1fdc57f20", "2094b5cb5fc070a17a018076753733b1fdc57f20")</f>
        <v>0</v>
      </c>
      <c r="C1407">
        <f>HYPERLINK("https://github.com/apache/commons-math/commit/e24e3100edfab3dd6aa14dbbc1b8b9ff4a1afa19", "e24e3100edfab3dd6aa14dbbc1b8b9ff4a1afa19")</f>
        <v>0</v>
      </c>
      <c r="D1407" t="s">
        <v>2152</v>
      </c>
      <c r="E1407" t="s">
        <v>2302</v>
      </c>
      <c r="F1407" t="s">
        <v>2631</v>
      </c>
      <c r="G1407" t="s">
        <v>3065</v>
      </c>
      <c r="H1407" t="s">
        <v>4029</v>
      </c>
      <c r="I1407" t="s">
        <v>1357</v>
      </c>
      <c r="J1407" t="s">
        <v>1357</v>
      </c>
      <c r="K1407" t="s">
        <v>1357</v>
      </c>
      <c r="L1407" t="s">
        <v>1357</v>
      </c>
    </row>
    <row r="1408" spans="1:14">
      <c r="A1408" t="s">
        <v>2014</v>
      </c>
      <c r="B1408">
        <f>HYPERLINK("https://github.com/apache/commons-math/commit/58c9ef25efcf1509e61b9ee3b2adbbe77068fe91", "58c9ef25efcf1509e61b9ee3b2adbbe77068fe91")</f>
        <v>0</v>
      </c>
      <c r="C1408">
        <f>HYPERLINK("https://github.com/apache/commons-math/commit/2094b5cb5fc070a17a018076753733b1fdc57f20", "2094b5cb5fc070a17a018076753733b1fdc57f20")</f>
        <v>0</v>
      </c>
      <c r="D1408" t="s">
        <v>2152</v>
      </c>
      <c r="E1408" t="s">
        <v>2303</v>
      </c>
      <c r="F1408" t="s">
        <v>2631</v>
      </c>
      <c r="G1408" t="s">
        <v>3065</v>
      </c>
      <c r="H1408" t="s">
        <v>4030</v>
      </c>
      <c r="I1408" t="s">
        <v>1357</v>
      </c>
      <c r="J1408" t="s">
        <v>1357</v>
      </c>
      <c r="K1408" t="s">
        <v>1357</v>
      </c>
      <c r="L1408" t="s">
        <v>1357</v>
      </c>
    </row>
    <row r="1409" spans="1:12">
      <c r="H1409" t="s">
        <v>4031</v>
      </c>
      <c r="I1409" t="s">
        <v>1357</v>
      </c>
      <c r="J1409" t="s">
        <v>1357</v>
      </c>
      <c r="K1409" t="s">
        <v>1357</v>
      </c>
      <c r="L1409" t="s">
        <v>1357</v>
      </c>
    </row>
    <row r="1410" spans="1:12">
      <c r="A1410" t="s">
        <v>2015</v>
      </c>
      <c r="B1410">
        <f>HYPERLINK("https://github.com/apache/commons-math/commit/8c10a80525937da9f1eac9e52b7446c5b6e03b7e", "8c10a80525937da9f1eac9e52b7446c5b6e03b7e")</f>
        <v>0</v>
      </c>
      <c r="C1410">
        <f>HYPERLINK("https://github.com/apache/commons-math/commit/58c9ef25efcf1509e61b9ee3b2adbbe77068fe91", "58c9ef25efcf1509e61b9ee3b2adbbe77068fe91")</f>
        <v>0</v>
      </c>
      <c r="D1410" t="s">
        <v>2152</v>
      </c>
      <c r="E1410" t="s">
        <v>2304</v>
      </c>
      <c r="F1410" t="s">
        <v>2631</v>
      </c>
      <c r="G1410" t="s">
        <v>3065</v>
      </c>
      <c r="H1410" t="s">
        <v>4032</v>
      </c>
      <c r="I1410" t="s">
        <v>1357</v>
      </c>
      <c r="J1410" t="s">
        <v>1357</v>
      </c>
      <c r="K1410" t="s">
        <v>1357</v>
      </c>
      <c r="L1410" t="s">
        <v>1357</v>
      </c>
    </row>
    <row r="1411" spans="1:12">
      <c r="A1411" t="s">
        <v>2016</v>
      </c>
      <c r="B1411">
        <f>HYPERLINK("https://github.com/apache/commons-math/commit/e36f4a730d231c5ffa81cac28d9281e2f7ec4052", "e36f4a730d231c5ffa81cac28d9281e2f7ec4052")</f>
        <v>0</v>
      </c>
      <c r="C1411">
        <f>HYPERLINK("https://github.com/apache/commons-math/commit/c846a2953f500dd7a0ebc95d500e787a207e562a", "c846a2953f500dd7a0ebc95d500e787a207e562a")</f>
        <v>0</v>
      </c>
      <c r="D1411" t="s">
        <v>2152</v>
      </c>
      <c r="E1411" t="s">
        <v>2305</v>
      </c>
      <c r="F1411" t="s">
        <v>2628</v>
      </c>
      <c r="G1411" t="s">
        <v>3048</v>
      </c>
      <c r="H1411" t="s">
        <v>4027</v>
      </c>
      <c r="I1411" t="s">
        <v>1359</v>
      </c>
      <c r="J1411" t="s">
        <v>1358</v>
      </c>
      <c r="K1411" t="s">
        <v>1358</v>
      </c>
      <c r="L1411" t="s">
        <v>1357</v>
      </c>
    </row>
    <row r="1412" spans="1:12">
      <c r="A1412" t="s">
        <v>2017</v>
      </c>
      <c r="B1412">
        <f>HYPERLINK("https://github.com/apache/commons-math/commit/4fd62ba05b1e81e15ffaddc86fd97d6b100afa97", "4fd62ba05b1e81e15ffaddc86fd97d6b100afa97")</f>
        <v>0</v>
      </c>
      <c r="C1412">
        <f>HYPERLINK("https://github.com/apache/commons-math/commit/63d00ba803b5257335daf15bd934c53ba0560f89", "63d00ba803b5257335daf15bd934c53ba0560f89")</f>
        <v>0</v>
      </c>
      <c r="D1412" t="s">
        <v>2148</v>
      </c>
      <c r="E1412" t="s">
        <v>2306</v>
      </c>
      <c r="F1412" t="s">
        <v>2632</v>
      </c>
      <c r="G1412" t="s">
        <v>3066</v>
      </c>
      <c r="H1412" t="s">
        <v>4033</v>
      </c>
      <c r="I1412" t="s">
        <v>1358</v>
      </c>
      <c r="J1412" t="s">
        <v>1358</v>
      </c>
      <c r="K1412" t="s">
        <v>1358</v>
      </c>
      <c r="L1412" t="s">
        <v>1358</v>
      </c>
    </row>
    <row r="1413" spans="1:12">
      <c r="H1413" t="s">
        <v>4034</v>
      </c>
      <c r="I1413" t="s">
        <v>1358</v>
      </c>
      <c r="J1413" t="s">
        <v>1358</v>
      </c>
      <c r="K1413" t="s">
        <v>1358</v>
      </c>
      <c r="L1413" t="s">
        <v>1358</v>
      </c>
    </row>
    <row r="1414" spans="1:12">
      <c r="F1414" t="s">
        <v>2633</v>
      </c>
      <c r="G1414" t="s">
        <v>3067</v>
      </c>
      <c r="H1414" t="s">
        <v>4035</v>
      </c>
      <c r="I1414" t="s">
        <v>1358</v>
      </c>
      <c r="J1414" t="s">
        <v>1358</v>
      </c>
      <c r="K1414" t="s">
        <v>1358</v>
      </c>
      <c r="L1414" t="s">
        <v>1358</v>
      </c>
    </row>
    <row r="1415" spans="1:12">
      <c r="A1415" t="s">
        <v>2018</v>
      </c>
      <c r="B1415">
        <f>HYPERLINK("https://github.com/apache/commons-math/commit/bfbb156dfb67cc4b6ad718151323418a9352ce43", "bfbb156dfb67cc4b6ad718151323418a9352ce43")</f>
        <v>0</v>
      </c>
      <c r="C1415">
        <f>HYPERLINK("https://github.com/apache/commons-math/commit/329cf9e8e643160e4da6fd8622aa5a3b3905fb69", "329cf9e8e643160e4da6fd8622aa5a3b3905fb69")</f>
        <v>0</v>
      </c>
      <c r="D1415" t="s">
        <v>2151</v>
      </c>
      <c r="E1415" t="s">
        <v>2307</v>
      </c>
      <c r="F1415" t="s">
        <v>2634</v>
      </c>
      <c r="G1415" t="s">
        <v>3041</v>
      </c>
      <c r="H1415" t="s">
        <v>4036</v>
      </c>
      <c r="I1415" t="s">
        <v>1357</v>
      </c>
      <c r="J1415" t="s">
        <v>1357</v>
      </c>
      <c r="K1415" t="s">
        <v>1357</v>
      </c>
      <c r="L1415" t="s">
        <v>1357</v>
      </c>
    </row>
    <row r="1416" spans="1:12">
      <c r="H1416" t="s">
        <v>4037</v>
      </c>
      <c r="I1416" t="s">
        <v>1357</v>
      </c>
      <c r="J1416" t="s">
        <v>1357</v>
      </c>
      <c r="K1416" t="s">
        <v>1357</v>
      </c>
      <c r="L1416" t="s">
        <v>1357</v>
      </c>
    </row>
    <row r="1417" spans="1:12">
      <c r="H1417" t="s">
        <v>4038</v>
      </c>
      <c r="I1417" t="s">
        <v>1357</v>
      </c>
      <c r="J1417" t="s">
        <v>1357</v>
      </c>
      <c r="K1417" t="s">
        <v>1357</v>
      </c>
      <c r="L1417" t="s">
        <v>1357</v>
      </c>
    </row>
    <row r="1418" spans="1:12">
      <c r="A1418" t="s">
        <v>2019</v>
      </c>
      <c r="B1418">
        <f>HYPERLINK("https://github.com/apache/commons-math/commit/2fde62aff6fd4045564eb3673bc57de453ceb99c", "2fde62aff6fd4045564eb3673bc57de453ceb99c")</f>
        <v>0</v>
      </c>
      <c r="C1418">
        <f>HYPERLINK("https://github.com/apache/commons-math/commit/2786244d0970114997ffc29603528eddae6532d5", "2786244d0970114997ffc29603528eddae6532d5")</f>
        <v>0</v>
      </c>
      <c r="D1418" t="s">
        <v>2152</v>
      </c>
      <c r="E1418" t="s">
        <v>2308</v>
      </c>
      <c r="F1418" t="s">
        <v>2635</v>
      </c>
      <c r="G1418" t="s">
        <v>2926</v>
      </c>
      <c r="H1418" t="s">
        <v>4039</v>
      </c>
      <c r="I1418" t="s">
        <v>1357</v>
      </c>
      <c r="J1418" t="s">
        <v>1357</v>
      </c>
      <c r="K1418" t="s">
        <v>1357</v>
      </c>
      <c r="L1418" t="s">
        <v>1357</v>
      </c>
    </row>
    <row r="1419" spans="1:12">
      <c r="H1419" t="s">
        <v>4040</v>
      </c>
      <c r="I1419" t="s">
        <v>1357</v>
      </c>
      <c r="J1419" t="s">
        <v>1357</v>
      </c>
      <c r="K1419" t="s">
        <v>1357</v>
      </c>
      <c r="L1419" t="s">
        <v>1357</v>
      </c>
    </row>
    <row r="1420" spans="1:12">
      <c r="H1420" t="s">
        <v>4041</v>
      </c>
      <c r="I1420" t="s">
        <v>1357</v>
      </c>
      <c r="J1420" t="s">
        <v>1357</v>
      </c>
      <c r="K1420" t="s">
        <v>1357</v>
      </c>
      <c r="L1420" t="s">
        <v>1357</v>
      </c>
    </row>
    <row r="1421" spans="1:12">
      <c r="A1421" t="s">
        <v>2020</v>
      </c>
      <c r="B1421">
        <f>HYPERLINK("https://github.com/apache/commons-math/commit/c1a2c4081cf942cfffefc86f1aefe5b0f676125b", "c1a2c4081cf942cfffefc86f1aefe5b0f676125b")</f>
        <v>0</v>
      </c>
      <c r="C1421">
        <f>HYPERLINK("https://github.com/apache/commons-math/commit/2fde62aff6fd4045564eb3673bc57de453ceb99c", "2fde62aff6fd4045564eb3673bc57de453ceb99c")</f>
        <v>0</v>
      </c>
      <c r="D1421" t="s">
        <v>2152</v>
      </c>
      <c r="E1421" t="s">
        <v>2309</v>
      </c>
      <c r="F1421" t="s">
        <v>2636</v>
      </c>
      <c r="G1421" t="s">
        <v>2927</v>
      </c>
      <c r="H1421" t="s">
        <v>4042</v>
      </c>
      <c r="I1421" t="s">
        <v>1357</v>
      </c>
      <c r="J1421" t="s">
        <v>1357</v>
      </c>
      <c r="K1421" t="s">
        <v>1357</v>
      </c>
      <c r="L1421" t="s">
        <v>1357</v>
      </c>
    </row>
    <row r="1422" spans="1:12">
      <c r="H1422" t="s">
        <v>4043</v>
      </c>
      <c r="I1422" t="s">
        <v>1357</v>
      </c>
      <c r="J1422" t="s">
        <v>1357</v>
      </c>
      <c r="K1422" t="s">
        <v>1357</v>
      </c>
      <c r="L1422" t="s">
        <v>1357</v>
      </c>
    </row>
    <row r="1423" spans="1:12">
      <c r="H1423" t="s">
        <v>4044</v>
      </c>
      <c r="I1423" t="s">
        <v>1357</v>
      </c>
      <c r="J1423" t="s">
        <v>1357</v>
      </c>
      <c r="K1423" t="s">
        <v>1357</v>
      </c>
      <c r="L1423" t="s">
        <v>1357</v>
      </c>
    </row>
    <row r="1424" spans="1:12">
      <c r="H1424" t="s">
        <v>4045</v>
      </c>
      <c r="I1424" t="s">
        <v>1357</v>
      </c>
      <c r="J1424" t="s">
        <v>1357</v>
      </c>
      <c r="K1424" t="s">
        <v>1357</v>
      </c>
      <c r="L1424" t="s">
        <v>1357</v>
      </c>
    </row>
    <row r="1425" spans="1:14">
      <c r="H1425" t="s">
        <v>4046</v>
      </c>
      <c r="I1425" t="s">
        <v>1357</v>
      </c>
      <c r="J1425" t="s">
        <v>1357</v>
      </c>
      <c r="K1425" t="s">
        <v>1357</v>
      </c>
      <c r="L1425" t="s">
        <v>1357</v>
      </c>
    </row>
    <row r="1426" spans="1:14">
      <c r="H1426" t="s">
        <v>4047</v>
      </c>
      <c r="I1426" t="s">
        <v>1357</v>
      </c>
      <c r="J1426" t="s">
        <v>1357</v>
      </c>
      <c r="K1426" t="s">
        <v>1357</v>
      </c>
      <c r="L1426" t="s">
        <v>1357</v>
      </c>
    </row>
    <row r="1427" spans="1:14">
      <c r="H1427" t="s">
        <v>4048</v>
      </c>
      <c r="I1427" t="s">
        <v>1357</v>
      </c>
      <c r="J1427" t="s">
        <v>1357</v>
      </c>
      <c r="K1427" t="s">
        <v>1357</v>
      </c>
      <c r="L1427" t="s">
        <v>1357</v>
      </c>
    </row>
    <row r="1428" spans="1:14">
      <c r="H1428" t="s">
        <v>4049</v>
      </c>
      <c r="I1428" t="s">
        <v>1357</v>
      </c>
      <c r="J1428" t="s">
        <v>1357</v>
      </c>
      <c r="K1428" t="s">
        <v>1357</v>
      </c>
      <c r="L1428" t="s">
        <v>1357</v>
      </c>
    </row>
    <row r="1429" spans="1:14">
      <c r="A1429" t="s">
        <v>2021</v>
      </c>
      <c r="B1429">
        <f>HYPERLINK("https://github.com/apache/commons-math/commit/ed39d2dbe2522a7842d8f173af46b483d983cb0a", "ed39d2dbe2522a7842d8f173af46b483d983cb0a")</f>
        <v>0</v>
      </c>
      <c r="C1429">
        <f>HYPERLINK("https://github.com/apache/commons-math/commit/250cf6e3669ee3c0cfda5d20761fb1324f594df0", "250cf6e3669ee3c0cfda5d20761fb1324f594df0")</f>
        <v>0</v>
      </c>
      <c r="D1429" t="s">
        <v>2148</v>
      </c>
      <c r="E1429" t="s">
        <v>2310</v>
      </c>
      <c r="F1429" t="s">
        <v>2637</v>
      </c>
      <c r="G1429" t="s">
        <v>3068</v>
      </c>
      <c r="H1429" t="s">
        <v>4050</v>
      </c>
      <c r="I1429" t="s">
        <v>1357</v>
      </c>
      <c r="J1429" t="s">
        <v>1357</v>
      </c>
      <c r="K1429" t="s">
        <v>1357</v>
      </c>
      <c r="L1429" t="s">
        <v>1357</v>
      </c>
    </row>
    <row r="1430" spans="1:14">
      <c r="A1430" t="s">
        <v>2022</v>
      </c>
      <c r="B1430">
        <f>HYPERLINK("https://github.com/apache/commons-math/commit/3ad5595706a90adc920105b5c486e4fc0db6d497", "3ad5595706a90adc920105b5c486e4fc0db6d497")</f>
        <v>0</v>
      </c>
      <c r="C1430">
        <f>HYPERLINK("https://github.com/apache/commons-math/commit/9d5715114c68524ffa5f5de34e869f3bd826b816", "9d5715114c68524ffa5f5de34e869f3bd826b816")</f>
        <v>0</v>
      </c>
      <c r="D1430" t="s">
        <v>2148</v>
      </c>
      <c r="E1430" t="s">
        <v>2311</v>
      </c>
      <c r="F1430" t="s">
        <v>2638</v>
      </c>
      <c r="G1430" t="s">
        <v>3069</v>
      </c>
      <c r="H1430" t="s">
        <v>4051</v>
      </c>
      <c r="I1430" t="s">
        <v>1357</v>
      </c>
      <c r="J1430" t="s">
        <v>1357</v>
      </c>
      <c r="K1430" t="s">
        <v>1357</v>
      </c>
      <c r="L1430" t="s">
        <v>1357</v>
      </c>
      <c r="N1430" t="s">
        <v>1364</v>
      </c>
    </row>
    <row r="1431" spans="1:14">
      <c r="A1431" t="s">
        <v>2023</v>
      </c>
      <c r="B1431">
        <f>HYPERLINK("https://github.com/apache/commons-math/commit/731ff8099fd33ec3e9a90ac105ea64d261fdc60a", "731ff8099fd33ec3e9a90ac105ea64d261fdc60a")</f>
        <v>0</v>
      </c>
      <c r="C1431">
        <f>HYPERLINK("https://github.com/apache/commons-math/commit/33809e031de7b56d82130e8c3c6ddb6fca31a396", "33809e031de7b56d82130e8c3c6ddb6fca31a396")</f>
        <v>0</v>
      </c>
      <c r="D1431" t="s">
        <v>2151</v>
      </c>
      <c r="E1431" t="s">
        <v>2312</v>
      </c>
      <c r="F1431" t="s">
        <v>2639</v>
      </c>
      <c r="G1431" t="s">
        <v>3070</v>
      </c>
      <c r="H1431" t="s">
        <v>3881</v>
      </c>
      <c r="I1431" t="s">
        <v>1358</v>
      </c>
      <c r="J1431" t="s">
        <v>1358</v>
      </c>
      <c r="K1431" t="s">
        <v>1358</v>
      </c>
      <c r="L1431" t="s">
        <v>1358</v>
      </c>
    </row>
    <row r="1432" spans="1:14">
      <c r="H1432" t="s">
        <v>3882</v>
      </c>
      <c r="I1432" t="s">
        <v>1358</v>
      </c>
      <c r="J1432" t="s">
        <v>1358</v>
      </c>
      <c r="K1432" t="s">
        <v>1358</v>
      </c>
      <c r="L1432" t="s">
        <v>1358</v>
      </c>
    </row>
    <row r="1433" spans="1:14">
      <c r="A1433" t="s">
        <v>2024</v>
      </c>
      <c r="B1433">
        <f>HYPERLINK("https://github.com/apache/commons-math/commit/3e2570e1176aa125730efd58e6a2e543f5bacb7c", "3e2570e1176aa125730efd58e6a2e543f5bacb7c")</f>
        <v>0</v>
      </c>
      <c r="C1433">
        <f>HYPERLINK("https://github.com/apache/commons-math/commit/c0c42c39fc58bcab18efea92f898eef0a20317f8", "c0c42c39fc58bcab18efea92f898eef0a20317f8")</f>
        <v>0</v>
      </c>
      <c r="D1433" t="s">
        <v>155</v>
      </c>
      <c r="E1433" t="s">
        <v>2313</v>
      </c>
      <c r="F1433" t="s">
        <v>2640</v>
      </c>
      <c r="G1433" t="s">
        <v>2928</v>
      </c>
      <c r="H1433" t="s">
        <v>4052</v>
      </c>
      <c r="I1433" t="s">
        <v>1357</v>
      </c>
      <c r="J1433" t="s">
        <v>1357</v>
      </c>
      <c r="K1433" t="s">
        <v>1357</v>
      </c>
      <c r="L1433" t="s">
        <v>1357</v>
      </c>
      <c r="N1433" t="s">
        <v>1364</v>
      </c>
    </row>
    <row r="1434" spans="1:14">
      <c r="A1434" t="s">
        <v>2025</v>
      </c>
      <c r="B1434">
        <f>HYPERLINK("https://github.com/apache/commons-math/commit/7cc91e9f22c9d4769a992f86e72bafa2857e30b2", "7cc91e9f22c9d4769a992f86e72bafa2857e30b2")</f>
        <v>0</v>
      </c>
      <c r="C1434">
        <f>HYPERLINK("https://github.com/apache/commons-math/commit/a6925e3e8af52bbe7d92769e19e6be848f572e67", "a6925e3e8af52bbe7d92769e19e6be848f572e67")</f>
        <v>0</v>
      </c>
      <c r="D1434" t="s">
        <v>2153</v>
      </c>
      <c r="E1434" t="s">
        <v>2314</v>
      </c>
      <c r="F1434" t="s">
        <v>2641</v>
      </c>
      <c r="G1434" t="s">
        <v>3071</v>
      </c>
      <c r="H1434" t="s">
        <v>4053</v>
      </c>
      <c r="I1434" t="s">
        <v>1357</v>
      </c>
      <c r="J1434" t="s">
        <v>1357</v>
      </c>
      <c r="K1434" t="s">
        <v>1357</v>
      </c>
      <c r="L1434" t="s">
        <v>1357</v>
      </c>
    </row>
    <row r="1435" spans="1:14">
      <c r="A1435" t="s">
        <v>2026</v>
      </c>
      <c r="B1435">
        <f>HYPERLINK("https://github.com/apache/commons-math/commit/93b51cc6fd264155817f8729add91ae0d25e22bf", "93b51cc6fd264155817f8729add91ae0d25e22bf")</f>
        <v>0</v>
      </c>
      <c r="C1435">
        <f>HYPERLINK("https://github.com/apache/commons-math/commit/9be92c371cb3c5f31b29cc4111cac2782880656c", "9be92c371cb3c5f31b29cc4111cac2782880656c")</f>
        <v>0</v>
      </c>
      <c r="D1435" t="s">
        <v>2151</v>
      </c>
      <c r="E1435" t="s">
        <v>2315</v>
      </c>
      <c r="F1435" t="s">
        <v>2642</v>
      </c>
      <c r="G1435" t="s">
        <v>3072</v>
      </c>
      <c r="H1435" t="s">
        <v>4054</v>
      </c>
      <c r="I1435" t="s">
        <v>1358</v>
      </c>
      <c r="J1435" t="s">
        <v>1358</v>
      </c>
      <c r="K1435" t="s">
        <v>1358</v>
      </c>
      <c r="L1435" t="s">
        <v>1358</v>
      </c>
      <c r="N1435" t="s">
        <v>1374</v>
      </c>
    </row>
    <row r="1436" spans="1:14">
      <c r="H1436" t="s">
        <v>4055</v>
      </c>
      <c r="I1436" t="s">
        <v>1358</v>
      </c>
      <c r="J1436" t="s">
        <v>1358</v>
      </c>
      <c r="K1436" t="s">
        <v>1358</v>
      </c>
      <c r="L1436" t="s">
        <v>1358</v>
      </c>
    </row>
    <row r="1437" spans="1:14">
      <c r="H1437" t="s">
        <v>4056</v>
      </c>
      <c r="I1437" t="s">
        <v>1358</v>
      </c>
      <c r="J1437" t="s">
        <v>1358</v>
      </c>
      <c r="K1437" t="s">
        <v>1358</v>
      </c>
      <c r="L1437" t="s">
        <v>1358</v>
      </c>
      <c r="N1437" t="s">
        <v>1374</v>
      </c>
    </row>
    <row r="1438" spans="1:14">
      <c r="H1438" t="s">
        <v>4057</v>
      </c>
      <c r="I1438" t="s">
        <v>1358</v>
      </c>
      <c r="J1438" t="s">
        <v>1358</v>
      </c>
      <c r="K1438" t="s">
        <v>1358</v>
      </c>
      <c r="L1438" t="s">
        <v>1358</v>
      </c>
    </row>
    <row r="1439" spans="1:14">
      <c r="A1439" t="s">
        <v>2027</v>
      </c>
      <c r="B1439">
        <f>HYPERLINK("https://github.com/apache/commons-math/commit/d83cdb913332b02fd310f5cdf3df045162c4cc54", "d83cdb913332b02fd310f5cdf3df045162c4cc54")</f>
        <v>0</v>
      </c>
      <c r="C1439">
        <f>HYPERLINK("https://github.com/apache/commons-math/commit/57eff0d0c37ec003ebed48d3334c93cd9c038f64", "57eff0d0c37ec003ebed48d3334c93cd9c038f64")</f>
        <v>0</v>
      </c>
      <c r="D1439" t="s">
        <v>2148</v>
      </c>
      <c r="E1439" t="s">
        <v>2316</v>
      </c>
      <c r="F1439" t="s">
        <v>2643</v>
      </c>
      <c r="G1439" t="s">
        <v>3073</v>
      </c>
      <c r="H1439" t="s">
        <v>4058</v>
      </c>
      <c r="I1439" t="s">
        <v>1357</v>
      </c>
      <c r="J1439" t="s">
        <v>1357</v>
      </c>
      <c r="K1439" t="s">
        <v>1357</v>
      </c>
      <c r="L1439" t="s">
        <v>1357</v>
      </c>
    </row>
    <row r="1440" spans="1:14">
      <c r="H1440" t="s">
        <v>4059</v>
      </c>
      <c r="I1440" t="s">
        <v>1357</v>
      </c>
      <c r="J1440" t="s">
        <v>1357</v>
      </c>
      <c r="K1440" t="s">
        <v>1357</v>
      </c>
      <c r="L1440" t="s">
        <v>1357</v>
      </c>
    </row>
    <row r="1441" spans="1:12">
      <c r="H1441" t="s">
        <v>4060</v>
      </c>
      <c r="I1441" t="s">
        <v>1357</v>
      </c>
      <c r="J1441" t="s">
        <v>1357</v>
      </c>
      <c r="K1441" t="s">
        <v>1357</v>
      </c>
      <c r="L1441" t="s">
        <v>1357</v>
      </c>
    </row>
    <row r="1442" spans="1:12">
      <c r="H1442" t="s">
        <v>4061</v>
      </c>
      <c r="I1442" t="s">
        <v>1357</v>
      </c>
      <c r="J1442" t="s">
        <v>1357</v>
      </c>
      <c r="K1442" t="s">
        <v>1357</v>
      </c>
      <c r="L1442" t="s">
        <v>1357</v>
      </c>
    </row>
    <row r="1443" spans="1:12">
      <c r="F1443" t="s">
        <v>2644</v>
      </c>
      <c r="G1443" t="s">
        <v>3074</v>
      </c>
      <c r="H1443" t="s">
        <v>4062</v>
      </c>
      <c r="I1443" t="s">
        <v>1357</v>
      </c>
      <c r="J1443" t="s">
        <v>1357</v>
      </c>
      <c r="K1443" t="s">
        <v>1357</v>
      </c>
      <c r="L1443" t="s">
        <v>1357</v>
      </c>
    </row>
    <row r="1444" spans="1:12">
      <c r="H1444" t="s">
        <v>4063</v>
      </c>
      <c r="I1444" t="s">
        <v>1357</v>
      </c>
      <c r="J1444" t="s">
        <v>1357</v>
      </c>
      <c r="K1444" t="s">
        <v>1357</v>
      </c>
      <c r="L1444" t="s">
        <v>1357</v>
      </c>
    </row>
    <row r="1445" spans="1:12">
      <c r="H1445" t="s">
        <v>4064</v>
      </c>
      <c r="I1445" t="s">
        <v>1357</v>
      </c>
      <c r="J1445" t="s">
        <v>1357</v>
      </c>
      <c r="K1445" t="s">
        <v>1357</v>
      </c>
      <c r="L1445" t="s">
        <v>1357</v>
      </c>
    </row>
    <row r="1446" spans="1:12">
      <c r="H1446" t="s">
        <v>4065</v>
      </c>
      <c r="I1446" t="s">
        <v>1357</v>
      </c>
      <c r="J1446" t="s">
        <v>1357</v>
      </c>
      <c r="K1446" t="s">
        <v>1357</v>
      </c>
      <c r="L1446" t="s">
        <v>1357</v>
      </c>
    </row>
    <row r="1447" spans="1:12">
      <c r="H1447" t="s">
        <v>4066</v>
      </c>
      <c r="I1447" t="s">
        <v>1357</v>
      </c>
      <c r="J1447" t="s">
        <v>1357</v>
      </c>
      <c r="K1447" t="s">
        <v>1357</v>
      </c>
      <c r="L1447" t="s">
        <v>1357</v>
      </c>
    </row>
    <row r="1448" spans="1:12">
      <c r="H1448" t="s">
        <v>4067</v>
      </c>
      <c r="I1448" t="s">
        <v>1357</v>
      </c>
      <c r="J1448" t="s">
        <v>1357</v>
      </c>
      <c r="K1448" t="s">
        <v>1357</v>
      </c>
      <c r="L1448" t="s">
        <v>1357</v>
      </c>
    </row>
    <row r="1449" spans="1:12">
      <c r="H1449" t="s">
        <v>4068</v>
      </c>
      <c r="I1449" t="s">
        <v>1357</v>
      </c>
      <c r="J1449" t="s">
        <v>1357</v>
      </c>
      <c r="K1449" t="s">
        <v>1357</v>
      </c>
      <c r="L1449" t="s">
        <v>1357</v>
      </c>
    </row>
    <row r="1450" spans="1:12">
      <c r="H1450" t="s">
        <v>4069</v>
      </c>
      <c r="I1450" t="s">
        <v>1357</v>
      </c>
      <c r="J1450" t="s">
        <v>1357</v>
      </c>
      <c r="K1450" t="s">
        <v>1357</v>
      </c>
      <c r="L1450" t="s">
        <v>1357</v>
      </c>
    </row>
    <row r="1451" spans="1:12">
      <c r="A1451" t="s">
        <v>2028</v>
      </c>
      <c r="B1451">
        <f>HYPERLINK("https://github.com/apache/commons-math/commit/842351710e2897c032b788a8e61fdbf36e18bb2f", "842351710e2897c032b788a8e61fdbf36e18bb2f")</f>
        <v>0</v>
      </c>
      <c r="C1451">
        <f>HYPERLINK("https://github.com/apache/commons-math/commit/1f8d8748952156766f580eaa401c46a93a244b62", "1f8d8748952156766f580eaa401c46a93a244b62")</f>
        <v>0</v>
      </c>
      <c r="D1451" t="s">
        <v>2153</v>
      </c>
      <c r="E1451" t="s">
        <v>2317</v>
      </c>
      <c r="F1451" t="s">
        <v>2645</v>
      </c>
      <c r="G1451" t="s">
        <v>3075</v>
      </c>
      <c r="H1451" t="s">
        <v>4070</v>
      </c>
      <c r="I1451" t="s">
        <v>1357</v>
      </c>
      <c r="J1451" t="s">
        <v>1357</v>
      </c>
      <c r="K1451" t="s">
        <v>1357</v>
      </c>
      <c r="L1451" t="s">
        <v>1357</v>
      </c>
    </row>
    <row r="1452" spans="1:12">
      <c r="H1452" t="s">
        <v>4071</v>
      </c>
      <c r="I1452" t="s">
        <v>1357</v>
      </c>
      <c r="J1452" t="s">
        <v>1357</v>
      </c>
      <c r="K1452" t="s">
        <v>1357</v>
      </c>
      <c r="L1452" t="s">
        <v>1357</v>
      </c>
    </row>
    <row r="1453" spans="1:12">
      <c r="H1453" t="s">
        <v>4072</v>
      </c>
      <c r="I1453" t="s">
        <v>1357</v>
      </c>
      <c r="J1453" t="s">
        <v>1357</v>
      </c>
      <c r="K1453" t="s">
        <v>1357</v>
      </c>
      <c r="L1453" t="s">
        <v>1357</v>
      </c>
    </row>
    <row r="1454" spans="1:12">
      <c r="H1454" t="s">
        <v>4073</v>
      </c>
      <c r="I1454" t="s">
        <v>1357</v>
      </c>
      <c r="J1454" t="s">
        <v>1357</v>
      </c>
      <c r="K1454" t="s">
        <v>1357</v>
      </c>
      <c r="L1454" t="s">
        <v>1357</v>
      </c>
    </row>
    <row r="1455" spans="1:12">
      <c r="H1455" t="s">
        <v>4074</v>
      </c>
      <c r="I1455" t="s">
        <v>1358</v>
      </c>
      <c r="J1455" t="s">
        <v>1358</v>
      </c>
      <c r="K1455" t="s">
        <v>1358</v>
      </c>
      <c r="L1455" t="s">
        <v>1358</v>
      </c>
    </row>
    <row r="1456" spans="1:12">
      <c r="H1456" t="s">
        <v>4075</v>
      </c>
      <c r="I1456" t="s">
        <v>1358</v>
      </c>
      <c r="J1456" t="s">
        <v>1358</v>
      </c>
      <c r="K1456" t="s">
        <v>1358</v>
      </c>
      <c r="L1456" t="s">
        <v>1358</v>
      </c>
    </row>
    <row r="1457" spans="1:14">
      <c r="H1457" t="s">
        <v>4076</v>
      </c>
      <c r="I1457" t="s">
        <v>1358</v>
      </c>
      <c r="J1457" t="s">
        <v>1358</v>
      </c>
      <c r="K1457" t="s">
        <v>1358</v>
      </c>
      <c r="L1457" t="s">
        <v>1358</v>
      </c>
    </row>
    <row r="1458" spans="1:14">
      <c r="H1458" t="s">
        <v>4077</v>
      </c>
      <c r="I1458" t="s">
        <v>1358</v>
      </c>
      <c r="J1458" t="s">
        <v>1358</v>
      </c>
      <c r="K1458" t="s">
        <v>1358</v>
      </c>
      <c r="L1458" t="s">
        <v>1358</v>
      </c>
    </row>
    <row r="1459" spans="1:14">
      <c r="H1459" t="s">
        <v>4078</v>
      </c>
      <c r="I1459" t="s">
        <v>1358</v>
      </c>
      <c r="J1459" t="s">
        <v>1358</v>
      </c>
      <c r="K1459" t="s">
        <v>1358</v>
      </c>
      <c r="L1459" t="s">
        <v>1358</v>
      </c>
    </row>
    <row r="1460" spans="1:14">
      <c r="A1460" t="s">
        <v>2029</v>
      </c>
      <c r="B1460">
        <f>HYPERLINK("https://github.com/apache/commons-math/commit/7bbba6995a12412cd7cbe1ca693057c5299ab4cb", "7bbba6995a12412cd7cbe1ca693057c5299ab4cb")</f>
        <v>0</v>
      </c>
      <c r="C1460">
        <f>HYPERLINK("https://github.com/apache/commons-math/commit/796c8329d6db90687d7340cf947fce29a5191f40", "796c8329d6db90687d7340cf947fce29a5191f40")</f>
        <v>0</v>
      </c>
      <c r="D1460" t="s">
        <v>2153</v>
      </c>
      <c r="E1460" t="s">
        <v>2318</v>
      </c>
      <c r="F1460" t="s">
        <v>2646</v>
      </c>
      <c r="G1460" t="s">
        <v>3076</v>
      </c>
      <c r="H1460" t="s">
        <v>4079</v>
      </c>
      <c r="I1460" t="s">
        <v>1358</v>
      </c>
      <c r="J1460" t="s">
        <v>1358</v>
      </c>
      <c r="K1460" t="s">
        <v>1358</v>
      </c>
      <c r="L1460" t="s">
        <v>1358</v>
      </c>
      <c r="N1460" t="s">
        <v>1372</v>
      </c>
    </row>
    <row r="1461" spans="1:14">
      <c r="A1461" t="s">
        <v>2030</v>
      </c>
      <c r="B1461">
        <f>HYPERLINK("https://github.com/apache/commons-math/commit/39430886ba9364a7c99c9f0e58b009de3f659601", "39430886ba9364a7c99c9f0e58b009de3f659601")</f>
        <v>0</v>
      </c>
      <c r="C1461">
        <f>HYPERLINK("https://github.com/apache/commons-math/commit/b9b73fbef5c0f18aaef22ef60442518d7f23ec83", "b9b73fbef5c0f18aaef22ef60442518d7f23ec83")</f>
        <v>0</v>
      </c>
      <c r="D1461" t="s">
        <v>2148</v>
      </c>
      <c r="E1461" t="s">
        <v>2319</v>
      </c>
      <c r="F1461" t="s">
        <v>2647</v>
      </c>
      <c r="G1461" t="s">
        <v>3077</v>
      </c>
      <c r="H1461" t="s">
        <v>4080</v>
      </c>
      <c r="I1461" t="s">
        <v>1357</v>
      </c>
      <c r="J1461" t="s">
        <v>1357</v>
      </c>
      <c r="K1461" t="s">
        <v>1357</v>
      </c>
      <c r="L1461" t="s">
        <v>1357</v>
      </c>
      <c r="N1461" t="s">
        <v>5111</v>
      </c>
    </row>
    <row r="1462" spans="1:14">
      <c r="H1462" t="s">
        <v>4081</v>
      </c>
      <c r="I1462" t="s">
        <v>1357</v>
      </c>
      <c r="J1462" t="s">
        <v>1357</v>
      </c>
      <c r="K1462" t="s">
        <v>1357</v>
      </c>
      <c r="L1462" t="s">
        <v>1357</v>
      </c>
      <c r="N1462" t="s">
        <v>5111</v>
      </c>
    </row>
    <row r="1463" spans="1:14">
      <c r="H1463" t="s">
        <v>4082</v>
      </c>
      <c r="I1463" t="s">
        <v>1357</v>
      </c>
      <c r="J1463" t="s">
        <v>1357</v>
      </c>
      <c r="K1463" t="s">
        <v>1357</v>
      </c>
      <c r="L1463" t="s">
        <v>1357</v>
      </c>
      <c r="N1463" t="s">
        <v>5111</v>
      </c>
    </row>
    <row r="1464" spans="1:14">
      <c r="H1464" t="s">
        <v>4083</v>
      </c>
      <c r="I1464" t="s">
        <v>1357</v>
      </c>
      <c r="J1464" t="s">
        <v>1357</v>
      </c>
      <c r="K1464" t="s">
        <v>1357</v>
      </c>
      <c r="L1464" t="s">
        <v>1357</v>
      </c>
      <c r="N1464" t="s">
        <v>5111</v>
      </c>
    </row>
    <row r="1465" spans="1:14">
      <c r="H1465" t="s">
        <v>4084</v>
      </c>
      <c r="I1465" t="s">
        <v>1357</v>
      </c>
      <c r="J1465" t="s">
        <v>1357</v>
      </c>
      <c r="K1465" t="s">
        <v>1357</v>
      </c>
      <c r="L1465" t="s">
        <v>1357</v>
      </c>
      <c r="N1465" t="s">
        <v>5111</v>
      </c>
    </row>
    <row r="1466" spans="1:14">
      <c r="H1466" t="s">
        <v>3729</v>
      </c>
      <c r="I1466" t="s">
        <v>1357</v>
      </c>
      <c r="J1466" t="s">
        <v>1357</v>
      </c>
      <c r="K1466" t="s">
        <v>1357</v>
      </c>
      <c r="L1466" t="s">
        <v>1357</v>
      </c>
      <c r="N1466" t="s">
        <v>5111</v>
      </c>
    </row>
    <row r="1467" spans="1:14">
      <c r="A1467" t="s">
        <v>2031</v>
      </c>
      <c r="B1467">
        <f>HYPERLINK("https://github.com/apache/commons-math/commit/e8d0d4c1ddb40c7752fd4ac6a70ee619323deb4d", "e8d0d4c1ddb40c7752fd4ac6a70ee619323deb4d")</f>
        <v>0</v>
      </c>
      <c r="C1467">
        <f>HYPERLINK("https://github.com/apache/commons-math/commit/39430886ba9364a7c99c9f0e58b009de3f659601", "39430886ba9364a7c99c9f0e58b009de3f659601")</f>
        <v>0</v>
      </c>
      <c r="D1467" t="s">
        <v>2153</v>
      </c>
      <c r="E1467" t="s">
        <v>2320</v>
      </c>
      <c r="F1467" t="s">
        <v>2648</v>
      </c>
      <c r="G1467" t="s">
        <v>3078</v>
      </c>
      <c r="H1467" t="s">
        <v>4085</v>
      </c>
      <c r="I1467" t="s">
        <v>1357</v>
      </c>
      <c r="J1467" t="s">
        <v>1357</v>
      </c>
      <c r="K1467" t="s">
        <v>1357</v>
      </c>
      <c r="L1467" t="s">
        <v>1357</v>
      </c>
      <c r="M1467" t="s">
        <v>1365</v>
      </c>
    </row>
    <row r="1468" spans="1:14">
      <c r="A1468" t="s">
        <v>2032</v>
      </c>
      <c r="B1468">
        <f>HYPERLINK("https://github.com/apache/commons-math/commit/7460c082a39251193108da52ce05e63f3e3796d1", "7460c082a39251193108da52ce05e63f3e3796d1")</f>
        <v>0</v>
      </c>
      <c r="C1468">
        <f>HYPERLINK("https://github.com/apache/commons-math/commit/675d4c8fc848ec5438e48deb2e8218b6f0078814", "675d4c8fc848ec5438e48deb2e8218b6f0078814")</f>
        <v>0</v>
      </c>
      <c r="D1468" t="s">
        <v>2148</v>
      </c>
      <c r="E1468" t="s">
        <v>2321</v>
      </c>
      <c r="F1468" t="s">
        <v>2649</v>
      </c>
      <c r="G1468" t="s">
        <v>3079</v>
      </c>
      <c r="H1468" t="s">
        <v>4086</v>
      </c>
      <c r="I1468" t="s">
        <v>1357</v>
      </c>
      <c r="J1468" t="s">
        <v>1357</v>
      </c>
      <c r="K1468" t="s">
        <v>1357</v>
      </c>
      <c r="L1468" t="s">
        <v>1357</v>
      </c>
    </row>
    <row r="1469" spans="1:14">
      <c r="F1469" t="s">
        <v>2650</v>
      </c>
      <c r="G1469" t="s">
        <v>3080</v>
      </c>
      <c r="H1469" t="s">
        <v>4086</v>
      </c>
      <c r="I1469" t="s">
        <v>1357</v>
      </c>
      <c r="J1469" t="s">
        <v>1357</v>
      </c>
      <c r="K1469" t="s">
        <v>1357</v>
      </c>
      <c r="L1469" t="s">
        <v>1357</v>
      </c>
    </row>
    <row r="1470" spans="1:14">
      <c r="F1470" t="s">
        <v>2651</v>
      </c>
      <c r="G1470" t="s">
        <v>3081</v>
      </c>
      <c r="H1470" t="s">
        <v>4086</v>
      </c>
      <c r="I1470" t="s">
        <v>1357</v>
      </c>
      <c r="J1470" t="s">
        <v>1357</v>
      </c>
      <c r="K1470" t="s">
        <v>1357</v>
      </c>
      <c r="L1470" t="s">
        <v>1357</v>
      </c>
    </row>
    <row r="1471" spans="1:14">
      <c r="A1471" t="s">
        <v>2033</v>
      </c>
      <c r="B1471">
        <f>HYPERLINK("https://github.com/apache/commons-math/commit/57096ad696cc088ff94f6b7e81dac1e068df2c3c", "57096ad696cc088ff94f6b7e81dac1e068df2c3c")</f>
        <v>0</v>
      </c>
      <c r="C1471">
        <f>HYPERLINK("https://github.com/apache/commons-math/commit/c12ae52424b3b93bb8f2ca39a3daa8392caa1348", "c12ae52424b3b93bb8f2ca39a3daa8392caa1348")</f>
        <v>0</v>
      </c>
      <c r="D1471" t="s">
        <v>2148</v>
      </c>
      <c r="E1471" t="s">
        <v>2322</v>
      </c>
      <c r="F1471" t="s">
        <v>2650</v>
      </c>
      <c r="G1471" t="s">
        <v>3082</v>
      </c>
      <c r="H1471" t="s">
        <v>4087</v>
      </c>
      <c r="I1471" t="s">
        <v>1359</v>
      </c>
      <c r="J1471" t="s">
        <v>1358</v>
      </c>
      <c r="K1471" t="s">
        <v>1358</v>
      </c>
      <c r="L1471" t="s">
        <v>1357</v>
      </c>
    </row>
    <row r="1472" spans="1:14">
      <c r="H1472" t="s">
        <v>4088</v>
      </c>
      <c r="I1472" t="s">
        <v>1357</v>
      </c>
      <c r="J1472" t="s">
        <v>1357</v>
      </c>
      <c r="K1472" t="s">
        <v>1357</v>
      </c>
      <c r="L1472" t="s">
        <v>1357</v>
      </c>
    </row>
    <row r="1473" spans="1:14">
      <c r="F1473" t="s">
        <v>2651</v>
      </c>
      <c r="G1473" t="s">
        <v>3081</v>
      </c>
      <c r="H1473" t="s">
        <v>4089</v>
      </c>
      <c r="I1473" t="s">
        <v>1357</v>
      </c>
      <c r="J1473" t="s">
        <v>1357</v>
      </c>
      <c r="K1473" t="s">
        <v>1357</v>
      </c>
      <c r="L1473" t="s">
        <v>1357</v>
      </c>
    </row>
    <row r="1474" spans="1:14">
      <c r="A1474" t="s">
        <v>2034</v>
      </c>
      <c r="B1474">
        <f>HYPERLINK("https://github.com/apache/commons-math/commit/1a6879a0023a2892323221622e0d1e759613c68f", "1a6879a0023a2892323221622e0d1e759613c68f")</f>
        <v>0</v>
      </c>
      <c r="C1474">
        <f>HYPERLINK("https://github.com/apache/commons-math/commit/499101c88c8158844e7bbdcba35b8fe91bed8314", "499101c88c8158844e7bbdcba35b8fe91bed8314")</f>
        <v>0</v>
      </c>
      <c r="D1474" t="s">
        <v>2148</v>
      </c>
      <c r="E1474" t="s">
        <v>2323</v>
      </c>
      <c r="F1474" t="s">
        <v>2652</v>
      </c>
      <c r="G1474" t="s">
        <v>3083</v>
      </c>
      <c r="H1474" t="s">
        <v>3870</v>
      </c>
      <c r="I1474" t="s">
        <v>1357</v>
      </c>
      <c r="J1474" t="s">
        <v>1357</v>
      </c>
      <c r="K1474" t="s">
        <v>1357</v>
      </c>
      <c r="L1474" t="s">
        <v>1357</v>
      </c>
    </row>
    <row r="1475" spans="1:14">
      <c r="A1475" t="s">
        <v>2035</v>
      </c>
      <c r="B1475">
        <f>HYPERLINK("https://github.com/apache/commons-math/commit/a9d0cc42fe5ef7fe35256bff4844b9f1b6d347e1", "a9d0cc42fe5ef7fe35256bff4844b9f1b6d347e1")</f>
        <v>0</v>
      </c>
      <c r="C1475">
        <f>HYPERLINK("https://github.com/apache/commons-math/commit/1cd5a3229c2fb9b35fa0ced635765bf59497d074", "1cd5a3229c2fb9b35fa0ced635765bf59497d074")</f>
        <v>0</v>
      </c>
      <c r="D1475" t="s">
        <v>2148</v>
      </c>
      <c r="E1475" t="s">
        <v>2324</v>
      </c>
      <c r="F1475" t="s">
        <v>2629</v>
      </c>
      <c r="G1475" t="s">
        <v>3063</v>
      </c>
      <c r="H1475" t="s">
        <v>904</v>
      </c>
      <c r="I1475" t="s">
        <v>1357</v>
      </c>
      <c r="J1475" t="s">
        <v>1357</v>
      </c>
      <c r="K1475" t="s">
        <v>1357</v>
      </c>
      <c r="L1475" t="s">
        <v>1357</v>
      </c>
      <c r="N1475" t="s">
        <v>1360</v>
      </c>
    </row>
    <row r="1476" spans="1:14">
      <c r="H1476" t="s">
        <v>4090</v>
      </c>
      <c r="I1476" t="s">
        <v>1357</v>
      </c>
      <c r="J1476" t="s">
        <v>1357</v>
      </c>
      <c r="K1476" t="s">
        <v>1357</v>
      </c>
      <c r="L1476" t="s">
        <v>1357</v>
      </c>
      <c r="N1476" t="s">
        <v>1360</v>
      </c>
    </row>
    <row r="1477" spans="1:14">
      <c r="A1477" t="s">
        <v>2036</v>
      </c>
      <c r="B1477">
        <f>HYPERLINK("https://github.com/apache/commons-math/commit/1744e2803f1600761afb2ea8a91a7fd12f7fbc94", "1744e2803f1600761afb2ea8a91a7fd12f7fbc94")</f>
        <v>0</v>
      </c>
      <c r="C1477">
        <f>HYPERLINK("https://github.com/apache/commons-math/commit/b6a5d26e7473ff4ab3a11bd99515e4dbff8193ff", "b6a5d26e7473ff4ab3a11bd99515e4dbff8193ff")</f>
        <v>0</v>
      </c>
      <c r="D1477" t="s">
        <v>2148</v>
      </c>
      <c r="E1477" t="s">
        <v>2325</v>
      </c>
      <c r="F1477" t="s">
        <v>2653</v>
      </c>
      <c r="G1477" t="s">
        <v>2934</v>
      </c>
      <c r="H1477" t="s">
        <v>4091</v>
      </c>
      <c r="I1477" t="s">
        <v>1357</v>
      </c>
      <c r="J1477" t="s">
        <v>1357</v>
      </c>
      <c r="K1477" t="s">
        <v>1357</v>
      </c>
      <c r="L1477" t="s">
        <v>1357</v>
      </c>
      <c r="N1477" t="s">
        <v>5112</v>
      </c>
    </row>
    <row r="1478" spans="1:14">
      <c r="A1478" t="s">
        <v>2037</v>
      </c>
      <c r="B1478">
        <f>HYPERLINK("https://github.com/apache/commons-math/commit/f25a61670e378dd7f24ac45f55df00632979192e", "f25a61670e378dd7f24ac45f55df00632979192e")</f>
        <v>0</v>
      </c>
      <c r="C1478">
        <f>HYPERLINK("https://github.com/apache/commons-math/commit/2af899b74b5969bb56a2ef813315a1d85f0c9fcc", "2af899b74b5969bb56a2ef813315a1d85f0c9fcc")</f>
        <v>0</v>
      </c>
      <c r="D1478" t="s">
        <v>2146</v>
      </c>
      <c r="E1478" t="s">
        <v>2326</v>
      </c>
      <c r="F1478" t="s">
        <v>2654</v>
      </c>
      <c r="G1478" t="s">
        <v>3084</v>
      </c>
      <c r="H1478" t="s">
        <v>4092</v>
      </c>
      <c r="I1478" t="s">
        <v>1359</v>
      </c>
      <c r="J1478" t="s">
        <v>1358</v>
      </c>
      <c r="K1478" t="s">
        <v>1358</v>
      </c>
      <c r="L1478" t="s">
        <v>1357</v>
      </c>
    </row>
    <row r="1479" spans="1:14">
      <c r="A1479" t="s">
        <v>2038</v>
      </c>
      <c r="B1479">
        <f>HYPERLINK("https://github.com/apache/commons-math/commit/d8bfc8c8f8864f9c22e0409780d5dd3fb30497ff", "d8bfc8c8f8864f9c22e0409780d5dd3fb30497ff")</f>
        <v>0</v>
      </c>
      <c r="C1479">
        <f>HYPERLINK("https://github.com/apache/commons-math/commit/a3fdeb4da91d8aef50f40a3f9906494593ce2eca", "a3fdeb4da91d8aef50f40a3f9906494593ce2eca")</f>
        <v>0</v>
      </c>
      <c r="D1479" t="s">
        <v>2154</v>
      </c>
      <c r="E1479" t="s">
        <v>2327</v>
      </c>
      <c r="F1479" t="s">
        <v>2655</v>
      </c>
      <c r="G1479" t="s">
        <v>3085</v>
      </c>
      <c r="H1479" t="s">
        <v>3881</v>
      </c>
      <c r="I1479" t="s">
        <v>1357</v>
      </c>
      <c r="J1479" t="s">
        <v>1357</v>
      </c>
      <c r="K1479" t="s">
        <v>1357</v>
      </c>
      <c r="L1479" t="s">
        <v>1357</v>
      </c>
    </row>
    <row r="1480" spans="1:14">
      <c r="H1480" t="s">
        <v>3882</v>
      </c>
      <c r="I1480" t="s">
        <v>1357</v>
      </c>
      <c r="J1480" t="s">
        <v>1357</v>
      </c>
      <c r="K1480" t="s">
        <v>1357</v>
      </c>
      <c r="L1480" t="s">
        <v>1357</v>
      </c>
    </row>
    <row r="1481" spans="1:14">
      <c r="H1481" t="s">
        <v>4093</v>
      </c>
      <c r="I1481" t="s">
        <v>1357</v>
      </c>
      <c r="J1481" t="s">
        <v>1357</v>
      </c>
      <c r="K1481" t="s">
        <v>1357</v>
      </c>
      <c r="L1481" t="s">
        <v>1357</v>
      </c>
    </row>
    <row r="1482" spans="1:14">
      <c r="H1482" t="s">
        <v>4094</v>
      </c>
      <c r="I1482" t="s">
        <v>1357</v>
      </c>
      <c r="J1482" t="s">
        <v>1357</v>
      </c>
      <c r="K1482" t="s">
        <v>1357</v>
      </c>
      <c r="L1482" t="s">
        <v>1357</v>
      </c>
    </row>
    <row r="1483" spans="1:14">
      <c r="H1483" t="s">
        <v>4095</v>
      </c>
      <c r="I1483" t="s">
        <v>1358</v>
      </c>
      <c r="J1483" t="s">
        <v>1358</v>
      </c>
      <c r="K1483" t="s">
        <v>1358</v>
      </c>
      <c r="L1483" t="s">
        <v>1358</v>
      </c>
      <c r="N1483" t="s">
        <v>5113</v>
      </c>
    </row>
    <row r="1484" spans="1:14">
      <c r="H1484" t="s">
        <v>4096</v>
      </c>
      <c r="I1484" t="s">
        <v>1358</v>
      </c>
      <c r="J1484" t="s">
        <v>1358</v>
      </c>
      <c r="K1484" t="s">
        <v>1358</v>
      </c>
      <c r="L1484" t="s">
        <v>1358</v>
      </c>
    </row>
    <row r="1485" spans="1:14">
      <c r="H1485" t="s">
        <v>4097</v>
      </c>
      <c r="I1485" t="s">
        <v>1357</v>
      </c>
      <c r="J1485" t="s">
        <v>1357</v>
      </c>
      <c r="K1485" t="s">
        <v>1357</v>
      </c>
      <c r="L1485" t="s">
        <v>1357</v>
      </c>
    </row>
    <row r="1486" spans="1:14">
      <c r="A1486" t="s">
        <v>2039</v>
      </c>
      <c r="B1486">
        <f>HYPERLINK("https://github.com/apache/commons-math/commit/2c94388179fd38bc95e3b47af96666493027f57d", "2c94388179fd38bc95e3b47af96666493027f57d")</f>
        <v>0</v>
      </c>
      <c r="C1486">
        <f>HYPERLINK("https://github.com/apache/commons-math/commit/745d383af12137ccbcbe1f3cb4c9db73f87a66ca", "745d383af12137ccbcbe1f3cb4c9db73f87a66ca")</f>
        <v>0</v>
      </c>
      <c r="D1486" t="s">
        <v>2155</v>
      </c>
      <c r="E1486" t="s">
        <v>2328</v>
      </c>
      <c r="F1486" t="s">
        <v>2656</v>
      </c>
      <c r="G1486" t="s">
        <v>3086</v>
      </c>
      <c r="H1486" t="s">
        <v>4098</v>
      </c>
      <c r="I1486" t="s">
        <v>1357</v>
      </c>
      <c r="J1486" t="s">
        <v>1357</v>
      </c>
      <c r="K1486" t="s">
        <v>1357</v>
      </c>
      <c r="L1486" t="s">
        <v>1357</v>
      </c>
    </row>
    <row r="1487" spans="1:14">
      <c r="H1487" t="s">
        <v>4099</v>
      </c>
      <c r="I1487" t="s">
        <v>1357</v>
      </c>
      <c r="J1487" t="s">
        <v>1357</v>
      </c>
      <c r="K1487" t="s">
        <v>1357</v>
      </c>
      <c r="L1487" t="s">
        <v>1357</v>
      </c>
    </row>
    <row r="1488" spans="1:14">
      <c r="H1488" t="s">
        <v>4100</v>
      </c>
      <c r="I1488" t="s">
        <v>1357</v>
      </c>
      <c r="J1488" t="s">
        <v>1357</v>
      </c>
      <c r="K1488" t="s">
        <v>1357</v>
      </c>
      <c r="L1488" t="s">
        <v>1357</v>
      </c>
    </row>
    <row r="1489" spans="6:12">
      <c r="H1489" t="s">
        <v>4101</v>
      </c>
      <c r="I1489" t="s">
        <v>1357</v>
      </c>
      <c r="J1489" t="s">
        <v>1357</v>
      </c>
      <c r="K1489" t="s">
        <v>1357</v>
      </c>
      <c r="L1489" t="s">
        <v>1357</v>
      </c>
    </row>
    <row r="1490" spans="6:12">
      <c r="H1490" t="s">
        <v>4102</v>
      </c>
      <c r="I1490" t="s">
        <v>1357</v>
      </c>
      <c r="J1490" t="s">
        <v>1357</v>
      </c>
      <c r="K1490" t="s">
        <v>1357</v>
      </c>
      <c r="L1490" t="s">
        <v>1357</v>
      </c>
    </row>
    <row r="1491" spans="6:12">
      <c r="H1491" t="s">
        <v>4103</v>
      </c>
      <c r="I1491" t="s">
        <v>1357</v>
      </c>
      <c r="J1491" t="s">
        <v>1357</v>
      </c>
      <c r="K1491" t="s">
        <v>1357</v>
      </c>
      <c r="L1491" t="s">
        <v>1357</v>
      </c>
    </row>
    <row r="1492" spans="6:12">
      <c r="H1492" t="s">
        <v>4104</v>
      </c>
      <c r="I1492" t="s">
        <v>1357</v>
      </c>
      <c r="J1492" t="s">
        <v>1357</v>
      </c>
      <c r="K1492" t="s">
        <v>1357</v>
      </c>
      <c r="L1492" t="s">
        <v>1357</v>
      </c>
    </row>
    <row r="1493" spans="6:12">
      <c r="F1493" t="s">
        <v>2657</v>
      </c>
      <c r="G1493" t="s">
        <v>3087</v>
      </c>
      <c r="H1493" t="s">
        <v>4105</v>
      </c>
      <c r="I1493" t="s">
        <v>1357</v>
      </c>
      <c r="J1493" t="s">
        <v>1357</v>
      </c>
      <c r="K1493" t="s">
        <v>1357</v>
      </c>
      <c r="L1493" t="s">
        <v>1357</v>
      </c>
    </row>
    <row r="1494" spans="6:12">
      <c r="H1494" t="s">
        <v>4106</v>
      </c>
      <c r="I1494" t="s">
        <v>1357</v>
      </c>
      <c r="J1494" t="s">
        <v>1357</v>
      </c>
      <c r="K1494" t="s">
        <v>1357</v>
      </c>
      <c r="L1494" t="s">
        <v>1357</v>
      </c>
    </row>
    <row r="1495" spans="6:12">
      <c r="H1495" t="s">
        <v>4107</v>
      </c>
      <c r="I1495" t="s">
        <v>1357</v>
      </c>
      <c r="J1495" t="s">
        <v>1357</v>
      </c>
      <c r="K1495" t="s">
        <v>1357</v>
      </c>
      <c r="L1495" t="s">
        <v>1357</v>
      </c>
    </row>
    <row r="1496" spans="6:12">
      <c r="H1496" t="s">
        <v>3853</v>
      </c>
      <c r="I1496" t="s">
        <v>1357</v>
      </c>
      <c r="J1496" t="s">
        <v>1357</v>
      </c>
      <c r="K1496" t="s">
        <v>1357</v>
      </c>
      <c r="L1496" t="s">
        <v>1357</v>
      </c>
    </row>
    <row r="1497" spans="6:12">
      <c r="F1497" t="s">
        <v>2658</v>
      </c>
      <c r="G1497" t="s">
        <v>3088</v>
      </c>
      <c r="H1497" t="s">
        <v>4105</v>
      </c>
      <c r="I1497" t="s">
        <v>1357</v>
      </c>
      <c r="J1497" t="s">
        <v>1357</v>
      </c>
      <c r="K1497" t="s">
        <v>1357</v>
      </c>
      <c r="L1497" t="s">
        <v>1357</v>
      </c>
    </row>
    <row r="1498" spans="6:12">
      <c r="H1498" t="s">
        <v>4106</v>
      </c>
      <c r="I1498" t="s">
        <v>1357</v>
      </c>
      <c r="J1498" t="s">
        <v>1357</v>
      </c>
      <c r="K1498" t="s">
        <v>1357</v>
      </c>
      <c r="L1498" t="s">
        <v>1357</v>
      </c>
    </row>
    <row r="1499" spans="6:12">
      <c r="H1499" t="s">
        <v>4107</v>
      </c>
      <c r="I1499" t="s">
        <v>1357</v>
      </c>
      <c r="J1499" t="s">
        <v>1357</v>
      </c>
      <c r="K1499" t="s">
        <v>1357</v>
      </c>
      <c r="L1499" t="s">
        <v>1357</v>
      </c>
    </row>
    <row r="1500" spans="6:12">
      <c r="H1500" t="s">
        <v>3853</v>
      </c>
      <c r="I1500" t="s">
        <v>1357</v>
      </c>
      <c r="J1500" t="s">
        <v>1357</v>
      </c>
      <c r="K1500" t="s">
        <v>1357</v>
      </c>
      <c r="L1500" t="s">
        <v>1357</v>
      </c>
    </row>
    <row r="1501" spans="6:12">
      <c r="F1501" t="s">
        <v>2659</v>
      </c>
      <c r="G1501" t="s">
        <v>3089</v>
      </c>
      <c r="H1501" t="s">
        <v>3710</v>
      </c>
      <c r="I1501" t="s">
        <v>1357</v>
      </c>
      <c r="J1501" t="s">
        <v>1357</v>
      </c>
      <c r="K1501" t="s">
        <v>1357</v>
      </c>
      <c r="L1501" t="s">
        <v>1357</v>
      </c>
    </row>
    <row r="1502" spans="6:12">
      <c r="H1502" t="s">
        <v>4108</v>
      </c>
      <c r="I1502" t="s">
        <v>1357</v>
      </c>
      <c r="J1502" t="s">
        <v>1357</v>
      </c>
      <c r="K1502" t="s">
        <v>1357</v>
      </c>
      <c r="L1502" t="s">
        <v>1357</v>
      </c>
    </row>
    <row r="1503" spans="6:12">
      <c r="H1503" t="s">
        <v>4109</v>
      </c>
      <c r="I1503" t="s">
        <v>1357</v>
      </c>
      <c r="J1503" t="s">
        <v>1357</v>
      </c>
      <c r="K1503" t="s">
        <v>1357</v>
      </c>
      <c r="L1503" t="s">
        <v>1357</v>
      </c>
    </row>
    <row r="1504" spans="6:12">
      <c r="H1504" t="s">
        <v>4110</v>
      </c>
      <c r="I1504" t="s">
        <v>1357</v>
      </c>
      <c r="J1504" t="s">
        <v>1357</v>
      </c>
      <c r="K1504" t="s">
        <v>1357</v>
      </c>
      <c r="L1504" t="s">
        <v>1357</v>
      </c>
    </row>
    <row r="1505" spans="1:12">
      <c r="H1505" t="s">
        <v>4111</v>
      </c>
      <c r="I1505" t="s">
        <v>1357</v>
      </c>
      <c r="J1505" t="s">
        <v>1357</v>
      </c>
      <c r="K1505" t="s">
        <v>1357</v>
      </c>
      <c r="L1505" t="s">
        <v>1357</v>
      </c>
    </row>
    <row r="1506" spans="1:12">
      <c r="A1506" t="s">
        <v>2040</v>
      </c>
      <c r="B1506">
        <f>HYPERLINK("https://github.com/apache/commons-math/commit/6e368658c4e055240fbc1da53f2972c291af7395", "6e368658c4e055240fbc1da53f2972c291af7395")</f>
        <v>0</v>
      </c>
      <c r="C1506">
        <f>HYPERLINK("https://github.com/apache/commons-math/commit/24e3c8632ea8d47c135caafe87f8274d096faa2d", "24e3c8632ea8d47c135caafe87f8274d096faa2d")</f>
        <v>0</v>
      </c>
      <c r="D1506" t="s">
        <v>2155</v>
      </c>
      <c r="E1506" t="s">
        <v>2329</v>
      </c>
      <c r="F1506" t="s">
        <v>2660</v>
      </c>
      <c r="G1506" t="s">
        <v>2934</v>
      </c>
      <c r="H1506" t="s">
        <v>4112</v>
      </c>
      <c r="I1506" t="s">
        <v>1357</v>
      </c>
      <c r="J1506" t="s">
        <v>1357</v>
      </c>
      <c r="K1506" t="s">
        <v>1357</v>
      </c>
      <c r="L1506" t="s">
        <v>1357</v>
      </c>
    </row>
    <row r="1507" spans="1:12">
      <c r="A1507" t="s">
        <v>2041</v>
      </c>
      <c r="B1507">
        <f>HYPERLINK("https://github.com/apache/commons-math/commit/6d50174baa3fa3c21ad8d20fa6f3c0a62cf74394", "6d50174baa3fa3c21ad8d20fa6f3c0a62cf74394")</f>
        <v>0</v>
      </c>
      <c r="C1507">
        <f>HYPERLINK("https://github.com/apache/commons-math/commit/d0c62a848c196325a228e0566416f8ef40c120fe", "d0c62a848c196325a228e0566416f8ef40c120fe")</f>
        <v>0</v>
      </c>
      <c r="D1507" t="s">
        <v>2155</v>
      </c>
      <c r="E1507" t="s">
        <v>2330</v>
      </c>
      <c r="F1507" t="s">
        <v>2661</v>
      </c>
      <c r="G1507" t="s">
        <v>3090</v>
      </c>
      <c r="H1507" t="s">
        <v>4113</v>
      </c>
      <c r="I1507" t="s">
        <v>1357</v>
      </c>
      <c r="J1507" t="s">
        <v>1357</v>
      </c>
      <c r="K1507" t="s">
        <v>1357</v>
      </c>
      <c r="L1507" t="s">
        <v>1357</v>
      </c>
    </row>
    <row r="1508" spans="1:12">
      <c r="H1508" t="s">
        <v>4114</v>
      </c>
      <c r="I1508" t="s">
        <v>1357</v>
      </c>
      <c r="J1508" t="s">
        <v>1357</v>
      </c>
      <c r="K1508" t="s">
        <v>1357</v>
      </c>
      <c r="L1508" t="s">
        <v>1357</v>
      </c>
    </row>
    <row r="1509" spans="1:12">
      <c r="H1509" t="s">
        <v>4115</v>
      </c>
      <c r="I1509" t="s">
        <v>1357</v>
      </c>
      <c r="J1509" t="s">
        <v>1357</v>
      </c>
      <c r="K1509" t="s">
        <v>1357</v>
      </c>
      <c r="L1509" t="s">
        <v>1357</v>
      </c>
    </row>
    <row r="1510" spans="1:12">
      <c r="H1510" t="s">
        <v>4116</v>
      </c>
      <c r="I1510" t="s">
        <v>1357</v>
      </c>
      <c r="J1510" t="s">
        <v>1357</v>
      </c>
      <c r="K1510" t="s">
        <v>1357</v>
      </c>
      <c r="L1510" t="s">
        <v>1357</v>
      </c>
    </row>
    <row r="1511" spans="1:12">
      <c r="H1511" t="s">
        <v>4117</v>
      </c>
      <c r="I1511" t="s">
        <v>1357</v>
      </c>
      <c r="J1511" t="s">
        <v>1357</v>
      </c>
      <c r="K1511" t="s">
        <v>1357</v>
      </c>
      <c r="L1511" t="s">
        <v>1357</v>
      </c>
    </row>
    <row r="1512" spans="1:12">
      <c r="A1512" t="s">
        <v>2042</v>
      </c>
      <c r="B1512">
        <f>HYPERLINK("https://github.com/apache/commons-math/commit/e6fe53fdae66b16ed0f0d32d68b75e62925c4c71", "e6fe53fdae66b16ed0f0d32d68b75e62925c4c71")</f>
        <v>0</v>
      </c>
      <c r="C1512">
        <f>HYPERLINK("https://github.com/apache/commons-math/commit/ff4ec1a323ba619cdcb0e82cfcdf08993b0e9202", "ff4ec1a323ba619cdcb0e82cfcdf08993b0e9202")</f>
        <v>0</v>
      </c>
      <c r="D1512" t="s">
        <v>2155</v>
      </c>
      <c r="E1512" t="s">
        <v>2331</v>
      </c>
      <c r="F1512" t="s">
        <v>2662</v>
      </c>
      <c r="G1512" t="s">
        <v>3091</v>
      </c>
      <c r="H1512" t="s">
        <v>4118</v>
      </c>
      <c r="I1512" t="s">
        <v>1357</v>
      </c>
      <c r="J1512" t="s">
        <v>1357</v>
      </c>
      <c r="K1512" t="s">
        <v>1357</v>
      </c>
      <c r="L1512" t="s">
        <v>1357</v>
      </c>
    </row>
    <row r="1513" spans="1:12">
      <c r="H1513" t="s">
        <v>4119</v>
      </c>
      <c r="I1513" t="s">
        <v>1357</v>
      </c>
      <c r="J1513" t="s">
        <v>1357</v>
      </c>
      <c r="K1513" t="s">
        <v>1357</v>
      </c>
      <c r="L1513" t="s">
        <v>1357</v>
      </c>
    </row>
    <row r="1514" spans="1:12">
      <c r="H1514" t="s">
        <v>3830</v>
      </c>
      <c r="I1514" t="s">
        <v>1357</v>
      </c>
      <c r="J1514" t="s">
        <v>1357</v>
      </c>
      <c r="K1514" t="s">
        <v>1357</v>
      </c>
      <c r="L1514" t="s">
        <v>1357</v>
      </c>
    </row>
    <row r="1515" spans="1:12">
      <c r="H1515" t="s">
        <v>4120</v>
      </c>
      <c r="I1515" t="s">
        <v>1357</v>
      </c>
      <c r="J1515" t="s">
        <v>1357</v>
      </c>
      <c r="K1515" t="s">
        <v>1357</v>
      </c>
      <c r="L1515" t="s">
        <v>1357</v>
      </c>
    </row>
    <row r="1516" spans="1:12">
      <c r="A1516" t="s">
        <v>2043</v>
      </c>
      <c r="B1516">
        <f>HYPERLINK("https://github.com/apache/commons-math/commit/4be09dfff27baf84c8c500e38e1a1e5a99f3f1a9", "4be09dfff27baf84c8c500e38e1a1e5a99f3f1a9")</f>
        <v>0</v>
      </c>
      <c r="C1516">
        <f>HYPERLINK("https://github.com/apache/commons-math/commit/4140e01266cf6ba3b2d3ef373dcd8357c30d8d08", "4140e01266cf6ba3b2d3ef373dcd8357c30d8d08")</f>
        <v>0</v>
      </c>
      <c r="D1516" t="s">
        <v>2155</v>
      </c>
      <c r="E1516" t="s">
        <v>2332</v>
      </c>
      <c r="F1516" t="s">
        <v>2663</v>
      </c>
      <c r="G1516" t="s">
        <v>3092</v>
      </c>
      <c r="H1516" t="s">
        <v>4092</v>
      </c>
      <c r="I1516" t="s">
        <v>1357</v>
      </c>
      <c r="J1516" t="s">
        <v>1357</v>
      </c>
      <c r="K1516" t="s">
        <v>1357</v>
      </c>
      <c r="L1516" t="s">
        <v>1357</v>
      </c>
    </row>
    <row r="1517" spans="1:12">
      <c r="A1517" t="s">
        <v>2044</v>
      </c>
      <c r="B1517">
        <f>HYPERLINK("https://github.com/apache/commons-math/commit/ece7c6fc67c0d584f4884c5b17ddf491a397fdfe", "ece7c6fc67c0d584f4884c5b17ddf491a397fdfe")</f>
        <v>0</v>
      </c>
      <c r="C1517">
        <f>HYPERLINK("https://github.com/apache/commons-math/commit/4be09dfff27baf84c8c500e38e1a1e5a99f3f1a9", "4be09dfff27baf84c8c500e38e1a1e5a99f3f1a9")</f>
        <v>0</v>
      </c>
      <c r="D1517" t="s">
        <v>2155</v>
      </c>
      <c r="E1517" t="s">
        <v>2333</v>
      </c>
      <c r="F1517" t="s">
        <v>2664</v>
      </c>
      <c r="G1517" t="s">
        <v>3093</v>
      </c>
      <c r="H1517" t="s">
        <v>4121</v>
      </c>
      <c r="I1517" t="s">
        <v>1357</v>
      </c>
      <c r="J1517" t="s">
        <v>1357</v>
      </c>
      <c r="K1517" t="s">
        <v>1357</v>
      </c>
      <c r="L1517" t="s">
        <v>1357</v>
      </c>
    </row>
    <row r="1518" spans="1:12">
      <c r="H1518" t="s">
        <v>4122</v>
      </c>
      <c r="I1518" t="s">
        <v>1357</v>
      </c>
      <c r="J1518" t="s">
        <v>1357</v>
      </c>
      <c r="K1518" t="s">
        <v>1357</v>
      </c>
      <c r="L1518" t="s">
        <v>1357</v>
      </c>
    </row>
    <row r="1519" spans="1:12">
      <c r="F1519" t="s">
        <v>2665</v>
      </c>
      <c r="G1519" t="s">
        <v>3094</v>
      </c>
      <c r="H1519" t="s">
        <v>4121</v>
      </c>
      <c r="I1519" t="s">
        <v>1357</v>
      </c>
      <c r="J1519" t="s">
        <v>1357</v>
      </c>
      <c r="K1519" t="s">
        <v>1357</v>
      </c>
      <c r="L1519" t="s">
        <v>1357</v>
      </c>
    </row>
    <row r="1520" spans="1:12">
      <c r="H1520" t="s">
        <v>4122</v>
      </c>
      <c r="I1520" t="s">
        <v>1357</v>
      </c>
      <c r="J1520" t="s">
        <v>1357</v>
      </c>
      <c r="K1520" t="s">
        <v>1357</v>
      </c>
      <c r="L1520" t="s">
        <v>1357</v>
      </c>
    </row>
    <row r="1521" spans="1:12">
      <c r="A1521" t="s">
        <v>2045</v>
      </c>
      <c r="B1521">
        <f>HYPERLINK("https://github.com/apache/commons-math/commit/b4669aad3f2185894db7d4fb84cbcc311c32e34d", "b4669aad3f2185894db7d4fb84cbcc311c32e34d")</f>
        <v>0</v>
      </c>
      <c r="C1521">
        <f>HYPERLINK("https://github.com/apache/commons-math/commit/35b688b7ec3b32dc671af4c7cb9556ff26e761eb", "35b688b7ec3b32dc671af4c7cb9556ff26e761eb")</f>
        <v>0</v>
      </c>
      <c r="D1521" t="s">
        <v>2155</v>
      </c>
      <c r="E1521" t="s">
        <v>2334</v>
      </c>
      <c r="F1521" t="s">
        <v>2666</v>
      </c>
      <c r="G1521" t="s">
        <v>3095</v>
      </c>
      <c r="H1521" t="s">
        <v>3875</v>
      </c>
      <c r="I1521" t="s">
        <v>1357</v>
      </c>
      <c r="J1521" t="s">
        <v>1357</v>
      </c>
      <c r="K1521" t="s">
        <v>1357</v>
      </c>
      <c r="L1521" t="s">
        <v>1357</v>
      </c>
    </row>
    <row r="1522" spans="1:12">
      <c r="F1522" t="s">
        <v>2667</v>
      </c>
      <c r="G1522" t="s">
        <v>3096</v>
      </c>
      <c r="H1522" t="s">
        <v>3863</v>
      </c>
      <c r="I1522" t="s">
        <v>1357</v>
      </c>
      <c r="J1522" t="s">
        <v>1357</v>
      </c>
      <c r="K1522" t="s">
        <v>1357</v>
      </c>
      <c r="L1522" t="s">
        <v>1357</v>
      </c>
    </row>
    <row r="1523" spans="1:12">
      <c r="H1523" t="s">
        <v>4123</v>
      </c>
      <c r="I1523" t="s">
        <v>1357</v>
      </c>
      <c r="J1523" t="s">
        <v>1357</v>
      </c>
      <c r="K1523" t="s">
        <v>1357</v>
      </c>
      <c r="L1523" t="s">
        <v>1357</v>
      </c>
    </row>
    <row r="1524" spans="1:12">
      <c r="F1524" t="s">
        <v>2668</v>
      </c>
      <c r="G1524" t="s">
        <v>3097</v>
      </c>
      <c r="H1524" t="s">
        <v>3856</v>
      </c>
      <c r="I1524" t="s">
        <v>1357</v>
      </c>
      <c r="J1524" t="s">
        <v>1357</v>
      </c>
      <c r="K1524" t="s">
        <v>1357</v>
      </c>
      <c r="L1524" t="s">
        <v>1357</v>
      </c>
    </row>
    <row r="1525" spans="1:12">
      <c r="F1525" t="s">
        <v>2669</v>
      </c>
      <c r="G1525" t="s">
        <v>3098</v>
      </c>
      <c r="H1525" t="s">
        <v>3853</v>
      </c>
      <c r="I1525" t="s">
        <v>1357</v>
      </c>
      <c r="J1525" t="s">
        <v>1357</v>
      </c>
      <c r="K1525" t="s">
        <v>1357</v>
      </c>
      <c r="L1525" t="s">
        <v>1357</v>
      </c>
    </row>
    <row r="1526" spans="1:12">
      <c r="F1526" t="s">
        <v>2670</v>
      </c>
      <c r="G1526" t="s">
        <v>3099</v>
      </c>
      <c r="H1526" t="s">
        <v>3853</v>
      </c>
      <c r="I1526" t="s">
        <v>1357</v>
      </c>
      <c r="J1526" t="s">
        <v>1357</v>
      </c>
      <c r="K1526" t="s">
        <v>1357</v>
      </c>
      <c r="L1526" t="s">
        <v>1357</v>
      </c>
    </row>
    <row r="1527" spans="1:12">
      <c r="F1527" t="s">
        <v>2671</v>
      </c>
      <c r="G1527" t="s">
        <v>3100</v>
      </c>
      <c r="H1527" t="s">
        <v>4124</v>
      </c>
      <c r="I1527" t="s">
        <v>1357</v>
      </c>
      <c r="J1527" t="s">
        <v>1357</v>
      </c>
      <c r="K1527" t="s">
        <v>1357</v>
      </c>
      <c r="L1527" t="s">
        <v>1357</v>
      </c>
    </row>
    <row r="1528" spans="1:12">
      <c r="H1528" t="s">
        <v>4125</v>
      </c>
      <c r="I1528" t="s">
        <v>1357</v>
      </c>
      <c r="J1528" t="s">
        <v>1357</v>
      </c>
      <c r="K1528" t="s">
        <v>1357</v>
      </c>
      <c r="L1528" t="s">
        <v>1357</v>
      </c>
    </row>
    <row r="1529" spans="1:12">
      <c r="H1529" t="s">
        <v>4126</v>
      </c>
      <c r="I1529" t="s">
        <v>1357</v>
      </c>
      <c r="J1529" t="s">
        <v>1357</v>
      </c>
      <c r="K1529" t="s">
        <v>1357</v>
      </c>
      <c r="L1529" t="s">
        <v>1357</v>
      </c>
    </row>
    <row r="1530" spans="1:12">
      <c r="F1530" t="s">
        <v>2672</v>
      </c>
      <c r="G1530" t="s">
        <v>3101</v>
      </c>
      <c r="H1530" t="s">
        <v>4124</v>
      </c>
      <c r="I1530" t="s">
        <v>1357</v>
      </c>
      <c r="J1530" t="s">
        <v>1357</v>
      </c>
      <c r="K1530" t="s">
        <v>1357</v>
      </c>
      <c r="L1530" t="s">
        <v>1357</v>
      </c>
    </row>
    <row r="1531" spans="1:12">
      <c r="H1531" t="s">
        <v>4125</v>
      </c>
      <c r="I1531" t="s">
        <v>1357</v>
      </c>
      <c r="J1531" t="s">
        <v>1357</v>
      </c>
      <c r="K1531" t="s">
        <v>1357</v>
      </c>
      <c r="L1531" t="s">
        <v>1357</v>
      </c>
    </row>
    <row r="1532" spans="1:12">
      <c r="H1532" t="s">
        <v>4126</v>
      </c>
      <c r="I1532" t="s">
        <v>1357</v>
      </c>
      <c r="J1532" t="s">
        <v>1357</v>
      </c>
      <c r="K1532" t="s">
        <v>1357</v>
      </c>
      <c r="L1532" t="s">
        <v>1357</v>
      </c>
    </row>
    <row r="1533" spans="1:12">
      <c r="F1533" t="s">
        <v>2673</v>
      </c>
      <c r="G1533" t="s">
        <v>3102</v>
      </c>
      <c r="H1533" t="s">
        <v>4124</v>
      </c>
      <c r="I1533" t="s">
        <v>1357</v>
      </c>
      <c r="J1533" t="s">
        <v>1357</v>
      </c>
      <c r="K1533" t="s">
        <v>1357</v>
      </c>
      <c r="L1533" t="s">
        <v>1357</v>
      </c>
    </row>
    <row r="1534" spans="1:12">
      <c r="H1534" t="s">
        <v>4125</v>
      </c>
      <c r="I1534" t="s">
        <v>1357</v>
      </c>
      <c r="J1534" t="s">
        <v>1357</v>
      </c>
      <c r="K1534" t="s">
        <v>1357</v>
      </c>
      <c r="L1534" t="s">
        <v>1357</v>
      </c>
    </row>
    <row r="1535" spans="1:12">
      <c r="H1535" t="s">
        <v>4126</v>
      </c>
      <c r="I1535" t="s">
        <v>1357</v>
      </c>
      <c r="J1535" t="s">
        <v>1357</v>
      </c>
      <c r="K1535" t="s">
        <v>1357</v>
      </c>
      <c r="L1535" t="s">
        <v>1357</v>
      </c>
    </row>
    <row r="1536" spans="1:12">
      <c r="F1536" t="s">
        <v>2674</v>
      </c>
      <c r="G1536" t="s">
        <v>3047</v>
      </c>
      <c r="H1536" t="s">
        <v>4127</v>
      </c>
      <c r="I1536" t="s">
        <v>1357</v>
      </c>
      <c r="J1536" t="s">
        <v>1357</v>
      </c>
      <c r="K1536" t="s">
        <v>1357</v>
      </c>
      <c r="L1536" t="s">
        <v>1357</v>
      </c>
    </row>
    <row r="1537" spans="8:12">
      <c r="H1537" t="s">
        <v>3923</v>
      </c>
      <c r="I1537" t="s">
        <v>1357</v>
      </c>
      <c r="J1537" t="s">
        <v>1357</v>
      </c>
      <c r="K1537" t="s">
        <v>1357</v>
      </c>
      <c r="L1537" t="s">
        <v>1357</v>
      </c>
    </row>
    <row r="1538" spans="8:12">
      <c r="H1538" t="s">
        <v>4128</v>
      </c>
      <c r="I1538" t="s">
        <v>1357</v>
      </c>
      <c r="J1538" t="s">
        <v>1357</v>
      </c>
      <c r="K1538" t="s">
        <v>1357</v>
      </c>
      <c r="L1538" t="s">
        <v>1357</v>
      </c>
    </row>
    <row r="1539" spans="8:12">
      <c r="H1539" t="s">
        <v>3842</v>
      </c>
      <c r="I1539" t="s">
        <v>1357</v>
      </c>
      <c r="J1539" t="s">
        <v>1357</v>
      </c>
      <c r="K1539" t="s">
        <v>1357</v>
      </c>
      <c r="L1539" t="s">
        <v>1357</v>
      </c>
    </row>
    <row r="1540" spans="8:12">
      <c r="H1540" t="s">
        <v>3928</v>
      </c>
      <c r="I1540" t="s">
        <v>1357</v>
      </c>
      <c r="J1540" t="s">
        <v>1357</v>
      </c>
      <c r="K1540" t="s">
        <v>1357</v>
      </c>
      <c r="L1540" t="s">
        <v>1357</v>
      </c>
    </row>
    <row r="1541" spans="8:12">
      <c r="H1541" t="s">
        <v>3929</v>
      </c>
      <c r="I1541" t="s">
        <v>1357</v>
      </c>
      <c r="J1541" t="s">
        <v>1357</v>
      </c>
      <c r="K1541" t="s">
        <v>1357</v>
      </c>
      <c r="L1541" t="s">
        <v>1357</v>
      </c>
    </row>
    <row r="1542" spans="8:12">
      <c r="H1542" t="s">
        <v>3930</v>
      </c>
      <c r="I1542" t="s">
        <v>1357</v>
      </c>
      <c r="J1542" t="s">
        <v>1357</v>
      </c>
      <c r="K1542" t="s">
        <v>1357</v>
      </c>
      <c r="L1542" t="s">
        <v>1357</v>
      </c>
    </row>
    <row r="1543" spans="8:12">
      <c r="H1543" t="s">
        <v>3931</v>
      </c>
      <c r="I1543" t="s">
        <v>1357</v>
      </c>
      <c r="J1543" t="s">
        <v>1357</v>
      </c>
      <c r="K1543" t="s">
        <v>1357</v>
      </c>
      <c r="L1543" t="s">
        <v>1357</v>
      </c>
    </row>
    <row r="1544" spans="8:12">
      <c r="H1544" t="s">
        <v>3932</v>
      </c>
      <c r="I1544" t="s">
        <v>1357</v>
      </c>
      <c r="J1544" t="s">
        <v>1357</v>
      </c>
      <c r="K1544" t="s">
        <v>1357</v>
      </c>
      <c r="L1544" t="s">
        <v>1357</v>
      </c>
    </row>
    <row r="1545" spans="8:12">
      <c r="H1545" t="s">
        <v>3933</v>
      </c>
      <c r="I1545" t="s">
        <v>1357</v>
      </c>
      <c r="J1545" t="s">
        <v>1357</v>
      </c>
      <c r="K1545" t="s">
        <v>1357</v>
      </c>
      <c r="L1545" t="s">
        <v>1357</v>
      </c>
    </row>
    <row r="1546" spans="8:12">
      <c r="H1546" t="s">
        <v>3934</v>
      </c>
      <c r="I1546" t="s">
        <v>1357</v>
      </c>
      <c r="J1546" t="s">
        <v>1357</v>
      </c>
      <c r="K1546" t="s">
        <v>1357</v>
      </c>
      <c r="L1546" t="s">
        <v>1357</v>
      </c>
    </row>
    <row r="1547" spans="8:12">
      <c r="H1547" t="s">
        <v>3935</v>
      </c>
      <c r="I1547" t="s">
        <v>1357</v>
      </c>
      <c r="J1547" t="s">
        <v>1357</v>
      </c>
      <c r="K1547" t="s">
        <v>1357</v>
      </c>
      <c r="L1547" t="s">
        <v>1357</v>
      </c>
    </row>
    <row r="1548" spans="8:12">
      <c r="H1548" t="s">
        <v>3936</v>
      </c>
      <c r="I1548" t="s">
        <v>1357</v>
      </c>
      <c r="J1548" t="s">
        <v>1357</v>
      </c>
      <c r="K1548" t="s">
        <v>1357</v>
      </c>
      <c r="L1548" t="s">
        <v>1357</v>
      </c>
    </row>
    <row r="1549" spans="8:12">
      <c r="H1549" t="s">
        <v>3937</v>
      </c>
      <c r="I1549" t="s">
        <v>1357</v>
      </c>
      <c r="J1549" t="s">
        <v>1357</v>
      </c>
      <c r="K1549" t="s">
        <v>1357</v>
      </c>
      <c r="L1549" t="s">
        <v>1357</v>
      </c>
    </row>
    <row r="1550" spans="8:12">
      <c r="H1550" t="s">
        <v>3938</v>
      </c>
      <c r="I1550" t="s">
        <v>1357</v>
      </c>
      <c r="J1550" t="s">
        <v>1357</v>
      </c>
      <c r="K1550" t="s">
        <v>1357</v>
      </c>
      <c r="L1550" t="s">
        <v>1357</v>
      </c>
    </row>
    <row r="1551" spans="8:12">
      <c r="H1551" t="s">
        <v>3939</v>
      </c>
      <c r="I1551" t="s">
        <v>1357</v>
      </c>
      <c r="J1551" t="s">
        <v>1357</v>
      </c>
      <c r="K1551" t="s">
        <v>1357</v>
      </c>
      <c r="L1551" t="s">
        <v>1357</v>
      </c>
    </row>
    <row r="1552" spans="8:12">
      <c r="H1552" t="s">
        <v>3940</v>
      </c>
      <c r="I1552" t="s">
        <v>1357</v>
      </c>
      <c r="J1552" t="s">
        <v>1357</v>
      </c>
      <c r="K1552" t="s">
        <v>1357</v>
      </c>
      <c r="L1552" t="s">
        <v>1357</v>
      </c>
    </row>
    <row r="1553" spans="6:12">
      <c r="H1553" t="s">
        <v>3941</v>
      </c>
      <c r="I1553" t="s">
        <v>1357</v>
      </c>
      <c r="J1553" t="s">
        <v>1357</v>
      </c>
      <c r="K1553" t="s">
        <v>1357</v>
      </c>
      <c r="L1553" t="s">
        <v>1357</v>
      </c>
    </row>
    <row r="1554" spans="6:12">
      <c r="H1554" t="s">
        <v>4129</v>
      </c>
      <c r="I1554" t="s">
        <v>1357</v>
      </c>
      <c r="J1554" t="s">
        <v>1357</v>
      </c>
      <c r="K1554" t="s">
        <v>1357</v>
      </c>
      <c r="L1554" t="s">
        <v>1357</v>
      </c>
    </row>
    <row r="1555" spans="6:12">
      <c r="F1555" t="s">
        <v>2675</v>
      </c>
      <c r="G1555" t="s">
        <v>3041</v>
      </c>
      <c r="H1555" t="s">
        <v>4130</v>
      </c>
      <c r="I1555" t="s">
        <v>1357</v>
      </c>
      <c r="J1555" t="s">
        <v>1357</v>
      </c>
      <c r="K1555" t="s">
        <v>1357</v>
      </c>
      <c r="L1555" t="s">
        <v>1357</v>
      </c>
    </row>
    <row r="1556" spans="6:12">
      <c r="H1556" t="s">
        <v>4131</v>
      </c>
      <c r="I1556" t="s">
        <v>1357</v>
      </c>
      <c r="J1556" t="s">
        <v>1357</v>
      </c>
      <c r="K1556" t="s">
        <v>1357</v>
      </c>
      <c r="L1556" t="s">
        <v>1357</v>
      </c>
    </row>
    <row r="1557" spans="6:12">
      <c r="H1557" t="s">
        <v>3923</v>
      </c>
      <c r="I1557" t="s">
        <v>1357</v>
      </c>
      <c r="J1557" t="s">
        <v>1357</v>
      </c>
      <c r="K1557" t="s">
        <v>1357</v>
      </c>
      <c r="L1557" t="s">
        <v>1357</v>
      </c>
    </row>
    <row r="1558" spans="6:12">
      <c r="H1558" t="s">
        <v>3925</v>
      </c>
      <c r="I1558" t="s">
        <v>1357</v>
      </c>
      <c r="J1558" t="s">
        <v>1357</v>
      </c>
      <c r="K1558" t="s">
        <v>1357</v>
      </c>
      <c r="L1558" t="s">
        <v>1357</v>
      </c>
    </row>
    <row r="1559" spans="6:12">
      <c r="H1559" t="s">
        <v>3926</v>
      </c>
      <c r="I1559" t="s">
        <v>1357</v>
      </c>
      <c r="J1559" t="s">
        <v>1357</v>
      </c>
      <c r="K1559" t="s">
        <v>1357</v>
      </c>
      <c r="L1559" t="s">
        <v>1357</v>
      </c>
    </row>
    <row r="1560" spans="6:12">
      <c r="H1560" t="s">
        <v>3927</v>
      </c>
      <c r="I1560" t="s">
        <v>1357</v>
      </c>
      <c r="J1560" t="s">
        <v>1357</v>
      </c>
      <c r="K1560" t="s">
        <v>1357</v>
      </c>
      <c r="L1560" t="s">
        <v>1357</v>
      </c>
    </row>
    <row r="1561" spans="6:12">
      <c r="H1561" t="s">
        <v>3928</v>
      </c>
      <c r="I1561" t="s">
        <v>1357</v>
      </c>
      <c r="J1561" t="s">
        <v>1357</v>
      </c>
      <c r="K1561" t="s">
        <v>1357</v>
      </c>
      <c r="L1561" t="s">
        <v>1357</v>
      </c>
    </row>
    <row r="1562" spans="6:12">
      <c r="H1562" t="s">
        <v>3929</v>
      </c>
      <c r="I1562" t="s">
        <v>1357</v>
      </c>
      <c r="J1562" t="s">
        <v>1357</v>
      </c>
      <c r="K1562" t="s">
        <v>1357</v>
      </c>
      <c r="L1562" t="s">
        <v>1357</v>
      </c>
    </row>
    <row r="1563" spans="6:12">
      <c r="H1563" t="s">
        <v>3930</v>
      </c>
      <c r="I1563" t="s">
        <v>1357</v>
      </c>
      <c r="J1563" t="s">
        <v>1357</v>
      </c>
      <c r="K1563" t="s">
        <v>1357</v>
      </c>
      <c r="L1563" t="s">
        <v>1357</v>
      </c>
    </row>
    <row r="1564" spans="6:12">
      <c r="H1564" t="s">
        <v>3931</v>
      </c>
      <c r="I1564" t="s">
        <v>1357</v>
      </c>
      <c r="J1564" t="s">
        <v>1357</v>
      </c>
      <c r="K1564" t="s">
        <v>1357</v>
      </c>
      <c r="L1564" t="s">
        <v>1357</v>
      </c>
    </row>
    <row r="1565" spans="6:12">
      <c r="H1565" t="s">
        <v>3932</v>
      </c>
      <c r="I1565" t="s">
        <v>1357</v>
      </c>
      <c r="J1565" t="s">
        <v>1357</v>
      </c>
      <c r="K1565" t="s">
        <v>1357</v>
      </c>
      <c r="L1565" t="s">
        <v>1357</v>
      </c>
    </row>
    <row r="1566" spans="6:12">
      <c r="H1566" t="s">
        <v>4132</v>
      </c>
      <c r="I1566" t="s">
        <v>1357</v>
      </c>
      <c r="J1566" t="s">
        <v>1357</v>
      </c>
      <c r="K1566" t="s">
        <v>1357</v>
      </c>
      <c r="L1566" t="s">
        <v>1357</v>
      </c>
    </row>
    <row r="1567" spans="6:12">
      <c r="H1567" t="s">
        <v>3933</v>
      </c>
      <c r="I1567" t="s">
        <v>1357</v>
      </c>
      <c r="J1567" t="s">
        <v>1357</v>
      </c>
      <c r="K1567" t="s">
        <v>1357</v>
      </c>
      <c r="L1567" t="s">
        <v>1357</v>
      </c>
    </row>
    <row r="1568" spans="6:12">
      <c r="H1568" t="s">
        <v>3934</v>
      </c>
      <c r="I1568" t="s">
        <v>1357</v>
      </c>
      <c r="J1568" t="s">
        <v>1357</v>
      </c>
      <c r="K1568" t="s">
        <v>1357</v>
      </c>
      <c r="L1568" t="s">
        <v>1357</v>
      </c>
    </row>
    <row r="1569" spans="6:12">
      <c r="H1569" t="s">
        <v>3935</v>
      </c>
      <c r="I1569" t="s">
        <v>1357</v>
      </c>
      <c r="J1569" t="s">
        <v>1357</v>
      </c>
      <c r="K1569" t="s">
        <v>1357</v>
      </c>
      <c r="L1569" t="s">
        <v>1357</v>
      </c>
    </row>
    <row r="1570" spans="6:12">
      <c r="H1570" t="s">
        <v>3936</v>
      </c>
      <c r="I1570" t="s">
        <v>1357</v>
      </c>
      <c r="J1570" t="s">
        <v>1357</v>
      </c>
      <c r="K1570" t="s">
        <v>1357</v>
      </c>
      <c r="L1570" t="s">
        <v>1357</v>
      </c>
    </row>
    <row r="1571" spans="6:12">
      <c r="H1571" t="s">
        <v>3937</v>
      </c>
      <c r="I1571" t="s">
        <v>1357</v>
      </c>
      <c r="J1571" t="s">
        <v>1357</v>
      </c>
      <c r="K1571" t="s">
        <v>1357</v>
      </c>
      <c r="L1571" t="s">
        <v>1357</v>
      </c>
    </row>
    <row r="1572" spans="6:12">
      <c r="H1572" t="s">
        <v>3938</v>
      </c>
      <c r="I1572" t="s">
        <v>1357</v>
      </c>
      <c r="J1572" t="s">
        <v>1357</v>
      </c>
      <c r="K1572" t="s">
        <v>1357</v>
      </c>
      <c r="L1572" t="s">
        <v>1357</v>
      </c>
    </row>
    <row r="1573" spans="6:12">
      <c r="H1573" t="s">
        <v>3939</v>
      </c>
      <c r="I1573" t="s">
        <v>1357</v>
      </c>
      <c r="J1573" t="s">
        <v>1357</v>
      </c>
      <c r="K1573" t="s">
        <v>1357</v>
      </c>
      <c r="L1573" t="s">
        <v>1357</v>
      </c>
    </row>
    <row r="1574" spans="6:12">
      <c r="H1574" t="s">
        <v>3940</v>
      </c>
      <c r="I1574" t="s">
        <v>1357</v>
      </c>
      <c r="J1574" t="s">
        <v>1357</v>
      </c>
      <c r="K1574" t="s">
        <v>1357</v>
      </c>
      <c r="L1574" t="s">
        <v>1357</v>
      </c>
    </row>
    <row r="1575" spans="6:12">
      <c r="H1575" t="s">
        <v>3941</v>
      </c>
      <c r="I1575" t="s">
        <v>1357</v>
      </c>
      <c r="J1575" t="s">
        <v>1357</v>
      </c>
      <c r="K1575" t="s">
        <v>1357</v>
      </c>
      <c r="L1575" t="s">
        <v>1357</v>
      </c>
    </row>
    <row r="1576" spans="6:12">
      <c r="H1576" t="s">
        <v>3942</v>
      </c>
      <c r="I1576" t="s">
        <v>1357</v>
      </c>
      <c r="J1576" t="s">
        <v>1357</v>
      </c>
      <c r="K1576" t="s">
        <v>1357</v>
      </c>
      <c r="L1576" t="s">
        <v>1357</v>
      </c>
    </row>
    <row r="1577" spans="6:12">
      <c r="H1577" t="s">
        <v>4133</v>
      </c>
      <c r="I1577" t="s">
        <v>1357</v>
      </c>
      <c r="J1577" t="s">
        <v>1357</v>
      </c>
      <c r="K1577" t="s">
        <v>1357</v>
      </c>
      <c r="L1577" t="s">
        <v>1357</v>
      </c>
    </row>
    <row r="1578" spans="6:12">
      <c r="H1578" t="s">
        <v>4134</v>
      </c>
      <c r="I1578" t="s">
        <v>1357</v>
      </c>
      <c r="J1578" t="s">
        <v>1357</v>
      </c>
      <c r="K1578" t="s">
        <v>1357</v>
      </c>
      <c r="L1578" t="s">
        <v>1357</v>
      </c>
    </row>
    <row r="1579" spans="6:12">
      <c r="F1579" t="s">
        <v>2676</v>
      </c>
      <c r="G1579" t="s">
        <v>3103</v>
      </c>
      <c r="H1579" t="s">
        <v>4135</v>
      </c>
      <c r="I1579" t="s">
        <v>1357</v>
      </c>
      <c r="J1579" t="s">
        <v>1357</v>
      </c>
      <c r="K1579" t="s">
        <v>1357</v>
      </c>
      <c r="L1579" t="s">
        <v>1357</v>
      </c>
    </row>
    <row r="1580" spans="6:12">
      <c r="H1580" t="s">
        <v>4136</v>
      </c>
      <c r="I1580" t="s">
        <v>1357</v>
      </c>
      <c r="J1580" t="s">
        <v>1357</v>
      </c>
      <c r="K1580" t="s">
        <v>1357</v>
      </c>
      <c r="L1580" t="s">
        <v>1357</v>
      </c>
    </row>
    <row r="1581" spans="6:12">
      <c r="H1581" t="s">
        <v>4137</v>
      </c>
      <c r="I1581" t="s">
        <v>1357</v>
      </c>
      <c r="J1581" t="s">
        <v>1357</v>
      </c>
      <c r="K1581" t="s">
        <v>1357</v>
      </c>
      <c r="L1581" t="s">
        <v>1357</v>
      </c>
    </row>
    <row r="1582" spans="6:12">
      <c r="H1582" t="s">
        <v>4138</v>
      </c>
      <c r="I1582" t="s">
        <v>1357</v>
      </c>
      <c r="J1582" t="s">
        <v>1357</v>
      </c>
      <c r="K1582" t="s">
        <v>1357</v>
      </c>
      <c r="L1582" t="s">
        <v>1357</v>
      </c>
    </row>
    <row r="1583" spans="6:12">
      <c r="F1583" t="s">
        <v>2677</v>
      </c>
      <c r="G1583" t="s">
        <v>3104</v>
      </c>
      <c r="H1583" t="s">
        <v>4135</v>
      </c>
      <c r="I1583" t="s">
        <v>1357</v>
      </c>
      <c r="J1583" t="s">
        <v>1357</v>
      </c>
      <c r="K1583" t="s">
        <v>1357</v>
      </c>
      <c r="L1583" t="s">
        <v>1357</v>
      </c>
    </row>
    <row r="1584" spans="6:12">
      <c r="H1584" t="s">
        <v>4139</v>
      </c>
      <c r="I1584" t="s">
        <v>1357</v>
      </c>
      <c r="J1584" t="s">
        <v>1357</v>
      </c>
      <c r="K1584" t="s">
        <v>1357</v>
      </c>
      <c r="L1584" t="s">
        <v>1357</v>
      </c>
    </row>
    <row r="1585" spans="6:12">
      <c r="H1585" t="s">
        <v>4136</v>
      </c>
      <c r="I1585" t="s">
        <v>1357</v>
      </c>
      <c r="J1585" t="s">
        <v>1357</v>
      </c>
      <c r="K1585" t="s">
        <v>1357</v>
      </c>
      <c r="L1585" t="s">
        <v>1357</v>
      </c>
    </row>
    <row r="1586" spans="6:12">
      <c r="H1586" t="s">
        <v>4137</v>
      </c>
      <c r="I1586" t="s">
        <v>1357</v>
      </c>
      <c r="J1586" t="s">
        <v>1357</v>
      </c>
      <c r="K1586" t="s">
        <v>1357</v>
      </c>
      <c r="L1586" t="s">
        <v>1357</v>
      </c>
    </row>
    <row r="1587" spans="6:12">
      <c r="H1587" t="s">
        <v>4138</v>
      </c>
      <c r="I1587" t="s">
        <v>1357</v>
      </c>
      <c r="J1587" t="s">
        <v>1357</v>
      </c>
      <c r="K1587" t="s">
        <v>1357</v>
      </c>
      <c r="L1587" t="s">
        <v>1357</v>
      </c>
    </row>
    <row r="1588" spans="6:12">
      <c r="F1588" t="s">
        <v>2678</v>
      </c>
      <c r="G1588" t="s">
        <v>3105</v>
      </c>
      <c r="H1588" t="s">
        <v>4140</v>
      </c>
      <c r="I1588" t="s">
        <v>1357</v>
      </c>
      <c r="J1588" t="s">
        <v>1357</v>
      </c>
      <c r="K1588" t="s">
        <v>1357</v>
      </c>
      <c r="L1588" t="s">
        <v>1357</v>
      </c>
    </row>
    <row r="1589" spans="6:12">
      <c r="H1589" t="s">
        <v>4141</v>
      </c>
      <c r="I1589" t="s">
        <v>1357</v>
      </c>
      <c r="J1589" t="s">
        <v>1357</v>
      </c>
      <c r="K1589" t="s">
        <v>1357</v>
      </c>
      <c r="L1589" t="s">
        <v>1357</v>
      </c>
    </row>
    <row r="1590" spans="6:12">
      <c r="H1590" t="s">
        <v>4142</v>
      </c>
      <c r="I1590" t="s">
        <v>1357</v>
      </c>
      <c r="J1590" t="s">
        <v>1357</v>
      </c>
      <c r="K1590" t="s">
        <v>1357</v>
      </c>
      <c r="L1590" t="s">
        <v>1357</v>
      </c>
    </row>
    <row r="1591" spans="6:12">
      <c r="H1591" t="s">
        <v>4143</v>
      </c>
      <c r="I1591" t="s">
        <v>1357</v>
      </c>
      <c r="J1591" t="s">
        <v>1357</v>
      </c>
      <c r="K1591" t="s">
        <v>1357</v>
      </c>
      <c r="L1591" t="s">
        <v>1357</v>
      </c>
    </row>
    <row r="1592" spans="6:12">
      <c r="F1592" t="s">
        <v>2679</v>
      </c>
      <c r="G1592" t="s">
        <v>3049</v>
      </c>
      <c r="H1592" t="s">
        <v>4144</v>
      </c>
      <c r="I1592" t="s">
        <v>1357</v>
      </c>
      <c r="J1592" t="s">
        <v>1357</v>
      </c>
      <c r="K1592" t="s">
        <v>1357</v>
      </c>
      <c r="L1592" t="s">
        <v>1357</v>
      </c>
    </row>
    <row r="1593" spans="6:12">
      <c r="H1593" t="s">
        <v>4145</v>
      </c>
      <c r="I1593" t="s">
        <v>1357</v>
      </c>
      <c r="J1593" t="s">
        <v>1357</v>
      </c>
      <c r="K1593" t="s">
        <v>1357</v>
      </c>
      <c r="L1593" t="s">
        <v>1357</v>
      </c>
    </row>
    <row r="1594" spans="6:12">
      <c r="H1594" t="s">
        <v>4146</v>
      </c>
      <c r="I1594" t="s">
        <v>1357</v>
      </c>
      <c r="J1594" t="s">
        <v>1357</v>
      </c>
      <c r="K1594" t="s">
        <v>1357</v>
      </c>
      <c r="L1594" t="s">
        <v>1357</v>
      </c>
    </row>
    <row r="1595" spans="6:12">
      <c r="H1595" t="s">
        <v>4147</v>
      </c>
      <c r="I1595" t="s">
        <v>1357</v>
      </c>
      <c r="J1595" t="s">
        <v>1357</v>
      </c>
      <c r="K1595" t="s">
        <v>1357</v>
      </c>
      <c r="L1595" t="s">
        <v>1357</v>
      </c>
    </row>
    <row r="1596" spans="6:12">
      <c r="H1596" t="s">
        <v>3856</v>
      </c>
      <c r="I1596" t="s">
        <v>1357</v>
      </c>
      <c r="J1596" t="s">
        <v>1357</v>
      </c>
      <c r="K1596" t="s">
        <v>1357</v>
      </c>
      <c r="L1596" t="s">
        <v>1357</v>
      </c>
    </row>
    <row r="1597" spans="6:12">
      <c r="H1597" t="s">
        <v>3857</v>
      </c>
      <c r="I1597" t="s">
        <v>1357</v>
      </c>
      <c r="J1597" t="s">
        <v>1357</v>
      </c>
      <c r="K1597" t="s">
        <v>1357</v>
      </c>
      <c r="L1597" t="s">
        <v>1357</v>
      </c>
    </row>
    <row r="1598" spans="6:12">
      <c r="H1598" t="s">
        <v>3858</v>
      </c>
      <c r="I1598" t="s">
        <v>1357</v>
      </c>
      <c r="J1598" t="s">
        <v>1357</v>
      </c>
      <c r="K1598" t="s">
        <v>1357</v>
      </c>
      <c r="L1598" t="s">
        <v>1357</v>
      </c>
    </row>
    <row r="1599" spans="6:12">
      <c r="F1599" t="s">
        <v>2680</v>
      </c>
      <c r="G1599" t="s">
        <v>3050</v>
      </c>
      <c r="H1599" t="s">
        <v>4144</v>
      </c>
      <c r="I1599" t="s">
        <v>1357</v>
      </c>
      <c r="J1599" t="s">
        <v>1357</v>
      </c>
      <c r="K1599" t="s">
        <v>1357</v>
      </c>
      <c r="L1599" t="s">
        <v>1357</v>
      </c>
    </row>
    <row r="1600" spans="6:12">
      <c r="H1600" t="s">
        <v>4145</v>
      </c>
      <c r="I1600" t="s">
        <v>1357</v>
      </c>
      <c r="J1600" t="s">
        <v>1357</v>
      </c>
      <c r="K1600" t="s">
        <v>1357</v>
      </c>
      <c r="L1600" t="s">
        <v>1357</v>
      </c>
    </row>
    <row r="1601" spans="6:12">
      <c r="H1601" t="s">
        <v>4146</v>
      </c>
      <c r="I1601" t="s">
        <v>1357</v>
      </c>
      <c r="J1601" t="s">
        <v>1357</v>
      </c>
      <c r="K1601" t="s">
        <v>1357</v>
      </c>
      <c r="L1601" t="s">
        <v>1357</v>
      </c>
    </row>
    <row r="1602" spans="6:12">
      <c r="H1602" t="s">
        <v>4147</v>
      </c>
      <c r="I1602" t="s">
        <v>1357</v>
      </c>
      <c r="J1602" t="s">
        <v>1357</v>
      </c>
      <c r="K1602" t="s">
        <v>1357</v>
      </c>
      <c r="L1602" t="s">
        <v>1357</v>
      </c>
    </row>
    <row r="1603" spans="6:12">
      <c r="H1603" t="s">
        <v>3856</v>
      </c>
      <c r="I1603" t="s">
        <v>1357</v>
      </c>
      <c r="J1603" t="s">
        <v>1357</v>
      </c>
      <c r="K1603" t="s">
        <v>1357</v>
      </c>
      <c r="L1603" t="s">
        <v>1357</v>
      </c>
    </row>
    <row r="1604" spans="6:12">
      <c r="H1604" t="s">
        <v>3857</v>
      </c>
      <c r="I1604" t="s">
        <v>1357</v>
      </c>
      <c r="J1604" t="s">
        <v>1357</v>
      </c>
      <c r="K1604" t="s">
        <v>1357</v>
      </c>
      <c r="L1604" t="s">
        <v>1357</v>
      </c>
    </row>
    <row r="1605" spans="6:12">
      <c r="H1605" t="s">
        <v>3859</v>
      </c>
      <c r="I1605" t="s">
        <v>1357</v>
      </c>
      <c r="J1605" t="s">
        <v>1357</v>
      </c>
      <c r="K1605" t="s">
        <v>1357</v>
      </c>
      <c r="L1605" t="s">
        <v>1357</v>
      </c>
    </row>
    <row r="1606" spans="6:12">
      <c r="H1606" t="s">
        <v>3860</v>
      </c>
      <c r="I1606" t="s">
        <v>1357</v>
      </c>
      <c r="J1606" t="s">
        <v>1357</v>
      </c>
      <c r="K1606" t="s">
        <v>1357</v>
      </c>
      <c r="L1606" t="s">
        <v>1357</v>
      </c>
    </row>
    <row r="1607" spans="6:12">
      <c r="H1607" t="s">
        <v>3861</v>
      </c>
      <c r="I1607" t="s">
        <v>1357</v>
      </c>
      <c r="J1607" t="s">
        <v>1357</v>
      </c>
      <c r="K1607" t="s">
        <v>1357</v>
      </c>
      <c r="L1607" t="s">
        <v>1357</v>
      </c>
    </row>
    <row r="1608" spans="6:12">
      <c r="H1608" t="s">
        <v>3862</v>
      </c>
      <c r="I1608" t="s">
        <v>1357</v>
      </c>
      <c r="J1608" t="s">
        <v>1357</v>
      </c>
      <c r="K1608" t="s">
        <v>1357</v>
      </c>
      <c r="L1608" t="s">
        <v>1357</v>
      </c>
    </row>
    <row r="1609" spans="6:12">
      <c r="F1609" t="s">
        <v>2681</v>
      </c>
      <c r="G1609" t="s">
        <v>3106</v>
      </c>
      <c r="H1609" t="s">
        <v>4148</v>
      </c>
      <c r="I1609" t="s">
        <v>1357</v>
      </c>
      <c r="J1609" t="s">
        <v>1357</v>
      </c>
      <c r="K1609" t="s">
        <v>1357</v>
      </c>
      <c r="L1609" t="s">
        <v>1357</v>
      </c>
    </row>
    <row r="1610" spans="6:12">
      <c r="H1610" t="s">
        <v>4149</v>
      </c>
      <c r="I1610" t="s">
        <v>1357</v>
      </c>
      <c r="J1610" t="s">
        <v>1357</v>
      </c>
      <c r="K1610" t="s">
        <v>1357</v>
      </c>
      <c r="L1610" t="s">
        <v>1357</v>
      </c>
    </row>
    <row r="1611" spans="6:12">
      <c r="H1611" t="s">
        <v>4150</v>
      </c>
      <c r="I1611" t="s">
        <v>1357</v>
      </c>
      <c r="J1611" t="s">
        <v>1357</v>
      </c>
      <c r="K1611" t="s">
        <v>1357</v>
      </c>
      <c r="L1611" t="s">
        <v>1357</v>
      </c>
    </row>
    <row r="1612" spans="6:12">
      <c r="F1612" t="s">
        <v>2682</v>
      </c>
      <c r="G1612" t="s">
        <v>3107</v>
      </c>
      <c r="H1612" t="s">
        <v>3947</v>
      </c>
      <c r="I1612" t="s">
        <v>1357</v>
      </c>
      <c r="J1612" t="s">
        <v>1357</v>
      </c>
      <c r="K1612" t="s">
        <v>1357</v>
      </c>
      <c r="L1612" t="s">
        <v>1357</v>
      </c>
    </row>
    <row r="1613" spans="6:12">
      <c r="H1613" t="s">
        <v>3948</v>
      </c>
      <c r="I1613" t="s">
        <v>1357</v>
      </c>
      <c r="J1613" t="s">
        <v>1357</v>
      </c>
      <c r="K1613" t="s">
        <v>1357</v>
      </c>
      <c r="L1613" t="s">
        <v>1357</v>
      </c>
    </row>
    <row r="1614" spans="6:12">
      <c r="H1614" t="s">
        <v>4151</v>
      </c>
      <c r="I1614" t="s">
        <v>1357</v>
      </c>
      <c r="J1614" t="s">
        <v>1357</v>
      </c>
      <c r="K1614" t="s">
        <v>1357</v>
      </c>
      <c r="L1614" t="s">
        <v>1357</v>
      </c>
    </row>
    <row r="1615" spans="6:12">
      <c r="H1615" t="s">
        <v>4152</v>
      </c>
      <c r="I1615" t="s">
        <v>1357</v>
      </c>
      <c r="J1615" t="s">
        <v>1357</v>
      </c>
      <c r="K1615" t="s">
        <v>1357</v>
      </c>
      <c r="L1615" t="s">
        <v>1357</v>
      </c>
    </row>
    <row r="1616" spans="6:12">
      <c r="H1616" t="s">
        <v>4153</v>
      </c>
      <c r="I1616" t="s">
        <v>1357</v>
      </c>
      <c r="J1616" t="s">
        <v>1357</v>
      </c>
      <c r="K1616" t="s">
        <v>1357</v>
      </c>
      <c r="L1616" t="s">
        <v>1357</v>
      </c>
    </row>
    <row r="1617" spans="6:12">
      <c r="H1617" t="s">
        <v>4154</v>
      </c>
      <c r="I1617" t="s">
        <v>1357</v>
      </c>
      <c r="J1617" t="s">
        <v>1357</v>
      </c>
      <c r="K1617" t="s">
        <v>1357</v>
      </c>
      <c r="L1617" t="s">
        <v>1357</v>
      </c>
    </row>
    <row r="1618" spans="6:12">
      <c r="H1618" t="s">
        <v>4155</v>
      </c>
      <c r="I1618" t="s">
        <v>1357</v>
      </c>
      <c r="J1618" t="s">
        <v>1357</v>
      </c>
      <c r="K1618" t="s">
        <v>1357</v>
      </c>
      <c r="L1618" t="s">
        <v>1357</v>
      </c>
    </row>
    <row r="1619" spans="6:12">
      <c r="H1619" t="s">
        <v>4156</v>
      </c>
      <c r="I1619" t="s">
        <v>1357</v>
      </c>
      <c r="J1619" t="s">
        <v>1357</v>
      </c>
      <c r="K1619" t="s">
        <v>1357</v>
      </c>
      <c r="L1619" t="s">
        <v>1357</v>
      </c>
    </row>
    <row r="1620" spans="6:12">
      <c r="H1620" t="s">
        <v>4157</v>
      </c>
      <c r="I1620" t="s">
        <v>1357</v>
      </c>
      <c r="J1620" t="s">
        <v>1357</v>
      </c>
      <c r="K1620" t="s">
        <v>1357</v>
      </c>
      <c r="L1620" t="s">
        <v>1357</v>
      </c>
    </row>
    <row r="1621" spans="6:12">
      <c r="F1621" t="s">
        <v>2683</v>
      </c>
      <c r="G1621" t="s">
        <v>3108</v>
      </c>
      <c r="H1621" t="s">
        <v>4158</v>
      </c>
      <c r="I1621" t="s">
        <v>1357</v>
      </c>
      <c r="J1621" t="s">
        <v>1357</v>
      </c>
      <c r="K1621" t="s">
        <v>1357</v>
      </c>
      <c r="L1621" t="s">
        <v>1357</v>
      </c>
    </row>
    <row r="1622" spans="6:12">
      <c r="H1622" t="s">
        <v>3603</v>
      </c>
      <c r="I1622" t="s">
        <v>1357</v>
      </c>
      <c r="J1622" t="s">
        <v>1357</v>
      </c>
      <c r="K1622" t="s">
        <v>1357</v>
      </c>
      <c r="L1622" t="s">
        <v>1357</v>
      </c>
    </row>
    <row r="1623" spans="6:12">
      <c r="H1623" t="s">
        <v>4159</v>
      </c>
      <c r="I1623" t="s">
        <v>1357</v>
      </c>
      <c r="J1623" t="s">
        <v>1357</v>
      </c>
      <c r="K1623" t="s">
        <v>1357</v>
      </c>
      <c r="L1623" t="s">
        <v>1357</v>
      </c>
    </row>
    <row r="1624" spans="6:12">
      <c r="H1624" t="s">
        <v>4160</v>
      </c>
      <c r="I1624" t="s">
        <v>1357</v>
      </c>
      <c r="J1624" t="s">
        <v>1357</v>
      </c>
      <c r="K1624" t="s">
        <v>1357</v>
      </c>
      <c r="L1624" t="s">
        <v>1357</v>
      </c>
    </row>
    <row r="1625" spans="6:12">
      <c r="H1625" t="s">
        <v>4161</v>
      </c>
      <c r="I1625" t="s">
        <v>1357</v>
      </c>
      <c r="J1625" t="s">
        <v>1357</v>
      </c>
      <c r="K1625" t="s">
        <v>1357</v>
      </c>
      <c r="L1625" t="s">
        <v>1357</v>
      </c>
    </row>
    <row r="1626" spans="6:12">
      <c r="H1626" t="s">
        <v>4162</v>
      </c>
      <c r="I1626" t="s">
        <v>1357</v>
      </c>
      <c r="J1626" t="s">
        <v>1357</v>
      </c>
      <c r="K1626" t="s">
        <v>1357</v>
      </c>
      <c r="L1626" t="s">
        <v>1357</v>
      </c>
    </row>
    <row r="1627" spans="6:12">
      <c r="H1627" t="s">
        <v>4163</v>
      </c>
      <c r="I1627" t="s">
        <v>1357</v>
      </c>
      <c r="J1627" t="s">
        <v>1357</v>
      </c>
      <c r="K1627" t="s">
        <v>1357</v>
      </c>
      <c r="L1627" t="s">
        <v>1357</v>
      </c>
    </row>
    <row r="1628" spans="6:12">
      <c r="F1628" t="s">
        <v>2684</v>
      </c>
      <c r="G1628" t="s">
        <v>3068</v>
      </c>
      <c r="H1628" t="s">
        <v>4164</v>
      </c>
      <c r="I1628" t="s">
        <v>1357</v>
      </c>
      <c r="J1628" t="s">
        <v>1357</v>
      </c>
      <c r="K1628" t="s">
        <v>1357</v>
      </c>
      <c r="L1628" t="s">
        <v>1357</v>
      </c>
    </row>
    <row r="1629" spans="6:12">
      <c r="H1629" t="s">
        <v>3603</v>
      </c>
      <c r="I1629" t="s">
        <v>1357</v>
      </c>
      <c r="J1629" t="s">
        <v>1357</v>
      </c>
      <c r="K1629" t="s">
        <v>1357</v>
      </c>
      <c r="L1629" t="s">
        <v>1357</v>
      </c>
    </row>
    <row r="1630" spans="6:12">
      <c r="H1630" t="s">
        <v>4165</v>
      </c>
      <c r="I1630" t="s">
        <v>1357</v>
      </c>
      <c r="J1630" t="s">
        <v>1357</v>
      </c>
      <c r="K1630" t="s">
        <v>1357</v>
      </c>
      <c r="L1630" t="s">
        <v>1357</v>
      </c>
    </row>
    <row r="1631" spans="6:12">
      <c r="H1631" t="s">
        <v>4157</v>
      </c>
      <c r="I1631" t="s">
        <v>1357</v>
      </c>
      <c r="J1631" t="s">
        <v>1357</v>
      </c>
      <c r="K1631" t="s">
        <v>1357</v>
      </c>
      <c r="L1631" t="s">
        <v>1357</v>
      </c>
    </row>
    <row r="1632" spans="6:12">
      <c r="H1632" t="s">
        <v>4166</v>
      </c>
      <c r="I1632" t="s">
        <v>1357</v>
      </c>
      <c r="J1632" t="s">
        <v>1357</v>
      </c>
      <c r="K1632" t="s">
        <v>1357</v>
      </c>
      <c r="L1632" t="s">
        <v>1357</v>
      </c>
    </row>
    <row r="1633" spans="6:12">
      <c r="H1633" t="s">
        <v>4167</v>
      </c>
      <c r="I1633" t="s">
        <v>1357</v>
      </c>
      <c r="J1633" t="s">
        <v>1357</v>
      </c>
      <c r="K1633" t="s">
        <v>1357</v>
      </c>
      <c r="L1633" t="s">
        <v>1357</v>
      </c>
    </row>
    <row r="1634" spans="6:12">
      <c r="H1634" t="s">
        <v>4168</v>
      </c>
      <c r="I1634" t="s">
        <v>1357</v>
      </c>
      <c r="J1634" t="s">
        <v>1357</v>
      </c>
      <c r="K1634" t="s">
        <v>1357</v>
      </c>
      <c r="L1634" t="s">
        <v>1357</v>
      </c>
    </row>
    <row r="1635" spans="6:12">
      <c r="H1635" t="s">
        <v>4169</v>
      </c>
      <c r="I1635" t="s">
        <v>1357</v>
      </c>
      <c r="J1635" t="s">
        <v>1357</v>
      </c>
      <c r="K1635" t="s">
        <v>1357</v>
      </c>
      <c r="L1635" t="s">
        <v>1357</v>
      </c>
    </row>
    <row r="1636" spans="6:12">
      <c r="H1636" t="s">
        <v>4050</v>
      </c>
      <c r="I1636" t="s">
        <v>1357</v>
      </c>
      <c r="J1636" t="s">
        <v>1357</v>
      </c>
      <c r="K1636" t="s">
        <v>1357</v>
      </c>
      <c r="L1636" t="s">
        <v>1357</v>
      </c>
    </row>
    <row r="1637" spans="6:12">
      <c r="F1637" t="s">
        <v>2685</v>
      </c>
      <c r="G1637" t="s">
        <v>3079</v>
      </c>
      <c r="H1637" t="s">
        <v>3863</v>
      </c>
      <c r="I1637" t="s">
        <v>1357</v>
      </c>
      <c r="J1637" t="s">
        <v>1357</v>
      </c>
      <c r="K1637" t="s">
        <v>1357</v>
      </c>
      <c r="L1637" t="s">
        <v>1357</v>
      </c>
    </row>
    <row r="1638" spans="6:12">
      <c r="H1638" t="s">
        <v>3864</v>
      </c>
      <c r="I1638" t="s">
        <v>1357</v>
      </c>
      <c r="J1638" t="s">
        <v>1357</v>
      </c>
      <c r="K1638" t="s">
        <v>1357</v>
      </c>
      <c r="L1638" t="s">
        <v>1357</v>
      </c>
    </row>
    <row r="1639" spans="6:12">
      <c r="H1639" t="s">
        <v>3865</v>
      </c>
      <c r="I1639" t="s">
        <v>1357</v>
      </c>
      <c r="J1639" t="s">
        <v>1357</v>
      </c>
      <c r="K1639" t="s">
        <v>1357</v>
      </c>
      <c r="L1639" t="s">
        <v>1357</v>
      </c>
    </row>
    <row r="1640" spans="6:12">
      <c r="H1640" t="s">
        <v>3866</v>
      </c>
      <c r="I1640" t="s">
        <v>1357</v>
      </c>
      <c r="J1640" t="s">
        <v>1357</v>
      </c>
      <c r="K1640" t="s">
        <v>1357</v>
      </c>
      <c r="L1640" t="s">
        <v>1357</v>
      </c>
    </row>
    <row r="1641" spans="6:12">
      <c r="H1641" t="s">
        <v>3867</v>
      </c>
      <c r="I1641" t="s">
        <v>1357</v>
      </c>
      <c r="J1641" t="s">
        <v>1357</v>
      </c>
      <c r="K1641" t="s">
        <v>1357</v>
      </c>
      <c r="L1641" t="s">
        <v>1357</v>
      </c>
    </row>
    <row r="1642" spans="6:12">
      <c r="H1642" t="s">
        <v>4170</v>
      </c>
      <c r="I1642" t="s">
        <v>1357</v>
      </c>
      <c r="J1642" t="s">
        <v>1357</v>
      </c>
      <c r="K1642" t="s">
        <v>1357</v>
      </c>
      <c r="L1642" t="s">
        <v>1357</v>
      </c>
    </row>
    <row r="1643" spans="6:12">
      <c r="H1643" t="s">
        <v>3869</v>
      </c>
      <c r="I1643" t="s">
        <v>1357</v>
      </c>
      <c r="J1643" t="s">
        <v>1357</v>
      </c>
      <c r="K1643" t="s">
        <v>1357</v>
      </c>
      <c r="L1643" t="s">
        <v>1357</v>
      </c>
    </row>
    <row r="1644" spans="6:12">
      <c r="H1644" t="s">
        <v>3870</v>
      </c>
      <c r="I1644" t="s">
        <v>1357</v>
      </c>
      <c r="J1644" t="s">
        <v>1357</v>
      </c>
      <c r="K1644" t="s">
        <v>1357</v>
      </c>
      <c r="L1644" t="s">
        <v>1357</v>
      </c>
    </row>
    <row r="1645" spans="6:12">
      <c r="H1645" t="s">
        <v>3871</v>
      </c>
      <c r="I1645" t="s">
        <v>1357</v>
      </c>
      <c r="J1645" t="s">
        <v>1357</v>
      </c>
      <c r="K1645" t="s">
        <v>1357</v>
      </c>
      <c r="L1645" t="s">
        <v>1357</v>
      </c>
    </row>
    <row r="1646" spans="6:12">
      <c r="H1646" t="s">
        <v>3872</v>
      </c>
      <c r="I1646" t="s">
        <v>1357</v>
      </c>
      <c r="J1646" t="s">
        <v>1357</v>
      </c>
      <c r="K1646" t="s">
        <v>1357</v>
      </c>
      <c r="L1646" t="s">
        <v>1357</v>
      </c>
    </row>
    <row r="1647" spans="6:12">
      <c r="H1647" t="s">
        <v>3873</v>
      </c>
      <c r="I1647" t="s">
        <v>1357</v>
      </c>
      <c r="J1647" t="s">
        <v>1357</v>
      </c>
      <c r="K1647" t="s">
        <v>1357</v>
      </c>
      <c r="L1647" t="s">
        <v>1357</v>
      </c>
    </row>
    <row r="1648" spans="6:12">
      <c r="H1648" t="s">
        <v>4171</v>
      </c>
      <c r="I1648" t="s">
        <v>1357</v>
      </c>
      <c r="J1648" t="s">
        <v>1357</v>
      </c>
      <c r="K1648" t="s">
        <v>1357</v>
      </c>
      <c r="L1648" t="s">
        <v>1357</v>
      </c>
    </row>
    <row r="1649" spans="6:12">
      <c r="H1649" t="s">
        <v>4172</v>
      </c>
      <c r="I1649" t="s">
        <v>1357</v>
      </c>
      <c r="J1649" t="s">
        <v>1357</v>
      </c>
      <c r="K1649" t="s">
        <v>1357</v>
      </c>
      <c r="L1649" t="s">
        <v>1357</v>
      </c>
    </row>
    <row r="1650" spans="6:12">
      <c r="H1650" t="s">
        <v>3875</v>
      </c>
      <c r="I1650" t="s">
        <v>1357</v>
      </c>
      <c r="J1650" t="s">
        <v>1357</v>
      </c>
      <c r="K1650" t="s">
        <v>1357</v>
      </c>
      <c r="L1650" t="s">
        <v>1357</v>
      </c>
    </row>
    <row r="1651" spans="6:12">
      <c r="H1651" t="s">
        <v>3876</v>
      </c>
      <c r="I1651" t="s">
        <v>1357</v>
      </c>
      <c r="J1651" t="s">
        <v>1357</v>
      </c>
      <c r="K1651" t="s">
        <v>1357</v>
      </c>
      <c r="L1651" t="s">
        <v>1357</v>
      </c>
    </row>
    <row r="1652" spans="6:12">
      <c r="H1652" t="s">
        <v>4173</v>
      </c>
      <c r="I1652" t="s">
        <v>1357</v>
      </c>
      <c r="J1652" t="s">
        <v>1357</v>
      </c>
      <c r="K1652" t="s">
        <v>1357</v>
      </c>
      <c r="L1652" t="s">
        <v>1357</v>
      </c>
    </row>
    <row r="1653" spans="6:12">
      <c r="H1653" t="s">
        <v>4174</v>
      </c>
      <c r="I1653" t="s">
        <v>1357</v>
      </c>
      <c r="J1653" t="s">
        <v>1357</v>
      </c>
      <c r="K1653" t="s">
        <v>1357</v>
      </c>
      <c r="L1653" t="s">
        <v>1357</v>
      </c>
    </row>
    <row r="1654" spans="6:12">
      <c r="H1654" t="s">
        <v>4175</v>
      </c>
      <c r="I1654" t="s">
        <v>1357</v>
      </c>
      <c r="J1654" t="s">
        <v>1357</v>
      </c>
      <c r="K1654" t="s">
        <v>1357</v>
      </c>
      <c r="L1654" t="s">
        <v>1357</v>
      </c>
    </row>
    <row r="1655" spans="6:12">
      <c r="F1655" t="s">
        <v>2686</v>
      </c>
      <c r="G1655" t="s">
        <v>3109</v>
      </c>
      <c r="H1655" t="s">
        <v>4176</v>
      </c>
      <c r="I1655" t="s">
        <v>1357</v>
      </c>
      <c r="J1655" t="s">
        <v>1357</v>
      </c>
      <c r="K1655" t="s">
        <v>1357</v>
      </c>
      <c r="L1655" t="s">
        <v>1357</v>
      </c>
    </row>
    <row r="1656" spans="6:12">
      <c r="H1656" t="s">
        <v>4177</v>
      </c>
      <c r="I1656" t="s">
        <v>1357</v>
      </c>
      <c r="J1656" t="s">
        <v>1357</v>
      </c>
      <c r="K1656" t="s">
        <v>1357</v>
      </c>
      <c r="L1656" t="s">
        <v>1357</v>
      </c>
    </row>
    <row r="1657" spans="6:12">
      <c r="H1657" t="s">
        <v>4178</v>
      </c>
      <c r="I1657" t="s">
        <v>1357</v>
      </c>
      <c r="J1657" t="s">
        <v>1357</v>
      </c>
      <c r="K1657" t="s">
        <v>1357</v>
      </c>
      <c r="L1657" t="s">
        <v>1357</v>
      </c>
    </row>
    <row r="1658" spans="6:12">
      <c r="F1658" t="s">
        <v>2687</v>
      </c>
      <c r="G1658" t="s">
        <v>3080</v>
      </c>
      <c r="H1658" t="s">
        <v>3870</v>
      </c>
      <c r="I1658" t="s">
        <v>1357</v>
      </c>
      <c r="J1658" t="s">
        <v>1357</v>
      </c>
      <c r="K1658" t="s">
        <v>1357</v>
      </c>
      <c r="L1658" t="s">
        <v>1357</v>
      </c>
    </row>
    <row r="1659" spans="6:12">
      <c r="H1659" t="s">
        <v>3871</v>
      </c>
      <c r="I1659" t="s">
        <v>1357</v>
      </c>
      <c r="J1659" t="s">
        <v>1357</v>
      </c>
      <c r="K1659" t="s">
        <v>1357</v>
      </c>
      <c r="L1659" t="s">
        <v>1357</v>
      </c>
    </row>
    <row r="1660" spans="6:12">
      <c r="H1660" t="s">
        <v>3842</v>
      </c>
      <c r="I1660" t="s">
        <v>1357</v>
      </c>
      <c r="J1660" t="s">
        <v>1357</v>
      </c>
      <c r="K1660" t="s">
        <v>1357</v>
      </c>
      <c r="L1660" t="s">
        <v>1357</v>
      </c>
    </row>
    <row r="1661" spans="6:12">
      <c r="H1661" t="s">
        <v>3876</v>
      </c>
      <c r="I1661" t="s">
        <v>1357</v>
      </c>
      <c r="J1661" t="s">
        <v>1357</v>
      </c>
      <c r="K1661" t="s">
        <v>1357</v>
      </c>
      <c r="L1661" t="s">
        <v>1357</v>
      </c>
    </row>
    <row r="1662" spans="6:12">
      <c r="H1662" t="s">
        <v>4175</v>
      </c>
      <c r="I1662" t="s">
        <v>1357</v>
      </c>
      <c r="J1662" t="s">
        <v>1357</v>
      </c>
      <c r="K1662" t="s">
        <v>1357</v>
      </c>
      <c r="L1662" t="s">
        <v>1357</v>
      </c>
    </row>
    <row r="1663" spans="6:12">
      <c r="F1663" t="s">
        <v>2688</v>
      </c>
      <c r="G1663" t="s">
        <v>3081</v>
      </c>
      <c r="H1663" t="s">
        <v>4170</v>
      </c>
      <c r="I1663" t="s">
        <v>1357</v>
      </c>
      <c r="J1663" t="s">
        <v>1357</v>
      </c>
      <c r="K1663" t="s">
        <v>1357</v>
      </c>
      <c r="L1663" t="s">
        <v>1357</v>
      </c>
    </row>
    <row r="1664" spans="6:12">
      <c r="H1664" t="s">
        <v>3877</v>
      </c>
      <c r="I1664" t="s">
        <v>1357</v>
      </c>
      <c r="J1664" t="s">
        <v>1357</v>
      </c>
      <c r="K1664" t="s">
        <v>1357</v>
      </c>
      <c r="L1664" t="s">
        <v>1357</v>
      </c>
    </row>
    <row r="1665" spans="6:12">
      <c r="H1665" t="s">
        <v>3878</v>
      </c>
      <c r="I1665" t="s">
        <v>1357</v>
      </c>
      <c r="J1665" t="s">
        <v>1357</v>
      </c>
      <c r="K1665" t="s">
        <v>1357</v>
      </c>
      <c r="L1665" t="s">
        <v>1357</v>
      </c>
    </row>
    <row r="1666" spans="6:12">
      <c r="H1666" t="s">
        <v>4179</v>
      </c>
      <c r="I1666" t="s">
        <v>1357</v>
      </c>
      <c r="J1666" t="s">
        <v>1357</v>
      </c>
      <c r="K1666" t="s">
        <v>1357</v>
      </c>
      <c r="L1666" t="s">
        <v>1357</v>
      </c>
    </row>
    <row r="1667" spans="6:12">
      <c r="H1667" t="s">
        <v>4180</v>
      </c>
      <c r="I1667" t="s">
        <v>1357</v>
      </c>
      <c r="J1667" t="s">
        <v>1357</v>
      </c>
      <c r="K1667" t="s">
        <v>1357</v>
      </c>
      <c r="L1667" t="s">
        <v>1357</v>
      </c>
    </row>
    <row r="1668" spans="6:12">
      <c r="F1668" t="s">
        <v>2689</v>
      </c>
      <c r="G1668" t="s">
        <v>3023</v>
      </c>
      <c r="H1668" t="s">
        <v>3576</v>
      </c>
      <c r="I1668" t="s">
        <v>1357</v>
      </c>
      <c r="J1668" t="s">
        <v>1357</v>
      </c>
      <c r="K1668" t="s">
        <v>1357</v>
      </c>
      <c r="L1668" t="s">
        <v>1357</v>
      </c>
    </row>
    <row r="1669" spans="6:12">
      <c r="H1669" t="s">
        <v>3577</v>
      </c>
      <c r="I1669" t="s">
        <v>1357</v>
      </c>
      <c r="J1669" t="s">
        <v>1357</v>
      </c>
      <c r="K1669" t="s">
        <v>1357</v>
      </c>
      <c r="L1669" t="s">
        <v>1357</v>
      </c>
    </row>
    <row r="1670" spans="6:12">
      <c r="H1670" t="s">
        <v>3578</v>
      </c>
      <c r="I1670" t="s">
        <v>1357</v>
      </c>
      <c r="J1670" t="s">
        <v>1357</v>
      </c>
      <c r="K1670" t="s">
        <v>1357</v>
      </c>
      <c r="L1670" t="s">
        <v>1357</v>
      </c>
    </row>
    <row r="1671" spans="6:12">
      <c r="H1671" t="s">
        <v>3579</v>
      </c>
      <c r="I1671" t="s">
        <v>1357</v>
      </c>
      <c r="J1671" t="s">
        <v>1357</v>
      </c>
      <c r="K1671" t="s">
        <v>1357</v>
      </c>
      <c r="L1671" t="s">
        <v>1357</v>
      </c>
    </row>
    <row r="1672" spans="6:12">
      <c r="H1672" t="s">
        <v>3580</v>
      </c>
      <c r="I1672" t="s">
        <v>1357</v>
      </c>
      <c r="J1672" t="s">
        <v>1357</v>
      </c>
      <c r="K1672" t="s">
        <v>1357</v>
      </c>
      <c r="L1672" t="s">
        <v>1357</v>
      </c>
    </row>
    <row r="1673" spans="6:12">
      <c r="H1673" t="s">
        <v>3581</v>
      </c>
      <c r="I1673" t="s">
        <v>1357</v>
      </c>
      <c r="J1673" t="s">
        <v>1357</v>
      </c>
      <c r="K1673" t="s">
        <v>1357</v>
      </c>
      <c r="L1673" t="s">
        <v>1357</v>
      </c>
    </row>
    <row r="1674" spans="6:12">
      <c r="H1674" t="s">
        <v>3582</v>
      </c>
      <c r="I1674" t="s">
        <v>1357</v>
      </c>
      <c r="J1674" t="s">
        <v>1357</v>
      </c>
      <c r="K1674" t="s">
        <v>1357</v>
      </c>
      <c r="L1674" t="s">
        <v>1357</v>
      </c>
    </row>
    <row r="1675" spans="6:12">
      <c r="H1675" t="s">
        <v>3583</v>
      </c>
      <c r="I1675" t="s">
        <v>1357</v>
      </c>
      <c r="J1675" t="s">
        <v>1357</v>
      </c>
      <c r="K1675" t="s">
        <v>1357</v>
      </c>
      <c r="L1675" t="s">
        <v>1357</v>
      </c>
    </row>
    <row r="1676" spans="6:12">
      <c r="H1676" t="s">
        <v>3584</v>
      </c>
      <c r="I1676" t="s">
        <v>1357</v>
      </c>
      <c r="J1676" t="s">
        <v>1357</v>
      </c>
      <c r="K1676" t="s">
        <v>1357</v>
      </c>
      <c r="L1676" t="s">
        <v>1357</v>
      </c>
    </row>
    <row r="1677" spans="6:12">
      <c r="H1677" t="s">
        <v>3585</v>
      </c>
      <c r="I1677" t="s">
        <v>1357</v>
      </c>
      <c r="J1677" t="s">
        <v>1357</v>
      </c>
      <c r="K1677" t="s">
        <v>1357</v>
      </c>
      <c r="L1677" t="s">
        <v>1357</v>
      </c>
    </row>
    <row r="1678" spans="6:12">
      <c r="H1678" t="s">
        <v>3586</v>
      </c>
      <c r="I1678" t="s">
        <v>1357</v>
      </c>
      <c r="J1678" t="s">
        <v>1357</v>
      </c>
      <c r="K1678" t="s">
        <v>1357</v>
      </c>
      <c r="L1678" t="s">
        <v>1357</v>
      </c>
    </row>
    <row r="1679" spans="6:12">
      <c r="H1679" t="s">
        <v>3587</v>
      </c>
      <c r="I1679" t="s">
        <v>1357</v>
      </c>
      <c r="J1679" t="s">
        <v>1357</v>
      </c>
      <c r="K1679" t="s">
        <v>1357</v>
      </c>
      <c r="L1679" t="s">
        <v>1357</v>
      </c>
    </row>
    <row r="1680" spans="6:12">
      <c r="H1680" t="s">
        <v>3588</v>
      </c>
      <c r="I1680" t="s">
        <v>1357</v>
      </c>
      <c r="J1680" t="s">
        <v>1357</v>
      </c>
      <c r="K1680" t="s">
        <v>1357</v>
      </c>
      <c r="L1680" t="s">
        <v>1357</v>
      </c>
    </row>
    <row r="1681" spans="6:12">
      <c r="H1681" t="s">
        <v>3589</v>
      </c>
      <c r="I1681" t="s">
        <v>1357</v>
      </c>
      <c r="J1681" t="s">
        <v>1357</v>
      </c>
      <c r="K1681" t="s">
        <v>1357</v>
      </c>
      <c r="L1681" t="s">
        <v>1357</v>
      </c>
    </row>
    <row r="1682" spans="6:12">
      <c r="H1682" t="s">
        <v>3590</v>
      </c>
      <c r="I1682" t="s">
        <v>1357</v>
      </c>
      <c r="J1682" t="s">
        <v>1357</v>
      </c>
      <c r="K1682" t="s">
        <v>1357</v>
      </c>
      <c r="L1682" t="s">
        <v>1357</v>
      </c>
    </row>
    <row r="1683" spans="6:12">
      <c r="H1683" t="s">
        <v>3591</v>
      </c>
      <c r="I1683" t="s">
        <v>1357</v>
      </c>
      <c r="J1683" t="s">
        <v>1357</v>
      </c>
      <c r="K1683" t="s">
        <v>1357</v>
      </c>
      <c r="L1683" t="s">
        <v>1357</v>
      </c>
    </row>
    <row r="1684" spans="6:12">
      <c r="H1684" t="s">
        <v>3592</v>
      </c>
      <c r="I1684" t="s">
        <v>1357</v>
      </c>
      <c r="J1684" t="s">
        <v>1357</v>
      </c>
      <c r="K1684" t="s">
        <v>1357</v>
      </c>
      <c r="L1684" t="s">
        <v>1357</v>
      </c>
    </row>
    <row r="1685" spans="6:12">
      <c r="H1685" t="s">
        <v>3593</v>
      </c>
      <c r="I1685" t="s">
        <v>1357</v>
      </c>
      <c r="J1685" t="s">
        <v>1357</v>
      </c>
      <c r="K1685" t="s">
        <v>1357</v>
      </c>
      <c r="L1685" t="s">
        <v>1357</v>
      </c>
    </row>
    <row r="1686" spans="6:12">
      <c r="F1686" t="s">
        <v>2690</v>
      </c>
      <c r="G1686" t="s">
        <v>3110</v>
      </c>
      <c r="H1686" t="s">
        <v>3863</v>
      </c>
      <c r="I1686" t="s">
        <v>1357</v>
      </c>
      <c r="J1686" t="s">
        <v>1357</v>
      </c>
      <c r="K1686" t="s">
        <v>1357</v>
      </c>
      <c r="L1686" t="s">
        <v>1357</v>
      </c>
    </row>
    <row r="1687" spans="6:12">
      <c r="H1687" t="s">
        <v>4181</v>
      </c>
      <c r="I1687" t="s">
        <v>1357</v>
      </c>
      <c r="J1687" t="s">
        <v>1357</v>
      </c>
      <c r="K1687" t="s">
        <v>1357</v>
      </c>
      <c r="L1687" t="s">
        <v>1357</v>
      </c>
    </row>
    <row r="1688" spans="6:12">
      <c r="H1688" t="s">
        <v>3865</v>
      </c>
      <c r="I1688" t="s">
        <v>1357</v>
      </c>
      <c r="J1688" t="s">
        <v>1357</v>
      </c>
      <c r="K1688" t="s">
        <v>1357</v>
      </c>
      <c r="L1688" t="s">
        <v>1357</v>
      </c>
    </row>
    <row r="1689" spans="6:12">
      <c r="H1689" t="s">
        <v>3866</v>
      </c>
      <c r="I1689" t="s">
        <v>1357</v>
      </c>
      <c r="J1689" t="s">
        <v>1357</v>
      </c>
      <c r="K1689" t="s">
        <v>1357</v>
      </c>
      <c r="L1689" t="s">
        <v>1357</v>
      </c>
    </row>
    <row r="1690" spans="6:12">
      <c r="H1690" t="s">
        <v>3867</v>
      </c>
      <c r="I1690" t="s">
        <v>1357</v>
      </c>
      <c r="J1690" t="s">
        <v>1357</v>
      </c>
      <c r="K1690" t="s">
        <v>1357</v>
      </c>
      <c r="L1690" t="s">
        <v>1357</v>
      </c>
    </row>
    <row r="1691" spans="6:12">
      <c r="H1691" t="s">
        <v>3868</v>
      </c>
      <c r="I1691" t="s">
        <v>1357</v>
      </c>
      <c r="J1691" t="s">
        <v>1357</v>
      </c>
      <c r="K1691" t="s">
        <v>1357</v>
      </c>
      <c r="L1691" t="s">
        <v>1357</v>
      </c>
    </row>
    <row r="1692" spans="6:12">
      <c r="H1692" t="s">
        <v>3869</v>
      </c>
      <c r="I1692" t="s">
        <v>1357</v>
      </c>
      <c r="J1692" t="s">
        <v>1357</v>
      </c>
      <c r="K1692" t="s">
        <v>1357</v>
      </c>
      <c r="L1692" t="s">
        <v>1357</v>
      </c>
    </row>
    <row r="1693" spans="6:12">
      <c r="H1693" t="s">
        <v>3870</v>
      </c>
      <c r="I1693" t="s">
        <v>1357</v>
      </c>
      <c r="J1693" t="s">
        <v>1357</v>
      </c>
      <c r="K1693" t="s">
        <v>1357</v>
      </c>
      <c r="L1693" t="s">
        <v>1357</v>
      </c>
    </row>
    <row r="1694" spans="6:12">
      <c r="H1694" t="s">
        <v>3871</v>
      </c>
      <c r="I1694" t="s">
        <v>1357</v>
      </c>
      <c r="J1694" t="s">
        <v>1357</v>
      </c>
      <c r="K1694" t="s">
        <v>1357</v>
      </c>
      <c r="L1694" t="s">
        <v>1357</v>
      </c>
    </row>
    <row r="1695" spans="6:12">
      <c r="H1695" t="s">
        <v>3872</v>
      </c>
      <c r="I1695" t="s">
        <v>1357</v>
      </c>
      <c r="J1695" t="s">
        <v>1357</v>
      </c>
      <c r="K1695" t="s">
        <v>1357</v>
      </c>
      <c r="L1695" t="s">
        <v>1357</v>
      </c>
    </row>
    <row r="1696" spans="6:12">
      <c r="H1696" t="s">
        <v>3873</v>
      </c>
      <c r="I1696" t="s">
        <v>1357</v>
      </c>
      <c r="J1696" t="s">
        <v>1357</v>
      </c>
      <c r="K1696" t="s">
        <v>1357</v>
      </c>
      <c r="L1696" t="s">
        <v>1357</v>
      </c>
    </row>
    <row r="1697" spans="6:12">
      <c r="H1697" t="s">
        <v>3875</v>
      </c>
      <c r="I1697" t="s">
        <v>1357</v>
      </c>
      <c r="J1697" t="s">
        <v>1357</v>
      </c>
      <c r="K1697" t="s">
        <v>1357</v>
      </c>
      <c r="L1697" t="s">
        <v>1357</v>
      </c>
    </row>
    <row r="1698" spans="6:12">
      <c r="F1698" t="s">
        <v>2691</v>
      </c>
      <c r="G1698" t="s">
        <v>3071</v>
      </c>
      <c r="H1698" t="s">
        <v>4182</v>
      </c>
      <c r="I1698" t="s">
        <v>1357</v>
      </c>
      <c r="J1698" t="s">
        <v>1357</v>
      </c>
      <c r="K1698" t="s">
        <v>1357</v>
      </c>
      <c r="L1698" t="s">
        <v>1357</v>
      </c>
    </row>
    <row r="1699" spans="6:12">
      <c r="H1699" t="s">
        <v>4183</v>
      </c>
      <c r="I1699" t="s">
        <v>1357</v>
      </c>
      <c r="J1699" t="s">
        <v>1357</v>
      </c>
      <c r="K1699" t="s">
        <v>1357</v>
      </c>
      <c r="L1699" t="s">
        <v>1357</v>
      </c>
    </row>
    <row r="1700" spans="6:12">
      <c r="H1700" t="s">
        <v>4184</v>
      </c>
      <c r="I1700" t="s">
        <v>1357</v>
      </c>
      <c r="J1700" t="s">
        <v>1357</v>
      </c>
      <c r="K1700" t="s">
        <v>1357</v>
      </c>
      <c r="L1700" t="s">
        <v>1357</v>
      </c>
    </row>
    <row r="1701" spans="6:12">
      <c r="H1701" t="s">
        <v>4185</v>
      </c>
      <c r="I1701" t="s">
        <v>1357</v>
      </c>
      <c r="J1701" t="s">
        <v>1357</v>
      </c>
      <c r="K1701" t="s">
        <v>1357</v>
      </c>
      <c r="L1701" t="s">
        <v>1357</v>
      </c>
    </row>
    <row r="1702" spans="6:12">
      <c r="H1702" t="s">
        <v>4186</v>
      </c>
      <c r="I1702" t="s">
        <v>1357</v>
      </c>
      <c r="J1702" t="s">
        <v>1357</v>
      </c>
      <c r="K1702" t="s">
        <v>1357</v>
      </c>
      <c r="L1702" t="s">
        <v>1357</v>
      </c>
    </row>
    <row r="1703" spans="6:12">
      <c r="H1703" t="s">
        <v>4187</v>
      </c>
      <c r="I1703" t="s">
        <v>1357</v>
      </c>
      <c r="J1703" t="s">
        <v>1357</v>
      </c>
      <c r="K1703" t="s">
        <v>1357</v>
      </c>
      <c r="L1703" t="s">
        <v>1357</v>
      </c>
    </row>
    <row r="1704" spans="6:12">
      <c r="H1704" t="s">
        <v>4188</v>
      </c>
      <c r="I1704" t="s">
        <v>1357</v>
      </c>
      <c r="J1704" t="s">
        <v>1357</v>
      </c>
      <c r="K1704" t="s">
        <v>1357</v>
      </c>
      <c r="L1704" t="s">
        <v>1357</v>
      </c>
    </row>
    <row r="1705" spans="6:12">
      <c r="H1705" t="s">
        <v>4189</v>
      </c>
      <c r="I1705" t="s">
        <v>1357</v>
      </c>
      <c r="J1705" t="s">
        <v>1357</v>
      </c>
      <c r="K1705" t="s">
        <v>1357</v>
      </c>
      <c r="L1705" t="s">
        <v>1357</v>
      </c>
    </row>
    <row r="1706" spans="6:12">
      <c r="H1706" t="s">
        <v>4190</v>
      </c>
      <c r="I1706" t="s">
        <v>1357</v>
      </c>
      <c r="J1706" t="s">
        <v>1357</v>
      </c>
      <c r="K1706" t="s">
        <v>1357</v>
      </c>
      <c r="L1706" t="s">
        <v>1357</v>
      </c>
    </row>
    <row r="1707" spans="6:12">
      <c r="H1707" t="s">
        <v>4191</v>
      </c>
      <c r="I1707" t="s">
        <v>1357</v>
      </c>
      <c r="J1707" t="s">
        <v>1357</v>
      </c>
      <c r="K1707" t="s">
        <v>1357</v>
      </c>
      <c r="L1707" t="s">
        <v>1357</v>
      </c>
    </row>
    <row r="1708" spans="6:12">
      <c r="H1708" t="s">
        <v>4192</v>
      </c>
      <c r="I1708" t="s">
        <v>1357</v>
      </c>
      <c r="J1708" t="s">
        <v>1357</v>
      </c>
      <c r="K1708" t="s">
        <v>1357</v>
      </c>
      <c r="L1708" t="s">
        <v>1357</v>
      </c>
    </row>
    <row r="1709" spans="6:12">
      <c r="H1709" t="s">
        <v>4193</v>
      </c>
      <c r="I1709" t="s">
        <v>1357</v>
      </c>
      <c r="J1709" t="s">
        <v>1357</v>
      </c>
      <c r="K1709" t="s">
        <v>1357</v>
      </c>
      <c r="L1709" t="s">
        <v>1357</v>
      </c>
    </row>
    <row r="1710" spans="6:12">
      <c r="H1710" t="s">
        <v>4194</v>
      </c>
      <c r="I1710" t="s">
        <v>1357</v>
      </c>
      <c r="J1710" t="s">
        <v>1357</v>
      </c>
      <c r="K1710" t="s">
        <v>1357</v>
      </c>
      <c r="L1710" t="s">
        <v>1357</v>
      </c>
    </row>
    <row r="1711" spans="6:12">
      <c r="H1711" t="s">
        <v>4195</v>
      </c>
      <c r="I1711" t="s">
        <v>1357</v>
      </c>
      <c r="J1711" t="s">
        <v>1357</v>
      </c>
      <c r="K1711" t="s">
        <v>1357</v>
      </c>
      <c r="L1711" t="s">
        <v>1357</v>
      </c>
    </row>
    <row r="1712" spans="6:12">
      <c r="H1712" t="s">
        <v>4196</v>
      </c>
      <c r="I1712" t="s">
        <v>1357</v>
      </c>
      <c r="J1712" t="s">
        <v>1357</v>
      </c>
      <c r="K1712" t="s">
        <v>1357</v>
      </c>
      <c r="L1712" t="s">
        <v>1357</v>
      </c>
    </row>
    <row r="1713" spans="6:12">
      <c r="H1713" t="s">
        <v>4197</v>
      </c>
      <c r="I1713" t="s">
        <v>1357</v>
      </c>
      <c r="J1713" t="s">
        <v>1357</v>
      </c>
      <c r="K1713" t="s">
        <v>1357</v>
      </c>
      <c r="L1713" t="s">
        <v>1357</v>
      </c>
    </row>
    <row r="1714" spans="6:12">
      <c r="H1714" t="s">
        <v>4198</v>
      </c>
      <c r="I1714" t="s">
        <v>1357</v>
      </c>
      <c r="J1714" t="s">
        <v>1357</v>
      </c>
      <c r="K1714" t="s">
        <v>1357</v>
      </c>
      <c r="L1714" t="s">
        <v>1357</v>
      </c>
    </row>
    <row r="1715" spans="6:12">
      <c r="H1715" t="s">
        <v>4199</v>
      </c>
      <c r="I1715" t="s">
        <v>1357</v>
      </c>
      <c r="J1715" t="s">
        <v>1357</v>
      </c>
      <c r="K1715" t="s">
        <v>1357</v>
      </c>
      <c r="L1715" t="s">
        <v>1357</v>
      </c>
    </row>
    <row r="1716" spans="6:12">
      <c r="H1716" t="s">
        <v>4200</v>
      </c>
      <c r="I1716" t="s">
        <v>1357</v>
      </c>
      <c r="J1716" t="s">
        <v>1357</v>
      </c>
      <c r="K1716" t="s">
        <v>1357</v>
      </c>
      <c r="L1716" t="s">
        <v>1357</v>
      </c>
    </row>
    <row r="1717" spans="6:12">
      <c r="H1717" t="s">
        <v>4201</v>
      </c>
      <c r="I1717" t="s">
        <v>1357</v>
      </c>
      <c r="J1717" t="s">
        <v>1357</v>
      </c>
      <c r="K1717" t="s">
        <v>1357</v>
      </c>
      <c r="L1717" t="s">
        <v>1357</v>
      </c>
    </row>
    <row r="1718" spans="6:12">
      <c r="H1718" t="s">
        <v>4202</v>
      </c>
      <c r="I1718" t="s">
        <v>1357</v>
      </c>
      <c r="J1718" t="s">
        <v>1357</v>
      </c>
      <c r="K1718" t="s">
        <v>1357</v>
      </c>
      <c r="L1718" t="s">
        <v>1357</v>
      </c>
    </row>
    <row r="1719" spans="6:12">
      <c r="H1719" t="s">
        <v>4203</v>
      </c>
      <c r="I1719" t="s">
        <v>1357</v>
      </c>
      <c r="J1719" t="s">
        <v>1357</v>
      </c>
      <c r="K1719" t="s">
        <v>1357</v>
      </c>
      <c r="L1719" t="s">
        <v>1357</v>
      </c>
    </row>
    <row r="1720" spans="6:12">
      <c r="H1720" t="s">
        <v>4204</v>
      </c>
      <c r="I1720" t="s">
        <v>1357</v>
      </c>
      <c r="J1720" t="s">
        <v>1357</v>
      </c>
      <c r="K1720" t="s">
        <v>1357</v>
      </c>
      <c r="L1720" t="s">
        <v>1357</v>
      </c>
    </row>
    <row r="1721" spans="6:12">
      <c r="H1721" t="s">
        <v>4205</v>
      </c>
      <c r="I1721" t="s">
        <v>1357</v>
      </c>
      <c r="J1721" t="s">
        <v>1357</v>
      </c>
      <c r="K1721" t="s">
        <v>1357</v>
      </c>
      <c r="L1721" t="s">
        <v>1357</v>
      </c>
    </row>
    <row r="1722" spans="6:12">
      <c r="H1722" t="s">
        <v>4206</v>
      </c>
      <c r="I1722" t="s">
        <v>1357</v>
      </c>
      <c r="J1722" t="s">
        <v>1357</v>
      </c>
      <c r="K1722" t="s">
        <v>1357</v>
      </c>
      <c r="L1722" t="s">
        <v>1357</v>
      </c>
    </row>
    <row r="1723" spans="6:12">
      <c r="H1723" t="s">
        <v>4207</v>
      </c>
      <c r="I1723" t="s">
        <v>1357</v>
      </c>
      <c r="J1723" t="s">
        <v>1357</v>
      </c>
      <c r="K1723" t="s">
        <v>1357</v>
      </c>
      <c r="L1723" t="s">
        <v>1357</v>
      </c>
    </row>
    <row r="1724" spans="6:12">
      <c r="F1724" t="s">
        <v>2692</v>
      </c>
      <c r="G1724" t="s">
        <v>3111</v>
      </c>
      <c r="H1724" t="s">
        <v>4208</v>
      </c>
      <c r="I1724" t="s">
        <v>1357</v>
      </c>
      <c r="J1724" t="s">
        <v>1357</v>
      </c>
      <c r="K1724" t="s">
        <v>1357</v>
      </c>
      <c r="L1724" t="s">
        <v>1357</v>
      </c>
    </row>
    <row r="1725" spans="6:12">
      <c r="H1725" t="s">
        <v>4209</v>
      </c>
      <c r="I1725" t="s">
        <v>1357</v>
      </c>
      <c r="J1725" t="s">
        <v>1357</v>
      </c>
      <c r="K1725" t="s">
        <v>1357</v>
      </c>
      <c r="L1725" t="s">
        <v>1357</v>
      </c>
    </row>
    <row r="1726" spans="6:12">
      <c r="H1726" t="s">
        <v>4210</v>
      </c>
      <c r="I1726" t="s">
        <v>1357</v>
      </c>
      <c r="J1726" t="s">
        <v>1357</v>
      </c>
      <c r="K1726" t="s">
        <v>1357</v>
      </c>
      <c r="L1726" t="s">
        <v>1357</v>
      </c>
    </row>
    <row r="1727" spans="6:12">
      <c r="H1727" t="s">
        <v>3853</v>
      </c>
      <c r="I1727" t="s">
        <v>1357</v>
      </c>
      <c r="J1727" t="s">
        <v>1357</v>
      </c>
      <c r="K1727" t="s">
        <v>1357</v>
      </c>
      <c r="L1727" t="s">
        <v>1357</v>
      </c>
    </row>
    <row r="1728" spans="6:12">
      <c r="F1728" t="s">
        <v>2693</v>
      </c>
      <c r="G1728" t="s">
        <v>3112</v>
      </c>
      <c r="H1728" t="s">
        <v>4211</v>
      </c>
      <c r="I1728" t="s">
        <v>1357</v>
      </c>
      <c r="J1728" t="s">
        <v>1357</v>
      </c>
      <c r="K1728" t="s">
        <v>1357</v>
      </c>
      <c r="L1728" t="s">
        <v>1357</v>
      </c>
    </row>
    <row r="1729" spans="6:12">
      <c r="H1729" t="s">
        <v>4212</v>
      </c>
      <c r="I1729" t="s">
        <v>1357</v>
      </c>
      <c r="J1729" t="s">
        <v>1357</v>
      </c>
      <c r="K1729" t="s">
        <v>1357</v>
      </c>
      <c r="L1729" t="s">
        <v>1357</v>
      </c>
    </row>
    <row r="1730" spans="6:12">
      <c r="H1730" t="s">
        <v>4213</v>
      </c>
      <c r="I1730" t="s">
        <v>1357</v>
      </c>
      <c r="J1730" t="s">
        <v>1357</v>
      </c>
      <c r="K1730" t="s">
        <v>1357</v>
      </c>
      <c r="L1730" t="s">
        <v>1357</v>
      </c>
    </row>
    <row r="1731" spans="6:12">
      <c r="H1731" t="s">
        <v>4214</v>
      </c>
      <c r="I1731" t="s">
        <v>1357</v>
      </c>
      <c r="J1731" t="s">
        <v>1357</v>
      </c>
      <c r="K1731" t="s">
        <v>1357</v>
      </c>
      <c r="L1731" t="s">
        <v>1357</v>
      </c>
    </row>
    <row r="1732" spans="6:12">
      <c r="F1732" t="s">
        <v>2694</v>
      </c>
      <c r="G1732" t="s">
        <v>3018</v>
      </c>
      <c r="H1732" t="s">
        <v>4215</v>
      </c>
      <c r="I1732" t="s">
        <v>1357</v>
      </c>
      <c r="J1732" t="s">
        <v>1357</v>
      </c>
      <c r="K1732" t="s">
        <v>1357</v>
      </c>
      <c r="L1732" t="s">
        <v>1357</v>
      </c>
    </row>
    <row r="1733" spans="6:12">
      <c r="H1733" t="s">
        <v>4216</v>
      </c>
      <c r="I1733" t="s">
        <v>1357</v>
      </c>
      <c r="J1733" t="s">
        <v>1357</v>
      </c>
      <c r="K1733" t="s">
        <v>1357</v>
      </c>
      <c r="L1733" t="s">
        <v>1357</v>
      </c>
    </row>
    <row r="1734" spans="6:12">
      <c r="H1734" t="s">
        <v>4217</v>
      </c>
      <c r="I1734" t="s">
        <v>1357</v>
      </c>
      <c r="J1734" t="s">
        <v>1357</v>
      </c>
      <c r="K1734" t="s">
        <v>1357</v>
      </c>
      <c r="L1734" t="s">
        <v>1357</v>
      </c>
    </row>
    <row r="1735" spans="6:12">
      <c r="H1735" t="s">
        <v>4218</v>
      </c>
      <c r="I1735" t="s">
        <v>1357</v>
      </c>
      <c r="J1735" t="s">
        <v>1357</v>
      </c>
      <c r="K1735" t="s">
        <v>1357</v>
      </c>
      <c r="L1735" t="s">
        <v>1357</v>
      </c>
    </row>
    <row r="1736" spans="6:12">
      <c r="H1736" t="s">
        <v>4219</v>
      </c>
      <c r="I1736" t="s">
        <v>1357</v>
      </c>
      <c r="J1736" t="s">
        <v>1357</v>
      </c>
      <c r="K1736" t="s">
        <v>1357</v>
      </c>
      <c r="L1736" t="s">
        <v>1357</v>
      </c>
    </row>
    <row r="1737" spans="6:12">
      <c r="H1737" t="s">
        <v>4220</v>
      </c>
      <c r="I1737" t="s">
        <v>1357</v>
      </c>
      <c r="J1737" t="s">
        <v>1357</v>
      </c>
      <c r="K1737" t="s">
        <v>1357</v>
      </c>
      <c r="L1737" t="s">
        <v>1357</v>
      </c>
    </row>
    <row r="1738" spans="6:12">
      <c r="H1738" t="s">
        <v>4221</v>
      </c>
      <c r="I1738" t="s">
        <v>1357</v>
      </c>
      <c r="J1738" t="s">
        <v>1357</v>
      </c>
      <c r="K1738" t="s">
        <v>1357</v>
      </c>
      <c r="L1738" t="s">
        <v>1357</v>
      </c>
    </row>
    <row r="1739" spans="6:12">
      <c r="H1739" t="s">
        <v>4222</v>
      </c>
      <c r="I1739" t="s">
        <v>1357</v>
      </c>
      <c r="J1739" t="s">
        <v>1357</v>
      </c>
      <c r="K1739" t="s">
        <v>1357</v>
      </c>
      <c r="L1739" t="s">
        <v>1357</v>
      </c>
    </row>
    <row r="1740" spans="6:12">
      <c r="H1740" t="s">
        <v>4223</v>
      </c>
      <c r="I1740" t="s">
        <v>1357</v>
      </c>
      <c r="J1740" t="s">
        <v>1357</v>
      </c>
      <c r="K1740" t="s">
        <v>1357</v>
      </c>
      <c r="L1740" t="s">
        <v>1357</v>
      </c>
    </row>
    <row r="1741" spans="6:12">
      <c r="H1741" t="s">
        <v>4224</v>
      </c>
      <c r="I1741" t="s">
        <v>1357</v>
      </c>
      <c r="J1741" t="s">
        <v>1357</v>
      </c>
      <c r="K1741" t="s">
        <v>1357</v>
      </c>
      <c r="L1741" t="s">
        <v>1357</v>
      </c>
    </row>
    <row r="1742" spans="6:12">
      <c r="F1742" t="s">
        <v>2695</v>
      </c>
      <c r="G1742" t="s">
        <v>3113</v>
      </c>
      <c r="H1742" t="s">
        <v>4124</v>
      </c>
      <c r="I1742" t="s">
        <v>1357</v>
      </c>
      <c r="J1742" t="s">
        <v>1357</v>
      </c>
      <c r="K1742" t="s">
        <v>1357</v>
      </c>
      <c r="L1742" t="s">
        <v>1357</v>
      </c>
    </row>
    <row r="1743" spans="6:12">
      <c r="H1743" t="s">
        <v>4125</v>
      </c>
      <c r="I1743" t="s">
        <v>1357</v>
      </c>
      <c r="J1743" t="s">
        <v>1357</v>
      </c>
      <c r="K1743" t="s">
        <v>1357</v>
      </c>
      <c r="L1743" t="s">
        <v>1357</v>
      </c>
    </row>
    <row r="1744" spans="6:12">
      <c r="H1744" t="s">
        <v>4126</v>
      </c>
      <c r="I1744" t="s">
        <v>1357</v>
      </c>
      <c r="J1744" t="s">
        <v>1357</v>
      </c>
      <c r="K1744" t="s">
        <v>1357</v>
      </c>
      <c r="L1744" t="s">
        <v>1357</v>
      </c>
    </row>
    <row r="1745" spans="1:12">
      <c r="F1745" t="s">
        <v>2696</v>
      </c>
      <c r="G1745" t="s">
        <v>3114</v>
      </c>
      <c r="H1745" t="s">
        <v>4215</v>
      </c>
      <c r="I1745" t="s">
        <v>1357</v>
      </c>
      <c r="J1745" t="s">
        <v>1357</v>
      </c>
      <c r="K1745" t="s">
        <v>1357</v>
      </c>
      <c r="L1745" t="s">
        <v>1357</v>
      </c>
    </row>
    <row r="1746" spans="1:12">
      <c r="H1746" t="s">
        <v>4218</v>
      </c>
      <c r="I1746" t="s">
        <v>1357</v>
      </c>
      <c r="J1746" t="s">
        <v>1357</v>
      </c>
      <c r="K1746" t="s">
        <v>1357</v>
      </c>
      <c r="L1746" t="s">
        <v>1357</v>
      </c>
    </row>
    <row r="1747" spans="1:12">
      <c r="H1747" t="s">
        <v>4225</v>
      </c>
      <c r="I1747" t="s">
        <v>1357</v>
      </c>
      <c r="J1747" t="s">
        <v>1357</v>
      </c>
      <c r="K1747" t="s">
        <v>1357</v>
      </c>
      <c r="L1747" t="s">
        <v>1357</v>
      </c>
    </row>
    <row r="1748" spans="1:12">
      <c r="A1748" t="s">
        <v>2046</v>
      </c>
      <c r="B1748">
        <f>HYPERLINK("https://github.com/apache/commons-math/commit/0a5cd11327d50e5906fb4dc08bce5baea6b2d247", "0a5cd11327d50e5906fb4dc08bce5baea6b2d247")</f>
        <v>0</v>
      </c>
      <c r="C1748">
        <f>HYPERLINK("https://github.com/apache/commons-math/commit/d389e94beef2de34e268470c9c3304d50acbba17", "d389e94beef2de34e268470c9c3304d50acbba17")</f>
        <v>0</v>
      </c>
      <c r="D1748" t="s">
        <v>2155</v>
      </c>
      <c r="E1748" t="s">
        <v>2335</v>
      </c>
      <c r="F1748" t="s">
        <v>2697</v>
      </c>
      <c r="G1748" t="s">
        <v>3085</v>
      </c>
      <c r="H1748" t="s">
        <v>3880</v>
      </c>
      <c r="I1748" t="s">
        <v>1357</v>
      </c>
      <c r="J1748" t="s">
        <v>1357</v>
      </c>
      <c r="K1748" t="s">
        <v>1357</v>
      </c>
      <c r="L1748" t="s">
        <v>1357</v>
      </c>
    </row>
    <row r="1749" spans="1:12">
      <c r="H1749" t="s">
        <v>3881</v>
      </c>
      <c r="I1749" t="s">
        <v>1357</v>
      </c>
      <c r="J1749" t="s">
        <v>1357</v>
      </c>
      <c r="K1749" t="s">
        <v>1357</v>
      </c>
      <c r="L1749" t="s">
        <v>1357</v>
      </c>
    </row>
    <row r="1750" spans="1:12">
      <c r="H1750" t="s">
        <v>3882</v>
      </c>
      <c r="I1750" t="s">
        <v>1357</v>
      </c>
      <c r="J1750" t="s">
        <v>1357</v>
      </c>
      <c r="K1750" t="s">
        <v>1357</v>
      </c>
      <c r="L1750" t="s">
        <v>1357</v>
      </c>
    </row>
    <row r="1751" spans="1:12">
      <c r="H1751" t="s">
        <v>4093</v>
      </c>
      <c r="I1751" t="s">
        <v>1357</v>
      </c>
      <c r="J1751" t="s">
        <v>1357</v>
      </c>
      <c r="K1751" t="s">
        <v>1357</v>
      </c>
      <c r="L1751" t="s">
        <v>1357</v>
      </c>
    </row>
    <row r="1752" spans="1:12">
      <c r="H1752" t="s">
        <v>4094</v>
      </c>
      <c r="I1752" t="s">
        <v>1357</v>
      </c>
      <c r="J1752" t="s">
        <v>1357</v>
      </c>
      <c r="K1752" t="s">
        <v>1357</v>
      </c>
      <c r="L1752" t="s">
        <v>1357</v>
      </c>
    </row>
    <row r="1753" spans="1:12">
      <c r="H1753" t="s">
        <v>4095</v>
      </c>
      <c r="I1753" t="s">
        <v>1357</v>
      </c>
      <c r="J1753" t="s">
        <v>1357</v>
      </c>
      <c r="K1753" t="s">
        <v>1357</v>
      </c>
      <c r="L1753" t="s">
        <v>1357</v>
      </c>
    </row>
    <row r="1754" spans="1:12">
      <c r="H1754" t="s">
        <v>4096</v>
      </c>
      <c r="I1754" t="s">
        <v>1357</v>
      </c>
      <c r="J1754" t="s">
        <v>1357</v>
      </c>
      <c r="K1754" t="s">
        <v>1357</v>
      </c>
      <c r="L1754" t="s">
        <v>1357</v>
      </c>
    </row>
    <row r="1755" spans="1:12">
      <c r="H1755" t="s">
        <v>4097</v>
      </c>
      <c r="I1755" t="s">
        <v>1357</v>
      </c>
      <c r="J1755" t="s">
        <v>1357</v>
      </c>
      <c r="K1755" t="s">
        <v>1357</v>
      </c>
      <c r="L1755" t="s">
        <v>1357</v>
      </c>
    </row>
    <row r="1756" spans="1:12">
      <c r="F1756" t="s">
        <v>2698</v>
      </c>
      <c r="G1756" t="s">
        <v>3070</v>
      </c>
      <c r="H1756" t="s">
        <v>3880</v>
      </c>
      <c r="I1756" t="s">
        <v>1357</v>
      </c>
      <c r="J1756" t="s">
        <v>1357</v>
      </c>
      <c r="K1756" t="s">
        <v>1357</v>
      </c>
      <c r="L1756" t="s">
        <v>1357</v>
      </c>
    </row>
    <row r="1757" spans="1:12">
      <c r="H1757" t="s">
        <v>4095</v>
      </c>
      <c r="I1757" t="s">
        <v>1357</v>
      </c>
      <c r="J1757" t="s">
        <v>1357</v>
      </c>
      <c r="K1757" t="s">
        <v>1357</v>
      </c>
      <c r="L1757" t="s">
        <v>1357</v>
      </c>
    </row>
    <row r="1758" spans="1:12">
      <c r="H1758" t="s">
        <v>4096</v>
      </c>
      <c r="I1758" t="s">
        <v>1357</v>
      </c>
      <c r="J1758" t="s">
        <v>1357</v>
      </c>
      <c r="K1758" t="s">
        <v>1357</v>
      </c>
      <c r="L1758" t="s">
        <v>1357</v>
      </c>
    </row>
    <row r="1759" spans="1:12">
      <c r="F1759" t="s">
        <v>2699</v>
      </c>
      <c r="G1759" t="s">
        <v>3115</v>
      </c>
      <c r="H1759" t="s">
        <v>3880</v>
      </c>
      <c r="I1759" t="s">
        <v>1357</v>
      </c>
      <c r="J1759" t="s">
        <v>1357</v>
      </c>
      <c r="K1759" t="s">
        <v>1357</v>
      </c>
      <c r="L1759" t="s">
        <v>1357</v>
      </c>
    </row>
    <row r="1760" spans="1:12">
      <c r="H1760" t="s">
        <v>3881</v>
      </c>
      <c r="I1760" t="s">
        <v>1357</v>
      </c>
      <c r="J1760" t="s">
        <v>1357</v>
      </c>
      <c r="K1760" t="s">
        <v>1357</v>
      </c>
      <c r="L1760" t="s">
        <v>1357</v>
      </c>
    </row>
    <row r="1761" spans="6:12">
      <c r="H1761" t="s">
        <v>3882</v>
      </c>
      <c r="I1761" t="s">
        <v>1357</v>
      </c>
      <c r="J1761" t="s">
        <v>1357</v>
      </c>
      <c r="K1761" t="s">
        <v>1357</v>
      </c>
      <c r="L1761" t="s">
        <v>1357</v>
      </c>
    </row>
    <row r="1762" spans="6:12">
      <c r="F1762" t="s">
        <v>2700</v>
      </c>
      <c r="G1762" t="s">
        <v>3116</v>
      </c>
      <c r="H1762" t="s">
        <v>3880</v>
      </c>
      <c r="I1762" t="s">
        <v>1357</v>
      </c>
      <c r="J1762" t="s">
        <v>1357</v>
      </c>
      <c r="K1762" t="s">
        <v>1357</v>
      </c>
      <c r="L1762" t="s">
        <v>1357</v>
      </c>
    </row>
    <row r="1763" spans="6:12">
      <c r="H1763" t="s">
        <v>3881</v>
      </c>
      <c r="I1763" t="s">
        <v>1357</v>
      </c>
      <c r="J1763" t="s">
        <v>1357</v>
      </c>
      <c r="K1763" t="s">
        <v>1357</v>
      </c>
      <c r="L1763" t="s">
        <v>1357</v>
      </c>
    </row>
    <row r="1764" spans="6:12">
      <c r="H1764" t="s">
        <v>4226</v>
      </c>
      <c r="I1764" t="s">
        <v>1357</v>
      </c>
      <c r="J1764" t="s">
        <v>1357</v>
      </c>
      <c r="K1764" t="s">
        <v>1357</v>
      </c>
      <c r="L1764" t="s">
        <v>1357</v>
      </c>
    </row>
    <row r="1765" spans="6:12">
      <c r="F1765" t="s">
        <v>2701</v>
      </c>
      <c r="G1765" t="s">
        <v>3117</v>
      </c>
      <c r="H1765" t="s">
        <v>3880</v>
      </c>
      <c r="I1765" t="s">
        <v>1357</v>
      </c>
      <c r="J1765" t="s">
        <v>1357</v>
      </c>
      <c r="K1765" t="s">
        <v>1357</v>
      </c>
      <c r="L1765" t="s">
        <v>1357</v>
      </c>
    </row>
    <row r="1766" spans="6:12">
      <c r="H1766" t="s">
        <v>3881</v>
      </c>
      <c r="I1766" t="s">
        <v>1357</v>
      </c>
      <c r="J1766" t="s">
        <v>1357</v>
      </c>
      <c r="K1766" t="s">
        <v>1357</v>
      </c>
      <c r="L1766" t="s">
        <v>1357</v>
      </c>
    </row>
    <row r="1767" spans="6:12">
      <c r="H1767" t="s">
        <v>4226</v>
      </c>
      <c r="I1767" t="s">
        <v>1357</v>
      </c>
      <c r="J1767" t="s">
        <v>1357</v>
      </c>
      <c r="K1767" t="s">
        <v>1357</v>
      </c>
      <c r="L1767" t="s">
        <v>1357</v>
      </c>
    </row>
    <row r="1768" spans="6:12">
      <c r="F1768" t="s">
        <v>2702</v>
      </c>
      <c r="G1768" t="s">
        <v>2989</v>
      </c>
      <c r="H1768" t="s">
        <v>3277</v>
      </c>
      <c r="I1768" t="s">
        <v>1357</v>
      </c>
      <c r="J1768" t="s">
        <v>1357</v>
      </c>
      <c r="K1768" t="s">
        <v>1357</v>
      </c>
      <c r="L1768" t="s">
        <v>1357</v>
      </c>
    </row>
    <row r="1769" spans="6:12">
      <c r="H1769" t="s">
        <v>3278</v>
      </c>
      <c r="I1769" t="s">
        <v>1357</v>
      </c>
      <c r="J1769" t="s">
        <v>1357</v>
      </c>
      <c r="K1769" t="s">
        <v>1357</v>
      </c>
      <c r="L1769" t="s">
        <v>1357</v>
      </c>
    </row>
    <row r="1770" spans="6:12">
      <c r="F1770" t="s">
        <v>2703</v>
      </c>
      <c r="G1770" t="s">
        <v>3106</v>
      </c>
      <c r="H1770" t="s">
        <v>4148</v>
      </c>
      <c r="I1770" t="s">
        <v>1357</v>
      </c>
      <c r="J1770" t="s">
        <v>1357</v>
      </c>
      <c r="K1770" t="s">
        <v>1357</v>
      </c>
      <c r="L1770" t="s">
        <v>1357</v>
      </c>
    </row>
    <row r="1771" spans="6:12">
      <c r="H1771" t="s">
        <v>4149</v>
      </c>
      <c r="I1771" t="s">
        <v>1357</v>
      </c>
      <c r="J1771" t="s">
        <v>1357</v>
      </c>
      <c r="K1771" t="s">
        <v>1357</v>
      </c>
      <c r="L1771" t="s">
        <v>1357</v>
      </c>
    </row>
    <row r="1772" spans="6:12">
      <c r="H1772" t="s">
        <v>4150</v>
      </c>
      <c r="I1772" t="s">
        <v>1357</v>
      </c>
      <c r="J1772" t="s">
        <v>1357</v>
      </c>
      <c r="K1772" t="s">
        <v>1357</v>
      </c>
      <c r="L1772" t="s">
        <v>1357</v>
      </c>
    </row>
    <row r="1773" spans="6:12">
      <c r="F1773" t="s">
        <v>2704</v>
      </c>
      <c r="G1773" t="s">
        <v>3107</v>
      </c>
      <c r="H1773" t="s">
        <v>3947</v>
      </c>
      <c r="I1773" t="s">
        <v>1357</v>
      </c>
      <c r="J1773" t="s">
        <v>1357</v>
      </c>
      <c r="K1773" t="s">
        <v>1357</v>
      </c>
      <c r="L1773" t="s">
        <v>1357</v>
      </c>
    </row>
    <row r="1774" spans="6:12">
      <c r="H1774" t="s">
        <v>3948</v>
      </c>
      <c r="I1774" t="s">
        <v>1357</v>
      </c>
      <c r="J1774" t="s">
        <v>1357</v>
      </c>
      <c r="K1774" t="s">
        <v>1357</v>
      </c>
      <c r="L1774" t="s">
        <v>1357</v>
      </c>
    </row>
    <row r="1775" spans="6:12">
      <c r="H1775" t="s">
        <v>4151</v>
      </c>
      <c r="I1775" t="s">
        <v>1357</v>
      </c>
      <c r="J1775" t="s">
        <v>1357</v>
      </c>
      <c r="K1775" t="s">
        <v>1357</v>
      </c>
      <c r="L1775" t="s">
        <v>1357</v>
      </c>
    </row>
    <row r="1776" spans="6:12">
      <c r="H1776" t="s">
        <v>4152</v>
      </c>
      <c r="I1776" t="s">
        <v>1357</v>
      </c>
      <c r="J1776" t="s">
        <v>1357</v>
      </c>
      <c r="K1776" t="s">
        <v>1357</v>
      </c>
      <c r="L1776" t="s">
        <v>1357</v>
      </c>
    </row>
    <row r="1777" spans="6:12">
      <c r="H1777" t="s">
        <v>4153</v>
      </c>
      <c r="I1777" t="s">
        <v>1357</v>
      </c>
      <c r="J1777" t="s">
        <v>1357</v>
      </c>
      <c r="K1777" t="s">
        <v>1357</v>
      </c>
      <c r="L1777" t="s">
        <v>1357</v>
      </c>
    </row>
    <row r="1778" spans="6:12">
      <c r="H1778" t="s">
        <v>4154</v>
      </c>
      <c r="I1778" t="s">
        <v>1357</v>
      </c>
      <c r="J1778" t="s">
        <v>1357</v>
      </c>
      <c r="K1778" t="s">
        <v>1357</v>
      </c>
      <c r="L1778" t="s">
        <v>1357</v>
      </c>
    </row>
    <row r="1779" spans="6:12">
      <c r="H1779" t="s">
        <v>4155</v>
      </c>
      <c r="I1779" t="s">
        <v>1357</v>
      </c>
      <c r="J1779" t="s">
        <v>1357</v>
      </c>
      <c r="K1779" t="s">
        <v>1357</v>
      </c>
      <c r="L1779" t="s">
        <v>1357</v>
      </c>
    </row>
    <row r="1780" spans="6:12">
      <c r="H1780" t="s">
        <v>4156</v>
      </c>
      <c r="I1780" t="s">
        <v>1357</v>
      </c>
      <c r="J1780" t="s">
        <v>1357</v>
      </c>
      <c r="K1780" t="s">
        <v>1357</v>
      </c>
      <c r="L1780" t="s">
        <v>1357</v>
      </c>
    </row>
    <row r="1781" spans="6:12">
      <c r="H1781" t="s">
        <v>4157</v>
      </c>
      <c r="I1781" t="s">
        <v>1357</v>
      </c>
      <c r="J1781" t="s">
        <v>1357</v>
      </c>
      <c r="K1781" t="s">
        <v>1357</v>
      </c>
      <c r="L1781" t="s">
        <v>1357</v>
      </c>
    </row>
    <row r="1782" spans="6:12">
      <c r="F1782" t="s">
        <v>2705</v>
      </c>
      <c r="G1782" t="s">
        <v>3108</v>
      </c>
      <c r="H1782" t="s">
        <v>4158</v>
      </c>
      <c r="I1782" t="s">
        <v>1357</v>
      </c>
      <c r="J1782" t="s">
        <v>1357</v>
      </c>
      <c r="K1782" t="s">
        <v>1357</v>
      </c>
      <c r="L1782" t="s">
        <v>1357</v>
      </c>
    </row>
    <row r="1783" spans="6:12">
      <c r="H1783" t="s">
        <v>3603</v>
      </c>
      <c r="I1783" t="s">
        <v>1357</v>
      </c>
      <c r="J1783" t="s">
        <v>1357</v>
      </c>
      <c r="K1783" t="s">
        <v>1357</v>
      </c>
      <c r="L1783" t="s">
        <v>1357</v>
      </c>
    </row>
    <row r="1784" spans="6:12">
      <c r="H1784" t="s">
        <v>4159</v>
      </c>
      <c r="I1784" t="s">
        <v>1357</v>
      </c>
      <c r="J1784" t="s">
        <v>1357</v>
      </c>
      <c r="K1784" t="s">
        <v>1357</v>
      </c>
      <c r="L1784" t="s">
        <v>1357</v>
      </c>
    </row>
    <row r="1785" spans="6:12">
      <c r="H1785" t="s">
        <v>4160</v>
      </c>
      <c r="I1785" t="s">
        <v>1357</v>
      </c>
      <c r="J1785" t="s">
        <v>1357</v>
      </c>
      <c r="K1785" t="s">
        <v>1357</v>
      </c>
      <c r="L1785" t="s">
        <v>1357</v>
      </c>
    </row>
    <row r="1786" spans="6:12">
      <c r="H1786" t="s">
        <v>4161</v>
      </c>
      <c r="I1786" t="s">
        <v>1357</v>
      </c>
      <c r="J1786" t="s">
        <v>1357</v>
      </c>
      <c r="K1786" t="s">
        <v>1357</v>
      </c>
      <c r="L1786" t="s">
        <v>1357</v>
      </c>
    </row>
    <row r="1787" spans="6:12">
      <c r="H1787" t="s">
        <v>4162</v>
      </c>
      <c r="I1787" t="s">
        <v>1357</v>
      </c>
      <c r="J1787" t="s">
        <v>1357</v>
      </c>
      <c r="K1787" t="s">
        <v>1357</v>
      </c>
      <c r="L1787" t="s">
        <v>1357</v>
      </c>
    </row>
    <row r="1788" spans="6:12">
      <c r="H1788" t="s">
        <v>4163</v>
      </c>
      <c r="I1788" t="s">
        <v>1357</v>
      </c>
      <c r="J1788" t="s">
        <v>1357</v>
      </c>
      <c r="K1788" t="s">
        <v>1357</v>
      </c>
      <c r="L1788" t="s">
        <v>1357</v>
      </c>
    </row>
    <row r="1789" spans="6:12">
      <c r="F1789" t="s">
        <v>2706</v>
      </c>
      <c r="G1789" t="s">
        <v>3068</v>
      </c>
      <c r="H1789" t="s">
        <v>4164</v>
      </c>
      <c r="I1789" t="s">
        <v>1357</v>
      </c>
      <c r="J1789" t="s">
        <v>1357</v>
      </c>
      <c r="K1789" t="s">
        <v>1357</v>
      </c>
      <c r="L1789" t="s">
        <v>1357</v>
      </c>
    </row>
    <row r="1790" spans="6:12">
      <c r="H1790" t="s">
        <v>3603</v>
      </c>
      <c r="I1790" t="s">
        <v>1357</v>
      </c>
      <c r="J1790" t="s">
        <v>1357</v>
      </c>
      <c r="K1790" t="s">
        <v>1357</v>
      </c>
      <c r="L1790" t="s">
        <v>1357</v>
      </c>
    </row>
    <row r="1791" spans="6:12">
      <c r="H1791" t="s">
        <v>4165</v>
      </c>
      <c r="I1791" t="s">
        <v>1357</v>
      </c>
      <c r="J1791" t="s">
        <v>1357</v>
      </c>
      <c r="K1791" t="s">
        <v>1357</v>
      </c>
      <c r="L1791" t="s">
        <v>1357</v>
      </c>
    </row>
    <row r="1792" spans="6:12">
      <c r="H1792" t="s">
        <v>4157</v>
      </c>
      <c r="I1792" t="s">
        <v>1357</v>
      </c>
      <c r="J1792" t="s">
        <v>1357</v>
      </c>
      <c r="K1792" t="s">
        <v>1357</v>
      </c>
      <c r="L1792" t="s">
        <v>1357</v>
      </c>
    </row>
    <row r="1793" spans="1:12">
      <c r="H1793" t="s">
        <v>4166</v>
      </c>
      <c r="I1793" t="s">
        <v>1357</v>
      </c>
      <c r="J1793" t="s">
        <v>1357</v>
      </c>
      <c r="K1793" t="s">
        <v>1357</v>
      </c>
      <c r="L1793" t="s">
        <v>1357</v>
      </c>
    </row>
    <row r="1794" spans="1:12">
      <c r="H1794" t="s">
        <v>4167</v>
      </c>
      <c r="I1794" t="s">
        <v>1357</v>
      </c>
      <c r="J1794" t="s">
        <v>1357</v>
      </c>
      <c r="K1794" t="s">
        <v>1357</v>
      </c>
      <c r="L1794" t="s">
        <v>1357</v>
      </c>
    </row>
    <row r="1795" spans="1:12">
      <c r="H1795" t="s">
        <v>4168</v>
      </c>
      <c r="I1795" t="s">
        <v>1357</v>
      </c>
      <c r="J1795" t="s">
        <v>1357</v>
      </c>
      <c r="K1795" t="s">
        <v>1357</v>
      </c>
      <c r="L1795" t="s">
        <v>1357</v>
      </c>
    </row>
    <row r="1796" spans="1:12">
      <c r="H1796" t="s">
        <v>4169</v>
      </c>
      <c r="I1796" t="s">
        <v>1357</v>
      </c>
      <c r="J1796" t="s">
        <v>1357</v>
      </c>
      <c r="K1796" t="s">
        <v>1357</v>
      </c>
      <c r="L1796" t="s">
        <v>1357</v>
      </c>
    </row>
    <row r="1797" spans="1:12">
      <c r="H1797" t="s">
        <v>4050</v>
      </c>
      <c r="I1797" t="s">
        <v>1357</v>
      </c>
      <c r="J1797" t="s">
        <v>1357</v>
      </c>
      <c r="K1797" t="s">
        <v>1357</v>
      </c>
      <c r="L1797" t="s">
        <v>1357</v>
      </c>
    </row>
    <row r="1798" spans="1:12">
      <c r="A1798" t="s">
        <v>2047</v>
      </c>
      <c r="B1798">
        <f>HYPERLINK("https://github.com/apache/commons-math/commit/76b7413d2b1eb2dc22f05de5b76f9519be5142e0", "76b7413d2b1eb2dc22f05de5b76f9519be5142e0")</f>
        <v>0</v>
      </c>
      <c r="C1798">
        <f>HYPERLINK("https://github.com/apache/commons-math/commit/fbf5a51ea5f700be8d92a4485e468ebfb67cf310", "fbf5a51ea5f700be8d92a4485e468ebfb67cf310")</f>
        <v>0</v>
      </c>
      <c r="D1798" t="s">
        <v>2155</v>
      </c>
      <c r="E1798" t="s">
        <v>2336</v>
      </c>
      <c r="F1798" t="s">
        <v>2707</v>
      </c>
      <c r="G1798" t="s">
        <v>3118</v>
      </c>
      <c r="H1798" t="s">
        <v>4227</v>
      </c>
      <c r="I1798" t="s">
        <v>1357</v>
      </c>
      <c r="J1798" t="s">
        <v>1357</v>
      </c>
      <c r="K1798" t="s">
        <v>1357</v>
      </c>
      <c r="L1798" t="s">
        <v>1357</v>
      </c>
    </row>
    <row r="1799" spans="1:12">
      <c r="A1799" t="s">
        <v>2048</v>
      </c>
      <c r="B1799">
        <f>HYPERLINK("https://github.com/apache/commons-math/commit/306fa74602973d8e6a5d542d43b13c9630408288", "306fa74602973d8e6a5d542d43b13c9630408288")</f>
        <v>0</v>
      </c>
      <c r="C1799">
        <f>HYPERLINK("https://github.com/apache/commons-math/commit/8e4e5221515f820108f48396a18ceaed73de8dc1", "8e4e5221515f820108f48396a18ceaed73de8dc1")</f>
        <v>0</v>
      </c>
      <c r="D1799" t="s">
        <v>2155</v>
      </c>
      <c r="E1799" t="s">
        <v>2337</v>
      </c>
      <c r="F1799" t="s">
        <v>2708</v>
      </c>
      <c r="G1799" t="s">
        <v>3119</v>
      </c>
      <c r="H1799" t="s">
        <v>4228</v>
      </c>
      <c r="I1799" t="s">
        <v>1357</v>
      </c>
      <c r="J1799" t="s">
        <v>1357</v>
      </c>
      <c r="K1799" t="s">
        <v>1357</v>
      </c>
      <c r="L1799" t="s">
        <v>1357</v>
      </c>
    </row>
    <row r="1800" spans="1:12">
      <c r="H1800" t="s">
        <v>4229</v>
      </c>
      <c r="I1800" t="s">
        <v>1357</v>
      </c>
      <c r="J1800" t="s">
        <v>1357</v>
      </c>
      <c r="K1800" t="s">
        <v>1357</v>
      </c>
      <c r="L1800" t="s">
        <v>1357</v>
      </c>
    </row>
    <row r="1801" spans="1:12">
      <c r="H1801" t="s">
        <v>4230</v>
      </c>
      <c r="I1801" t="s">
        <v>1357</v>
      </c>
      <c r="J1801" t="s">
        <v>1357</v>
      </c>
      <c r="K1801" t="s">
        <v>1357</v>
      </c>
      <c r="L1801" t="s">
        <v>1357</v>
      </c>
    </row>
    <row r="1802" spans="1:12">
      <c r="H1802" t="s">
        <v>4231</v>
      </c>
      <c r="I1802" t="s">
        <v>1357</v>
      </c>
      <c r="J1802" t="s">
        <v>1357</v>
      </c>
      <c r="K1802" t="s">
        <v>1357</v>
      </c>
      <c r="L1802" t="s">
        <v>1357</v>
      </c>
    </row>
    <row r="1803" spans="1:12">
      <c r="A1803" t="s">
        <v>2049</v>
      </c>
      <c r="B1803">
        <f>HYPERLINK("https://github.com/apache/commons-math/commit/e31fde875c6075ae3da9572c6f910cc29ceaf6c3", "e31fde875c6075ae3da9572c6f910cc29ceaf6c3")</f>
        <v>0</v>
      </c>
      <c r="C1803">
        <f>HYPERLINK("https://github.com/apache/commons-math/commit/0737cf82db33f55cdfcb68e8f02f0b8fed40fa15", "0737cf82db33f55cdfcb68e8f02f0b8fed40fa15")</f>
        <v>0</v>
      </c>
      <c r="D1803" t="s">
        <v>2155</v>
      </c>
      <c r="E1803" t="s">
        <v>2338</v>
      </c>
      <c r="F1803" t="s">
        <v>2709</v>
      </c>
      <c r="G1803" t="s">
        <v>3120</v>
      </c>
      <c r="H1803" t="s">
        <v>4232</v>
      </c>
      <c r="I1803" t="s">
        <v>1357</v>
      </c>
      <c r="J1803" t="s">
        <v>1357</v>
      </c>
      <c r="K1803" t="s">
        <v>1357</v>
      </c>
      <c r="L1803" t="s">
        <v>1357</v>
      </c>
    </row>
    <row r="1804" spans="1:12">
      <c r="H1804" t="s">
        <v>3863</v>
      </c>
      <c r="I1804" t="s">
        <v>1357</v>
      </c>
      <c r="J1804" t="s">
        <v>1357</v>
      </c>
      <c r="K1804" t="s">
        <v>1357</v>
      </c>
      <c r="L1804" t="s">
        <v>1357</v>
      </c>
    </row>
    <row r="1805" spans="1:12">
      <c r="H1805" t="s">
        <v>4233</v>
      </c>
      <c r="I1805" t="s">
        <v>1357</v>
      </c>
      <c r="J1805" t="s">
        <v>1357</v>
      </c>
      <c r="K1805" t="s">
        <v>1357</v>
      </c>
      <c r="L1805" t="s">
        <v>1357</v>
      </c>
    </row>
    <row r="1806" spans="1:12">
      <c r="H1806" t="s">
        <v>4123</v>
      </c>
      <c r="I1806" t="s">
        <v>1357</v>
      </c>
      <c r="J1806" t="s">
        <v>1357</v>
      </c>
      <c r="K1806" t="s">
        <v>1357</v>
      </c>
      <c r="L1806" t="s">
        <v>1357</v>
      </c>
    </row>
    <row r="1807" spans="1:12">
      <c r="F1807" t="s">
        <v>2710</v>
      </c>
      <c r="G1807" t="s">
        <v>3079</v>
      </c>
      <c r="H1807" t="s">
        <v>4234</v>
      </c>
      <c r="I1807" t="s">
        <v>1357</v>
      </c>
      <c r="J1807" t="s">
        <v>1357</v>
      </c>
      <c r="K1807" t="s">
        <v>1357</v>
      </c>
      <c r="L1807" t="s">
        <v>1357</v>
      </c>
    </row>
    <row r="1808" spans="1:12">
      <c r="H1808" t="s">
        <v>3863</v>
      </c>
      <c r="I1808" t="s">
        <v>1357</v>
      </c>
      <c r="J1808" t="s">
        <v>1357</v>
      </c>
      <c r="K1808" t="s">
        <v>1357</v>
      </c>
      <c r="L1808" t="s">
        <v>1357</v>
      </c>
    </row>
    <row r="1809" spans="8:12">
      <c r="H1809" t="s">
        <v>3864</v>
      </c>
      <c r="I1809" t="s">
        <v>1357</v>
      </c>
      <c r="J1809" t="s">
        <v>1357</v>
      </c>
      <c r="K1809" t="s">
        <v>1357</v>
      </c>
      <c r="L1809" t="s">
        <v>1357</v>
      </c>
    </row>
    <row r="1810" spans="8:12">
      <c r="H1810" t="s">
        <v>3865</v>
      </c>
      <c r="I1810" t="s">
        <v>1357</v>
      </c>
      <c r="J1810" t="s">
        <v>1357</v>
      </c>
      <c r="K1810" t="s">
        <v>1357</v>
      </c>
      <c r="L1810" t="s">
        <v>1357</v>
      </c>
    </row>
    <row r="1811" spans="8:12">
      <c r="H1811" t="s">
        <v>3866</v>
      </c>
      <c r="I1811" t="s">
        <v>1357</v>
      </c>
      <c r="J1811" t="s">
        <v>1357</v>
      </c>
      <c r="K1811" t="s">
        <v>1357</v>
      </c>
      <c r="L1811" t="s">
        <v>1357</v>
      </c>
    </row>
    <row r="1812" spans="8:12">
      <c r="H1812" t="s">
        <v>3867</v>
      </c>
      <c r="I1812" t="s">
        <v>1357</v>
      </c>
      <c r="J1812" t="s">
        <v>1357</v>
      </c>
      <c r="K1812" t="s">
        <v>1357</v>
      </c>
      <c r="L1812" t="s">
        <v>1357</v>
      </c>
    </row>
    <row r="1813" spans="8:12">
      <c r="H1813" t="s">
        <v>4170</v>
      </c>
      <c r="I1813" t="s">
        <v>1357</v>
      </c>
      <c r="J1813" t="s">
        <v>1357</v>
      </c>
      <c r="K1813" t="s">
        <v>1357</v>
      </c>
      <c r="L1813" t="s">
        <v>1357</v>
      </c>
    </row>
    <row r="1814" spans="8:12">
      <c r="H1814" t="s">
        <v>3869</v>
      </c>
      <c r="I1814" t="s">
        <v>1357</v>
      </c>
      <c r="J1814" t="s">
        <v>1357</v>
      </c>
      <c r="K1814" t="s">
        <v>1357</v>
      </c>
      <c r="L1814" t="s">
        <v>1357</v>
      </c>
    </row>
    <row r="1815" spans="8:12">
      <c r="H1815" t="s">
        <v>3870</v>
      </c>
      <c r="I1815" t="s">
        <v>1357</v>
      </c>
      <c r="J1815" t="s">
        <v>1357</v>
      </c>
      <c r="K1815" t="s">
        <v>1357</v>
      </c>
      <c r="L1815" t="s">
        <v>1357</v>
      </c>
    </row>
    <row r="1816" spans="8:12">
      <c r="H1816" t="s">
        <v>3871</v>
      </c>
      <c r="I1816" t="s">
        <v>1357</v>
      </c>
      <c r="J1816" t="s">
        <v>1357</v>
      </c>
      <c r="K1816" t="s">
        <v>1357</v>
      </c>
      <c r="L1816" t="s">
        <v>1357</v>
      </c>
    </row>
    <row r="1817" spans="8:12">
      <c r="H1817" t="s">
        <v>3872</v>
      </c>
      <c r="I1817" t="s">
        <v>1357</v>
      </c>
      <c r="J1817" t="s">
        <v>1357</v>
      </c>
      <c r="K1817" t="s">
        <v>1357</v>
      </c>
      <c r="L1817" t="s">
        <v>1357</v>
      </c>
    </row>
    <row r="1818" spans="8:12">
      <c r="H1818" t="s">
        <v>3873</v>
      </c>
      <c r="I1818" t="s">
        <v>1357</v>
      </c>
      <c r="J1818" t="s">
        <v>1357</v>
      </c>
      <c r="K1818" t="s">
        <v>1357</v>
      </c>
      <c r="L1818" t="s">
        <v>1357</v>
      </c>
    </row>
    <row r="1819" spans="8:12">
      <c r="H1819" t="s">
        <v>4171</v>
      </c>
      <c r="I1819" t="s">
        <v>1357</v>
      </c>
      <c r="J1819" t="s">
        <v>1357</v>
      </c>
      <c r="K1819" t="s">
        <v>1357</v>
      </c>
      <c r="L1819" t="s">
        <v>1357</v>
      </c>
    </row>
    <row r="1820" spans="8:12">
      <c r="H1820" t="s">
        <v>4172</v>
      </c>
      <c r="I1820" t="s">
        <v>1357</v>
      </c>
      <c r="J1820" t="s">
        <v>1357</v>
      </c>
      <c r="K1820" t="s">
        <v>1357</v>
      </c>
      <c r="L1820" t="s">
        <v>1357</v>
      </c>
    </row>
    <row r="1821" spans="8:12">
      <c r="H1821" t="s">
        <v>3875</v>
      </c>
      <c r="I1821" t="s">
        <v>1357</v>
      </c>
      <c r="J1821" t="s">
        <v>1357</v>
      </c>
      <c r="K1821" t="s">
        <v>1357</v>
      </c>
      <c r="L1821" t="s">
        <v>1357</v>
      </c>
    </row>
    <row r="1822" spans="8:12">
      <c r="H1822" t="s">
        <v>3876</v>
      </c>
      <c r="I1822" t="s">
        <v>1357</v>
      </c>
      <c r="J1822" t="s">
        <v>1357</v>
      </c>
      <c r="K1822" t="s">
        <v>1357</v>
      </c>
      <c r="L1822" t="s">
        <v>1357</v>
      </c>
    </row>
    <row r="1823" spans="8:12">
      <c r="H1823" t="s">
        <v>4173</v>
      </c>
      <c r="I1823" t="s">
        <v>1357</v>
      </c>
      <c r="J1823" t="s">
        <v>1357</v>
      </c>
      <c r="K1823" t="s">
        <v>1357</v>
      </c>
      <c r="L1823" t="s">
        <v>1357</v>
      </c>
    </row>
    <row r="1824" spans="8:12">
      <c r="H1824" t="s">
        <v>4174</v>
      </c>
      <c r="I1824" t="s">
        <v>1357</v>
      </c>
      <c r="J1824" t="s">
        <v>1357</v>
      </c>
      <c r="K1824" t="s">
        <v>1357</v>
      </c>
      <c r="L1824" t="s">
        <v>1357</v>
      </c>
    </row>
    <row r="1825" spans="6:12">
      <c r="H1825" t="s">
        <v>4175</v>
      </c>
      <c r="I1825" t="s">
        <v>1357</v>
      </c>
      <c r="J1825" t="s">
        <v>1357</v>
      </c>
      <c r="K1825" t="s">
        <v>1357</v>
      </c>
      <c r="L1825" t="s">
        <v>1357</v>
      </c>
    </row>
    <row r="1826" spans="6:12">
      <c r="F1826" t="s">
        <v>2711</v>
      </c>
      <c r="G1826" t="s">
        <v>3109</v>
      </c>
      <c r="H1826" t="s">
        <v>4176</v>
      </c>
      <c r="I1826" t="s">
        <v>1357</v>
      </c>
      <c r="J1826" t="s">
        <v>1357</v>
      </c>
      <c r="K1826" t="s">
        <v>1357</v>
      </c>
      <c r="L1826" t="s">
        <v>1357</v>
      </c>
    </row>
    <row r="1827" spans="6:12">
      <c r="H1827" t="s">
        <v>4177</v>
      </c>
      <c r="I1827" t="s">
        <v>1357</v>
      </c>
      <c r="J1827" t="s">
        <v>1357</v>
      </c>
      <c r="K1827" t="s">
        <v>1357</v>
      </c>
      <c r="L1827" t="s">
        <v>1357</v>
      </c>
    </row>
    <row r="1828" spans="6:12">
      <c r="H1828" t="s">
        <v>4178</v>
      </c>
      <c r="I1828" t="s">
        <v>1357</v>
      </c>
      <c r="J1828" t="s">
        <v>1357</v>
      </c>
      <c r="K1828" t="s">
        <v>1357</v>
      </c>
      <c r="L1828" t="s">
        <v>1357</v>
      </c>
    </row>
    <row r="1829" spans="6:12">
      <c r="F1829" t="s">
        <v>2712</v>
      </c>
      <c r="G1829" t="s">
        <v>3080</v>
      </c>
      <c r="H1829" t="s">
        <v>4235</v>
      </c>
      <c r="I1829" t="s">
        <v>1357</v>
      </c>
      <c r="J1829" t="s">
        <v>1357</v>
      </c>
      <c r="K1829" t="s">
        <v>1357</v>
      </c>
      <c r="L1829" t="s">
        <v>1357</v>
      </c>
    </row>
    <row r="1830" spans="6:12">
      <c r="H1830" t="s">
        <v>3870</v>
      </c>
      <c r="I1830" t="s">
        <v>1357</v>
      </c>
      <c r="J1830" t="s">
        <v>1357</v>
      </c>
      <c r="K1830" t="s">
        <v>1357</v>
      </c>
      <c r="L1830" t="s">
        <v>1357</v>
      </c>
    </row>
    <row r="1831" spans="6:12">
      <c r="H1831" t="s">
        <v>3871</v>
      </c>
      <c r="I1831" t="s">
        <v>1357</v>
      </c>
      <c r="J1831" t="s">
        <v>1357</v>
      </c>
      <c r="K1831" t="s">
        <v>1357</v>
      </c>
      <c r="L1831" t="s">
        <v>1357</v>
      </c>
    </row>
    <row r="1832" spans="6:12">
      <c r="H1832" t="s">
        <v>3842</v>
      </c>
      <c r="I1832" t="s">
        <v>1357</v>
      </c>
      <c r="J1832" t="s">
        <v>1357</v>
      </c>
      <c r="K1832" t="s">
        <v>1357</v>
      </c>
      <c r="L1832" t="s">
        <v>1357</v>
      </c>
    </row>
    <row r="1833" spans="6:12">
      <c r="H1833" t="s">
        <v>3876</v>
      </c>
      <c r="I1833" t="s">
        <v>1357</v>
      </c>
      <c r="J1833" t="s">
        <v>1357</v>
      </c>
      <c r="K1833" t="s">
        <v>1357</v>
      </c>
      <c r="L1833" t="s">
        <v>1357</v>
      </c>
    </row>
    <row r="1834" spans="6:12">
      <c r="H1834" t="s">
        <v>4175</v>
      </c>
      <c r="I1834" t="s">
        <v>1357</v>
      </c>
      <c r="J1834" t="s">
        <v>1357</v>
      </c>
      <c r="K1834" t="s">
        <v>1357</v>
      </c>
      <c r="L1834" t="s">
        <v>1357</v>
      </c>
    </row>
    <row r="1835" spans="6:12">
      <c r="F1835" t="s">
        <v>2713</v>
      </c>
      <c r="G1835" t="s">
        <v>3081</v>
      </c>
      <c r="H1835" t="s">
        <v>4235</v>
      </c>
      <c r="I1835" t="s">
        <v>1357</v>
      </c>
      <c r="J1835" t="s">
        <v>1357</v>
      </c>
      <c r="K1835" t="s">
        <v>1357</v>
      </c>
      <c r="L1835" t="s">
        <v>1357</v>
      </c>
    </row>
    <row r="1836" spans="6:12">
      <c r="H1836" t="s">
        <v>4170</v>
      </c>
      <c r="I1836" t="s">
        <v>1357</v>
      </c>
      <c r="J1836" t="s">
        <v>1357</v>
      </c>
      <c r="K1836" t="s">
        <v>1357</v>
      </c>
      <c r="L1836" t="s">
        <v>1357</v>
      </c>
    </row>
    <row r="1837" spans="6:12">
      <c r="H1837" t="s">
        <v>3877</v>
      </c>
      <c r="I1837" t="s">
        <v>1357</v>
      </c>
      <c r="J1837" t="s">
        <v>1357</v>
      </c>
      <c r="K1837" t="s">
        <v>1357</v>
      </c>
      <c r="L1837" t="s">
        <v>1357</v>
      </c>
    </row>
    <row r="1838" spans="6:12">
      <c r="H1838" t="s">
        <v>4179</v>
      </c>
      <c r="I1838" t="s">
        <v>1357</v>
      </c>
      <c r="J1838" t="s">
        <v>1357</v>
      </c>
      <c r="K1838" t="s">
        <v>1357</v>
      </c>
      <c r="L1838" t="s">
        <v>1357</v>
      </c>
    </row>
    <row r="1839" spans="6:12">
      <c r="H1839" t="s">
        <v>4180</v>
      </c>
      <c r="I1839" t="s">
        <v>1357</v>
      </c>
      <c r="J1839" t="s">
        <v>1357</v>
      </c>
      <c r="K1839" t="s">
        <v>1357</v>
      </c>
      <c r="L1839" t="s">
        <v>1357</v>
      </c>
    </row>
    <row r="1840" spans="6:12">
      <c r="F1840" t="s">
        <v>2714</v>
      </c>
      <c r="G1840" t="s">
        <v>3023</v>
      </c>
      <c r="H1840" t="s">
        <v>3576</v>
      </c>
      <c r="I1840" t="s">
        <v>1357</v>
      </c>
      <c r="J1840" t="s">
        <v>1357</v>
      </c>
      <c r="K1840" t="s">
        <v>1357</v>
      </c>
      <c r="L1840" t="s">
        <v>1357</v>
      </c>
    </row>
    <row r="1841" spans="8:12">
      <c r="H1841" t="s">
        <v>3577</v>
      </c>
      <c r="I1841" t="s">
        <v>1357</v>
      </c>
      <c r="J1841" t="s">
        <v>1357</v>
      </c>
      <c r="K1841" t="s">
        <v>1357</v>
      </c>
      <c r="L1841" t="s">
        <v>1357</v>
      </c>
    </row>
    <row r="1842" spans="8:12">
      <c r="H1842" t="s">
        <v>3578</v>
      </c>
      <c r="I1842" t="s">
        <v>1357</v>
      </c>
      <c r="J1842" t="s">
        <v>1357</v>
      </c>
      <c r="K1842" t="s">
        <v>1357</v>
      </c>
      <c r="L1842" t="s">
        <v>1357</v>
      </c>
    </row>
    <row r="1843" spans="8:12">
      <c r="H1843" t="s">
        <v>3579</v>
      </c>
      <c r="I1843" t="s">
        <v>1357</v>
      </c>
      <c r="J1843" t="s">
        <v>1357</v>
      </c>
      <c r="K1843" t="s">
        <v>1357</v>
      </c>
      <c r="L1843" t="s">
        <v>1357</v>
      </c>
    </row>
    <row r="1844" spans="8:12">
      <c r="H1844" t="s">
        <v>3580</v>
      </c>
      <c r="I1844" t="s">
        <v>1357</v>
      </c>
      <c r="J1844" t="s">
        <v>1357</v>
      </c>
      <c r="K1844" t="s">
        <v>1357</v>
      </c>
      <c r="L1844" t="s">
        <v>1357</v>
      </c>
    </row>
    <row r="1845" spans="8:12">
      <c r="H1845" t="s">
        <v>3581</v>
      </c>
      <c r="I1845" t="s">
        <v>1357</v>
      </c>
      <c r="J1845" t="s">
        <v>1357</v>
      </c>
      <c r="K1845" t="s">
        <v>1357</v>
      </c>
      <c r="L1845" t="s">
        <v>1357</v>
      </c>
    </row>
    <row r="1846" spans="8:12">
      <c r="H1846" t="s">
        <v>3582</v>
      </c>
      <c r="I1846" t="s">
        <v>1357</v>
      </c>
      <c r="J1846" t="s">
        <v>1357</v>
      </c>
      <c r="K1846" t="s">
        <v>1357</v>
      </c>
      <c r="L1846" t="s">
        <v>1357</v>
      </c>
    </row>
    <row r="1847" spans="8:12">
      <c r="H1847" t="s">
        <v>3583</v>
      </c>
      <c r="I1847" t="s">
        <v>1357</v>
      </c>
      <c r="J1847" t="s">
        <v>1357</v>
      </c>
      <c r="K1847" t="s">
        <v>1357</v>
      </c>
      <c r="L1847" t="s">
        <v>1357</v>
      </c>
    </row>
    <row r="1848" spans="8:12">
      <c r="H1848" t="s">
        <v>3584</v>
      </c>
      <c r="I1848" t="s">
        <v>1357</v>
      </c>
      <c r="J1848" t="s">
        <v>1357</v>
      </c>
      <c r="K1848" t="s">
        <v>1357</v>
      </c>
      <c r="L1848" t="s">
        <v>1357</v>
      </c>
    </row>
    <row r="1849" spans="8:12">
      <c r="H1849" t="s">
        <v>3585</v>
      </c>
      <c r="I1849" t="s">
        <v>1357</v>
      </c>
      <c r="J1849" t="s">
        <v>1357</v>
      </c>
      <c r="K1849" t="s">
        <v>1357</v>
      </c>
      <c r="L1849" t="s">
        <v>1357</v>
      </c>
    </row>
    <row r="1850" spans="8:12">
      <c r="H1850" t="s">
        <v>3586</v>
      </c>
      <c r="I1850" t="s">
        <v>1357</v>
      </c>
      <c r="J1850" t="s">
        <v>1357</v>
      </c>
      <c r="K1850" t="s">
        <v>1357</v>
      </c>
      <c r="L1850" t="s">
        <v>1357</v>
      </c>
    </row>
    <row r="1851" spans="8:12">
      <c r="H1851" t="s">
        <v>3587</v>
      </c>
      <c r="I1851" t="s">
        <v>1357</v>
      </c>
      <c r="J1851" t="s">
        <v>1357</v>
      </c>
      <c r="K1851" t="s">
        <v>1357</v>
      </c>
      <c r="L1851" t="s">
        <v>1357</v>
      </c>
    </row>
    <row r="1852" spans="8:12">
      <c r="H1852" t="s">
        <v>3588</v>
      </c>
      <c r="I1852" t="s">
        <v>1357</v>
      </c>
      <c r="J1852" t="s">
        <v>1357</v>
      </c>
      <c r="K1852" t="s">
        <v>1357</v>
      </c>
      <c r="L1852" t="s">
        <v>1357</v>
      </c>
    </row>
    <row r="1853" spans="8:12">
      <c r="H1853" t="s">
        <v>3589</v>
      </c>
      <c r="I1853" t="s">
        <v>1357</v>
      </c>
      <c r="J1853" t="s">
        <v>1357</v>
      </c>
      <c r="K1853" t="s">
        <v>1357</v>
      </c>
      <c r="L1853" t="s">
        <v>1357</v>
      </c>
    </row>
    <row r="1854" spans="8:12">
      <c r="H1854" t="s">
        <v>3590</v>
      </c>
      <c r="I1854" t="s">
        <v>1357</v>
      </c>
      <c r="J1854" t="s">
        <v>1357</v>
      </c>
      <c r="K1854" t="s">
        <v>1357</v>
      </c>
      <c r="L1854" t="s">
        <v>1357</v>
      </c>
    </row>
    <row r="1855" spans="8:12">
      <c r="H1855" t="s">
        <v>3591</v>
      </c>
      <c r="I1855" t="s">
        <v>1357</v>
      </c>
      <c r="J1855" t="s">
        <v>1357</v>
      </c>
      <c r="K1855" t="s">
        <v>1357</v>
      </c>
      <c r="L1855" t="s">
        <v>1357</v>
      </c>
    </row>
    <row r="1856" spans="8:12">
      <c r="H1856" t="s">
        <v>3592</v>
      </c>
      <c r="I1856" t="s">
        <v>1357</v>
      </c>
      <c r="J1856" t="s">
        <v>1357</v>
      </c>
      <c r="K1856" t="s">
        <v>1357</v>
      </c>
      <c r="L1856" t="s">
        <v>1357</v>
      </c>
    </row>
    <row r="1857" spans="1:12">
      <c r="H1857" t="s">
        <v>3593</v>
      </c>
      <c r="I1857" t="s">
        <v>1357</v>
      </c>
      <c r="J1857" t="s">
        <v>1357</v>
      </c>
      <c r="K1857" t="s">
        <v>1357</v>
      </c>
      <c r="L1857" t="s">
        <v>1357</v>
      </c>
    </row>
    <row r="1858" spans="1:12">
      <c r="A1858" t="s">
        <v>2050</v>
      </c>
      <c r="B1858">
        <f>HYPERLINK("https://github.com/apache/commons-math/commit/845e1d54231d3ff3fb04bdbf5dc5f6b631d9b01e", "845e1d54231d3ff3fb04bdbf5dc5f6b631d9b01e")</f>
        <v>0</v>
      </c>
      <c r="C1858">
        <f>HYPERLINK("https://github.com/apache/commons-math/commit/e31fde875c6075ae3da9572c6f910cc29ceaf6c3", "e31fde875c6075ae3da9572c6f910cc29ceaf6c3")</f>
        <v>0</v>
      </c>
      <c r="D1858" t="s">
        <v>2155</v>
      </c>
      <c r="E1858" t="s">
        <v>2339</v>
      </c>
      <c r="F1858" t="s">
        <v>2715</v>
      </c>
      <c r="G1858" t="s">
        <v>3121</v>
      </c>
      <c r="H1858" t="s">
        <v>4236</v>
      </c>
      <c r="I1858" t="s">
        <v>1357</v>
      </c>
      <c r="J1858" t="s">
        <v>1357</v>
      </c>
      <c r="K1858" t="s">
        <v>1357</v>
      </c>
      <c r="L1858" t="s">
        <v>1357</v>
      </c>
    </row>
    <row r="1859" spans="1:12">
      <c r="H1859" t="s">
        <v>4237</v>
      </c>
      <c r="I1859" t="s">
        <v>1357</v>
      </c>
      <c r="J1859" t="s">
        <v>1357</v>
      </c>
      <c r="K1859" t="s">
        <v>1357</v>
      </c>
      <c r="L1859" t="s">
        <v>1357</v>
      </c>
    </row>
    <row r="1860" spans="1:12">
      <c r="A1860" t="s">
        <v>2051</v>
      </c>
      <c r="B1860">
        <f>HYPERLINK("https://github.com/apache/commons-math/commit/5597ed7ea300ae3d08cd893b0133bce26038a7df", "5597ed7ea300ae3d08cd893b0133bce26038a7df")</f>
        <v>0</v>
      </c>
      <c r="C1860">
        <f>HYPERLINK("https://github.com/apache/commons-math/commit/9b2772e38ed16a56a4d806bbf23fabee5cf55030", "9b2772e38ed16a56a4d806bbf23fabee5cf55030")</f>
        <v>0</v>
      </c>
      <c r="D1860" t="s">
        <v>2155</v>
      </c>
      <c r="E1860" t="s">
        <v>2340</v>
      </c>
      <c r="F1860" t="s">
        <v>2716</v>
      </c>
      <c r="G1860" t="s">
        <v>3122</v>
      </c>
      <c r="H1860" t="s">
        <v>4238</v>
      </c>
      <c r="I1860" t="s">
        <v>1357</v>
      </c>
      <c r="J1860" t="s">
        <v>1357</v>
      </c>
      <c r="K1860" t="s">
        <v>1357</v>
      </c>
      <c r="L1860" t="s">
        <v>1357</v>
      </c>
    </row>
    <row r="1861" spans="1:12">
      <c r="A1861" t="s">
        <v>2052</v>
      </c>
      <c r="B1861">
        <f>HYPERLINK("https://github.com/apache/commons-math/commit/70538e67fba268e0734a77494849629acaa05423", "70538e67fba268e0734a77494849629acaa05423")</f>
        <v>0</v>
      </c>
      <c r="C1861">
        <f>HYPERLINK("https://github.com/apache/commons-math/commit/9575054ff07b8dbb912e889111f6b3a3be582680", "9575054ff07b8dbb912e889111f6b3a3be582680")</f>
        <v>0</v>
      </c>
      <c r="D1861" t="s">
        <v>2148</v>
      </c>
      <c r="E1861" t="s">
        <v>2341</v>
      </c>
      <c r="F1861" t="s">
        <v>2717</v>
      </c>
      <c r="G1861" t="s">
        <v>3051</v>
      </c>
      <c r="H1861" t="s">
        <v>4239</v>
      </c>
      <c r="I1861" t="s">
        <v>1357</v>
      </c>
      <c r="J1861" t="s">
        <v>1357</v>
      </c>
      <c r="K1861" t="s">
        <v>1357</v>
      </c>
      <c r="L1861" t="s">
        <v>1357</v>
      </c>
    </row>
    <row r="1862" spans="1:12">
      <c r="H1862" t="s">
        <v>4240</v>
      </c>
      <c r="I1862" t="s">
        <v>1357</v>
      </c>
      <c r="J1862" t="s">
        <v>1357</v>
      </c>
      <c r="K1862" t="s">
        <v>1357</v>
      </c>
      <c r="L1862" t="s">
        <v>1357</v>
      </c>
    </row>
    <row r="1863" spans="1:12">
      <c r="H1863" t="s">
        <v>4241</v>
      </c>
      <c r="I1863" t="s">
        <v>1357</v>
      </c>
      <c r="J1863" t="s">
        <v>1357</v>
      </c>
      <c r="K1863" t="s">
        <v>1357</v>
      </c>
      <c r="L1863" t="s">
        <v>1357</v>
      </c>
    </row>
    <row r="1864" spans="1:12">
      <c r="H1864" t="s">
        <v>4242</v>
      </c>
      <c r="I1864" t="s">
        <v>1357</v>
      </c>
      <c r="J1864" t="s">
        <v>1357</v>
      </c>
      <c r="K1864" t="s">
        <v>1357</v>
      </c>
      <c r="L1864" t="s">
        <v>1357</v>
      </c>
    </row>
    <row r="1865" spans="1:12">
      <c r="A1865" t="s">
        <v>2053</v>
      </c>
      <c r="B1865">
        <f>HYPERLINK("https://github.com/apache/commons-math/commit/0b5bd38e8658b4836ab41564ddb59febb423ecf6", "0b5bd38e8658b4836ab41564ddb59febb423ecf6")</f>
        <v>0</v>
      </c>
      <c r="C1865">
        <f>HYPERLINK("https://github.com/apache/commons-math/commit/3aa34dbc9d8d6f900a6077b62deeb046502d5bb5", "3aa34dbc9d8d6f900a6077b62deeb046502d5bb5")</f>
        <v>0</v>
      </c>
      <c r="D1865" t="s">
        <v>2151</v>
      </c>
      <c r="E1865" t="s">
        <v>2342</v>
      </c>
      <c r="F1865" t="s">
        <v>2718</v>
      </c>
      <c r="G1865" t="s">
        <v>3123</v>
      </c>
      <c r="H1865" t="s">
        <v>4243</v>
      </c>
      <c r="I1865" t="s">
        <v>1357</v>
      </c>
      <c r="J1865" t="s">
        <v>1357</v>
      </c>
      <c r="K1865" t="s">
        <v>1357</v>
      </c>
      <c r="L1865" t="s">
        <v>1357</v>
      </c>
    </row>
    <row r="1866" spans="1:12">
      <c r="H1866" t="s">
        <v>4244</v>
      </c>
      <c r="I1866" t="s">
        <v>1357</v>
      </c>
      <c r="J1866" t="s">
        <v>1357</v>
      </c>
      <c r="K1866" t="s">
        <v>1357</v>
      </c>
      <c r="L1866" t="s">
        <v>1357</v>
      </c>
    </row>
    <row r="1867" spans="1:12">
      <c r="A1867" t="s">
        <v>2054</v>
      </c>
      <c r="B1867">
        <f>HYPERLINK("https://github.com/apache/commons-math/commit/9c51e5316babbd370bc32aed0fee134216726ec9", "9c51e5316babbd370bc32aed0fee134216726ec9")</f>
        <v>0</v>
      </c>
      <c r="C1867">
        <f>HYPERLINK("https://github.com/apache/commons-math/commit/1c194a0dccec3322036e741042761d46ae0d8a44", "1c194a0dccec3322036e741042761d46ae0d8a44")</f>
        <v>0</v>
      </c>
      <c r="D1867" t="s">
        <v>2156</v>
      </c>
      <c r="E1867" t="s">
        <v>2343</v>
      </c>
      <c r="F1867" t="s">
        <v>2719</v>
      </c>
      <c r="G1867" t="s">
        <v>3052</v>
      </c>
      <c r="H1867" t="s">
        <v>4245</v>
      </c>
      <c r="I1867" t="s">
        <v>1357</v>
      </c>
      <c r="J1867" t="s">
        <v>1357</v>
      </c>
      <c r="K1867" t="s">
        <v>1357</v>
      </c>
      <c r="L1867" t="s">
        <v>1357</v>
      </c>
    </row>
    <row r="1868" spans="1:12">
      <c r="H1868" t="s">
        <v>4246</v>
      </c>
      <c r="I1868" t="s">
        <v>1357</v>
      </c>
      <c r="J1868" t="s">
        <v>1357</v>
      </c>
      <c r="K1868" t="s">
        <v>1357</v>
      </c>
      <c r="L1868" t="s">
        <v>1357</v>
      </c>
    </row>
    <row r="1869" spans="1:12">
      <c r="A1869" t="s">
        <v>2055</v>
      </c>
      <c r="B1869">
        <f>HYPERLINK("https://github.com/apache/commons-math/commit/fd37b5dd02bbce93f6f4fceb6bc3e6aa4641c5a7", "fd37b5dd02bbce93f6f4fceb6bc3e6aa4641c5a7")</f>
        <v>0</v>
      </c>
      <c r="C1869">
        <f>HYPERLINK("https://github.com/apache/commons-math/commit/a94ff90ab6cd2d92ccb2eb1fd7913b4e5256f02b", "a94ff90ab6cd2d92ccb2eb1fd7913b4e5256f02b")</f>
        <v>0</v>
      </c>
      <c r="D1869" t="s">
        <v>2157</v>
      </c>
      <c r="E1869" t="s">
        <v>2344</v>
      </c>
      <c r="F1869" t="s">
        <v>2720</v>
      </c>
      <c r="G1869" t="s">
        <v>3084</v>
      </c>
      <c r="H1869" t="s">
        <v>4247</v>
      </c>
      <c r="I1869" t="s">
        <v>1357</v>
      </c>
      <c r="J1869" t="s">
        <v>1357</v>
      </c>
      <c r="K1869" t="s">
        <v>1357</v>
      </c>
      <c r="L1869" t="s">
        <v>1357</v>
      </c>
    </row>
    <row r="1870" spans="1:12">
      <c r="H1870" t="s">
        <v>4248</v>
      </c>
      <c r="I1870" t="s">
        <v>1357</v>
      </c>
      <c r="J1870" t="s">
        <v>1357</v>
      </c>
      <c r="K1870" t="s">
        <v>1357</v>
      </c>
      <c r="L1870" t="s">
        <v>1357</v>
      </c>
    </row>
    <row r="1871" spans="1:12">
      <c r="H1871" t="s">
        <v>4249</v>
      </c>
      <c r="I1871" t="s">
        <v>1357</v>
      </c>
      <c r="J1871" t="s">
        <v>1357</v>
      </c>
      <c r="K1871" t="s">
        <v>1357</v>
      </c>
      <c r="L1871" t="s">
        <v>1357</v>
      </c>
    </row>
    <row r="1872" spans="1:12">
      <c r="A1872" t="s">
        <v>2056</v>
      </c>
      <c r="B1872">
        <f>HYPERLINK("https://github.com/apache/commons-math/commit/2d868410eead061d59de524bada4de9e3d2bb442", "2d868410eead061d59de524bada4de9e3d2bb442")</f>
        <v>0</v>
      </c>
      <c r="C1872">
        <f>HYPERLINK("https://github.com/apache/commons-math/commit/b3a68ca842841c4b9713462d5f01742cf71a6b4a", "b3a68ca842841c4b9713462d5f01742cf71a6b4a")</f>
        <v>0</v>
      </c>
      <c r="D1872" t="s">
        <v>2151</v>
      </c>
      <c r="E1872" t="s">
        <v>2345</v>
      </c>
      <c r="F1872" t="s">
        <v>2721</v>
      </c>
      <c r="G1872" t="s">
        <v>3055</v>
      </c>
      <c r="H1872" t="s">
        <v>4250</v>
      </c>
      <c r="I1872" t="s">
        <v>1358</v>
      </c>
      <c r="J1872" t="s">
        <v>1358</v>
      </c>
      <c r="K1872" t="s">
        <v>1358</v>
      </c>
      <c r="L1872" t="s">
        <v>1358</v>
      </c>
    </row>
    <row r="1873" spans="1:14">
      <c r="A1873" t="s">
        <v>2057</v>
      </c>
      <c r="B1873">
        <f>HYPERLINK("https://github.com/apache/commons-math/commit/fdc116f0bcda6d1fffbbe505d0687b0406e92fa6", "fdc116f0bcda6d1fffbbe505d0687b0406e92fa6")</f>
        <v>0</v>
      </c>
      <c r="C1873">
        <f>HYPERLINK("https://github.com/apache/commons-math/commit/2fcfce303989ae14b5b51f4c9fc92e97bc540ba8", "2fcfce303989ae14b5b51f4c9fc92e97bc540ba8")</f>
        <v>0</v>
      </c>
      <c r="D1873" t="s">
        <v>2151</v>
      </c>
      <c r="E1873" t="s">
        <v>2346</v>
      </c>
      <c r="F1873" t="s">
        <v>2722</v>
      </c>
      <c r="G1873" t="s">
        <v>3124</v>
      </c>
      <c r="H1873" t="s">
        <v>4251</v>
      </c>
      <c r="I1873" t="s">
        <v>1358</v>
      </c>
      <c r="J1873" t="s">
        <v>1358</v>
      </c>
      <c r="K1873" t="s">
        <v>1358</v>
      </c>
      <c r="L1873" t="s">
        <v>1358</v>
      </c>
      <c r="M1873" t="s">
        <v>5101</v>
      </c>
      <c r="N1873" t="s">
        <v>5114</v>
      </c>
    </row>
    <row r="1874" spans="1:14">
      <c r="A1874" t="s">
        <v>2058</v>
      </c>
      <c r="B1874">
        <f>HYPERLINK("https://github.com/apache/commons-math/commit/4742149a8d979f3d97d846f90774460f41184104", "4742149a8d979f3d97d846f90774460f41184104")</f>
        <v>0</v>
      </c>
      <c r="C1874">
        <f>HYPERLINK("https://github.com/apache/commons-math/commit/d749b2e76f3c14d0f2df52706d12f1156320640f", "d749b2e76f3c14d0f2df52706d12f1156320640f")</f>
        <v>0</v>
      </c>
      <c r="D1874" t="s">
        <v>2157</v>
      </c>
      <c r="E1874" t="s">
        <v>2347</v>
      </c>
      <c r="F1874" t="s">
        <v>2721</v>
      </c>
      <c r="G1874" t="s">
        <v>3055</v>
      </c>
      <c r="H1874" t="s">
        <v>4252</v>
      </c>
      <c r="I1874" t="s">
        <v>1357</v>
      </c>
      <c r="J1874" t="s">
        <v>1357</v>
      </c>
      <c r="K1874" t="s">
        <v>1357</v>
      </c>
      <c r="L1874" t="s">
        <v>1357</v>
      </c>
    </row>
    <row r="1875" spans="1:14">
      <c r="H1875" t="s">
        <v>4253</v>
      </c>
      <c r="I1875" t="s">
        <v>1357</v>
      </c>
      <c r="J1875" t="s">
        <v>1357</v>
      </c>
      <c r="K1875" t="s">
        <v>1357</v>
      </c>
      <c r="L1875" t="s">
        <v>1357</v>
      </c>
    </row>
    <row r="1876" spans="1:14">
      <c r="A1876" t="s">
        <v>2059</v>
      </c>
      <c r="B1876">
        <f>HYPERLINK("https://github.com/apache/commons-math/commit/9d4fb495265055724c2dfc2efa05460ee36fc2cf", "9d4fb495265055724c2dfc2efa05460ee36fc2cf")</f>
        <v>0</v>
      </c>
      <c r="C1876">
        <f>HYPERLINK("https://github.com/apache/commons-math/commit/3c2fedeb0901bd347c4b4f546b741de68a2e198a", "3c2fedeb0901bd347c4b4f546b741de68a2e198a")</f>
        <v>0</v>
      </c>
      <c r="D1876" t="s">
        <v>2148</v>
      </c>
      <c r="E1876" t="s">
        <v>2348</v>
      </c>
      <c r="F1876" t="s">
        <v>2722</v>
      </c>
      <c r="G1876" t="s">
        <v>3124</v>
      </c>
      <c r="H1876" t="s">
        <v>4254</v>
      </c>
      <c r="I1876" t="s">
        <v>1357</v>
      </c>
      <c r="J1876" t="s">
        <v>1357</v>
      </c>
      <c r="K1876" t="s">
        <v>1357</v>
      </c>
      <c r="L1876" t="s">
        <v>1357</v>
      </c>
    </row>
    <row r="1877" spans="1:14">
      <c r="H1877" t="s">
        <v>4255</v>
      </c>
      <c r="I1877" t="s">
        <v>1357</v>
      </c>
      <c r="J1877" t="s">
        <v>1357</v>
      </c>
      <c r="K1877" t="s">
        <v>1357</v>
      </c>
      <c r="L1877" t="s">
        <v>1357</v>
      </c>
    </row>
    <row r="1878" spans="1:14">
      <c r="H1878" t="s">
        <v>4256</v>
      </c>
      <c r="I1878" t="s">
        <v>1357</v>
      </c>
      <c r="J1878" t="s">
        <v>1357</v>
      </c>
      <c r="K1878" t="s">
        <v>1357</v>
      </c>
      <c r="L1878" t="s">
        <v>1357</v>
      </c>
    </row>
    <row r="1879" spans="1:14">
      <c r="H1879" t="s">
        <v>4251</v>
      </c>
      <c r="I1879" t="s">
        <v>1357</v>
      </c>
      <c r="J1879" t="s">
        <v>1357</v>
      </c>
      <c r="K1879" t="s">
        <v>1357</v>
      </c>
      <c r="L1879" t="s">
        <v>1357</v>
      </c>
    </row>
    <row r="1880" spans="1:14">
      <c r="H1880" t="s">
        <v>4257</v>
      </c>
      <c r="I1880" t="s">
        <v>1357</v>
      </c>
      <c r="J1880" t="s">
        <v>1357</v>
      </c>
      <c r="K1880" t="s">
        <v>1357</v>
      </c>
      <c r="L1880" t="s">
        <v>1357</v>
      </c>
    </row>
    <row r="1881" spans="1:14">
      <c r="A1881" t="s">
        <v>2060</v>
      </c>
      <c r="B1881">
        <f>HYPERLINK("https://github.com/apache/commons-math/commit/9867d9f2817fd6dd20d458022de3dda8c3b43b2f", "9867d9f2817fd6dd20d458022de3dda8c3b43b2f")</f>
        <v>0</v>
      </c>
      <c r="C1881">
        <f>HYPERLINK("https://github.com/apache/commons-math/commit/26d668f6d5a2f202ef7ff6a73ff3cbd7bbdf4b06", "26d668f6d5a2f202ef7ff6a73ff3cbd7bbdf4b06")</f>
        <v>0</v>
      </c>
      <c r="D1881" t="s">
        <v>2151</v>
      </c>
      <c r="E1881" t="s">
        <v>2349</v>
      </c>
      <c r="F1881" t="s">
        <v>2723</v>
      </c>
      <c r="G1881" t="s">
        <v>3125</v>
      </c>
      <c r="H1881" t="s">
        <v>4258</v>
      </c>
      <c r="I1881" t="s">
        <v>1357</v>
      </c>
      <c r="J1881" t="s">
        <v>1357</v>
      </c>
      <c r="K1881" t="s">
        <v>1357</v>
      </c>
      <c r="L1881" t="s">
        <v>1357</v>
      </c>
    </row>
    <row r="1882" spans="1:14">
      <c r="F1882" t="s">
        <v>2665</v>
      </c>
      <c r="G1882" t="s">
        <v>3094</v>
      </c>
      <c r="H1882" t="s">
        <v>4258</v>
      </c>
      <c r="I1882" t="s">
        <v>1357</v>
      </c>
      <c r="J1882" t="s">
        <v>1357</v>
      </c>
      <c r="K1882" t="s">
        <v>1357</v>
      </c>
      <c r="L1882" t="s">
        <v>1357</v>
      </c>
    </row>
    <row r="1883" spans="1:14">
      <c r="F1883" t="s">
        <v>2724</v>
      </c>
      <c r="G1883" t="s">
        <v>2923</v>
      </c>
      <c r="H1883" t="s">
        <v>3409</v>
      </c>
      <c r="I1883" t="s">
        <v>1358</v>
      </c>
      <c r="J1883" t="s">
        <v>1358</v>
      </c>
      <c r="K1883" t="s">
        <v>1358</v>
      </c>
      <c r="L1883" t="s">
        <v>1358</v>
      </c>
    </row>
    <row r="1884" spans="1:14">
      <c r="H1884" t="s">
        <v>4259</v>
      </c>
      <c r="I1884" t="s">
        <v>1357</v>
      </c>
      <c r="J1884" t="s">
        <v>1357</v>
      </c>
      <c r="K1884" t="s">
        <v>1357</v>
      </c>
      <c r="L1884" t="s">
        <v>1357</v>
      </c>
      <c r="N1884" t="s">
        <v>1364</v>
      </c>
    </row>
    <row r="1885" spans="1:14">
      <c r="H1885" t="s">
        <v>4260</v>
      </c>
      <c r="I1885" t="s">
        <v>1357</v>
      </c>
      <c r="J1885" t="s">
        <v>1357</v>
      </c>
      <c r="K1885" t="s">
        <v>1357</v>
      </c>
      <c r="L1885" t="s">
        <v>1357</v>
      </c>
      <c r="N1885" t="s">
        <v>1364</v>
      </c>
    </row>
    <row r="1886" spans="1:14">
      <c r="A1886" t="s">
        <v>2061</v>
      </c>
      <c r="B1886">
        <f>HYPERLINK("https://github.com/apache/commons-math/commit/ae2c81ad18f82278c5840d12ac22e572c3d31bf3", "ae2c81ad18f82278c5840d12ac22e572c3d31bf3")</f>
        <v>0</v>
      </c>
      <c r="C1886">
        <f>HYPERLINK("https://github.com/apache/commons-math/commit/77c24aa92600598ee7994a1504b7bafc560b3809", "77c24aa92600598ee7994a1504b7bafc560b3809")</f>
        <v>0</v>
      </c>
      <c r="D1886" t="s">
        <v>2151</v>
      </c>
      <c r="E1886" t="s">
        <v>2350</v>
      </c>
      <c r="F1886" t="s">
        <v>2716</v>
      </c>
      <c r="G1886" t="s">
        <v>3122</v>
      </c>
      <c r="H1886" t="s">
        <v>4261</v>
      </c>
      <c r="I1886" t="s">
        <v>1357</v>
      </c>
      <c r="J1886" t="s">
        <v>1357</v>
      </c>
      <c r="K1886" t="s">
        <v>1357</v>
      </c>
      <c r="L1886" t="s">
        <v>1357</v>
      </c>
    </row>
    <row r="1887" spans="1:14">
      <c r="A1887" t="s">
        <v>2062</v>
      </c>
      <c r="B1887">
        <f>HYPERLINK("https://github.com/apache/commons-math/commit/f695c9ce35dfcc4ed76343ce7a904f2facb45944", "f695c9ce35dfcc4ed76343ce7a904f2facb45944")</f>
        <v>0</v>
      </c>
      <c r="C1887">
        <f>HYPERLINK("https://github.com/apache/commons-math/commit/cbae75b900c822d86544c71865ba590b3b4a756c", "cbae75b900c822d86544c71865ba590b3b4a756c")</f>
        <v>0</v>
      </c>
      <c r="D1887" t="s">
        <v>2151</v>
      </c>
      <c r="E1887" t="s">
        <v>2351</v>
      </c>
      <c r="F1887" t="s">
        <v>2725</v>
      </c>
      <c r="G1887" t="s">
        <v>3056</v>
      </c>
      <c r="H1887" t="s">
        <v>4262</v>
      </c>
      <c r="I1887" t="s">
        <v>1357</v>
      </c>
      <c r="J1887" t="s">
        <v>1357</v>
      </c>
      <c r="K1887" t="s">
        <v>1357</v>
      </c>
      <c r="L1887" t="s">
        <v>1357</v>
      </c>
    </row>
    <row r="1888" spans="1:14">
      <c r="H1888" t="s">
        <v>4263</v>
      </c>
      <c r="I1888" t="s">
        <v>1357</v>
      </c>
      <c r="J1888" t="s">
        <v>1357</v>
      </c>
      <c r="K1888" t="s">
        <v>1357</v>
      </c>
      <c r="L1888" t="s">
        <v>1357</v>
      </c>
    </row>
    <row r="1889" spans="1:12">
      <c r="A1889" t="s">
        <v>2063</v>
      </c>
      <c r="B1889">
        <f>HYPERLINK("https://github.com/apache/commons-math/commit/8fe2360920a8228c10cd59ba0978df701174c961", "8fe2360920a8228c10cd59ba0978df701174c961")</f>
        <v>0</v>
      </c>
      <c r="C1889">
        <f>HYPERLINK("https://github.com/apache/commons-math/commit/db78a70f193d306bcd34b515f24a4e0060f04ca6", "db78a70f193d306bcd34b515f24a4e0060f04ca6")</f>
        <v>0</v>
      </c>
      <c r="D1889" t="s">
        <v>2151</v>
      </c>
      <c r="E1889" t="s">
        <v>2352</v>
      </c>
      <c r="F1889" t="s">
        <v>2726</v>
      </c>
      <c r="G1889" t="s">
        <v>3126</v>
      </c>
      <c r="H1889" t="s">
        <v>4264</v>
      </c>
      <c r="I1889" t="s">
        <v>1357</v>
      </c>
      <c r="J1889" t="s">
        <v>1357</v>
      </c>
      <c r="K1889" t="s">
        <v>1357</v>
      </c>
      <c r="L1889" t="s">
        <v>1357</v>
      </c>
    </row>
    <row r="1890" spans="1:12">
      <c r="A1890" t="s">
        <v>2064</v>
      </c>
      <c r="B1890">
        <f>HYPERLINK("https://github.com/apache/commons-math/commit/aa3a0187af11e8b7d5874e92b3e30a7c79140064", "aa3a0187af11e8b7d5874e92b3e30a7c79140064")</f>
        <v>0</v>
      </c>
      <c r="C1890">
        <f>HYPERLINK("https://github.com/apache/commons-math/commit/8fe2360920a8228c10cd59ba0978df701174c961", "8fe2360920a8228c10cd59ba0978df701174c961")</f>
        <v>0</v>
      </c>
      <c r="D1890" t="s">
        <v>2151</v>
      </c>
      <c r="E1890" t="s">
        <v>2352</v>
      </c>
      <c r="F1890" t="s">
        <v>2727</v>
      </c>
      <c r="G1890" t="s">
        <v>3127</v>
      </c>
      <c r="H1890" t="s">
        <v>4265</v>
      </c>
      <c r="I1890" t="s">
        <v>1357</v>
      </c>
      <c r="J1890" t="s">
        <v>1357</v>
      </c>
      <c r="K1890" t="s">
        <v>1357</v>
      </c>
      <c r="L1890" t="s">
        <v>1357</v>
      </c>
    </row>
    <row r="1891" spans="1:12">
      <c r="A1891" t="s">
        <v>2065</v>
      </c>
      <c r="B1891">
        <f>HYPERLINK("https://github.com/apache/commons-math/commit/7059474674d61d29c90369de0b402efdf0103ee2", "7059474674d61d29c90369de0b402efdf0103ee2")</f>
        <v>0</v>
      </c>
      <c r="C1891">
        <f>HYPERLINK("https://github.com/apache/commons-math/commit/19ca67ad410ab2cce8fc8d4dfd89c515ef23cc6c", "19ca67ad410ab2cce8fc8d4dfd89c515ef23cc6c")</f>
        <v>0</v>
      </c>
      <c r="D1891" t="s">
        <v>2151</v>
      </c>
      <c r="E1891" t="s">
        <v>2352</v>
      </c>
      <c r="F1891" t="s">
        <v>2728</v>
      </c>
      <c r="G1891" t="s">
        <v>3128</v>
      </c>
      <c r="H1891" t="s">
        <v>4266</v>
      </c>
      <c r="I1891" t="s">
        <v>1357</v>
      </c>
      <c r="J1891" t="s">
        <v>1357</v>
      </c>
      <c r="K1891" t="s">
        <v>1357</v>
      </c>
      <c r="L1891" t="s">
        <v>1357</v>
      </c>
    </row>
    <row r="1892" spans="1:12">
      <c r="A1892" t="s">
        <v>2066</v>
      </c>
      <c r="B1892">
        <f>HYPERLINK("https://github.com/apache/commons-math/commit/da11fb29e73d8ca7afae29f39827e75d212d4362", "da11fb29e73d8ca7afae29f39827e75d212d4362")</f>
        <v>0</v>
      </c>
      <c r="C1892">
        <f>HYPERLINK("https://github.com/apache/commons-math/commit/7059474674d61d29c90369de0b402efdf0103ee2", "7059474674d61d29c90369de0b402efdf0103ee2")</f>
        <v>0</v>
      </c>
      <c r="D1892" t="s">
        <v>2151</v>
      </c>
      <c r="E1892" t="s">
        <v>2352</v>
      </c>
      <c r="F1892" t="s">
        <v>2729</v>
      </c>
      <c r="G1892" t="s">
        <v>3129</v>
      </c>
      <c r="H1892" t="s">
        <v>4266</v>
      </c>
      <c r="I1892" t="s">
        <v>1357</v>
      </c>
      <c r="J1892" t="s">
        <v>1357</v>
      </c>
      <c r="K1892" t="s">
        <v>1357</v>
      </c>
      <c r="L1892" t="s">
        <v>1357</v>
      </c>
    </row>
    <row r="1893" spans="1:12">
      <c r="A1893" t="s">
        <v>2067</v>
      </c>
      <c r="B1893">
        <f>HYPERLINK("https://github.com/apache/commons-math/commit/60889c0435c739b41a4b6a6211dd0de7e65b16d6", "60889c0435c739b41a4b6a6211dd0de7e65b16d6")</f>
        <v>0</v>
      </c>
      <c r="C1893">
        <f>HYPERLINK("https://github.com/apache/commons-math/commit/da11fb29e73d8ca7afae29f39827e75d212d4362", "da11fb29e73d8ca7afae29f39827e75d212d4362")</f>
        <v>0</v>
      </c>
      <c r="D1893" t="s">
        <v>2151</v>
      </c>
      <c r="E1893" t="s">
        <v>2352</v>
      </c>
      <c r="F1893" t="s">
        <v>2730</v>
      </c>
      <c r="G1893" t="s">
        <v>3130</v>
      </c>
      <c r="H1893" t="s">
        <v>4266</v>
      </c>
      <c r="I1893" t="s">
        <v>1357</v>
      </c>
      <c r="J1893" t="s">
        <v>1357</v>
      </c>
      <c r="K1893" t="s">
        <v>1357</v>
      </c>
      <c r="L1893" t="s">
        <v>1357</v>
      </c>
    </row>
    <row r="1894" spans="1:12">
      <c r="A1894" t="s">
        <v>2068</v>
      </c>
      <c r="B1894">
        <f>HYPERLINK("https://github.com/apache/commons-math/commit/ac938e644fcf817c43955b1a334c25b836296d3f", "ac938e644fcf817c43955b1a334c25b836296d3f")</f>
        <v>0</v>
      </c>
      <c r="C1894">
        <f>HYPERLINK("https://github.com/apache/commons-math/commit/60889c0435c739b41a4b6a6211dd0de7e65b16d6", "60889c0435c739b41a4b6a6211dd0de7e65b16d6")</f>
        <v>0</v>
      </c>
      <c r="D1894" t="s">
        <v>2151</v>
      </c>
      <c r="E1894" t="s">
        <v>2352</v>
      </c>
      <c r="F1894" t="s">
        <v>2731</v>
      </c>
      <c r="G1894" t="s">
        <v>3131</v>
      </c>
      <c r="H1894" t="s">
        <v>4266</v>
      </c>
      <c r="I1894" t="s">
        <v>1357</v>
      </c>
      <c r="J1894" t="s">
        <v>1357</v>
      </c>
      <c r="K1894" t="s">
        <v>1357</v>
      </c>
      <c r="L1894" t="s">
        <v>1357</v>
      </c>
    </row>
    <row r="1895" spans="1:12">
      <c r="A1895" t="s">
        <v>2069</v>
      </c>
      <c r="B1895">
        <f>HYPERLINK("https://github.com/apache/commons-math/commit/75bc95b6a91311f3e9493292e6d753a3fb6743b8", "75bc95b6a91311f3e9493292e6d753a3fb6743b8")</f>
        <v>0</v>
      </c>
      <c r="C1895">
        <f>HYPERLINK("https://github.com/apache/commons-math/commit/ac938e644fcf817c43955b1a334c25b836296d3f", "ac938e644fcf817c43955b1a334c25b836296d3f")</f>
        <v>0</v>
      </c>
      <c r="D1895" t="s">
        <v>2151</v>
      </c>
      <c r="E1895" t="s">
        <v>2352</v>
      </c>
      <c r="F1895" t="s">
        <v>2732</v>
      </c>
      <c r="G1895" t="s">
        <v>3132</v>
      </c>
      <c r="H1895" t="s">
        <v>4266</v>
      </c>
      <c r="I1895" t="s">
        <v>1357</v>
      </c>
      <c r="J1895" t="s">
        <v>1357</v>
      </c>
      <c r="K1895" t="s">
        <v>1357</v>
      </c>
      <c r="L1895" t="s">
        <v>1357</v>
      </c>
    </row>
    <row r="1896" spans="1:12">
      <c r="A1896" t="s">
        <v>2070</v>
      </c>
      <c r="B1896">
        <f>HYPERLINK("https://github.com/apache/commons-math/commit/cede12d455fd0574315a12ec1584a6e3597d3fb7", "cede12d455fd0574315a12ec1584a6e3597d3fb7")</f>
        <v>0</v>
      </c>
      <c r="C1896">
        <f>HYPERLINK("https://github.com/apache/commons-math/commit/60c18b75f684f9ee0400cbaa796b230350042b94", "60c18b75f684f9ee0400cbaa796b230350042b94")</f>
        <v>0</v>
      </c>
      <c r="D1896" t="s">
        <v>2151</v>
      </c>
      <c r="E1896" t="s">
        <v>2353</v>
      </c>
      <c r="F1896" t="s">
        <v>2733</v>
      </c>
      <c r="G1896" t="s">
        <v>3133</v>
      </c>
      <c r="H1896" t="s">
        <v>4267</v>
      </c>
      <c r="I1896" t="s">
        <v>1357</v>
      </c>
      <c r="J1896" t="s">
        <v>1357</v>
      </c>
      <c r="K1896" t="s">
        <v>1357</v>
      </c>
      <c r="L1896" t="s">
        <v>1357</v>
      </c>
    </row>
    <row r="1897" spans="1:12">
      <c r="A1897" t="s">
        <v>2071</v>
      </c>
      <c r="B1897">
        <f>HYPERLINK("https://github.com/apache/commons-math/commit/e4914557372fc1c166a34027d79c94e054b3ed9e", "e4914557372fc1c166a34027d79c94e054b3ed9e")</f>
        <v>0</v>
      </c>
      <c r="C1897">
        <f>HYPERLINK("https://github.com/apache/commons-math/commit/dcde92e7d81790ee8faffe590b247ba0bb00b7a9", "dcde92e7d81790ee8faffe590b247ba0bb00b7a9")</f>
        <v>0</v>
      </c>
      <c r="D1897" t="s">
        <v>2151</v>
      </c>
      <c r="E1897" t="s">
        <v>2354</v>
      </c>
      <c r="F1897" t="s">
        <v>2734</v>
      </c>
      <c r="G1897" t="s">
        <v>2925</v>
      </c>
      <c r="H1897" t="s">
        <v>3423</v>
      </c>
      <c r="I1897" t="s">
        <v>1357</v>
      </c>
      <c r="J1897" t="s">
        <v>1357</v>
      </c>
      <c r="K1897" t="s">
        <v>1357</v>
      </c>
      <c r="L1897" t="s">
        <v>1357</v>
      </c>
    </row>
    <row r="1898" spans="1:12">
      <c r="H1898" t="s">
        <v>4268</v>
      </c>
      <c r="I1898" t="s">
        <v>1357</v>
      </c>
      <c r="J1898" t="s">
        <v>1357</v>
      </c>
      <c r="K1898" t="s">
        <v>1357</v>
      </c>
      <c r="L1898" t="s">
        <v>1357</v>
      </c>
    </row>
    <row r="1899" spans="1:12">
      <c r="H1899" t="s">
        <v>3424</v>
      </c>
      <c r="I1899" t="s">
        <v>1357</v>
      </c>
      <c r="J1899" t="s">
        <v>1357</v>
      </c>
      <c r="K1899" t="s">
        <v>1357</v>
      </c>
      <c r="L1899" t="s">
        <v>1357</v>
      </c>
    </row>
    <row r="1900" spans="1:12">
      <c r="H1900" t="s">
        <v>4269</v>
      </c>
      <c r="I1900" t="s">
        <v>1357</v>
      </c>
      <c r="J1900" t="s">
        <v>1357</v>
      </c>
      <c r="K1900" t="s">
        <v>1357</v>
      </c>
      <c r="L1900" t="s">
        <v>1357</v>
      </c>
    </row>
    <row r="1901" spans="1:12">
      <c r="H1901" t="s">
        <v>4270</v>
      </c>
      <c r="I1901" t="s">
        <v>1357</v>
      </c>
      <c r="J1901" t="s">
        <v>1357</v>
      </c>
      <c r="K1901" t="s">
        <v>1357</v>
      </c>
      <c r="L1901" t="s">
        <v>1357</v>
      </c>
    </row>
    <row r="1902" spans="1:12">
      <c r="H1902" t="s">
        <v>3426</v>
      </c>
      <c r="I1902" t="s">
        <v>1357</v>
      </c>
      <c r="J1902" t="s">
        <v>1357</v>
      </c>
      <c r="K1902" t="s">
        <v>1357</v>
      </c>
      <c r="L1902" t="s">
        <v>1357</v>
      </c>
    </row>
    <row r="1903" spans="1:12">
      <c r="H1903" t="s">
        <v>3427</v>
      </c>
      <c r="I1903" t="s">
        <v>1357</v>
      </c>
      <c r="J1903" t="s">
        <v>1357</v>
      </c>
      <c r="K1903" t="s">
        <v>1357</v>
      </c>
      <c r="L1903" t="s">
        <v>1357</v>
      </c>
    </row>
    <row r="1904" spans="1:12">
      <c r="H1904" t="s">
        <v>3428</v>
      </c>
      <c r="I1904" t="s">
        <v>1357</v>
      </c>
      <c r="J1904" t="s">
        <v>1357</v>
      </c>
      <c r="K1904" t="s">
        <v>1357</v>
      </c>
      <c r="L1904" t="s">
        <v>1357</v>
      </c>
    </row>
    <row r="1905" spans="1:12">
      <c r="H1905" t="s">
        <v>3429</v>
      </c>
      <c r="I1905" t="s">
        <v>1357</v>
      </c>
      <c r="J1905" t="s">
        <v>1357</v>
      </c>
      <c r="K1905" t="s">
        <v>1357</v>
      </c>
      <c r="L1905" t="s">
        <v>1357</v>
      </c>
    </row>
    <row r="1906" spans="1:12">
      <c r="A1906" t="s">
        <v>2072</v>
      </c>
      <c r="B1906">
        <f>HYPERLINK("https://github.com/apache/commons-math/commit/7550cb46417b396fed21f2ec149b465e7d039cef", "7550cb46417b396fed21f2ec149b465e7d039cef")</f>
        <v>0</v>
      </c>
      <c r="C1906">
        <f>HYPERLINK("https://github.com/apache/commons-math/commit/4bbe9ee5bdd1c7fb210b99ed3eee720e51a3b54f", "4bbe9ee5bdd1c7fb210b99ed3eee720e51a3b54f")</f>
        <v>0</v>
      </c>
      <c r="D1906" t="s">
        <v>2151</v>
      </c>
      <c r="E1906" t="s">
        <v>2355</v>
      </c>
      <c r="F1906" t="s">
        <v>2716</v>
      </c>
      <c r="G1906" t="s">
        <v>3122</v>
      </c>
      <c r="H1906" t="s">
        <v>4271</v>
      </c>
      <c r="I1906" t="s">
        <v>1357</v>
      </c>
      <c r="J1906" t="s">
        <v>1357</v>
      </c>
      <c r="K1906" t="s">
        <v>1357</v>
      </c>
      <c r="L1906" t="s">
        <v>1357</v>
      </c>
    </row>
    <row r="1907" spans="1:12">
      <c r="H1907" t="s">
        <v>4272</v>
      </c>
      <c r="I1907" t="s">
        <v>1357</v>
      </c>
      <c r="J1907" t="s">
        <v>1357</v>
      </c>
      <c r="K1907" t="s">
        <v>1357</v>
      </c>
      <c r="L1907" t="s">
        <v>1357</v>
      </c>
    </row>
    <row r="1908" spans="1:12">
      <c r="H1908" t="s">
        <v>4273</v>
      </c>
      <c r="I1908" t="s">
        <v>1357</v>
      </c>
      <c r="J1908" t="s">
        <v>1357</v>
      </c>
      <c r="K1908" t="s">
        <v>1357</v>
      </c>
      <c r="L1908" t="s">
        <v>1357</v>
      </c>
    </row>
    <row r="1909" spans="1:12">
      <c r="H1909" t="s">
        <v>4274</v>
      </c>
      <c r="I1909" t="s">
        <v>1357</v>
      </c>
      <c r="J1909" t="s">
        <v>1357</v>
      </c>
      <c r="K1909" t="s">
        <v>1357</v>
      </c>
      <c r="L1909" t="s">
        <v>1357</v>
      </c>
    </row>
    <row r="1910" spans="1:12">
      <c r="H1910" t="s">
        <v>4275</v>
      </c>
      <c r="I1910" t="s">
        <v>1357</v>
      </c>
      <c r="J1910" t="s">
        <v>1357</v>
      </c>
      <c r="K1910" t="s">
        <v>1357</v>
      </c>
      <c r="L1910" t="s">
        <v>1357</v>
      </c>
    </row>
    <row r="1911" spans="1:12">
      <c r="H1911" t="s">
        <v>4276</v>
      </c>
      <c r="I1911" t="s">
        <v>1357</v>
      </c>
      <c r="J1911" t="s">
        <v>1357</v>
      </c>
      <c r="K1911" t="s">
        <v>1357</v>
      </c>
      <c r="L1911" t="s">
        <v>1357</v>
      </c>
    </row>
    <row r="1912" spans="1:12">
      <c r="H1912" t="s">
        <v>4277</v>
      </c>
      <c r="I1912" t="s">
        <v>1357</v>
      </c>
      <c r="J1912" t="s">
        <v>1357</v>
      </c>
      <c r="K1912" t="s">
        <v>1357</v>
      </c>
      <c r="L1912" t="s">
        <v>1357</v>
      </c>
    </row>
    <row r="1913" spans="1:12">
      <c r="H1913" t="s">
        <v>4278</v>
      </c>
      <c r="I1913" t="s">
        <v>1357</v>
      </c>
      <c r="J1913" t="s">
        <v>1357</v>
      </c>
      <c r="K1913" t="s">
        <v>1357</v>
      </c>
      <c r="L1913" t="s">
        <v>1357</v>
      </c>
    </row>
    <row r="1914" spans="1:12">
      <c r="H1914" t="s">
        <v>4279</v>
      </c>
      <c r="I1914" t="s">
        <v>1357</v>
      </c>
      <c r="J1914" t="s">
        <v>1357</v>
      </c>
      <c r="K1914" t="s">
        <v>1357</v>
      </c>
      <c r="L1914" t="s">
        <v>1357</v>
      </c>
    </row>
    <row r="1915" spans="1:12">
      <c r="H1915" t="s">
        <v>4280</v>
      </c>
      <c r="I1915" t="s">
        <v>1357</v>
      </c>
      <c r="J1915" t="s">
        <v>1357</v>
      </c>
      <c r="K1915" t="s">
        <v>1357</v>
      </c>
      <c r="L1915" t="s">
        <v>1357</v>
      </c>
    </row>
    <row r="1916" spans="1:12">
      <c r="H1916" t="s">
        <v>4281</v>
      </c>
      <c r="I1916" t="s">
        <v>1357</v>
      </c>
      <c r="J1916" t="s">
        <v>1357</v>
      </c>
      <c r="K1916" t="s">
        <v>1357</v>
      </c>
      <c r="L1916" t="s">
        <v>1357</v>
      </c>
    </row>
    <row r="1917" spans="1:12">
      <c r="H1917" t="s">
        <v>4282</v>
      </c>
      <c r="I1917" t="s">
        <v>1357</v>
      </c>
      <c r="J1917" t="s">
        <v>1357</v>
      </c>
      <c r="K1917" t="s">
        <v>1357</v>
      </c>
      <c r="L1917" t="s">
        <v>1357</v>
      </c>
    </row>
    <row r="1918" spans="1:12">
      <c r="H1918" t="s">
        <v>4283</v>
      </c>
      <c r="I1918" t="s">
        <v>1357</v>
      </c>
      <c r="J1918" t="s">
        <v>1357</v>
      </c>
      <c r="K1918" t="s">
        <v>1357</v>
      </c>
      <c r="L1918" t="s">
        <v>1357</v>
      </c>
    </row>
    <row r="1919" spans="1:12">
      <c r="H1919" t="s">
        <v>4284</v>
      </c>
      <c r="I1919" t="s">
        <v>1357</v>
      </c>
      <c r="J1919" t="s">
        <v>1357</v>
      </c>
      <c r="K1919" t="s">
        <v>1357</v>
      </c>
      <c r="L1919" t="s">
        <v>1357</v>
      </c>
    </row>
    <row r="1920" spans="1:12">
      <c r="H1920" t="s">
        <v>4285</v>
      </c>
      <c r="I1920" t="s">
        <v>1357</v>
      </c>
      <c r="J1920" t="s">
        <v>1357</v>
      </c>
      <c r="K1920" t="s">
        <v>1357</v>
      </c>
      <c r="L1920" t="s">
        <v>1357</v>
      </c>
    </row>
    <row r="1921" spans="8:12">
      <c r="H1921" t="s">
        <v>4286</v>
      </c>
      <c r="I1921" t="s">
        <v>1357</v>
      </c>
      <c r="J1921" t="s">
        <v>1357</v>
      </c>
      <c r="K1921" t="s">
        <v>1357</v>
      </c>
      <c r="L1921" t="s">
        <v>1357</v>
      </c>
    </row>
    <row r="1922" spans="8:12">
      <c r="H1922" t="s">
        <v>4287</v>
      </c>
      <c r="I1922" t="s">
        <v>1357</v>
      </c>
      <c r="J1922" t="s">
        <v>1357</v>
      </c>
      <c r="K1922" t="s">
        <v>1357</v>
      </c>
      <c r="L1922" t="s">
        <v>1357</v>
      </c>
    </row>
    <row r="1923" spans="8:12">
      <c r="H1923" t="s">
        <v>4288</v>
      </c>
      <c r="I1923" t="s">
        <v>1357</v>
      </c>
      <c r="J1923" t="s">
        <v>1357</v>
      </c>
      <c r="K1923" t="s">
        <v>1357</v>
      </c>
      <c r="L1923" t="s">
        <v>1357</v>
      </c>
    </row>
    <row r="1924" spans="8:12">
      <c r="H1924" t="s">
        <v>4289</v>
      </c>
      <c r="I1924" t="s">
        <v>1357</v>
      </c>
      <c r="J1924" t="s">
        <v>1357</v>
      </c>
      <c r="K1924" t="s">
        <v>1357</v>
      </c>
      <c r="L1924" t="s">
        <v>1357</v>
      </c>
    </row>
    <row r="1925" spans="8:12">
      <c r="H1925" t="s">
        <v>4290</v>
      </c>
      <c r="I1925" t="s">
        <v>1357</v>
      </c>
      <c r="J1925" t="s">
        <v>1357</v>
      </c>
      <c r="K1925" t="s">
        <v>1357</v>
      </c>
      <c r="L1925" t="s">
        <v>1357</v>
      </c>
    </row>
    <row r="1926" spans="8:12">
      <c r="H1926" t="s">
        <v>4291</v>
      </c>
      <c r="I1926" t="s">
        <v>1357</v>
      </c>
      <c r="J1926" t="s">
        <v>1357</v>
      </c>
      <c r="K1926" t="s">
        <v>1357</v>
      </c>
      <c r="L1926" t="s">
        <v>1357</v>
      </c>
    </row>
    <row r="1927" spans="8:12">
      <c r="H1927" t="s">
        <v>3414</v>
      </c>
      <c r="I1927" t="s">
        <v>1357</v>
      </c>
      <c r="J1927" t="s">
        <v>1357</v>
      </c>
      <c r="K1927" t="s">
        <v>1357</v>
      </c>
      <c r="L1927" t="s">
        <v>1357</v>
      </c>
    </row>
    <row r="1928" spans="8:12">
      <c r="H1928" t="s">
        <v>3739</v>
      </c>
      <c r="I1928" t="s">
        <v>1357</v>
      </c>
      <c r="J1928" t="s">
        <v>1357</v>
      </c>
      <c r="K1928" t="s">
        <v>1357</v>
      </c>
      <c r="L1928" t="s">
        <v>1357</v>
      </c>
    </row>
    <row r="1929" spans="8:12">
      <c r="H1929" t="s">
        <v>3415</v>
      </c>
      <c r="I1929" t="s">
        <v>1357</v>
      </c>
      <c r="J1929" t="s">
        <v>1357</v>
      </c>
      <c r="K1929" t="s">
        <v>1357</v>
      </c>
      <c r="L1929" t="s">
        <v>1357</v>
      </c>
    </row>
    <row r="1930" spans="8:12">
      <c r="H1930" t="s">
        <v>3416</v>
      </c>
      <c r="I1930" t="s">
        <v>1357</v>
      </c>
      <c r="J1930" t="s">
        <v>1357</v>
      </c>
      <c r="K1930" t="s">
        <v>1357</v>
      </c>
      <c r="L1930" t="s">
        <v>1357</v>
      </c>
    </row>
    <row r="1931" spans="8:12">
      <c r="H1931" t="s">
        <v>4292</v>
      </c>
      <c r="I1931" t="s">
        <v>1357</v>
      </c>
      <c r="J1931" t="s">
        <v>1357</v>
      </c>
      <c r="K1931" t="s">
        <v>1357</v>
      </c>
      <c r="L1931" t="s">
        <v>1357</v>
      </c>
    </row>
    <row r="1932" spans="8:12">
      <c r="H1932" t="s">
        <v>4293</v>
      </c>
      <c r="I1932" t="s">
        <v>1357</v>
      </c>
      <c r="J1932" t="s">
        <v>1357</v>
      </c>
      <c r="K1932" t="s">
        <v>1357</v>
      </c>
      <c r="L1932" t="s">
        <v>1357</v>
      </c>
    </row>
    <row r="1933" spans="8:12">
      <c r="H1933" t="s">
        <v>4294</v>
      </c>
      <c r="I1933" t="s">
        <v>1357</v>
      </c>
      <c r="J1933" t="s">
        <v>1357</v>
      </c>
      <c r="K1933" t="s">
        <v>1357</v>
      </c>
      <c r="L1933" t="s">
        <v>1357</v>
      </c>
    </row>
    <row r="1934" spans="8:12">
      <c r="H1934" t="s">
        <v>4295</v>
      </c>
      <c r="I1934" t="s">
        <v>1357</v>
      </c>
      <c r="J1934" t="s">
        <v>1357</v>
      </c>
      <c r="K1934" t="s">
        <v>1357</v>
      </c>
      <c r="L1934" t="s">
        <v>1357</v>
      </c>
    </row>
    <row r="1935" spans="8:12">
      <c r="H1935" t="s">
        <v>4296</v>
      </c>
      <c r="I1935" t="s">
        <v>1357</v>
      </c>
      <c r="J1935" t="s">
        <v>1357</v>
      </c>
      <c r="K1935" t="s">
        <v>1357</v>
      </c>
      <c r="L1935" t="s">
        <v>1357</v>
      </c>
    </row>
    <row r="1936" spans="8:12">
      <c r="H1936" t="s">
        <v>4297</v>
      </c>
      <c r="I1936" t="s">
        <v>1357</v>
      </c>
      <c r="J1936" t="s">
        <v>1357</v>
      </c>
      <c r="K1936" t="s">
        <v>1357</v>
      </c>
      <c r="L1936" t="s">
        <v>1357</v>
      </c>
    </row>
    <row r="1937" spans="8:12">
      <c r="H1937" t="s">
        <v>3418</v>
      </c>
      <c r="I1937" t="s">
        <v>1357</v>
      </c>
      <c r="J1937" t="s">
        <v>1357</v>
      </c>
      <c r="K1937" t="s">
        <v>1357</v>
      </c>
      <c r="L1937" t="s">
        <v>1357</v>
      </c>
    </row>
    <row r="1938" spans="8:12">
      <c r="H1938" t="s">
        <v>3419</v>
      </c>
      <c r="I1938" t="s">
        <v>1357</v>
      </c>
      <c r="J1938" t="s">
        <v>1357</v>
      </c>
      <c r="K1938" t="s">
        <v>1357</v>
      </c>
      <c r="L1938" t="s">
        <v>1357</v>
      </c>
    </row>
    <row r="1939" spans="8:12">
      <c r="H1939" t="s">
        <v>3420</v>
      </c>
      <c r="I1939" t="s">
        <v>1357</v>
      </c>
      <c r="J1939" t="s">
        <v>1357</v>
      </c>
      <c r="K1939" t="s">
        <v>1357</v>
      </c>
      <c r="L1939" t="s">
        <v>1357</v>
      </c>
    </row>
    <row r="1940" spans="8:12">
      <c r="H1940" t="s">
        <v>3421</v>
      </c>
      <c r="I1940" t="s">
        <v>1357</v>
      </c>
      <c r="J1940" t="s">
        <v>1357</v>
      </c>
      <c r="K1940" t="s">
        <v>1357</v>
      </c>
      <c r="L1940" t="s">
        <v>1357</v>
      </c>
    </row>
    <row r="1941" spans="8:12">
      <c r="H1941" t="s">
        <v>3422</v>
      </c>
      <c r="I1941" t="s">
        <v>1357</v>
      </c>
      <c r="J1941" t="s">
        <v>1357</v>
      </c>
      <c r="K1941" t="s">
        <v>1357</v>
      </c>
      <c r="L1941" t="s">
        <v>1357</v>
      </c>
    </row>
    <row r="1942" spans="8:12">
      <c r="H1942" t="s">
        <v>4298</v>
      </c>
      <c r="I1942" t="s">
        <v>1357</v>
      </c>
      <c r="J1942" t="s">
        <v>1357</v>
      </c>
      <c r="K1942" t="s">
        <v>1357</v>
      </c>
      <c r="L1942" t="s">
        <v>1357</v>
      </c>
    </row>
    <row r="1943" spans="8:12">
      <c r="H1943" t="s">
        <v>4299</v>
      </c>
      <c r="I1943" t="s">
        <v>1357</v>
      </c>
      <c r="J1943" t="s">
        <v>1357</v>
      </c>
      <c r="K1943" t="s">
        <v>1357</v>
      </c>
      <c r="L1943" t="s">
        <v>1357</v>
      </c>
    </row>
    <row r="1944" spans="8:12">
      <c r="H1944" t="s">
        <v>4300</v>
      </c>
      <c r="I1944" t="s">
        <v>1357</v>
      </c>
      <c r="J1944" t="s">
        <v>1357</v>
      </c>
      <c r="K1944" t="s">
        <v>1357</v>
      </c>
      <c r="L1944" t="s">
        <v>1357</v>
      </c>
    </row>
    <row r="1945" spans="8:12">
      <c r="H1945" t="s">
        <v>4301</v>
      </c>
      <c r="I1945" t="s">
        <v>1357</v>
      </c>
      <c r="J1945" t="s">
        <v>1357</v>
      </c>
      <c r="K1945" t="s">
        <v>1357</v>
      </c>
      <c r="L1945" t="s">
        <v>1357</v>
      </c>
    </row>
    <row r="1946" spans="8:12">
      <c r="H1946" t="s">
        <v>4302</v>
      </c>
      <c r="I1946" t="s">
        <v>1357</v>
      </c>
      <c r="J1946" t="s">
        <v>1357</v>
      </c>
      <c r="K1946" t="s">
        <v>1357</v>
      </c>
      <c r="L1946" t="s">
        <v>1357</v>
      </c>
    </row>
    <row r="1947" spans="8:12">
      <c r="H1947" t="s">
        <v>4303</v>
      </c>
      <c r="I1947" t="s">
        <v>1357</v>
      </c>
      <c r="J1947" t="s">
        <v>1357</v>
      </c>
      <c r="K1947" t="s">
        <v>1357</v>
      </c>
      <c r="L1947" t="s">
        <v>1357</v>
      </c>
    </row>
    <row r="1948" spans="8:12">
      <c r="H1948" t="s">
        <v>4304</v>
      </c>
      <c r="I1948" t="s">
        <v>1357</v>
      </c>
      <c r="J1948" t="s">
        <v>1357</v>
      </c>
      <c r="K1948" t="s">
        <v>1357</v>
      </c>
      <c r="L1948" t="s">
        <v>1357</v>
      </c>
    </row>
    <row r="1949" spans="8:12">
      <c r="H1949" t="s">
        <v>4305</v>
      </c>
      <c r="I1949" t="s">
        <v>1357</v>
      </c>
      <c r="J1949" t="s">
        <v>1357</v>
      </c>
      <c r="K1949" t="s">
        <v>1357</v>
      </c>
      <c r="L1949" t="s">
        <v>1357</v>
      </c>
    </row>
    <row r="1950" spans="8:12">
      <c r="H1950" t="s">
        <v>4306</v>
      </c>
      <c r="I1950" t="s">
        <v>1357</v>
      </c>
      <c r="J1950" t="s">
        <v>1357</v>
      </c>
      <c r="K1950" t="s">
        <v>1357</v>
      </c>
      <c r="L1950" t="s">
        <v>1357</v>
      </c>
    </row>
    <row r="1951" spans="8:12">
      <c r="H1951" t="s">
        <v>4307</v>
      </c>
      <c r="I1951" t="s">
        <v>1357</v>
      </c>
      <c r="J1951" t="s">
        <v>1357</v>
      </c>
      <c r="K1951" t="s">
        <v>1357</v>
      </c>
      <c r="L1951" t="s">
        <v>1357</v>
      </c>
    </row>
    <row r="1952" spans="8:12">
      <c r="H1952" t="s">
        <v>4308</v>
      </c>
      <c r="I1952" t="s">
        <v>1357</v>
      </c>
      <c r="J1952" t="s">
        <v>1357</v>
      </c>
      <c r="K1952" t="s">
        <v>1357</v>
      </c>
      <c r="L1952" t="s">
        <v>1357</v>
      </c>
    </row>
    <row r="1953" spans="6:12">
      <c r="F1953" t="s">
        <v>2721</v>
      </c>
      <c r="G1953" t="s">
        <v>3055</v>
      </c>
      <c r="H1953" t="s">
        <v>4284</v>
      </c>
      <c r="I1953" t="s">
        <v>1357</v>
      </c>
      <c r="J1953" t="s">
        <v>1357</v>
      </c>
      <c r="K1953" t="s">
        <v>1357</v>
      </c>
      <c r="L1953" t="s">
        <v>1357</v>
      </c>
    </row>
    <row r="1954" spans="6:12">
      <c r="H1954" t="s">
        <v>4285</v>
      </c>
      <c r="I1954" t="s">
        <v>1357</v>
      </c>
      <c r="J1954" t="s">
        <v>1357</v>
      </c>
      <c r="K1954" t="s">
        <v>1357</v>
      </c>
      <c r="L1954" t="s">
        <v>1357</v>
      </c>
    </row>
    <row r="1955" spans="6:12">
      <c r="H1955" t="s">
        <v>4286</v>
      </c>
      <c r="I1955" t="s">
        <v>1357</v>
      </c>
      <c r="J1955" t="s">
        <v>1357</v>
      </c>
      <c r="K1955" t="s">
        <v>1357</v>
      </c>
      <c r="L1955" t="s">
        <v>1357</v>
      </c>
    </row>
    <row r="1956" spans="6:12">
      <c r="H1956" t="s">
        <v>4287</v>
      </c>
      <c r="I1956" t="s">
        <v>1357</v>
      </c>
      <c r="J1956" t="s">
        <v>1357</v>
      </c>
      <c r="K1956" t="s">
        <v>1357</v>
      </c>
      <c r="L1956" t="s">
        <v>1357</v>
      </c>
    </row>
    <row r="1957" spans="6:12">
      <c r="H1957" t="s">
        <v>4288</v>
      </c>
      <c r="I1957" t="s">
        <v>1357</v>
      </c>
      <c r="J1957" t="s">
        <v>1357</v>
      </c>
      <c r="K1957" t="s">
        <v>1357</v>
      </c>
      <c r="L1957" t="s">
        <v>1357</v>
      </c>
    </row>
    <row r="1958" spans="6:12">
      <c r="H1958" t="s">
        <v>4289</v>
      </c>
      <c r="I1958" t="s">
        <v>1357</v>
      </c>
      <c r="J1958" t="s">
        <v>1357</v>
      </c>
      <c r="K1958" t="s">
        <v>1357</v>
      </c>
      <c r="L1958" t="s">
        <v>1357</v>
      </c>
    </row>
    <row r="1959" spans="6:12">
      <c r="H1959" t="s">
        <v>4290</v>
      </c>
      <c r="I1959" t="s">
        <v>1357</v>
      </c>
      <c r="J1959" t="s">
        <v>1357</v>
      </c>
      <c r="K1959" t="s">
        <v>1357</v>
      </c>
      <c r="L1959" t="s">
        <v>1357</v>
      </c>
    </row>
    <row r="1960" spans="6:12">
      <c r="H1960" t="s">
        <v>4291</v>
      </c>
      <c r="I1960" t="s">
        <v>1357</v>
      </c>
      <c r="J1960" t="s">
        <v>1357</v>
      </c>
      <c r="K1960" t="s">
        <v>1357</v>
      </c>
      <c r="L1960" t="s">
        <v>1357</v>
      </c>
    </row>
    <row r="1961" spans="6:12">
      <c r="H1961" t="s">
        <v>3416</v>
      </c>
      <c r="I1961" t="s">
        <v>1357</v>
      </c>
      <c r="J1961" t="s">
        <v>1357</v>
      </c>
      <c r="K1961" t="s">
        <v>1357</v>
      </c>
      <c r="L1961" t="s">
        <v>1357</v>
      </c>
    </row>
    <row r="1962" spans="6:12">
      <c r="H1962" t="s">
        <v>4309</v>
      </c>
      <c r="I1962" t="s">
        <v>1357</v>
      </c>
      <c r="J1962" t="s">
        <v>1357</v>
      </c>
      <c r="K1962" t="s">
        <v>1357</v>
      </c>
      <c r="L1962" t="s">
        <v>1357</v>
      </c>
    </row>
    <row r="1963" spans="6:12">
      <c r="H1963" t="s">
        <v>4310</v>
      </c>
      <c r="I1963" t="s">
        <v>1357</v>
      </c>
      <c r="J1963" t="s">
        <v>1357</v>
      </c>
      <c r="K1963" t="s">
        <v>1357</v>
      </c>
      <c r="L1963" t="s">
        <v>1357</v>
      </c>
    </row>
    <row r="1964" spans="6:12">
      <c r="H1964" t="s">
        <v>4311</v>
      </c>
      <c r="I1964" t="s">
        <v>1357</v>
      </c>
      <c r="J1964" t="s">
        <v>1357</v>
      </c>
      <c r="K1964" t="s">
        <v>1357</v>
      </c>
      <c r="L1964" t="s">
        <v>1357</v>
      </c>
    </row>
    <row r="1965" spans="6:12">
      <c r="H1965" t="s">
        <v>4312</v>
      </c>
      <c r="I1965" t="s">
        <v>1357</v>
      </c>
      <c r="J1965" t="s">
        <v>1357</v>
      </c>
      <c r="K1965" t="s">
        <v>1357</v>
      </c>
      <c r="L1965" t="s">
        <v>1357</v>
      </c>
    </row>
    <row r="1966" spans="6:12">
      <c r="H1966" t="s">
        <v>1036</v>
      </c>
      <c r="I1966" t="s">
        <v>1357</v>
      </c>
      <c r="J1966" t="s">
        <v>1357</v>
      </c>
      <c r="K1966" t="s">
        <v>1357</v>
      </c>
      <c r="L1966" t="s">
        <v>1357</v>
      </c>
    </row>
    <row r="1967" spans="6:12">
      <c r="H1967" t="s">
        <v>4313</v>
      </c>
      <c r="I1967" t="s">
        <v>1357</v>
      </c>
      <c r="J1967" t="s">
        <v>1357</v>
      </c>
      <c r="K1967" t="s">
        <v>1357</v>
      </c>
      <c r="L1967" t="s">
        <v>1357</v>
      </c>
    </row>
    <row r="1968" spans="6:12">
      <c r="H1968" t="s">
        <v>4314</v>
      </c>
      <c r="I1968" t="s">
        <v>1357</v>
      </c>
      <c r="J1968" t="s">
        <v>1357</v>
      </c>
      <c r="K1968" t="s">
        <v>1357</v>
      </c>
      <c r="L1968" t="s">
        <v>1357</v>
      </c>
    </row>
    <row r="1969" spans="1:12">
      <c r="H1969" t="s">
        <v>1028</v>
      </c>
      <c r="I1969" t="s">
        <v>1357</v>
      </c>
      <c r="J1969" t="s">
        <v>1357</v>
      </c>
      <c r="K1969" t="s">
        <v>1357</v>
      </c>
      <c r="L1969" t="s">
        <v>1357</v>
      </c>
    </row>
    <row r="1970" spans="1:12">
      <c r="H1970" t="s">
        <v>1031</v>
      </c>
      <c r="I1970" t="s">
        <v>1357</v>
      </c>
      <c r="J1970" t="s">
        <v>1357</v>
      </c>
      <c r="K1970" t="s">
        <v>1357</v>
      </c>
      <c r="L1970" t="s">
        <v>1357</v>
      </c>
    </row>
    <row r="1971" spans="1:12">
      <c r="H1971" t="s">
        <v>1033</v>
      </c>
      <c r="I1971" t="s">
        <v>1357</v>
      </c>
      <c r="J1971" t="s">
        <v>1357</v>
      </c>
      <c r="K1971" t="s">
        <v>1357</v>
      </c>
      <c r="L1971" t="s">
        <v>1357</v>
      </c>
    </row>
    <row r="1972" spans="1:12">
      <c r="H1972" t="s">
        <v>4315</v>
      </c>
      <c r="I1972" t="s">
        <v>1357</v>
      </c>
      <c r="J1972" t="s">
        <v>1357</v>
      </c>
      <c r="K1972" t="s">
        <v>1357</v>
      </c>
      <c r="L1972" t="s">
        <v>1357</v>
      </c>
    </row>
    <row r="1973" spans="1:12">
      <c r="H1973" t="s">
        <v>4316</v>
      </c>
      <c r="I1973" t="s">
        <v>1357</v>
      </c>
      <c r="J1973" t="s">
        <v>1357</v>
      </c>
      <c r="K1973" t="s">
        <v>1357</v>
      </c>
      <c r="L1973" t="s">
        <v>1357</v>
      </c>
    </row>
    <row r="1974" spans="1:12">
      <c r="H1974" t="s">
        <v>4317</v>
      </c>
      <c r="I1974" t="s">
        <v>1357</v>
      </c>
      <c r="J1974" t="s">
        <v>1357</v>
      </c>
      <c r="K1974" t="s">
        <v>1357</v>
      </c>
      <c r="L1974" t="s">
        <v>1357</v>
      </c>
    </row>
    <row r="1975" spans="1:12">
      <c r="H1975" t="s">
        <v>4318</v>
      </c>
      <c r="I1975" t="s">
        <v>1357</v>
      </c>
      <c r="J1975" t="s">
        <v>1357</v>
      </c>
      <c r="K1975" t="s">
        <v>1357</v>
      </c>
      <c r="L1975" t="s">
        <v>1357</v>
      </c>
    </row>
    <row r="1976" spans="1:12">
      <c r="F1976" t="s">
        <v>2735</v>
      </c>
      <c r="G1976" t="s">
        <v>3134</v>
      </c>
      <c r="H1976" t="s">
        <v>4266</v>
      </c>
      <c r="I1976" t="s">
        <v>1357</v>
      </c>
      <c r="J1976" t="s">
        <v>1357</v>
      </c>
      <c r="K1976" t="s">
        <v>1357</v>
      </c>
      <c r="L1976" t="s">
        <v>1357</v>
      </c>
    </row>
    <row r="1977" spans="1:12">
      <c r="A1977" t="s">
        <v>2073</v>
      </c>
      <c r="B1977">
        <f>HYPERLINK("https://github.com/apache/commons-math/commit/eeeb553cea4d90fb34fd314f943b206284dfc89b", "eeeb553cea4d90fb34fd314f943b206284dfc89b")</f>
        <v>0</v>
      </c>
      <c r="C1977">
        <f>HYPERLINK("https://github.com/apache/commons-math/commit/827d9644c864336fa84f15744375ba7412da047c", "827d9644c864336fa84f15744375ba7412da047c")</f>
        <v>0</v>
      </c>
      <c r="D1977" t="s">
        <v>2158</v>
      </c>
      <c r="E1977" t="s">
        <v>2356</v>
      </c>
      <c r="F1977" t="s">
        <v>2736</v>
      </c>
      <c r="G1977" t="s">
        <v>3135</v>
      </c>
      <c r="H1977" t="s">
        <v>4316</v>
      </c>
      <c r="I1977" t="s">
        <v>1357</v>
      </c>
      <c r="J1977" t="s">
        <v>1357</v>
      </c>
      <c r="K1977" t="s">
        <v>1357</v>
      </c>
      <c r="L1977" t="s">
        <v>1357</v>
      </c>
    </row>
    <row r="1978" spans="1:12">
      <c r="F1978" t="s">
        <v>2737</v>
      </c>
      <c r="G1978" t="s">
        <v>3136</v>
      </c>
      <c r="H1978" t="s">
        <v>4316</v>
      </c>
      <c r="I1978" t="s">
        <v>1357</v>
      </c>
      <c r="J1978" t="s">
        <v>1357</v>
      </c>
      <c r="K1978" t="s">
        <v>1357</v>
      </c>
      <c r="L1978" t="s">
        <v>1357</v>
      </c>
    </row>
    <row r="1979" spans="1:12">
      <c r="F1979" t="s">
        <v>2738</v>
      </c>
      <c r="G1979" t="s">
        <v>3137</v>
      </c>
      <c r="H1979" t="s">
        <v>4319</v>
      </c>
      <c r="I1979" t="s">
        <v>1357</v>
      </c>
      <c r="J1979" t="s">
        <v>1357</v>
      </c>
      <c r="K1979" t="s">
        <v>1357</v>
      </c>
      <c r="L1979" t="s">
        <v>1357</v>
      </c>
    </row>
    <row r="1980" spans="1:12">
      <c r="H1980" t="s">
        <v>4320</v>
      </c>
      <c r="I1980" t="s">
        <v>1357</v>
      </c>
      <c r="J1980" t="s">
        <v>1357</v>
      </c>
      <c r="K1980" t="s">
        <v>1357</v>
      </c>
      <c r="L1980" t="s">
        <v>1357</v>
      </c>
    </row>
    <row r="1981" spans="1:12">
      <c r="H1981" t="s">
        <v>4321</v>
      </c>
      <c r="I1981" t="s">
        <v>1357</v>
      </c>
      <c r="J1981" t="s">
        <v>1357</v>
      </c>
      <c r="K1981" t="s">
        <v>1357</v>
      </c>
      <c r="L1981" t="s">
        <v>1357</v>
      </c>
    </row>
    <row r="1982" spans="1:12">
      <c r="H1982" t="s">
        <v>4322</v>
      </c>
      <c r="I1982" t="s">
        <v>1357</v>
      </c>
      <c r="J1982" t="s">
        <v>1357</v>
      </c>
      <c r="K1982" t="s">
        <v>1357</v>
      </c>
      <c r="L1982" t="s">
        <v>1357</v>
      </c>
    </row>
    <row r="1983" spans="1:12">
      <c r="H1983" t="s">
        <v>4323</v>
      </c>
      <c r="I1983" t="s">
        <v>1357</v>
      </c>
      <c r="J1983" t="s">
        <v>1357</v>
      </c>
      <c r="K1983" t="s">
        <v>1357</v>
      </c>
      <c r="L1983" t="s">
        <v>1357</v>
      </c>
    </row>
    <row r="1984" spans="1:12">
      <c r="H1984" t="s">
        <v>4324</v>
      </c>
      <c r="I1984" t="s">
        <v>1357</v>
      </c>
      <c r="J1984" t="s">
        <v>1357</v>
      </c>
      <c r="K1984" t="s">
        <v>1357</v>
      </c>
      <c r="L1984" t="s">
        <v>1357</v>
      </c>
    </row>
    <row r="1985" spans="8:12">
      <c r="H1985" t="s">
        <v>4325</v>
      </c>
      <c r="I1985" t="s">
        <v>1357</v>
      </c>
      <c r="J1985" t="s">
        <v>1357</v>
      </c>
      <c r="K1985" t="s">
        <v>1357</v>
      </c>
      <c r="L1985" t="s">
        <v>1357</v>
      </c>
    </row>
    <row r="1986" spans="8:12">
      <c r="H1986" t="s">
        <v>4326</v>
      </c>
      <c r="I1986" t="s">
        <v>1357</v>
      </c>
      <c r="J1986" t="s">
        <v>1357</v>
      </c>
      <c r="K1986" t="s">
        <v>1357</v>
      </c>
      <c r="L1986" t="s">
        <v>1357</v>
      </c>
    </row>
    <row r="1987" spans="8:12">
      <c r="H1987" t="s">
        <v>4327</v>
      </c>
      <c r="I1987" t="s">
        <v>1357</v>
      </c>
      <c r="J1987" t="s">
        <v>1357</v>
      </c>
      <c r="K1987" t="s">
        <v>1357</v>
      </c>
      <c r="L1987" t="s">
        <v>1357</v>
      </c>
    </row>
    <row r="1988" spans="8:12">
      <c r="H1988" t="s">
        <v>4328</v>
      </c>
      <c r="I1988" t="s">
        <v>1357</v>
      </c>
      <c r="J1988" t="s">
        <v>1357</v>
      </c>
      <c r="K1988" t="s">
        <v>1357</v>
      </c>
      <c r="L1988" t="s">
        <v>1357</v>
      </c>
    </row>
    <row r="1989" spans="8:12">
      <c r="H1989" t="s">
        <v>4329</v>
      </c>
      <c r="I1989" t="s">
        <v>1357</v>
      </c>
      <c r="J1989" t="s">
        <v>1357</v>
      </c>
      <c r="K1989" t="s">
        <v>1357</v>
      </c>
      <c r="L1989" t="s">
        <v>1357</v>
      </c>
    </row>
    <row r="1990" spans="8:12">
      <c r="H1990" t="s">
        <v>4330</v>
      </c>
      <c r="I1990" t="s">
        <v>1357</v>
      </c>
      <c r="J1990" t="s">
        <v>1357</v>
      </c>
      <c r="K1990" t="s">
        <v>1357</v>
      </c>
      <c r="L1990" t="s">
        <v>1357</v>
      </c>
    </row>
    <row r="1991" spans="8:12">
      <c r="H1991" t="s">
        <v>4331</v>
      </c>
      <c r="I1991" t="s">
        <v>1357</v>
      </c>
      <c r="J1991" t="s">
        <v>1357</v>
      </c>
      <c r="K1991" t="s">
        <v>1357</v>
      </c>
      <c r="L1991" t="s">
        <v>1357</v>
      </c>
    </row>
    <row r="1992" spans="8:12">
      <c r="H1992" t="s">
        <v>4332</v>
      </c>
      <c r="I1992" t="s">
        <v>1357</v>
      </c>
      <c r="J1992" t="s">
        <v>1357</v>
      </c>
      <c r="K1992" t="s">
        <v>1357</v>
      </c>
      <c r="L1992" t="s">
        <v>1357</v>
      </c>
    </row>
    <row r="1993" spans="8:12">
      <c r="H1993" t="s">
        <v>4333</v>
      </c>
      <c r="I1993" t="s">
        <v>1357</v>
      </c>
      <c r="J1993" t="s">
        <v>1357</v>
      </c>
      <c r="K1993" t="s">
        <v>1357</v>
      </c>
      <c r="L1993" t="s">
        <v>1357</v>
      </c>
    </row>
    <row r="1994" spans="8:12">
      <c r="H1994" t="s">
        <v>4334</v>
      </c>
      <c r="I1994" t="s">
        <v>1357</v>
      </c>
      <c r="J1994" t="s">
        <v>1357</v>
      </c>
      <c r="K1994" t="s">
        <v>1357</v>
      </c>
      <c r="L1994" t="s">
        <v>1357</v>
      </c>
    </row>
    <row r="1995" spans="8:12">
      <c r="H1995" t="s">
        <v>4335</v>
      </c>
      <c r="I1995" t="s">
        <v>1357</v>
      </c>
      <c r="J1995" t="s">
        <v>1357</v>
      </c>
      <c r="K1995" t="s">
        <v>1357</v>
      </c>
      <c r="L1995" t="s">
        <v>1357</v>
      </c>
    </row>
    <row r="1996" spans="8:12">
      <c r="H1996" t="s">
        <v>4336</v>
      </c>
      <c r="I1996" t="s">
        <v>1357</v>
      </c>
      <c r="J1996" t="s">
        <v>1357</v>
      </c>
      <c r="K1996" t="s">
        <v>1357</v>
      </c>
      <c r="L1996" t="s">
        <v>1357</v>
      </c>
    </row>
    <row r="1997" spans="8:12">
      <c r="H1997" t="s">
        <v>4337</v>
      </c>
      <c r="I1997" t="s">
        <v>1357</v>
      </c>
      <c r="J1997" t="s">
        <v>1357</v>
      </c>
      <c r="K1997" t="s">
        <v>1357</v>
      </c>
      <c r="L1997" t="s">
        <v>1357</v>
      </c>
    </row>
    <row r="1998" spans="8:12">
      <c r="H1998" t="s">
        <v>4338</v>
      </c>
      <c r="I1998" t="s">
        <v>1357</v>
      </c>
      <c r="J1998" t="s">
        <v>1357</v>
      </c>
      <c r="K1998" t="s">
        <v>1357</v>
      </c>
      <c r="L1998" t="s">
        <v>1357</v>
      </c>
    </row>
    <row r="1999" spans="8:12">
      <c r="H1999" t="s">
        <v>4339</v>
      </c>
      <c r="I1999" t="s">
        <v>1357</v>
      </c>
      <c r="J1999" t="s">
        <v>1357</v>
      </c>
      <c r="K1999" t="s">
        <v>1357</v>
      </c>
      <c r="L1999" t="s">
        <v>1357</v>
      </c>
    </row>
    <row r="2000" spans="8:12">
      <c r="H2000" t="s">
        <v>4340</v>
      </c>
      <c r="I2000" t="s">
        <v>1357</v>
      </c>
      <c r="J2000" t="s">
        <v>1357</v>
      </c>
      <c r="K2000" t="s">
        <v>1357</v>
      </c>
      <c r="L2000" t="s">
        <v>1357</v>
      </c>
    </row>
    <row r="2001" spans="6:12">
      <c r="H2001" t="s">
        <v>4341</v>
      </c>
      <c r="I2001" t="s">
        <v>1357</v>
      </c>
      <c r="J2001" t="s">
        <v>1357</v>
      </c>
      <c r="K2001" t="s">
        <v>1357</v>
      </c>
      <c r="L2001" t="s">
        <v>1357</v>
      </c>
    </row>
    <row r="2002" spans="6:12">
      <c r="F2002" t="s">
        <v>2739</v>
      </c>
      <c r="G2002" t="s">
        <v>3138</v>
      </c>
      <c r="H2002" t="s">
        <v>4342</v>
      </c>
      <c r="I2002" t="s">
        <v>1357</v>
      </c>
      <c r="J2002" t="s">
        <v>1357</v>
      </c>
      <c r="K2002" t="s">
        <v>1357</v>
      </c>
      <c r="L2002" t="s">
        <v>1357</v>
      </c>
    </row>
    <row r="2003" spans="6:12">
      <c r="H2003" t="s">
        <v>4343</v>
      </c>
      <c r="I2003" t="s">
        <v>1357</v>
      </c>
      <c r="J2003" t="s">
        <v>1357</v>
      </c>
      <c r="K2003" t="s">
        <v>1357</v>
      </c>
      <c r="L2003" t="s">
        <v>1357</v>
      </c>
    </row>
    <row r="2004" spans="6:12">
      <c r="F2004" t="s">
        <v>2740</v>
      </c>
      <c r="G2004" t="s">
        <v>3139</v>
      </c>
      <c r="H2004" t="s">
        <v>4266</v>
      </c>
      <c r="I2004" t="s">
        <v>1357</v>
      </c>
      <c r="J2004" t="s">
        <v>1357</v>
      </c>
      <c r="K2004" t="s">
        <v>1357</v>
      </c>
      <c r="L2004" t="s">
        <v>1357</v>
      </c>
    </row>
    <row r="2005" spans="6:12">
      <c r="F2005" t="s">
        <v>2741</v>
      </c>
      <c r="G2005" t="s">
        <v>3126</v>
      </c>
      <c r="H2005" t="s">
        <v>4264</v>
      </c>
      <c r="I2005" t="s">
        <v>1357</v>
      </c>
      <c r="J2005" t="s">
        <v>1357</v>
      </c>
      <c r="K2005" t="s">
        <v>1357</v>
      </c>
      <c r="L2005" t="s">
        <v>1357</v>
      </c>
    </row>
    <row r="2006" spans="6:12">
      <c r="F2006" t="s">
        <v>2742</v>
      </c>
      <c r="G2006" t="s">
        <v>3129</v>
      </c>
      <c r="H2006" t="s">
        <v>4266</v>
      </c>
      <c r="I2006" t="s">
        <v>1357</v>
      </c>
      <c r="J2006" t="s">
        <v>1357</v>
      </c>
      <c r="K2006" t="s">
        <v>1357</v>
      </c>
      <c r="L2006" t="s">
        <v>1357</v>
      </c>
    </row>
    <row r="2007" spans="6:12">
      <c r="F2007" t="s">
        <v>2743</v>
      </c>
      <c r="G2007" t="s">
        <v>3130</v>
      </c>
      <c r="H2007" t="s">
        <v>4266</v>
      </c>
      <c r="I2007" t="s">
        <v>1357</v>
      </c>
      <c r="J2007" t="s">
        <v>1357</v>
      </c>
      <c r="K2007" t="s">
        <v>1357</v>
      </c>
      <c r="L2007" t="s">
        <v>1357</v>
      </c>
    </row>
    <row r="2008" spans="6:12">
      <c r="F2008" t="s">
        <v>2744</v>
      </c>
      <c r="G2008" t="s">
        <v>3134</v>
      </c>
      <c r="H2008" t="s">
        <v>4266</v>
      </c>
      <c r="I2008" t="s">
        <v>1357</v>
      </c>
      <c r="J2008" t="s">
        <v>1357</v>
      </c>
      <c r="K2008" t="s">
        <v>1357</v>
      </c>
      <c r="L2008" t="s">
        <v>1357</v>
      </c>
    </row>
    <row r="2009" spans="6:12">
      <c r="F2009" t="s">
        <v>2745</v>
      </c>
      <c r="G2009" t="s">
        <v>3131</v>
      </c>
      <c r="H2009" t="s">
        <v>4266</v>
      </c>
      <c r="I2009" t="s">
        <v>1357</v>
      </c>
      <c r="J2009" t="s">
        <v>1357</v>
      </c>
      <c r="K2009" t="s">
        <v>1357</v>
      </c>
      <c r="L2009" t="s">
        <v>1357</v>
      </c>
    </row>
    <row r="2010" spans="6:12">
      <c r="F2010" t="s">
        <v>2746</v>
      </c>
      <c r="G2010" t="s">
        <v>3132</v>
      </c>
      <c r="H2010" t="s">
        <v>4266</v>
      </c>
      <c r="I2010" t="s">
        <v>1357</v>
      </c>
      <c r="J2010" t="s">
        <v>1357</v>
      </c>
      <c r="K2010" t="s">
        <v>1357</v>
      </c>
      <c r="L2010" t="s">
        <v>1357</v>
      </c>
    </row>
    <row r="2011" spans="6:12">
      <c r="F2011" t="s">
        <v>2747</v>
      </c>
      <c r="G2011" t="s">
        <v>3128</v>
      </c>
      <c r="H2011" t="s">
        <v>4266</v>
      </c>
      <c r="I2011" t="s">
        <v>1357</v>
      </c>
      <c r="J2011" t="s">
        <v>1357</v>
      </c>
      <c r="K2011" t="s">
        <v>1357</v>
      </c>
      <c r="L2011" t="s">
        <v>1357</v>
      </c>
    </row>
    <row r="2012" spans="6:12">
      <c r="F2012" t="s">
        <v>2748</v>
      </c>
      <c r="G2012" t="s">
        <v>3140</v>
      </c>
      <c r="H2012" t="s">
        <v>4264</v>
      </c>
      <c r="I2012" t="s">
        <v>1357</v>
      </c>
      <c r="J2012" t="s">
        <v>1357</v>
      </c>
      <c r="K2012" t="s">
        <v>1357</v>
      </c>
      <c r="L2012" t="s">
        <v>1357</v>
      </c>
    </row>
    <row r="2013" spans="6:12">
      <c r="F2013" t="s">
        <v>2749</v>
      </c>
      <c r="G2013" t="s">
        <v>3141</v>
      </c>
      <c r="H2013" t="s">
        <v>4266</v>
      </c>
      <c r="I2013" t="s">
        <v>1357</v>
      </c>
      <c r="J2013" t="s">
        <v>1357</v>
      </c>
      <c r="K2013" t="s">
        <v>1357</v>
      </c>
      <c r="L2013" t="s">
        <v>1357</v>
      </c>
    </row>
    <row r="2014" spans="6:12">
      <c r="F2014" t="s">
        <v>2750</v>
      </c>
      <c r="G2014" t="s">
        <v>3142</v>
      </c>
      <c r="H2014" t="s">
        <v>4344</v>
      </c>
      <c r="I2014" t="s">
        <v>1357</v>
      </c>
      <c r="J2014" t="s">
        <v>1357</v>
      </c>
      <c r="K2014" t="s">
        <v>1357</v>
      </c>
      <c r="L2014" t="s">
        <v>1357</v>
      </c>
    </row>
    <row r="2015" spans="6:12">
      <c r="H2015" t="s">
        <v>4345</v>
      </c>
      <c r="I2015" t="s">
        <v>1357</v>
      </c>
      <c r="J2015" t="s">
        <v>1357</v>
      </c>
      <c r="K2015" t="s">
        <v>1357</v>
      </c>
      <c r="L2015" t="s">
        <v>1357</v>
      </c>
    </row>
    <row r="2016" spans="6:12">
      <c r="F2016" t="s">
        <v>2751</v>
      </c>
      <c r="G2016" t="s">
        <v>3143</v>
      </c>
      <c r="H2016" t="s">
        <v>4266</v>
      </c>
      <c r="I2016" t="s">
        <v>1357</v>
      </c>
      <c r="J2016" t="s">
        <v>1357</v>
      </c>
      <c r="K2016" t="s">
        <v>1357</v>
      </c>
      <c r="L2016" t="s">
        <v>1357</v>
      </c>
    </row>
    <row r="2017" spans="1:12">
      <c r="F2017" t="s">
        <v>2752</v>
      </c>
      <c r="G2017" t="s">
        <v>3144</v>
      </c>
      <c r="H2017" t="s">
        <v>4346</v>
      </c>
      <c r="I2017" t="s">
        <v>1357</v>
      </c>
      <c r="J2017" t="s">
        <v>1357</v>
      </c>
      <c r="K2017" t="s">
        <v>1357</v>
      </c>
      <c r="L2017" t="s">
        <v>1357</v>
      </c>
    </row>
    <row r="2018" spans="1:12">
      <c r="H2018" t="s">
        <v>4347</v>
      </c>
      <c r="I2018" t="s">
        <v>1357</v>
      </c>
      <c r="J2018" t="s">
        <v>1357</v>
      </c>
      <c r="K2018" t="s">
        <v>1357</v>
      </c>
      <c r="L2018" t="s">
        <v>1357</v>
      </c>
    </row>
    <row r="2019" spans="1:12">
      <c r="H2019" t="s">
        <v>4348</v>
      </c>
      <c r="I2019" t="s">
        <v>1357</v>
      </c>
      <c r="J2019" t="s">
        <v>1357</v>
      </c>
      <c r="K2019" t="s">
        <v>1357</v>
      </c>
      <c r="L2019" t="s">
        <v>1357</v>
      </c>
    </row>
    <row r="2020" spans="1:12">
      <c r="H2020" t="s">
        <v>4349</v>
      </c>
      <c r="I2020" t="s">
        <v>1357</v>
      </c>
      <c r="J2020" t="s">
        <v>1357</v>
      </c>
      <c r="K2020" t="s">
        <v>1357</v>
      </c>
      <c r="L2020" t="s">
        <v>1357</v>
      </c>
    </row>
    <row r="2021" spans="1:12">
      <c r="H2021" t="s">
        <v>4350</v>
      </c>
      <c r="I2021" t="s">
        <v>1357</v>
      </c>
      <c r="J2021" t="s">
        <v>1357</v>
      </c>
      <c r="K2021" t="s">
        <v>1357</v>
      </c>
      <c r="L2021" t="s">
        <v>1357</v>
      </c>
    </row>
    <row r="2022" spans="1:12">
      <c r="H2022" t="s">
        <v>4351</v>
      </c>
      <c r="I2022" t="s">
        <v>1357</v>
      </c>
      <c r="J2022" t="s">
        <v>1357</v>
      </c>
      <c r="K2022" t="s">
        <v>1357</v>
      </c>
      <c r="L2022" t="s">
        <v>1357</v>
      </c>
    </row>
    <row r="2023" spans="1:12">
      <c r="H2023" t="s">
        <v>4352</v>
      </c>
      <c r="I2023" t="s">
        <v>1357</v>
      </c>
      <c r="J2023" t="s">
        <v>1357</v>
      </c>
      <c r="K2023" t="s">
        <v>1357</v>
      </c>
      <c r="L2023" t="s">
        <v>1357</v>
      </c>
    </row>
    <row r="2024" spans="1:12">
      <c r="H2024" t="s">
        <v>4353</v>
      </c>
      <c r="I2024" t="s">
        <v>1357</v>
      </c>
      <c r="J2024" t="s">
        <v>1357</v>
      </c>
      <c r="K2024" t="s">
        <v>1357</v>
      </c>
      <c r="L2024" t="s">
        <v>1357</v>
      </c>
    </row>
    <row r="2025" spans="1:12">
      <c r="H2025" t="s">
        <v>4354</v>
      </c>
      <c r="I2025" t="s">
        <v>1357</v>
      </c>
      <c r="J2025" t="s">
        <v>1357</v>
      </c>
      <c r="K2025" t="s">
        <v>1357</v>
      </c>
      <c r="L2025" t="s">
        <v>1357</v>
      </c>
    </row>
    <row r="2026" spans="1:12">
      <c r="H2026" t="s">
        <v>4355</v>
      </c>
      <c r="I2026" t="s">
        <v>1357</v>
      </c>
      <c r="J2026" t="s">
        <v>1357</v>
      </c>
      <c r="K2026" t="s">
        <v>1357</v>
      </c>
      <c r="L2026" t="s">
        <v>1357</v>
      </c>
    </row>
    <row r="2027" spans="1:12">
      <c r="F2027" t="s">
        <v>2753</v>
      </c>
      <c r="G2027" t="s">
        <v>3145</v>
      </c>
      <c r="H2027" t="s">
        <v>959</v>
      </c>
      <c r="I2027" t="s">
        <v>1357</v>
      </c>
      <c r="J2027" t="s">
        <v>1357</v>
      </c>
      <c r="K2027" t="s">
        <v>1357</v>
      </c>
      <c r="L2027" t="s">
        <v>1357</v>
      </c>
    </row>
    <row r="2028" spans="1:12">
      <c r="H2028" t="s">
        <v>4356</v>
      </c>
      <c r="I2028" t="s">
        <v>1357</v>
      </c>
      <c r="J2028" t="s">
        <v>1357</v>
      </c>
      <c r="K2028" t="s">
        <v>1357</v>
      </c>
      <c r="L2028" t="s">
        <v>1357</v>
      </c>
    </row>
    <row r="2029" spans="1:12">
      <c r="H2029" t="s">
        <v>4357</v>
      </c>
      <c r="I2029" t="s">
        <v>1357</v>
      </c>
      <c r="J2029" t="s">
        <v>1357</v>
      </c>
      <c r="K2029" t="s">
        <v>1357</v>
      </c>
      <c r="L2029" t="s">
        <v>1357</v>
      </c>
    </row>
    <row r="2030" spans="1:12">
      <c r="A2030" t="s">
        <v>2074</v>
      </c>
      <c r="B2030">
        <f>HYPERLINK("https://github.com/apache/commons-math/commit/b1d38d9bf25d715d2eca86876baa360a2df356d3", "b1d38d9bf25d715d2eca86876baa360a2df356d3")</f>
        <v>0</v>
      </c>
      <c r="C2030">
        <f>HYPERLINK("https://github.com/apache/commons-math/commit/af1b5872ab8355acea3197522ddf94972b3c8386", "af1b5872ab8355acea3197522ddf94972b3c8386")</f>
        <v>0</v>
      </c>
      <c r="D2030" t="s">
        <v>2151</v>
      </c>
      <c r="E2030" t="s">
        <v>2357</v>
      </c>
      <c r="F2030" t="s">
        <v>2719</v>
      </c>
      <c r="G2030" t="s">
        <v>3052</v>
      </c>
      <c r="H2030" t="s">
        <v>4358</v>
      </c>
      <c r="I2030" t="s">
        <v>1357</v>
      </c>
      <c r="J2030" t="s">
        <v>1357</v>
      </c>
      <c r="K2030" t="s">
        <v>1357</v>
      </c>
      <c r="L2030" t="s">
        <v>1357</v>
      </c>
    </row>
    <row r="2031" spans="1:12">
      <c r="H2031" t="s">
        <v>4359</v>
      </c>
      <c r="I2031" t="s">
        <v>1357</v>
      </c>
      <c r="J2031" t="s">
        <v>1357</v>
      </c>
      <c r="K2031" t="s">
        <v>1357</v>
      </c>
      <c r="L2031" t="s">
        <v>1357</v>
      </c>
    </row>
    <row r="2032" spans="1:12">
      <c r="H2032" t="s">
        <v>4360</v>
      </c>
      <c r="I2032" t="s">
        <v>1357</v>
      </c>
      <c r="J2032" t="s">
        <v>1357</v>
      </c>
      <c r="K2032" t="s">
        <v>1357</v>
      </c>
      <c r="L2032" t="s">
        <v>1357</v>
      </c>
    </row>
    <row r="2033" spans="1:12">
      <c r="A2033" t="s">
        <v>2075</v>
      </c>
      <c r="B2033">
        <f>HYPERLINK("https://github.com/apache/commons-math/commit/d198cc8cae8e42aed25b7ea8af6f1b7960e8a6bb", "d198cc8cae8e42aed25b7ea8af6f1b7960e8a6bb")</f>
        <v>0</v>
      </c>
      <c r="C2033">
        <f>HYPERLINK("https://github.com/apache/commons-math/commit/5c753a87c328678f16bf89e0178448f04194f0b4", "5c753a87c328678f16bf89e0178448f04194f0b4")</f>
        <v>0</v>
      </c>
      <c r="D2033" t="s">
        <v>2151</v>
      </c>
      <c r="E2033" t="s">
        <v>2358</v>
      </c>
      <c r="F2033" t="s">
        <v>2754</v>
      </c>
      <c r="G2033" t="s">
        <v>3146</v>
      </c>
      <c r="H2033" t="s">
        <v>3421</v>
      </c>
      <c r="I2033" t="s">
        <v>1357</v>
      </c>
      <c r="J2033" t="s">
        <v>1357</v>
      </c>
      <c r="K2033" t="s">
        <v>1357</v>
      </c>
      <c r="L2033" t="s">
        <v>1357</v>
      </c>
    </row>
    <row r="2034" spans="1:12">
      <c r="H2034" t="s">
        <v>3422</v>
      </c>
      <c r="I2034" t="s">
        <v>1357</v>
      </c>
      <c r="J2034" t="s">
        <v>1357</v>
      </c>
      <c r="K2034" t="s">
        <v>1357</v>
      </c>
      <c r="L2034" t="s">
        <v>1357</v>
      </c>
    </row>
    <row r="2035" spans="1:12">
      <c r="A2035" t="s">
        <v>2076</v>
      </c>
      <c r="B2035">
        <f>HYPERLINK("https://github.com/apache/commons-math/commit/0956e2d2338531a96f2ff7d4ab405acc1b18421e", "0956e2d2338531a96f2ff7d4ab405acc1b18421e")</f>
        <v>0</v>
      </c>
      <c r="C2035">
        <f>HYPERLINK("https://github.com/apache/commons-math/commit/d198cc8cae8e42aed25b7ea8af6f1b7960e8a6bb", "d198cc8cae8e42aed25b7ea8af6f1b7960e8a6bb")</f>
        <v>0</v>
      </c>
      <c r="D2035" t="s">
        <v>2151</v>
      </c>
      <c r="E2035" t="s">
        <v>2359</v>
      </c>
      <c r="F2035" t="s">
        <v>2754</v>
      </c>
      <c r="G2035" t="s">
        <v>3146</v>
      </c>
      <c r="H2035" t="s">
        <v>4293</v>
      </c>
      <c r="I2035" t="s">
        <v>1358</v>
      </c>
      <c r="J2035" t="s">
        <v>1358</v>
      </c>
      <c r="K2035" t="s">
        <v>1358</v>
      </c>
      <c r="L2035" t="s">
        <v>1358</v>
      </c>
    </row>
    <row r="2036" spans="1:12">
      <c r="H2036" t="s">
        <v>4294</v>
      </c>
      <c r="I2036" t="s">
        <v>1358</v>
      </c>
      <c r="J2036" t="s">
        <v>1358</v>
      </c>
      <c r="K2036" t="s">
        <v>1358</v>
      </c>
      <c r="L2036" t="s">
        <v>1358</v>
      </c>
    </row>
    <row r="2037" spans="1:12">
      <c r="H2037" t="s">
        <v>4295</v>
      </c>
      <c r="I2037" t="s">
        <v>1358</v>
      </c>
      <c r="J2037" t="s">
        <v>1358</v>
      </c>
      <c r="K2037" t="s">
        <v>1358</v>
      </c>
      <c r="L2037" t="s">
        <v>1358</v>
      </c>
    </row>
    <row r="2038" spans="1:12">
      <c r="H2038" t="s">
        <v>4296</v>
      </c>
      <c r="I2038" t="s">
        <v>1358</v>
      </c>
      <c r="J2038" t="s">
        <v>1358</v>
      </c>
      <c r="K2038" t="s">
        <v>1358</v>
      </c>
      <c r="L2038" t="s">
        <v>1358</v>
      </c>
    </row>
    <row r="2039" spans="1:12">
      <c r="A2039" t="s">
        <v>2076</v>
      </c>
      <c r="B2039">
        <f>HYPERLINK("https://github.com/apache/commons-math/commit/d2e40b61f8efb9c0e3239743c6e6e2bcdb22fd7f", "d2e40b61f8efb9c0e3239743c6e6e2bcdb22fd7f")</f>
        <v>0</v>
      </c>
      <c r="C2039">
        <f>HYPERLINK("https://github.com/apache/commons-math/commit/b0904d39a2298d386afc6e7089e78d0b2fbb79cf", "b0904d39a2298d386afc6e7089e78d0b2fbb79cf")</f>
        <v>0</v>
      </c>
      <c r="D2039" t="s">
        <v>2151</v>
      </c>
      <c r="E2039" t="s">
        <v>2360</v>
      </c>
      <c r="F2039" t="s">
        <v>2755</v>
      </c>
      <c r="G2039" t="s">
        <v>3147</v>
      </c>
      <c r="H2039" t="s">
        <v>4361</v>
      </c>
      <c r="I2039" t="s">
        <v>1357</v>
      </c>
      <c r="J2039" t="s">
        <v>1357</v>
      </c>
      <c r="K2039" t="s">
        <v>1357</v>
      </c>
      <c r="L2039" t="s">
        <v>1357</v>
      </c>
    </row>
    <row r="2040" spans="1:12">
      <c r="H2040" t="s">
        <v>4362</v>
      </c>
      <c r="I2040" t="s">
        <v>1357</v>
      </c>
      <c r="J2040" t="s">
        <v>1357</v>
      </c>
      <c r="K2040" t="s">
        <v>1357</v>
      </c>
      <c r="L2040" t="s">
        <v>1357</v>
      </c>
    </row>
    <row r="2041" spans="1:12">
      <c r="H2041" t="s">
        <v>4363</v>
      </c>
      <c r="I2041" t="s">
        <v>1357</v>
      </c>
      <c r="J2041" t="s">
        <v>1357</v>
      </c>
      <c r="K2041" t="s">
        <v>1357</v>
      </c>
      <c r="L2041" t="s">
        <v>1357</v>
      </c>
    </row>
    <row r="2042" spans="1:12">
      <c r="H2042" t="s">
        <v>4364</v>
      </c>
      <c r="I2042" t="s">
        <v>1357</v>
      </c>
      <c r="J2042" t="s">
        <v>1357</v>
      </c>
      <c r="K2042" t="s">
        <v>1357</v>
      </c>
      <c r="L2042" t="s">
        <v>1357</v>
      </c>
    </row>
    <row r="2043" spans="1:12">
      <c r="A2043" t="s">
        <v>2076</v>
      </c>
      <c r="B2043">
        <f>HYPERLINK("https://github.com/apache/commons-math/commit/657b1b49da5ea1593dd7f950eae99a88a8ada87a", "657b1b49da5ea1593dd7f950eae99a88a8ada87a")</f>
        <v>0</v>
      </c>
      <c r="C2043">
        <f>HYPERLINK("https://github.com/apache/commons-math/commit/d2e40b61f8efb9c0e3239743c6e6e2bcdb22fd7f", "d2e40b61f8efb9c0e3239743c6e6e2bcdb22fd7f")</f>
        <v>0</v>
      </c>
      <c r="D2043" t="s">
        <v>2151</v>
      </c>
      <c r="E2043" t="s">
        <v>2361</v>
      </c>
      <c r="F2043" t="s">
        <v>2717</v>
      </c>
      <c r="G2043" t="s">
        <v>3051</v>
      </c>
      <c r="H2043" t="s">
        <v>4365</v>
      </c>
      <c r="I2043" t="s">
        <v>1357</v>
      </c>
      <c r="J2043" t="s">
        <v>1357</v>
      </c>
      <c r="K2043" t="s">
        <v>1357</v>
      </c>
      <c r="L2043" t="s">
        <v>1357</v>
      </c>
    </row>
    <row r="2044" spans="1:12">
      <c r="H2044" t="s">
        <v>4366</v>
      </c>
      <c r="I2044" t="s">
        <v>1357</v>
      </c>
      <c r="J2044" t="s">
        <v>1357</v>
      </c>
      <c r="K2044" t="s">
        <v>1357</v>
      </c>
      <c r="L2044" t="s">
        <v>1357</v>
      </c>
    </row>
    <row r="2045" spans="1:12">
      <c r="H2045" t="s">
        <v>4367</v>
      </c>
      <c r="I2045" t="s">
        <v>1357</v>
      </c>
      <c r="J2045" t="s">
        <v>1357</v>
      </c>
      <c r="K2045" t="s">
        <v>1357</v>
      </c>
      <c r="L2045" t="s">
        <v>1357</v>
      </c>
    </row>
    <row r="2046" spans="1:12">
      <c r="A2046" t="s">
        <v>2077</v>
      </c>
      <c r="B2046">
        <f>HYPERLINK("https://github.com/apache/commons-math/commit/31e3a88efe59b1e31a438354d51c2620bc859985", "31e3a88efe59b1e31a438354d51c2620bc859985")</f>
        <v>0</v>
      </c>
      <c r="C2046">
        <f>HYPERLINK("https://github.com/apache/commons-math/commit/19e0e29908fef67a0890f6a8513494e9963b2ae0", "19e0e29908fef67a0890f6a8513494e9963b2ae0")</f>
        <v>0</v>
      </c>
      <c r="D2046" t="s">
        <v>2159</v>
      </c>
      <c r="E2046" t="s">
        <v>2362</v>
      </c>
      <c r="F2046" t="s">
        <v>2756</v>
      </c>
      <c r="G2046" t="s">
        <v>2928</v>
      </c>
      <c r="H2046" t="s">
        <v>4368</v>
      </c>
      <c r="I2046" t="s">
        <v>1357</v>
      </c>
      <c r="J2046" t="s">
        <v>1357</v>
      </c>
      <c r="K2046" t="s">
        <v>1357</v>
      </c>
      <c r="L2046" t="s">
        <v>1357</v>
      </c>
    </row>
    <row r="2047" spans="1:12">
      <c r="H2047" t="s">
        <v>4369</v>
      </c>
      <c r="I2047" t="s">
        <v>1357</v>
      </c>
      <c r="J2047" t="s">
        <v>1357</v>
      </c>
      <c r="K2047" t="s">
        <v>1357</v>
      </c>
      <c r="L2047" t="s">
        <v>1357</v>
      </c>
    </row>
    <row r="2048" spans="1:12">
      <c r="A2048" t="s">
        <v>2078</v>
      </c>
      <c r="B2048">
        <f>HYPERLINK("https://github.com/apache/commons-math/commit/e082e0c48ed611ce3aca949cb47d0e96c35788ef", "e082e0c48ed611ce3aca949cb47d0e96c35788ef")</f>
        <v>0</v>
      </c>
      <c r="C2048">
        <f>HYPERLINK("https://github.com/apache/commons-math/commit/ef2507a81658a658c5defdf68a1f1b8259d48aa4", "ef2507a81658a658c5defdf68a1f1b8259d48aa4")</f>
        <v>0</v>
      </c>
      <c r="D2048" t="s">
        <v>2151</v>
      </c>
      <c r="E2048" t="s">
        <v>2363</v>
      </c>
      <c r="F2048" t="s">
        <v>2757</v>
      </c>
      <c r="G2048" t="s">
        <v>3148</v>
      </c>
      <c r="H2048" t="s">
        <v>4370</v>
      </c>
      <c r="I2048" t="s">
        <v>1357</v>
      </c>
      <c r="J2048" t="s">
        <v>1357</v>
      </c>
      <c r="K2048" t="s">
        <v>1357</v>
      </c>
      <c r="L2048" t="s">
        <v>1357</v>
      </c>
    </row>
    <row r="2049" spans="1:12">
      <c r="H2049" t="s">
        <v>4371</v>
      </c>
      <c r="I2049" t="s">
        <v>1357</v>
      </c>
      <c r="J2049" t="s">
        <v>1357</v>
      </c>
      <c r="K2049" t="s">
        <v>1357</v>
      </c>
      <c r="L2049" t="s">
        <v>1357</v>
      </c>
    </row>
    <row r="2050" spans="1:12">
      <c r="H2050" t="s">
        <v>4372</v>
      </c>
      <c r="I2050" t="s">
        <v>1357</v>
      </c>
      <c r="J2050" t="s">
        <v>1357</v>
      </c>
      <c r="K2050" t="s">
        <v>1357</v>
      </c>
      <c r="L2050" t="s">
        <v>1357</v>
      </c>
    </row>
    <row r="2051" spans="1:12">
      <c r="H2051" t="s">
        <v>4373</v>
      </c>
      <c r="I2051" t="s">
        <v>1357</v>
      </c>
      <c r="J2051" t="s">
        <v>1357</v>
      </c>
      <c r="K2051" t="s">
        <v>1357</v>
      </c>
      <c r="L2051" t="s">
        <v>1357</v>
      </c>
    </row>
    <row r="2052" spans="1:12">
      <c r="H2052" t="s">
        <v>4374</v>
      </c>
      <c r="I2052" t="s">
        <v>1357</v>
      </c>
      <c r="J2052" t="s">
        <v>1357</v>
      </c>
      <c r="K2052" t="s">
        <v>1357</v>
      </c>
      <c r="L2052" t="s">
        <v>1357</v>
      </c>
    </row>
    <row r="2053" spans="1:12">
      <c r="H2053" t="s">
        <v>4375</v>
      </c>
      <c r="I2053" t="s">
        <v>1357</v>
      </c>
      <c r="J2053" t="s">
        <v>1357</v>
      </c>
      <c r="K2053" t="s">
        <v>1357</v>
      </c>
      <c r="L2053" t="s">
        <v>1357</v>
      </c>
    </row>
    <row r="2054" spans="1:12">
      <c r="H2054" t="s">
        <v>4376</v>
      </c>
      <c r="I2054" t="s">
        <v>1357</v>
      </c>
      <c r="J2054" t="s">
        <v>1357</v>
      </c>
      <c r="K2054" t="s">
        <v>1357</v>
      </c>
      <c r="L2054" t="s">
        <v>1357</v>
      </c>
    </row>
    <row r="2055" spans="1:12">
      <c r="H2055" t="s">
        <v>4377</v>
      </c>
      <c r="I2055" t="s">
        <v>1357</v>
      </c>
      <c r="J2055" t="s">
        <v>1357</v>
      </c>
      <c r="K2055" t="s">
        <v>1357</v>
      </c>
      <c r="L2055" t="s">
        <v>1357</v>
      </c>
    </row>
    <row r="2056" spans="1:12">
      <c r="H2056" t="s">
        <v>4378</v>
      </c>
      <c r="I2056" t="s">
        <v>1357</v>
      </c>
      <c r="J2056" t="s">
        <v>1357</v>
      </c>
      <c r="K2056" t="s">
        <v>1357</v>
      </c>
      <c r="L2056" t="s">
        <v>1357</v>
      </c>
    </row>
    <row r="2057" spans="1:12">
      <c r="H2057" t="s">
        <v>4379</v>
      </c>
      <c r="I2057" t="s">
        <v>1357</v>
      </c>
      <c r="J2057" t="s">
        <v>1357</v>
      </c>
      <c r="K2057" t="s">
        <v>1357</v>
      </c>
      <c r="L2057" t="s">
        <v>1357</v>
      </c>
    </row>
    <row r="2058" spans="1:12">
      <c r="H2058" t="s">
        <v>4380</v>
      </c>
      <c r="I2058" t="s">
        <v>1357</v>
      </c>
      <c r="J2058" t="s">
        <v>1357</v>
      </c>
      <c r="K2058" t="s">
        <v>1357</v>
      </c>
      <c r="L2058" t="s">
        <v>1357</v>
      </c>
    </row>
    <row r="2059" spans="1:12">
      <c r="H2059" t="s">
        <v>4381</v>
      </c>
      <c r="I2059" t="s">
        <v>1357</v>
      </c>
      <c r="J2059" t="s">
        <v>1357</v>
      </c>
      <c r="K2059" t="s">
        <v>1357</v>
      </c>
      <c r="L2059" t="s">
        <v>1357</v>
      </c>
    </row>
    <row r="2060" spans="1:12">
      <c r="H2060" t="s">
        <v>4382</v>
      </c>
      <c r="I2060" t="s">
        <v>1357</v>
      </c>
      <c r="J2060" t="s">
        <v>1357</v>
      </c>
      <c r="K2060" t="s">
        <v>1357</v>
      </c>
      <c r="L2060" t="s">
        <v>1357</v>
      </c>
    </row>
    <row r="2061" spans="1:12">
      <c r="H2061" t="s">
        <v>4383</v>
      </c>
      <c r="I2061" t="s">
        <v>1357</v>
      </c>
      <c r="J2061" t="s">
        <v>1357</v>
      </c>
      <c r="K2061" t="s">
        <v>1357</v>
      </c>
      <c r="L2061" t="s">
        <v>1357</v>
      </c>
    </row>
    <row r="2062" spans="1:12">
      <c r="H2062" t="s">
        <v>4384</v>
      </c>
      <c r="I2062" t="s">
        <v>1357</v>
      </c>
      <c r="J2062" t="s">
        <v>1357</v>
      </c>
      <c r="K2062" t="s">
        <v>1357</v>
      </c>
      <c r="L2062" t="s">
        <v>1357</v>
      </c>
    </row>
    <row r="2063" spans="1:12">
      <c r="H2063" t="s">
        <v>4385</v>
      </c>
      <c r="I2063" t="s">
        <v>1357</v>
      </c>
      <c r="J2063" t="s">
        <v>1357</v>
      </c>
      <c r="K2063" t="s">
        <v>1357</v>
      </c>
      <c r="L2063" t="s">
        <v>1357</v>
      </c>
    </row>
    <row r="2064" spans="1:12">
      <c r="A2064" t="s">
        <v>2079</v>
      </c>
      <c r="B2064">
        <f>HYPERLINK("https://github.com/apache/commons-math/commit/50d2939125522b7fecb16546fe7a5c253566df15", "50d2939125522b7fecb16546fe7a5c253566df15")</f>
        <v>0</v>
      </c>
      <c r="C2064">
        <f>HYPERLINK("https://github.com/apache/commons-math/commit/e082e0c48ed611ce3aca949cb47d0e96c35788ef", "e082e0c48ed611ce3aca949cb47d0e96c35788ef")</f>
        <v>0</v>
      </c>
      <c r="D2064" t="s">
        <v>2151</v>
      </c>
      <c r="E2064" t="s">
        <v>2364</v>
      </c>
      <c r="F2064" t="s">
        <v>2758</v>
      </c>
      <c r="G2064" t="s">
        <v>3072</v>
      </c>
      <c r="H2064" t="s">
        <v>4386</v>
      </c>
      <c r="I2064" t="s">
        <v>1357</v>
      </c>
      <c r="J2064" t="s">
        <v>1357</v>
      </c>
      <c r="K2064" t="s">
        <v>1357</v>
      </c>
      <c r="L2064" t="s">
        <v>1357</v>
      </c>
    </row>
    <row r="2065" spans="8:12">
      <c r="H2065" t="s">
        <v>4387</v>
      </c>
      <c r="I2065" t="s">
        <v>1357</v>
      </c>
      <c r="J2065" t="s">
        <v>1357</v>
      </c>
      <c r="K2065" t="s">
        <v>1357</v>
      </c>
      <c r="L2065" t="s">
        <v>1357</v>
      </c>
    </row>
    <row r="2066" spans="8:12">
      <c r="H2066" t="s">
        <v>4388</v>
      </c>
      <c r="I2066" t="s">
        <v>1357</v>
      </c>
      <c r="J2066" t="s">
        <v>1357</v>
      </c>
      <c r="K2066" t="s">
        <v>1357</v>
      </c>
      <c r="L2066" t="s">
        <v>1357</v>
      </c>
    </row>
    <row r="2067" spans="8:12">
      <c r="H2067" t="s">
        <v>4389</v>
      </c>
      <c r="I2067" t="s">
        <v>1357</v>
      </c>
      <c r="J2067" t="s">
        <v>1357</v>
      </c>
      <c r="K2067" t="s">
        <v>1357</v>
      </c>
      <c r="L2067" t="s">
        <v>1357</v>
      </c>
    </row>
    <row r="2068" spans="8:12">
      <c r="H2068" t="s">
        <v>4390</v>
      </c>
      <c r="I2068" t="s">
        <v>1357</v>
      </c>
      <c r="J2068" t="s">
        <v>1357</v>
      </c>
      <c r="K2068" t="s">
        <v>1357</v>
      </c>
      <c r="L2068" t="s">
        <v>1357</v>
      </c>
    </row>
    <row r="2069" spans="8:12">
      <c r="H2069" t="s">
        <v>4391</v>
      </c>
      <c r="I2069" t="s">
        <v>1357</v>
      </c>
      <c r="J2069" t="s">
        <v>1357</v>
      </c>
      <c r="K2069" t="s">
        <v>1357</v>
      </c>
      <c r="L2069" t="s">
        <v>1357</v>
      </c>
    </row>
    <row r="2070" spans="8:12">
      <c r="H2070" t="s">
        <v>4392</v>
      </c>
      <c r="I2070" t="s">
        <v>1357</v>
      </c>
      <c r="J2070" t="s">
        <v>1357</v>
      </c>
      <c r="K2070" t="s">
        <v>1357</v>
      </c>
      <c r="L2070" t="s">
        <v>1357</v>
      </c>
    </row>
    <row r="2071" spans="8:12">
      <c r="H2071" t="s">
        <v>4393</v>
      </c>
      <c r="I2071" t="s">
        <v>1357</v>
      </c>
      <c r="J2071" t="s">
        <v>1357</v>
      </c>
      <c r="K2071" t="s">
        <v>1357</v>
      </c>
      <c r="L2071" t="s">
        <v>1357</v>
      </c>
    </row>
    <row r="2072" spans="8:12">
      <c r="H2072" t="s">
        <v>4394</v>
      </c>
      <c r="I2072" t="s">
        <v>1357</v>
      </c>
      <c r="J2072" t="s">
        <v>1357</v>
      </c>
      <c r="K2072" t="s">
        <v>1357</v>
      </c>
      <c r="L2072" t="s">
        <v>1357</v>
      </c>
    </row>
    <row r="2073" spans="8:12">
      <c r="H2073" t="s">
        <v>4395</v>
      </c>
      <c r="I2073" t="s">
        <v>1357</v>
      </c>
      <c r="J2073" t="s">
        <v>1357</v>
      </c>
      <c r="K2073" t="s">
        <v>1357</v>
      </c>
      <c r="L2073" t="s">
        <v>1357</v>
      </c>
    </row>
    <row r="2074" spans="8:12">
      <c r="H2074" t="s">
        <v>4396</v>
      </c>
      <c r="I2074" t="s">
        <v>1357</v>
      </c>
      <c r="J2074" t="s">
        <v>1357</v>
      </c>
      <c r="K2074" t="s">
        <v>1357</v>
      </c>
      <c r="L2074" t="s">
        <v>1357</v>
      </c>
    </row>
    <row r="2075" spans="8:12">
      <c r="H2075" t="s">
        <v>4397</v>
      </c>
      <c r="I2075" t="s">
        <v>1357</v>
      </c>
      <c r="J2075" t="s">
        <v>1357</v>
      </c>
      <c r="K2075" t="s">
        <v>1357</v>
      </c>
      <c r="L2075" t="s">
        <v>1357</v>
      </c>
    </row>
    <row r="2076" spans="8:12">
      <c r="H2076" t="s">
        <v>3650</v>
      </c>
      <c r="I2076" t="s">
        <v>1357</v>
      </c>
      <c r="J2076" t="s">
        <v>1357</v>
      </c>
      <c r="K2076" t="s">
        <v>1357</v>
      </c>
      <c r="L2076" t="s">
        <v>1357</v>
      </c>
    </row>
    <row r="2077" spans="8:12">
      <c r="H2077" t="s">
        <v>4398</v>
      </c>
      <c r="I2077" t="s">
        <v>1357</v>
      </c>
      <c r="J2077" t="s">
        <v>1357</v>
      </c>
      <c r="K2077" t="s">
        <v>1357</v>
      </c>
      <c r="L2077" t="s">
        <v>1357</v>
      </c>
    </row>
    <row r="2078" spans="8:12">
      <c r="H2078" t="s">
        <v>4399</v>
      </c>
      <c r="I2078" t="s">
        <v>1357</v>
      </c>
      <c r="J2078" t="s">
        <v>1357</v>
      </c>
      <c r="K2078" t="s">
        <v>1357</v>
      </c>
      <c r="L2078" t="s">
        <v>1357</v>
      </c>
    </row>
    <row r="2079" spans="8:12">
      <c r="H2079" t="s">
        <v>4400</v>
      </c>
      <c r="I2079" t="s">
        <v>1357</v>
      </c>
      <c r="J2079" t="s">
        <v>1357</v>
      </c>
      <c r="K2079" t="s">
        <v>1357</v>
      </c>
      <c r="L2079" t="s">
        <v>1357</v>
      </c>
    </row>
    <row r="2080" spans="8:12">
      <c r="H2080" t="s">
        <v>4401</v>
      </c>
      <c r="I2080" t="s">
        <v>1357</v>
      </c>
      <c r="J2080" t="s">
        <v>1357</v>
      </c>
      <c r="K2080" t="s">
        <v>1357</v>
      </c>
      <c r="L2080" t="s">
        <v>1357</v>
      </c>
    </row>
    <row r="2081" spans="8:12">
      <c r="H2081" t="s">
        <v>4402</v>
      </c>
      <c r="I2081" t="s">
        <v>1357</v>
      </c>
      <c r="J2081" t="s">
        <v>1357</v>
      </c>
      <c r="K2081" t="s">
        <v>1357</v>
      </c>
      <c r="L2081" t="s">
        <v>1357</v>
      </c>
    </row>
    <row r="2082" spans="8:12">
      <c r="H2082" t="s">
        <v>4403</v>
      </c>
      <c r="I2082" t="s">
        <v>1357</v>
      </c>
      <c r="J2082" t="s">
        <v>1357</v>
      </c>
      <c r="K2082" t="s">
        <v>1357</v>
      </c>
      <c r="L2082" t="s">
        <v>1357</v>
      </c>
    </row>
    <row r="2083" spans="8:12">
      <c r="H2083" t="s">
        <v>4404</v>
      </c>
      <c r="I2083" t="s">
        <v>1357</v>
      </c>
      <c r="J2083" t="s">
        <v>1357</v>
      </c>
      <c r="K2083" t="s">
        <v>1357</v>
      </c>
      <c r="L2083" t="s">
        <v>1357</v>
      </c>
    </row>
    <row r="2084" spans="8:12">
      <c r="H2084" t="s">
        <v>4405</v>
      </c>
      <c r="I2084" t="s">
        <v>1357</v>
      </c>
      <c r="J2084" t="s">
        <v>1357</v>
      </c>
      <c r="K2084" t="s">
        <v>1357</v>
      </c>
      <c r="L2084" t="s">
        <v>1357</v>
      </c>
    </row>
    <row r="2085" spans="8:12">
      <c r="H2085" t="s">
        <v>4406</v>
      </c>
      <c r="I2085" t="s">
        <v>1357</v>
      </c>
      <c r="J2085" t="s">
        <v>1357</v>
      </c>
      <c r="K2085" t="s">
        <v>1357</v>
      </c>
      <c r="L2085" t="s">
        <v>1357</v>
      </c>
    </row>
    <row r="2086" spans="8:12">
      <c r="H2086" t="s">
        <v>4407</v>
      </c>
      <c r="I2086" t="s">
        <v>1357</v>
      </c>
      <c r="J2086" t="s">
        <v>1357</v>
      </c>
      <c r="K2086" t="s">
        <v>1357</v>
      </c>
      <c r="L2086" t="s">
        <v>1357</v>
      </c>
    </row>
    <row r="2087" spans="8:12">
      <c r="H2087" t="s">
        <v>4408</v>
      </c>
      <c r="I2087" t="s">
        <v>1357</v>
      </c>
      <c r="J2087" t="s">
        <v>1357</v>
      </c>
      <c r="K2087" t="s">
        <v>1357</v>
      </c>
      <c r="L2087" t="s">
        <v>1357</v>
      </c>
    </row>
    <row r="2088" spans="8:12">
      <c r="H2088" t="s">
        <v>4409</v>
      </c>
      <c r="I2088" t="s">
        <v>1357</v>
      </c>
      <c r="J2088" t="s">
        <v>1357</v>
      </c>
      <c r="K2088" t="s">
        <v>1357</v>
      </c>
      <c r="L2088" t="s">
        <v>1357</v>
      </c>
    </row>
    <row r="2089" spans="8:12">
      <c r="H2089" t="s">
        <v>4410</v>
      </c>
      <c r="I2089" t="s">
        <v>1357</v>
      </c>
      <c r="J2089" t="s">
        <v>1357</v>
      </c>
      <c r="K2089" t="s">
        <v>1357</v>
      </c>
      <c r="L2089" t="s">
        <v>1357</v>
      </c>
    </row>
    <row r="2090" spans="8:12">
      <c r="H2090" t="s">
        <v>4411</v>
      </c>
      <c r="I2090" t="s">
        <v>1357</v>
      </c>
      <c r="J2090" t="s">
        <v>1357</v>
      </c>
      <c r="K2090" t="s">
        <v>1357</v>
      </c>
      <c r="L2090" t="s">
        <v>1357</v>
      </c>
    </row>
    <row r="2091" spans="8:12">
      <c r="H2091" t="s">
        <v>4412</v>
      </c>
      <c r="I2091" t="s">
        <v>1357</v>
      </c>
      <c r="J2091" t="s">
        <v>1357</v>
      </c>
      <c r="K2091" t="s">
        <v>1357</v>
      </c>
      <c r="L2091" t="s">
        <v>1357</v>
      </c>
    </row>
    <row r="2092" spans="8:12">
      <c r="H2092" t="s">
        <v>4413</v>
      </c>
      <c r="I2092" t="s">
        <v>1357</v>
      </c>
      <c r="J2092" t="s">
        <v>1357</v>
      </c>
      <c r="K2092" t="s">
        <v>1357</v>
      </c>
      <c r="L2092" t="s">
        <v>1357</v>
      </c>
    </row>
    <row r="2093" spans="8:12">
      <c r="H2093" t="s">
        <v>4414</v>
      </c>
      <c r="I2093" t="s">
        <v>1357</v>
      </c>
      <c r="J2093" t="s">
        <v>1357</v>
      </c>
      <c r="K2093" t="s">
        <v>1357</v>
      </c>
      <c r="L2093" t="s">
        <v>1357</v>
      </c>
    </row>
    <row r="2094" spans="8:12">
      <c r="H2094" t="s">
        <v>4415</v>
      </c>
      <c r="I2094" t="s">
        <v>1357</v>
      </c>
      <c r="J2094" t="s">
        <v>1357</v>
      </c>
      <c r="K2094" t="s">
        <v>1357</v>
      </c>
      <c r="L2094" t="s">
        <v>1357</v>
      </c>
    </row>
    <row r="2095" spans="8:12">
      <c r="H2095" t="s">
        <v>4416</v>
      </c>
      <c r="I2095" t="s">
        <v>1357</v>
      </c>
      <c r="J2095" t="s">
        <v>1357</v>
      </c>
      <c r="K2095" t="s">
        <v>1357</v>
      </c>
      <c r="L2095" t="s">
        <v>1357</v>
      </c>
    </row>
    <row r="2096" spans="8:12">
      <c r="H2096" t="s">
        <v>4417</v>
      </c>
      <c r="I2096" t="s">
        <v>1357</v>
      </c>
      <c r="J2096" t="s">
        <v>1357</v>
      </c>
      <c r="K2096" t="s">
        <v>1357</v>
      </c>
      <c r="L2096" t="s">
        <v>1357</v>
      </c>
    </row>
    <row r="2097" spans="1:12">
      <c r="H2097" t="s">
        <v>4418</v>
      </c>
      <c r="I2097" t="s">
        <v>1357</v>
      </c>
      <c r="J2097" t="s">
        <v>1357</v>
      </c>
      <c r="K2097" t="s">
        <v>1357</v>
      </c>
      <c r="L2097" t="s">
        <v>1357</v>
      </c>
    </row>
    <row r="2098" spans="1:12">
      <c r="A2098" t="s">
        <v>2080</v>
      </c>
      <c r="B2098">
        <f>HYPERLINK("https://github.com/apache/commons-math/commit/44ab256961029c9e104e70fb804617fd582412cd", "44ab256961029c9e104e70fb804617fd582412cd")</f>
        <v>0</v>
      </c>
      <c r="C2098">
        <f>HYPERLINK("https://github.com/apache/commons-math/commit/2ec4deacfda46ad85e3effb3171a5e330ea8e714", "2ec4deacfda46ad85e3effb3171a5e330ea8e714")</f>
        <v>0</v>
      </c>
      <c r="D2098" t="s">
        <v>2151</v>
      </c>
      <c r="E2098" t="s">
        <v>2365</v>
      </c>
      <c r="F2098" t="s">
        <v>2759</v>
      </c>
      <c r="G2098" t="s">
        <v>2926</v>
      </c>
      <c r="H2098" t="s">
        <v>3430</v>
      </c>
      <c r="I2098" t="s">
        <v>1357</v>
      </c>
      <c r="J2098" t="s">
        <v>1357</v>
      </c>
      <c r="K2098" t="s">
        <v>1357</v>
      </c>
      <c r="L2098" t="s">
        <v>1357</v>
      </c>
    </row>
    <row r="2099" spans="1:12">
      <c r="H2099" t="s">
        <v>3431</v>
      </c>
      <c r="I2099" t="s">
        <v>1357</v>
      </c>
      <c r="J2099" t="s">
        <v>1357</v>
      </c>
      <c r="K2099" t="s">
        <v>1357</v>
      </c>
      <c r="L2099" t="s">
        <v>1357</v>
      </c>
    </row>
    <row r="2100" spans="1:12">
      <c r="H2100" t="s">
        <v>3432</v>
      </c>
      <c r="I2100" t="s">
        <v>1357</v>
      </c>
      <c r="J2100" t="s">
        <v>1357</v>
      </c>
      <c r="K2100" t="s">
        <v>1357</v>
      </c>
      <c r="L2100" t="s">
        <v>1357</v>
      </c>
    </row>
    <row r="2101" spans="1:12">
      <c r="H2101" t="s">
        <v>3433</v>
      </c>
      <c r="I2101" t="s">
        <v>1357</v>
      </c>
      <c r="J2101" t="s">
        <v>1357</v>
      </c>
      <c r="K2101" t="s">
        <v>1357</v>
      </c>
      <c r="L2101" t="s">
        <v>1357</v>
      </c>
    </row>
    <row r="2102" spans="1:12">
      <c r="H2102" t="s">
        <v>3434</v>
      </c>
      <c r="I2102" t="s">
        <v>1357</v>
      </c>
      <c r="J2102" t="s">
        <v>1357</v>
      </c>
      <c r="K2102" t="s">
        <v>1357</v>
      </c>
      <c r="L2102" t="s">
        <v>1357</v>
      </c>
    </row>
    <row r="2103" spans="1:12">
      <c r="H2103" t="s">
        <v>3435</v>
      </c>
      <c r="I2103" t="s">
        <v>1357</v>
      </c>
      <c r="J2103" t="s">
        <v>1357</v>
      </c>
      <c r="K2103" t="s">
        <v>1357</v>
      </c>
      <c r="L2103" t="s">
        <v>1357</v>
      </c>
    </row>
    <row r="2104" spans="1:12">
      <c r="H2104" t="s">
        <v>3436</v>
      </c>
      <c r="I2104" t="s">
        <v>1357</v>
      </c>
      <c r="J2104" t="s">
        <v>1357</v>
      </c>
      <c r="K2104" t="s">
        <v>1357</v>
      </c>
      <c r="L2104" t="s">
        <v>1357</v>
      </c>
    </row>
    <row r="2105" spans="1:12">
      <c r="H2105" t="s">
        <v>3437</v>
      </c>
      <c r="I2105" t="s">
        <v>1357</v>
      </c>
      <c r="J2105" t="s">
        <v>1357</v>
      </c>
      <c r="K2105" t="s">
        <v>1357</v>
      </c>
      <c r="L2105" t="s">
        <v>1357</v>
      </c>
    </row>
    <row r="2106" spans="1:12">
      <c r="H2106" t="s">
        <v>3438</v>
      </c>
      <c r="I2106" t="s">
        <v>1357</v>
      </c>
      <c r="J2106" t="s">
        <v>1357</v>
      </c>
      <c r="K2106" t="s">
        <v>1357</v>
      </c>
      <c r="L2106" t="s">
        <v>1357</v>
      </c>
    </row>
    <row r="2107" spans="1:12">
      <c r="H2107" t="s">
        <v>3439</v>
      </c>
      <c r="I2107" t="s">
        <v>1357</v>
      </c>
      <c r="J2107" t="s">
        <v>1357</v>
      </c>
      <c r="K2107" t="s">
        <v>1357</v>
      </c>
      <c r="L2107" t="s">
        <v>1357</v>
      </c>
    </row>
    <row r="2108" spans="1:12">
      <c r="H2108" t="s">
        <v>4419</v>
      </c>
      <c r="I2108" t="s">
        <v>1357</v>
      </c>
      <c r="J2108" t="s">
        <v>1357</v>
      </c>
      <c r="K2108" t="s">
        <v>1357</v>
      </c>
      <c r="L2108" t="s">
        <v>1357</v>
      </c>
    </row>
    <row r="2109" spans="1:12">
      <c r="H2109" t="s">
        <v>4420</v>
      </c>
      <c r="I2109" t="s">
        <v>1357</v>
      </c>
      <c r="J2109" t="s">
        <v>1357</v>
      </c>
      <c r="K2109" t="s">
        <v>1357</v>
      </c>
      <c r="L2109" t="s">
        <v>1357</v>
      </c>
    </row>
    <row r="2110" spans="1:12">
      <c r="H2110" t="s">
        <v>3440</v>
      </c>
      <c r="I2110" t="s">
        <v>1357</v>
      </c>
      <c r="J2110" t="s">
        <v>1357</v>
      </c>
      <c r="K2110" t="s">
        <v>1357</v>
      </c>
      <c r="L2110" t="s">
        <v>1357</v>
      </c>
    </row>
    <row r="2111" spans="1:12">
      <c r="H2111" t="s">
        <v>3441</v>
      </c>
      <c r="I2111" t="s">
        <v>1357</v>
      </c>
      <c r="J2111" t="s">
        <v>1357</v>
      </c>
      <c r="K2111" t="s">
        <v>1357</v>
      </c>
      <c r="L2111" t="s">
        <v>1357</v>
      </c>
    </row>
    <row r="2112" spans="1:12">
      <c r="H2112" t="s">
        <v>3442</v>
      </c>
      <c r="I2112" t="s">
        <v>1357</v>
      </c>
      <c r="J2112" t="s">
        <v>1357</v>
      </c>
      <c r="K2112" t="s">
        <v>1357</v>
      </c>
      <c r="L2112" t="s">
        <v>1357</v>
      </c>
    </row>
    <row r="2113" spans="6:12">
      <c r="H2113" t="s">
        <v>3443</v>
      </c>
      <c r="I2113" t="s">
        <v>1357</v>
      </c>
      <c r="J2113" t="s">
        <v>1357</v>
      </c>
      <c r="K2113" t="s">
        <v>1357</v>
      </c>
      <c r="L2113" t="s">
        <v>1357</v>
      </c>
    </row>
    <row r="2114" spans="6:12">
      <c r="H2114" t="s">
        <v>3444</v>
      </c>
      <c r="I2114" t="s">
        <v>1357</v>
      </c>
      <c r="J2114" t="s">
        <v>1357</v>
      </c>
      <c r="K2114" t="s">
        <v>1357</v>
      </c>
      <c r="L2114" t="s">
        <v>1357</v>
      </c>
    </row>
    <row r="2115" spans="6:12">
      <c r="H2115" t="s">
        <v>3445</v>
      </c>
      <c r="I2115" t="s">
        <v>1357</v>
      </c>
      <c r="J2115" t="s">
        <v>1357</v>
      </c>
      <c r="K2115" t="s">
        <v>1357</v>
      </c>
      <c r="L2115" t="s">
        <v>1357</v>
      </c>
    </row>
    <row r="2116" spans="6:12">
      <c r="H2116" t="s">
        <v>3446</v>
      </c>
      <c r="I2116" t="s">
        <v>1357</v>
      </c>
      <c r="J2116" t="s">
        <v>1357</v>
      </c>
      <c r="K2116" t="s">
        <v>1357</v>
      </c>
      <c r="L2116" t="s">
        <v>1357</v>
      </c>
    </row>
    <row r="2117" spans="6:12">
      <c r="H2117" t="s">
        <v>4042</v>
      </c>
      <c r="I2117" t="s">
        <v>1357</v>
      </c>
      <c r="J2117" t="s">
        <v>1357</v>
      </c>
      <c r="K2117" t="s">
        <v>1357</v>
      </c>
      <c r="L2117" t="s">
        <v>1357</v>
      </c>
    </row>
    <row r="2118" spans="6:12">
      <c r="H2118" t="s">
        <v>4043</v>
      </c>
      <c r="I2118" t="s">
        <v>1357</v>
      </c>
      <c r="J2118" t="s">
        <v>1357</v>
      </c>
      <c r="K2118" t="s">
        <v>1357</v>
      </c>
      <c r="L2118" t="s">
        <v>1357</v>
      </c>
    </row>
    <row r="2119" spans="6:12">
      <c r="H2119" t="s">
        <v>4044</v>
      </c>
      <c r="I2119" t="s">
        <v>1357</v>
      </c>
      <c r="J2119" t="s">
        <v>1357</v>
      </c>
      <c r="K2119" t="s">
        <v>1357</v>
      </c>
      <c r="L2119" t="s">
        <v>1357</v>
      </c>
    </row>
    <row r="2120" spans="6:12">
      <c r="H2120" t="s">
        <v>4045</v>
      </c>
      <c r="I2120" t="s">
        <v>1357</v>
      </c>
      <c r="J2120" t="s">
        <v>1357</v>
      </c>
      <c r="K2120" t="s">
        <v>1357</v>
      </c>
      <c r="L2120" t="s">
        <v>1357</v>
      </c>
    </row>
    <row r="2121" spans="6:12">
      <c r="H2121" t="s">
        <v>4046</v>
      </c>
      <c r="I2121" t="s">
        <v>1357</v>
      </c>
      <c r="J2121" t="s">
        <v>1357</v>
      </c>
      <c r="K2121" t="s">
        <v>1357</v>
      </c>
      <c r="L2121" t="s">
        <v>1357</v>
      </c>
    </row>
    <row r="2122" spans="6:12">
      <c r="H2122" t="s">
        <v>4047</v>
      </c>
      <c r="I2122" t="s">
        <v>1357</v>
      </c>
      <c r="J2122" t="s">
        <v>1357</v>
      </c>
      <c r="K2122" t="s">
        <v>1357</v>
      </c>
      <c r="L2122" t="s">
        <v>1357</v>
      </c>
    </row>
    <row r="2123" spans="6:12">
      <c r="H2123" t="s">
        <v>4048</v>
      </c>
      <c r="I2123" t="s">
        <v>1357</v>
      </c>
      <c r="J2123" t="s">
        <v>1357</v>
      </c>
      <c r="K2123" t="s">
        <v>1357</v>
      </c>
      <c r="L2123" t="s">
        <v>1357</v>
      </c>
    </row>
    <row r="2124" spans="6:12">
      <c r="H2124" t="s">
        <v>4049</v>
      </c>
      <c r="I2124" t="s">
        <v>1357</v>
      </c>
      <c r="J2124" t="s">
        <v>1357</v>
      </c>
      <c r="K2124" t="s">
        <v>1357</v>
      </c>
      <c r="L2124" t="s">
        <v>1357</v>
      </c>
    </row>
    <row r="2125" spans="6:12">
      <c r="H2125" t="s">
        <v>4421</v>
      </c>
      <c r="I2125" t="s">
        <v>1357</v>
      </c>
      <c r="J2125" t="s">
        <v>1357</v>
      </c>
      <c r="K2125" t="s">
        <v>1357</v>
      </c>
      <c r="L2125" t="s">
        <v>1357</v>
      </c>
    </row>
    <row r="2126" spans="6:12">
      <c r="H2126" t="s">
        <v>4422</v>
      </c>
      <c r="I2126" t="s">
        <v>1357</v>
      </c>
      <c r="J2126" t="s">
        <v>1357</v>
      </c>
      <c r="K2126" t="s">
        <v>1357</v>
      </c>
      <c r="L2126" t="s">
        <v>1357</v>
      </c>
    </row>
    <row r="2127" spans="6:12">
      <c r="H2127" t="s">
        <v>4423</v>
      </c>
      <c r="I2127" t="s">
        <v>1357</v>
      </c>
      <c r="J2127" t="s">
        <v>1357</v>
      </c>
      <c r="K2127" t="s">
        <v>1357</v>
      </c>
      <c r="L2127" t="s">
        <v>1357</v>
      </c>
    </row>
    <row r="2128" spans="6:12">
      <c r="F2128" t="s">
        <v>2760</v>
      </c>
      <c r="G2128" t="s">
        <v>2927</v>
      </c>
      <c r="H2128" t="s">
        <v>3447</v>
      </c>
      <c r="I2128" t="s">
        <v>1357</v>
      </c>
      <c r="J2128" t="s">
        <v>1357</v>
      </c>
      <c r="K2128" t="s">
        <v>1357</v>
      </c>
      <c r="L2128" t="s">
        <v>1357</v>
      </c>
    </row>
    <row r="2129" spans="8:12">
      <c r="H2129" t="s">
        <v>3448</v>
      </c>
      <c r="I2129" t="s">
        <v>1357</v>
      </c>
      <c r="J2129" t="s">
        <v>1357</v>
      </c>
      <c r="K2129" t="s">
        <v>1357</v>
      </c>
      <c r="L2129" t="s">
        <v>1357</v>
      </c>
    </row>
    <row r="2130" spans="8:12">
      <c r="H2130" t="s">
        <v>3449</v>
      </c>
      <c r="I2130" t="s">
        <v>1357</v>
      </c>
      <c r="J2130" t="s">
        <v>1357</v>
      </c>
      <c r="K2130" t="s">
        <v>1357</v>
      </c>
      <c r="L2130" t="s">
        <v>1357</v>
      </c>
    </row>
    <row r="2131" spans="8:12">
      <c r="H2131" t="s">
        <v>3450</v>
      </c>
      <c r="I2131" t="s">
        <v>1357</v>
      </c>
      <c r="J2131" t="s">
        <v>1357</v>
      </c>
      <c r="K2131" t="s">
        <v>1357</v>
      </c>
      <c r="L2131" t="s">
        <v>1357</v>
      </c>
    </row>
    <row r="2132" spans="8:12">
      <c r="H2132" t="s">
        <v>3451</v>
      </c>
      <c r="I2132" t="s">
        <v>1357</v>
      </c>
      <c r="J2132" t="s">
        <v>1357</v>
      </c>
      <c r="K2132" t="s">
        <v>1357</v>
      </c>
      <c r="L2132" t="s">
        <v>1357</v>
      </c>
    </row>
    <row r="2133" spans="8:12">
      <c r="H2133" t="s">
        <v>3452</v>
      </c>
      <c r="I2133" t="s">
        <v>1357</v>
      </c>
      <c r="J2133" t="s">
        <v>1357</v>
      </c>
      <c r="K2133" t="s">
        <v>1357</v>
      </c>
      <c r="L2133" t="s">
        <v>1357</v>
      </c>
    </row>
    <row r="2134" spans="8:12">
      <c r="H2134" t="s">
        <v>3453</v>
      </c>
      <c r="I2134" t="s">
        <v>1357</v>
      </c>
      <c r="J2134" t="s">
        <v>1357</v>
      </c>
      <c r="K2134" t="s">
        <v>1357</v>
      </c>
      <c r="L2134" t="s">
        <v>1357</v>
      </c>
    </row>
    <row r="2135" spans="8:12">
      <c r="H2135" t="s">
        <v>3454</v>
      </c>
      <c r="I2135" t="s">
        <v>1357</v>
      </c>
      <c r="J2135" t="s">
        <v>1357</v>
      </c>
      <c r="K2135" t="s">
        <v>1357</v>
      </c>
      <c r="L2135" t="s">
        <v>1357</v>
      </c>
    </row>
    <row r="2136" spans="8:12">
      <c r="H2136" t="s">
        <v>3455</v>
      </c>
      <c r="I2136" t="s">
        <v>1357</v>
      </c>
      <c r="J2136" t="s">
        <v>1357</v>
      </c>
      <c r="K2136" t="s">
        <v>1357</v>
      </c>
      <c r="L2136" t="s">
        <v>1357</v>
      </c>
    </row>
    <row r="2137" spans="8:12">
      <c r="H2137" t="s">
        <v>3456</v>
      </c>
      <c r="I2137" t="s">
        <v>1357</v>
      </c>
      <c r="J2137" t="s">
        <v>1357</v>
      </c>
      <c r="K2137" t="s">
        <v>1357</v>
      </c>
      <c r="L2137" t="s">
        <v>1357</v>
      </c>
    </row>
    <row r="2138" spans="8:12">
      <c r="H2138" t="s">
        <v>3457</v>
      </c>
      <c r="I2138" t="s">
        <v>1357</v>
      </c>
      <c r="J2138" t="s">
        <v>1357</v>
      </c>
      <c r="K2138" t="s">
        <v>1357</v>
      </c>
      <c r="L2138" t="s">
        <v>1357</v>
      </c>
    </row>
    <row r="2139" spans="8:12">
      <c r="H2139" t="s">
        <v>4424</v>
      </c>
      <c r="I2139" t="s">
        <v>1357</v>
      </c>
      <c r="J2139" t="s">
        <v>1357</v>
      </c>
      <c r="K2139" t="s">
        <v>1357</v>
      </c>
      <c r="L2139" t="s">
        <v>1357</v>
      </c>
    </row>
    <row r="2140" spans="8:12">
      <c r="H2140" t="s">
        <v>4425</v>
      </c>
      <c r="I2140" t="s">
        <v>1357</v>
      </c>
      <c r="J2140" t="s">
        <v>1357</v>
      </c>
      <c r="K2140" t="s">
        <v>1357</v>
      </c>
      <c r="L2140" t="s">
        <v>1357</v>
      </c>
    </row>
    <row r="2141" spans="8:12">
      <c r="H2141" t="s">
        <v>4426</v>
      </c>
      <c r="I2141" t="s">
        <v>1357</v>
      </c>
      <c r="J2141" t="s">
        <v>1357</v>
      </c>
      <c r="K2141" t="s">
        <v>1357</v>
      </c>
      <c r="L2141" t="s">
        <v>1357</v>
      </c>
    </row>
    <row r="2142" spans="8:12">
      <c r="H2142" t="s">
        <v>4427</v>
      </c>
      <c r="I2142" t="s">
        <v>1357</v>
      </c>
      <c r="J2142" t="s">
        <v>1357</v>
      </c>
      <c r="K2142" t="s">
        <v>1357</v>
      </c>
      <c r="L2142" t="s">
        <v>1357</v>
      </c>
    </row>
    <row r="2143" spans="8:12">
      <c r="H2143" t="s">
        <v>4428</v>
      </c>
      <c r="I2143" t="s">
        <v>1357</v>
      </c>
      <c r="J2143" t="s">
        <v>1357</v>
      </c>
      <c r="K2143" t="s">
        <v>1357</v>
      </c>
      <c r="L2143" t="s">
        <v>1357</v>
      </c>
    </row>
    <row r="2144" spans="8:12">
      <c r="H2144" t="s">
        <v>4429</v>
      </c>
      <c r="I2144" t="s">
        <v>1357</v>
      </c>
      <c r="J2144" t="s">
        <v>1357</v>
      </c>
      <c r="K2144" t="s">
        <v>1357</v>
      </c>
      <c r="L2144" t="s">
        <v>1357</v>
      </c>
    </row>
    <row r="2145" spans="1:12">
      <c r="H2145" t="s">
        <v>4430</v>
      </c>
      <c r="I2145" t="s">
        <v>1357</v>
      </c>
      <c r="J2145" t="s">
        <v>1357</v>
      </c>
      <c r="K2145" t="s">
        <v>1357</v>
      </c>
      <c r="L2145" t="s">
        <v>1357</v>
      </c>
    </row>
    <row r="2146" spans="1:12">
      <c r="H2146" t="s">
        <v>4431</v>
      </c>
      <c r="I2146" t="s">
        <v>1357</v>
      </c>
      <c r="J2146" t="s">
        <v>1357</v>
      </c>
      <c r="K2146" t="s">
        <v>1357</v>
      </c>
      <c r="L2146" t="s">
        <v>1357</v>
      </c>
    </row>
    <row r="2147" spans="1:12">
      <c r="H2147" t="s">
        <v>4432</v>
      </c>
      <c r="I2147" t="s">
        <v>1357</v>
      </c>
      <c r="J2147" t="s">
        <v>1357</v>
      </c>
      <c r="K2147" t="s">
        <v>1357</v>
      </c>
      <c r="L2147" t="s">
        <v>1357</v>
      </c>
    </row>
    <row r="2148" spans="1:12">
      <c r="H2148" t="s">
        <v>4433</v>
      </c>
      <c r="I2148" t="s">
        <v>1357</v>
      </c>
      <c r="J2148" t="s">
        <v>1357</v>
      </c>
      <c r="K2148" t="s">
        <v>1357</v>
      </c>
      <c r="L2148" t="s">
        <v>1357</v>
      </c>
    </row>
    <row r="2149" spans="1:12">
      <c r="H2149" t="s">
        <v>4434</v>
      </c>
      <c r="I2149" t="s">
        <v>1357</v>
      </c>
      <c r="J2149" t="s">
        <v>1357</v>
      </c>
      <c r="K2149" t="s">
        <v>1357</v>
      </c>
      <c r="L2149" t="s">
        <v>1357</v>
      </c>
    </row>
    <row r="2150" spans="1:12">
      <c r="H2150" t="s">
        <v>4435</v>
      </c>
      <c r="I2150" t="s">
        <v>1357</v>
      </c>
      <c r="J2150" t="s">
        <v>1357</v>
      </c>
      <c r="K2150" t="s">
        <v>1357</v>
      </c>
      <c r="L2150" t="s">
        <v>1357</v>
      </c>
    </row>
    <row r="2151" spans="1:12">
      <c r="H2151" t="s">
        <v>4436</v>
      </c>
      <c r="I2151" t="s">
        <v>1357</v>
      </c>
      <c r="J2151" t="s">
        <v>1357</v>
      </c>
      <c r="K2151" t="s">
        <v>1357</v>
      </c>
      <c r="L2151" t="s">
        <v>1357</v>
      </c>
    </row>
    <row r="2152" spans="1:12">
      <c r="H2152" t="s">
        <v>4437</v>
      </c>
      <c r="I2152" t="s">
        <v>1357</v>
      </c>
      <c r="J2152" t="s">
        <v>1357</v>
      </c>
      <c r="K2152" t="s">
        <v>1357</v>
      </c>
      <c r="L2152" t="s">
        <v>1357</v>
      </c>
    </row>
    <row r="2153" spans="1:12">
      <c r="H2153" t="s">
        <v>4438</v>
      </c>
      <c r="I2153" t="s">
        <v>1357</v>
      </c>
      <c r="J2153" t="s">
        <v>1357</v>
      </c>
      <c r="K2153" t="s">
        <v>1357</v>
      </c>
      <c r="L2153" t="s">
        <v>1357</v>
      </c>
    </row>
    <row r="2154" spans="1:12">
      <c r="H2154" t="s">
        <v>4439</v>
      </c>
      <c r="I2154" t="s">
        <v>1357</v>
      </c>
      <c r="J2154" t="s">
        <v>1357</v>
      </c>
      <c r="K2154" t="s">
        <v>1357</v>
      </c>
      <c r="L2154" t="s">
        <v>1357</v>
      </c>
    </row>
    <row r="2155" spans="1:12">
      <c r="A2155" t="s">
        <v>2081</v>
      </c>
      <c r="B2155">
        <f>HYPERLINK("https://github.com/apache/commons-math/commit/b81be1fea344c07c3024011066f0c8bb8865cc65", "b81be1fea344c07c3024011066f0c8bb8865cc65")</f>
        <v>0</v>
      </c>
      <c r="C2155">
        <f>HYPERLINK("https://github.com/apache/commons-math/commit/7f74708201c2ab9f5d1f83c7052487116b8f7114", "7f74708201c2ab9f5d1f83c7052487116b8f7114")</f>
        <v>0</v>
      </c>
      <c r="D2155" t="s">
        <v>2151</v>
      </c>
      <c r="E2155" t="s">
        <v>2365</v>
      </c>
      <c r="F2155" t="s">
        <v>2761</v>
      </c>
      <c r="G2155" t="s">
        <v>3149</v>
      </c>
      <c r="H2155" t="s">
        <v>4440</v>
      </c>
      <c r="I2155" t="s">
        <v>1357</v>
      </c>
      <c r="J2155" t="s">
        <v>1357</v>
      </c>
      <c r="K2155" t="s">
        <v>1357</v>
      </c>
      <c r="L2155" t="s">
        <v>1357</v>
      </c>
    </row>
    <row r="2156" spans="1:12">
      <c r="H2156" t="s">
        <v>4441</v>
      </c>
      <c r="I2156" t="s">
        <v>1357</v>
      </c>
      <c r="J2156" t="s">
        <v>1357</v>
      </c>
      <c r="K2156" t="s">
        <v>1357</v>
      </c>
      <c r="L2156" t="s">
        <v>1357</v>
      </c>
    </row>
    <row r="2157" spans="1:12">
      <c r="H2157" t="s">
        <v>4442</v>
      </c>
      <c r="I2157" t="s">
        <v>1357</v>
      </c>
      <c r="J2157" t="s">
        <v>1357</v>
      </c>
      <c r="K2157" t="s">
        <v>1357</v>
      </c>
      <c r="L2157" t="s">
        <v>1357</v>
      </c>
    </row>
    <row r="2158" spans="1:12">
      <c r="H2158" t="s">
        <v>4443</v>
      </c>
      <c r="I2158" t="s">
        <v>1357</v>
      </c>
      <c r="J2158" t="s">
        <v>1357</v>
      </c>
      <c r="K2158" t="s">
        <v>1357</v>
      </c>
      <c r="L2158" t="s">
        <v>1357</v>
      </c>
    </row>
    <row r="2159" spans="1:12">
      <c r="H2159" t="s">
        <v>4444</v>
      </c>
      <c r="I2159" t="s">
        <v>1357</v>
      </c>
      <c r="J2159" t="s">
        <v>1357</v>
      </c>
      <c r="K2159" t="s">
        <v>1357</v>
      </c>
      <c r="L2159" t="s">
        <v>1357</v>
      </c>
    </row>
    <row r="2160" spans="1:12">
      <c r="H2160" t="s">
        <v>4445</v>
      </c>
      <c r="I2160" t="s">
        <v>1357</v>
      </c>
      <c r="J2160" t="s">
        <v>1357</v>
      </c>
      <c r="K2160" t="s">
        <v>1357</v>
      </c>
      <c r="L2160" t="s">
        <v>1357</v>
      </c>
    </row>
    <row r="2161" spans="1:12">
      <c r="H2161" t="s">
        <v>4446</v>
      </c>
      <c r="I2161" t="s">
        <v>1357</v>
      </c>
      <c r="J2161" t="s">
        <v>1357</v>
      </c>
      <c r="K2161" t="s">
        <v>1357</v>
      </c>
      <c r="L2161" t="s">
        <v>1357</v>
      </c>
    </row>
    <row r="2162" spans="1:12">
      <c r="H2162" t="s">
        <v>4447</v>
      </c>
      <c r="I2162" t="s">
        <v>1357</v>
      </c>
      <c r="J2162" t="s">
        <v>1357</v>
      </c>
      <c r="K2162" t="s">
        <v>1357</v>
      </c>
      <c r="L2162" t="s">
        <v>1357</v>
      </c>
    </row>
    <row r="2163" spans="1:12">
      <c r="H2163" t="s">
        <v>4448</v>
      </c>
      <c r="I2163" t="s">
        <v>1357</v>
      </c>
      <c r="J2163" t="s">
        <v>1357</v>
      </c>
      <c r="K2163" t="s">
        <v>1357</v>
      </c>
      <c r="L2163" t="s">
        <v>1357</v>
      </c>
    </row>
    <row r="2164" spans="1:12">
      <c r="H2164" t="s">
        <v>4449</v>
      </c>
      <c r="I2164" t="s">
        <v>1357</v>
      </c>
      <c r="J2164" t="s">
        <v>1357</v>
      </c>
      <c r="K2164" t="s">
        <v>1357</v>
      </c>
      <c r="L2164" t="s">
        <v>1357</v>
      </c>
    </row>
    <row r="2165" spans="1:12">
      <c r="H2165" t="s">
        <v>4450</v>
      </c>
      <c r="I2165" t="s">
        <v>1357</v>
      </c>
      <c r="J2165" t="s">
        <v>1357</v>
      </c>
      <c r="K2165" t="s">
        <v>1357</v>
      </c>
      <c r="L2165" t="s">
        <v>1357</v>
      </c>
    </row>
    <row r="2166" spans="1:12">
      <c r="H2166" t="s">
        <v>4451</v>
      </c>
      <c r="I2166" t="s">
        <v>1357</v>
      </c>
      <c r="J2166" t="s">
        <v>1357</v>
      </c>
      <c r="K2166" t="s">
        <v>1357</v>
      </c>
      <c r="L2166" t="s">
        <v>1357</v>
      </c>
    </row>
    <row r="2167" spans="1:12">
      <c r="H2167" t="s">
        <v>4452</v>
      </c>
      <c r="I2167" t="s">
        <v>1357</v>
      </c>
      <c r="J2167" t="s">
        <v>1357</v>
      </c>
      <c r="K2167" t="s">
        <v>1357</v>
      </c>
      <c r="L2167" t="s">
        <v>1357</v>
      </c>
    </row>
    <row r="2168" spans="1:12">
      <c r="H2168" t="s">
        <v>4453</v>
      </c>
      <c r="I2168" t="s">
        <v>1357</v>
      </c>
      <c r="J2168" t="s">
        <v>1357</v>
      </c>
      <c r="K2168" t="s">
        <v>1357</v>
      </c>
      <c r="L2168" t="s">
        <v>1357</v>
      </c>
    </row>
    <row r="2169" spans="1:12">
      <c r="H2169" t="s">
        <v>4454</v>
      </c>
      <c r="I2169" t="s">
        <v>1357</v>
      </c>
      <c r="J2169" t="s">
        <v>1357</v>
      </c>
      <c r="K2169" t="s">
        <v>1357</v>
      </c>
      <c r="L2169" t="s">
        <v>1357</v>
      </c>
    </row>
    <row r="2170" spans="1:12">
      <c r="H2170" t="s">
        <v>4455</v>
      </c>
      <c r="I2170" t="s">
        <v>1357</v>
      </c>
      <c r="J2170" t="s">
        <v>1357</v>
      </c>
      <c r="K2170" t="s">
        <v>1357</v>
      </c>
      <c r="L2170" t="s">
        <v>1357</v>
      </c>
    </row>
    <row r="2171" spans="1:12">
      <c r="A2171" t="s">
        <v>2082</v>
      </c>
      <c r="B2171">
        <f>HYPERLINK("https://github.com/apache/commons-math/commit/96c8597c0f6eba2252bae4107ddacabeaf2be0e6", "96c8597c0f6eba2252bae4107ddacabeaf2be0e6")</f>
        <v>0</v>
      </c>
      <c r="C2171">
        <f>HYPERLINK("https://github.com/apache/commons-math/commit/b81be1fea344c07c3024011066f0c8bb8865cc65", "b81be1fea344c07c3024011066f0c8bb8865cc65")</f>
        <v>0</v>
      </c>
      <c r="D2171" t="s">
        <v>2151</v>
      </c>
      <c r="E2171" t="s">
        <v>2366</v>
      </c>
      <c r="F2171" t="s">
        <v>2762</v>
      </c>
      <c r="G2171" t="s">
        <v>2936</v>
      </c>
      <c r="H2171" t="s">
        <v>4456</v>
      </c>
      <c r="I2171" t="s">
        <v>1357</v>
      </c>
      <c r="J2171" t="s">
        <v>1357</v>
      </c>
      <c r="K2171" t="s">
        <v>1357</v>
      </c>
      <c r="L2171" t="s">
        <v>1357</v>
      </c>
    </row>
    <row r="2172" spans="1:12">
      <c r="A2172" t="s">
        <v>2083</v>
      </c>
      <c r="B2172">
        <f>HYPERLINK("https://github.com/apache/commons-math/commit/494745fdd0fb1c1a6cb7b955c42a8b6d956bd945", "494745fdd0fb1c1a6cb7b955c42a8b6d956bd945")</f>
        <v>0</v>
      </c>
      <c r="C2172">
        <f>HYPERLINK("https://github.com/apache/commons-math/commit/d442a770f2ea6b8c0b50a001b1ef1d92511e9832", "d442a770f2ea6b8c0b50a001b1ef1d92511e9832")</f>
        <v>0</v>
      </c>
      <c r="D2172" t="s">
        <v>2151</v>
      </c>
      <c r="E2172" t="s">
        <v>2367</v>
      </c>
      <c r="F2172" t="s">
        <v>2763</v>
      </c>
      <c r="G2172" t="s">
        <v>3150</v>
      </c>
      <c r="H2172" t="s">
        <v>4457</v>
      </c>
      <c r="I2172" t="s">
        <v>1357</v>
      </c>
      <c r="J2172" t="s">
        <v>1357</v>
      </c>
      <c r="K2172" t="s">
        <v>1357</v>
      </c>
      <c r="L2172" t="s">
        <v>1357</v>
      </c>
    </row>
    <row r="2173" spans="1:12">
      <c r="H2173" t="s">
        <v>4458</v>
      </c>
      <c r="I2173" t="s">
        <v>1357</v>
      </c>
      <c r="J2173" t="s">
        <v>1357</v>
      </c>
      <c r="K2173" t="s">
        <v>1357</v>
      </c>
      <c r="L2173" t="s">
        <v>1357</v>
      </c>
    </row>
    <row r="2174" spans="1:12">
      <c r="H2174" t="s">
        <v>4459</v>
      </c>
      <c r="I2174" t="s">
        <v>1357</v>
      </c>
      <c r="J2174" t="s">
        <v>1357</v>
      </c>
      <c r="K2174" t="s">
        <v>1357</v>
      </c>
      <c r="L2174" t="s">
        <v>1357</v>
      </c>
    </row>
    <row r="2175" spans="1:12">
      <c r="H2175" t="s">
        <v>4460</v>
      </c>
      <c r="I2175" t="s">
        <v>1357</v>
      </c>
      <c r="J2175" t="s">
        <v>1357</v>
      </c>
      <c r="K2175" t="s">
        <v>1357</v>
      </c>
      <c r="L2175" t="s">
        <v>1357</v>
      </c>
    </row>
    <row r="2176" spans="1:12">
      <c r="H2176" t="s">
        <v>4461</v>
      </c>
      <c r="I2176" t="s">
        <v>1357</v>
      </c>
      <c r="J2176" t="s">
        <v>1357</v>
      </c>
      <c r="K2176" t="s">
        <v>1357</v>
      </c>
      <c r="L2176" t="s">
        <v>1357</v>
      </c>
    </row>
    <row r="2177" spans="6:12">
      <c r="H2177" t="s">
        <v>4462</v>
      </c>
      <c r="I2177" t="s">
        <v>1357</v>
      </c>
      <c r="J2177" t="s">
        <v>1357</v>
      </c>
      <c r="K2177" t="s">
        <v>1357</v>
      </c>
      <c r="L2177" t="s">
        <v>1357</v>
      </c>
    </row>
    <row r="2178" spans="6:12">
      <c r="H2178" t="s">
        <v>4463</v>
      </c>
      <c r="I2178" t="s">
        <v>1357</v>
      </c>
      <c r="J2178" t="s">
        <v>1357</v>
      </c>
      <c r="K2178" t="s">
        <v>1357</v>
      </c>
      <c r="L2178" t="s">
        <v>1357</v>
      </c>
    </row>
    <row r="2179" spans="6:12">
      <c r="H2179" t="s">
        <v>4464</v>
      </c>
      <c r="I2179" t="s">
        <v>1357</v>
      </c>
      <c r="J2179" t="s">
        <v>1357</v>
      </c>
      <c r="K2179" t="s">
        <v>1357</v>
      </c>
      <c r="L2179" t="s">
        <v>1357</v>
      </c>
    </row>
    <row r="2180" spans="6:12">
      <c r="H2180" t="s">
        <v>4465</v>
      </c>
      <c r="I2180" t="s">
        <v>1357</v>
      </c>
      <c r="J2180" t="s">
        <v>1357</v>
      </c>
      <c r="K2180" t="s">
        <v>1357</v>
      </c>
      <c r="L2180" t="s">
        <v>1357</v>
      </c>
    </row>
    <row r="2181" spans="6:12">
      <c r="H2181" t="s">
        <v>4466</v>
      </c>
      <c r="I2181" t="s">
        <v>1357</v>
      </c>
      <c r="J2181" t="s">
        <v>1357</v>
      </c>
      <c r="K2181" t="s">
        <v>1357</v>
      </c>
      <c r="L2181" t="s">
        <v>1357</v>
      </c>
    </row>
    <row r="2182" spans="6:12">
      <c r="H2182" t="s">
        <v>4467</v>
      </c>
      <c r="I2182" t="s">
        <v>1357</v>
      </c>
      <c r="J2182" t="s">
        <v>1357</v>
      </c>
      <c r="K2182" t="s">
        <v>1357</v>
      </c>
      <c r="L2182" t="s">
        <v>1357</v>
      </c>
    </row>
    <row r="2183" spans="6:12">
      <c r="H2183" t="s">
        <v>4468</v>
      </c>
      <c r="I2183" t="s">
        <v>1357</v>
      </c>
      <c r="J2183" t="s">
        <v>1357</v>
      </c>
      <c r="K2183" t="s">
        <v>1357</v>
      </c>
      <c r="L2183" t="s">
        <v>1357</v>
      </c>
    </row>
    <row r="2184" spans="6:12">
      <c r="F2184" t="s">
        <v>2764</v>
      </c>
      <c r="G2184" t="s">
        <v>3151</v>
      </c>
      <c r="H2184" t="s">
        <v>4469</v>
      </c>
      <c r="I2184" t="s">
        <v>1357</v>
      </c>
      <c r="J2184" t="s">
        <v>1357</v>
      </c>
      <c r="K2184" t="s">
        <v>1357</v>
      </c>
      <c r="L2184" t="s">
        <v>1357</v>
      </c>
    </row>
    <row r="2185" spans="6:12">
      <c r="H2185" t="s">
        <v>3494</v>
      </c>
      <c r="I2185" t="s">
        <v>1357</v>
      </c>
      <c r="J2185" t="s">
        <v>1357</v>
      </c>
      <c r="K2185" t="s">
        <v>1357</v>
      </c>
      <c r="L2185" t="s">
        <v>1357</v>
      </c>
    </row>
    <row r="2186" spans="6:12">
      <c r="H2186" t="s">
        <v>3495</v>
      </c>
      <c r="I2186" t="s">
        <v>1357</v>
      </c>
      <c r="J2186" t="s">
        <v>1357</v>
      </c>
      <c r="K2186" t="s">
        <v>1357</v>
      </c>
      <c r="L2186" t="s">
        <v>1357</v>
      </c>
    </row>
    <row r="2187" spans="6:12">
      <c r="H2187" t="s">
        <v>4470</v>
      </c>
      <c r="I2187" t="s">
        <v>1357</v>
      </c>
      <c r="J2187" t="s">
        <v>1357</v>
      </c>
      <c r="K2187" t="s">
        <v>1357</v>
      </c>
      <c r="L2187" t="s">
        <v>1357</v>
      </c>
    </row>
    <row r="2188" spans="6:12">
      <c r="H2188" t="s">
        <v>3496</v>
      </c>
      <c r="I2188" t="s">
        <v>1357</v>
      </c>
      <c r="J2188" t="s">
        <v>1357</v>
      </c>
      <c r="K2188" t="s">
        <v>1357</v>
      </c>
      <c r="L2188" t="s">
        <v>1357</v>
      </c>
    </row>
    <row r="2189" spans="6:12">
      <c r="H2189" t="s">
        <v>3497</v>
      </c>
      <c r="I2189" t="s">
        <v>1357</v>
      </c>
      <c r="J2189" t="s">
        <v>1357</v>
      </c>
      <c r="K2189" t="s">
        <v>1357</v>
      </c>
      <c r="L2189" t="s">
        <v>1357</v>
      </c>
    </row>
    <row r="2190" spans="6:12">
      <c r="H2190" t="s">
        <v>4471</v>
      </c>
      <c r="I2190" t="s">
        <v>1357</v>
      </c>
      <c r="J2190" t="s">
        <v>1357</v>
      </c>
      <c r="K2190" t="s">
        <v>1357</v>
      </c>
      <c r="L2190" t="s">
        <v>1357</v>
      </c>
    </row>
    <row r="2191" spans="6:12">
      <c r="H2191" t="s">
        <v>4472</v>
      </c>
      <c r="I2191" t="s">
        <v>1357</v>
      </c>
      <c r="J2191" t="s">
        <v>1357</v>
      </c>
      <c r="K2191" t="s">
        <v>1357</v>
      </c>
      <c r="L2191" t="s">
        <v>1357</v>
      </c>
    </row>
    <row r="2192" spans="6:12">
      <c r="H2192" t="s">
        <v>4473</v>
      </c>
      <c r="I2192" t="s">
        <v>1357</v>
      </c>
      <c r="J2192" t="s">
        <v>1357</v>
      </c>
      <c r="K2192" t="s">
        <v>1357</v>
      </c>
      <c r="L2192" t="s">
        <v>1357</v>
      </c>
    </row>
    <row r="2193" spans="1:12">
      <c r="F2193" t="s">
        <v>2765</v>
      </c>
      <c r="G2193" t="s">
        <v>3152</v>
      </c>
      <c r="H2193" t="s">
        <v>4474</v>
      </c>
      <c r="I2193" t="s">
        <v>1357</v>
      </c>
      <c r="J2193" t="s">
        <v>1357</v>
      </c>
      <c r="K2193" t="s">
        <v>1357</v>
      </c>
      <c r="L2193" t="s">
        <v>1357</v>
      </c>
    </row>
    <row r="2194" spans="1:12">
      <c r="H2194" t="s">
        <v>4475</v>
      </c>
      <c r="I2194" t="s">
        <v>1357</v>
      </c>
      <c r="J2194" t="s">
        <v>1357</v>
      </c>
      <c r="K2194" t="s">
        <v>1357</v>
      </c>
      <c r="L2194" t="s">
        <v>1357</v>
      </c>
    </row>
    <row r="2195" spans="1:12">
      <c r="H2195" t="s">
        <v>4476</v>
      </c>
      <c r="I2195" t="s">
        <v>1357</v>
      </c>
      <c r="J2195" t="s">
        <v>1357</v>
      </c>
      <c r="K2195" t="s">
        <v>1357</v>
      </c>
      <c r="L2195" t="s">
        <v>1357</v>
      </c>
    </row>
    <row r="2196" spans="1:12">
      <c r="H2196" t="s">
        <v>4477</v>
      </c>
      <c r="I2196" t="s">
        <v>1357</v>
      </c>
      <c r="J2196" t="s">
        <v>1357</v>
      </c>
      <c r="K2196" t="s">
        <v>1357</v>
      </c>
      <c r="L2196" t="s">
        <v>1357</v>
      </c>
    </row>
    <row r="2197" spans="1:12">
      <c r="H2197" t="s">
        <v>4478</v>
      </c>
      <c r="I2197" t="s">
        <v>1357</v>
      </c>
      <c r="J2197" t="s">
        <v>1357</v>
      </c>
      <c r="K2197" t="s">
        <v>1357</v>
      </c>
      <c r="L2197" t="s">
        <v>1357</v>
      </c>
    </row>
    <row r="2198" spans="1:12">
      <c r="H2198" t="s">
        <v>4479</v>
      </c>
      <c r="I2198" t="s">
        <v>1357</v>
      </c>
      <c r="J2198" t="s">
        <v>1357</v>
      </c>
      <c r="K2198" t="s">
        <v>1357</v>
      </c>
      <c r="L2198" t="s">
        <v>1357</v>
      </c>
    </row>
    <row r="2199" spans="1:12">
      <c r="H2199" t="s">
        <v>4480</v>
      </c>
      <c r="I2199" t="s">
        <v>1357</v>
      </c>
      <c r="J2199" t="s">
        <v>1357</v>
      </c>
      <c r="K2199" t="s">
        <v>1357</v>
      </c>
      <c r="L2199" t="s">
        <v>1357</v>
      </c>
    </row>
    <row r="2200" spans="1:12">
      <c r="A2200" t="s">
        <v>2084</v>
      </c>
      <c r="B2200">
        <f>HYPERLINK("https://github.com/apache/commons-math/commit/4a37273818d2d7fe684136e84511e4e46e6cb1b0", "4a37273818d2d7fe684136e84511e4e46e6cb1b0")</f>
        <v>0</v>
      </c>
      <c r="C2200">
        <f>HYPERLINK("https://github.com/apache/commons-math/commit/3200db1671d4b360abc43165cfb31e534966da92", "3200db1671d4b360abc43165cfb31e534966da92")</f>
        <v>0</v>
      </c>
      <c r="D2200" t="s">
        <v>2151</v>
      </c>
      <c r="E2200" t="s">
        <v>2368</v>
      </c>
      <c r="F2200" t="s">
        <v>2717</v>
      </c>
      <c r="G2200" t="s">
        <v>3051</v>
      </c>
      <c r="H2200" t="s">
        <v>4481</v>
      </c>
      <c r="I2200" t="s">
        <v>1357</v>
      </c>
      <c r="J2200" t="s">
        <v>1357</v>
      </c>
      <c r="K2200" t="s">
        <v>1357</v>
      </c>
      <c r="L2200" t="s">
        <v>1357</v>
      </c>
    </row>
    <row r="2201" spans="1:12">
      <c r="H2201" t="s">
        <v>4482</v>
      </c>
      <c r="I2201" t="s">
        <v>1357</v>
      </c>
      <c r="J2201" t="s">
        <v>1357</v>
      </c>
      <c r="K2201" t="s">
        <v>1357</v>
      </c>
      <c r="L2201" t="s">
        <v>1357</v>
      </c>
    </row>
    <row r="2202" spans="1:12">
      <c r="H2202" t="s">
        <v>4483</v>
      </c>
      <c r="I2202" t="s">
        <v>1357</v>
      </c>
      <c r="J2202" t="s">
        <v>1357</v>
      </c>
      <c r="K2202" t="s">
        <v>1357</v>
      </c>
      <c r="L2202" t="s">
        <v>1357</v>
      </c>
    </row>
    <row r="2203" spans="1:12">
      <c r="H2203" t="s">
        <v>4484</v>
      </c>
      <c r="I2203" t="s">
        <v>1357</v>
      </c>
      <c r="J2203" t="s">
        <v>1357</v>
      </c>
      <c r="K2203" t="s">
        <v>1357</v>
      </c>
      <c r="L2203" t="s">
        <v>1357</v>
      </c>
    </row>
    <row r="2204" spans="1:12">
      <c r="H2204" t="s">
        <v>4485</v>
      </c>
      <c r="I2204" t="s">
        <v>1357</v>
      </c>
      <c r="J2204" t="s">
        <v>1357</v>
      </c>
      <c r="K2204" t="s">
        <v>1357</v>
      </c>
      <c r="L2204" t="s">
        <v>1357</v>
      </c>
    </row>
    <row r="2205" spans="1:12">
      <c r="H2205" t="s">
        <v>4486</v>
      </c>
      <c r="I2205" t="s">
        <v>1357</v>
      </c>
      <c r="J2205" t="s">
        <v>1357</v>
      </c>
      <c r="K2205" t="s">
        <v>1357</v>
      </c>
      <c r="L2205" t="s">
        <v>1357</v>
      </c>
    </row>
    <row r="2206" spans="1:12">
      <c r="H2206" t="s">
        <v>4487</v>
      </c>
      <c r="I2206" t="s">
        <v>1357</v>
      </c>
      <c r="J2206" t="s">
        <v>1357</v>
      </c>
      <c r="K2206" t="s">
        <v>1357</v>
      </c>
      <c r="L2206" t="s">
        <v>1357</v>
      </c>
    </row>
    <row r="2207" spans="1:12">
      <c r="H2207" t="s">
        <v>4488</v>
      </c>
      <c r="I2207" t="s">
        <v>1357</v>
      </c>
      <c r="J2207" t="s">
        <v>1357</v>
      </c>
      <c r="K2207" t="s">
        <v>1357</v>
      </c>
      <c r="L2207" t="s">
        <v>1357</v>
      </c>
    </row>
    <row r="2208" spans="1:12">
      <c r="A2208" t="s">
        <v>2085</v>
      </c>
      <c r="B2208">
        <f>HYPERLINK("https://github.com/apache/commons-math/commit/6f27b4ae8f8ecb62698e760ab7df3973874b1f51", "6f27b4ae8f8ecb62698e760ab7df3973874b1f51")</f>
        <v>0</v>
      </c>
      <c r="C2208">
        <f>HYPERLINK("https://github.com/apache/commons-math/commit/af7f247b648bb255307c87764c787c0f0fff8df9", "af7f247b648bb255307c87764c787c0f0fff8df9")</f>
        <v>0</v>
      </c>
      <c r="D2208" t="s">
        <v>2151</v>
      </c>
      <c r="E2208" t="s">
        <v>2369</v>
      </c>
      <c r="F2208" t="s">
        <v>2766</v>
      </c>
      <c r="G2208" t="s">
        <v>2939</v>
      </c>
      <c r="H2208" t="s">
        <v>4489</v>
      </c>
      <c r="I2208" t="s">
        <v>1357</v>
      </c>
      <c r="J2208" t="s">
        <v>1357</v>
      </c>
      <c r="K2208" t="s">
        <v>1357</v>
      </c>
      <c r="L2208" t="s">
        <v>1357</v>
      </c>
    </row>
    <row r="2209" spans="1:12">
      <c r="A2209" t="s">
        <v>2086</v>
      </c>
      <c r="B2209">
        <f>HYPERLINK("https://github.com/apache/commons-math/commit/2c6e3404bc72e76b2e9d308121368f09b723c8df", "2c6e3404bc72e76b2e9d308121368f09b723c8df")</f>
        <v>0</v>
      </c>
      <c r="C2209">
        <f>HYPERLINK("https://github.com/apache/commons-math/commit/eed46beefb0152b0579e2631877c864bb3216e0c", "eed46beefb0152b0579e2631877c864bb3216e0c")</f>
        <v>0</v>
      </c>
      <c r="D2209" t="s">
        <v>2151</v>
      </c>
      <c r="E2209" t="s">
        <v>2370</v>
      </c>
      <c r="F2209" t="s">
        <v>2767</v>
      </c>
      <c r="G2209" t="s">
        <v>3153</v>
      </c>
      <c r="H2209" t="s">
        <v>4490</v>
      </c>
      <c r="I2209" t="s">
        <v>1357</v>
      </c>
      <c r="J2209" t="s">
        <v>1357</v>
      </c>
      <c r="K2209" t="s">
        <v>1357</v>
      </c>
      <c r="L2209" t="s">
        <v>1357</v>
      </c>
    </row>
    <row r="2210" spans="1:12">
      <c r="A2210" t="s">
        <v>2087</v>
      </c>
      <c r="B2210">
        <f>HYPERLINK("https://github.com/apache/commons-math/commit/b31b5ca32a6c42c5cbbf2f230c11ff9a8a320bdb", "b31b5ca32a6c42c5cbbf2f230c11ff9a8a320bdb")</f>
        <v>0</v>
      </c>
      <c r="C2210">
        <f>HYPERLINK("https://github.com/apache/commons-math/commit/34886092d926da89e7040547d48cd3891e51595b", "34886092d926da89e7040547d48cd3891e51595b")</f>
        <v>0</v>
      </c>
      <c r="D2210" t="s">
        <v>2160</v>
      </c>
      <c r="E2210" t="s">
        <v>2371</v>
      </c>
      <c r="F2210" t="s">
        <v>2768</v>
      </c>
      <c r="G2210" t="s">
        <v>3154</v>
      </c>
      <c r="H2210" t="s">
        <v>4491</v>
      </c>
      <c r="I2210" t="s">
        <v>1357</v>
      </c>
      <c r="J2210" t="s">
        <v>1357</v>
      </c>
      <c r="K2210" t="s">
        <v>1357</v>
      </c>
      <c r="L2210" t="s">
        <v>1357</v>
      </c>
    </row>
    <row r="2211" spans="1:12">
      <c r="H2211" t="s">
        <v>4492</v>
      </c>
      <c r="I2211" t="s">
        <v>1357</v>
      </c>
      <c r="J2211" t="s">
        <v>1357</v>
      </c>
      <c r="K2211" t="s">
        <v>1357</v>
      </c>
      <c r="L2211" t="s">
        <v>1357</v>
      </c>
    </row>
    <row r="2212" spans="1:12">
      <c r="H2212" t="s">
        <v>4493</v>
      </c>
      <c r="I2212" t="s">
        <v>1357</v>
      </c>
      <c r="J2212" t="s">
        <v>1357</v>
      </c>
      <c r="K2212" t="s">
        <v>1357</v>
      </c>
      <c r="L2212" t="s">
        <v>1357</v>
      </c>
    </row>
    <row r="2213" spans="1:12">
      <c r="H2213" t="s">
        <v>4494</v>
      </c>
      <c r="I2213" t="s">
        <v>1357</v>
      </c>
      <c r="J2213" t="s">
        <v>1357</v>
      </c>
      <c r="K2213" t="s">
        <v>1357</v>
      </c>
      <c r="L2213" t="s">
        <v>1357</v>
      </c>
    </row>
    <row r="2214" spans="1:12">
      <c r="H2214" t="s">
        <v>4495</v>
      </c>
      <c r="I2214" t="s">
        <v>1357</v>
      </c>
      <c r="J2214" t="s">
        <v>1357</v>
      </c>
      <c r="K2214" t="s">
        <v>1357</v>
      </c>
      <c r="L2214" t="s">
        <v>1357</v>
      </c>
    </row>
    <row r="2215" spans="1:12">
      <c r="H2215" t="s">
        <v>1175</v>
      </c>
      <c r="I2215" t="s">
        <v>1357</v>
      </c>
      <c r="J2215" t="s">
        <v>1357</v>
      </c>
      <c r="K2215" t="s">
        <v>1357</v>
      </c>
      <c r="L2215" t="s">
        <v>1357</v>
      </c>
    </row>
    <row r="2216" spans="1:12">
      <c r="H2216" t="s">
        <v>4496</v>
      </c>
      <c r="I2216" t="s">
        <v>1357</v>
      </c>
      <c r="J2216" t="s">
        <v>1357</v>
      </c>
      <c r="K2216" t="s">
        <v>1357</v>
      </c>
      <c r="L2216" t="s">
        <v>1357</v>
      </c>
    </row>
    <row r="2217" spans="1:12">
      <c r="H2217" t="s">
        <v>4497</v>
      </c>
      <c r="I2217" t="s">
        <v>1357</v>
      </c>
      <c r="J2217" t="s">
        <v>1357</v>
      </c>
      <c r="K2217" t="s">
        <v>1357</v>
      </c>
      <c r="L2217" t="s">
        <v>1357</v>
      </c>
    </row>
    <row r="2218" spans="1:12">
      <c r="H2218" t="s">
        <v>4498</v>
      </c>
      <c r="I2218" t="s">
        <v>1357</v>
      </c>
      <c r="J2218" t="s">
        <v>1357</v>
      </c>
      <c r="K2218" t="s">
        <v>1357</v>
      </c>
      <c r="L2218" t="s">
        <v>1357</v>
      </c>
    </row>
    <row r="2219" spans="1:12">
      <c r="H2219" t="s">
        <v>4499</v>
      </c>
      <c r="I2219" t="s">
        <v>1357</v>
      </c>
      <c r="J2219" t="s">
        <v>1357</v>
      </c>
      <c r="K2219" t="s">
        <v>1357</v>
      </c>
      <c r="L2219" t="s">
        <v>1357</v>
      </c>
    </row>
    <row r="2220" spans="1:12">
      <c r="H2220" t="s">
        <v>4500</v>
      </c>
      <c r="I2220" t="s">
        <v>1357</v>
      </c>
      <c r="J2220" t="s">
        <v>1357</v>
      </c>
      <c r="K2220" t="s">
        <v>1357</v>
      </c>
      <c r="L2220" t="s">
        <v>1357</v>
      </c>
    </row>
    <row r="2221" spans="1:12">
      <c r="H2221" t="s">
        <v>4501</v>
      </c>
      <c r="I2221" t="s">
        <v>1357</v>
      </c>
      <c r="J2221" t="s">
        <v>1357</v>
      </c>
      <c r="K2221" t="s">
        <v>1357</v>
      </c>
      <c r="L2221" t="s">
        <v>1357</v>
      </c>
    </row>
    <row r="2222" spans="1:12">
      <c r="H2222" t="s">
        <v>4502</v>
      </c>
      <c r="I2222" t="s">
        <v>1357</v>
      </c>
      <c r="J2222" t="s">
        <v>1357</v>
      </c>
      <c r="K2222" t="s">
        <v>1357</v>
      </c>
      <c r="L2222" t="s">
        <v>1357</v>
      </c>
    </row>
    <row r="2223" spans="1:12">
      <c r="H2223" t="s">
        <v>4503</v>
      </c>
      <c r="I2223" t="s">
        <v>1357</v>
      </c>
      <c r="J2223" t="s">
        <v>1357</v>
      </c>
      <c r="K2223" t="s">
        <v>1357</v>
      </c>
      <c r="L2223" t="s">
        <v>1357</v>
      </c>
    </row>
    <row r="2224" spans="1:12">
      <c r="H2224" t="s">
        <v>4504</v>
      </c>
      <c r="I2224" t="s">
        <v>1357</v>
      </c>
      <c r="J2224" t="s">
        <v>1357</v>
      </c>
      <c r="K2224" t="s">
        <v>1357</v>
      </c>
      <c r="L2224" t="s">
        <v>1357</v>
      </c>
    </row>
    <row r="2225" spans="1:12">
      <c r="H2225" t="s">
        <v>4505</v>
      </c>
      <c r="I2225" t="s">
        <v>1357</v>
      </c>
      <c r="J2225" t="s">
        <v>1357</v>
      </c>
      <c r="K2225" t="s">
        <v>1357</v>
      </c>
      <c r="L2225" t="s">
        <v>1357</v>
      </c>
    </row>
    <row r="2226" spans="1:12">
      <c r="H2226" t="s">
        <v>4506</v>
      </c>
      <c r="I2226" t="s">
        <v>1357</v>
      </c>
      <c r="J2226" t="s">
        <v>1357</v>
      </c>
      <c r="K2226" t="s">
        <v>1357</v>
      </c>
      <c r="L2226" t="s">
        <v>1357</v>
      </c>
    </row>
    <row r="2227" spans="1:12">
      <c r="H2227" t="s">
        <v>4507</v>
      </c>
      <c r="I2227" t="s">
        <v>1357</v>
      </c>
      <c r="J2227" t="s">
        <v>1357</v>
      </c>
      <c r="K2227" t="s">
        <v>1357</v>
      </c>
      <c r="L2227" t="s">
        <v>1357</v>
      </c>
    </row>
    <row r="2228" spans="1:12">
      <c r="H2228" t="s">
        <v>4508</v>
      </c>
      <c r="I2228" t="s">
        <v>1357</v>
      </c>
      <c r="J2228" t="s">
        <v>1357</v>
      </c>
      <c r="K2228" t="s">
        <v>1357</v>
      </c>
      <c r="L2228" t="s">
        <v>1357</v>
      </c>
    </row>
    <row r="2229" spans="1:12">
      <c r="H2229" t="s">
        <v>4509</v>
      </c>
      <c r="I2229" t="s">
        <v>1357</v>
      </c>
      <c r="J2229" t="s">
        <v>1357</v>
      </c>
      <c r="K2229" t="s">
        <v>1357</v>
      </c>
      <c r="L2229" t="s">
        <v>1357</v>
      </c>
    </row>
    <row r="2230" spans="1:12">
      <c r="H2230" t="s">
        <v>4510</v>
      </c>
      <c r="I2230" t="s">
        <v>1357</v>
      </c>
      <c r="J2230" t="s">
        <v>1357</v>
      </c>
      <c r="K2230" t="s">
        <v>1357</v>
      </c>
      <c r="L2230" t="s">
        <v>1357</v>
      </c>
    </row>
    <row r="2231" spans="1:12">
      <c r="H2231" t="s">
        <v>4511</v>
      </c>
      <c r="I2231" t="s">
        <v>1357</v>
      </c>
      <c r="J2231" t="s">
        <v>1357</v>
      </c>
      <c r="K2231" t="s">
        <v>1357</v>
      </c>
      <c r="L2231" t="s">
        <v>1357</v>
      </c>
    </row>
    <row r="2232" spans="1:12">
      <c r="A2232" t="s">
        <v>2088</v>
      </c>
      <c r="B2232">
        <f>HYPERLINK("https://github.com/apache/commons-math/commit/2f038f00735b16710dbf0d369b99719ee23adacb", "2f038f00735b16710dbf0d369b99719ee23adacb")</f>
        <v>0</v>
      </c>
      <c r="C2232">
        <f>HYPERLINK("https://github.com/apache/commons-math/commit/b31b5ca32a6c42c5cbbf2f230c11ff9a8a320bdb", "b31b5ca32a6c42c5cbbf2f230c11ff9a8a320bdb")</f>
        <v>0</v>
      </c>
      <c r="D2232" t="s">
        <v>2160</v>
      </c>
      <c r="E2232" t="s">
        <v>2372</v>
      </c>
      <c r="F2232" t="s">
        <v>2769</v>
      </c>
      <c r="G2232" t="s">
        <v>3155</v>
      </c>
      <c r="H2232" t="s">
        <v>4491</v>
      </c>
      <c r="I2232" t="s">
        <v>1357</v>
      </c>
      <c r="J2232" t="s">
        <v>1357</v>
      </c>
      <c r="K2232" t="s">
        <v>1357</v>
      </c>
      <c r="L2232" t="s">
        <v>1357</v>
      </c>
    </row>
    <row r="2233" spans="1:12">
      <c r="H2233" t="s">
        <v>4492</v>
      </c>
      <c r="I2233" t="s">
        <v>1357</v>
      </c>
      <c r="J2233" t="s">
        <v>1357</v>
      </c>
      <c r="K2233" t="s">
        <v>1357</v>
      </c>
      <c r="L2233" t="s">
        <v>1357</v>
      </c>
    </row>
    <row r="2234" spans="1:12">
      <c r="H2234" t="s">
        <v>4493</v>
      </c>
      <c r="I2234" t="s">
        <v>1357</v>
      </c>
      <c r="J2234" t="s">
        <v>1357</v>
      </c>
      <c r="K2234" t="s">
        <v>1357</v>
      </c>
      <c r="L2234" t="s">
        <v>1357</v>
      </c>
    </row>
    <row r="2235" spans="1:12">
      <c r="H2235" t="s">
        <v>4494</v>
      </c>
      <c r="I2235" t="s">
        <v>1357</v>
      </c>
      <c r="J2235" t="s">
        <v>1357</v>
      </c>
      <c r="K2235" t="s">
        <v>1357</v>
      </c>
      <c r="L2235" t="s">
        <v>1357</v>
      </c>
    </row>
    <row r="2236" spans="1:12">
      <c r="H2236" t="s">
        <v>4495</v>
      </c>
      <c r="I2236" t="s">
        <v>1357</v>
      </c>
      <c r="J2236" t="s">
        <v>1357</v>
      </c>
      <c r="K2236" t="s">
        <v>1357</v>
      </c>
      <c r="L2236" t="s">
        <v>1357</v>
      </c>
    </row>
    <row r="2237" spans="1:12">
      <c r="H2237" t="s">
        <v>1175</v>
      </c>
      <c r="I2237" t="s">
        <v>1357</v>
      </c>
      <c r="J2237" t="s">
        <v>1357</v>
      </c>
      <c r="K2237" t="s">
        <v>1357</v>
      </c>
      <c r="L2237" t="s">
        <v>1357</v>
      </c>
    </row>
    <row r="2238" spans="1:12">
      <c r="H2238" t="s">
        <v>4496</v>
      </c>
      <c r="I2238" t="s">
        <v>1357</v>
      </c>
      <c r="J2238" t="s">
        <v>1357</v>
      </c>
      <c r="K2238" t="s">
        <v>1357</v>
      </c>
      <c r="L2238" t="s">
        <v>1357</v>
      </c>
    </row>
    <row r="2239" spans="1:12">
      <c r="H2239" t="s">
        <v>4501</v>
      </c>
      <c r="I2239" t="s">
        <v>1357</v>
      </c>
      <c r="J2239" t="s">
        <v>1357</v>
      </c>
      <c r="K2239" t="s">
        <v>1357</v>
      </c>
      <c r="L2239" t="s">
        <v>1357</v>
      </c>
    </row>
    <row r="2240" spans="1:12">
      <c r="H2240" t="s">
        <v>4502</v>
      </c>
      <c r="I2240" t="s">
        <v>1357</v>
      </c>
      <c r="J2240" t="s">
        <v>1357</v>
      </c>
      <c r="K2240" t="s">
        <v>1357</v>
      </c>
      <c r="L2240" t="s">
        <v>1357</v>
      </c>
    </row>
    <row r="2241" spans="1:12">
      <c r="H2241" t="s">
        <v>4503</v>
      </c>
      <c r="I2241" t="s">
        <v>1357</v>
      </c>
      <c r="J2241" t="s">
        <v>1357</v>
      </c>
      <c r="K2241" t="s">
        <v>1357</v>
      </c>
      <c r="L2241" t="s">
        <v>1357</v>
      </c>
    </row>
    <row r="2242" spans="1:12">
      <c r="H2242" t="s">
        <v>4504</v>
      </c>
      <c r="I2242" t="s">
        <v>1357</v>
      </c>
      <c r="J2242" t="s">
        <v>1357</v>
      </c>
      <c r="K2242" t="s">
        <v>1357</v>
      </c>
      <c r="L2242" t="s">
        <v>1357</v>
      </c>
    </row>
    <row r="2243" spans="1:12">
      <c r="H2243" t="s">
        <v>4505</v>
      </c>
      <c r="I2243" t="s">
        <v>1357</v>
      </c>
      <c r="J2243" t="s">
        <v>1357</v>
      </c>
      <c r="K2243" t="s">
        <v>1357</v>
      </c>
      <c r="L2243" t="s">
        <v>1357</v>
      </c>
    </row>
    <row r="2244" spans="1:12">
      <c r="H2244" t="s">
        <v>4506</v>
      </c>
      <c r="I2244" t="s">
        <v>1357</v>
      </c>
      <c r="J2244" t="s">
        <v>1357</v>
      </c>
      <c r="K2244" t="s">
        <v>1357</v>
      </c>
      <c r="L2244" t="s">
        <v>1357</v>
      </c>
    </row>
    <row r="2245" spans="1:12">
      <c r="H2245" t="s">
        <v>4512</v>
      </c>
      <c r="I2245" t="s">
        <v>1357</v>
      </c>
      <c r="J2245" t="s">
        <v>1357</v>
      </c>
      <c r="K2245" t="s">
        <v>1357</v>
      </c>
      <c r="L2245" t="s">
        <v>1357</v>
      </c>
    </row>
    <row r="2246" spans="1:12">
      <c r="H2246" t="s">
        <v>4507</v>
      </c>
      <c r="I2246" t="s">
        <v>1357</v>
      </c>
      <c r="J2246" t="s">
        <v>1357</v>
      </c>
      <c r="K2246" t="s">
        <v>1357</v>
      </c>
      <c r="L2246" t="s">
        <v>1357</v>
      </c>
    </row>
    <row r="2247" spans="1:12">
      <c r="H2247" t="s">
        <v>4508</v>
      </c>
      <c r="I2247" t="s">
        <v>1357</v>
      </c>
      <c r="J2247" t="s">
        <v>1357</v>
      </c>
      <c r="K2247" t="s">
        <v>1357</v>
      </c>
      <c r="L2247" t="s">
        <v>1357</v>
      </c>
    </row>
    <row r="2248" spans="1:12">
      <c r="H2248" t="s">
        <v>4509</v>
      </c>
      <c r="I2248" t="s">
        <v>1357</v>
      </c>
      <c r="J2248" t="s">
        <v>1357</v>
      </c>
      <c r="K2248" t="s">
        <v>1357</v>
      </c>
      <c r="L2248" t="s">
        <v>1357</v>
      </c>
    </row>
    <row r="2249" spans="1:12">
      <c r="H2249" t="s">
        <v>4510</v>
      </c>
      <c r="I2249" t="s">
        <v>1357</v>
      </c>
      <c r="J2249" t="s">
        <v>1357</v>
      </c>
      <c r="K2249" t="s">
        <v>1357</v>
      </c>
      <c r="L2249" t="s">
        <v>1357</v>
      </c>
    </row>
    <row r="2250" spans="1:12">
      <c r="H2250" t="s">
        <v>4511</v>
      </c>
      <c r="I2250" t="s">
        <v>1357</v>
      </c>
      <c r="J2250" t="s">
        <v>1357</v>
      </c>
      <c r="K2250" t="s">
        <v>1357</v>
      </c>
      <c r="L2250" t="s">
        <v>1357</v>
      </c>
    </row>
    <row r="2251" spans="1:12">
      <c r="A2251" t="s">
        <v>2089</v>
      </c>
      <c r="B2251">
        <f>HYPERLINK("https://github.com/apache/commons-math/commit/e415b2f4f3f5f4d103c249009cd313c6be011946", "e415b2f4f3f5f4d103c249009cd313c6be011946")</f>
        <v>0</v>
      </c>
      <c r="C2251">
        <f>HYPERLINK("https://github.com/apache/commons-math/commit/63bb89e4981d5fb90daeaa9defa18483d45c6e57", "63bb89e4981d5fb90daeaa9defa18483d45c6e57")</f>
        <v>0</v>
      </c>
      <c r="D2251" t="s">
        <v>2160</v>
      </c>
      <c r="E2251" t="s">
        <v>2373</v>
      </c>
      <c r="F2251" t="s">
        <v>2770</v>
      </c>
      <c r="G2251" t="s">
        <v>3156</v>
      </c>
      <c r="H2251" t="s">
        <v>4513</v>
      </c>
      <c r="I2251" t="s">
        <v>1357</v>
      </c>
      <c r="J2251" t="s">
        <v>1357</v>
      </c>
      <c r="K2251" t="s">
        <v>1357</v>
      </c>
      <c r="L2251" t="s">
        <v>1357</v>
      </c>
    </row>
    <row r="2252" spans="1:12">
      <c r="H2252" t="s">
        <v>4514</v>
      </c>
      <c r="I2252" t="s">
        <v>1357</v>
      </c>
      <c r="J2252" t="s">
        <v>1357</v>
      </c>
      <c r="K2252" t="s">
        <v>1357</v>
      </c>
      <c r="L2252" t="s">
        <v>1357</v>
      </c>
    </row>
    <row r="2253" spans="1:12">
      <c r="H2253" t="s">
        <v>4515</v>
      </c>
      <c r="I2253" t="s">
        <v>1357</v>
      </c>
      <c r="J2253" t="s">
        <v>1357</v>
      </c>
      <c r="K2253" t="s">
        <v>1357</v>
      </c>
      <c r="L2253" t="s">
        <v>1357</v>
      </c>
    </row>
    <row r="2254" spans="1:12">
      <c r="H2254" t="s">
        <v>4516</v>
      </c>
      <c r="I2254" t="s">
        <v>1357</v>
      </c>
      <c r="J2254" t="s">
        <v>1357</v>
      </c>
      <c r="K2254" t="s">
        <v>1357</v>
      </c>
      <c r="L2254" t="s">
        <v>1357</v>
      </c>
    </row>
    <row r="2255" spans="1:12">
      <c r="H2255" t="s">
        <v>3305</v>
      </c>
      <c r="I2255" t="s">
        <v>1357</v>
      </c>
      <c r="J2255" t="s">
        <v>1357</v>
      </c>
      <c r="K2255" t="s">
        <v>1357</v>
      </c>
      <c r="L2255" t="s">
        <v>1357</v>
      </c>
    </row>
    <row r="2256" spans="1:12">
      <c r="H2256" t="s">
        <v>4517</v>
      </c>
      <c r="I2256" t="s">
        <v>1357</v>
      </c>
      <c r="J2256" t="s">
        <v>1357</v>
      </c>
      <c r="K2256" t="s">
        <v>1357</v>
      </c>
      <c r="L2256" t="s">
        <v>1357</v>
      </c>
    </row>
    <row r="2257" spans="8:12">
      <c r="H2257" t="s">
        <v>4518</v>
      </c>
      <c r="I2257" t="s">
        <v>1357</v>
      </c>
      <c r="J2257" t="s">
        <v>1357</v>
      </c>
      <c r="K2257" t="s">
        <v>1357</v>
      </c>
      <c r="L2257" t="s">
        <v>1357</v>
      </c>
    </row>
    <row r="2258" spans="8:12">
      <c r="H2258" t="s">
        <v>4519</v>
      </c>
      <c r="I2258" t="s">
        <v>1357</v>
      </c>
      <c r="J2258" t="s">
        <v>1357</v>
      </c>
      <c r="K2258" t="s">
        <v>1357</v>
      </c>
      <c r="L2258" t="s">
        <v>1357</v>
      </c>
    </row>
    <row r="2259" spans="8:12">
      <c r="H2259" t="s">
        <v>4520</v>
      </c>
      <c r="I2259" t="s">
        <v>1357</v>
      </c>
      <c r="J2259" t="s">
        <v>1357</v>
      </c>
      <c r="K2259" t="s">
        <v>1357</v>
      </c>
      <c r="L2259" t="s">
        <v>1357</v>
      </c>
    </row>
    <row r="2260" spans="8:12">
      <c r="H2260" t="s">
        <v>4521</v>
      </c>
      <c r="I2260" t="s">
        <v>1357</v>
      </c>
      <c r="J2260" t="s">
        <v>1357</v>
      </c>
      <c r="K2260" t="s">
        <v>1357</v>
      </c>
      <c r="L2260" t="s">
        <v>1357</v>
      </c>
    </row>
    <row r="2261" spans="8:12">
      <c r="H2261" t="s">
        <v>4522</v>
      </c>
      <c r="I2261" t="s">
        <v>1357</v>
      </c>
      <c r="J2261" t="s">
        <v>1357</v>
      </c>
      <c r="K2261" t="s">
        <v>1357</v>
      </c>
      <c r="L2261" t="s">
        <v>1357</v>
      </c>
    </row>
    <row r="2262" spans="8:12">
      <c r="H2262" t="s">
        <v>3394</v>
      </c>
      <c r="I2262" t="s">
        <v>1357</v>
      </c>
      <c r="J2262" t="s">
        <v>1357</v>
      </c>
      <c r="K2262" t="s">
        <v>1357</v>
      </c>
      <c r="L2262" t="s">
        <v>1357</v>
      </c>
    </row>
    <row r="2263" spans="8:12">
      <c r="H2263" t="s">
        <v>4523</v>
      </c>
      <c r="I2263" t="s">
        <v>1357</v>
      </c>
      <c r="J2263" t="s">
        <v>1357</v>
      </c>
      <c r="K2263" t="s">
        <v>1357</v>
      </c>
      <c r="L2263" t="s">
        <v>1357</v>
      </c>
    </row>
    <row r="2264" spans="8:12">
      <c r="H2264" t="s">
        <v>4524</v>
      </c>
      <c r="I2264" t="s">
        <v>1357</v>
      </c>
      <c r="J2264" t="s">
        <v>1357</v>
      </c>
      <c r="K2264" t="s">
        <v>1357</v>
      </c>
      <c r="L2264" t="s">
        <v>1357</v>
      </c>
    </row>
    <row r="2265" spans="8:12">
      <c r="H2265" t="s">
        <v>4525</v>
      </c>
      <c r="I2265" t="s">
        <v>1357</v>
      </c>
      <c r="J2265" t="s">
        <v>1357</v>
      </c>
      <c r="K2265" t="s">
        <v>1357</v>
      </c>
      <c r="L2265" t="s">
        <v>1357</v>
      </c>
    </row>
    <row r="2266" spans="8:12">
      <c r="H2266" t="s">
        <v>4526</v>
      </c>
      <c r="I2266" t="s">
        <v>1357</v>
      </c>
      <c r="J2266" t="s">
        <v>1357</v>
      </c>
      <c r="K2266" t="s">
        <v>1357</v>
      </c>
      <c r="L2266" t="s">
        <v>1357</v>
      </c>
    </row>
    <row r="2267" spans="8:12">
      <c r="H2267" t="s">
        <v>4527</v>
      </c>
      <c r="I2267" t="s">
        <v>1357</v>
      </c>
      <c r="J2267" t="s">
        <v>1357</v>
      </c>
      <c r="K2267" t="s">
        <v>1357</v>
      </c>
      <c r="L2267" t="s">
        <v>1357</v>
      </c>
    </row>
    <row r="2268" spans="8:12">
      <c r="H2268" t="s">
        <v>4528</v>
      </c>
      <c r="I2268" t="s">
        <v>1357</v>
      </c>
      <c r="J2268" t="s">
        <v>1357</v>
      </c>
      <c r="K2268" t="s">
        <v>1357</v>
      </c>
      <c r="L2268" t="s">
        <v>1357</v>
      </c>
    </row>
    <row r="2269" spans="8:12">
      <c r="H2269" t="s">
        <v>4529</v>
      </c>
      <c r="I2269" t="s">
        <v>1357</v>
      </c>
      <c r="J2269" t="s">
        <v>1357</v>
      </c>
      <c r="K2269" t="s">
        <v>1357</v>
      </c>
      <c r="L2269" t="s">
        <v>1357</v>
      </c>
    </row>
    <row r="2270" spans="8:12">
      <c r="H2270" t="s">
        <v>4530</v>
      </c>
      <c r="I2270" t="s">
        <v>1357</v>
      </c>
      <c r="J2270" t="s">
        <v>1357</v>
      </c>
      <c r="K2270" t="s">
        <v>1357</v>
      </c>
      <c r="L2270" t="s">
        <v>1357</v>
      </c>
    </row>
    <row r="2271" spans="8:12">
      <c r="H2271" t="s">
        <v>4531</v>
      </c>
      <c r="I2271" t="s">
        <v>1357</v>
      </c>
      <c r="J2271" t="s">
        <v>1357</v>
      </c>
      <c r="K2271" t="s">
        <v>1357</v>
      </c>
      <c r="L2271" t="s">
        <v>1357</v>
      </c>
    </row>
    <row r="2272" spans="8:12">
      <c r="H2272" t="s">
        <v>901</v>
      </c>
      <c r="I2272" t="s">
        <v>1357</v>
      </c>
      <c r="J2272" t="s">
        <v>1357</v>
      </c>
      <c r="K2272" t="s">
        <v>1357</v>
      </c>
      <c r="L2272" t="s">
        <v>1357</v>
      </c>
    </row>
    <row r="2273" spans="1:12">
      <c r="A2273" t="s">
        <v>2090</v>
      </c>
      <c r="B2273">
        <f>HYPERLINK("https://github.com/apache/commons-math/commit/9a3b7e4797155f3a0d087f37e83a6dba94dc3305", "9a3b7e4797155f3a0d087f37e83a6dba94dc3305")</f>
        <v>0</v>
      </c>
      <c r="C2273">
        <f>HYPERLINK("https://github.com/apache/commons-math/commit/e415b2f4f3f5f4d103c249009cd313c6be011946", "e415b2f4f3f5f4d103c249009cd313c6be011946")</f>
        <v>0</v>
      </c>
      <c r="D2273" t="s">
        <v>2160</v>
      </c>
      <c r="E2273" t="s">
        <v>2374</v>
      </c>
      <c r="F2273" t="s">
        <v>2771</v>
      </c>
      <c r="G2273" t="s">
        <v>3157</v>
      </c>
      <c r="H2273" t="s">
        <v>4532</v>
      </c>
      <c r="I2273" t="s">
        <v>1357</v>
      </c>
      <c r="J2273" t="s">
        <v>1357</v>
      </c>
      <c r="K2273" t="s">
        <v>1357</v>
      </c>
      <c r="L2273" t="s">
        <v>1357</v>
      </c>
    </row>
    <row r="2274" spans="1:12">
      <c r="H2274" t="s">
        <v>4533</v>
      </c>
      <c r="I2274" t="s">
        <v>1357</v>
      </c>
      <c r="J2274" t="s">
        <v>1357</v>
      </c>
      <c r="K2274" t="s">
        <v>1357</v>
      </c>
      <c r="L2274" t="s">
        <v>1357</v>
      </c>
    </row>
    <row r="2275" spans="1:12">
      <c r="H2275" t="s">
        <v>4534</v>
      </c>
      <c r="I2275" t="s">
        <v>1357</v>
      </c>
      <c r="J2275" t="s">
        <v>1357</v>
      </c>
      <c r="K2275" t="s">
        <v>1357</v>
      </c>
      <c r="L2275" t="s">
        <v>1357</v>
      </c>
    </row>
    <row r="2276" spans="1:12">
      <c r="H2276" t="s">
        <v>4535</v>
      </c>
      <c r="I2276" t="s">
        <v>1357</v>
      </c>
      <c r="J2276" t="s">
        <v>1357</v>
      </c>
      <c r="K2276" t="s">
        <v>1357</v>
      </c>
      <c r="L2276" t="s">
        <v>1357</v>
      </c>
    </row>
    <row r="2277" spans="1:12">
      <c r="H2277" t="s">
        <v>4536</v>
      </c>
      <c r="I2277" t="s">
        <v>1357</v>
      </c>
      <c r="J2277" t="s">
        <v>1357</v>
      </c>
      <c r="K2277" t="s">
        <v>1357</v>
      </c>
      <c r="L2277" t="s">
        <v>1357</v>
      </c>
    </row>
    <row r="2278" spans="1:12">
      <c r="H2278" t="s">
        <v>4537</v>
      </c>
      <c r="I2278" t="s">
        <v>1357</v>
      </c>
      <c r="J2278" t="s">
        <v>1357</v>
      </c>
      <c r="K2278" t="s">
        <v>1357</v>
      </c>
      <c r="L2278" t="s">
        <v>1357</v>
      </c>
    </row>
    <row r="2279" spans="1:12">
      <c r="A2279" t="s">
        <v>2091</v>
      </c>
      <c r="B2279">
        <f>HYPERLINK("https://github.com/apache/commons-math/commit/ae162d77621384c10ec037d3f7da7b00c16621c2", "ae162d77621384c10ec037d3f7da7b00c16621c2")</f>
        <v>0</v>
      </c>
      <c r="C2279">
        <f>HYPERLINK("https://github.com/apache/commons-math/commit/9a3b7e4797155f3a0d087f37e83a6dba94dc3305", "9a3b7e4797155f3a0d087f37e83a6dba94dc3305")</f>
        <v>0</v>
      </c>
      <c r="D2279" t="s">
        <v>2160</v>
      </c>
      <c r="E2279" t="s">
        <v>2375</v>
      </c>
      <c r="F2279" t="s">
        <v>2772</v>
      </c>
      <c r="G2279" t="s">
        <v>3158</v>
      </c>
      <c r="H2279" t="s">
        <v>4538</v>
      </c>
      <c r="I2279" t="s">
        <v>1357</v>
      </c>
      <c r="J2279" t="s">
        <v>1357</v>
      </c>
      <c r="K2279" t="s">
        <v>1357</v>
      </c>
      <c r="L2279" t="s">
        <v>1357</v>
      </c>
    </row>
    <row r="2280" spans="1:12">
      <c r="H2280" t="s">
        <v>4539</v>
      </c>
      <c r="I2280" t="s">
        <v>1357</v>
      </c>
      <c r="J2280" t="s">
        <v>1357</v>
      </c>
      <c r="K2280" t="s">
        <v>1357</v>
      </c>
      <c r="L2280" t="s">
        <v>1357</v>
      </c>
    </row>
    <row r="2281" spans="1:12">
      <c r="H2281" t="s">
        <v>4540</v>
      </c>
      <c r="I2281" t="s">
        <v>1357</v>
      </c>
      <c r="J2281" t="s">
        <v>1357</v>
      </c>
      <c r="K2281" t="s">
        <v>1357</v>
      </c>
      <c r="L2281" t="s">
        <v>1357</v>
      </c>
    </row>
    <row r="2282" spans="1:12">
      <c r="A2282" t="s">
        <v>2092</v>
      </c>
      <c r="B2282">
        <f>HYPERLINK("https://github.com/apache/commons-math/commit/ef84681392520396745def163b692a002b269be7", "ef84681392520396745def163b692a002b269be7")</f>
        <v>0</v>
      </c>
      <c r="C2282">
        <f>HYPERLINK("https://github.com/apache/commons-math/commit/3e24c28e68e617735b25791b0bc3f67f31624ebf", "3e24c28e68e617735b25791b0bc3f67f31624ebf")</f>
        <v>0</v>
      </c>
      <c r="D2282" t="s">
        <v>2151</v>
      </c>
      <c r="E2282" t="s">
        <v>2376</v>
      </c>
      <c r="F2282" t="s">
        <v>2773</v>
      </c>
      <c r="G2282" t="s">
        <v>3159</v>
      </c>
      <c r="H2282" t="s">
        <v>4541</v>
      </c>
      <c r="I2282" t="s">
        <v>1357</v>
      </c>
      <c r="J2282" t="s">
        <v>1357</v>
      </c>
      <c r="K2282" t="s">
        <v>1357</v>
      </c>
      <c r="L2282" t="s">
        <v>1357</v>
      </c>
    </row>
    <row r="2283" spans="1:12">
      <c r="H2283" t="s">
        <v>4542</v>
      </c>
      <c r="I2283" t="s">
        <v>1357</v>
      </c>
      <c r="J2283" t="s">
        <v>1357</v>
      </c>
      <c r="K2283" t="s">
        <v>1357</v>
      </c>
      <c r="L2283" t="s">
        <v>1357</v>
      </c>
    </row>
    <row r="2284" spans="1:12">
      <c r="H2284" t="s">
        <v>4543</v>
      </c>
      <c r="I2284" t="s">
        <v>1357</v>
      </c>
      <c r="J2284" t="s">
        <v>1357</v>
      </c>
      <c r="K2284" t="s">
        <v>1357</v>
      </c>
      <c r="L2284" t="s">
        <v>1357</v>
      </c>
    </row>
    <row r="2285" spans="1:12">
      <c r="H2285" t="s">
        <v>4544</v>
      </c>
      <c r="I2285" t="s">
        <v>1357</v>
      </c>
      <c r="J2285" t="s">
        <v>1357</v>
      </c>
      <c r="K2285" t="s">
        <v>1357</v>
      </c>
      <c r="L2285" t="s">
        <v>1357</v>
      </c>
    </row>
    <row r="2286" spans="1:12">
      <c r="H2286" t="s">
        <v>4545</v>
      </c>
      <c r="I2286" t="s">
        <v>1357</v>
      </c>
      <c r="J2286" t="s">
        <v>1357</v>
      </c>
      <c r="K2286" t="s">
        <v>1357</v>
      </c>
      <c r="L2286" t="s">
        <v>1357</v>
      </c>
    </row>
    <row r="2287" spans="1:12">
      <c r="F2287" t="s">
        <v>2774</v>
      </c>
      <c r="G2287" t="s">
        <v>2918</v>
      </c>
      <c r="H2287" t="s">
        <v>4546</v>
      </c>
      <c r="I2287" t="s">
        <v>1357</v>
      </c>
      <c r="J2287" t="s">
        <v>1357</v>
      </c>
      <c r="K2287" t="s">
        <v>1357</v>
      </c>
      <c r="L2287" t="s">
        <v>1357</v>
      </c>
    </row>
    <row r="2288" spans="1:12">
      <c r="H2288" t="s">
        <v>4547</v>
      </c>
      <c r="I2288" t="s">
        <v>1357</v>
      </c>
      <c r="J2288" t="s">
        <v>1357</v>
      </c>
      <c r="K2288" t="s">
        <v>1357</v>
      </c>
      <c r="L2288" t="s">
        <v>1357</v>
      </c>
    </row>
    <row r="2289" spans="6:12">
      <c r="H2289" t="s">
        <v>4548</v>
      </c>
      <c r="I2289" t="s">
        <v>1357</v>
      </c>
      <c r="J2289" t="s">
        <v>1357</v>
      </c>
      <c r="K2289" t="s">
        <v>1357</v>
      </c>
      <c r="L2289" t="s">
        <v>1357</v>
      </c>
    </row>
    <row r="2290" spans="6:12">
      <c r="H2290" t="s">
        <v>4543</v>
      </c>
      <c r="I2290" t="s">
        <v>1357</v>
      </c>
      <c r="J2290" t="s">
        <v>1357</v>
      </c>
      <c r="K2290" t="s">
        <v>1357</v>
      </c>
      <c r="L2290" t="s">
        <v>1357</v>
      </c>
    </row>
    <row r="2291" spans="6:12">
      <c r="H2291" t="s">
        <v>4549</v>
      </c>
      <c r="I2291" t="s">
        <v>1357</v>
      </c>
      <c r="J2291" t="s">
        <v>1357</v>
      </c>
      <c r="K2291" t="s">
        <v>1357</v>
      </c>
      <c r="L2291" t="s">
        <v>1357</v>
      </c>
    </row>
    <row r="2292" spans="6:12">
      <c r="F2292" t="s">
        <v>2775</v>
      </c>
      <c r="G2292" t="s">
        <v>3160</v>
      </c>
      <c r="H2292" t="s">
        <v>4550</v>
      </c>
      <c r="I2292" t="s">
        <v>1357</v>
      </c>
      <c r="J2292" t="s">
        <v>1357</v>
      </c>
      <c r="K2292" t="s">
        <v>1357</v>
      </c>
      <c r="L2292" t="s">
        <v>1357</v>
      </c>
    </row>
    <row r="2293" spans="6:12">
      <c r="H2293" t="s">
        <v>4551</v>
      </c>
      <c r="I2293" t="s">
        <v>1357</v>
      </c>
      <c r="J2293" t="s">
        <v>1357</v>
      </c>
      <c r="K2293" t="s">
        <v>1357</v>
      </c>
      <c r="L2293" t="s">
        <v>1357</v>
      </c>
    </row>
    <row r="2294" spans="6:12">
      <c r="H2294" t="s">
        <v>4552</v>
      </c>
      <c r="I2294" t="s">
        <v>1357</v>
      </c>
      <c r="J2294" t="s">
        <v>1357</v>
      </c>
      <c r="K2294" t="s">
        <v>1357</v>
      </c>
      <c r="L2294" t="s">
        <v>1357</v>
      </c>
    </row>
    <row r="2295" spans="6:12">
      <c r="H2295" t="s">
        <v>3880</v>
      </c>
      <c r="I2295" t="s">
        <v>1357</v>
      </c>
      <c r="J2295" t="s">
        <v>1357</v>
      </c>
      <c r="K2295" t="s">
        <v>1357</v>
      </c>
      <c r="L2295" t="s">
        <v>1357</v>
      </c>
    </row>
    <row r="2296" spans="6:12">
      <c r="H2296" t="s">
        <v>4543</v>
      </c>
      <c r="I2296" t="s">
        <v>1357</v>
      </c>
      <c r="J2296" t="s">
        <v>1357</v>
      </c>
      <c r="K2296" t="s">
        <v>1357</v>
      </c>
      <c r="L2296" t="s">
        <v>1357</v>
      </c>
    </row>
    <row r="2297" spans="6:12">
      <c r="F2297" t="s">
        <v>2776</v>
      </c>
      <c r="G2297" t="s">
        <v>3161</v>
      </c>
      <c r="H2297" t="s">
        <v>4553</v>
      </c>
      <c r="I2297" t="s">
        <v>1357</v>
      </c>
      <c r="J2297" t="s">
        <v>1357</v>
      </c>
      <c r="K2297" t="s">
        <v>1357</v>
      </c>
      <c r="L2297" t="s">
        <v>1357</v>
      </c>
    </row>
    <row r="2298" spans="6:12">
      <c r="H2298" t="s">
        <v>4554</v>
      </c>
      <c r="I2298" t="s">
        <v>1357</v>
      </c>
      <c r="J2298" t="s">
        <v>1357</v>
      </c>
      <c r="K2298" t="s">
        <v>1357</v>
      </c>
      <c r="L2298" t="s">
        <v>1357</v>
      </c>
    </row>
    <row r="2299" spans="6:12">
      <c r="H2299" t="s">
        <v>4542</v>
      </c>
      <c r="I2299" t="s">
        <v>1357</v>
      </c>
      <c r="J2299" t="s">
        <v>1357</v>
      </c>
      <c r="K2299" t="s">
        <v>1357</v>
      </c>
      <c r="L2299" t="s">
        <v>1357</v>
      </c>
    </row>
    <row r="2300" spans="6:12">
      <c r="H2300" t="s">
        <v>4543</v>
      </c>
      <c r="I2300" t="s">
        <v>1357</v>
      </c>
      <c r="J2300" t="s">
        <v>1357</v>
      </c>
      <c r="K2300" t="s">
        <v>1357</v>
      </c>
      <c r="L2300" t="s">
        <v>1357</v>
      </c>
    </row>
    <row r="2301" spans="6:12">
      <c r="F2301" t="s">
        <v>2723</v>
      </c>
      <c r="G2301" t="s">
        <v>3125</v>
      </c>
      <c r="H2301" t="s">
        <v>4555</v>
      </c>
      <c r="I2301" t="s">
        <v>1357</v>
      </c>
      <c r="J2301" t="s">
        <v>1357</v>
      </c>
      <c r="K2301" t="s">
        <v>1357</v>
      </c>
      <c r="L2301" t="s">
        <v>1357</v>
      </c>
    </row>
    <row r="2302" spans="6:12">
      <c r="H2302" t="s">
        <v>4556</v>
      </c>
      <c r="I2302" t="s">
        <v>1357</v>
      </c>
      <c r="J2302" t="s">
        <v>1357</v>
      </c>
      <c r="K2302" t="s">
        <v>1357</v>
      </c>
      <c r="L2302" t="s">
        <v>1357</v>
      </c>
    </row>
    <row r="2303" spans="6:12">
      <c r="H2303" t="s">
        <v>4557</v>
      </c>
      <c r="I2303" t="s">
        <v>1357</v>
      </c>
      <c r="J2303" t="s">
        <v>1357</v>
      </c>
      <c r="K2303" t="s">
        <v>1357</v>
      </c>
      <c r="L2303" t="s">
        <v>1357</v>
      </c>
    </row>
    <row r="2304" spans="6:12">
      <c r="F2304" t="s">
        <v>2777</v>
      </c>
      <c r="G2304" t="s">
        <v>2907</v>
      </c>
      <c r="H2304" t="s">
        <v>4558</v>
      </c>
      <c r="I2304" t="s">
        <v>1357</v>
      </c>
      <c r="J2304" t="s">
        <v>1357</v>
      </c>
      <c r="K2304" t="s">
        <v>1357</v>
      </c>
      <c r="L2304" t="s">
        <v>1357</v>
      </c>
    </row>
    <row r="2305" spans="6:12">
      <c r="H2305" t="s">
        <v>4550</v>
      </c>
      <c r="I2305" t="s">
        <v>1357</v>
      </c>
      <c r="J2305" t="s">
        <v>1357</v>
      </c>
      <c r="K2305" t="s">
        <v>1357</v>
      </c>
      <c r="L2305" t="s">
        <v>1357</v>
      </c>
    </row>
    <row r="2306" spans="6:12">
      <c r="H2306" t="s">
        <v>3326</v>
      </c>
      <c r="I2306" t="s">
        <v>1357</v>
      </c>
      <c r="J2306" t="s">
        <v>1357</v>
      </c>
      <c r="K2306" t="s">
        <v>1357</v>
      </c>
      <c r="L2306" t="s">
        <v>1357</v>
      </c>
    </row>
    <row r="2307" spans="6:12">
      <c r="H2307" t="s">
        <v>4542</v>
      </c>
      <c r="I2307" t="s">
        <v>1357</v>
      </c>
      <c r="J2307" t="s">
        <v>1357</v>
      </c>
      <c r="K2307" t="s">
        <v>1357</v>
      </c>
      <c r="L2307" t="s">
        <v>1357</v>
      </c>
    </row>
    <row r="2308" spans="6:12">
      <c r="H2308" t="s">
        <v>4559</v>
      </c>
      <c r="I2308" t="s">
        <v>1357</v>
      </c>
      <c r="J2308" t="s">
        <v>1357</v>
      </c>
      <c r="K2308" t="s">
        <v>1357</v>
      </c>
      <c r="L2308" t="s">
        <v>1357</v>
      </c>
    </row>
    <row r="2309" spans="6:12">
      <c r="H2309" t="s">
        <v>3880</v>
      </c>
      <c r="I2309" t="s">
        <v>1357</v>
      </c>
      <c r="J2309" t="s">
        <v>1357</v>
      </c>
      <c r="K2309" t="s">
        <v>1357</v>
      </c>
      <c r="L2309" t="s">
        <v>1357</v>
      </c>
    </row>
    <row r="2310" spans="6:12">
      <c r="H2310" t="s">
        <v>4543</v>
      </c>
      <c r="I2310" t="s">
        <v>1357</v>
      </c>
      <c r="J2310" t="s">
        <v>1357</v>
      </c>
      <c r="K2310" t="s">
        <v>1357</v>
      </c>
      <c r="L2310" t="s">
        <v>1357</v>
      </c>
    </row>
    <row r="2311" spans="6:12">
      <c r="F2311" t="s">
        <v>2778</v>
      </c>
      <c r="G2311" t="s">
        <v>2919</v>
      </c>
      <c r="H2311" t="s">
        <v>4558</v>
      </c>
      <c r="I2311" t="s">
        <v>1357</v>
      </c>
      <c r="J2311" t="s">
        <v>1357</v>
      </c>
      <c r="K2311" t="s">
        <v>1357</v>
      </c>
      <c r="L2311" t="s">
        <v>1357</v>
      </c>
    </row>
    <row r="2312" spans="6:12">
      <c r="H2312" t="s">
        <v>4550</v>
      </c>
      <c r="I2312" t="s">
        <v>1357</v>
      </c>
      <c r="J2312" t="s">
        <v>1357</v>
      </c>
      <c r="K2312" t="s">
        <v>1357</v>
      </c>
      <c r="L2312" t="s">
        <v>1357</v>
      </c>
    </row>
    <row r="2313" spans="6:12">
      <c r="H2313" t="s">
        <v>4554</v>
      </c>
      <c r="I2313" t="s">
        <v>1357</v>
      </c>
      <c r="J2313" t="s">
        <v>1357</v>
      </c>
      <c r="K2313" t="s">
        <v>1357</v>
      </c>
      <c r="L2313" t="s">
        <v>1357</v>
      </c>
    </row>
    <row r="2314" spans="6:12">
      <c r="H2314" t="s">
        <v>3880</v>
      </c>
      <c r="I2314" t="s">
        <v>1357</v>
      </c>
      <c r="J2314" t="s">
        <v>1357</v>
      </c>
      <c r="K2314" t="s">
        <v>1357</v>
      </c>
      <c r="L2314" t="s">
        <v>1357</v>
      </c>
    </row>
    <row r="2315" spans="6:12">
      <c r="H2315" t="s">
        <v>4560</v>
      </c>
      <c r="I2315" t="s">
        <v>1357</v>
      </c>
      <c r="J2315" t="s">
        <v>1357</v>
      </c>
      <c r="K2315" t="s">
        <v>1357</v>
      </c>
      <c r="L2315" t="s">
        <v>1357</v>
      </c>
    </row>
    <row r="2316" spans="6:12">
      <c r="H2316" t="s">
        <v>4561</v>
      </c>
      <c r="I2316" t="s">
        <v>1357</v>
      </c>
      <c r="J2316" t="s">
        <v>1357</v>
      </c>
      <c r="K2316" t="s">
        <v>1357</v>
      </c>
      <c r="L2316" t="s">
        <v>1357</v>
      </c>
    </row>
    <row r="2317" spans="6:12">
      <c r="H2317" t="s">
        <v>4543</v>
      </c>
      <c r="I2317" t="s">
        <v>1357</v>
      </c>
      <c r="J2317" t="s">
        <v>1357</v>
      </c>
      <c r="K2317" t="s">
        <v>1357</v>
      </c>
      <c r="L2317" t="s">
        <v>1357</v>
      </c>
    </row>
    <row r="2318" spans="6:12">
      <c r="H2318" t="s">
        <v>4562</v>
      </c>
      <c r="I2318" t="s">
        <v>1357</v>
      </c>
      <c r="J2318" t="s">
        <v>1357</v>
      </c>
      <c r="K2318" t="s">
        <v>1357</v>
      </c>
      <c r="L2318" t="s">
        <v>1357</v>
      </c>
    </row>
    <row r="2319" spans="6:12">
      <c r="F2319" t="s">
        <v>2779</v>
      </c>
      <c r="G2319" t="s">
        <v>2905</v>
      </c>
      <c r="H2319" t="s">
        <v>4563</v>
      </c>
      <c r="I2319" t="s">
        <v>1357</v>
      </c>
      <c r="J2319" t="s">
        <v>1357</v>
      </c>
      <c r="K2319" t="s">
        <v>1357</v>
      </c>
      <c r="L2319" t="s">
        <v>1357</v>
      </c>
    </row>
    <row r="2320" spans="6:12">
      <c r="H2320" t="s">
        <v>3880</v>
      </c>
      <c r="I2320" t="s">
        <v>1357</v>
      </c>
      <c r="J2320" t="s">
        <v>1357</v>
      </c>
      <c r="K2320" t="s">
        <v>1357</v>
      </c>
      <c r="L2320" t="s">
        <v>1357</v>
      </c>
    </row>
    <row r="2321" spans="6:12">
      <c r="H2321" t="s">
        <v>3275</v>
      </c>
      <c r="I2321" t="s">
        <v>1357</v>
      </c>
      <c r="J2321" t="s">
        <v>1357</v>
      </c>
      <c r="K2321" t="s">
        <v>1357</v>
      </c>
      <c r="L2321" t="s">
        <v>1357</v>
      </c>
    </row>
    <row r="2322" spans="6:12">
      <c r="H2322" t="s">
        <v>3380</v>
      </c>
      <c r="I2322" t="s">
        <v>1357</v>
      </c>
      <c r="J2322" t="s">
        <v>1357</v>
      </c>
      <c r="K2322" t="s">
        <v>1357</v>
      </c>
      <c r="L2322" t="s">
        <v>1357</v>
      </c>
    </row>
    <row r="2323" spans="6:12">
      <c r="H2323" t="s">
        <v>4542</v>
      </c>
      <c r="I2323" t="s">
        <v>1357</v>
      </c>
      <c r="J2323" t="s">
        <v>1357</v>
      </c>
      <c r="K2323" t="s">
        <v>1357</v>
      </c>
      <c r="L2323" t="s">
        <v>1357</v>
      </c>
    </row>
    <row r="2324" spans="6:12">
      <c r="H2324" t="s">
        <v>4550</v>
      </c>
      <c r="I2324" t="s">
        <v>1357</v>
      </c>
      <c r="J2324" t="s">
        <v>1357</v>
      </c>
      <c r="K2324" t="s">
        <v>1357</v>
      </c>
      <c r="L2324" t="s">
        <v>1357</v>
      </c>
    </row>
    <row r="2325" spans="6:12">
      <c r="H2325" t="s">
        <v>4543</v>
      </c>
      <c r="I2325" t="s">
        <v>1357</v>
      </c>
      <c r="J2325" t="s">
        <v>1357</v>
      </c>
      <c r="K2325" t="s">
        <v>1357</v>
      </c>
      <c r="L2325" t="s">
        <v>1357</v>
      </c>
    </row>
    <row r="2326" spans="6:12">
      <c r="H2326" t="s">
        <v>4564</v>
      </c>
      <c r="I2326" t="s">
        <v>1357</v>
      </c>
      <c r="J2326" t="s">
        <v>1357</v>
      </c>
      <c r="K2326" t="s">
        <v>1357</v>
      </c>
      <c r="L2326" t="s">
        <v>1357</v>
      </c>
    </row>
    <row r="2327" spans="6:12">
      <c r="H2327" t="s">
        <v>4565</v>
      </c>
      <c r="I2327" t="s">
        <v>1357</v>
      </c>
      <c r="J2327" t="s">
        <v>1357</v>
      </c>
      <c r="K2327" t="s">
        <v>1357</v>
      </c>
      <c r="L2327" t="s">
        <v>1357</v>
      </c>
    </row>
    <row r="2328" spans="6:12">
      <c r="H2328" t="s">
        <v>4566</v>
      </c>
      <c r="I2328" t="s">
        <v>1357</v>
      </c>
      <c r="J2328" t="s">
        <v>1357</v>
      </c>
      <c r="K2328" t="s">
        <v>1357</v>
      </c>
      <c r="L2328" t="s">
        <v>1357</v>
      </c>
    </row>
    <row r="2329" spans="6:12">
      <c r="H2329" t="s">
        <v>4567</v>
      </c>
      <c r="I2329" t="s">
        <v>1357</v>
      </c>
      <c r="J2329" t="s">
        <v>1357</v>
      </c>
      <c r="K2329" t="s">
        <v>1357</v>
      </c>
      <c r="L2329" t="s">
        <v>1357</v>
      </c>
    </row>
    <row r="2330" spans="6:12">
      <c r="H2330" t="s">
        <v>4568</v>
      </c>
      <c r="I2330" t="s">
        <v>1357</v>
      </c>
      <c r="J2330" t="s">
        <v>1357</v>
      </c>
      <c r="K2330" t="s">
        <v>1357</v>
      </c>
      <c r="L2330" t="s">
        <v>1357</v>
      </c>
    </row>
    <row r="2331" spans="6:12">
      <c r="H2331" t="s">
        <v>4569</v>
      </c>
      <c r="I2331" t="s">
        <v>1357</v>
      </c>
      <c r="J2331" t="s">
        <v>1357</v>
      </c>
      <c r="K2331" t="s">
        <v>1357</v>
      </c>
      <c r="L2331" t="s">
        <v>1357</v>
      </c>
    </row>
    <row r="2332" spans="6:12">
      <c r="F2332" t="s">
        <v>2780</v>
      </c>
      <c r="G2332" t="s">
        <v>3162</v>
      </c>
      <c r="H2332" t="s">
        <v>4543</v>
      </c>
      <c r="I2332" t="s">
        <v>1357</v>
      </c>
      <c r="J2332" t="s">
        <v>1357</v>
      </c>
      <c r="K2332" t="s">
        <v>1357</v>
      </c>
      <c r="L2332" t="s">
        <v>1357</v>
      </c>
    </row>
    <row r="2333" spans="6:12">
      <c r="F2333" t="s">
        <v>2781</v>
      </c>
      <c r="G2333" t="s">
        <v>3163</v>
      </c>
      <c r="H2333" t="s">
        <v>3974</v>
      </c>
      <c r="I2333" t="s">
        <v>1357</v>
      </c>
      <c r="J2333" t="s">
        <v>1357</v>
      </c>
      <c r="K2333" t="s">
        <v>1357</v>
      </c>
      <c r="L2333" t="s">
        <v>1357</v>
      </c>
    </row>
    <row r="2334" spans="6:12">
      <c r="H2334" t="s">
        <v>4570</v>
      </c>
      <c r="I2334" t="s">
        <v>1357</v>
      </c>
      <c r="J2334" t="s">
        <v>1357</v>
      </c>
      <c r="K2334" t="s">
        <v>1357</v>
      </c>
      <c r="L2334" t="s">
        <v>1357</v>
      </c>
    </row>
    <row r="2335" spans="6:12">
      <c r="F2335" t="s">
        <v>2782</v>
      </c>
      <c r="G2335" t="s">
        <v>2920</v>
      </c>
      <c r="H2335" t="s">
        <v>4571</v>
      </c>
      <c r="I2335" t="s">
        <v>1357</v>
      </c>
      <c r="J2335" t="s">
        <v>1357</v>
      </c>
      <c r="K2335" t="s">
        <v>1357</v>
      </c>
      <c r="L2335" t="s">
        <v>1357</v>
      </c>
    </row>
    <row r="2336" spans="6:12">
      <c r="H2336" t="s">
        <v>4572</v>
      </c>
      <c r="I2336" t="s">
        <v>1357</v>
      </c>
      <c r="J2336" t="s">
        <v>1357</v>
      </c>
      <c r="K2336" t="s">
        <v>1357</v>
      </c>
      <c r="L2336" t="s">
        <v>1357</v>
      </c>
    </row>
    <row r="2337" spans="6:12">
      <c r="H2337" t="s">
        <v>4573</v>
      </c>
      <c r="I2337" t="s">
        <v>1357</v>
      </c>
      <c r="J2337" t="s">
        <v>1357</v>
      </c>
      <c r="K2337" t="s">
        <v>1357</v>
      </c>
      <c r="L2337" t="s">
        <v>1357</v>
      </c>
    </row>
    <row r="2338" spans="6:12">
      <c r="H2338" t="s">
        <v>3880</v>
      </c>
      <c r="I2338" t="s">
        <v>1357</v>
      </c>
      <c r="J2338" t="s">
        <v>1357</v>
      </c>
      <c r="K2338" t="s">
        <v>1357</v>
      </c>
      <c r="L2338" t="s">
        <v>1357</v>
      </c>
    </row>
    <row r="2339" spans="6:12">
      <c r="H2339" t="s">
        <v>4574</v>
      </c>
      <c r="I2339" t="s">
        <v>1357</v>
      </c>
      <c r="J2339" t="s">
        <v>1357</v>
      </c>
      <c r="K2339" t="s">
        <v>1357</v>
      </c>
      <c r="L2339" t="s">
        <v>1357</v>
      </c>
    </row>
    <row r="2340" spans="6:12">
      <c r="H2340" t="s">
        <v>4445</v>
      </c>
      <c r="I2340" t="s">
        <v>1357</v>
      </c>
      <c r="J2340" t="s">
        <v>1357</v>
      </c>
      <c r="K2340" t="s">
        <v>1357</v>
      </c>
      <c r="L2340" t="s">
        <v>1357</v>
      </c>
    </row>
    <row r="2341" spans="6:12">
      <c r="H2341" t="s">
        <v>4575</v>
      </c>
      <c r="I2341" t="s">
        <v>1357</v>
      </c>
      <c r="J2341" t="s">
        <v>1357</v>
      </c>
      <c r="K2341" t="s">
        <v>1357</v>
      </c>
      <c r="L2341" t="s">
        <v>1357</v>
      </c>
    </row>
    <row r="2342" spans="6:12">
      <c r="H2342" t="s">
        <v>4543</v>
      </c>
      <c r="I2342" t="s">
        <v>1357</v>
      </c>
      <c r="J2342" t="s">
        <v>1357</v>
      </c>
      <c r="K2342" t="s">
        <v>1357</v>
      </c>
      <c r="L2342" t="s">
        <v>1357</v>
      </c>
    </row>
    <row r="2343" spans="6:12">
      <c r="H2343" t="s">
        <v>4576</v>
      </c>
      <c r="I2343" t="s">
        <v>1357</v>
      </c>
      <c r="J2343" t="s">
        <v>1357</v>
      </c>
      <c r="K2343" t="s">
        <v>1357</v>
      </c>
      <c r="L2343" t="s">
        <v>1357</v>
      </c>
    </row>
    <row r="2344" spans="6:12">
      <c r="H2344" t="s">
        <v>4577</v>
      </c>
      <c r="I2344" t="s">
        <v>1357</v>
      </c>
      <c r="J2344" t="s">
        <v>1357</v>
      </c>
      <c r="K2344" t="s">
        <v>1357</v>
      </c>
      <c r="L2344" t="s">
        <v>1357</v>
      </c>
    </row>
    <row r="2345" spans="6:12">
      <c r="H2345" t="s">
        <v>4578</v>
      </c>
      <c r="I2345" t="s">
        <v>1357</v>
      </c>
      <c r="J2345" t="s">
        <v>1357</v>
      </c>
      <c r="K2345" t="s">
        <v>1357</v>
      </c>
      <c r="L2345" t="s">
        <v>1357</v>
      </c>
    </row>
    <row r="2346" spans="6:12">
      <c r="H2346" t="s">
        <v>4579</v>
      </c>
      <c r="I2346" t="s">
        <v>1357</v>
      </c>
      <c r="J2346" t="s">
        <v>1357</v>
      </c>
      <c r="K2346" t="s">
        <v>1357</v>
      </c>
      <c r="L2346" t="s">
        <v>1357</v>
      </c>
    </row>
    <row r="2347" spans="6:12">
      <c r="F2347" t="s">
        <v>2783</v>
      </c>
      <c r="G2347" t="s">
        <v>3164</v>
      </c>
      <c r="H2347" t="s">
        <v>3974</v>
      </c>
      <c r="I2347" t="s">
        <v>1357</v>
      </c>
      <c r="J2347" t="s">
        <v>1357</v>
      </c>
      <c r="K2347" t="s">
        <v>1357</v>
      </c>
      <c r="L2347" t="s">
        <v>1357</v>
      </c>
    </row>
    <row r="2348" spans="6:12">
      <c r="H2348" t="s">
        <v>4570</v>
      </c>
      <c r="I2348" t="s">
        <v>1357</v>
      </c>
      <c r="J2348" t="s">
        <v>1357</v>
      </c>
      <c r="K2348" t="s">
        <v>1357</v>
      </c>
      <c r="L2348" t="s">
        <v>1357</v>
      </c>
    </row>
    <row r="2349" spans="6:12">
      <c r="F2349" t="s">
        <v>2784</v>
      </c>
      <c r="G2349" t="s">
        <v>3165</v>
      </c>
      <c r="H2349" t="s">
        <v>3974</v>
      </c>
      <c r="I2349" t="s">
        <v>1357</v>
      </c>
      <c r="J2349" t="s">
        <v>1357</v>
      </c>
      <c r="K2349" t="s">
        <v>1357</v>
      </c>
      <c r="L2349" t="s">
        <v>1357</v>
      </c>
    </row>
    <row r="2350" spans="6:12">
      <c r="H2350" t="s">
        <v>4570</v>
      </c>
      <c r="I2350" t="s">
        <v>1357</v>
      </c>
      <c r="J2350" t="s">
        <v>1357</v>
      </c>
      <c r="K2350" t="s">
        <v>1357</v>
      </c>
      <c r="L2350" t="s">
        <v>1357</v>
      </c>
    </row>
    <row r="2351" spans="6:12">
      <c r="F2351" t="s">
        <v>2785</v>
      </c>
      <c r="G2351" t="s">
        <v>3166</v>
      </c>
      <c r="H2351" t="s">
        <v>4580</v>
      </c>
      <c r="I2351" t="s">
        <v>1357</v>
      </c>
      <c r="J2351" t="s">
        <v>1357</v>
      </c>
      <c r="K2351" t="s">
        <v>1357</v>
      </c>
      <c r="L2351" t="s">
        <v>1357</v>
      </c>
    </row>
    <row r="2352" spans="6:12">
      <c r="H2352" t="s">
        <v>4550</v>
      </c>
      <c r="I2352" t="s">
        <v>1357</v>
      </c>
      <c r="J2352" t="s">
        <v>1357</v>
      </c>
      <c r="K2352" t="s">
        <v>1357</v>
      </c>
      <c r="L2352" t="s">
        <v>1357</v>
      </c>
    </row>
    <row r="2353" spans="6:12">
      <c r="H2353" t="s">
        <v>4581</v>
      </c>
      <c r="I2353" t="s">
        <v>1357</v>
      </c>
      <c r="J2353" t="s">
        <v>1357</v>
      </c>
      <c r="K2353" t="s">
        <v>1357</v>
      </c>
      <c r="L2353" t="s">
        <v>1357</v>
      </c>
    </row>
    <row r="2354" spans="6:12">
      <c r="H2354" t="s">
        <v>4582</v>
      </c>
      <c r="I2354" t="s">
        <v>1357</v>
      </c>
      <c r="J2354" t="s">
        <v>1357</v>
      </c>
      <c r="K2354" t="s">
        <v>1357</v>
      </c>
      <c r="L2354" t="s">
        <v>1357</v>
      </c>
    </row>
    <row r="2355" spans="6:12">
      <c r="H2355" t="s">
        <v>3880</v>
      </c>
      <c r="I2355" t="s">
        <v>1357</v>
      </c>
      <c r="J2355" t="s">
        <v>1357</v>
      </c>
      <c r="K2355" t="s">
        <v>1357</v>
      </c>
      <c r="L2355" t="s">
        <v>1357</v>
      </c>
    </row>
    <row r="2356" spans="6:12">
      <c r="H2356" t="s">
        <v>4542</v>
      </c>
      <c r="I2356" t="s">
        <v>1357</v>
      </c>
      <c r="J2356" t="s">
        <v>1357</v>
      </c>
      <c r="K2356" t="s">
        <v>1357</v>
      </c>
      <c r="L2356" t="s">
        <v>1357</v>
      </c>
    </row>
    <row r="2357" spans="6:12">
      <c r="H2357" t="s">
        <v>4583</v>
      </c>
      <c r="I2357" t="s">
        <v>1357</v>
      </c>
      <c r="J2357" t="s">
        <v>1357</v>
      </c>
      <c r="K2357" t="s">
        <v>1357</v>
      </c>
      <c r="L2357" t="s">
        <v>1357</v>
      </c>
    </row>
    <row r="2358" spans="6:12">
      <c r="H2358" t="s">
        <v>4556</v>
      </c>
      <c r="I2358" t="s">
        <v>1357</v>
      </c>
      <c r="J2358" t="s">
        <v>1357</v>
      </c>
      <c r="K2358" t="s">
        <v>1357</v>
      </c>
      <c r="L2358" t="s">
        <v>1357</v>
      </c>
    </row>
    <row r="2359" spans="6:12">
      <c r="H2359" t="s">
        <v>4584</v>
      </c>
      <c r="I2359" t="s">
        <v>1357</v>
      </c>
      <c r="J2359" t="s">
        <v>1357</v>
      </c>
      <c r="K2359" t="s">
        <v>1357</v>
      </c>
      <c r="L2359" t="s">
        <v>1357</v>
      </c>
    </row>
    <row r="2360" spans="6:12">
      <c r="F2360" t="s">
        <v>2786</v>
      </c>
      <c r="G2360" t="s">
        <v>3167</v>
      </c>
      <c r="H2360" t="s">
        <v>3974</v>
      </c>
      <c r="I2360" t="s">
        <v>1357</v>
      </c>
      <c r="J2360" t="s">
        <v>1357</v>
      </c>
      <c r="K2360" t="s">
        <v>1357</v>
      </c>
      <c r="L2360" t="s">
        <v>1357</v>
      </c>
    </row>
    <row r="2361" spans="6:12">
      <c r="H2361" t="s">
        <v>4570</v>
      </c>
      <c r="I2361" t="s">
        <v>1357</v>
      </c>
      <c r="J2361" t="s">
        <v>1357</v>
      </c>
      <c r="K2361" t="s">
        <v>1357</v>
      </c>
      <c r="L2361" t="s">
        <v>1357</v>
      </c>
    </row>
    <row r="2362" spans="6:12">
      <c r="F2362" t="s">
        <v>2787</v>
      </c>
      <c r="G2362" t="s">
        <v>3168</v>
      </c>
      <c r="H2362" t="s">
        <v>3974</v>
      </c>
      <c r="I2362" t="s">
        <v>1357</v>
      </c>
      <c r="J2362" t="s">
        <v>1357</v>
      </c>
      <c r="K2362" t="s">
        <v>1357</v>
      </c>
      <c r="L2362" t="s">
        <v>1357</v>
      </c>
    </row>
    <row r="2363" spans="6:12">
      <c r="H2363" t="s">
        <v>4570</v>
      </c>
      <c r="I2363" t="s">
        <v>1357</v>
      </c>
      <c r="J2363" t="s">
        <v>1357</v>
      </c>
      <c r="K2363" t="s">
        <v>1357</v>
      </c>
      <c r="L2363" t="s">
        <v>1357</v>
      </c>
    </row>
    <row r="2364" spans="6:12">
      <c r="F2364" t="s">
        <v>2788</v>
      </c>
      <c r="G2364" t="s">
        <v>2942</v>
      </c>
      <c r="H2364" t="s">
        <v>4580</v>
      </c>
      <c r="I2364" t="s">
        <v>1357</v>
      </c>
      <c r="J2364" t="s">
        <v>1357</v>
      </c>
      <c r="K2364" t="s">
        <v>1357</v>
      </c>
      <c r="L2364" t="s">
        <v>1357</v>
      </c>
    </row>
    <row r="2365" spans="6:12">
      <c r="H2365" t="s">
        <v>4550</v>
      </c>
      <c r="I2365" t="s">
        <v>1357</v>
      </c>
      <c r="J2365" t="s">
        <v>1357</v>
      </c>
      <c r="K2365" t="s">
        <v>1357</v>
      </c>
      <c r="L2365" t="s">
        <v>1357</v>
      </c>
    </row>
    <row r="2366" spans="6:12">
      <c r="H2366" t="s">
        <v>4585</v>
      </c>
      <c r="I2366" t="s">
        <v>1357</v>
      </c>
      <c r="J2366" t="s">
        <v>1357</v>
      </c>
      <c r="K2366" t="s">
        <v>1357</v>
      </c>
      <c r="L2366" t="s">
        <v>1357</v>
      </c>
    </row>
    <row r="2367" spans="6:12">
      <c r="H2367" t="s">
        <v>3523</v>
      </c>
      <c r="I2367" t="s">
        <v>1357</v>
      </c>
      <c r="J2367" t="s">
        <v>1357</v>
      </c>
      <c r="K2367" t="s">
        <v>1357</v>
      </c>
      <c r="L2367" t="s">
        <v>1357</v>
      </c>
    </row>
    <row r="2368" spans="6:12">
      <c r="H2368" t="s">
        <v>3525</v>
      </c>
      <c r="I2368" t="s">
        <v>1357</v>
      </c>
      <c r="J2368" t="s">
        <v>1357</v>
      </c>
      <c r="K2368" t="s">
        <v>1357</v>
      </c>
      <c r="L2368" t="s">
        <v>1357</v>
      </c>
    </row>
    <row r="2369" spans="6:12">
      <c r="H2369" t="s">
        <v>3880</v>
      </c>
      <c r="I2369" t="s">
        <v>1357</v>
      </c>
      <c r="J2369" t="s">
        <v>1357</v>
      </c>
      <c r="K2369" t="s">
        <v>1357</v>
      </c>
      <c r="L2369" t="s">
        <v>1357</v>
      </c>
    </row>
    <row r="2370" spans="6:12">
      <c r="H2370" t="s">
        <v>4542</v>
      </c>
      <c r="I2370" t="s">
        <v>1357</v>
      </c>
      <c r="J2370" t="s">
        <v>1357</v>
      </c>
      <c r="K2370" t="s">
        <v>1357</v>
      </c>
      <c r="L2370" t="s">
        <v>1357</v>
      </c>
    </row>
    <row r="2371" spans="6:12">
      <c r="H2371" t="s">
        <v>4583</v>
      </c>
      <c r="I2371" t="s">
        <v>1357</v>
      </c>
      <c r="J2371" t="s">
        <v>1357</v>
      </c>
      <c r="K2371" t="s">
        <v>1357</v>
      </c>
      <c r="L2371" t="s">
        <v>1357</v>
      </c>
    </row>
    <row r="2372" spans="6:12">
      <c r="H2372" t="s">
        <v>4586</v>
      </c>
      <c r="I2372" t="s">
        <v>1357</v>
      </c>
      <c r="J2372" t="s">
        <v>1357</v>
      </c>
      <c r="K2372" t="s">
        <v>1357</v>
      </c>
      <c r="L2372" t="s">
        <v>1357</v>
      </c>
    </row>
    <row r="2373" spans="6:12">
      <c r="H2373" t="s">
        <v>4543</v>
      </c>
      <c r="I2373" t="s">
        <v>1357</v>
      </c>
      <c r="J2373" t="s">
        <v>1357</v>
      </c>
      <c r="K2373" t="s">
        <v>1357</v>
      </c>
      <c r="L2373" t="s">
        <v>1357</v>
      </c>
    </row>
    <row r="2374" spans="6:12">
      <c r="F2374" t="s">
        <v>2789</v>
      </c>
      <c r="G2374" t="s">
        <v>3169</v>
      </c>
      <c r="H2374" t="s">
        <v>4580</v>
      </c>
      <c r="I2374" t="s">
        <v>1357</v>
      </c>
      <c r="J2374" t="s">
        <v>1357</v>
      </c>
      <c r="K2374" t="s">
        <v>1357</v>
      </c>
      <c r="L2374" t="s">
        <v>1357</v>
      </c>
    </row>
    <row r="2375" spans="6:12">
      <c r="H2375" t="s">
        <v>4550</v>
      </c>
      <c r="I2375" t="s">
        <v>1357</v>
      </c>
      <c r="J2375" t="s">
        <v>1357</v>
      </c>
      <c r="K2375" t="s">
        <v>1357</v>
      </c>
      <c r="L2375" t="s">
        <v>1357</v>
      </c>
    </row>
    <row r="2376" spans="6:12">
      <c r="H2376" t="s">
        <v>4581</v>
      </c>
      <c r="I2376" t="s">
        <v>1357</v>
      </c>
      <c r="J2376" t="s">
        <v>1357</v>
      </c>
      <c r="K2376" t="s">
        <v>1357</v>
      </c>
      <c r="L2376" t="s">
        <v>1357</v>
      </c>
    </row>
    <row r="2377" spans="6:12">
      <c r="H2377" t="s">
        <v>4582</v>
      </c>
      <c r="I2377" t="s">
        <v>1357</v>
      </c>
      <c r="J2377" t="s">
        <v>1357</v>
      </c>
      <c r="K2377" t="s">
        <v>1357</v>
      </c>
      <c r="L2377" t="s">
        <v>1357</v>
      </c>
    </row>
    <row r="2378" spans="6:12">
      <c r="H2378" t="s">
        <v>3880</v>
      </c>
      <c r="I2378" t="s">
        <v>1357</v>
      </c>
      <c r="J2378" t="s">
        <v>1357</v>
      </c>
      <c r="K2378" t="s">
        <v>1357</v>
      </c>
      <c r="L2378" t="s">
        <v>1357</v>
      </c>
    </row>
    <row r="2379" spans="6:12">
      <c r="H2379" t="s">
        <v>4542</v>
      </c>
      <c r="I2379" t="s">
        <v>1357</v>
      </c>
      <c r="J2379" t="s">
        <v>1357</v>
      </c>
      <c r="K2379" t="s">
        <v>1357</v>
      </c>
      <c r="L2379" t="s">
        <v>1357</v>
      </c>
    </row>
    <row r="2380" spans="6:12">
      <c r="H2380" t="s">
        <v>4583</v>
      </c>
      <c r="I2380" t="s">
        <v>1357</v>
      </c>
      <c r="J2380" t="s">
        <v>1357</v>
      </c>
      <c r="K2380" t="s">
        <v>1357</v>
      </c>
      <c r="L2380" t="s">
        <v>1357</v>
      </c>
    </row>
    <row r="2381" spans="6:12">
      <c r="H2381" t="s">
        <v>4556</v>
      </c>
      <c r="I2381" t="s">
        <v>1357</v>
      </c>
      <c r="J2381" t="s">
        <v>1357</v>
      </c>
      <c r="K2381" t="s">
        <v>1357</v>
      </c>
      <c r="L2381" t="s">
        <v>1357</v>
      </c>
    </row>
    <row r="2382" spans="6:12">
      <c r="F2382" t="s">
        <v>2790</v>
      </c>
      <c r="G2382" t="s">
        <v>3170</v>
      </c>
      <c r="H2382" t="s">
        <v>4546</v>
      </c>
      <c r="I2382" t="s">
        <v>1357</v>
      </c>
      <c r="J2382" t="s">
        <v>1357</v>
      </c>
      <c r="K2382" t="s">
        <v>1357</v>
      </c>
      <c r="L2382" t="s">
        <v>1357</v>
      </c>
    </row>
    <row r="2383" spans="6:12">
      <c r="H2383" t="s">
        <v>4547</v>
      </c>
      <c r="I2383" t="s">
        <v>1357</v>
      </c>
      <c r="J2383" t="s">
        <v>1357</v>
      </c>
      <c r="K2383" t="s">
        <v>1357</v>
      </c>
      <c r="L2383" t="s">
        <v>1357</v>
      </c>
    </row>
    <row r="2384" spans="6:12">
      <c r="H2384" t="s">
        <v>4543</v>
      </c>
      <c r="I2384" t="s">
        <v>1357</v>
      </c>
      <c r="J2384" t="s">
        <v>1357</v>
      </c>
      <c r="K2384" t="s">
        <v>1357</v>
      </c>
      <c r="L2384" t="s">
        <v>1357</v>
      </c>
    </row>
    <row r="2385" spans="6:12">
      <c r="F2385" t="s">
        <v>2791</v>
      </c>
      <c r="G2385" t="s">
        <v>3171</v>
      </c>
      <c r="H2385" t="s">
        <v>4587</v>
      </c>
      <c r="I2385" t="s">
        <v>1357</v>
      </c>
      <c r="J2385" t="s">
        <v>1357</v>
      </c>
      <c r="K2385" t="s">
        <v>1357</v>
      </c>
      <c r="L2385" t="s">
        <v>1357</v>
      </c>
    </row>
    <row r="2386" spans="6:12">
      <c r="H2386" t="s">
        <v>4588</v>
      </c>
      <c r="I2386" t="s">
        <v>1357</v>
      </c>
      <c r="J2386" t="s">
        <v>1357</v>
      </c>
      <c r="K2386" t="s">
        <v>1357</v>
      </c>
      <c r="L2386" t="s">
        <v>1357</v>
      </c>
    </row>
    <row r="2387" spans="6:12">
      <c r="H2387" t="s">
        <v>4589</v>
      </c>
      <c r="I2387" t="s">
        <v>1357</v>
      </c>
      <c r="J2387" t="s">
        <v>1357</v>
      </c>
      <c r="K2387" t="s">
        <v>1357</v>
      </c>
      <c r="L2387" t="s">
        <v>1357</v>
      </c>
    </row>
    <row r="2388" spans="6:12">
      <c r="H2388" t="s">
        <v>4590</v>
      </c>
      <c r="I2388" t="s">
        <v>1357</v>
      </c>
      <c r="J2388" t="s">
        <v>1357</v>
      </c>
      <c r="K2388" t="s">
        <v>1357</v>
      </c>
      <c r="L2388" t="s">
        <v>1357</v>
      </c>
    </row>
    <row r="2389" spans="6:12">
      <c r="H2389" t="s">
        <v>4591</v>
      </c>
      <c r="I2389" t="s">
        <v>1357</v>
      </c>
      <c r="J2389" t="s">
        <v>1357</v>
      </c>
      <c r="K2389" t="s">
        <v>1357</v>
      </c>
      <c r="L2389" t="s">
        <v>1357</v>
      </c>
    </row>
    <row r="2390" spans="6:12">
      <c r="H2390" t="s">
        <v>4592</v>
      </c>
      <c r="I2390" t="s">
        <v>1357</v>
      </c>
      <c r="J2390" t="s">
        <v>1357</v>
      </c>
      <c r="K2390" t="s">
        <v>1357</v>
      </c>
      <c r="L2390" t="s">
        <v>1357</v>
      </c>
    </row>
    <row r="2391" spans="6:12">
      <c r="H2391" t="s">
        <v>4593</v>
      </c>
      <c r="I2391" t="s">
        <v>1357</v>
      </c>
      <c r="J2391" t="s">
        <v>1357</v>
      </c>
      <c r="K2391" t="s">
        <v>1357</v>
      </c>
      <c r="L2391" t="s">
        <v>1357</v>
      </c>
    </row>
    <row r="2392" spans="6:12">
      <c r="H2392" t="s">
        <v>4543</v>
      </c>
      <c r="I2392" t="s">
        <v>1357</v>
      </c>
      <c r="J2392" t="s">
        <v>1357</v>
      </c>
      <c r="K2392" t="s">
        <v>1357</v>
      </c>
      <c r="L2392" t="s">
        <v>1357</v>
      </c>
    </row>
    <row r="2393" spans="6:12">
      <c r="F2393" t="s">
        <v>2792</v>
      </c>
      <c r="G2393" t="s">
        <v>2921</v>
      </c>
      <c r="H2393" t="s">
        <v>4594</v>
      </c>
      <c r="I2393" t="s">
        <v>1357</v>
      </c>
      <c r="J2393" t="s">
        <v>1357</v>
      </c>
      <c r="K2393" t="s">
        <v>1357</v>
      </c>
      <c r="L2393" t="s">
        <v>1357</v>
      </c>
    </row>
    <row r="2394" spans="6:12">
      <c r="H2394" t="s">
        <v>4553</v>
      </c>
      <c r="I2394" t="s">
        <v>1357</v>
      </c>
      <c r="J2394" t="s">
        <v>1357</v>
      </c>
      <c r="K2394" t="s">
        <v>1357</v>
      </c>
      <c r="L2394" t="s">
        <v>1357</v>
      </c>
    </row>
    <row r="2395" spans="6:12">
      <c r="H2395" t="s">
        <v>4550</v>
      </c>
      <c r="I2395" t="s">
        <v>1357</v>
      </c>
      <c r="J2395" t="s">
        <v>1357</v>
      </c>
      <c r="K2395" t="s">
        <v>1357</v>
      </c>
      <c r="L2395" t="s">
        <v>1357</v>
      </c>
    </row>
    <row r="2396" spans="6:12">
      <c r="H2396" t="s">
        <v>4595</v>
      </c>
      <c r="I2396" t="s">
        <v>1357</v>
      </c>
      <c r="J2396" t="s">
        <v>1357</v>
      </c>
      <c r="K2396" t="s">
        <v>1357</v>
      </c>
      <c r="L2396" t="s">
        <v>1357</v>
      </c>
    </row>
    <row r="2397" spans="6:12">
      <c r="H2397" t="s">
        <v>4554</v>
      </c>
      <c r="I2397" t="s">
        <v>1357</v>
      </c>
      <c r="J2397" t="s">
        <v>1357</v>
      </c>
      <c r="K2397" t="s">
        <v>1357</v>
      </c>
      <c r="L2397" t="s">
        <v>1357</v>
      </c>
    </row>
    <row r="2398" spans="6:12">
      <c r="H2398" t="s">
        <v>3880</v>
      </c>
      <c r="I2398" t="s">
        <v>1357</v>
      </c>
      <c r="J2398" t="s">
        <v>1357</v>
      </c>
      <c r="K2398" t="s">
        <v>1357</v>
      </c>
      <c r="L2398" t="s">
        <v>1357</v>
      </c>
    </row>
    <row r="2399" spans="6:12">
      <c r="H2399" t="s">
        <v>4543</v>
      </c>
      <c r="I2399" t="s">
        <v>1357</v>
      </c>
      <c r="J2399" t="s">
        <v>1357</v>
      </c>
      <c r="K2399" t="s">
        <v>1357</v>
      </c>
      <c r="L2399" t="s">
        <v>1357</v>
      </c>
    </row>
    <row r="2400" spans="6:12">
      <c r="H2400" t="s">
        <v>4596</v>
      </c>
      <c r="I2400" t="s">
        <v>1357</v>
      </c>
      <c r="J2400" t="s">
        <v>1357</v>
      </c>
      <c r="K2400" t="s">
        <v>1357</v>
      </c>
      <c r="L2400" t="s">
        <v>1357</v>
      </c>
    </row>
    <row r="2401" spans="6:12">
      <c r="F2401" t="s">
        <v>2793</v>
      </c>
      <c r="G2401" t="s">
        <v>3172</v>
      </c>
      <c r="H2401" t="s">
        <v>4597</v>
      </c>
      <c r="I2401" t="s">
        <v>1357</v>
      </c>
      <c r="J2401" t="s">
        <v>1357</v>
      </c>
      <c r="K2401" t="s">
        <v>1357</v>
      </c>
      <c r="L2401" t="s">
        <v>1357</v>
      </c>
    </row>
    <row r="2402" spans="6:12">
      <c r="H2402" t="s">
        <v>4598</v>
      </c>
      <c r="I2402" t="s">
        <v>1357</v>
      </c>
      <c r="J2402" t="s">
        <v>1357</v>
      </c>
      <c r="K2402" t="s">
        <v>1357</v>
      </c>
      <c r="L2402" t="s">
        <v>1357</v>
      </c>
    </row>
    <row r="2403" spans="6:12">
      <c r="H2403" t="s">
        <v>4158</v>
      </c>
      <c r="I2403" t="s">
        <v>1357</v>
      </c>
      <c r="J2403" t="s">
        <v>1357</v>
      </c>
      <c r="K2403" t="s">
        <v>1357</v>
      </c>
      <c r="L2403" t="s">
        <v>1357</v>
      </c>
    </row>
    <row r="2404" spans="6:12">
      <c r="H2404" t="s">
        <v>4599</v>
      </c>
      <c r="I2404" t="s">
        <v>1357</v>
      </c>
      <c r="J2404" t="s">
        <v>1357</v>
      </c>
      <c r="K2404" t="s">
        <v>1357</v>
      </c>
      <c r="L2404" t="s">
        <v>1357</v>
      </c>
    </row>
    <row r="2405" spans="6:12">
      <c r="H2405" t="s">
        <v>4600</v>
      </c>
      <c r="I2405" t="s">
        <v>1357</v>
      </c>
      <c r="J2405" t="s">
        <v>1357</v>
      </c>
      <c r="K2405" t="s">
        <v>1357</v>
      </c>
      <c r="L2405" t="s">
        <v>1357</v>
      </c>
    </row>
    <row r="2406" spans="6:12">
      <c r="H2406" t="s">
        <v>4601</v>
      </c>
      <c r="I2406" t="s">
        <v>1357</v>
      </c>
      <c r="J2406" t="s">
        <v>1357</v>
      </c>
      <c r="K2406" t="s">
        <v>1357</v>
      </c>
      <c r="L2406" t="s">
        <v>1357</v>
      </c>
    </row>
    <row r="2407" spans="6:12">
      <c r="H2407" t="s">
        <v>4556</v>
      </c>
      <c r="I2407" t="s">
        <v>1357</v>
      </c>
      <c r="J2407" t="s">
        <v>1357</v>
      </c>
      <c r="K2407" t="s">
        <v>1357</v>
      </c>
      <c r="L2407" t="s">
        <v>1357</v>
      </c>
    </row>
    <row r="2408" spans="6:12">
      <c r="F2408" t="s">
        <v>2794</v>
      </c>
      <c r="G2408" t="s">
        <v>3173</v>
      </c>
      <c r="H2408" t="s">
        <v>4543</v>
      </c>
      <c r="I2408" t="s">
        <v>1357</v>
      </c>
      <c r="J2408" t="s">
        <v>1357</v>
      </c>
      <c r="K2408" t="s">
        <v>1357</v>
      </c>
      <c r="L2408" t="s">
        <v>1357</v>
      </c>
    </row>
    <row r="2409" spans="6:12">
      <c r="H2409" t="s">
        <v>4602</v>
      </c>
      <c r="I2409" t="s">
        <v>1357</v>
      </c>
      <c r="J2409" t="s">
        <v>1357</v>
      </c>
      <c r="K2409" t="s">
        <v>1357</v>
      </c>
      <c r="L2409" t="s">
        <v>1357</v>
      </c>
    </row>
    <row r="2410" spans="6:12">
      <c r="H2410" t="s">
        <v>4603</v>
      </c>
      <c r="I2410" t="s">
        <v>1357</v>
      </c>
      <c r="J2410" t="s">
        <v>1357</v>
      </c>
      <c r="K2410" t="s">
        <v>1357</v>
      </c>
      <c r="L2410" t="s">
        <v>1357</v>
      </c>
    </row>
    <row r="2411" spans="6:12">
      <c r="H2411" t="s">
        <v>4604</v>
      </c>
      <c r="I2411" t="s">
        <v>1357</v>
      </c>
      <c r="J2411" t="s">
        <v>1357</v>
      </c>
      <c r="K2411" t="s">
        <v>1357</v>
      </c>
      <c r="L2411" t="s">
        <v>1357</v>
      </c>
    </row>
    <row r="2412" spans="6:12">
      <c r="F2412" t="s">
        <v>2795</v>
      </c>
      <c r="G2412" t="s">
        <v>3174</v>
      </c>
      <c r="H2412" t="s">
        <v>4597</v>
      </c>
      <c r="I2412" t="s">
        <v>1357</v>
      </c>
      <c r="J2412" t="s">
        <v>1357</v>
      </c>
      <c r="K2412" t="s">
        <v>1357</v>
      </c>
      <c r="L2412" t="s">
        <v>1357</v>
      </c>
    </row>
    <row r="2413" spans="6:12">
      <c r="H2413" t="s">
        <v>4598</v>
      </c>
      <c r="I2413" t="s">
        <v>1357</v>
      </c>
      <c r="J2413" t="s">
        <v>1357</v>
      </c>
      <c r="K2413" t="s">
        <v>1357</v>
      </c>
      <c r="L2413" t="s">
        <v>1357</v>
      </c>
    </row>
    <row r="2414" spans="6:12">
      <c r="H2414" t="s">
        <v>4158</v>
      </c>
      <c r="I2414" t="s">
        <v>1357</v>
      </c>
      <c r="J2414" t="s">
        <v>1357</v>
      </c>
      <c r="K2414" t="s">
        <v>1357</v>
      </c>
      <c r="L2414" t="s">
        <v>1357</v>
      </c>
    </row>
    <row r="2415" spans="6:12">
      <c r="H2415" t="s">
        <v>4599</v>
      </c>
      <c r="I2415" t="s">
        <v>1357</v>
      </c>
      <c r="J2415" t="s">
        <v>1357</v>
      </c>
      <c r="K2415" t="s">
        <v>1357</v>
      </c>
      <c r="L2415" t="s">
        <v>1357</v>
      </c>
    </row>
    <row r="2416" spans="6:12">
      <c r="H2416" t="s">
        <v>4556</v>
      </c>
      <c r="I2416" t="s">
        <v>1357</v>
      </c>
      <c r="J2416" t="s">
        <v>1357</v>
      </c>
      <c r="K2416" t="s">
        <v>1357</v>
      </c>
      <c r="L2416" t="s">
        <v>1357</v>
      </c>
    </row>
    <row r="2417" spans="1:14">
      <c r="H2417" t="s">
        <v>4605</v>
      </c>
      <c r="I2417" t="s">
        <v>1357</v>
      </c>
      <c r="J2417" t="s">
        <v>1357</v>
      </c>
      <c r="K2417" t="s">
        <v>1357</v>
      </c>
      <c r="L2417" t="s">
        <v>1357</v>
      </c>
    </row>
    <row r="2418" spans="1:14">
      <c r="F2418" t="s">
        <v>2796</v>
      </c>
      <c r="G2418" t="s">
        <v>3020</v>
      </c>
      <c r="H2418" t="s">
        <v>4606</v>
      </c>
      <c r="I2418" t="s">
        <v>1357</v>
      </c>
      <c r="J2418" t="s">
        <v>1357</v>
      </c>
      <c r="K2418" t="s">
        <v>1357</v>
      </c>
      <c r="L2418" t="s">
        <v>1357</v>
      </c>
    </row>
    <row r="2419" spans="1:14">
      <c r="H2419" t="s">
        <v>4550</v>
      </c>
      <c r="I2419" t="s">
        <v>1357</v>
      </c>
      <c r="J2419" t="s">
        <v>1357</v>
      </c>
      <c r="K2419" t="s">
        <v>1357</v>
      </c>
      <c r="L2419" t="s">
        <v>1357</v>
      </c>
    </row>
    <row r="2420" spans="1:14">
      <c r="H2420" t="s">
        <v>4607</v>
      </c>
      <c r="I2420" t="s">
        <v>1357</v>
      </c>
      <c r="J2420" t="s">
        <v>1357</v>
      </c>
      <c r="K2420" t="s">
        <v>1357</v>
      </c>
      <c r="L2420" t="s">
        <v>1357</v>
      </c>
    </row>
    <row r="2421" spans="1:14">
      <c r="H2421" t="s">
        <v>4608</v>
      </c>
      <c r="I2421" t="s">
        <v>1357</v>
      </c>
      <c r="J2421" t="s">
        <v>1357</v>
      </c>
      <c r="K2421" t="s">
        <v>1357</v>
      </c>
      <c r="L2421" t="s">
        <v>1357</v>
      </c>
    </row>
    <row r="2422" spans="1:14">
      <c r="H2422" t="s">
        <v>4543</v>
      </c>
      <c r="I2422" t="s">
        <v>1357</v>
      </c>
      <c r="J2422" t="s">
        <v>1357</v>
      </c>
      <c r="K2422" t="s">
        <v>1357</v>
      </c>
      <c r="L2422" t="s">
        <v>1357</v>
      </c>
    </row>
    <row r="2423" spans="1:14">
      <c r="F2423" t="s">
        <v>2719</v>
      </c>
      <c r="G2423" t="s">
        <v>3052</v>
      </c>
      <c r="H2423" t="s">
        <v>4158</v>
      </c>
      <c r="I2423" t="s">
        <v>1357</v>
      </c>
      <c r="J2423" t="s">
        <v>1357</v>
      </c>
      <c r="K2423" t="s">
        <v>1357</v>
      </c>
      <c r="L2423" t="s">
        <v>1357</v>
      </c>
    </row>
    <row r="2424" spans="1:14">
      <c r="H2424" t="s">
        <v>4599</v>
      </c>
      <c r="I2424" t="s">
        <v>1357</v>
      </c>
      <c r="J2424" t="s">
        <v>1357</v>
      </c>
      <c r="K2424" t="s">
        <v>1357</v>
      </c>
      <c r="L2424" t="s">
        <v>1357</v>
      </c>
    </row>
    <row r="2425" spans="1:14">
      <c r="H2425" t="s">
        <v>4543</v>
      </c>
      <c r="I2425" t="s">
        <v>1357</v>
      </c>
      <c r="J2425" t="s">
        <v>1357</v>
      </c>
      <c r="K2425" t="s">
        <v>1357</v>
      </c>
      <c r="L2425" t="s">
        <v>1357</v>
      </c>
    </row>
    <row r="2426" spans="1:14">
      <c r="H2426" t="s">
        <v>4609</v>
      </c>
      <c r="I2426" t="s">
        <v>1357</v>
      </c>
      <c r="J2426" t="s">
        <v>1357</v>
      </c>
      <c r="K2426" t="s">
        <v>1357</v>
      </c>
      <c r="L2426" t="s">
        <v>1357</v>
      </c>
    </row>
    <row r="2427" spans="1:14">
      <c r="A2427" t="s">
        <v>2093</v>
      </c>
      <c r="B2427">
        <f>HYPERLINK("https://github.com/apache/commons-math/commit/24d3dd8ba7032bc4590b82a99ff37713fb3cc5bb", "24d3dd8ba7032bc4590b82a99ff37713fb3cc5bb")</f>
        <v>0</v>
      </c>
      <c r="C2427">
        <f>HYPERLINK("https://github.com/apache/commons-math/commit/1b99b4583c552e0ece96349b4cb56b3584ad2b42", "1b99b4583c552e0ece96349b4cb56b3584ad2b42")</f>
        <v>0</v>
      </c>
      <c r="D2427" t="s">
        <v>2161</v>
      </c>
      <c r="E2427" t="s">
        <v>2377</v>
      </c>
      <c r="F2427" t="s">
        <v>2797</v>
      </c>
      <c r="G2427" t="s">
        <v>3175</v>
      </c>
      <c r="H2427" t="s">
        <v>4610</v>
      </c>
      <c r="I2427" t="s">
        <v>1357</v>
      </c>
      <c r="J2427" t="s">
        <v>1357</v>
      </c>
      <c r="K2427" t="s">
        <v>1357</v>
      </c>
      <c r="L2427" t="s">
        <v>1357</v>
      </c>
    </row>
    <row r="2428" spans="1:14">
      <c r="H2428" t="s">
        <v>4611</v>
      </c>
      <c r="I2428" t="s">
        <v>1358</v>
      </c>
      <c r="J2428" t="s">
        <v>1358</v>
      </c>
      <c r="K2428" t="s">
        <v>1358</v>
      </c>
      <c r="L2428" t="s">
        <v>1358</v>
      </c>
      <c r="N2428" t="s">
        <v>5115</v>
      </c>
    </row>
    <row r="2429" spans="1:14">
      <c r="A2429" t="s">
        <v>2094</v>
      </c>
      <c r="B2429">
        <f>HYPERLINK("https://github.com/apache/commons-math/commit/b295635a87da0c20e5e2495103d4877ef0187d4d", "b295635a87da0c20e5e2495103d4877ef0187d4d")</f>
        <v>0</v>
      </c>
      <c r="C2429">
        <f>HYPERLINK("https://github.com/apache/commons-math/commit/cfe0502990a1e61d5ae7c744b119e8c330c37c0c", "cfe0502990a1e61d5ae7c744b119e8c330c37c0c")</f>
        <v>0</v>
      </c>
      <c r="D2429" t="s">
        <v>2161</v>
      </c>
      <c r="E2429" t="s">
        <v>2378</v>
      </c>
      <c r="F2429" t="s">
        <v>2798</v>
      </c>
      <c r="G2429" t="s">
        <v>3176</v>
      </c>
      <c r="H2429" t="s">
        <v>4612</v>
      </c>
      <c r="I2429" t="s">
        <v>1358</v>
      </c>
      <c r="J2429" t="s">
        <v>1358</v>
      </c>
      <c r="K2429" t="s">
        <v>1358</v>
      </c>
      <c r="L2429" t="s">
        <v>1358</v>
      </c>
    </row>
    <row r="2430" spans="1:14">
      <c r="H2430" t="s">
        <v>4613</v>
      </c>
      <c r="I2430" t="s">
        <v>1358</v>
      </c>
      <c r="J2430" t="s">
        <v>1358</v>
      </c>
      <c r="K2430" t="s">
        <v>1358</v>
      </c>
      <c r="L2430" t="s">
        <v>1358</v>
      </c>
    </row>
    <row r="2431" spans="1:14">
      <c r="A2431" t="s">
        <v>2095</v>
      </c>
      <c r="B2431">
        <f>HYPERLINK("https://github.com/apache/commons-math/commit/35378d9c4a3a656b881e77fb405fabd22f7803eb", "35378d9c4a3a656b881e77fb405fabd22f7803eb")</f>
        <v>0</v>
      </c>
      <c r="C2431">
        <f>HYPERLINK("https://github.com/apache/commons-math/commit/56b28f34d934efa0db1b753e83161fe12f8e44b1", "56b28f34d934efa0db1b753e83161fe12f8e44b1")</f>
        <v>0</v>
      </c>
      <c r="D2431" t="s">
        <v>2151</v>
      </c>
      <c r="E2431" t="s">
        <v>2379</v>
      </c>
      <c r="F2431" t="s">
        <v>2799</v>
      </c>
      <c r="G2431" t="s">
        <v>2917</v>
      </c>
      <c r="H2431" t="s">
        <v>795</v>
      </c>
      <c r="I2431" t="s">
        <v>1357</v>
      </c>
      <c r="J2431" t="s">
        <v>1357</v>
      </c>
      <c r="K2431" t="s">
        <v>1357</v>
      </c>
      <c r="L2431" t="s">
        <v>1357</v>
      </c>
    </row>
    <row r="2432" spans="1:14">
      <c r="H2432" t="s">
        <v>3301</v>
      </c>
      <c r="I2432" t="s">
        <v>1357</v>
      </c>
      <c r="J2432" t="s">
        <v>1357</v>
      </c>
      <c r="K2432" t="s">
        <v>1357</v>
      </c>
      <c r="L2432" t="s">
        <v>1357</v>
      </c>
    </row>
    <row r="2433" spans="8:12">
      <c r="H2433" t="s">
        <v>3302</v>
      </c>
      <c r="I2433" t="s">
        <v>1357</v>
      </c>
      <c r="J2433" t="s">
        <v>1357</v>
      </c>
      <c r="K2433" t="s">
        <v>1357</v>
      </c>
      <c r="L2433" t="s">
        <v>1357</v>
      </c>
    </row>
    <row r="2434" spans="8:12">
      <c r="H2434" t="s">
        <v>4614</v>
      </c>
      <c r="I2434" t="s">
        <v>1357</v>
      </c>
      <c r="J2434" t="s">
        <v>1357</v>
      </c>
      <c r="K2434" t="s">
        <v>1357</v>
      </c>
      <c r="L2434" t="s">
        <v>1357</v>
      </c>
    </row>
    <row r="2435" spans="8:12">
      <c r="H2435" t="s">
        <v>4615</v>
      </c>
      <c r="I2435" t="s">
        <v>1357</v>
      </c>
      <c r="J2435" t="s">
        <v>1357</v>
      </c>
      <c r="K2435" t="s">
        <v>1357</v>
      </c>
      <c r="L2435" t="s">
        <v>1357</v>
      </c>
    </row>
    <row r="2436" spans="8:12">
      <c r="H2436" t="s">
        <v>3303</v>
      </c>
      <c r="I2436" t="s">
        <v>1357</v>
      </c>
      <c r="J2436" t="s">
        <v>1357</v>
      </c>
      <c r="K2436" t="s">
        <v>1357</v>
      </c>
      <c r="L2436" t="s">
        <v>1357</v>
      </c>
    </row>
    <row r="2437" spans="8:12">
      <c r="H2437" t="s">
        <v>3304</v>
      </c>
      <c r="I2437" t="s">
        <v>1357</v>
      </c>
      <c r="J2437" t="s">
        <v>1357</v>
      </c>
      <c r="K2437" t="s">
        <v>1357</v>
      </c>
      <c r="L2437" t="s">
        <v>1357</v>
      </c>
    </row>
    <row r="2438" spans="8:12">
      <c r="H2438" t="s">
        <v>4616</v>
      </c>
      <c r="I2438" t="s">
        <v>1357</v>
      </c>
      <c r="J2438" t="s">
        <v>1357</v>
      </c>
      <c r="K2438" t="s">
        <v>1357</v>
      </c>
      <c r="L2438" t="s">
        <v>1357</v>
      </c>
    </row>
    <row r="2439" spans="8:12">
      <c r="H2439" t="s">
        <v>3401</v>
      </c>
      <c r="I2439" t="s">
        <v>1357</v>
      </c>
      <c r="J2439" t="s">
        <v>1357</v>
      </c>
      <c r="K2439" t="s">
        <v>1357</v>
      </c>
      <c r="L2439" t="s">
        <v>1357</v>
      </c>
    </row>
    <row r="2440" spans="8:12">
      <c r="H2440" t="s">
        <v>4617</v>
      </c>
      <c r="I2440" t="s">
        <v>1357</v>
      </c>
      <c r="J2440" t="s">
        <v>1357</v>
      </c>
      <c r="K2440" t="s">
        <v>1357</v>
      </c>
      <c r="L2440" t="s">
        <v>1357</v>
      </c>
    </row>
    <row r="2441" spans="8:12">
      <c r="H2441" t="s">
        <v>4618</v>
      </c>
      <c r="I2441" t="s">
        <v>1357</v>
      </c>
      <c r="J2441" t="s">
        <v>1357</v>
      </c>
      <c r="K2441" t="s">
        <v>1357</v>
      </c>
      <c r="L2441" t="s">
        <v>1357</v>
      </c>
    </row>
    <row r="2442" spans="8:12">
      <c r="H2442" t="s">
        <v>3305</v>
      </c>
      <c r="I2442" t="s">
        <v>1357</v>
      </c>
      <c r="J2442" t="s">
        <v>1357</v>
      </c>
      <c r="K2442" t="s">
        <v>1357</v>
      </c>
      <c r="L2442" t="s">
        <v>1357</v>
      </c>
    </row>
    <row r="2443" spans="8:12">
      <c r="H2443" t="s">
        <v>3306</v>
      </c>
      <c r="I2443" t="s">
        <v>1357</v>
      </c>
      <c r="J2443" t="s">
        <v>1357</v>
      </c>
      <c r="K2443" t="s">
        <v>1357</v>
      </c>
      <c r="L2443" t="s">
        <v>1357</v>
      </c>
    </row>
    <row r="2444" spans="8:12">
      <c r="H2444" t="s">
        <v>4619</v>
      </c>
      <c r="I2444" t="s">
        <v>1357</v>
      </c>
      <c r="J2444" t="s">
        <v>1357</v>
      </c>
      <c r="K2444" t="s">
        <v>1357</v>
      </c>
      <c r="L2444" t="s">
        <v>1357</v>
      </c>
    </row>
    <row r="2445" spans="8:12">
      <c r="H2445" t="s">
        <v>3307</v>
      </c>
      <c r="I2445" t="s">
        <v>1357</v>
      </c>
      <c r="J2445" t="s">
        <v>1357</v>
      </c>
      <c r="K2445" t="s">
        <v>1357</v>
      </c>
      <c r="L2445" t="s">
        <v>1357</v>
      </c>
    </row>
    <row r="2446" spans="8:12">
      <c r="H2446" t="s">
        <v>4620</v>
      </c>
      <c r="I2446" t="s">
        <v>1357</v>
      </c>
      <c r="J2446" t="s">
        <v>1357</v>
      </c>
      <c r="K2446" t="s">
        <v>1357</v>
      </c>
      <c r="L2446" t="s">
        <v>1357</v>
      </c>
    </row>
    <row r="2447" spans="8:12">
      <c r="H2447" t="s">
        <v>4621</v>
      </c>
      <c r="I2447" t="s">
        <v>1357</v>
      </c>
      <c r="J2447" t="s">
        <v>1357</v>
      </c>
      <c r="K2447" t="s">
        <v>1357</v>
      </c>
      <c r="L2447" t="s">
        <v>1357</v>
      </c>
    </row>
    <row r="2448" spans="8:12">
      <c r="H2448" t="s">
        <v>4622</v>
      </c>
      <c r="I2448" t="s">
        <v>1357</v>
      </c>
      <c r="J2448" t="s">
        <v>1357</v>
      </c>
      <c r="K2448" t="s">
        <v>1357</v>
      </c>
      <c r="L2448" t="s">
        <v>1357</v>
      </c>
    </row>
    <row r="2449" spans="8:12">
      <c r="H2449" t="s">
        <v>4623</v>
      </c>
      <c r="I2449" t="s">
        <v>1357</v>
      </c>
      <c r="J2449" t="s">
        <v>1357</v>
      </c>
      <c r="K2449" t="s">
        <v>1357</v>
      </c>
      <c r="L2449" t="s">
        <v>1357</v>
      </c>
    </row>
    <row r="2450" spans="8:12">
      <c r="H2450" t="s">
        <v>3967</v>
      </c>
      <c r="I2450" t="s">
        <v>1357</v>
      </c>
      <c r="J2450" t="s">
        <v>1357</v>
      </c>
      <c r="K2450" t="s">
        <v>1357</v>
      </c>
      <c r="L2450" t="s">
        <v>1357</v>
      </c>
    </row>
    <row r="2451" spans="8:12">
      <c r="H2451" t="s">
        <v>3308</v>
      </c>
      <c r="I2451" t="s">
        <v>1357</v>
      </c>
      <c r="J2451" t="s">
        <v>1357</v>
      </c>
      <c r="K2451" t="s">
        <v>1357</v>
      </c>
      <c r="L2451" t="s">
        <v>1357</v>
      </c>
    </row>
    <row r="2452" spans="8:12">
      <c r="H2452" t="s">
        <v>4624</v>
      </c>
      <c r="I2452" t="s">
        <v>1357</v>
      </c>
      <c r="J2452" t="s">
        <v>1357</v>
      </c>
      <c r="K2452" t="s">
        <v>1357</v>
      </c>
      <c r="L2452" t="s">
        <v>1357</v>
      </c>
    </row>
    <row r="2453" spans="8:12">
      <c r="H2453" t="s">
        <v>4625</v>
      </c>
      <c r="I2453" t="s">
        <v>1357</v>
      </c>
      <c r="J2453" t="s">
        <v>1357</v>
      </c>
      <c r="K2453" t="s">
        <v>1357</v>
      </c>
      <c r="L2453" t="s">
        <v>1357</v>
      </c>
    </row>
    <row r="2454" spans="8:12">
      <c r="H2454" t="s">
        <v>4626</v>
      </c>
      <c r="I2454" t="s">
        <v>1357</v>
      </c>
      <c r="J2454" t="s">
        <v>1357</v>
      </c>
      <c r="K2454" t="s">
        <v>1357</v>
      </c>
      <c r="L2454" t="s">
        <v>1357</v>
      </c>
    </row>
    <row r="2455" spans="8:12">
      <c r="H2455" t="s">
        <v>4627</v>
      </c>
      <c r="I2455" t="s">
        <v>1357</v>
      </c>
      <c r="J2455" t="s">
        <v>1357</v>
      </c>
      <c r="K2455" t="s">
        <v>1357</v>
      </c>
      <c r="L2455" t="s">
        <v>1357</v>
      </c>
    </row>
    <row r="2456" spans="8:12">
      <c r="H2456" t="s">
        <v>4628</v>
      </c>
      <c r="I2456" t="s">
        <v>1357</v>
      </c>
      <c r="J2456" t="s">
        <v>1357</v>
      </c>
      <c r="K2456" t="s">
        <v>1357</v>
      </c>
      <c r="L2456" t="s">
        <v>1357</v>
      </c>
    </row>
    <row r="2457" spans="8:12">
      <c r="H2457" t="s">
        <v>4629</v>
      </c>
      <c r="I2457" t="s">
        <v>1357</v>
      </c>
      <c r="J2457" t="s">
        <v>1357</v>
      </c>
      <c r="K2457" t="s">
        <v>1357</v>
      </c>
      <c r="L2457" t="s">
        <v>1357</v>
      </c>
    </row>
    <row r="2458" spans="8:12">
      <c r="H2458" t="s">
        <v>4630</v>
      </c>
      <c r="I2458" t="s">
        <v>1357</v>
      </c>
      <c r="J2458" t="s">
        <v>1357</v>
      </c>
      <c r="K2458" t="s">
        <v>1357</v>
      </c>
      <c r="L2458" t="s">
        <v>1357</v>
      </c>
    </row>
    <row r="2459" spans="8:12">
      <c r="H2459" t="s">
        <v>4631</v>
      </c>
      <c r="I2459" t="s">
        <v>1357</v>
      </c>
      <c r="J2459" t="s">
        <v>1357</v>
      </c>
      <c r="K2459" t="s">
        <v>1357</v>
      </c>
      <c r="L2459" t="s">
        <v>1357</v>
      </c>
    </row>
    <row r="2460" spans="8:12">
      <c r="H2460" t="s">
        <v>4632</v>
      </c>
      <c r="I2460" t="s">
        <v>1357</v>
      </c>
      <c r="J2460" t="s">
        <v>1357</v>
      </c>
      <c r="K2460" t="s">
        <v>1357</v>
      </c>
      <c r="L2460" t="s">
        <v>1357</v>
      </c>
    </row>
    <row r="2461" spans="8:12">
      <c r="H2461" t="s">
        <v>4633</v>
      </c>
      <c r="I2461" t="s">
        <v>1357</v>
      </c>
      <c r="J2461" t="s">
        <v>1357</v>
      </c>
      <c r="K2461" t="s">
        <v>1357</v>
      </c>
      <c r="L2461" t="s">
        <v>1357</v>
      </c>
    </row>
    <row r="2462" spans="8:12">
      <c r="H2462" t="s">
        <v>4634</v>
      </c>
      <c r="I2462" t="s">
        <v>1357</v>
      </c>
      <c r="J2462" t="s">
        <v>1357</v>
      </c>
      <c r="K2462" t="s">
        <v>1357</v>
      </c>
      <c r="L2462" t="s">
        <v>1357</v>
      </c>
    </row>
    <row r="2463" spans="8:12">
      <c r="H2463" t="s">
        <v>3309</v>
      </c>
      <c r="I2463" t="s">
        <v>1357</v>
      </c>
      <c r="J2463" t="s">
        <v>1357</v>
      </c>
      <c r="K2463" t="s">
        <v>1357</v>
      </c>
      <c r="L2463" t="s">
        <v>1357</v>
      </c>
    </row>
    <row r="2464" spans="8:12">
      <c r="H2464" t="s">
        <v>3310</v>
      </c>
      <c r="I2464" t="s">
        <v>1357</v>
      </c>
      <c r="J2464" t="s">
        <v>1357</v>
      </c>
      <c r="K2464" t="s">
        <v>1357</v>
      </c>
      <c r="L2464" t="s">
        <v>1357</v>
      </c>
    </row>
    <row r="2465" spans="8:12">
      <c r="H2465" t="s">
        <v>4635</v>
      </c>
      <c r="I2465" t="s">
        <v>1357</v>
      </c>
      <c r="J2465" t="s">
        <v>1357</v>
      </c>
      <c r="K2465" t="s">
        <v>1357</v>
      </c>
      <c r="L2465" t="s">
        <v>1357</v>
      </c>
    </row>
    <row r="2466" spans="8:12">
      <c r="H2466" t="s">
        <v>4636</v>
      </c>
      <c r="I2466" t="s">
        <v>1357</v>
      </c>
      <c r="J2466" t="s">
        <v>1357</v>
      </c>
      <c r="K2466" t="s">
        <v>1357</v>
      </c>
      <c r="L2466" t="s">
        <v>1357</v>
      </c>
    </row>
    <row r="2467" spans="8:12">
      <c r="H2467" t="s">
        <v>4637</v>
      </c>
      <c r="I2467" t="s">
        <v>1357</v>
      </c>
      <c r="J2467" t="s">
        <v>1357</v>
      </c>
      <c r="K2467" t="s">
        <v>1357</v>
      </c>
      <c r="L2467" t="s">
        <v>1357</v>
      </c>
    </row>
    <row r="2468" spans="8:12">
      <c r="H2468" t="s">
        <v>4638</v>
      </c>
      <c r="I2468" t="s">
        <v>1357</v>
      </c>
      <c r="J2468" t="s">
        <v>1357</v>
      </c>
      <c r="K2468" t="s">
        <v>1357</v>
      </c>
      <c r="L2468" t="s">
        <v>1357</v>
      </c>
    </row>
    <row r="2469" spans="8:12">
      <c r="H2469" t="s">
        <v>4639</v>
      </c>
      <c r="I2469" t="s">
        <v>1357</v>
      </c>
      <c r="J2469" t="s">
        <v>1357</v>
      </c>
      <c r="K2469" t="s">
        <v>1357</v>
      </c>
      <c r="L2469" t="s">
        <v>1357</v>
      </c>
    </row>
    <row r="2470" spans="8:12">
      <c r="H2470" t="s">
        <v>3311</v>
      </c>
      <c r="I2470" t="s">
        <v>1357</v>
      </c>
      <c r="J2470" t="s">
        <v>1357</v>
      </c>
      <c r="K2470" t="s">
        <v>1357</v>
      </c>
      <c r="L2470" t="s">
        <v>1357</v>
      </c>
    </row>
    <row r="2471" spans="8:12">
      <c r="H2471" t="s">
        <v>3312</v>
      </c>
      <c r="I2471" t="s">
        <v>1357</v>
      </c>
      <c r="J2471" t="s">
        <v>1357</v>
      </c>
      <c r="K2471" t="s">
        <v>1357</v>
      </c>
      <c r="L2471" t="s">
        <v>1357</v>
      </c>
    </row>
    <row r="2472" spans="8:12">
      <c r="H2472" t="s">
        <v>3313</v>
      </c>
      <c r="I2472" t="s">
        <v>1357</v>
      </c>
      <c r="J2472" t="s">
        <v>1357</v>
      </c>
      <c r="K2472" t="s">
        <v>1357</v>
      </c>
      <c r="L2472" t="s">
        <v>1357</v>
      </c>
    </row>
    <row r="2473" spans="8:12">
      <c r="H2473" t="s">
        <v>3314</v>
      </c>
      <c r="I2473" t="s">
        <v>1357</v>
      </c>
      <c r="J2473" t="s">
        <v>1357</v>
      </c>
      <c r="K2473" t="s">
        <v>1357</v>
      </c>
      <c r="L2473" t="s">
        <v>1357</v>
      </c>
    </row>
    <row r="2474" spans="8:12">
      <c r="H2474" t="s">
        <v>4640</v>
      </c>
      <c r="I2474" t="s">
        <v>1357</v>
      </c>
      <c r="J2474" t="s">
        <v>1357</v>
      </c>
      <c r="K2474" t="s">
        <v>1357</v>
      </c>
      <c r="L2474" t="s">
        <v>1357</v>
      </c>
    </row>
    <row r="2475" spans="8:12">
      <c r="H2475" t="s">
        <v>4641</v>
      </c>
      <c r="I2475" t="s">
        <v>1357</v>
      </c>
      <c r="J2475" t="s">
        <v>1357</v>
      </c>
      <c r="K2475" t="s">
        <v>1357</v>
      </c>
      <c r="L2475" t="s">
        <v>1357</v>
      </c>
    </row>
    <row r="2476" spans="8:12">
      <c r="H2476" t="s">
        <v>4642</v>
      </c>
      <c r="I2476" t="s">
        <v>1357</v>
      </c>
      <c r="J2476" t="s">
        <v>1357</v>
      </c>
      <c r="K2476" t="s">
        <v>1357</v>
      </c>
      <c r="L2476" t="s">
        <v>1357</v>
      </c>
    </row>
    <row r="2477" spans="8:12">
      <c r="H2477" t="s">
        <v>4643</v>
      </c>
      <c r="I2477" t="s">
        <v>1357</v>
      </c>
      <c r="J2477" t="s">
        <v>1357</v>
      </c>
      <c r="K2477" t="s">
        <v>1357</v>
      </c>
      <c r="L2477" t="s">
        <v>1357</v>
      </c>
    </row>
    <row r="2478" spans="8:12">
      <c r="H2478" t="s">
        <v>978</v>
      </c>
      <c r="I2478" t="s">
        <v>1357</v>
      </c>
      <c r="J2478" t="s">
        <v>1357</v>
      </c>
      <c r="K2478" t="s">
        <v>1357</v>
      </c>
      <c r="L2478" t="s">
        <v>1357</v>
      </c>
    </row>
    <row r="2479" spans="8:12">
      <c r="H2479" t="s">
        <v>4644</v>
      </c>
      <c r="I2479" t="s">
        <v>1357</v>
      </c>
      <c r="J2479" t="s">
        <v>1357</v>
      </c>
      <c r="K2479" t="s">
        <v>1357</v>
      </c>
      <c r="L2479" t="s">
        <v>1357</v>
      </c>
    </row>
    <row r="2480" spans="8:12">
      <c r="H2480" t="s">
        <v>4645</v>
      </c>
      <c r="I2480" t="s">
        <v>1357</v>
      </c>
      <c r="J2480" t="s">
        <v>1357</v>
      </c>
      <c r="K2480" t="s">
        <v>1357</v>
      </c>
      <c r="L2480" t="s">
        <v>1357</v>
      </c>
    </row>
    <row r="2481" spans="8:12">
      <c r="H2481" t="s">
        <v>4646</v>
      </c>
      <c r="I2481" t="s">
        <v>1357</v>
      </c>
      <c r="J2481" t="s">
        <v>1357</v>
      </c>
      <c r="K2481" t="s">
        <v>1357</v>
      </c>
      <c r="L2481" t="s">
        <v>1357</v>
      </c>
    </row>
    <row r="2482" spans="8:12">
      <c r="H2482" t="s">
        <v>4647</v>
      </c>
      <c r="I2482" t="s">
        <v>1357</v>
      </c>
      <c r="J2482" t="s">
        <v>1357</v>
      </c>
      <c r="K2482" t="s">
        <v>1357</v>
      </c>
      <c r="L2482" t="s">
        <v>1357</v>
      </c>
    </row>
    <row r="2483" spans="8:12">
      <c r="H2483" t="s">
        <v>4648</v>
      </c>
      <c r="I2483" t="s">
        <v>1357</v>
      </c>
      <c r="J2483" t="s">
        <v>1357</v>
      </c>
      <c r="K2483" t="s">
        <v>1357</v>
      </c>
      <c r="L2483" t="s">
        <v>1357</v>
      </c>
    </row>
    <row r="2484" spans="8:12">
      <c r="H2484" t="s">
        <v>4649</v>
      </c>
      <c r="I2484" t="s">
        <v>1357</v>
      </c>
      <c r="J2484" t="s">
        <v>1357</v>
      </c>
      <c r="K2484" t="s">
        <v>1357</v>
      </c>
      <c r="L2484" t="s">
        <v>1357</v>
      </c>
    </row>
    <row r="2485" spans="8:12">
      <c r="H2485" t="s">
        <v>4650</v>
      </c>
      <c r="I2485" t="s">
        <v>1357</v>
      </c>
      <c r="J2485" t="s">
        <v>1357</v>
      </c>
      <c r="K2485" t="s">
        <v>1357</v>
      </c>
      <c r="L2485" t="s">
        <v>1357</v>
      </c>
    </row>
    <row r="2486" spans="8:12">
      <c r="H2486" t="s">
        <v>4651</v>
      </c>
      <c r="I2486" t="s">
        <v>1357</v>
      </c>
      <c r="J2486" t="s">
        <v>1357</v>
      </c>
      <c r="K2486" t="s">
        <v>1357</v>
      </c>
      <c r="L2486" t="s">
        <v>1357</v>
      </c>
    </row>
    <row r="2487" spans="8:12">
      <c r="H2487" t="s">
        <v>4652</v>
      </c>
      <c r="I2487" t="s">
        <v>1357</v>
      </c>
      <c r="J2487" t="s">
        <v>1357</v>
      </c>
      <c r="K2487" t="s">
        <v>1357</v>
      </c>
      <c r="L2487" t="s">
        <v>1357</v>
      </c>
    </row>
    <row r="2488" spans="8:12">
      <c r="H2488" t="s">
        <v>4653</v>
      </c>
      <c r="I2488" t="s">
        <v>1357</v>
      </c>
      <c r="J2488" t="s">
        <v>1357</v>
      </c>
      <c r="K2488" t="s">
        <v>1357</v>
      </c>
      <c r="L2488" t="s">
        <v>1357</v>
      </c>
    </row>
    <row r="2489" spans="8:12">
      <c r="H2489" t="s">
        <v>4654</v>
      </c>
      <c r="I2489" t="s">
        <v>1357</v>
      </c>
      <c r="J2489" t="s">
        <v>1357</v>
      </c>
      <c r="K2489" t="s">
        <v>1357</v>
      </c>
      <c r="L2489" t="s">
        <v>1357</v>
      </c>
    </row>
    <row r="2490" spans="8:12">
      <c r="H2490" t="s">
        <v>4655</v>
      </c>
      <c r="I2490" t="s">
        <v>1357</v>
      </c>
      <c r="J2490" t="s">
        <v>1357</v>
      </c>
      <c r="K2490" t="s">
        <v>1357</v>
      </c>
      <c r="L2490" t="s">
        <v>1357</v>
      </c>
    </row>
    <row r="2491" spans="8:12">
      <c r="H2491" t="s">
        <v>4656</v>
      </c>
      <c r="I2491" t="s">
        <v>1357</v>
      </c>
      <c r="J2491" t="s">
        <v>1357</v>
      </c>
      <c r="K2491" t="s">
        <v>1357</v>
      </c>
      <c r="L2491" t="s">
        <v>1357</v>
      </c>
    </row>
    <row r="2492" spans="8:12">
      <c r="H2492" t="s">
        <v>4657</v>
      </c>
      <c r="I2492" t="s">
        <v>1357</v>
      </c>
      <c r="J2492" t="s">
        <v>1357</v>
      </c>
      <c r="K2492" t="s">
        <v>1357</v>
      </c>
      <c r="L2492" t="s">
        <v>1357</v>
      </c>
    </row>
    <row r="2493" spans="8:12">
      <c r="H2493" t="s">
        <v>900</v>
      </c>
      <c r="I2493" t="s">
        <v>1357</v>
      </c>
      <c r="J2493" t="s">
        <v>1357</v>
      </c>
      <c r="K2493" t="s">
        <v>1357</v>
      </c>
      <c r="L2493" t="s">
        <v>1357</v>
      </c>
    </row>
    <row r="2494" spans="8:12">
      <c r="H2494" t="s">
        <v>3621</v>
      </c>
      <c r="I2494" t="s">
        <v>1357</v>
      </c>
      <c r="J2494" t="s">
        <v>1357</v>
      </c>
      <c r="K2494" t="s">
        <v>1357</v>
      </c>
      <c r="L2494" t="s">
        <v>1357</v>
      </c>
    </row>
    <row r="2495" spans="8:12">
      <c r="H2495" t="s">
        <v>3622</v>
      </c>
      <c r="I2495" t="s">
        <v>1357</v>
      </c>
      <c r="J2495" t="s">
        <v>1357</v>
      </c>
      <c r="K2495" t="s">
        <v>1357</v>
      </c>
      <c r="L2495" t="s">
        <v>1357</v>
      </c>
    </row>
    <row r="2496" spans="8:12">
      <c r="H2496" t="s">
        <v>3623</v>
      </c>
      <c r="I2496" t="s">
        <v>1357</v>
      </c>
      <c r="J2496" t="s">
        <v>1357</v>
      </c>
      <c r="K2496" t="s">
        <v>1357</v>
      </c>
      <c r="L2496" t="s">
        <v>1357</v>
      </c>
    </row>
    <row r="2497" spans="8:12">
      <c r="H2497" t="s">
        <v>3625</v>
      </c>
      <c r="I2497" t="s">
        <v>1357</v>
      </c>
      <c r="J2497" t="s">
        <v>1357</v>
      </c>
      <c r="K2497" t="s">
        <v>1357</v>
      </c>
      <c r="L2497" t="s">
        <v>1357</v>
      </c>
    </row>
    <row r="2498" spans="8:12">
      <c r="H2498" t="s">
        <v>3626</v>
      </c>
      <c r="I2498" t="s">
        <v>1357</v>
      </c>
      <c r="J2498" t="s">
        <v>1357</v>
      </c>
      <c r="K2498" t="s">
        <v>1357</v>
      </c>
      <c r="L2498" t="s">
        <v>1357</v>
      </c>
    </row>
    <row r="2499" spans="8:12">
      <c r="H2499" t="s">
        <v>3627</v>
      </c>
      <c r="I2499" t="s">
        <v>1357</v>
      </c>
      <c r="J2499" t="s">
        <v>1357</v>
      </c>
      <c r="K2499" t="s">
        <v>1357</v>
      </c>
      <c r="L2499" t="s">
        <v>1357</v>
      </c>
    </row>
    <row r="2500" spans="8:12">
      <c r="H2500" t="s">
        <v>3629</v>
      </c>
      <c r="I2500" t="s">
        <v>1357</v>
      </c>
      <c r="J2500" t="s">
        <v>1357</v>
      </c>
      <c r="K2500" t="s">
        <v>1357</v>
      </c>
      <c r="L2500" t="s">
        <v>1357</v>
      </c>
    </row>
    <row r="2501" spans="8:12">
      <c r="H2501" t="s">
        <v>3630</v>
      </c>
      <c r="I2501" t="s">
        <v>1357</v>
      </c>
      <c r="J2501" t="s">
        <v>1357</v>
      </c>
      <c r="K2501" t="s">
        <v>1357</v>
      </c>
      <c r="L2501" t="s">
        <v>1357</v>
      </c>
    </row>
    <row r="2502" spans="8:12">
      <c r="H2502" t="s">
        <v>3968</v>
      </c>
      <c r="I2502" t="s">
        <v>1357</v>
      </c>
      <c r="J2502" t="s">
        <v>1357</v>
      </c>
      <c r="K2502" t="s">
        <v>1357</v>
      </c>
      <c r="L2502" t="s">
        <v>1357</v>
      </c>
    </row>
    <row r="2503" spans="8:12">
      <c r="H2503" t="s">
        <v>3631</v>
      </c>
      <c r="I2503" t="s">
        <v>1357</v>
      </c>
      <c r="J2503" t="s">
        <v>1357</v>
      </c>
      <c r="K2503" t="s">
        <v>1357</v>
      </c>
      <c r="L2503" t="s">
        <v>1357</v>
      </c>
    </row>
    <row r="2504" spans="8:12">
      <c r="H2504" t="s">
        <v>3633</v>
      </c>
      <c r="I2504" t="s">
        <v>1357</v>
      </c>
      <c r="J2504" t="s">
        <v>1357</v>
      </c>
      <c r="K2504" t="s">
        <v>1357</v>
      </c>
      <c r="L2504" t="s">
        <v>1357</v>
      </c>
    </row>
    <row r="2505" spans="8:12">
      <c r="H2505" t="s">
        <v>3634</v>
      </c>
      <c r="I2505" t="s">
        <v>1357</v>
      </c>
      <c r="J2505" t="s">
        <v>1357</v>
      </c>
      <c r="K2505" t="s">
        <v>1357</v>
      </c>
      <c r="L2505" t="s">
        <v>1357</v>
      </c>
    </row>
    <row r="2506" spans="8:12">
      <c r="H2506" t="s">
        <v>3635</v>
      </c>
      <c r="I2506" t="s">
        <v>1357</v>
      </c>
      <c r="J2506" t="s">
        <v>1357</v>
      </c>
      <c r="K2506" t="s">
        <v>1357</v>
      </c>
      <c r="L2506" t="s">
        <v>1357</v>
      </c>
    </row>
    <row r="2507" spans="8:12">
      <c r="H2507" t="s">
        <v>3637</v>
      </c>
      <c r="I2507" t="s">
        <v>1357</v>
      </c>
      <c r="J2507" t="s">
        <v>1357</v>
      </c>
      <c r="K2507" t="s">
        <v>1357</v>
      </c>
      <c r="L2507" t="s">
        <v>1357</v>
      </c>
    </row>
    <row r="2508" spans="8:12">
      <c r="H2508" t="s">
        <v>3638</v>
      </c>
      <c r="I2508" t="s">
        <v>1357</v>
      </c>
      <c r="J2508" t="s">
        <v>1357</v>
      </c>
      <c r="K2508" t="s">
        <v>1357</v>
      </c>
      <c r="L2508" t="s">
        <v>1357</v>
      </c>
    </row>
    <row r="2509" spans="8:12">
      <c r="H2509" t="s">
        <v>3639</v>
      </c>
      <c r="I2509" t="s">
        <v>1357</v>
      </c>
      <c r="J2509" t="s">
        <v>1357</v>
      </c>
      <c r="K2509" t="s">
        <v>1357</v>
      </c>
      <c r="L2509" t="s">
        <v>1357</v>
      </c>
    </row>
    <row r="2510" spans="8:12">
      <c r="H2510" t="s">
        <v>3641</v>
      </c>
      <c r="I2510" t="s">
        <v>1357</v>
      </c>
      <c r="J2510" t="s">
        <v>1357</v>
      </c>
      <c r="K2510" t="s">
        <v>1357</v>
      </c>
      <c r="L2510" t="s">
        <v>1357</v>
      </c>
    </row>
    <row r="2511" spans="8:12">
      <c r="H2511" t="s">
        <v>3642</v>
      </c>
      <c r="I2511" t="s">
        <v>1357</v>
      </c>
      <c r="J2511" t="s">
        <v>1357</v>
      </c>
      <c r="K2511" t="s">
        <v>1357</v>
      </c>
      <c r="L2511" t="s">
        <v>1357</v>
      </c>
    </row>
    <row r="2512" spans="8:12">
      <c r="H2512" t="s">
        <v>4658</v>
      </c>
      <c r="I2512" t="s">
        <v>1357</v>
      </c>
      <c r="J2512" t="s">
        <v>1357</v>
      </c>
      <c r="K2512" t="s">
        <v>1357</v>
      </c>
      <c r="L2512" t="s">
        <v>1357</v>
      </c>
    </row>
    <row r="2513" spans="8:12">
      <c r="H2513" t="s">
        <v>4659</v>
      </c>
      <c r="I2513" t="s">
        <v>1357</v>
      </c>
      <c r="J2513" t="s">
        <v>1357</v>
      </c>
      <c r="K2513" t="s">
        <v>1357</v>
      </c>
      <c r="L2513" t="s">
        <v>1357</v>
      </c>
    </row>
    <row r="2514" spans="8:12">
      <c r="H2514" t="s">
        <v>4660</v>
      </c>
      <c r="I2514" t="s">
        <v>1357</v>
      </c>
      <c r="J2514" t="s">
        <v>1357</v>
      </c>
      <c r="K2514" t="s">
        <v>1357</v>
      </c>
      <c r="L2514" t="s">
        <v>1357</v>
      </c>
    </row>
    <row r="2515" spans="8:12">
      <c r="H2515" t="s">
        <v>4661</v>
      </c>
      <c r="I2515" t="s">
        <v>1357</v>
      </c>
      <c r="J2515" t="s">
        <v>1357</v>
      </c>
      <c r="K2515" t="s">
        <v>1357</v>
      </c>
      <c r="L2515" t="s">
        <v>1357</v>
      </c>
    </row>
    <row r="2516" spans="8:12">
      <c r="H2516" t="s">
        <v>4662</v>
      </c>
      <c r="I2516" t="s">
        <v>1357</v>
      </c>
      <c r="J2516" t="s">
        <v>1357</v>
      </c>
      <c r="K2516" t="s">
        <v>1357</v>
      </c>
      <c r="L2516" t="s">
        <v>1357</v>
      </c>
    </row>
    <row r="2517" spans="8:12">
      <c r="H2517" t="s">
        <v>4663</v>
      </c>
      <c r="I2517" t="s">
        <v>1357</v>
      </c>
      <c r="J2517" t="s">
        <v>1357</v>
      </c>
      <c r="K2517" t="s">
        <v>1357</v>
      </c>
      <c r="L2517" t="s">
        <v>1357</v>
      </c>
    </row>
    <row r="2518" spans="8:12">
      <c r="H2518" t="s">
        <v>4664</v>
      </c>
      <c r="I2518" t="s">
        <v>1357</v>
      </c>
      <c r="J2518" t="s">
        <v>1357</v>
      </c>
      <c r="K2518" t="s">
        <v>1357</v>
      </c>
      <c r="L2518" t="s">
        <v>1357</v>
      </c>
    </row>
    <row r="2519" spans="8:12">
      <c r="H2519" t="s">
        <v>4665</v>
      </c>
      <c r="I2519" t="s">
        <v>1357</v>
      </c>
      <c r="J2519" t="s">
        <v>1357</v>
      </c>
      <c r="K2519" t="s">
        <v>1357</v>
      </c>
      <c r="L2519" t="s">
        <v>1357</v>
      </c>
    </row>
    <row r="2520" spans="8:12">
      <c r="H2520" t="s">
        <v>4666</v>
      </c>
      <c r="I2520" t="s">
        <v>1357</v>
      </c>
      <c r="J2520" t="s">
        <v>1357</v>
      </c>
      <c r="K2520" t="s">
        <v>1357</v>
      </c>
      <c r="L2520" t="s">
        <v>1357</v>
      </c>
    </row>
    <row r="2521" spans="8:12">
      <c r="H2521" t="s">
        <v>3645</v>
      </c>
      <c r="I2521" t="s">
        <v>1357</v>
      </c>
      <c r="J2521" t="s">
        <v>1357</v>
      </c>
      <c r="K2521" t="s">
        <v>1357</v>
      </c>
      <c r="L2521" t="s">
        <v>1357</v>
      </c>
    </row>
    <row r="2522" spans="8:12">
      <c r="H2522" t="s">
        <v>3646</v>
      </c>
      <c r="I2522" t="s">
        <v>1357</v>
      </c>
      <c r="J2522" t="s">
        <v>1357</v>
      </c>
      <c r="K2522" t="s">
        <v>1357</v>
      </c>
      <c r="L2522" t="s">
        <v>1357</v>
      </c>
    </row>
    <row r="2523" spans="8:12">
      <c r="H2523" t="s">
        <v>3647</v>
      </c>
      <c r="I2523" t="s">
        <v>1357</v>
      </c>
      <c r="J2523" t="s">
        <v>1357</v>
      </c>
      <c r="K2523" t="s">
        <v>1357</v>
      </c>
      <c r="L2523" t="s">
        <v>1357</v>
      </c>
    </row>
    <row r="2524" spans="8:12">
      <c r="H2524" t="s">
        <v>3648</v>
      </c>
      <c r="I2524" t="s">
        <v>1357</v>
      </c>
      <c r="J2524" t="s">
        <v>1357</v>
      </c>
      <c r="K2524" t="s">
        <v>1357</v>
      </c>
      <c r="L2524" t="s">
        <v>1357</v>
      </c>
    </row>
    <row r="2525" spans="8:12">
      <c r="H2525" t="s">
        <v>3650</v>
      </c>
      <c r="I2525" t="s">
        <v>1357</v>
      </c>
      <c r="J2525" t="s">
        <v>1357</v>
      </c>
      <c r="K2525" t="s">
        <v>1357</v>
      </c>
      <c r="L2525" t="s">
        <v>1357</v>
      </c>
    </row>
    <row r="2526" spans="8:12">
      <c r="H2526" t="s">
        <v>3651</v>
      </c>
      <c r="I2526" t="s">
        <v>1357</v>
      </c>
      <c r="J2526" t="s">
        <v>1357</v>
      </c>
      <c r="K2526" t="s">
        <v>1357</v>
      </c>
      <c r="L2526" t="s">
        <v>1357</v>
      </c>
    </row>
    <row r="2527" spans="8:12">
      <c r="H2527" t="s">
        <v>3652</v>
      </c>
      <c r="I2527" t="s">
        <v>1357</v>
      </c>
      <c r="J2527" t="s">
        <v>1357</v>
      </c>
      <c r="K2527" t="s">
        <v>1357</v>
      </c>
      <c r="L2527" t="s">
        <v>1357</v>
      </c>
    </row>
    <row r="2528" spans="8:12">
      <c r="H2528" t="s">
        <v>3653</v>
      </c>
      <c r="I2528" t="s">
        <v>1357</v>
      </c>
      <c r="J2528" t="s">
        <v>1357</v>
      </c>
      <c r="K2528" t="s">
        <v>1357</v>
      </c>
      <c r="L2528" t="s">
        <v>1357</v>
      </c>
    </row>
    <row r="2529" spans="8:12">
      <c r="H2529" t="s">
        <v>3654</v>
      </c>
      <c r="I2529" t="s">
        <v>1357</v>
      </c>
      <c r="J2529" t="s">
        <v>1357</v>
      </c>
      <c r="K2529" t="s">
        <v>1357</v>
      </c>
      <c r="L2529" t="s">
        <v>1357</v>
      </c>
    </row>
    <row r="2530" spans="8:12">
      <c r="H2530" t="s">
        <v>4667</v>
      </c>
      <c r="I2530" t="s">
        <v>1357</v>
      </c>
      <c r="J2530" t="s">
        <v>1357</v>
      </c>
      <c r="K2530" t="s">
        <v>1357</v>
      </c>
      <c r="L2530" t="s">
        <v>1357</v>
      </c>
    </row>
    <row r="2531" spans="8:12">
      <c r="H2531" t="s">
        <v>4668</v>
      </c>
      <c r="I2531" t="s">
        <v>1357</v>
      </c>
      <c r="J2531" t="s">
        <v>1357</v>
      </c>
      <c r="K2531" t="s">
        <v>1357</v>
      </c>
      <c r="L2531" t="s">
        <v>1357</v>
      </c>
    </row>
    <row r="2532" spans="8:12">
      <c r="H2532" t="s">
        <v>4669</v>
      </c>
      <c r="I2532" t="s">
        <v>1357</v>
      </c>
      <c r="J2532" t="s">
        <v>1357</v>
      </c>
      <c r="K2532" t="s">
        <v>1357</v>
      </c>
      <c r="L2532" t="s">
        <v>1357</v>
      </c>
    </row>
    <row r="2533" spans="8:12">
      <c r="H2533" t="s">
        <v>4670</v>
      </c>
      <c r="I2533" t="s">
        <v>1357</v>
      </c>
      <c r="J2533" t="s">
        <v>1357</v>
      </c>
      <c r="K2533" t="s">
        <v>1357</v>
      </c>
      <c r="L2533" t="s">
        <v>1357</v>
      </c>
    </row>
    <row r="2534" spans="8:12">
      <c r="H2534" t="s">
        <v>4671</v>
      </c>
      <c r="I2534" t="s">
        <v>1357</v>
      </c>
      <c r="J2534" t="s">
        <v>1357</v>
      </c>
      <c r="K2534" t="s">
        <v>1357</v>
      </c>
      <c r="L2534" t="s">
        <v>1357</v>
      </c>
    </row>
    <row r="2535" spans="8:12">
      <c r="H2535" t="s">
        <v>3655</v>
      </c>
      <c r="I2535" t="s">
        <v>1357</v>
      </c>
      <c r="J2535" t="s">
        <v>1357</v>
      </c>
      <c r="K2535" t="s">
        <v>1357</v>
      </c>
      <c r="L2535" t="s">
        <v>1357</v>
      </c>
    </row>
    <row r="2536" spans="8:12">
      <c r="H2536" t="s">
        <v>3656</v>
      </c>
      <c r="I2536" t="s">
        <v>1357</v>
      </c>
      <c r="J2536" t="s">
        <v>1357</v>
      </c>
      <c r="K2536" t="s">
        <v>1357</v>
      </c>
      <c r="L2536" t="s">
        <v>1357</v>
      </c>
    </row>
    <row r="2537" spans="8:12">
      <c r="H2537" t="s">
        <v>3657</v>
      </c>
      <c r="I2537" t="s">
        <v>1357</v>
      </c>
      <c r="J2537" t="s">
        <v>1357</v>
      </c>
      <c r="K2537" t="s">
        <v>1357</v>
      </c>
      <c r="L2537" t="s">
        <v>1357</v>
      </c>
    </row>
    <row r="2538" spans="8:12">
      <c r="H2538" t="s">
        <v>3658</v>
      </c>
      <c r="I2538" t="s">
        <v>1357</v>
      </c>
      <c r="J2538" t="s">
        <v>1357</v>
      </c>
      <c r="K2538" t="s">
        <v>1357</v>
      </c>
      <c r="L2538" t="s">
        <v>1357</v>
      </c>
    </row>
    <row r="2539" spans="8:12">
      <c r="H2539" t="s">
        <v>3660</v>
      </c>
      <c r="I2539" t="s">
        <v>1357</v>
      </c>
      <c r="J2539" t="s">
        <v>1357</v>
      </c>
      <c r="K2539" t="s">
        <v>1357</v>
      </c>
      <c r="L2539" t="s">
        <v>1357</v>
      </c>
    </row>
    <row r="2540" spans="8:12">
      <c r="H2540" t="s">
        <v>3661</v>
      </c>
      <c r="I2540" t="s">
        <v>1357</v>
      </c>
      <c r="J2540" t="s">
        <v>1357</v>
      </c>
      <c r="K2540" t="s">
        <v>1357</v>
      </c>
      <c r="L2540" t="s">
        <v>1357</v>
      </c>
    </row>
    <row r="2541" spans="8:12">
      <c r="H2541" t="s">
        <v>3662</v>
      </c>
      <c r="I2541" t="s">
        <v>1357</v>
      </c>
      <c r="J2541" t="s">
        <v>1357</v>
      </c>
      <c r="K2541" t="s">
        <v>1357</v>
      </c>
      <c r="L2541" t="s">
        <v>1357</v>
      </c>
    </row>
    <row r="2542" spans="8:12">
      <c r="H2542" t="s">
        <v>3664</v>
      </c>
      <c r="I2542" t="s">
        <v>1357</v>
      </c>
      <c r="J2542" t="s">
        <v>1357</v>
      </c>
      <c r="K2542" t="s">
        <v>1357</v>
      </c>
      <c r="L2542" t="s">
        <v>1357</v>
      </c>
    </row>
    <row r="2543" spans="8:12">
      <c r="H2543" t="s">
        <v>3665</v>
      </c>
      <c r="I2543" t="s">
        <v>1357</v>
      </c>
      <c r="J2543" t="s">
        <v>1357</v>
      </c>
      <c r="K2543" t="s">
        <v>1357</v>
      </c>
      <c r="L2543" t="s">
        <v>1357</v>
      </c>
    </row>
    <row r="2544" spans="8:12">
      <c r="H2544" t="s">
        <v>3666</v>
      </c>
      <c r="I2544" t="s">
        <v>1357</v>
      </c>
      <c r="J2544" t="s">
        <v>1357</v>
      </c>
      <c r="K2544" t="s">
        <v>1357</v>
      </c>
      <c r="L2544" t="s">
        <v>1357</v>
      </c>
    </row>
    <row r="2545" spans="8:12">
      <c r="H2545" t="s">
        <v>3667</v>
      </c>
      <c r="I2545" t="s">
        <v>1357</v>
      </c>
      <c r="J2545" t="s">
        <v>1357</v>
      </c>
      <c r="K2545" t="s">
        <v>1357</v>
      </c>
      <c r="L2545" t="s">
        <v>1357</v>
      </c>
    </row>
    <row r="2546" spans="8:12">
      <c r="H2546" t="s">
        <v>3668</v>
      </c>
      <c r="I2546" t="s">
        <v>1357</v>
      </c>
      <c r="J2546" t="s">
        <v>1357</v>
      </c>
      <c r="K2546" t="s">
        <v>1357</v>
      </c>
      <c r="L2546" t="s">
        <v>1357</v>
      </c>
    </row>
    <row r="2547" spans="8:12">
      <c r="H2547" t="s">
        <v>3669</v>
      </c>
      <c r="I2547" t="s">
        <v>1357</v>
      </c>
      <c r="J2547" t="s">
        <v>1357</v>
      </c>
      <c r="K2547" t="s">
        <v>1357</v>
      </c>
      <c r="L2547" t="s">
        <v>1357</v>
      </c>
    </row>
    <row r="2548" spans="8:12">
      <c r="H2548" t="s">
        <v>3670</v>
      </c>
      <c r="I2548" t="s">
        <v>1357</v>
      </c>
      <c r="J2548" t="s">
        <v>1357</v>
      </c>
      <c r="K2548" t="s">
        <v>1357</v>
      </c>
      <c r="L2548" t="s">
        <v>1357</v>
      </c>
    </row>
    <row r="2549" spans="8:12">
      <c r="H2549" t="s">
        <v>3671</v>
      </c>
      <c r="I2549" t="s">
        <v>1357</v>
      </c>
      <c r="J2549" t="s">
        <v>1357</v>
      </c>
      <c r="K2549" t="s">
        <v>1357</v>
      </c>
      <c r="L2549" t="s">
        <v>1357</v>
      </c>
    </row>
    <row r="2550" spans="8:12">
      <c r="H2550" t="s">
        <v>3673</v>
      </c>
      <c r="I2550" t="s">
        <v>1357</v>
      </c>
      <c r="J2550" t="s">
        <v>1357</v>
      </c>
      <c r="K2550" t="s">
        <v>1357</v>
      </c>
      <c r="L2550" t="s">
        <v>1357</v>
      </c>
    </row>
    <row r="2551" spans="8:12">
      <c r="H2551" t="s">
        <v>3674</v>
      </c>
      <c r="I2551" t="s">
        <v>1357</v>
      </c>
      <c r="J2551" t="s">
        <v>1357</v>
      </c>
      <c r="K2551" t="s">
        <v>1357</v>
      </c>
      <c r="L2551" t="s">
        <v>1357</v>
      </c>
    </row>
    <row r="2552" spans="8:12">
      <c r="H2552" t="s">
        <v>3676</v>
      </c>
      <c r="I2552" t="s">
        <v>1357</v>
      </c>
      <c r="J2552" t="s">
        <v>1357</v>
      </c>
      <c r="K2552" t="s">
        <v>1357</v>
      </c>
      <c r="L2552" t="s">
        <v>1357</v>
      </c>
    </row>
    <row r="2553" spans="8:12">
      <c r="H2553" t="s">
        <v>3677</v>
      </c>
      <c r="I2553" t="s">
        <v>1357</v>
      </c>
      <c r="J2553" t="s">
        <v>1357</v>
      </c>
      <c r="K2553" t="s">
        <v>1357</v>
      </c>
      <c r="L2553" t="s">
        <v>1357</v>
      </c>
    </row>
    <row r="2554" spans="8:12">
      <c r="H2554" t="s">
        <v>3678</v>
      </c>
      <c r="I2554" t="s">
        <v>1357</v>
      </c>
      <c r="J2554" t="s">
        <v>1357</v>
      </c>
      <c r="K2554" t="s">
        <v>1357</v>
      </c>
      <c r="L2554" t="s">
        <v>1357</v>
      </c>
    </row>
    <row r="2555" spans="8:12">
      <c r="H2555" t="s">
        <v>3679</v>
      </c>
      <c r="I2555" t="s">
        <v>1357</v>
      </c>
      <c r="J2555" t="s">
        <v>1357</v>
      </c>
      <c r="K2555" t="s">
        <v>1357</v>
      </c>
      <c r="L2555" t="s">
        <v>1357</v>
      </c>
    </row>
    <row r="2556" spans="8:12">
      <c r="H2556" t="s">
        <v>3681</v>
      </c>
      <c r="I2556" t="s">
        <v>1357</v>
      </c>
      <c r="J2556" t="s">
        <v>1357</v>
      </c>
      <c r="K2556" t="s">
        <v>1357</v>
      </c>
      <c r="L2556" t="s">
        <v>1357</v>
      </c>
    </row>
    <row r="2557" spans="8:12">
      <c r="H2557" t="s">
        <v>3682</v>
      </c>
      <c r="I2557" t="s">
        <v>1357</v>
      </c>
      <c r="J2557" t="s">
        <v>1357</v>
      </c>
      <c r="K2557" t="s">
        <v>1357</v>
      </c>
      <c r="L2557" t="s">
        <v>1357</v>
      </c>
    </row>
    <row r="2558" spans="8:12">
      <c r="H2558" t="s">
        <v>3683</v>
      </c>
      <c r="I2558" t="s">
        <v>1357</v>
      </c>
      <c r="J2558" t="s">
        <v>1357</v>
      </c>
      <c r="K2558" t="s">
        <v>1357</v>
      </c>
      <c r="L2558" t="s">
        <v>1357</v>
      </c>
    </row>
    <row r="2559" spans="8:12">
      <c r="H2559" t="s">
        <v>3684</v>
      </c>
      <c r="I2559" t="s">
        <v>1357</v>
      </c>
      <c r="J2559" t="s">
        <v>1357</v>
      </c>
      <c r="K2559" t="s">
        <v>1357</v>
      </c>
      <c r="L2559" t="s">
        <v>1357</v>
      </c>
    </row>
    <row r="2560" spans="8:12">
      <c r="H2560" t="s">
        <v>4672</v>
      </c>
      <c r="I2560" t="s">
        <v>1357</v>
      </c>
      <c r="J2560" t="s">
        <v>1357</v>
      </c>
      <c r="K2560" t="s">
        <v>1357</v>
      </c>
      <c r="L2560" t="s">
        <v>1357</v>
      </c>
    </row>
    <row r="2561" spans="1:12">
      <c r="H2561" t="s">
        <v>4673</v>
      </c>
      <c r="I2561" t="s">
        <v>1357</v>
      </c>
      <c r="J2561" t="s">
        <v>1357</v>
      </c>
      <c r="K2561" t="s">
        <v>1357</v>
      </c>
      <c r="L2561" t="s">
        <v>1357</v>
      </c>
    </row>
    <row r="2562" spans="1:12">
      <c r="H2562" t="s">
        <v>4674</v>
      </c>
      <c r="I2562" t="s">
        <v>1357</v>
      </c>
      <c r="J2562" t="s">
        <v>1357</v>
      </c>
      <c r="K2562" t="s">
        <v>1357</v>
      </c>
      <c r="L2562" t="s">
        <v>1357</v>
      </c>
    </row>
    <row r="2563" spans="1:12">
      <c r="H2563" t="s">
        <v>4675</v>
      </c>
      <c r="I2563" t="s">
        <v>1357</v>
      </c>
      <c r="J2563" t="s">
        <v>1357</v>
      </c>
      <c r="K2563" t="s">
        <v>1357</v>
      </c>
      <c r="L2563" t="s">
        <v>1357</v>
      </c>
    </row>
    <row r="2564" spans="1:12">
      <c r="H2564" t="s">
        <v>4676</v>
      </c>
      <c r="I2564" t="s">
        <v>1357</v>
      </c>
      <c r="J2564" t="s">
        <v>1357</v>
      </c>
      <c r="K2564" t="s">
        <v>1357</v>
      </c>
      <c r="L2564" t="s">
        <v>1357</v>
      </c>
    </row>
    <row r="2565" spans="1:12">
      <c r="H2565" t="s">
        <v>4677</v>
      </c>
      <c r="I2565" t="s">
        <v>1357</v>
      </c>
      <c r="J2565" t="s">
        <v>1357</v>
      </c>
      <c r="K2565" t="s">
        <v>1357</v>
      </c>
      <c r="L2565" t="s">
        <v>1357</v>
      </c>
    </row>
    <row r="2566" spans="1:12">
      <c r="H2566" t="s">
        <v>4678</v>
      </c>
      <c r="I2566" t="s">
        <v>1357</v>
      </c>
      <c r="J2566" t="s">
        <v>1357</v>
      </c>
      <c r="K2566" t="s">
        <v>1357</v>
      </c>
      <c r="L2566" t="s">
        <v>1357</v>
      </c>
    </row>
    <row r="2567" spans="1:12">
      <c r="H2567" t="s">
        <v>4679</v>
      </c>
      <c r="I2567" t="s">
        <v>1357</v>
      </c>
      <c r="J2567" t="s">
        <v>1357</v>
      </c>
      <c r="K2567" t="s">
        <v>1357</v>
      </c>
      <c r="L2567" t="s">
        <v>1357</v>
      </c>
    </row>
    <row r="2568" spans="1:12">
      <c r="H2568" t="s">
        <v>4680</v>
      </c>
      <c r="I2568" t="s">
        <v>1357</v>
      </c>
      <c r="J2568" t="s">
        <v>1357</v>
      </c>
      <c r="K2568" t="s">
        <v>1357</v>
      </c>
      <c r="L2568" t="s">
        <v>1357</v>
      </c>
    </row>
    <row r="2569" spans="1:12">
      <c r="H2569" t="s">
        <v>3853</v>
      </c>
      <c r="I2569" t="s">
        <v>1357</v>
      </c>
      <c r="J2569" t="s">
        <v>1357</v>
      </c>
      <c r="K2569" t="s">
        <v>1357</v>
      </c>
      <c r="L2569" t="s">
        <v>1357</v>
      </c>
    </row>
    <row r="2570" spans="1:12">
      <c r="A2570" t="s">
        <v>2096</v>
      </c>
      <c r="B2570">
        <f>HYPERLINK("https://github.com/apache/commons-math/commit/583d9ec8647a7f667bb8f22cecf9859187149ade", "583d9ec8647a7f667bb8f22cecf9859187149ade")</f>
        <v>0</v>
      </c>
      <c r="C2570">
        <f>HYPERLINK("https://github.com/apache/commons-math/commit/35378d9c4a3a656b881e77fb405fabd22f7803eb", "35378d9c4a3a656b881e77fb405fabd22f7803eb")</f>
        <v>0</v>
      </c>
      <c r="D2570" t="s">
        <v>2151</v>
      </c>
      <c r="E2570" t="s">
        <v>2380</v>
      </c>
      <c r="F2570" t="s">
        <v>2800</v>
      </c>
      <c r="G2570" t="s">
        <v>3177</v>
      </c>
      <c r="H2570" t="s">
        <v>3790</v>
      </c>
      <c r="I2570" t="s">
        <v>1357</v>
      </c>
      <c r="J2570" t="s">
        <v>1357</v>
      </c>
      <c r="K2570" t="s">
        <v>1357</v>
      </c>
      <c r="L2570" t="s">
        <v>1357</v>
      </c>
    </row>
    <row r="2571" spans="1:12">
      <c r="H2571" t="s">
        <v>3695</v>
      </c>
      <c r="I2571" t="s">
        <v>1357</v>
      </c>
      <c r="J2571" t="s">
        <v>1357</v>
      </c>
      <c r="K2571" t="s">
        <v>1357</v>
      </c>
      <c r="L2571" t="s">
        <v>1357</v>
      </c>
    </row>
    <row r="2572" spans="1:12">
      <c r="H2572" t="s">
        <v>3853</v>
      </c>
      <c r="I2572" t="s">
        <v>1357</v>
      </c>
      <c r="J2572" t="s">
        <v>1357</v>
      </c>
      <c r="K2572" t="s">
        <v>1357</v>
      </c>
      <c r="L2572" t="s">
        <v>1357</v>
      </c>
    </row>
    <row r="2573" spans="1:12">
      <c r="A2573" t="s">
        <v>2097</v>
      </c>
      <c r="B2573">
        <f>HYPERLINK("https://github.com/apache/commons-math/commit/735dbc79340d609318a339cf7b85cb542e969d0a", "735dbc79340d609318a339cf7b85cb542e969d0a")</f>
        <v>0</v>
      </c>
      <c r="C2573">
        <f>HYPERLINK("https://github.com/apache/commons-math/commit/471d4d60dc21fbccb8c6b4616a00238c245f78f6", "471d4d60dc21fbccb8c6b4616a00238c245f78f6")</f>
        <v>0</v>
      </c>
      <c r="D2573" t="s">
        <v>2158</v>
      </c>
      <c r="E2573" t="s">
        <v>2381</v>
      </c>
      <c r="F2573" t="s">
        <v>2801</v>
      </c>
      <c r="G2573" t="s">
        <v>3178</v>
      </c>
      <c r="H2573" t="s">
        <v>4681</v>
      </c>
      <c r="I2573" t="s">
        <v>1357</v>
      </c>
      <c r="J2573" t="s">
        <v>1357</v>
      </c>
      <c r="K2573" t="s">
        <v>1357</v>
      </c>
      <c r="L2573" t="s">
        <v>1357</v>
      </c>
    </row>
    <row r="2574" spans="1:12">
      <c r="H2574" t="s">
        <v>4682</v>
      </c>
      <c r="I2574" t="s">
        <v>1357</v>
      </c>
      <c r="J2574" t="s">
        <v>1357</v>
      </c>
      <c r="K2574" t="s">
        <v>1357</v>
      </c>
      <c r="L2574" t="s">
        <v>1357</v>
      </c>
    </row>
    <row r="2575" spans="1:12">
      <c r="H2575" t="s">
        <v>4683</v>
      </c>
      <c r="I2575" t="s">
        <v>1357</v>
      </c>
      <c r="J2575" t="s">
        <v>1357</v>
      </c>
      <c r="K2575" t="s">
        <v>1357</v>
      </c>
      <c r="L2575" t="s">
        <v>1357</v>
      </c>
    </row>
    <row r="2576" spans="1:12">
      <c r="H2576" t="s">
        <v>4684</v>
      </c>
      <c r="I2576" t="s">
        <v>1357</v>
      </c>
      <c r="J2576" t="s">
        <v>1357</v>
      </c>
      <c r="K2576" t="s">
        <v>1357</v>
      </c>
      <c r="L2576" t="s">
        <v>1357</v>
      </c>
    </row>
    <row r="2577" spans="6:12">
      <c r="H2577" t="s">
        <v>4685</v>
      </c>
      <c r="I2577" t="s">
        <v>1357</v>
      </c>
      <c r="J2577" t="s">
        <v>1357</v>
      </c>
      <c r="K2577" t="s">
        <v>1357</v>
      </c>
      <c r="L2577" t="s">
        <v>1357</v>
      </c>
    </row>
    <row r="2578" spans="6:12">
      <c r="H2578" t="s">
        <v>4686</v>
      </c>
      <c r="I2578" t="s">
        <v>1357</v>
      </c>
      <c r="J2578" t="s">
        <v>1357</v>
      </c>
      <c r="K2578" t="s">
        <v>1357</v>
      </c>
      <c r="L2578" t="s">
        <v>1357</v>
      </c>
    </row>
    <row r="2579" spans="6:12">
      <c r="H2579" t="s">
        <v>4687</v>
      </c>
      <c r="I2579" t="s">
        <v>1357</v>
      </c>
      <c r="J2579" t="s">
        <v>1357</v>
      </c>
      <c r="K2579" t="s">
        <v>1357</v>
      </c>
      <c r="L2579" t="s">
        <v>1357</v>
      </c>
    </row>
    <row r="2580" spans="6:12">
      <c r="F2580" t="s">
        <v>2802</v>
      </c>
      <c r="G2580" t="s">
        <v>3179</v>
      </c>
      <c r="H2580" t="s">
        <v>4681</v>
      </c>
      <c r="I2580" t="s">
        <v>1357</v>
      </c>
      <c r="J2580" t="s">
        <v>1357</v>
      </c>
      <c r="K2580" t="s">
        <v>1357</v>
      </c>
      <c r="L2580" t="s">
        <v>1357</v>
      </c>
    </row>
    <row r="2581" spans="6:12">
      <c r="H2581" t="s">
        <v>4682</v>
      </c>
      <c r="I2581" t="s">
        <v>1357</v>
      </c>
      <c r="J2581" t="s">
        <v>1357</v>
      </c>
      <c r="K2581" t="s">
        <v>1357</v>
      </c>
      <c r="L2581" t="s">
        <v>1357</v>
      </c>
    </row>
    <row r="2582" spans="6:12">
      <c r="H2582" t="s">
        <v>4688</v>
      </c>
      <c r="I2582" t="s">
        <v>1357</v>
      </c>
      <c r="J2582" t="s">
        <v>1357</v>
      </c>
      <c r="K2582" t="s">
        <v>1357</v>
      </c>
      <c r="L2582" t="s">
        <v>1357</v>
      </c>
    </row>
    <row r="2583" spans="6:12">
      <c r="H2583" t="s">
        <v>4689</v>
      </c>
      <c r="I2583" t="s">
        <v>1357</v>
      </c>
      <c r="J2583" t="s">
        <v>1357</v>
      </c>
      <c r="K2583" t="s">
        <v>1357</v>
      </c>
      <c r="L2583" t="s">
        <v>1357</v>
      </c>
    </row>
    <row r="2584" spans="6:12">
      <c r="H2584" t="s">
        <v>4687</v>
      </c>
      <c r="I2584" t="s">
        <v>1357</v>
      </c>
      <c r="J2584" t="s">
        <v>1357</v>
      </c>
      <c r="K2584" t="s">
        <v>1357</v>
      </c>
      <c r="L2584" t="s">
        <v>1357</v>
      </c>
    </row>
    <row r="2585" spans="6:12">
      <c r="F2585" t="s">
        <v>2797</v>
      </c>
      <c r="G2585" t="s">
        <v>3175</v>
      </c>
      <c r="H2585" t="s">
        <v>4690</v>
      </c>
      <c r="I2585" t="s">
        <v>1357</v>
      </c>
      <c r="J2585" t="s">
        <v>1357</v>
      </c>
      <c r="K2585" t="s">
        <v>1357</v>
      </c>
      <c r="L2585" t="s">
        <v>1357</v>
      </c>
    </row>
    <row r="2586" spans="6:12">
      <c r="H2586" t="s">
        <v>4691</v>
      </c>
      <c r="I2586" t="s">
        <v>1357</v>
      </c>
      <c r="J2586" t="s">
        <v>1357</v>
      </c>
      <c r="K2586" t="s">
        <v>1357</v>
      </c>
      <c r="L2586" t="s">
        <v>1357</v>
      </c>
    </row>
    <row r="2587" spans="6:12">
      <c r="H2587" t="s">
        <v>4692</v>
      </c>
      <c r="I2587" t="s">
        <v>1357</v>
      </c>
      <c r="J2587" t="s">
        <v>1357</v>
      </c>
      <c r="K2587" t="s">
        <v>1357</v>
      </c>
      <c r="L2587" t="s">
        <v>1357</v>
      </c>
    </row>
    <row r="2588" spans="6:12">
      <c r="H2588" t="s">
        <v>4693</v>
      </c>
      <c r="I2588" t="s">
        <v>1357</v>
      </c>
      <c r="J2588" t="s">
        <v>1357</v>
      </c>
      <c r="K2588" t="s">
        <v>1357</v>
      </c>
      <c r="L2588" t="s">
        <v>1357</v>
      </c>
    </row>
    <row r="2589" spans="6:12">
      <c r="H2589" t="s">
        <v>4694</v>
      </c>
      <c r="I2589" t="s">
        <v>1357</v>
      </c>
      <c r="J2589" t="s">
        <v>1357</v>
      </c>
      <c r="K2589" t="s">
        <v>1357</v>
      </c>
      <c r="L2589" t="s">
        <v>1357</v>
      </c>
    </row>
    <row r="2590" spans="6:12">
      <c r="H2590" t="s">
        <v>4695</v>
      </c>
      <c r="I2590" t="s">
        <v>1357</v>
      </c>
      <c r="J2590" t="s">
        <v>1357</v>
      </c>
      <c r="K2590" t="s">
        <v>1357</v>
      </c>
      <c r="L2590" t="s">
        <v>1357</v>
      </c>
    </row>
    <row r="2591" spans="6:12">
      <c r="H2591" t="s">
        <v>4696</v>
      </c>
      <c r="I2591" t="s">
        <v>1357</v>
      </c>
      <c r="J2591" t="s">
        <v>1357</v>
      </c>
      <c r="K2591" t="s">
        <v>1357</v>
      </c>
      <c r="L2591" t="s">
        <v>1357</v>
      </c>
    </row>
    <row r="2592" spans="6:12">
      <c r="H2592" t="s">
        <v>3790</v>
      </c>
      <c r="I2592" t="s">
        <v>1357</v>
      </c>
      <c r="J2592" t="s">
        <v>1357</v>
      </c>
      <c r="K2592" t="s">
        <v>1357</v>
      </c>
      <c r="L2592" t="s">
        <v>1357</v>
      </c>
    </row>
    <row r="2593" spans="8:12">
      <c r="H2593" t="s">
        <v>4697</v>
      </c>
      <c r="I2593" t="s">
        <v>1357</v>
      </c>
      <c r="J2593" t="s">
        <v>1357</v>
      </c>
      <c r="K2593" t="s">
        <v>1357</v>
      </c>
      <c r="L2593" t="s">
        <v>1357</v>
      </c>
    </row>
    <row r="2594" spans="8:12">
      <c r="H2594" t="s">
        <v>3394</v>
      </c>
      <c r="I2594" t="s">
        <v>1357</v>
      </c>
      <c r="J2594" t="s">
        <v>1357</v>
      </c>
      <c r="K2594" t="s">
        <v>1357</v>
      </c>
      <c r="L2594" t="s">
        <v>1357</v>
      </c>
    </row>
    <row r="2595" spans="8:12">
      <c r="H2595" t="s">
        <v>4698</v>
      </c>
      <c r="I2595" t="s">
        <v>1357</v>
      </c>
      <c r="J2595" t="s">
        <v>1357</v>
      </c>
      <c r="K2595" t="s">
        <v>1357</v>
      </c>
      <c r="L2595" t="s">
        <v>1357</v>
      </c>
    </row>
    <row r="2596" spans="8:12">
      <c r="H2596" t="s">
        <v>4699</v>
      </c>
      <c r="I2596" t="s">
        <v>1357</v>
      </c>
      <c r="J2596" t="s">
        <v>1357</v>
      </c>
      <c r="K2596" t="s">
        <v>1357</v>
      </c>
      <c r="L2596" t="s">
        <v>1357</v>
      </c>
    </row>
    <row r="2597" spans="8:12">
      <c r="H2597" t="s">
        <v>3303</v>
      </c>
      <c r="I2597" t="s">
        <v>1357</v>
      </c>
      <c r="J2597" t="s">
        <v>1357</v>
      </c>
      <c r="K2597" t="s">
        <v>1357</v>
      </c>
      <c r="L2597" t="s">
        <v>1357</v>
      </c>
    </row>
    <row r="2598" spans="8:12">
      <c r="H2598" t="s">
        <v>3313</v>
      </c>
      <c r="I2598" t="s">
        <v>1357</v>
      </c>
      <c r="J2598" t="s">
        <v>1357</v>
      </c>
      <c r="K2598" t="s">
        <v>1357</v>
      </c>
      <c r="L2598" t="s">
        <v>1357</v>
      </c>
    </row>
    <row r="2599" spans="8:12">
      <c r="H2599" t="s">
        <v>4523</v>
      </c>
      <c r="I2599" t="s">
        <v>1357</v>
      </c>
      <c r="J2599" t="s">
        <v>1357</v>
      </c>
      <c r="K2599" t="s">
        <v>1357</v>
      </c>
      <c r="L2599" t="s">
        <v>1357</v>
      </c>
    </row>
    <row r="2600" spans="8:12">
      <c r="H2600" t="s">
        <v>4700</v>
      </c>
      <c r="I2600" t="s">
        <v>1357</v>
      </c>
      <c r="J2600" t="s">
        <v>1357</v>
      </c>
      <c r="K2600" t="s">
        <v>1357</v>
      </c>
      <c r="L2600" t="s">
        <v>1357</v>
      </c>
    </row>
    <row r="2601" spans="8:12">
      <c r="H2601" t="s">
        <v>3311</v>
      </c>
      <c r="I2601" t="s">
        <v>1357</v>
      </c>
      <c r="J2601" t="s">
        <v>1357</v>
      </c>
      <c r="K2601" t="s">
        <v>1357</v>
      </c>
      <c r="L2601" t="s">
        <v>1357</v>
      </c>
    </row>
    <row r="2602" spans="8:12">
      <c r="H2602" t="s">
        <v>4637</v>
      </c>
      <c r="I2602" t="s">
        <v>1357</v>
      </c>
      <c r="J2602" t="s">
        <v>1357</v>
      </c>
      <c r="K2602" t="s">
        <v>1357</v>
      </c>
      <c r="L2602" t="s">
        <v>1357</v>
      </c>
    </row>
    <row r="2603" spans="8:12">
      <c r="H2603" t="s">
        <v>4701</v>
      </c>
      <c r="I2603" t="s">
        <v>1357</v>
      </c>
      <c r="J2603" t="s">
        <v>1357</v>
      </c>
      <c r="K2603" t="s">
        <v>1357</v>
      </c>
      <c r="L2603" t="s">
        <v>1357</v>
      </c>
    </row>
    <row r="2604" spans="8:12">
      <c r="H2604" t="s">
        <v>4702</v>
      </c>
      <c r="I2604" t="s">
        <v>1357</v>
      </c>
      <c r="J2604" t="s">
        <v>1357</v>
      </c>
      <c r="K2604" t="s">
        <v>1357</v>
      </c>
      <c r="L2604" t="s">
        <v>1357</v>
      </c>
    </row>
    <row r="2605" spans="8:12">
      <c r="H2605" t="s">
        <v>4703</v>
      </c>
      <c r="I2605" t="s">
        <v>1357</v>
      </c>
      <c r="J2605" t="s">
        <v>1357</v>
      </c>
      <c r="K2605" t="s">
        <v>1357</v>
      </c>
      <c r="L2605" t="s">
        <v>1357</v>
      </c>
    </row>
    <row r="2606" spans="8:12">
      <c r="H2606" t="s">
        <v>4106</v>
      </c>
      <c r="I2606" t="s">
        <v>1357</v>
      </c>
      <c r="J2606" t="s">
        <v>1357</v>
      </c>
      <c r="K2606" t="s">
        <v>1357</v>
      </c>
      <c r="L2606" t="s">
        <v>1357</v>
      </c>
    </row>
    <row r="2607" spans="8:12">
      <c r="H2607" t="s">
        <v>4704</v>
      </c>
      <c r="I2607" t="s">
        <v>1357</v>
      </c>
      <c r="J2607" t="s">
        <v>1357</v>
      </c>
      <c r="K2607" t="s">
        <v>1357</v>
      </c>
      <c r="L2607" t="s">
        <v>1357</v>
      </c>
    </row>
    <row r="2608" spans="8:12">
      <c r="H2608" t="s">
        <v>4705</v>
      </c>
      <c r="I2608" t="s">
        <v>1357</v>
      </c>
      <c r="J2608" t="s">
        <v>1357</v>
      </c>
      <c r="K2608" t="s">
        <v>1357</v>
      </c>
      <c r="L2608" t="s">
        <v>1357</v>
      </c>
    </row>
    <row r="2609" spans="6:12">
      <c r="H2609" t="s">
        <v>4706</v>
      </c>
      <c r="I2609" t="s">
        <v>1357</v>
      </c>
      <c r="J2609" t="s">
        <v>1357</v>
      </c>
      <c r="K2609" t="s">
        <v>1357</v>
      </c>
      <c r="L2609" t="s">
        <v>1357</v>
      </c>
    </row>
    <row r="2610" spans="6:12">
      <c r="H2610" t="s">
        <v>4707</v>
      </c>
      <c r="I2610" t="s">
        <v>1357</v>
      </c>
      <c r="J2610" t="s">
        <v>1357</v>
      </c>
      <c r="K2610" t="s">
        <v>1357</v>
      </c>
      <c r="L2610" t="s">
        <v>1357</v>
      </c>
    </row>
    <row r="2611" spans="6:12">
      <c r="H2611" t="s">
        <v>4708</v>
      </c>
      <c r="I2611" t="s">
        <v>1357</v>
      </c>
      <c r="J2611" t="s">
        <v>1357</v>
      </c>
      <c r="K2611" t="s">
        <v>1357</v>
      </c>
      <c r="L2611" t="s">
        <v>1357</v>
      </c>
    </row>
    <row r="2612" spans="6:12">
      <c r="H2612" t="s">
        <v>4709</v>
      </c>
      <c r="I2612" t="s">
        <v>1357</v>
      </c>
      <c r="J2612" t="s">
        <v>1357</v>
      </c>
      <c r="K2612" t="s">
        <v>1357</v>
      </c>
      <c r="L2612" t="s">
        <v>1357</v>
      </c>
    </row>
    <row r="2613" spans="6:12">
      <c r="H2613" t="s">
        <v>899</v>
      </c>
      <c r="I2613" t="s">
        <v>1357</v>
      </c>
      <c r="J2613" t="s">
        <v>1357</v>
      </c>
      <c r="K2613" t="s">
        <v>1357</v>
      </c>
      <c r="L2613" t="s">
        <v>1357</v>
      </c>
    </row>
    <row r="2614" spans="6:12">
      <c r="H2614" t="s">
        <v>4710</v>
      </c>
      <c r="I2614" t="s">
        <v>1357</v>
      </c>
      <c r="J2614" t="s">
        <v>1357</v>
      </c>
      <c r="K2614" t="s">
        <v>1357</v>
      </c>
      <c r="L2614" t="s">
        <v>1357</v>
      </c>
    </row>
    <row r="2615" spans="6:12">
      <c r="H2615" t="s">
        <v>901</v>
      </c>
      <c r="I2615" t="s">
        <v>1357</v>
      </c>
      <c r="J2615" t="s">
        <v>1357</v>
      </c>
      <c r="K2615" t="s">
        <v>1357</v>
      </c>
      <c r="L2615" t="s">
        <v>1357</v>
      </c>
    </row>
    <row r="2616" spans="6:12">
      <c r="H2616" t="s">
        <v>4711</v>
      </c>
      <c r="I2616" t="s">
        <v>1357</v>
      </c>
      <c r="J2616" t="s">
        <v>1357</v>
      </c>
      <c r="K2616" t="s">
        <v>1357</v>
      </c>
      <c r="L2616" t="s">
        <v>1357</v>
      </c>
    </row>
    <row r="2617" spans="6:12">
      <c r="F2617" t="s">
        <v>2803</v>
      </c>
      <c r="G2617" t="s">
        <v>3180</v>
      </c>
      <c r="H2617" t="s">
        <v>4712</v>
      </c>
      <c r="I2617" t="s">
        <v>1357</v>
      </c>
      <c r="J2617" t="s">
        <v>1357</v>
      </c>
      <c r="K2617" t="s">
        <v>1357</v>
      </c>
      <c r="L2617" t="s">
        <v>1357</v>
      </c>
    </row>
    <row r="2618" spans="6:12">
      <c r="H2618" t="s">
        <v>4713</v>
      </c>
      <c r="I2618" t="s">
        <v>1357</v>
      </c>
      <c r="J2618" t="s">
        <v>1357</v>
      </c>
      <c r="K2618" t="s">
        <v>1357</v>
      </c>
      <c r="L2618" t="s">
        <v>1357</v>
      </c>
    </row>
    <row r="2619" spans="6:12">
      <c r="H2619" t="s">
        <v>906</v>
      </c>
      <c r="I2619" t="s">
        <v>1357</v>
      </c>
      <c r="J2619" t="s">
        <v>1357</v>
      </c>
      <c r="K2619" t="s">
        <v>1357</v>
      </c>
      <c r="L2619" t="s">
        <v>1357</v>
      </c>
    </row>
    <row r="2620" spans="6:12">
      <c r="F2620" t="s">
        <v>2804</v>
      </c>
      <c r="G2620" t="s">
        <v>3015</v>
      </c>
      <c r="H2620" t="s">
        <v>4714</v>
      </c>
      <c r="I2620" t="s">
        <v>1357</v>
      </c>
      <c r="J2620" t="s">
        <v>1357</v>
      </c>
      <c r="K2620" t="s">
        <v>1357</v>
      </c>
      <c r="L2620" t="s">
        <v>1357</v>
      </c>
    </row>
    <row r="2621" spans="6:12">
      <c r="H2621" t="s">
        <v>4715</v>
      </c>
      <c r="I2621" t="s">
        <v>1357</v>
      </c>
      <c r="J2621" t="s">
        <v>1357</v>
      </c>
      <c r="K2621" t="s">
        <v>1357</v>
      </c>
      <c r="L2621" t="s">
        <v>1357</v>
      </c>
    </row>
    <row r="2622" spans="6:12">
      <c r="H2622" t="s">
        <v>4716</v>
      </c>
      <c r="I2622" t="s">
        <v>1357</v>
      </c>
      <c r="J2622" t="s">
        <v>1357</v>
      </c>
      <c r="K2622" t="s">
        <v>1357</v>
      </c>
      <c r="L2622" t="s">
        <v>1357</v>
      </c>
    </row>
    <row r="2623" spans="6:12">
      <c r="H2623" t="s">
        <v>4717</v>
      </c>
      <c r="I2623" t="s">
        <v>1357</v>
      </c>
      <c r="J2623" t="s">
        <v>1357</v>
      </c>
      <c r="K2623" t="s">
        <v>1357</v>
      </c>
      <c r="L2623" t="s">
        <v>1357</v>
      </c>
    </row>
    <row r="2624" spans="6:12">
      <c r="H2624" t="s">
        <v>4718</v>
      </c>
      <c r="I2624" t="s">
        <v>1357</v>
      </c>
      <c r="J2624" t="s">
        <v>1357</v>
      </c>
      <c r="K2624" t="s">
        <v>1357</v>
      </c>
      <c r="L2624" t="s">
        <v>1357</v>
      </c>
    </row>
    <row r="2625" spans="6:12">
      <c r="H2625" t="s">
        <v>4719</v>
      </c>
      <c r="I2625" t="s">
        <v>1357</v>
      </c>
      <c r="J2625" t="s">
        <v>1357</v>
      </c>
      <c r="K2625" t="s">
        <v>1357</v>
      </c>
      <c r="L2625" t="s">
        <v>1357</v>
      </c>
    </row>
    <row r="2626" spans="6:12">
      <c r="H2626" t="s">
        <v>4720</v>
      </c>
      <c r="I2626" t="s">
        <v>1357</v>
      </c>
      <c r="J2626" t="s">
        <v>1357</v>
      </c>
      <c r="K2626" t="s">
        <v>1357</v>
      </c>
      <c r="L2626" t="s">
        <v>1357</v>
      </c>
    </row>
    <row r="2627" spans="6:12">
      <c r="H2627" t="s">
        <v>4721</v>
      </c>
      <c r="I2627" t="s">
        <v>1357</v>
      </c>
      <c r="J2627" t="s">
        <v>1357</v>
      </c>
      <c r="K2627" t="s">
        <v>1357</v>
      </c>
      <c r="L2627" t="s">
        <v>1357</v>
      </c>
    </row>
    <row r="2628" spans="6:12">
      <c r="H2628" t="s">
        <v>4722</v>
      </c>
      <c r="I2628" t="s">
        <v>1357</v>
      </c>
      <c r="J2628" t="s">
        <v>1357</v>
      </c>
      <c r="K2628" t="s">
        <v>1357</v>
      </c>
      <c r="L2628" t="s">
        <v>1357</v>
      </c>
    </row>
    <row r="2629" spans="6:12">
      <c r="H2629" t="s">
        <v>4723</v>
      </c>
      <c r="I2629" t="s">
        <v>1357</v>
      </c>
      <c r="J2629" t="s">
        <v>1357</v>
      </c>
      <c r="K2629" t="s">
        <v>1357</v>
      </c>
      <c r="L2629" t="s">
        <v>1357</v>
      </c>
    </row>
    <row r="2630" spans="6:12">
      <c r="H2630" t="s">
        <v>4724</v>
      </c>
      <c r="I2630" t="s">
        <v>1357</v>
      </c>
      <c r="J2630" t="s">
        <v>1357</v>
      </c>
      <c r="K2630" t="s">
        <v>1357</v>
      </c>
      <c r="L2630" t="s">
        <v>1357</v>
      </c>
    </row>
    <row r="2631" spans="6:12">
      <c r="F2631" t="s">
        <v>2805</v>
      </c>
      <c r="G2631" t="s">
        <v>3181</v>
      </c>
      <c r="H2631" t="s">
        <v>4725</v>
      </c>
      <c r="I2631" t="s">
        <v>1357</v>
      </c>
      <c r="J2631" t="s">
        <v>1357</v>
      </c>
      <c r="K2631" t="s">
        <v>1357</v>
      </c>
      <c r="L2631" t="s">
        <v>1357</v>
      </c>
    </row>
    <row r="2632" spans="6:12">
      <c r="H2632" t="s">
        <v>4726</v>
      </c>
      <c r="I2632" t="s">
        <v>1357</v>
      </c>
      <c r="J2632" t="s">
        <v>1357</v>
      </c>
      <c r="K2632" t="s">
        <v>1357</v>
      </c>
      <c r="L2632" t="s">
        <v>1357</v>
      </c>
    </row>
    <row r="2633" spans="6:12">
      <c r="H2633" t="s">
        <v>4727</v>
      </c>
      <c r="I2633" t="s">
        <v>1357</v>
      </c>
      <c r="J2633" t="s">
        <v>1357</v>
      </c>
      <c r="K2633" t="s">
        <v>1357</v>
      </c>
      <c r="L2633" t="s">
        <v>1357</v>
      </c>
    </row>
    <row r="2634" spans="6:12">
      <c r="H2634" t="s">
        <v>4728</v>
      </c>
      <c r="I2634" t="s">
        <v>1357</v>
      </c>
      <c r="J2634" t="s">
        <v>1357</v>
      </c>
      <c r="K2634" t="s">
        <v>1357</v>
      </c>
      <c r="L2634" t="s">
        <v>1357</v>
      </c>
    </row>
    <row r="2635" spans="6:12">
      <c r="H2635" t="s">
        <v>4729</v>
      </c>
      <c r="I2635" t="s">
        <v>1357</v>
      </c>
      <c r="J2635" t="s">
        <v>1357</v>
      </c>
      <c r="K2635" t="s">
        <v>1357</v>
      </c>
      <c r="L2635" t="s">
        <v>1357</v>
      </c>
    </row>
    <row r="2636" spans="6:12">
      <c r="H2636" t="s">
        <v>4730</v>
      </c>
      <c r="I2636" t="s">
        <v>1357</v>
      </c>
      <c r="J2636" t="s">
        <v>1357</v>
      </c>
      <c r="K2636" t="s">
        <v>1357</v>
      </c>
      <c r="L2636" t="s">
        <v>1357</v>
      </c>
    </row>
    <row r="2637" spans="6:12">
      <c r="H2637" t="s">
        <v>4731</v>
      </c>
      <c r="I2637" t="s">
        <v>1357</v>
      </c>
      <c r="J2637" t="s">
        <v>1357</v>
      </c>
      <c r="K2637" t="s">
        <v>1357</v>
      </c>
      <c r="L2637" t="s">
        <v>1357</v>
      </c>
    </row>
    <row r="2638" spans="6:12">
      <c r="H2638" t="s">
        <v>4732</v>
      </c>
      <c r="I2638" t="s">
        <v>1357</v>
      </c>
      <c r="J2638" t="s">
        <v>1357</v>
      </c>
      <c r="K2638" t="s">
        <v>1357</v>
      </c>
      <c r="L2638" t="s">
        <v>1357</v>
      </c>
    </row>
    <row r="2639" spans="6:12">
      <c r="H2639" t="s">
        <v>4733</v>
      </c>
      <c r="I2639" t="s">
        <v>1357</v>
      </c>
      <c r="J2639" t="s">
        <v>1357</v>
      </c>
      <c r="K2639" t="s">
        <v>1357</v>
      </c>
      <c r="L2639" t="s">
        <v>1357</v>
      </c>
    </row>
    <row r="2640" spans="6:12">
      <c r="H2640" t="s">
        <v>4734</v>
      </c>
      <c r="I2640" t="s">
        <v>1357</v>
      </c>
      <c r="J2640" t="s">
        <v>1357</v>
      </c>
      <c r="K2640" t="s">
        <v>1357</v>
      </c>
      <c r="L2640" t="s">
        <v>1357</v>
      </c>
    </row>
    <row r="2641" spans="6:12">
      <c r="H2641" t="s">
        <v>4735</v>
      </c>
      <c r="I2641" t="s">
        <v>1357</v>
      </c>
      <c r="J2641" t="s">
        <v>1357</v>
      </c>
      <c r="K2641" t="s">
        <v>1357</v>
      </c>
      <c r="L2641" t="s">
        <v>1357</v>
      </c>
    </row>
    <row r="2642" spans="6:12">
      <c r="H2642" t="s">
        <v>4736</v>
      </c>
      <c r="I2642" t="s">
        <v>1357</v>
      </c>
      <c r="J2642" t="s">
        <v>1357</v>
      </c>
      <c r="K2642" t="s">
        <v>1357</v>
      </c>
      <c r="L2642" t="s">
        <v>1357</v>
      </c>
    </row>
    <row r="2643" spans="6:12">
      <c r="H2643" t="s">
        <v>4737</v>
      </c>
      <c r="I2643" t="s">
        <v>1357</v>
      </c>
      <c r="J2643" t="s">
        <v>1357</v>
      </c>
      <c r="K2643" t="s">
        <v>1357</v>
      </c>
      <c r="L2643" t="s">
        <v>1357</v>
      </c>
    </row>
    <row r="2644" spans="6:12">
      <c r="H2644" t="s">
        <v>4738</v>
      </c>
      <c r="I2644" t="s">
        <v>1357</v>
      </c>
      <c r="J2644" t="s">
        <v>1357</v>
      </c>
      <c r="K2644" t="s">
        <v>1357</v>
      </c>
      <c r="L2644" t="s">
        <v>1357</v>
      </c>
    </row>
    <row r="2645" spans="6:12">
      <c r="H2645" t="s">
        <v>4739</v>
      </c>
      <c r="I2645" t="s">
        <v>1357</v>
      </c>
      <c r="J2645" t="s">
        <v>1357</v>
      </c>
      <c r="K2645" t="s">
        <v>1357</v>
      </c>
      <c r="L2645" t="s">
        <v>1357</v>
      </c>
    </row>
    <row r="2646" spans="6:12">
      <c r="H2646" t="s">
        <v>4740</v>
      </c>
      <c r="I2646" t="s">
        <v>1357</v>
      </c>
      <c r="J2646" t="s">
        <v>1357</v>
      </c>
      <c r="K2646" t="s">
        <v>1357</v>
      </c>
      <c r="L2646" t="s">
        <v>1357</v>
      </c>
    </row>
    <row r="2647" spans="6:12">
      <c r="H2647" t="s">
        <v>4702</v>
      </c>
      <c r="I2647" t="s">
        <v>1357</v>
      </c>
      <c r="J2647" t="s">
        <v>1357</v>
      </c>
      <c r="K2647" t="s">
        <v>1357</v>
      </c>
      <c r="L2647" t="s">
        <v>1357</v>
      </c>
    </row>
    <row r="2648" spans="6:12">
      <c r="H2648" t="s">
        <v>4741</v>
      </c>
      <c r="I2648" t="s">
        <v>1357</v>
      </c>
      <c r="J2648" t="s">
        <v>1357</v>
      </c>
      <c r="K2648" t="s">
        <v>1357</v>
      </c>
      <c r="L2648" t="s">
        <v>1357</v>
      </c>
    </row>
    <row r="2649" spans="6:12">
      <c r="F2649" t="s">
        <v>2806</v>
      </c>
      <c r="G2649" t="s">
        <v>3182</v>
      </c>
      <c r="H2649" t="s">
        <v>795</v>
      </c>
      <c r="I2649" t="s">
        <v>1357</v>
      </c>
      <c r="J2649" t="s">
        <v>1357</v>
      </c>
      <c r="K2649" t="s">
        <v>1357</v>
      </c>
      <c r="L2649" t="s">
        <v>1357</v>
      </c>
    </row>
    <row r="2650" spans="6:12">
      <c r="H2650" t="s">
        <v>4742</v>
      </c>
      <c r="I2650" t="s">
        <v>1357</v>
      </c>
      <c r="J2650" t="s">
        <v>1357</v>
      </c>
      <c r="K2650" t="s">
        <v>1357</v>
      </c>
      <c r="L2650" t="s">
        <v>1357</v>
      </c>
    </row>
    <row r="2651" spans="6:12">
      <c r="H2651" t="s">
        <v>4743</v>
      </c>
      <c r="I2651" t="s">
        <v>1357</v>
      </c>
      <c r="J2651" t="s">
        <v>1357</v>
      </c>
      <c r="K2651" t="s">
        <v>1357</v>
      </c>
      <c r="L2651" t="s">
        <v>1357</v>
      </c>
    </row>
    <row r="2652" spans="6:12">
      <c r="H2652" t="s">
        <v>4744</v>
      </c>
      <c r="I2652" t="s">
        <v>1357</v>
      </c>
      <c r="J2652" t="s">
        <v>1357</v>
      </c>
      <c r="K2652" t="s">
        <v>1357</v>
      </c>
      <c r="L2652" t="s">
        <v>1357</v>
      </c>
    </row>
    <row r="2653" spans="6:12">
      <c r="H2653" t="s">
        <v>4745</v>
      </c>
      <c r="I2653" t="s">
        <v>1357</v>
      </c>
      <c r="J2653" t="s">
        <v>1357</v>
      </c>
      <c r="K2653" t="s">
        <v>1357</v>
      </c>
      <c r="L2653" t="s">
        <v>1357</v>
      </c>
    </row>
    <row r="2654" spans="6:12">
      <c r="H2654" t="s">
        <v>4746</v>
      </c>
      <c r="I2654" t="s">
        <v>1357</v>
      </c>
      <c r="J2654" t="s">
        <v>1357</v>
      </c>
      <c r="K2654" t="s">
        <v>1357</v>
      </c>
      <c r="L2654" t="s">
        <v>1357</v>
      </c>
    </row>
    <row r="2655" spans="6:12">
      <c r="H2655" t="s">
        <v>4060</v>
      </c>
      <c r="I2655" t="s">
        <v>1357</v>
      </c>
      <c r="J2655" t="s">
        <v>1357</v>
      </c>
      <c r="K2655" t="s">
        <v>1357</v>
      </c>
      <c r="L2655" t="s">
        <v>1357</v>
      </c>
    </row>
    <row r="2656" spans="6:12">
      <c r="H2656" t="s">
        <v>4061</v>
      </c>
      <c r="I2656" t="s">
        <v>1357</v>
      </c>
      <c r="J2656" t="s">
        <v>1357</v>
      </c>
      <c r="K2656" t="s">
        <v>1357</v>
      </c>
      <c r="L2656" t="s">
        <v>1357</v>
      </c>
    </row>
    <row r="2657" spans="6:12">
      <c r="H2657" t="s">
        <v>4747</v>
      </c>
      <c r="I2657" t="s">
        <v>1357</v>
      </c>
      <c r="J2657" t="s">
        <v>1357</v>
      </c>
      <c r="K2657" t="s">
        <v>1357</v>
      </c>
      <c r="L2657" t="s">
        <v>1357</v>
      </c>
    </row>
    <row r="2658" spans="6:12">
      <c r="H2658" t="s">
        <v>4748</v>
      </c>
      <c r="I2658" t="s">
        <v>1357</v>
      </c>
      <c r="J2658" t="s">
        <v>1357</v>
      </c>
      <c r="K2658" t="s">
        <v>1357</v>
      </c>
      <c r="L2658" t="s">
        <v>1357</v>
      </c>
    </row>
    <row r="2659" spans="6:12">
      <c r="H2659" t="s">
        <v>4749</v>
      </c>
      <c r="I2659" t="s">
        <v>1357</v>
      </c>
      <c r="J2659" t="s">
        <v>1357</v>
      </c>
      <c r="K2659" t="s">
        <v>1357</v>
      </c>
      <c r="L2659" t="s">
        <v>1357</v>
      </c>
    </row>
    <row r="2660" spans="6:12">
      <c r="F2660" t="s">
        <v>2807</v>
      </c>
      <c r="G2660" t="s">
        <v>3183</v>
      </c>
      <c r="H2660" t="s">
        <v>4750</v>
      </c>
      <c r="I2660" t="s">
        <v>1357</v>
      </c>
      <c r="J2660" t="s">
        <v>1357</v>
      </c>
      <c r="K2660" t="s">
        <v>1357</v>
      </c>
      <c r="L2660" t="s">
        <v>1357</v>
      </c>
    </row>
    <row r="2661" spans="6:12">
      <c r="H2661" t="s">
        <v>1081</v>
      </c>
      <c r="I2661" t="s">
        <v>1357</v>
      </c>
      <c r="J2661" t="s">
        <v>1357</v>
      </c>
      <c r="K2661" t="s">
        <v>1357</v>
      </c>
      <c r="L2661" t="s">
        <v>1357</v>
      </c>
    </row>
    <row r="2662" spans="6:12">
      <c r="H2662" t="s">
        <v>4751</v>
      </c>
      <c r="I2662" t="s">
        <v>1357</v>
      </c>
      <c r="J2662" t="s">
        <v>1357</v>
      </c>
      <c r="K2662" t="s">
        <v>1357</v>
      </c>
      <c r="L2662" t="s">
        <v>1357</v>
      </c>
    </row>
    <row r="2663" spans="6:12">
      <c r="H2663" t="s">
        <v>4752</v>
      </c>
      <c r="I2663" t="s">
        <v>1357</v>
      </c>
      <c r="J2663" t="s">
        <v>1357</v>
      </c>
      <c r="K2663" t="s">
        <v>1357</v>
      </c>
      <c r="L2663" t="s">
        <v>1357</v>
      </c>
    </row>
    <row r="2664" spans="6:12">
      <c r="H2664" t="s">
        <v>4753</v>
      </c>
      <c r="I2664" t="s">
        <v>1357</v>
      </c>
      <c r="J2664" t="s">
        <v>1357</v>
      </c>
      <c r="K2664" t="s">
        <v>1357</v>
      </c>
      <c r="L2664" t="s">
        <v>1357</v>
      </c>
    </row>
    <row r="2665" spans="6:12">
      <c r="H2665" t="s">
        <v>4754</v>
      </c>
      <c r="I2665" t="s">
        <v>1357</v>
      </c>
      <c r="J2665" t="s">
        <v>1357</v>
      </c>
      <c r="K2665" t="s">
        <v>1357</v>
      </c>
      <c r="L2665" t="s">
        <v>1357</v>
      </c>
    </row>
    <row r="2666" spans="6:12">
      <c r="H2666" t="s">
        <v>4755</v>
      </c>
      <c r="I2666" t="s">
        <v>1357</v>
      </c>
      <c r="J2666" t="s">
        <v>1357</v>
      </c>
      <c r="K2666" t="s">
        <v>1357</v>
      </c>
      <c r="L2666" t="s">
        <v>1357</v>
      </c>
    </row>
    <row r="2667" spans="6:12">
      <c r="F2667" t="s">
        <v>2808</v>
      </c>
      <c r="G2667" t="s">
        <v>3184</v>
      </c>
      <c r="H2667" t="s">
        <v>3543</v>
      </c>
      <c r="I2667" t="s">
        <v>1357</v>
      </c>
      <c r="J2667" t="s">
        <v>1357</v>
      </c>
      <c r="K2667" t="s">
        <v>1357</v>
      </c>
      <c r="L2667" t="s">
        <v>1357</v>
      </c>
    </row>
    <row r="2668" spans="6:12">
      <c r="H2668" t="s">
        <v>3544</v>
      </c>
      <c r="I2668" t="s">
        <v>1357</v>
      </c>
      <c r="J2668" t="s">
        <v>1357</v>
      </c>
      <c r="K2668" t="s">
        <v>1357</v>
      </c>
      <c r="L2668" t="s">
        <v>1357</v>
      </c>
    </row>
    <row r="2669" spans="6:12">
      <c r="H2669" t="s">
        <v>3545</v>
      </c>
      <c r="I2669" t="s">
        <v>1357</v>
      </c>
      <c r="J2669" t="s">
        <v>1357</v>
      </c>
      <c r="K2669" t="s">
        <v>1357</v>
      </c>
      <c r="L2669" t="s">
        <v>1357</v>
      </c>
    </row>
    <row r="2670" spans="6:12">
      <c r="H2670" t="s">
        <v>4756</v>
      </c>
      <c r="I2670" t="s">
        <v>1357</v>
      </c>
      <c r="J2670" t="s">
        <v>1357</v>
      </c>
      <c r="K2670" t="s">
        <v>1357</v>
      </c>
      <c r="L2670" t="s">
        <v>1357</v>
      </c>
    </row>
    <row r="2671" spans="6:12">
      <c r="H2671" t="s">
        <v>4757</v>
      </c>
      <c r="I2671" t="s">
        <v>1357</v>
      </c>
      <c r="J2671" t="s">
        <v>1357</v>
      </c>
      <c r="K2671" t="s">
        <v>1357</v>
      </c>
      <c r="L2671" t="s">
        <v>1357</v>
      </c>
    </row>
    <row r="2672" spans="6:12">
      <c r="H2672" t="s">
        <v>4758</v>
      </c>
      <c r="I2672" t="s">
        <v>1357</v>
      </c>
      <c r="J2672" t="s">
        <v>1357</v>
      </c>
      <c r="K2672" t="s">
        <v>1357</v>
      </c>
      <c r="L2672" t="s">
        <v>1357</v>
      </c>
    </row>
    <row r="2673" spans="8:12">
      <c r="H2673" t="s">
        <v>3553</v>
      </c>
      <c r="I2673" t="s">
        <v>1357</v>
      </c>
      <c r="J2673" t="s">
        <v>1357</v>
      </c>
      <c r="K2673" t="s">
        <v>1357</v>
      </c>
      <c r="L2673" t="s">
        <v>1357</v>
      </c>
    </row>
    <row r="2674" spans="8:12">
      <c r="H2674" t="s">
        <v>3554</v>
      </c>
      <c r="I2674" t="s">
        <v>1357</v>
      </c>
      <c r="J2674" t="s">
        <v>1357</v>
      </c>
      <c r="K2674" t="s">
        <v>1357</v>
      </c>
      <c r="L2674" t="s">
        <v>1357</v>
      </c>
    </row>
    <row r="2675" spans="8:12">
      <c r="H2675" t="s">
        <v>4759</v>
      </c>
      <c r="I2675" t="s">
        <v>1357</v>
      </c>
      <c r="J2675" t="s">
        <v>1357</v>
      </c>
      <c r="K2675" t="s">
        <v>1357</v>
      </c>
      <c r="L2675" t="s">
        <v>1357</v>
      </c>
    </row>
    <row r="2676" spans="8:12">
      <c r="H2676" t="s">
        <v>3556</v>
      </c>
      <c r="I2676" t="s">
        <v>1357</v>
      </c>
      <c r="J2676" t="s">
        <v>1357</v>
      </c>
      <c r="K2676" t="s">
        <v>1357</v>
      </c>
      <c r="L2676" t="s">
        <v>1357</v>
      </c>
    </row>
    <row r="2677" spans="8:12">
      <c r="H2677" t="s">
        <v>4760</v>
      </c>
      <c r="I2677" t="s">
        <v>1357</v>
      </c>
      <c r="J2677" t="s">
        <v>1357</v>
      </c>
      <c r="K2677" t="s">
        <v>1357</v>
      </c>
      <c r="L2677" t="s">
        <v>1357</v>
      </c>
    </row>
    <row r="2678" spans="8:12">
      <c r="H2678" t="s">
        <v>3557</v>
      </c>
      <c r="I2678" t="s">
        <v>1357</v>
      </c>
      <c r="J2678" t="s">
        <v>1357</v>
      </c>
      <c r="K2678" t="s">
        <v>1357</v>
      </c>
      <c r="L2678" t="s">
        <v>1357</v>
      </c>
    </row>
    <row r="2679" spans="8:12">
      <c r="H2679" t="s">
        <v>3558</v>
      </c>
      <c r="I2679" t="s">
        <v>1357</v>
      </c>
      <c r="J2679" t="s">
        <v>1357</v>
      </c>
      <c r="K2679" t="s">
        <v>1357</v>
      </c>
      <c r="L2679" t="s">
        <v>1357</v>
      </c>
    </row>
    <row r="2680" spans="8:12">
      <c r="H2680" t="s">
        <v>4761</v>
      </c>
      <c r="I2680" t="s">
        <v>1357</v>
      </c>
      <c r="J2680" t="s">
        <v>1357</v>
      </c>
      <c r="K2680" t="s">
        <v>1357</v>
      </c>
      <c r="L2680" t="s">
        <v>1357</v>
      </c>
    </row>
    <row r="2681" spans="8:12">
      <c r="H2681" t="s">
        <v>4762</v>
      </c>
      <c r="I2681" t="s">
        <v>1357</v>
      </c>
      <c r="J2681" t="s">
        <v>1357</v>
      </c>
      <c r="K2681" t="s">
        <v>1357</v>
      </c>
      <c r="L2681" t="s">
        <v>1357</v>
      </c>
    </row>
    <row r="2682" spans="8:12">
      <c r="H2682" t="s">
        <v>4763</v>
      </c>
      <c r="I2682" t="s">
        <v>1357</v>
      </c>
      <c r="J2682" t="s">
        <v>1357</v>
      </c>
      <c r="K2682" t="s">
        <v>1357</v>
      </c>
      <c r="L2682" t="s">
        <v>1357</v>
      </c>
    </row>
    <row r="2683" spans="8:12">
      <c r="H2683" t="s">
        <v>4764</v>
      </c>
      <c r="I2683" t="s">
        <v>1357</v>
      </c>
      <c r="J2683" t="s">
        <v>1357</v>
      </c>
      <c r="K2683" t="s">
        <v>1357</v>
      </c>
      <c r="L2683" t="s">
        <v>1357</v>
      </c>
    </row>
    <row r="2684" spans="8:12">
      <c r="H2684" t="s">
        <v>4765</v>
      </c>
      <c r="I2684" t="s">
        <v>1357</v>
      </c>
      <c r="J2684" t="s">
        <v>1357</v>
      </c>
      <c r="K2684" t="s">
        <v>1357</v>
      </c>
      <c r="L2684" t="s">
        <v>1357</v>
      </c>
    </row>
    <row r="2685" spans="8:12">
      <c r="H2685" t="s">
        <v>4766</v>
      </c>
      <c r="I2685" t="s">
        <v>1357</v>
      </c>
      <c r="J2685" t="s">
        <v>1357</v>
      </c>
      <c r="K2685" t="s">
        <v>1357</v>
      </c>
      <c r="L2685" t="s">
        <v>1357</v>
      </c>
    </row>
    <row r="2686" spans="8:12">
      <c r="H2686" t="s">
        <v>3565</v>
      </c>
      <c r="I2686" t="s">
        <v>1357</v>
      </c>
      <c r="J2686" t="s">
        <v>1357</v>
      </c>
      <c r="K2686" t="s">
        <v>1357</v>
      </c>
      <c r="L2686" t="s">
        <v>1357</v>
      </c>
    </row>
    <row r="2687" spans="8:12">
      <c r="H2687" t="s">
        <v>3566</v>
      </c>
      <c r="I2687" t="s">
        <v>1357</v>
      </c>
      <c r="J2687" t="s">
        <v>1357</v>
      </c>
      <c r="K2687" t="s">
        <v>1357</v>
      </c>
      <c r="L2687" t="s">
        <v>1357</v>
      </c>
    </row>
    <row r="2688" spans="8:12">
      <c r="H2688" t="s">
        <v>4767</v>
      </c>
      <c r="I2688" t="s">
        <v>1357</v>
      </c>
      <c r="J2688" t="s">
        <v>1357</v>
      </c>
      <c r="K2688" t="s">
        <v>1357</v>
      </c>
      <c r="L2688" t="s">
        <v>1357</v>
      </c>
    </row>
    <row r="2689" spans="6:12">
      <c r="H2689" t="s">
        <v>3568</v>
      </c>
      <c r="I2689" t="s">
        <v>1357</v>
      </c>
      <c r="J2689" t="s">
        <v>1357</v>
      </c>
      <c r="K2689" t="s">
        <v>1357</v>
      </c>
      <c r="L2689" t="s">
        <v>1357</v>
      </c>
    </row>
    <row r="2690" spans="6:12">
      <c r="H2690" t="s">
        <v>4768</v>
      </c>
      <c r="I2690" t="s">
        <v>1357</v>
      </c>
      <c r="J2690" t="s">
        <v>1357</v>
      </c>
      <c r="K2690" t="s">
        <v>1357</v>
      </c>
      <c r="L2690" t="s">
        <v>1357</v>
      </c>
    </row>
    <row r="2691" spans="6:12">
      <c r="H2691" t="s">
        <v>4769</v>
      </c>
      <c r="I2691" t="s">
        <v>1357</v>
      </c>
      <c r="J2691" t="s">
        <v>1357</v>
      </c>
      <c r="K2691" t="s">
        <v>1357</v>
      </c>
      <c r="L2691" t="s">
        <v>1357</v>
      </c>
    </row>
    <row r="2692" spans="6:12">
      <c r="F2692" t="s">
        <v>2809</v>
      </c>
      <c r="G2692" t="s">
        <v>3185</v>
      </c>
      <c r="H2692" t="s">
        <v>4712</v>
      </c>
      <c r="I2692" t="s">
        <v>1357</v>
      </c>
      <c r="J2692" t="s">
        <v>1357</v>
      </c>
      <c r="K2692" t="s">
        <v>1357</v>
      </c>
      <c r="L2692" t="s">
        <v>1357</v>
      </c>
    </row>
    <row r="2693" spans="6:12">
      <c r="H2693" t="s">
        <v>4713</v>
      </c>
      <c r="I2693" t="s">
        <v>1357</v>
      </c>
      <c r="J2693" t="s">
        <v>1357</v>
      </c>
      <c r="K2693" t="s">
        <v>1357</v>
      </c>
      <c r="L2693" t="s">
        <v>1357</v>
      </c>
    </row>
    <row r="2694" spans="6:12">
      <c r="H2694" t="s">
        <v>906</v>
      </c>
      <c r="I2694" t="s">
        <v>1357</v>
      </c>
      <c r="J2694" t="s">
        <v>1357</v>
      </c>
      <c r="K2694" t="s">
        <v>1357</v>
      </c>
      <c r="L2694" t="s">
        <v>1357</v>
      </c>
    </row>
    <row r="2695" spans="6:12">
      <c r="F2695" t="s">
        <v>2810</v>
      </c>
      <c r="G2695" t="s">
        <v>3186</v>
      </c>
      <c r="H2695" t="s">
        <v>1079</v>
      </c>
      <c r="I2695" t="s">
        <v>1357</v>
      </c>
      <c r="J2695" t="s">
        <v>1357</v>
      </c>
      <c r="K2695" t="s">
        <v>1357</v>
      </c>
      <c r="L2695" t="s">
        <v>1357</v>
      </c>
    </row>
    <row r="2696" spans="6:12">
      <c r="H2696" t="s">
        <v>3823</v>
      </c>
      <c r="I2696" t="s">
        <v>1357</v>
      </c>
      <c r="J2696" t="s">
        <v>1357</v>
      </c>
      <c r="K2696" t="s">
        <v>1357</v>
      </c>
      <c r="L2696" t="s">
        <v>1357</v>
      </c>
    </row>
    <row r="2697" spans="6:12">
      <c r="F2697" t="s">
        <v>2811</v>
      </c>
      <c r="G2697" t="s">
        <v>3187</v>
      </c>
      <c r="H2697" t="s">
        <v>1079</v>
      </c>
      <c r="I2697" t="s">
        <v>1357</v>
      </c>
      <c r="J2697" t="s">
        <v>1357</v>
      </c>
      <c r="K2697" t="s">
        <v>1357</v>
      </c>
      <c r="L2697" t="s">
        <v>1357</v>
      </c>
    </row>
    <row r="2698" spans="6:12">
      <c r="H2698" t="s">
        <v>4770</v>
      </c>
      <c r="I2698" t="s">
        <v>1357</v>
      </c>
      <c r="J2698" t="s">
        <v>1357</v>
      </c>
      <c r="K2698" t="s">
        <v>1357</v>
      </c>
      <c r="L2698" t="s">
        <v>1357</v>
      </c>
    </row>
    <row r="2699" spans="6:12">
      <c r="H2699" t="s">
        <v>4771</v>
      </c>
      <c r="I2699" t="s">
        <v>1357</v>
      </c>
      <c r="J2699" t="s">
        <v>1357</v>
      </c>
      <c r="K2699" t="s">
        <v>1357</v>
      </c>
      <c r="L2699" t="s">
        <v>1357</v>
      </c>
    </row>
    <row r="2700" spans="6:12">
      <c r="H2700" t="s">
        <v>4772</v>
      </c>
      <c r="I2700" t="s">
        <v>1357</v>
      </c>
      <c r="J2700" t="s">
        <v>1357</v>
      </c>
      <c r="K2700" t="s">
        <v>1357</v>
      </c>
      <c r="L2700" t="s">
        <v>1357</v>
      </c>
    </row>
    <row r="2701" spans="6:12">
      <c r="H2701" t="s">
        <v>4773</v>
      </c>
      <c r="I2701" t="s">
        <v>1357</v>
      </c>
      <c r="J2701" t="s">
        <v>1357</v>
      </c>
      <c r="K2701" t="s">
        <v>1357</v>
      </c>
      <c r="L2701" t="s">
        <v>1357</v>
      </c>
    </row>
    <row r="2702" spans="6:12">
      <c r="H2702" t="s">
        <v>989</v>
      </c>
      <c r="I2702" t="s">
        <v>1357</v>
      </c>
      <c r="J2702" t="s">
        <v>1357</v>
      </c>
      <c r="K2702" t="s">
        <v>1357</v>
      </c>
      <c r="L2702" t="s">
        <v>1357</v>
      </c>
    </row>
    <row r="2703" spans="6:12">
      <c r="H2703" t="s">
        <v>3823</v>
      </c>
      <c r="I2703" t="s">
        <v>1357</v>
      </c>
      <c r="J2703" t="s">
        <v>1357</v>
      </c>
      <c r="K2703" t="s">
        <v>1357</v>
      </c>
      <c r="L2703" t="s">
        <v>1357</v>
      </c>
    </row>
    <row r="2704" spans="6:12">
      <c r="H2704" t="s">
        <v>4774</v>
      </c>
      <c r="I2704" t="s">
        <v>1357</v>
      </c>
      <c r="J2704" t="s">
        <v>1357</v>
      </c>
      <c r="K2704" t="s">
        <v>1357</v>
      </c>
      <c r="L2704" t="s">
        <v>1357</v>
      </c>
    </row>
    <row r="2705" spans="6:12">
      <c r="H2705" t="s">
        <v>4775</v>
      </c>
      <c r="I2705" t="s">
        <v>1357</v>
      </c>
      <c r="J2705" t="s">
        <v>1357</v>
      </c>
      <c r="K2705" t="s">
        <v>1357</v>
      </c>
      <c r="L2705" t="s">
        <v>1357</v>
      </c>
    </row>
    <row r="2706" spans="6:12">
      <c r="H2706" t="s">
        <v>4776</v>
      </c>
      <c r="I2706" t="s">
        <v>1357</v>
      </c>
      <c r="J2706" t="s">
        <v>1357</v>
      </c>
      <c r="K2706" t="s">
        <v>1357</v>
      </c>
      <c r="L2706" t="s">
        <v>1357</v>
      </c>
    </row>
    <row r="2707" spans="6:12">
      <c r="F2707" t="s">
        <v>2812</v>
      </c>
      <c r="G2707" t="s">
        <v>3188</v>
      </c>
      <c r="H2707" t="s">
        <v>4061</v>
      </c>
      <c r="I2707" t="s">
        <v>1357</v>
      </c>
      <c r="J2707" t="s">
        <v>1357</v>
      </c>
      <c r="K2707" t="s">
        <v>1357</v>
      </c>
      <c r="L2707" t="s">
        <v>1357</v>
      </c>
    </row>
    <row r="2708" spans="6:12">
      <c r="H2708" t="s">
        <v>4777</v>
      </c>
      <c r="I2708" t="s">
        <v>1357</v>
      </c>
      <c r="J2708" t="s">
        <v>1357</v>
      </c>
      <c r="K2708" t="s">
        <v>1357</v>
      </c>
      <c r="L2708" t="s">
        <v>1357</v>
      </c>
    </row>
    <row r="2709" spans="6:12">
      <c r="H2709" t="s">
        <v>4778</v>
      </c>
      <c r="I2709" t="s">
        <v>1357</v>
      </c>
      <c r="J2709" t="s">
        <v>1357</v>
      </c>
      <c r="K2709" t="s">
        <v>1357</v>
      </c>
      <c r="L2709" t="s">
        <v>1357</v>
      </c>
    </row>
    <row r="2710" spans="6:12">
      <c r="H2710" t="s">
        <v>4779</v>
      </c>
      <c r="I2710" t="s">
        <v>1357</v>
      </c>
      <c r="J2710" t="s">
        <v>1357</v>
      </c>
      <c r="K2710" t="s">
        <v>1357</v>
      </c>
      <c r="L2710" t="s">
        <v>1357</v>
      </c>
    </row>
    <row r="2711" spans="6:12">
      <c r="H2711" t="s">
        <v>4780</v>
      </c>
      <c r="I2711" t="s">
        <v>1357</v>
      </c>
      <c r="J2711" t="s">
        <v>1357</v>
      </c>
      <c r="K2711" t="s">
        <v>1357</v>
      </c>
      <c r="L2711" t="s">
        <v>1357</v>
      </c>
    </row>
    <row r="2712" spans="6:12">
      <c r="H2712" t="s">
        <v>4781</v>
      </c>
      <c r="I2712" t="s">
        <v>1357</v>
      </c>
      <c r="J2712" t="s">
        <v>1357</v>
      </c>
      <c r="K2712" t="s">
        <v>1357</v>
      </c>
      <c r="L2712" t="s">
        <v>1357</v>
      </c>
    </row>
    <row r="2713" spans="6:12">
      <c r="H2713" t="s">
        <v>4782</v>
      </c>
      <c r="I2713" t="s">
        <v>1357</v>
      </c>
      <c r="J2713" t="s">
        <v>1357</v>
      </c>
      <c r="K2713" t="s">
        <v>1357</v>
      </c>
      <c r="L2713" t="s">
        <v>1357</v>
      </c>
    </row>
    <row r="2714" spans="6:12">
      <c r="H2714" t="s">
        <v>4783</v>
      </c>
      <c r="I2714" t="s">
        <v>1357</v>
      </c>
      <c r="J2714" t="s">
        <v>1357</v>
      </c>
      <c r="K2714" t="s">
        <v>1357</v>
      </c>
      <c r="L2714" t="s">
        <v>1357</v>
      </c>
    </row>
    <row r="2715" spans="6:12">
      <c r="H2715" t="s">
        <v>4784</v>
      </c>
      <c r="I2715" t="s">
        <v>1357</v>
      </c>
      <c r="J2715" t="s">
        <v>1357</v>
      </c>
      <c r="K2715" t="s">
        <v>1357</v>
      </c>
      <c r="L2715" t="s">
        <v>1357</v>
      </c>
    </row>
    <row r="2716" spans="6:12">
      <c r="H2716" t="s">
        <v>4785</v>
      </c>
      <c r="I2716" t="s">
        <v>1357</v>
      </c>
      <c r="J2716" t="s">
        <v>1357</v>
      </c>
      <c r="K2716" t="s">
        <v>1357</v>
      </c>
      <c r="L2716" t="s">
        <v>1357</v>
      </c>
    </row>
    <row r="2717" spans="6:12">
      <c r="H2717" t="s">
        <v>4786</v>
      </c>
      <c r="I2717" t="s">
        <v>1357</v>
      </c>
      <c r="J2717" t="s">
        <v>1357</v>
      </c>
      <c r="K2717" t="s">
        <v>1357</v>
      </c>
      <c r="L2717" t="s">
        <v>1357</v>
      </c>
    </row>
    <row r="2718" spans="6:12">
      <c r="H2718" t="s">
        <v>4787</v>
      </c>
      <c r="I2718" t="s">
        <v>1357</v>
      </c>
      <c r="J2718" t="s">
        <v>1357</v>
      </c>
      <c r="K2718" t="s">
        <v>1357</v>
      </c>
      <c r="L2718" t="s">
        <v>1357</v>
      </c>
    </row>
    <row r="2719" spans="6:12">
      <c r="H2719" t="s">
        <v>4788</v>
      </c>
      <c r="I2719" t="s">
        <v>1357</v>
      </c>
      <c r="J2719" t="s">
        <v>1357</v>
      </c>
      <c r="K2719" t="s">
        <v>1357</v>
      </c>
      <c r="L2719" t="s">
        <v>1357</v>
      </c>
    </row>
    <row r="2720" spans="6:12">
      <c r="H2720" t="s">
        <v>4789</v>
      </c>
      <c r="I2720" t="s">
        <v>1357</v>
      </c>
      <c r="J2720" t="s">
        <v>1357</v>
      </c>
      <c r="K2720" t="s">
        <v>1357</v>
      </c>
      <c r="L2720" t="s">
        <v>1357</v>
      </c>
    </row>
    <row r="2721" spans="8:12">
      <c r="H2721" t="s">
        <v>3935</v>
      </c>
      <c r="I2721" t="s">
        <v>1357</v>
      </c>
      <c r="J2721" t="s">
        <v>1357</v>
      </c>
      <c r="K2721" t="s">
        <v>1357</v>
      </c>
      <c r="L2721" t="s">
        <v>1357</v>
      </c>
    </row>
    <row r="2722" spans="8:12">
      <c r="H2722" t="s">
        <v>4790</v>
      </c>
      <c r="I2722" t="s">
        <v>1357</v>
      </c>
      <c r="J2722" t="s">
        <v>1357</v>
      </c>
      <c r="K2722" t="s">
        <v>1357</v>
      </c>
      <c r="L2722" t="s">
        <v>1357</v>
      </c>
    </row>
    <row r="2723" spans="8:12">
      <c r="H2723" t="s">
        <v>4791</v>
      </c>
      <c r="I2723" t="s">
        <v>1357</v>
      </c>
      <c r="J2723" t="s">
        <v>1357</v>
      </c>
      <c r="K2723" t="s">
        <v>1357</v>
      </c>
      <c r="L2723" t="s">
        <v>1357</v>
      </c>
    </row>
    <row r="2724" spans="8:12">
      <c r="H2724" t="s">
        <v>4792</v>
      </c>
      <c r="I2724" t="s">
        <v>1357</v>
      </c>
      <c r="J2724" t="s">
        <v>1357</v>
      </c>
      <c r="K2724" t="s">
        <v>1357</v>
      </c>
      <c r="L2724" t="s">
        <v>1357</v>
      </c>
    </row>
    <row r="2725" spans="8:12">
      <c r="H2725" t="s">
        <v>4793</v>
      </c>
      <c r="I2725" t="s">
        <v>1357</v>
      </c>
      <c r="J2725" t="s">
        <v>1357</v>
      </c>
      <c r="K2725" t="s">
        <v>1357</v>
      </c>
      <c r="L2725" t="s">
        <v>1357</v>
      </c>
    </row>
    <row r="2726" spans="8:12">
      <c r="H2726" t="s">
        <v>4794</v>
      </c>
      <c r="I2726" t="s">
        <v>1357</v>
      </c>
      <c r="J2726" t="s">
        <v>1357</v>
      </c>
      <c r="K2726" t="s">
        <v>1357</v>
      </c>
      <c r="L2726" t="s">
        <v>1357</v>
      </c>
    </row>
    <row r="2727" spans="8:12">
      <c r="H2727" t="s">
        <v>4795</v>
      </c>
      <c r="I2727" t="s">
        <v>1357</v>
      </c>
      <c r="J2727" t="s">
        <v>1357</v>
      </c>
      <c r="K2727" t="s">
        <v>1357</v>
      </c>
      <c r="L2727" t="s">
        <v>1357</v>
      </c>
    </row>
    <row r="2728" spans="8:12">
      <c r="H2728" t="s">
        <v>4796</v>
      </c>
      <c r="I2728" t="s">
        <v>1357</v>
      </c>
      <c r="J2728" t="s">
        <v>1357</v>
      </c>
      <c r="K2728" t="s">
        <v>1357</v>
      </c>
      <c r="L2728" t="s">
        <v>1357</v>
      </c>
    </row>
    <row r="2729" spans="8:12">
      <c r="H2729" t="s">
        <v>4797</v>
      </c>
      <c r="I2729" t="s">
        <v>1357</v>
      </c>
      <c r="J2729" t="s">
        <v>1357</v>
      </c>
      <c r="K2729" t="s">
        <v>1357</v>
      </c>
      <c r="L2729" t="s">
        <v>1357</v>
      </c>
    </row>
    <row r="2730" spans="8:12">
      <c r="H2730" t="s">
        <v>4798</v>
      </c>
      <c r="I2730" t="s">
        <v>1357</v>
      </c>
      <c r="J2730" t="s">
        <v>1357</v>
      </c>
      <c r="K2730" t="s">
        <v>1357</v>
      </c>
      <c r="L2730" t="s">
        <v>1357</v>
      </c>
    </row>
    <row r="2731" spans="8:12">
      <c r="H2731" t="s">
        <v>4799</v>
      </c>
      <c r="I2731" t="s">
        <v>1357</v>
      </c>
      <c r="J2731" t="s">
        <v>1357</v>
      </c>
      <c r="K2731" t="s">
        <v>1357</v>
      </c>
      <c r="L2731" t="s">
        <v>1357</v>
      </c>
    </row>
    <row r="2732" spans="8:12">
      <c r="H2732" t="s">
        <v>4800</v>
      </c>
      <c r="I2732" t="s">
        <v>1357</v>
      </c>
      <c r="J2732" t="s">
        <v>1357</v>
      </c>
      <c r="K2732" t="s">
        <v>1357</v>
      </c>
      <c r="L2732" t="s">
        <v>1357</v>
      </c>
    </row>
    <row r="2733" spans="8:12">
      <c r="H2733" t="s">
        <v>4801</v>
      </c>
      <c r="I2733" t="s">
        <v>1357</v>
      </c>
      <c r="J2733" t="s">
        <v>1357</v>
      </c>
      <c r="K2733" t="s">
        <v>1357</v>
      </c>
      <c r="L2733" t="s">
        <v>1357</v>
      </c>
    </row>
    <row r="2734" spans="8:12">
      <c r="H2734" t="s">
        <v>4802</v>
      </c>
      <c r="I2734" t="s">
        <v>1357</v>
      </c>
      <c r="J2734" t="s">
        <v>1357</v>
      </c>
      <c r="K2734" t="s">
        <v>1357</v>
      </c>
      <c r="L2734" t="s">
        <v>1357</v>
      </c>
    </row>
    <row r="2735" spans="8:12">
      <c r="H2735" t="s">
        <v>4803</v>
      </c>
      <c r="I2735" t="s">
        <v>1357</v>
      </c>
      <c r="J2735" t="s">
        <v>1357</v>
      </c>
      <c r="K2735" t="s">
        <v>1357</v>
      </c>
      <c r="L2735" t="s">
        <v>1357</v>
      </c>
    </row>
    <row r="2736" spans="8:12">
      <c r="H2736" t="s">
        <v>4804</v>
      </c>
      <c r="I2736" t="s">
        <v>1357</v>
      </c>
      <c r="J2736" t="s">
        <v>1357</v>
      </c>
      <c r="K2736" t="s">
        <v>1357</v>
      </c>
      <c r="L2736" t="s">
        <v>1357</v>
      </c>
    </row>
    <row r="2737" spans="6:12">
      <c r="H2737" t="s">
        <v>4805</v>
      </c>
      <c r="I2737" t="s">
        <v>1357</v>
      </c>
      <c r="J2737" t="s">
        <v>1357</v>
      </c>
      <c r="K2737" t="s">
        <v>1357</v>
      </c>
      <c r="L2737" t="s">
        <v>1357</v>
      </c>
    </row>
    <row r="2738" spans="6:12">
      <c r="H2738" t="s">
        <v>4806</v>
      </c>
      <c r="I2738" t="s">
        <v>1357</v>
      </c>
      <c r="J2738" t="s">
        <v>1357</v>
      </c>
      <c r="K2738" t="s">
        <v>1357</v>
      </c>
      <c r="L2738" t="s">
        <v>1357</v>
      </c>
    </row>
    <row r="2739" spans="6:12">
      <c r="H2739" t="s">
        <v>4807</v>
      </c>
      <c r="I2739" t="s">
        <v>1357</v>
      </c>
      <c r="J2739" t="s">
        <v>1357</v>
      </c>
      <c r="K2739" t="s">
        <v>1357</v>
      </c>
      <c r="L2739" t="s">
        <v>1357</v>
      </c>
    </row>
    <row r="2740" spans="6:12">
      <c r="H2740" t="s">
        <v>4808</v>
      </c>
      <c r="I2740" t="s">
        <v>1357</v>
      </c>
      <c r="J2740" t="s">
        <v>1357</v>
      </c>
      <c r="K2740" t="s">
        <v>1357</v>
      </c>
      <c r="L2740" t="s">
        <v>1357</v>
      </c>
    </row>
    <row r="2741" spans="6:12">
      <c r="H2741" t="s">
        <v>4809</v>
      </c>
      <c r="I2741" t="s">
        <v>1357</v>
      </c>
      <c r="J2741" t="s">
        <v>1357</v>
      </c>
      <c r="K2741" t="s">
        <v>1357</v>
      </c>
      <c r="L2741" t="s">
        <v>1357</v>
      </c>
    </row>
    <row r="2742" spans="6:12">
      <c r="H2742" t="s">
        <v>4810</v>
      </c>
      <c r="I2742" t="s">
        <v>1357</v>
      </c>
      <c r="J2742" t="s">
        <v>1357</v>
      </c>
      <c r="K2742" t="s">
        <v>1357</v>
      </c>
      <c r="L2742" t="s">
        <v>1357</v>
      </c>
    </row>
    <row r="2743" spans="6:12">
      <c r="H2743" t="s">
        <v>4811</v>
      </c>
      <c r="I2743" t="s">
        <v>1357</v>
      </c>
      <c r="J2743" t="s">
        <v>1357</v>
      </c>
      <c r="K2743" t="s">
        <v>1357</v>
      </c>
      <c r="L2743" t="s">
        <v>1357</v>
      </c>
    </row>
    <row r="2744" spans="6:12">
      <c r="H2744" t="s">
        <v>4812</v>
      </c>
      <c r="I2744" t="s">
        <v>1357</v>
      </c>
      <c r="J2744" t="s">
        <v>1357</v>
      </c>
      <c r="K2744" t="s">
        <v>1357</v>
      </c>
      <c r="L2744" t="s">
        <v>1357</v>
      </c>
    </row>
    <row r="2745" spans="6:12">
      <c r="H2745" t="s">
        <v>4813</v>
      </c>
      <c r="I2745" t="s">
        <v>1357</v>
      </c>
      <c r="J2745" t="s">
        <v>1357</v>
      </c>
      <c r="K2745" t="s">
        <v>1357</v>
      </c>
      <c r="L2745" t="s">
        <v>1357</v>
      </c>
    </row>
    <row r="2746" spans="6:12">
      <c r="H2746" t="s">
        <v>4814</v>
      </c>
      <c r="I2746" t="s">
        <v>1357</v>
      </c>
      <c r="J2746" t="s">
        <v>1357</v>
      </c>
      <c r="K2746" t="s">
        <v>1357</v>
      </c>
      <c r="L2746" t="s">
        <v>1357</v>
      </c>
    </row>
    <row r="2747" spans="6:12">
      <c r="H2747" t="s">
        <v>4739</v>
      </c>
      <c r="I2747" t="s">
        <v>1357</v>
      </c>
      <c r="J2747" t="s">
        <v>1357</v>
      </c>
      <c r="K2747" t="s">
        <v>1357</v>
      </c>
      <c r="L2747" t="s">
        <v>1357</v>
      </c>
    </row>
    <row r="2748" spans="6:12">
      <c r="H2748" t="s">
        <v>4815</v>
      </c>
      <c r="I2748" t="s">
        <v>1357</v>
      </c>
      <c r="J2748" t="s">
        <v>1357</v>
      </c>
      <c r="K2748" t="s">
        <v>1357</v>
      </c>
      <c r="L2748" t="s">
        <v>1357</v>
      </c>
    </row>
    <row r="2749" spans="6:12">
      <c r="F2749" t="s">
        <v>2813</v>
      </c>
      <c r="G2749" t="s">
        <v>3189</v>
      </c>
      <c r="H2749" t="s">
        <v>3908</v>
      </c>
      <c r="I2749" t="s">
        <v>1357</v>
      </c>
      <c r="J2749" t="s">
        <v>1357</v>
      </c>
      <c r="K2749" t="s">
        <v>1357</v>
      </c>
      <c r="L2749" t="s">
        <v>1357</v>
      </c>
    </row>
    <row r="2750" spans="6:12">
      <c r="H2750" t="s">
        <v>4816</v>
      </c>
      <c r="I2750" t="s">
        <v>1357</v>
      </c>
      <c r="J2750" t="s">
        <v>1357</v>
      </c>
      <c r="K2750" t="s">
        <v>1357</v>
      </c>
      <c r="L2750" t="s">
        <v>1357</v>
      </c>
    </row>
    <row r="2751" spans="6:12">
      <c r="H2751" t="s">
        <v>4817</v>
      </c>
      <c r="I2751" t="s">
        <v>1357</v>
      </c>
      <c r="J2751" t="s">
        <v>1357</v>
      </c>
      <c r="K2751" t="s">
        <v>1357</v>
      </c>
      <c r="L2751" t="s">
        <v>1357</v>
      </c>
    </row>
    <row r="2752" spans="6:12">
      <c r="H2752" t="s">
        <v>4818</v>
      </c>
      <c r="I2752" t="s">
        <v>1357</v>
      </c>
      <c r="J2752" t="s">
        <v>1357</v>
      </c>
      <c r="K2752" t="s">
        <v>1357</v>
      </c>
      <c r="L2752" t="s">
        <v>1357</v>
      </c>
    </row>
    <row r="2753" spans="8:12">
      <c r="H2753" t="s">
        <v>4819</v>
      </c>
      <c r="I2753" t="s">
        <v>1357</v>
      </c>
      <c r="J2753" t="s">
        <v>1357</v>
      </c>
      <c r="K2753" t="s">
        <v>1357</v>
      </c>
      <c r="L2753" t="s">
        <v>1357</v>
      </c>
    </row>
    <row r="2754" spans="8:12">
      <c r="H2754" t="s">
        <v>4820</v>
      </c>
      <c r="I2754" t="s">
        <v>1357</v>
      </c>
      <c r="J2754" t="s">
        <v>1357</v>
      </c>
      <c r="K2754" t="s">
        <v>1357</v>
      </c>
      <c r="L2754" t="s">
        <v>1357</v>
      </c>
    </row>
    <row r="2755" spans="8:12">
      <c r="H2755" t="s">
        <v>4821</v>
      </c>
      <c r="I2755" t="s">
        <v>1357</v>
      </c>
      <c r="J2755" t="s">
        <v>1357</v>
      </c>
      <c r="K2755" t="s">
        <v>1357</v>
      </c>
      <c r="L2755" t="s">
        <v>1357</v>
      </c>
    </row>
    <row r="2756" spans="8:12">
      <c r="H2756" t="s">
        <v>4822</v>
      </c>
      <c r="I2756" t="s">
        <v>1357</v>
      </c>
      <c r="J2756" t="s">
        <v>1357</v>
      </c>
      <c r="K2756" t="s">
        <v>1357</v>
      </c>
      <c r="L2756" t="s">
        <v>1357</v>
      </c>
    </row>
    <row r="2757" spans="8:12">
      <c r="H2757" t="s">
        <v>4823</v>
      </c>
      <c r="I2757" t="s">
        <v>1357</v>
      </c>
      <c r="J2757" t="s">
        <v>1357</v>
      </c>
      <c r="K2757" t="s">
        <v>1357</v>
      </c>
      <c r="L2757" t="s">
        <v>1357</v>
      </c>
    </row>
    <row r="2758" spans="8:12">
      <c r="H2758" t="s">
        <v>4824</v>
      </c>
      <c r="I2758" t="s">
        <v>1357</v>
      </c>
      <c r="J2758" t="s">
        <v>1357</v>
      </c>
      <c r="K2758" t="s">
        <v>1357</v>
      </c>
      <c r="L2758" t="s">
        <v>1357</v>
      </c>
    </row>
    <row r="2759" spans="8:12">
      <c r="H2759" t="s">
        <v>4825</v>
      </c>
      <c r="I2759" t="s">
        <v>1357</v>
      </c>
      <c r="J2759" t="s">
        <v>1357</v>
      </c>
      <c r="K2759" t="s">
        <v>1357</v>
      </c>
      <c r="L2759" t="s">
        <v>1357</v>
      </c>
    </row>
    <row r="2760" spans="8:12">
      <c r="H2760" t="s">
        <v>4826</v>
      </c>
      <c r="I2760" t="s">
        <v>1357</v>
      </c>
      <c r="J2760" t="s">
        <v>1357</v>
      </c>
      <c r="K2760" t="s">
        <v>1357</v>
      </c>
      <c r="L2760" t="s">
        <v>1357</v>
      </c>
    </row>
    <row r="2761" spans="8:12">
      <c r="H2761" t="s">
        <v>4827</v>
      </c>
      <c r="I2761" t="s">
        <v>1357</v>
      </c>
      <c r="J2761" t="s">
        <v>1357</v>
      </c>
      <c r="K2761" t="s">
        <v>1357</v>
      </c>
      <c r="L2761" t="s">
        <v>1357</v>
      </c>
    </row>
    <row r="2762" spans="8:12">
      <c r="H2762" t="s">
        <v>4828</v>
      </c>
      <c r="I2762" t="s">
        <v>1357</v>
      </c>
      <c r="J2762" t="s">
        <v>1357</v>
      </c>
      <c r="K2762" t="s">
        <v>1357</v>
      </c>
      <c r="L2762" t="s">
        <v>1357</v>
      </c>
    </row>
    <row r="2763" spans="8:12">
      <c r="H2763" t="s">
        <v>4829</v>
      </c>
      <c r="I2763" t="s">
        <v>1357</v>
      </c>
      <c r="J2763" t="s">
        <v>1357</v>
      </c>
      <c r="K2763" t="s">
        <v>1357</v>
      </c>
      <c r="L2763" t="s">
        <v>1357</v>
      </c>
    </row>
    <row r="2764" spans="8:12">
      <c r="H2764" t="s">
        <v>4830</v>
      </c>
      <c r="I2764" t="s">
        <v>1357</v>
      </c>
      <c r="J2764" t="s">
        <v>1357</v>
      </c>
      <c r="K2764" t="s">
        <v>1357</v>
      </c>
      <c r="L2764" t="s">
        <v>1357</v>
      </c>
    </row>
    <row r="2765" spans="8:12">
      <c r="H2765" t="s">
        <v>4831</v>
      </c>
      <c r="I2765" t="s">
        <v>1357</v>
      </c>
      <c r="J2765" t="s">
        <v>1357</v>
      </c>
      <c r="K2765" t="s">
        <v>1357</v>
      </c>
      <c r="L2765" t="s">
        <v>1357</v>
      </c>
    </row>
    <row r="2766" spans="8:12">
      <c r="H2766" t="s">
        <v>4832</v>
      </c>
      <c r="I2766" t="s">
        <v>1357</v>
      </c>
      <c r="J2766" t="s">
        <v>1357</v>
      </c>
      <c r="K2766" t="s">
        <v>1357</v>
      </c>
      <c r="L2766" t="s">
        <v>1357</v>
      </c>
    </row>
    <row r="2767" spans="8:12">
      <c r="H2767" t="s">
        <v>4833</v>
      </c>
      <c r="I2767" t="s">
        <v>1357</v>
      </c>
      <c r="J2767" t="s">
        <v>1357</v>
      </c>
      <c r="K2767" t="s">
        <v>1357</v>
      </c>
      <c r="L2767" t="s">
        <v>1357</v>
      </c>
    </row>
    <row r="2768" spans="8:12">
      <c r="H2768" t="s">
        <v>4834</v>
      </c>
      <c r="I2768" t="s">
        <v>1357</v>
      </c>
      <c r="J2768" t="s">
        <v>1357</v>
      </c>
      <c r="K2768" t="s">
        <v>1357</v>
      </c>
      <c r="L2768" t="s">
        <v>1357</v>
      </c>
    </row>
    <row r="2769" spans="6:12">
      <c r="H2769" t="s">
        <v>1659</v>
      </c>
      <c r="I2769" t="s">
        <v>1357</v>
      </c>
      <c r="J2769" t="s">
        <v>1357</v>
      </c>
      <c r="K2769" t="s">
        <v>1357</v>
      </c>
      <c r="L2769" t="s">
        <v>1357</v>
      </c>
    </row>
    <row r="2770" spans="6:12">
      <c r="H2770" t="s">
        <v>4835</v>
      </c>
      <c r="I2770" t="s">
        <v>1357</v>
      </c>
      <c r="J2770" t="s">
        <v>1357</v>
      </c>
      <c r="K2770" t="s">
        <v>1357</v>
      </c>
      <c r="L2770" t="s">
        <v>1357</v>
      </c>
    </row>
    <row r="2771" spans="6:12">
      <c r="H2771" t="s">
        <v>4836</v>
      </c>
      <c r="I2771" t="s">
        <v>1357</v>
      </c>
      <c r="J2771" t="s">
        <v>1357</v>
      </c>
      <c r="K2771" t="s">
        <v>1357</v>
      </c>
      <c r="L2771" t="s">
        <v>1357</v>
      </c>
    </row>
    <row r="2772" spans="6:12">
      <c r="H2772" t="s">
        <v>4837</v>
      </c>
      <c r="I2772" t="s">
        <v>1357</v>
      </c>
      <c r="J2772" t="s">
        <v>1357</v>
      </c>
      <c r="K2772" t="s">
        <v>1357</v>
      </c>
      <c r="L2772" t="s">
        <v>1357</v>
      </c>
    </row>
    <row r="2773" spans="6:12">
      <c r="H2773" t="s">
        <v>4838</v>
      </c>
      <c r="I2773" t="s">
        <v>1357</v>
      </c>
      <c r="J2773" t="s">
        <v>1357</v>
      </c>
      <c r="K2773" t="s">
        <v>1357</v>
      </c>
      <c r="L2773" t="s">
        <v>1357</v>
      </c>
    </row>
    <row r="2774" spans="6:12">
      <c r="H2774" t="s">
        <v>4839</v>
      </c>
      <c r="I2774" t="s">
        <v>1357</v>
      </c>
      <c r="J2774" t="s">
        <v>1357</v>
      </c>
      <c r="K2774" t="s">
        <v>1357</v>
      </c>
      <c r="L2774" t="s">
        <v>1357</v>
      </c>
    </row>
    <row r="2775" spans="6:12">
      <c r="F2775" t="s">
        <v>2814</v>
      </c>
      <c r="G2775" t="s">
        <v>3190</v>
      </c>
      <c r="H2775" t="s">
        <v>4080</v>
      </c>
      <c r="I2775" t="s">
        <v>1357</v>
      </c>
      <c r="J2775" t="s">
        <v>1357</v>
      </c>
      <c r="K2775" t="s">
        <v>1357</v>
      </c>
      <c r="L2775" t="s">
        <v>1357</v>
      </c>
    </row>
    <row r="2776" spans="6:12">
      <c r="H2776" t="s">
        <v>4081</v>
      </c>
      <c r="I2776" t="s">
        <v>1357</v>
      </c>
      <c r="J2776" t="s">
        <v>1357</v>
      </c>
      <c r="K2776" t="s">
        <v>1357</v>
      </c>
      <c r="L2776" t="s">
        <v>1357</v>
      </c>
    </row>
    <row r="2777" spans="6:12">
      <c r="H2777" t="s">
        <v>4082</v>
      </c>
      <c r="I2777" t="s">
        <v>1357</v>
      </c>
      <c r="J2777" t="s">
        <v>1357</v>
      </c>
      <c r="K2777" t="s">
        <v>1357</v>
      </c>
      <c r="L2777" t="s">
        <v>1357</v>
      </c>
    </row>
    <row r="2778" spans="6:12">
      <c r="H2778" t="s">
        <v>4084</v>
      </c>
      <c r="I2778" t="s">
        <v>1357</v>
      </c>
      <c r="J2778" t="s">
        <v>1357</v>
      </c>
      <c r="K2778" t="s">
        <v>1357</v>
      </c>
      <c r="L2778" t="s">
        <v>1357</v>
      </c>
    </row>
    <row r="2779" spans="6:12">
      <c r="H2779" t="s">
        <v>4840</v>
      </c>
      <c r="I2779" t="s">
        <v>1357</v>
      </c>
      <c r="J2779" t="s">
        <v>1357</v>
      </c>
      <c r="K2779" t="s">
        <v>1357</v>
      </c>
      <c r="L2779" t="s">
        <v>1357</v>
      </c>
    </row>
    <row r="2780" spans="6:12">
      <c r="H2780" t="s">
        <v>3729</v>
      </c>
      <c r="I2780" t="s">
        <v>1357</v>
      </c>
      <c r="J2780" t="s">
        <v>1357</v>
      </c>
      <c r="K2780" t="s">
        <v>1357</v>
      </c>
      <c r="L2780" t="s">
        <v>1357</v>
      </c>
    </row>
    <row r="2781" spans="6:12">
      <c r="H2781" t="s">
        <v>4841</v>
      </c>
      <c r="I2781" t="s">
        <v>1357</v>
      </c>
      <c r="J2781" t="s">
        <v>1357</v>
      </c>
      <c r="K2781" t="s">
        <v>1357</v>
      </c>
      <c r="L2781" t="s">
        <v>1357</v>
      </c>
    </row>
    <row r="2782" spans="6:12">
      <c r="F2782" t="s">
        <v>2815</v>
      </c>
      <c r="G2782" t="s">
        <v>3191</v>
      </c>
      <c r="H2782" t="s">
        <v>4842</v>
      </c>
      <c r="I2782" t="s">
        <v>1357</v>
      </c>
      <c r="J2782" t="s">
        <v>1357</v>
      </c>
      <c r="K2782" t="s">
        <v>1357</v>
      </c>
      <c r="L2782" t="s">
        <v>1357</v>
      </c>
    </row>
    <row r="2783" spans="6:12">
      <c r="H2783" t="s">
        <v>4843</v>
      </c>
      <c r="I2783" t="s">
        <v>1357</v>
      </c>
      <c r="J2783" t="s">
        <v>1357</v>
      </c>
      <c r="K2783" t="s">
        <v>1357</v>
      </c>
      <c r="L2783" t="s">
        <v>1357</v>
      </c>
    </row>
    <row r="2784" spans="6:12">
      <c r="H2784" t="s">
        <v>4844</v>
      </c>
      <c r="I2784" t="s">
        <v>1357</v>
      </c>
      <c r="J2784" t="s">
        <v>1357</v>
      </c>
      <c r="K2784" t="s">
        <v>1357</v>
      </c>
      <c r="L2784" t="s">
        <v>1357</v>
      </c>
    </row>
    <row r="2785" spans="6:12">
      <c r="H2785" t="s">
        <v>4845</v>
      </c>
      <c r="I2785" t="s">
        <v>1357</v>
      </c>
      <c r="J2785" t="s">
        <v>1357</v>
      </c>
      <c r="K2785" t="s">
        <v>1357</v>
      </c>
      <c r="L2785" t="s">
        <v>1357</v>
      </c>
    </row>
    <row r="2786" spans="6:12">
      <c r="H2786" t="s">
        <v>906</v>
      </c>
      <c r="I2786" t="s">
        <v>1357</v>
      </c>
      <c r="J2786" t="s">
        <v>1357</v>
      </c>
      <c r="K2786" t="s">
        <v>1357</v>
      </c>
      <c r="L2786" t="s">
        <v>1357</v>
      </c>
    </row>
    <row r="2787" spans="6:12">
      <c r="F2787" t="s">
        <v>2816</v>
      </c>
      <c r="G2787" t="s">
        <v>3192</v>
      </c>
      <c r="H2787" t="s">
        <v>4846</v>
      </c>
      <c r="I2787" t="s">
        <v>1357</v>
      </c>
      <c r="J2787" t="s">
        <v>1357</v>
      </c>
      <c r="K2787" t="s">
        <v>1357</v>
      </c>
      <c r="L2787" t="s">
        <v>1357</v>
      </c>
    </row>
    <row r="2788" spans="6:12">
      <c r="H2788" t="s">
        <v>4847</v>
      </c>
      <c r="I2788" t="s">
        <v>1357</v>
      </c>
      <c r="J2788" t="s">
        <v>1357</v>
      </c>
      <c r="K2788" t="s">
        <v>1357</v>
      </c>
      <c r="L2788" t="s">
        <v>1357</v>
      </c>
    </row>
    <row r="2789" spans="6:12">
      <c r="H2789" t="s">
        <v>4848</v>
      </c>
      <c r="I2789" t="s">
        <v>1357</v>
      </c>
      <c r="J2789" t="s">
        <v>1357</v>
      </c>
      <c r="K2789" t="s">
        <v>1357</v>
      </c>
      <c r="L2789" t="s">
        <v>1357</v>
      </c>
    </row>
    <row r="2790" spans="6:12">
      <c r="H2790" t="s">
        <v>4849</v>
      </c>
      <c r="I2790" t="s">
        <v>1357</v>
      </c>
      <c r="J2790" t="s">
        <v>1357</v>
      </c>
      <c r="K2790" t="s">
        <v>1357</v>
      </c>
      <c r="L2790" t="s">
        <v>1357</v>
      </c>
    </row>
    <row r="2791" spans="6:12">
      <c r="H2791" t="s">
        <v>4850</v>
      </c>
      <c r="I2791" t="s">
        <v>1357</v>
      </c>
      <c r="J2791" t="s">
        <v>1357</v>
      </c>
      <c r="K2791" t="s">
        <v>1357</v>
      </c>
      <c r="L2791" t="s">
        <v>1357</v>
      </c>
    </row>
    <row r="2792" spans="6:12">
      <c r="H2792" t="s">
        <v>4851</v>
      </c>
      <c r="I2792" t="s">
        <v>1357</v>
      </c>
      <c r="J2792" t="s">
        <v>1357</v>
      </c>
      <c r="K2792" t="s">
        <v>1357</v>
      </c>
      <c r="L2792" t="s">
        <v>1357</v>
      </c>
    </row>
    <row r="2793" spans="6:12">
      <c r="H2793" t="s">
        <v>4852</v>
      </c>
      <c r="I2793" t="s">
        <v>1357</v>
      </c>
      <c r="J2793" t="s">
        <v>1357</v>
      </c>
      <c r="K2793" t="s">
        <v>1357</v>
      </c>
      <c r="L2793" t="s">
        <v>1357</v>
      </c>
    </row>
    <row r="2794" spans="6:12">
      <c r="H2794" t="s">
        <v>4853</v>
      </c>
      <c r="I2794" t="s">
        <v>1357</v>
      </c>
      <c r="J2794" t="s">
        <v>1357</v>
      </c>
      <c r="K2794" t="s">
        <v>1357</v>
      </c>
      <c r="L2794" t="s">
        <v>1357</v>
      </c>
    </row>
    <row r="2795" spans="6:12">
      <c r="H2795" t="s">
        <v>4854</v>
      </c>
      <c r="I2795" t="s">
        <v>1357</v>
      </c>
      <c r="J2795" t="s">
        <v>1357</v>
      </c>
      <c r="K2795" t="s">
        <v>1357</v>
      </c>
      <c r="L2795" t="s">
        <v>1357</v>
      </c>
    </row>
    <row r="2796" spans="6:12">
      <c r="H2796" t="s">
        <v>4855</v>
      </c>
      <c r="I2796" t="s">
        <v>1357</v>
      </c>
      <c r="J2796" t="s">
        <v>1357</v>
      </c>
      <c r="K2796" t="s">
        <v>1357</v>
      </c>
      <c r="L2796" t="s">
        <v>1357</v>
      </c>
    </row>
    <row r="2797" spans="6:12">
      <c r="H2797" t="s">
        <v>4856</v>
      </c>
      <c r="I2797" t="s">
        <v>1357</v>
      </c>
      <c r="J2797" t="s">
        <v>1357</v>
      </c>
      <c r="K2797" t="s">
        <v>1357</v>
      </c>
      <c r="L2797" t="s">
        <v>1357</v>
      </c>
    </row>
    <row r="2798" spans="6:12">
      <c r="H2798" t="s">
        <v>4857</v>
      </c>
      <c r="I2798" t="s">
        <v>1357</v>
      </c>
      <c r="J2798" t="s">
        <v>1357</v>
      </c>
      <c r="K2798" t="s">
        <v>1357</v>
      </c>
      <c r="L2798" t="s">
        <v>1357</v>
      </c>
    </row>
    <row r="2799" spans="6:12">
      <c r="F2799" t="s">
        <v>2817</v>
      </c>
      <c r="G2799" t="s">
        <v>3035</v>
      </c>
      <c r="H2799" t="s">
        <v>3543</v>
      </c>
      <c r="I2799" t="s">
        <v>1357</v>
      </c>
      <c r="J2799" t="s">
        <v>1357</v>
      </c>
      <c r="K2799" t="s">
        <v>1357</v>
      </c>
      <c r="L2799" t="s">
        <v>1357</v>
      </c>
    </row>
    <row r="2800" spans="6:12">
      <c r="H2800" t="s">
        <v>3544</v>
      </c>
      <c r="I2800" t="s">
        <v>1357</v>
      </c>
      <c r="J2800" t="s">
        <v>1357</v>
      </c>
      <c r="K2800" t="s">
        <v>1357</v>
      </c>
      <c r="L2800" t="s">
        <v>1357</v>
      </c>
    </row>
    <row r="2801" spans="8:12">
      <c r="H2801" t="s">
        <v>3545</v>
      </c>
      <c r="I2801" t="s">
        <v>1357</v>
      </c>
      <c r="J2801" t="s">
        <v>1357</v>
      </c>
      <c r="K2801" t="s">
        <v>1357</v>
      </c>
      <c r="L2801" t="s">
        <v>1357</v>
      </c>
    </row>
    <row r="2802" spans="8:12">
      <c r="H2802" t="s">
        <v>4756</v>
      </c>
      <c r="I2802" t="s">
        <v>1357</v>
      </c>
      <c r="J2802" t="s">
        <v>1357</v>
      </c>
      <c r="K2802" t="s">
        <v>1357</v>
      </c>
      <c r="L2802" t="s">
        <v>1357</v>
      </c>
    </row>
    <row r="2803" spans="8:12">
      <c r="H2803" t="s">
        <v>4858</v>
      </c>
      <c r="I2803" t="s">
        <v>1357</v>
      </c>
      <c r="J2803" t="s">
        <v>1357</v>
      </c>
      <c r="K2803" t="s">
        <v>1357</v>
      </c>
      <c r="L2803" t="s">
        <v>1357</v>
      </c>
    </row>
    <row r="2804" spans="8:12">
      <c r="H2804" t="s">
        <v>4859</v>
      </c>
      <c r="I2804" t="s">
        <v>1357</v>
      </c>
      <c r="J2804" t="s">
        <v>1357</v>
      </c>
      <c r="K2804" t="s">
        <v>1357</v>
      </c>
      <c r="L2804" t="s">
        <v>1357</v>
      </c>
    </row>
    <row r="2805" spans="8:12">
      <c r="H2805" t="s">
        <v>4757</v>
      </c>
      <c r="I2805" t="s">
        <v>1357</v>
      </c>
      <c r="J2805" t="s">
        <v>1357</v>
      </c>
      <c r="K2805" t="s">
        <v>1357</v>
      </c>
      <c r="L2805" t="s">
        <v>1357</v>
      </c>
    </row>
    <row r="2806" spans="8:12">
      <c r="H2806" t="s">
        <v>4860</v>
      </c>
      <c r="I2806" t="s">
        <v>1357</v>
      </c>
      <c r="J2806" t="s">
        <v>1357</v>
      </c>
      <c r="K2806" t="s">
        <v>1357</v>
      </c>
      <c r="L2806" t="s">
        <v>1357</v>
      </c>
    </row>
    <row r="2807" spans="8:12">
      <c r="H2807" t="s">
        <v>3553</v>
      </c>
      <c r="I2807" t="s">
        <v>1357</v>
      </c>
      <c r="J2807" t="s">
        <v>1357</v>
      </c>
      <c r="K2807" t="s">
        <v>1357</v>
      </c>
      <c r="L2807" t="s">
        <v>1357</v>
      </c>
    </row>
    <row r="2808" spans="8:12">
      <c r="H2808" t="s">
        <v>3554</v>
      </c>
      <c r="I2808" t="s">
        <v>1357</v>
      </c>
      <c r="J2808" t="s">
        <v>1357</v>
      </c>
      <c r="K2808" t="s">
        <v>1357</v>
      </c>
      <c r="L2808" t="s">
        <v>1357</v>
      </c>
    </row>
    <row r="2809" spans="8:12">
      <c r="H2809" t="s">
        <v>4759</v>
      </c>
      <c r="I2809" t="s">
        <v>1357</v>
      </c>
      <c r="J2809" t="s">
        <v>1357</v>
      </c>
      <c r="K2809" t="s">
        <v>1357</v>
      </c>
      <c r="L2809" t="s">
        <v>1357</v>
      </c>
    </row>
    <row r="2810" spans="8:12">
      <c r="H2810" t="s">
        <v>3556</v>
      </c>
      <c r="I2810" t="s">
        <v>1357</v>
      </c>
      <c r="J2810" t="s">
        <v>1357</v>
      </c>
      <c r="K2810" t="s">
        <v>1357</v>
      </c>
      <c r="L2810" t="s">
        <v>1357</v>
      </c>
    </row>
    <row r="2811" spans="8:12">
      <c r="H2811" t="s">
        <v>4760</v>
      </c>
      <c r="I2811" t="s">
        <v>1357</v>
      </c>
      <c r="J2811" t="s">
        <v>1357</v>
      </c>
      <c r="K2811" t="s">
        <v>1357</v>
      </c>
      <c r="L2811" t="s">
        <v>1357</v>
      </c>
    </row>
    <row r="2812" spans="8:12">
      <c r="H2812" t="s">
        <v>3557</v>
      </c>
      <c r="I2812" t="s">
        <v>1357</v>
      </c>
      <c r="J2812" t="s">
        <v>1357</v>
      </c>
      <c r="K2812" t="s">
        <v>1357</v>
      </c>
      <c r="L2812" t="s">
        <v>1357</v>
      </c>
    </row>
    <row r="2813" spans="8:12">
      <c r="H2813" t="s">
        <v>3558</v>
      </c>
      <c r="I2813" t="s">
        <v>1357</v>
      </c>
      <c r="J2813" t="s">
        <v>1357</v>
      </c>
      <c r="K2813" t="s">
        <v>1357</v>
      </c>
      <c r="L2813" t="s">
        <v>1357</v>
      </c>
    </row>
    <row r="2814" spans="8:12">
      <c r="H2814" t="s">
        <v>4761</v>
      </c>
      <c r="I2814" t="s">
        <v>1357</v>
      </c>
      <c r="J2814" t="s">
        <v>1357</v>
      </c>
      <c r="K2814" t="s">
        <v>1357</v>
      </c>
      <c r="L2814" t="s">
        <v>1357</v>
      </c>
    </row>
    <row r="2815" spans="8:12">
      <c r="H2815" t="s">
        <v>4762</v>
      </c>
      <c r="I2815" t="s">
        <v>1357</v>
      </c>
      <c r="J2815" t="s">
        <v>1357</v>
      </c>
      <c r="K2815" t="s">
        <v>1357</v>
      </c>
      <c r="L2815" t="s">
        <v>1357</v>
      </c>
    </row>
    <row r="2816" spans="8:12">
      <c r="H2816" t="s">
        <v>4763</v>
      </c>
      <c r="I2816" t="s">
        <v>1357</v>
      </c>
      <c r="J2816" t="s">
        <v>1357</v>
      </c>
      <c r="K2816" t="s">
        <v>1357</v>
      </c>
      <c r="L2816" t="s">
        <v>1357</v>
      </c>
    </row>
    <row r="2817" spans="6:12">
      <c r="H2817" t="s">
        <v>4764</v>
      </c>
      <c r="I2817" t="s">
        <v>1357</v>
      </c>
      <c r="J2817" t="s">
        <v>1357</v>
      </c>
      <c r="K2817" t="s">
        <v>1357</v>
      </c>
      <c r="L2817" t="s">
        <v>1357</v>
      </c>
    </row>
    <row r="2818" spans="6:12">
      <c r="H2818" t="s">
        <v>4765</v>
      </c>
      <c r="I2818" t="s">
        <v>1357</v>
      </c>
      <c r="J2818" t="s">
        <v>1357</v>
      </c>
      <c r="K2818" t="s">
        <v>1357</v>
      </c>
      <c r="L2818" t="s">
        <v>1357</v>
      </c>
    </row>
    <row r="2819" spans="6:12">
      <c r="H2819" t="s">
        <v>4766</v>
      </c>
      <c r="I2819" t="s">
        <v>1357</v>
      </c>
      <c r="J2819" t="s">
        <v>1357</v>
      </c>
      <c r="K2819" t="s">
        <v>1357</v>
      </c>
      <c r="L2819" t="s">
        <v>1357</v>
      </c>
    </row>
    <row r="2820" spans="6:12">
      <c r="H2820" t="s">
        <v>3565</v>
      </c>
      <c r="I2820" t="s">
        <v>1357</v>
      </c>
      <c r="J2820" t="s">
        <v>1357</v>
      </c>
      <c r="K2820" t="s">
        <v>1357</v>
      </c>
      <c r="L2820" t="s">
        <v>1357</v>
      </c>
    </row>
    <row r="2821" spans="6:12">
      <c r="H2821" t="s">
        <v>3566</v>
      </c>
      <c r="I2821" t="s">
        <v>1357</v>
      </c>
      <c r="J2821" t="s">
        <v>1357</v>
      </c>
      <c r="K2821" t="s">
        <v>1357</v>
      </c>
      <c r="L2821" t="s">
        <v>1357</v>
      </c>
    </row>
    <row r="2822" spans="6:12">
      <c r="H2822" t="s">
        <v>4767</v>
      </c>
      <c r="I2822" t="s">
        <v>1357</v>
      </c>
      <c r="J2822" t="s">
        <v>1357</v>
      </c>
      <c r="K2822" t="s">
        <v>1357</v>
      </c>
      <c r="L2822" t="s">
        <v>1357</v>
      </c>
    </row>
    <row r="2823" spans="6:12">
      <c r="H2823" t="s">
        <v>3568</v>
      </c>
      <c r="I2823" t="s">
        <v>1357</v>
      </c>
      <c r="J2823" t="s">
        <v>1357</v>
      </c>
      <c r="K2823" t="s">
        <v>1357</v>
      </c>
      <c r="L2823" t="s">
        <v>1357</v>
      </c>
    </row>
    <row r="2824" spans="6:12">
      <c r="H2824" t="s">
        <v>4768</v>
      </c>
      <c r="I2824" t="s">
        <v>1357</v>
      </c>
      <c r="J2824" t="s">
        <v>1357</v>
      </c>
      <c r="K2824" t="s">
        <v>1357</v>
      </c>
      <c r="L2824" t="s">
        <v>1357</v>
      </c>
    </row>
    <row r="2825" spans="6:12">
      <c r="H2825" t="s">
        <v>4861</v>
      </c>
      <c r="I2825" t="s">
        <v>1357</v>
      </c>
      <c r="J2825" t="s">
        <v>1357</v>
      </c>
      <c r="K2825" t="s">
        <v>1357</v>
      </c>
      <c r="L2825" t="s">
        <v>1357</v>
      </c>
    </row>
    <row r="2826" spans="6:12">
      <c r="H2826" t="s">
        <v>4769</v>
      </c>
      <c r="I2826" t="s">
        <v>1357</v>
      </c>
      <c r="J2826" t="s">
        <v>1357</v>
      </c>
      <c r="K2826" t="s">
        <v>1357</v>
      </c>
      <c r="L2826" t="s">
        <v>1357</v>
      </c>
    </row>
    <row r="2827" spans="6:12">
      <c r="F2827" t="s">
        <v>2818</v>
      </c>
      <c r="G2827" t="s">
        <v>3193</v>
      </c>
      <c r="H2827" t="s">
        <v>3780</v>
      </c>
      <c r="I2827" t="s">
        <v>1357</v>
      </c>
      <c r="J2827" t="s">
        <v>1357</v>
      </c>
      <c r="K2827" t="s">
        <v>1357</v>
      </c>
      <c r="L2827" t="s">
        <v>1357</v>
      </c>
    </row>
    <row r="2828" spans="6:12">
      <c r="H2828" t="s">
        <v>4696</v>
      </c>
      <c r="I2828" t="s">
        <v>1357</v>
      </c>
      <c r="J2828" t="s">
        <v>1357</v>
      </c>
      <c r="K2828" t="s">
        <v>1357</v>
      </c>
      <c r="L2828" t="s">
        <v>1357</v>
      </c>
    </row>
    <row r="2829" spans="6:12">
      <c r="H2829" t="s">
        <v>3790</v>
      </c>
      <c r="I2829" t="s">
        <v>1357</v>
      </c>
      <c r="J2829" t="s">
        <v>1357</v>
      </c>
      <c r="K2829" t="s">
        <v>1357</v>
      </c>
      <c r="L2829" t="s">
        <v>1357</v>
      </c>
    </row>
    <row r="2830" spans="6:12">
      <c r="H2830" t="s">
        <v>899</v>
      </c>
      <c r="I2830" t="s">
        <v>1357</v>
      </c>
      <c r="J2830" t="s">
        <v>1357</v>
      </c>
      <c r="K2830" t="s">
        <v>1357</v>
      </c>
      <c r="L2830" t="s">
        <v>1357</v>
      </c>
    </row>
    <row r="2831" spans="6:12">
      <c r="H2831" t="s">
        <v>4710</v>
      </c>
      <c r="I2831" t="s">
        <v>1357</v>
      </c>
      <c r="J2831" t="s">
        <v>1357</v>
      </c>
      <c r="K2831" t="s">
        <v>1357</v>
      </c>
      <c r="L2831" t="s">
        <v>1357</v>
      </c>
    </row>
    <row r="2832" spans="6:12">
      <c r="H2832" t="s">
        <v>4702</v>
      </c>
      <c r="I2832" t="s">
        <v>1357</v>
      </c>
      <c r="J2832" t="s">
        <v>1357</v>
      </c>
      <c r="K2832" t="s">
        <v>1357</v>
      </c>
      <c r="L2832" t="s">
        <v>1357</v>
      </c>
    </row>
    <row r="2833" spans="8:12">
      <c r="H2833" t="s">
        <v>4701</v>
      </c>
      <c r="I2833" t="s">
        <v>1357</v>
      </c>
      <c r="J2833" t="s">
        <v>1357</v>
      </c>
      <c r="K2833" t="s">
        <v>1357</v>
      </c>
      <c r="L2833" t="s">
        <v>1357</v>
      </c>
    </row>
    <row r="2834" spans="8:12">
      <c r="H2834" t="s">
        <v>901</v>
      </c>
      <c r="I2834" t="s">
        <v>1357</v>
      </c>
      <c r="J2834" t="s">
        <v>1357</v>
      </c>
      <c r="K2834" t="s">
        <v>1357</v>
      </c>
      <c r="L2834" t="s">
        <v>1357</v>
      </c>
    </row>
    <row r="2835" spans="8:12">
      <c r="H2835" t="s">
        <v>4516</v>
      </c>
      <c r="I2835" t="s">
        <v>1357</v>
      </c>
      <c r="J2835" t="s">
        <v>1357</v>
      </c>
      <c r="K2835" t="s">
        <v>1357</v>
      </c>
      <c r="L2835" t="s">
        <v>1357</v>
      </c>
    </row>
    <row r="2836" spans="8:12">
      <c r="H2836" t="s">
        <v>4610</v>
      </c>
      <c r="I2836" t="s">
        <v>1357</v>
      </c>
      <c r="J2836" t="s">
        <v>1357</v>
      </c>
      <c r="K2836" t="s">
        <v>1357</v>
      </c>
      <c r="L2836" t="s">
        <v>1357</v>
      </c>
    </row>
    <row r="2837" spans="8:12">
      <c r="H2837" t="s">
        <v>4697</v>
      </c>
      <c r="I2837" t="s">
        <v>1357</v>
      </c>
      <c r="J2837" t="s">
        <v>1357</v>
      </c>
      <c r="K2837" t="s">
        <v>1357</v>
      </c>
      <c r="L2837" t="s">
        <v>1357</v>
      </c>
    </row>
    <row r="2838" spans="8:12">
      <c r="H2838" t="s">
        <v>3394</v>
      </c>
      <c r="I2838" t="s">
        <v>1357</v>
      </c>
      <c r="J2838" t="s">
        <v>1357</v>
      </c>
      <c r="K2838" t="s">
        <v>1357</v>
      </c>
      <c r="L2838" t="s">
        <v>1357</v>
      </c>
    </row>
    <row r="2839" spans="8:12">
      <c r="H2839" t="s">
        <v>4698</v>
      </c>
      <c r="I2839" t="s">
        <v>1357</v>
      </c>
      <c r="J2839" t="s">
        <v>1357</v>
      </c>
      <c r="K2839" t="s">
        <v>1357</v>
      </c>
      <c r="L2839" t="s">
        <v>1357</v>
      </c>
    </row>
    <row r="2840" spans="8:12">
      <c r="H2840" t="s">
        <v>4699</v>
      </c>
      <c r="I2840" t="s">
        <v>1357</v>
      </c>
      <c r="J2840" t="s">
        <v>1357</v>
      </c>
      <c r="K2840" t="s">
        <v>1357</v>
      </c>
      <c r="L2840" t="s">
        <v>1357</v>
      </c>
    </row>
    <row r="2841" spans="8:12">
      <c r="H2841" t="s">
        <v>4703</v>
      </c>
      <c r="I2841" t="s">
        <v>1357</v>
      </c>
      <c r="J2841" t="s">
        <v>1357</v>
      </c>
      <c r="K2841" t="s">
        <v>1357</v>
      </c>
      <c r="L2841" t="s">
        <v>1357</v>
      </c>
    </row>
    <row r="2842" spans="8:12">
      <c r="H2842" t="s">
        <v>4106</v>
      </c>
      <c r="I2842" t="s">
        <v>1357</v>
      </c>
      <c r="J2842" t="s">
        <v>1357</v>
      </c>
      <c r="K2842" t="s">
        <v>1357</v>
      </c>
      <c r="L2842" t="s">
        <v>1357</v>
      </c>
    </row>
    <row r="2843" spans="8:12">
      <c r="H2843" t="s">
        <v>4707</v>
      </c>
      <c r="I2843" t="s">
        <v>1357</v>
      </c>
      <c r="J2843" t="s">
        <v>1357</v>
      </c>
      <c r="K2843" t="s">
        <v>1357</v>
      </c>
      <c r="L2843" t="s">
        <v>1357</v>
      </c>
    </row>
    <row r="2844" spans="8:12">
      <c r="H2844" t="s">
        <v>4705</v>
      </c>
      <c r="I2844" t="s">
        <v>1357</v>
      </c>
      <c r="J2844" t="s">
        <v>1357</v>
      </c>
      <c r="K2844" t="s">
        <v>1357</v>
      </c>
      <c r="L2844" t="s">
        <v>1357</v>
      </c>
    </row>
    <row r="2845" spans="8:12">
      <c r="H2845" t="s">
        <v>3313</v>
      </c>
      <c r="I2845" t="s">
        <v>1357</v>
      </c>
      <c r="J2845" t="s">
        <v>1357</v>
      </c>
      <c r="K2845" t="s">
        <v>1357</v>
      </c>
      <c r="L2845" t="s">
        <v>1357</v>
      </c>
    </row>
    <row r="2846" spans="8:12">
      <c r="H2846" t="s">
        <v>3303</v>
      </c>
      <c r="I2846" t="s">
        <v>1357</v>
      </c>
      <c r="J2846" t="s">
        <v>1357</v>
      </c>
      <c r="K2846" t="s">
        <v>1357</v>
      </c>
      <c r="L2846" t="s">
        <v>1357</v>
      </c>
    </row>
    <row r="2847" spans="8:12">
      <c r="H2847" t="s">
        <v>4611</v>
      </c>
      <c r="I2847" t="s">
        <v>1357</v>
      </c>
      <c r="J2847" t="s">
        <v>1357</v>
      </c>
      <c r="K2847" t="s">
        <v>1357</v>
      </c>
      <c r="L2847" t="s">
        <v>1357</v>
      </c>
    </row>
    <row r="2848" spans="8:12">
      <c r="H2848" t="s">
        <v>4862</v>
      </c>
      <c r="I2848" t="s">
        <v>1357</v>
      </c>
      <c r="J2848" t="s">
        <v>1357</v>
      </c>
      <c r="K2848" t="s">
        <v>1357</v>
      </c>
      <c r="L2848" t="s">
        <v>1357</v>
      </c>
    </row>
    <row r="2849" spans="6:12">
      <c r="H2849" t="s">
        <v>4863</v>
      </c>
      <c r="I2849" t="s">
        <v>1357</v>
      </c>
      <c r="J2849" t="s">
        <v>1357</v>
      </c>
      <c r="K2849" t="s">
        <v>1357</v>
      </c>
      <c r="L2849" t="s">
        <v>1357</v>
      </c>
    </row>
    <row r="2850" spans="6:12">
      <c r="H2850" t="s">
        <v>4864</v>
      </c>
      <c r="I2850" t="s">
        <v>1357</v>
      </c>
      <c r="J2850" t="s">
        <v>1357</v>
      </c>
      <c r="K2850" t="s">
        <v>1357</v>
      </c>
      <c r="L2850" t="s">
        <v>1357</v>
      </c>
    </row>
    <row r="2851" spans="6:12">
      <c r="H2851" t="s">
        <v>4865</v>
      </c>
      <c r="I2851" t="s">
        <v>1357</v>
      </c>
      <c r="J2851" t="s">
        <v>1357</v>
      </c>
      <c r="K2851" t="s">
        <v>1357</v>
      </c>
      <c r="L2851" t="s">
        <v>1357</v>
      </c>
    </row>
    <row r="2852" spans="6:12">
      <c r="H2852" t="s">
        <v>4523</v>
      </c>
      <c r="I2852" t="s">
        <v>1357</v>
      </c>
      <c r="J2852" t="s">
        <v>1357</v>
      </c>
      <c r="K2852" t="s">
        <v>1357</v>
      </c>
      <c r="L2852" t="s">
        <v>1357</v>
      </c>
    </row>
    <row r="2853" spans="6:12">
      <c r="H2853" t="s">
        <v>3311</v>
      </c>
      <c r="I2853" t="s">
        <v>1357</v>
      </c>
      <c r="J2853" t="s">
        <v>1357</v>
      </c>
      <c r="K2853" t="s">
        <v>1357</v>
      </c>
      <c r="L2853" t="s">
        <v>1357</v>
      </c>
    </row>
    <row r="2854" spans="6:12">
      <c r="H2854" t="s">
        <v>4866</v>
      </c>
      <c r="I2854" t="s">
        <v>1357</v>
      </c>
      <c r="J2854" t="s">
        <v>1357</v>
      </c>
      <c r="K2854" t="s">
        <v>1357</v>
      </c>
      <c r="L2854" t="s">
        <v>1357</v>
      </c>
    </row>
    <row r="2855" spans="6:12">
      <c r="H2855" t="s">
        <v>4867</v>
      </c>
      <c r="I2855" t="s">
        <v>1357</v>
      </c>
      <c r="J2855" t="s">
        <v>1357</v>
      </c>
      <c r="K2855" t="s">
        <v>1357</v>
      </c>
      <c r="L2855" t="s">
        <v>1357</v>
      </c>
    </row>
    <row r="2856" spans="6:12">
      <c r="H2856" t="s">
        <v>4868</v>
      </c>
      <c r="I2856" t="s">
        <v>1357</v>
      </c>
      <c r="J2856" t="s">
        <v>1357</v>
      </c>
      <c r="K2856" t="s">
        <v>1357</v>
      </c>
      <c r="L2856" t="s">
        <v>1357</v>
      </c>
    </row>
    <row r="2857" spans="6:12">
      <c r="H2857" t="s">
        <v>4709</v>
      </c>
      <c r="I2857" t="s">
        <v>1357</v>
      </c>
      <c r="J2857" t="s">
        <v>1357</v>
      </c>
      <c r="K2857" t="s">
        <v>1357</v>
      </c>
      <c r="L2857" t="s">
        <v>1357</v>
      </c>
    </row>
    <row r="2858" spans="6:12">
      <c r="H2858" t="s">
        <v>4869</v>
      </c>
      <c r="I2858" t="s">
        <v>1357</v>
      </c>
      <c r="J2858" t="s">
        <v>1357</v>
      </c>
      <c r="K2858" t="s">
        <v>1357</v>
      </c>
      <c r="L2858" t="s">
        <v>1357</v>
      </c>
    </row>
    <row r="2859" spans="6:12">
      <c r="H2859" t="s">
        <v>4870</v>
      </c>
      <c r="I2859" t="s">
        <v>1357</v>
      </c>
      <c r="J2859" t="s">
        <v>1357</v>
      </c>
      <c r="K2859" t="s">
        <v>1357</v>
      </c>
      <c r="L2859" t="s">
        <v>1357</v>
      </c>
    </row>
    <row r="2860" spans="6:12">
      <c r="F2860" t="s">
        <v>2819</v>
      </c>
      <c r="G2860" t="s">
        <v>3194</v>
      </c>
      <c r="H2860" t="s">
        <v>4871</v>
      </c>
      <c r="I2860" t="s">
        <v>1357</v>
      </c>
      <c r="J2860" t="s">
        <v>1357</v>
      </c>
      <c r="K2860" t="s">
        <v>1357</v>
      </c>
      <c r="L2860" t="s">
        <v>1357</v>
      </c>
    </row>
    <row r="2861" spans="6:12">
      <c r="H2861" t="s">
        <v>4872</v>
      </c>
      <c r="I2861" t="s">
        <v>1357</v>
      </c>
      <c r="J2861" t="s">
        <v>1357</v>
      </c>
      <c r="K2861" t="s">
        <v>1357</v>
      </c>
      <c r="L2861" t="s">
        <v>1357</v>
      </c>
    </row>
    <row r="2862" spans="6:12">
      <c r="H2862" t="s">
        <v>4873</v>
      </c>
      <c r="I2862" t="s">
        <v>1357</v>
      </c>
      <c r="J2862" t="s">
        <v>1357</v>
      </c>
      <c r="K2862" t="s">
        <v>1357</v>
      </c>
      <c r="L2862" t="s">
        <v>1357</v>
      </c>
    </row>
    <row r="2863" spans="6:12">
      <c r="H2863" t="s">
        <v>1135</v>
      </c>
      <c r="I2863" t="s">
        <v>1357</v>
      </c>
      <c r="J2863" t="s">
        <v>1357</v>
      </c>
      <c r="K2863" t="s">
        <v>1357</v>
      </c>
      <c r="L2863" t="s">
        <v>1357</v>
      </c>
    </row>
    <row r="2864" spans="6:12">
      <c r="H2864" t="s">
        <v>4874</v>
      </c>
      <c r="I2864" t="s">
        <v>1357</v>
      </c>
      <c r="J2864" t="s">
        <v>1357</v>
      </c>
      <c r="K2864" t="s">
        <v>1357</v>
      </c>
      <c r="L2864" t="s">
        <v>1357</v>
      </c>
    </row>
    <row r="2865" spans="8:13">
      <c r="H2865" t="s">
        <v>4697</v>
      </c>
      <c r="I2865" t="s">
        <v>1357</v>
      </c>
      <c r="J2865" t="s">
        <v>1357</v>
      </c>
      <c r="K2865" t="s">
        <v>1357</v>
      </c>
      <c r="L2865" t="s">
        <v>1357</v>
      </c>
    </row>
    <row r="2866" spans="8:13">
      <c r="H2866" t="s">
        <v>4698</v>
      </c>
      <c r="I2866" t="s">
        <v>1357</v>
      </c>
      <c r="J2866" t="s">
        <v>1357</v>
      </c>
      <c r="K2866" t="s">
        <v>1357</v>
      </c>
      <c r="L2866" t="s">
        <v>1357</v>
      </c>
    </row>
    <row r="2867" spans="8:13">
      <c r="H2867" t="s">
        <v>4699</v>
      </c>
      <c r="I2867" t="s">
        <v>1357</v>
      </c>
      <c r="J2867" t="s">
        <v>1357</v>
      </c>
      <c r="K2867" t="s">
        <v>1357</v>
      </c>
      <c r="L2867" t="s">
        <v>1357</v>
      </c>
    </row>
    <row r="2868" spans="8:13">
      <c r="H2868" t="s">
        <v>4875</v>
      </c>
      <c r="I2868" t="s">
        <v>1357</v>
      </c>
      <c r="J2868" t="s">
        <v>1357</v>
      </c>
      <c r="K2868" t="s">
        <v>1357</v>
      </c>
      <c r="L2868" t="s">
        <v>1357</v>
      </c>
      <c r="M2868" t="s">
        <v>1365</v>
      </c>
    </row>
    <row r="2869" spans="8:13">
      <c r="H2869" t="s">
        <v>4876</v>
      </c>
      <c r="I2869" t="s">
        <v>1357</v>
      </c>
      <c r="J2869" t="s">
        <v>1357</v>
      </c>
      <c r="K2869" t="s">
        <v>1357</v>
      </c>
      <c r="L2869" t="s">
        <v>1357</v>
      </c>
    </row>
    <row r="2870" spans="8:13">
      <c r="H2870" t="s">
        <v>4877</v>
      </c>
      <c r="I2870" t="s">
        <v>1357</v>
      </c>
      <c r="J2870" t="s">
        <v>1357</v>
      </c>
      <c r="K2870" t="s">
        <v>1357</v>
      </c>
      <c r="L2870" t="s">
        <v>1357</v>
      </c>
    </row>
    <row r="2871" spans="8:13">
      <c r="H2871" t="s">
        <v>4878</v>
      </c>
      <c r="I2871" t="s">
        <v>1357</v>
      </c>
      <c r="J2871" t="s">
        <v>1357</v>
      </c>
      <c r="K2871" t="s">
        <v>1357</v>
      </c>
      <c r="L2871" t="s">
        <v>1357</v>
      </c>
    </row>
    <row r="2872" spans="8:13">
      <c r="H2872" t="s">
        <v>4523</v>
      </c>
      <c r="I2872" t="s">
        <v>1357</v>
      </c>
      <c r="J2872" t="s">
        <v>1357</v>
      </c>
      <c r="K2872" t="s">
        <v>1357</v>
      </c>
      <c r="L2872" t="s">
        <v>1357</v>
      </c>
    </row>
    <row r="2873" spans="8:13">
      <c r="H2873" t="s">
        <v>4867</v>
      </c>
      <c r="I2873" t="s">
        <v>1357</v>
      </c>
      <c r="J2873" t="s">
        <v>1357</v>
      </c>
      <c r="K2873" t="s">
        <v>1357</v>
      </c>
      <c r="L2873" t="s">
        <v>1357</v>
      </c>
    </row>
    <row r="2874" spans="8:13">
      <c r="H2874" t="s">
        <v>3311</v>
      </c>
      <c r="I2874" t="s">
        <v>1357</v>
      </c>
      <c r="J2874" t="s">
        <v>1357</v>
      </c>
      <c r="K2874" t="s">
        <v>1357</v>
      </c>
      <c r="L2874" t="s">
        <v>1357</v>
      </c>
    </row>
    <row r="2875" spans="8:13">
      <c r="H2875" t="s">
        <v>4879</v>
      </c>
      <c r="I2875" t="s">
        <v>1357</v>
      </c>
      <c r="J2875" t="s">
        <v>1357</v>
      </c>
      <c r="K2875" t="s">
        <v>1357</v>
      </c>
      <c r="L2875" t="s">
        <v>1357</v>
      </c>
    </row>
    <row r="2876" spans="8:13">
      <c r="H2876" t="s">
        <v>4703</v>
      </c>
      <c r="I2876" t="s">
        <v>1357</v>
      </c>
      <c r="J2876" t="s">
        <v>1357</v>
      </c>
      <c r="K2876" t="s">
        <v>1357</v>
      </c>
      <c r="L2876" t="s">
        <v>1357</v>
      </c>
    </row>
    <row r="2877" spans="8:13">
      <c r="H2877" t="s">
        <v>4705</v>
      </c>
      <c r="I2877" t="s">
        <v>1357</v>
      </c>
      <c r="J2877" t="s">
        <v>1357</v>
      </c>
      <c r="K2877" t="s">
        <v>1357</v>
      </c>
      <c r="L2877" t="s">
        <v>1357</v>
      </c>
    </row>
    <row r="2878" spans="8:13">
      <c r="H2878" t="s">
        <v>4707</v>
      </c>
      <c r="I2878" t="s">
        <v>1357</v>
      </c>
      <c r="J2878" t="s">
        <v>1357</v>
      </c>
      <c r="K2878" t="s">
        <v>1357</v>
      </c>
      <c r="L2878" t="s">
        <v>1357</v>
      </c>
    </row>
    <row r="2879" spans="8:13">
      <c r="H2879" t="s">
        <v>900</v>
      </c>
      <c r="I2879" t="s">
        <v>1357</v>
      </c>
      <c r="J2879" t="s">
        <v>1357</v>
      </c>
      <c r="K2879" t="s">
        <v>1357</v>
      </c>
      <c r="L2879" t="s">
        <v>1357</v>
      </c>
    </row>
    <row r="2880" spans="8:13">
      <c r="H2880" t="s">
        <v>901</v>
      </c>
      <c r="I2880" t="s">
        <v>1357</v>
      </c>
      <c r="J2880" t="s">
        <v>1357</v>
      </c>
      <c r="K2880" t="s">
        <v>1357</v>
      </c>
      <c r="L2880" t="s">
        <v>1357</v>
      </c>
    </row>
    <row r="2881" spans="6:12">
      <c r="H2881" t="s">
        <v>4870</v>
      </c>
      <c r="I2881" t="s">
        <v>1357</v>
      </c>
      <c r="J2881" t="s">
        <v>1357</v>
      </c>
      <c r="K2881" t="s">
        <v>1357</v>
      </c>
      <c r="L2881" t="s">
        <v>1357</v>
      </c>
    </row>
    <row r="2882" spans="6:12">
      <c r="F2882" t="s">
        <v>2820</v>
      </c>
      <c r="G2882" t="s">
        <v>3195</v>
      </c>
      <c r="H2882" t="s">
        <v>4080</v>
      </c>
      <c r="I2882" t="s">
        <v>1357</v>
      </c>
      <c r="J2882" t="s">
        <v>1357</v>
      </c>
      <c r="K2882" t="s">
        <v>1357</v>
      </c>
      <c r="L2882" t="s">
        <v>1357</v>
      </c>
    </row>
    <row r="2883" spans="6:12">
      <c r="H2883" t="s">
        <v>4081</v>
      </c>
      <c r="I2883" t="s">
        <v>1357</v>
      </c>
      <c r="J2883" t="s">
        <v>1357</v>
      </c>
      <c r="K2883" t="s">
        <v>1357</v>
      </c>
      <c r="L2883" t="s">
        <v>1357</v>
      </c>
    </row>
    <row r="2884" spans="6:12">
      <c r="H2884" t="s">
        <v>4082</v>
      </c>
      <c r="I2884" t="s">
        <v>1357</v>
      </c>
      <c r="J2884" t="s">
        <v>1357</v>
      </c>
      <c r="K2884" t="s">
        <v>1357</v>
      </c>
      <c r="L2884" t="s">
        <v>1357</v>
      </c>
    </row>
    <row r="2885" spans="6:12">
      <c r="H2885" t="s">
        <v>4084</v>
      </c>
      <c r="I2885" t="s">
        <v>1357</v>
      </c>
      <c r="J2885" t="s">
        <v>1357</v>
      </c>
      <c r="K2885" t="s">
        <v>1357</v>
      </c>
      <c r="L2885" t="s">
        <v>1357</v>
      </c>
    </row>
    <row r="2886" spans="6:12">
      <c r="H2886" t="s">
        <v>3729</v>
      </c>
      <c r="I2886" t="s">
        <v>1357</v>
      </c>
      <c r="J2886" t="s">
        <v>1357</v>
      </c>
      <c r="K2886" t="s">
        <v>1357</v>
      </c>
      <c r="L2886" t="s">
        <v>1357</v>
      </c>
    </row>
    <row r="2887" spans="6:12">
      <c r="F2887" t="s">
        <v>2821</v>
      </c>
      <c r="G2887" t="s">
        <v>3196</v>
      </c>
      <c r="H2887" t="s">
        <v>4712</v>
      </c>
      <c r="I2887" t="s">
        <v>1357</v>
      </c>
      <c r="J2887" t="s">
        <v>1357</v>
      </c>
      <c r="K2887" t="s">
        <v>1357</v>
      </c>
      <c r="L2887" t="s">
        <v>1357</v>
      </c>
    </row>
    <row r="2888" spans="6:12">
      <c r="H2888" t="s">
        <v>4713</v>
      </c>
      <c r="I2888" t="s">
        <v>1357</v>
      </c>
      <c r="J2888" t="s">
        <v>1357</v>
      </c>
      <c r="K2888" t="s">
        <v>1357</v>
      </c>
      <c r="L2888" t="s">
        <v>1357</v>
      </c>
    </row>
    <row r="2889" spans="6:12">
      <c r="H2889" t="s">
        <v>906</v>
      </c>
      <c r="I2889" t="s">
        <v>1357</v>
      </c>
      <c r="J2889" t="s">
        <v>1357</v>
      </c>
      <c r="K2889" t="s">
        <v>1357</v>
      </c>
      <c r="L2889" t="s">
        <v>1357</v>
      </c>
    </row>
    <row r="2890" spans="6:12">
      <c r="F2890" t="s">
        <v>2822</v>
      </c>
      <c r="G2890" t="s">
        <v>3186</v>
      </c>
      <c r="H2890" t="s">
        <v>1079</v>
      </c>
      <c r="I2890" t="s">
        <v>1357</v>
      </c>
      <c r="J2890" t="s">
        <v>1357</v>
      </c>
      <c r="K2890" t="s">
        <v>1357</v>
      </c>
      <c r="L2890" t="s">
        <v>1357</v>
      </c>
    </row>
    <row r="2891" spans="6:12">
      <c r="H2891" t="s">
        <v>3823</v>
      </c>
      <c r="I2891" t="s">
        <v>1357</v>
      </c>
      <c r="J2891" t="s">
        <v>1357</v>
      </c>
      <c r="K2891" t="s">
        <v>1357</v>
      </c>
      <c r="L2891" t="s">
        <v>1357</v>
      </c>
    </row>
    <row r="2892" spans="6:12">
      <c r="F2892" t="s">
        <v>2823</v>
      </c>
      <c r="G2892" t="s">
        <v>3197</v>
      </c>
      <c r="H2892" t="s">
        <v>4880</v>
      </c>
      <c r="I2892" t="s">
        <v>1357</v>
      </c>
      <c r="J2892" t="s">
        <v>1357</v>
      </c>
      <c r="K2892" t="s">
        <v>1357</v>
      </c>
      <c r="L2892" t="s">
        <v>1357</v>
      </c>
    </row>
    <row r="2893" spans="6:12">
      <c r="F2893" t="s">
        <v>2798</v>
      </c>
      <c r="G2893" t="s">
        <v>3176</v>
      </c>
      <c r="H2893" t="s">
        <v>4881</v>
      </c>
      <c r="I2893" t="s">
        <v>1357</v>
      </c>
      <c r="J2893" t="s">
        <v>1357</v>
      </c>
      <c r="K2893" t="s">
        <v>1357</v>
      </c>
      <c r="L2893" t="s">
        <v>1357</v>
      </c>
    </row>
    <row r="2894" spans="6:12">
      <c r="H2894" t="s">
        <v>4882</v>
      </c>
      <c r="I2894" t="s">
        <v>1357</v>
      </c>
      <c r="J2894" t="s">
        <v>1357</v>
      </c>
      <c r="K2894" t="s">
        <v>1357</v>
      </c>
      <c r="L2894" t="s">
        <v>1357</v>
      </c>
    </row>
    <row r="2895" spans="6:12">
      <c r="H2895" t="s">
        <v>4883</v>
      </c>
      <c r="I2895" t="s">
        <v>1357</v>
      </c>
      <c r="J2895" t="s">
        <v>1357</v>
      </c>
      <c r="K2895" t="s">
        <v>1357</v>
      </c>
      <c r="L2895" t="s">
        <v>1357</v>
      </c>
    </row>
    <row r="2896" spans="6:12">
      <c r="H2896" t="s">
        <v>4884</v>
      </c>
      <c r="I2896" t="s">
        <v>1357</v>
      </c>
      <c r="J2896" t="s">
        <v>1357</v>
      </c>
      <c r="K2896" t="s">
        <v>1357</v>
      </c>
      <c r="L2896" t="s">
        <v>1357</v>
      </c>
    </row>
    <row r="2897" spans="8:12">
      <c r="H2897" t="s">
        <v>4885</v>
      </c>
      <c r="I2897" t="s">
        <v>1357</v>
      </c>
      <c r="J2897" t="s">
        <v>1357</v>
      </c>
      <c r="K2897" t="s">
        <v>1357</v>
      </c>
      <c r="L2897" t="s">
        <v>1357</v>
      </c>
    </row>
    <row r="2898" spans="8:12">
      <c r="H2898" t="s">
        <v>4886</v>
      </c>
      <c r="I2898" t="s">
        <v>1357</v>
      </c>
      <c r="J2898" t="s">
        <v>1357</v>
      </c>
      <c r="K2898" t="s">
        <v>1357</v>
      </c>
      <c r="L2898" t="s">
        <v>1357</v>
      </c>
    </row>
    <row r="2899" spans="8:12">
      <c r="H2899" t="s">
        <v>4887</v>
      </c>
      <c r="I2899" t="s">
        <v>1357</v>
      </c>
      <c r="J2899" t="s">
        <v>1357</v>
      </c>
      <c r="K2899" t="s">
        <v>1357</v>
      </c>
      <c r="L2899" t="s">
        <v>1357</v>
      </c>
    </row>
    <row r="2900" spans="8:12">
      <c r="H2900" t="s">
        <v>4888</v>
      </c>
      <c r="I2900" t="s">
        <v>1357</v>
      </c>
      <c r="J2900" t="s">
        <v>1357</v>
      </c>
      <c r="K2900" t="s">
        <v>1357</v>
      </c>
      <c r="L2900" t="s">
        <v>1357</v>
      </c>
    </row>
    <row r="2901" spans="8:12">
      <c r="H2901" t="s">
        <v>4889</v>
      </c>
      <c r="I2901" t="s">
        <v>1357</v>
      </c>
      <c r="J2901" t="s">
        <v>1357</v>
      </c>
      <c r="K2901" t="s">
        <v>1357</v>
      </c>
      <c r="L2901" t="s">
        <v>1357</v>
      </c>
    </row>
    <row r="2902" spans="8:12">
      <c r="H2902" t="s">
        <v>4788</v>
      </c>
      <c r="I2902" t="s">
        <v>1357</v>
      </c>
      <c r="J2902" t="s">
        <v>1357</v>
      </c>
      <c r="K2902" t="s">
        <v>1357</v>
      </c>
      <c r="L2902" t="s">
        <v>1357</v>
      </c>
    </row>
    <row r="2903" spans="8:12">
      <c r="H2903" t="s">
        <v>4890</v>
      </c>
      <c r="I2903" t="s">
        <v>1357</v>
      </c>
      <c r="J2903" t="s">
        <v>1357</v>
      </c>
      <c r="K2903" t="s">
        <v>1357</v>
      </c>
      <c r="L2903" t="s">
        <v>1357</v>
      </c>
    </row>
    <row r="2904" spans="8:12">
      <c r="H2904" t="s">
        <v>4891</v>
      </c>
      <c r="I2904" t="s">
        <v>1357</v>
      </c>
      <c r="J2904" t="s">
        <v>1357</v>
      </c>
      <c r="K2904" t="s">
        <v>1357</v>
      </c>
      <c r="L2904" t="s">
        <v>1357</v>
      </c>
    </row>
    <row r="2905" spans="8:12">
      <c r="H2905" t="s">
        <v>4892</v>
      </c>
      <c r="I2905" t="s">
        <v>1357</v>
      </c>
      <c r="J2905" t="s">
        <v>1357</v>
      </c>
      <c r="K2905" t="s">
        <v>1357</v>
      </c>
      <c r="L2905" t="s">
        <v>1357</v>
      </c>
    </row>
    <row r="2906" spans="8:12">
      <c r="H2906" t="s">
        <v>4893</v>
      </c>
      <c r="I2906" t="s">
        <v>1357</v>
      </c>
      <c r="J2906" t="s">
        <v>1357</v>
      </c>
      <c r="K2906" t="s">
        <v>1357</v>
      </c>
      <c r="L2906" t="s">
        <v>1357</v>
      </c>
    </row>
    <row r="2907" spans="8:12">
      <c r="H2907" t="s">
        <v>4894</v>
      </c>
      <c r="I2907" t="s">
        <v>1357</v>
      </c>
      <c r="J2907" t="s">
        <v>1357</v>
      </c>
      <c r="K2907" t="s">
        <v>1357</v>
      </c>
      <c r="L2907" t="s">
        <v>1357</v>
      </c>
    </row>
    <row r="2908" spans="8:12">
      <c r="H2908" t="s">
        <v>4895</v>
      </c>
      <c r="I2908" t="s">
        <v>1357</v>
      </c>
      <c r="J2908" t="s">
        <v>1357</v>
      </c>
      <c r="K2908" t="s">
        <v>1357</v>
      </c>
      <c r="L2908" t="s">
        <v>1357</v>
      </c>
    </row>
    <row r="2909" spans="8:12">
      <c r="H2909" t="s">
        <v>4896</v>
      </c>
      <c r="I2909" t="s">
        <v>1357</v>
      </c>
      <c r="J2909" t="s">
        <v>1357</v>
      </c>
      <c r="K2909" t="s">
        <v>1357</v>
      </c>
      <c r="L2909" t="s">
        <v>1357</v>
      </c>
    </row>
    <row r="2910" spans="8:12">
      <c r="H2910" t="s">
        <v>4897</v>
      </c>
      <c r="I2910" t="s">
        <v>1357</v>
      </c>
      <c r="J2910" t="s">
        <v>1357</v>
      </c>
      <c r="K2910" t="s">
        <v>1357</v>
      </c>
      <c r="L2910" t="s">
        <v>1357</v>
      </c>
    </row>
    <row r="2911" spans="8:12">
      <c r="H2911" t="s">
        <v>4898</v>
      </c>
      <c r="I2911" t="s">
        <v>1357</v>
      </c>
      <c r="J2911" t="s">
        <v>1357</v>
      </c>
      <c r="K2911" t="s">
        <v>1357</v>
      </c>
      <c r="L2911" t="s">
        <v>1357</v>
      </c>
    </row>
    <row r="2912" spans="8:12">
      <c r="H2912" t="s">
        <v>3823</v>
      </c>
      <c r="I2912" t="s">
        <v>1357</v>
      </c>
      <c r="J2912" t="s">
        <v>1357</v>
      </c>
      <c r="K2912" t="s">
        <v>1357</v>
      </c>
      <c r="L2912" t="s">
        <v>1357</v>
      </c>
    </row>
    <row r="2913" spans="8:12">
      <c r="H2913" t="s">
        <v>4899</v>
      </c>
      <c r="I2913" t="s">
        <v>1357</v>
      </c>
      <c r="J2913" t="s">
        <v>1357</v>
      </c>
      <c r="K2913" t="s">
        <v>1357</v>
      </c>
      <c r="L2913" t="s">
        <v>1357</v>
      </c>
    </row>
    <row r="2914" spans="8:12">
      <c r="H2914" t="s">
        <v>4900</v>
      </c>
      <c r="I2914" t="s">
        <v>1357</v>
      </c>
      <c r="J2914" t="s">
        <v>1357</v>
      </c>
      <c r="K2914" t="s">
        <v>1357</v>
      </c>
      <c r="L2914" t="s">
        <v>1357</v>
      </c>
    </row>
    <row r="2915" spans="8:12">
      <c r="H2915" t="s">
        <v>4901</v>
      </c>
      <c r="I2915" t="s">
        <v>1357</v>
      </c>
      <c r="J2915" t="s">
        <v>1357</v>
      </c>
      <c r="K2915" t="s">
        <v>1357</v>
      </c>
      <c r="L2915" t="s">
        <v>1357</v>
      </c>
    </row>
    <row r="2916" spans="8:12">
      <c r="H2916" t="s">
        <v>4902</v>
      </c>
      <c r="I2916" t="s">
        <v>1357</v>
      </c>
      <c r="J2916" t="s">
        <v>1357</v>
      </c>
      <c r="K2916" t="s">
        <v>1357</v>
      </c>
      <c r="L2916" t="s">
        <v>1357</v>
      </c>
    </row>
    <row r="2917" spans="8:12">
      <c r="H2917" t="s">
        <v>4903</v>
      </c>
      <c r="I2917" t="s">
        <v>1357</v>
      </c>
      <c r="J2917" t="s">
        <v>1357</v>
      </c>
      <c r="K2917" t="s">
        <v>1357</v>
      </c>
      <c r="L2917" t="s">
        <v>1357</v>
      </c>
    </row>
    <row r="2918" spans="8:12">
      <c r="H2918" t="s">
        <v>4904</v>
      </c>
      <c r="I2918" t="s">
        <v>1357</v>
      </c>
      <c r="J2918" t="s">
        <v>1357</v>
      </c>
      <c r="K2918" t="s">
        <v>1357</v>
      </c>
      <c r="L2918" t="s">
        <v>1357</v>
      </c>
    </row>
    <row r="2919" spans="8:12">
      <c r="H2919" t="s">
        <v>4905</v>
      </c>
      <c r="I2919" t="s">
        <v>1357</v>
      </c>
      <c r="J2919" t="s">
        <v>1357</v>
      </c>
      <c r="K2919" t="s">
        <v>1357</v>
      </c>
      <c r="L2919" t="s">
        <v>1357</v>
      </c>
    </row>
    <row r="2920" spans="8:12">
      <c r="H2920" t="s">
        <v>4906</v>
      </c>
      <c r="I2920" t="s">
        <v>1357</v>
      </c>
      <c r="J2920" t="s">
        <v>1357</v>
      </c>
      <c r="K2920" t="s">
        <v>1357</v>
      </c>
      <c r="L2920" t="s">
        <v>1357</v>
      </c>
    </row>
    <row r="2921" spans="8:12">
      <c r="H2921" t="s">
        <v>4907</v>
      </c>
      <c r="I2921" t="s">
        <v>1357</v>
      </c>
      <c r="J2921" t="s">
        <v>1357</v>
      </c>
      <c r="K2921" t="s">
        <v>1357</v>
      </c>
      <c r="L2921" t="s">
        <v>1357</v>
      </c>
    </row>
    <row r="2922" spans="8:12">
      <c r="H2922" t="s">
        <v>4908</v>
      </c>
      <c r="I2922" t="s">
        <v>1357</v>
      </c>
      <c r="J2922" t="s">
        <v>1357</v>
      </c>
      <c r="K2922" t="s">
        <v>1357</v>
      </c>
      <c r="L2922" t="s">
        <v>1357</v>
      </c>
    </row>
    <row r="2923" spans="8:12">
      <c r="H2923" t="s">
        <v>4794</v>
      </c>
      <c r="I2923" t="s">
        <v>1357</v>
      </c>
      <c r="J2923" t="s">
        <v>1357</v>
      </c>
      <c r="K2923" t="s">
        <v>1357</v>
      </c>
      <c r="L2923" t="s">
        <v>1357</v>
      </c>
    </row>
    <row r="2924" spans="8:12">
      <c r="H2924" t="s">
        <v>4795</v>
      </c>
      <c r="I2924" t="s">
        <v>1357</v>
      </c>
      <c r="J2924" t="s">
        <v>1357</v>
      </c>
      <c r="K2924" t="s">
        <v>1357</v>
      </c>
      <c r="L2924" t="s">
        <v>1357</v>
      </c>
    </row>
    <row r="2925" spans="8:12">
      <c r="H2925" t="s">
        <v>4909</v>
      </c>
      <c r="I2925" t="s">
        <v>1357</v>
      </c>
      <c r="J2925" t="s">
        <v>1357</v>
      </c>
      <c r="K2925" t="s">
        <v>1357</v>
      </c>
      <c r="L2925" t="s">
        <v>1357</v>
      </c>
    </row>
    <row r="2926" spans="8:12">
      <c r="H2926" t="s">
        <v>4910</v>
      </c>
      <c r="I2926" t="s">
        <v>1357</v>
      </c>
      <c r="J2926" t="s">
        <v>1357</v>
      </c>
      <c r="K2926" t="s">
        <v>1357</v>
      </c>
      <c r="L2926" t="s">
        <v>1357</v>
      </c>
    </row>
    <row r="2927" spans="8:12">
      <c r="H2927" t="s">
        <v>4911</v>
      </c>
      <c r="I2927" t="s">
        <v>1357</v>
      </c>
      <c r="J2927" t="s">
        <v>1357</v>
      </c>
      <c r="K2927" t="s">
        <v>1357</v>
      </c>
      <c r="L2927" t="s">
        <v>1357</v>
      </c>
    </row>
    <row r="2928" spans="8:12">
      <c r="H2928" t="s">
        <v>4912</v>
      </c>
      <c r="I2928" t="s">
        <v>1357</v>
      </c>
      <c r="J2928" t="s">
        <v>1357</v>
      </c>
      <c r="K2928" t="s">
        <v>1357</v>
      </c>
      <c r="L2928" t="s">
        <v>1357</v>
      </c>
    </row>
    <row r="2929" spans="6:12">
      <c r="H2929" t="s">
        <v>4913</v>
      </c>
      <c r="I2929" t="s">
        <v>1357</v>
      </c>
      <c r="J2929" t="s">
        <v>1357</v>
      </c>
      <c r="K2929" t="s">
        <v>1357</v>
      </c>
      <c r="L2929" t="s">
        <v>1357</v>
      </c>
    </row>
    <row r="2930" spans="6:12">
      <c r="F2930" t="s">
        <v>2824</v>
      </c>
      <c r="G2930" t="s">
        <v>3198</v>
      </c>
      <c r="H2930" t="s">
        <v>4106</v>
      </c>
      <c r="I2930" t="s">
        <v>1357</v>
      </c>
      <c r="J2930" t="s">
        <v>1357</v>
      </c>
      <c r="K2930" t="s">
        <v>1357</v>
      </c>
      <c r="L2930" t="s">
        <v>1357</v>
      </c>
    </row>
    <row r="2931" spans="6:12">
      <c r="F2931" t="s">
        <v>2825</v>
      </c>
      <c r="G2931" t="s">
        <v>3192</v>
      </c>
      <c r="H2931" t="s">
        <v>4846</v>
      </c>
      <c r="I2931" t="s">
        <v>1357</v>
      </c>
      <c r="J2931" t="s">
        <v>1357</v>
      </c>
      <c r="K2931" t="s">
        <v>1357</v>
      </c>
      <c r="L2931" t="s">
        <v>1357</v>
      </c>
    </row>
    <row r="2932" spans="6:12">
      <c r="H2932" t="s">
        <v>4847</v>
      </c>
      <c r="I2932" t="s">
        <v>1357</v>
      </c>
      <c r="J2932" t="s">
        <v>1357</v>
      </c>
      <c r="K2932" t="s">
        <v>1357</v>
      </c>
      <c r="L2932" t="s">
        <v>1357</v>
      </c>
    </row>
    <row r="2933" spans="6:12">
      <c r="H2933" t="s">
        <v>4848</v>
      </c>
      <c r="I2933" t="s">
        <v>1357</v>
      </c>
      <c r="J2933" t="s">
        <v>1357</v>
      </c>
      <c r="K2933" t="s">
        <v>1357</v>
      </c>
      <c r="L2933" t="s">
        <v>1357</v>
      </c>
    </row>
    <row r="2934" spans="6:12">
      <c r="H2934" t="s">
        <v>4849</v>
      </c>
      <c r="I2934" t="s">
        <v>1357</v>
      </c>
      <c r="J2934" t="s">
        <v>1357</v>
      </c>
      <c r="K2934" t="s">
        <v>1357</v>
      </c>
      <c r="L2934" t="s">
        <v>1357</v>
      </c>
    </row>
    <row r="2935" spans="6:12">
      <c r="H2935" t="s">
        <v>4850</v>
      </c>
      <c r="I2935" t="s">
        <v>1357</v>
      </c>
      <c r="J2935" t="s">
        <v>1357</v>
      </c>
      <c r="K2935" t="s">
        <v>1357</v>
      </c>
      <c r="L2935" t="s">
        <v>1357</v>
      </c>
    </row>
    <row r="2936" spans="6:12">
      <c r="H2936" t="s">
        <v>4851</v>
      </c>
      <c r="I2936" t="s">
        <v>1357</v>
      </c>
      <c r="J2936" t="s">
        <v>1357</v>
      </c>
      <c r="K2936" t="s">
        <v>1357</v>
      </c>
      <c r="L2936" t="s">
        <v>1357</v>
      </c>
    </row>
    <row r="2937" spans="6:12">
      <c r="H2937" t="s">
        <v>4852</v>
      </c>
      <c r="I2937" t="s">
        <v>1357</v>
      </c>
      <c r="J2937" t="s">
        <v>1357</v>
      </c>
      <c r="K2937" t="s">
        <v>1357</v>
      </c>
      <c r="L2937" t="s">
        <v>1357</v>
      </c>
    </row>
    <row r="2938" spans="6:12">
      <c r="H2938" t="s">
        <v>4853</v>
      </c>
      <c r="I2938" t="s">
        <v>1357</v>
      </c>
      <c r="J2938" t="s">
        <v>1357</v>
      </c>
      <c r="K2938" t="s">
        <v>1357</v>
      </c>
      <c r="L2938" t="s">
        <v>1357</v>
      </c>
    </row>
    <row r="2939" spans="6:12">
      <c r="H2939" t="s">
        <v>4854</v>
      </c>
      <c r="I2939" t="s">
        <v>1357</v>
      </c>
      <c r="J2939" t="s">
        <v>1357</v>
      </c>
      <c r="K2939" t="s">
        <v>1357</v>
      </c>
      <c r="L2939" t="s">
        <v>1357</v>
      </c>
    </row>
    <row r="2940" spans="6:12">
      <c r="H2940" t="s">
        <v>4855</v>
      </c>
      <c r="I2940" t="s">
        <v>1357</v>
      </c>
      <c r="J2940" t="s">
        <v>1357</v>
      </c>
      <c r="K2940" t="s">
        <v>1357</v>
      </c>
      <c r="L2940" t="s">
        <v>1357</v>
      </c>
    </row>
    <row r="2941" spans="6:12">
      <c r="H2941" t="s">
        <v>4856</v>
      </c>
      <c r="I2941" t="s">
        <v>1357</v>
      </c>
      <c r="J2941" t="s">
        <v>1357</v>
      </c>
      <c r="K2941" t="s">
        <v>1357</v>
      </c>
      <c r="L2941" t="s">
        <v>1357</v>
      </c>
    </row>
    <row r="2942" spans="6:12">
      <c r="H2942" t="s">
        <v>4857</v>
      </c>
      <c r="I2942" t="s">
        <v>1357</v>
      </c>
      <c r="J2942" t="s">
        <v>1357</v>
      </c>
      <c r="K2942" t="s">
        <v>1357</v>
      </c>
      <c r="L2942" t="s">
        <v>1357</v>
      </c>
    </row>
    <row r="2943" spans="6:12">
      <c r="F2943" t="s">
        <v>2826</v>
      </c>
      <c r="G2943" t="s">
        <v>3199</v>
      </c>
      <c r="H2943" t="s">
        <v>3543</v>
      </c>
      <c r="I2943" t="s">
        <v>1357</v>
      </c>
      <c r="J2943" t="s">
        <v>1357</v>
      </c>
      <c r="K2943" t="s">
        <v>1357</v>
      </c>
      <c r="L2943" t="s">
        <v>1357</v>
      </c>
    </row>
    <row r="2944" spans="6:12">
      <c r="H2944" t="s">
        <v>3544</v>
      </c>
      <c r="I2944" t="s">
        <v>1357</v>
      </c>
      <c r="J2944" t="s">
        <v>1357</v>
      </c>
      <c r="K2944" t="s">
        <v>1357</v>
      </c>
      <c r="L2944" t="s">
        <v>1357</v>
      </c>
    </row>
    <row r="2945" spans="8:12">
      <c r="H2945" t="s">
        <v>3545</v>
      </c>
      <c r="I2945" t="s">
        <v>1357</v>
      </c>
      <c r="J2945" t="s">
        <v>1357</v>
      </c>
      <c r="K2945" t="s">
        <v>1357</v>
      </c>
      <c r="L2945" t="s">
        <v>1357</v>
      </c>
    </row>
    <row r="2946" spans="8:12">
      <c r="H2946" t="s">
        <v>4756</v>
      </c>
      <c r="I2946" t="s">
        <v>1357</v>
      </c>
      <c r="J2946" t="s">
        <v>1357</v>
      </c>
      <c r="K2946" t="s">
        <v>1357</v>
      </c>
      <c r="L2946" t="s">
        <v>1357</v>
      </c>
    </row>
    <row r="2947" spans="8:12">
      <c r="H2947" t="s">
        <v>4858</v>
      </c>
      <c r="I2947" t="s">
        <v>1357</v>
      </c>
      <c r="J2947" t="s">
        <v>1357</v>
      </c>
      <c r="K2947" t="s">
        <v>1357</v>
      </c>
      <c r="L2947" t="s">
        <v>1357</v>
      </c>
    </row>
    <row r="2948" spans="8:12">
      <c r="H2948" t="s">
        <v>4859</v>
      </c>
      <c r="I2948" t="s">
        <v>1357</v>
      </c>
      <c r="J2948" t="s">
        <v>1357</v>
      </c>
      <c r="K2948" t="s">
        <v>1357</v>
      </c>
      <c r="L2948" t="s">
        <v>1357</v>
      </c>
    </row>
    <row r="2949" spans="8:12">
      <c r="H2949" t="s">
        <v>4757</v>
      </c>
      <c r="I2949" t="s">
        <v>1357</v>
      </c>
      <c r="J2949" t="s">
        <v>1357</v>
      </c>
      <c r="K2949" t="s">
        <v>1357</v>
      </c>
      <c r="L2949" t="s">
        <v>1357</v>
      </c>
    </row>
    <row r="2950" spans="8:12">
      <c r="H2950" t="s">
        <v>4914</v>
      </c>
      <c r="I2950" t="s">
        <v>1357</v>
      </c>
      <c r="J2950" t="s">
        <v>1357</v>
      </c>
      <c r="K2950" t="s">
        <v>1357</v>
      </c>
      <c r="L2950" t="s">
        <v>1357</v>
      </c>
    </row>
    <row r="2951" spans="8:12">
      <c r="H2951" t="s">
        <v>3553</v>
      </c>
      <c r="I2951" t="s">
        <v>1357</v>
      </c>
      <c r="J2951" t="s">
        <v>1357</v>
      </c>
      <c r="K2951" t="s">
        <v>1357</v>
      </c>
      <c r="L2951" t="s">
        <v>1357</v>
      </c>
    </row>
    <row r="2952" spans="8:12">
      <c r="H2952" t="s">
        <v>3554</v>
      </c>
      <c r="I2952" t="s">
        <v>1357</v>
      </c>
      <c r="J2952" t="s">
        <v>1357</v>
      </c>
      <c r="K2952" t="s">
        <v>1357</v>
      </c>
      <c r="L2952" t="s">
        <v>1357</v>
      </c>
    </row>
    <row r="2953" spans="8:12">
      <c r="H2953" t="s">
        <v>4759</v>
      </c>
      <c r="I2953" t="s">
        <v>1357</v>
      </c>
      <c r="J2953" t="s">
        <v>1357</v>
      </c>
      <c r="K2953" t="s">
        <v>1357</v>
      </c>
      <c r="L2953" t="s">
        <v>1357</v>
      </c>
    </row>
    <row r="2954" spans="8:12">
      <c r="H2954" t="s">
        <v>3556</v>
      </c>
      <c r="I2954" t="s">
        <v>1357</v>
      </c>
      <c r="J2954" t="s">
        <v>1357</v>
      </c>
      <c r="K2954" t="s">
        <v>1357</v>
      </c>
      <c r="L2954" t="s">
        <v>1357</v>
      </c>
    </row>
    <row r="2955" spans="8:12">
      <c r="H2955" t="s">
        <v>4760</v>
      </c>
      <c r="I2955" t="s">
        <v>1357</v>
      </c>
      <c r="J2955" t="s">
        <v>1357</v>
      </c>
      <c r="K2955" t="s">
        <v>1357</v>
      </c>
      <c r="L2955" t="s">
        <v>1357</v>
      </c>
    </row>
    <row r="2956" spans="8:12">
      <c r="H2956" t="s">
        <v>3557</v>
      </c>
      <c r="I2956" t="s">
        <v>1357</v>
      </c>
      <c r="J2956" t="s">
        <v>1357</v>
      </c>
      <c r="K2956" t="s">
        <v>1357</v>
      </c>
      <c r="L2956" t="s">
        <v>1357</v>
      </c>
    </row>
    <row r="2957" spans="8:12">
      <c r="H2957" t="s">
        <v>3558</v>
      </c>
      <c r="I2957" t="s">
        <v>1357</v>
      </c>
      <c r="J2957" t="s">
        <v>1357</v>
      </c>
      <c r="K2957" t="s">
        <v>1357</v>
      </c>
      <c r="L2957" t="s">
        <v>1357</v>
      </c>
    </row>
    <row r="2958" spans="8:12">
      <c r="H2958" t="s">
        <v>4761</v>
      </c>
      <c r="I2958" t="s">
        <v>1357</v>
      </c>
      <c r="J2958" t="s">
        <v>1357</v>
      </c>
      <c r="K2958" t="s">
        <v>1357</v>
      </c>
      <c r="L2958" t="s">
        <v>1357</v>
      </c>
    </row>
    <row r="2959" spans="8:12">
      <c r="H2959" t="s">
        <v>4762</v>
      </c>
      <c r="I2959" t="s">
        <v>1357</v>
      </c>
      <c r="J2959" t="s">
        <v>1357</v>
      </c>
      <c r="K2959" t="s">
        <v>1357</v>
      </c>
      <c r="L2959" t="s">
        <v>1357</v>
      </c>
    </row>
    <row r="2960" spans="8:12">
      <c r="H2960" t="s">
        <v>4763</v>
      </c>
      <c r="I2960" t="s">
        <v>1357</v>
      </c>
      <c r="J2960" t="s">
        <v>1357</v>
      </c>
      <c r="K2960" t="s">
        <v>1357</v>
      </c>
      <c r="L2960" t="s">
        <v>1357</v>
      </c>
    </row>
    <row r="2961" spans="6:12">
      <c r="H2961" t="s">
        <v>4764</v>
      </c>
      <c r="I2961" t="s">
        <v>1357</v>
      </c>
      <c r="J2961" t="s">
        <v>1357</v>
      </c>
      <c r="K2961" t="s">
        <v>1357</v>
      </c>
      <c r="L2961" t="s">
        <v>1357</v>
      </c>
    </row>
    <row r="2962" spans="6:12">
      <c r="H2962" t="s">
        <v>4765</v>
      </c>
      <c r="I2962" t="s">
        <v>1357</v>
      </c>
      <c r="J2962" t="s">
        <v>1357</v>
      </c>
      <c r="K2962" t="s">
        <v>1357</v>
      </c>
      <c r="L2962" t="s">
        <v>1357</v>
      </c>
    </row>
    <row r="2963" spans="6:12">
      <c r="H2963" t="s">
        <v>4766</v>
      </c>
      <c r="I2963" t="s">
        <v>1357</v>
      </c>
      <c r="J2963" t="s">
        <v>1357</v>
      </c>
      <c r="K2963" t="s">
        <v>1357</v>
      </c>
      <c r="L2963" t="s">
        <v>1357</v>
      </c>
    </row>
    <row r="2964" spans="6:12">
      <c r="H2964" t="s">
        <v>3565</v>
      </c>
      <c r="I2964" t="s">
        <v>1357</v>
      </c>
      <c r="J2964" t="s">
        <v>1357</v>
      </c>
      <c r="K2964" t="s">
        <v>1357</v>
      </c>
      <c r="L2964" t="s">
        <v>1357</v>
      </c>
    </row>
    <row r="2965" spans="6:12">
      <c r="H2965" t="s">
        <v>3566</v>
      </c>
      <c r="I2965" t="s">
        <v>1357</v>
      </c>
      <c r="J2965" t="s">
        <v>1357</v>
      </c>
      <c r="K2965" t="s">
        <v>1357</v>
      </c>
      <c r="L2965" t="s">
        <v>1357</v>
      </c>
    </row>
    <row r="2966" spans="6:12">
      <c r="H2966" t="s">
        <v>4767</v>
      </c>
      <c r="I2966" t="s">
        <v>1357</v>
      </c>
      <c r="J2966" t="s">
        <v>1357</v>
      </c>
      <c r="K2966" t="s">
        <v>1357</v>
      </c>
      <c r="L2966" t="s">
        <v>1357</v>
      </c>
    </row>
    <row r="2967" spans="6:12">
      <c r="H2967" t="s">
        <v>3568</v>
      </c>
      <c r="I2967" t="s">
        <v>1357</v>
      </c>
      <c r="J2967" t="s">
        <v>1357</v>
      </c>
      <c r="K2967" t="s">
        <v>1357</v>
      </c>
      <c r="L2967" t="s">
        <v>1357</v>
      </c>
    </row>
    <row r="2968" spans="6:12">
      <c r="H2968" t="s">
        <v>4768</v>
      </c>
      <c r="I2968" t="s">
        <v>1357</v>
      </c>
      <c r="J2968" t="s">
        <v>1357</v>
      </c>
      <c r="K2968" t="s">
        <v>1357</v>
      </c>
      <c r="L2968" t="s">
        <v>1357</v>
      </c>
    </row>
    <row r="2969" spans="6:12">
      <c r="H2969" t="s">
        <v>4861</v>
      </c>
      <c r="I2969" t="s">
        <v>1357</v>
      </c>
      <c r="J2969" t="s">
        <v>1357</v>
      </c>
      <c r="K2969" t="s">
        <v>1357</v>
      </c>
      <c r="L2969" t="s">
        <v>1357</v>
      </c>
    </row>
    <row r="2970" spans="6:12">
      <c r="H2970" t="s">
        <v>4769</v>
      </c>
      <c r="I2970" t="s">
        <v>1357</v>
      </c>
      <c r="J2970" t="s">
        <v>1357</v>
      </c>
      <c r="K2970" t="s">
        <v>1357</v>
      </c>
      <c r="L2970" t="s">
        <v>1357</v>
      </c>
    </row>
    <row r="2971" spans="6:12">
      <c r="F2971" t="s">
        <v>2827</v>
      </c>
      <c r="G2971" t="s">
        <v>3200</v>
      </c>
      <c r="H2971" t="s">
        <v>4915</v>
      </c>
      <c r="I2971" t="s">
        <v>1357</v>
      </c>
      <c r="J2971" t="s">
        <v>1357</v>
      </c>
      <c r="K2971" t="s">
        <v>1357</v>
      </c>
      <c r="L2971" t="s">
        <v>1357</v>
      </c>
    </row>
    <row r="2972" spans="6:12">
      <c r="H2972" t="s">
        <v>4882</v>
      </c>
      <c r="I2972" t="s">
        <v>1357</v>
      </c>
      <c r="J2972" t="s">
        <v>1357</v>
      </c>
      <c r="K2972" t="s">
        <v>1357</v>
      </c>
      <c r="L2972" t="s">
        <v>1357</v>
      </c>
    </row>
    <row r="2973" spans="6:12">
      <c r="H2973" t="s">
        <v>4916</v>
      </c>
      <c r="I2973" t="s">
        <v>1357</v>
      </c>
      <c r="J2973" t="s">
        <v>1357</v>
      </c>
      <c r="K2973" t="s">
        <v>1357</v>
      </c>
      <c r="L2973" t="s">
        <v>1357</v>
      </c>
    </row>
    <row r="2974" spans="6:12">
      <c r="H2974" t="s">
        <v>4917</v>
      </c>
      <c r="I2974" t="s">
        <v>1357</v>
      </c>
      <c r="J2974" t="s">
        <v>1357</v>
      </c>
      <c r="K2974" t="s">
        <v>1357</v>
      </c>
      <c r="L2974" t="s">
        <v>1357</v>
      </c>
    </row>
    <row r="2975" spans="6:12">
      <c r="H2975" t="s">
        <v>4918</v>
      </c>
      <c r="I2975" t="s">
        <v>1357</v>
      </c>
      <c r="J2975" t="s">
        <v>1357</v>
      </c>
      <c r="K2975" t="s">
        <v>1357</v>
      </c>
      <c r="L2975" t="s">
        <v>1357</v>
      </c>
    </row>
    <row r="2976" spans="6:12">
      <c r="H2976" t="s">
        <v>4919</v>
      </c>
      <c r="I2976" t="s">
        <v>1357</v>
      </c>
      <c r="J2976" t="s">
        <v>1357</v>
      </c>
      <c r="K2976" t="s">
        <v>1357</v>
      </c>
      <c r="L2976" t="s">
        <v>1357</v>
      </c>
    </row>
    <row r="2977" spans="6:12">
      <c r="H2977" t="s">
        <v>4920</v>
      </c>
      <c r="I2977" t="s">
        <v>1357</v>
      </c>
      <c r="J2977" t="s">
        <v>1357</v>
      </c>
      <c r="K2977" t="s">
        <v>1357</v>
      </c>
      <c r="L2977" t="s">
        <v>1357</v>
      </c>
    </row>
    <row r="2978" spans="6:12">
      <c r="H2978" t="s">
        <v>4921</v>
      </c>
      <c r="I2978" t="s">
        <v>1357</v>
      </c>
      <c r="J2978" t="s">
        <v>1357</v>
      </c>
      <c r="K2978" t="s">
        <v>1357</v>
      </c>
      <c r="L2978" t="s">
        <v>1357</v>
      </c>
    </row>
    <row r="2979" spans="6:12">
      <c r="H2979" t="s">
        <v>4922</v>
      </c>
      <c r="I2979" t="s">
        <v>1357</v>
      </c>
      <c r="J2979" t="s">
        <v>1357</v>
      </c>
      <c r="K2979" t="s">
        <v>1357</v>
      </c>
      <c r="L2979" t="s">
        <v>1357</v>
      </c>
    </row>
    <row r="2980" spans="6:12">
      <c r="H2980" t="s">
        <v>4923</v>
      </c>
      <c r="I2980" t="s">
        <v>1357</v>
      </c>
      <c r="J2980" t="s">
        <v>1357</v>
      </c>
      <c r="K2980" t="s">
        <v>1357</v>
      </c>
      <c r="L2980" t="s">
        <v>1357</v>
      </c>
    </row>
    <row r="2981" spans="6:12">
      <c r="H2981" t="s">
        <v>4924</v>
      </c>
      <c r="I2981" t="s">
        <v>1357</v>
      </c>
      <c r="J2981" t="s">
        <v>1357</v>
      </c>
      <c r="K2981" t="s">
        <v>1357</v>
      </c>
      <c r="L2981" t="s">
        <v>1357</v>
      </c>
    </row>
    <row r="2982" spans="6:12">
      <c r="H2982" t="s">
        <v>4925</v>
      </c>
      <c r="I2982" t="s">
        <v>1357</v>
      </c>
      <c r="J2982" t="s">
        <v>1357</v>
      </c>
      <c r="K2982" t="s">
        <v>1357</v>
      </c>
      <c r="L2982" t="s">
        <v>1357</v>
      </c>
    </row>
    <row r="2983" spans="6:12">
      <c r="H2983" t="s">
        <v>4926</v>
      </c>
      <c r="I2983" t="s">
        <v>1357</v>
      </c>
      <c r="J2983" t="s">
        <v>1357</v>
      </c>
      <c r="K2983" t="s">
        <v>1357</v>
      </c>
      <c r="L2983" t="s">
        <v>1357</v>
      </c>
    </row>
    <row r="2984" spans="6:12">
      <c r="H2984" t="s">
        <v>4927</v>
      </c>
      <c r="I2984" t="s">
        <v>1357</v>
      </c>
      <c r="J2984" t="s">
        <v>1357</v>
      </c>
      <c r="K2984" t="s">
        <v>1357</v>
      </c>
      <c r="L2984" t="s">
        <v>1357</v>
      </c>
    </row>
    <row r="2985" spans="6:12">
      <c r="H2985" t="s">
        <v>4928</v>
      </c>
      <c r="I2985" t="s">
        <v>1357</v>
      </c>
      <c r="J2985" t="s">
        <v>1357</v>
      </c>
      <c r="K2985" t="s">
        <v>1357</v>
      </c>
      <c r="L2985" t="s">
        <v>1357</v>
      </c>
    </row>
    <row r="2986" spans="6:12">
      <c r="H2986" t="s">
        <v>4929</v>
      </c>
      <c r="I2986" t="s">
        <v>1357</v>
      </c>
      <c r="J2986" t="s">
        <v>1357</v>
      </c>
      <c r="K2986" t="s">
        <v>1357</v>
      </c>
      <c r="L2986" t="s">
        <v>1357</v>
      </c>
    </row>
    <row r="2987" spans="6:12">
      <c r="F2987" t="s">
        <v>2828</v>
      </c>
      <c r="G2987" t="s">
        <v>3201</v>
      </c>
      <c r="H2987" t="s">
        <v>4930</v>
      </c>
      <c r="I2987" t="s">
        <v>1357</v>
      </c>
      <c r="J2987" t="s">
        <v>1357</v>
      </c>
      <c r="K2987" t="s">
        <v>1357</v>
      </c>
      <c r="L2987" t="s">
        <v>1357</v>
      </c>
    </row>
    <row r="2988" spans="6:12">
      <c r="F2988" t="s">
        <v>2829</v>
      </c>
      <c r="G2988" t="s">
        <v>3202</v>
      </c>
      <c r="H2988" t="s">
        <v>4931</v>
      </c>
      <c r="I2988" t="s">
        <v>1357</v>
      </c>
      <c r="J2988" t="s">
        <v>1357</v>
      </c>
      <c r="K2988" t="s">
        <v>1357</v>
      </c>
      <c r="L2988" t="s">
        <v>1357</v>
      </c>
    </row>
    <row r="2989" spans="6:12">
      <c r="H2989" t="s">
        <v>4932</v>
      </c>
      <c r="I2989" t="s">
        <v>1357</v>
      </c>
      <c r="J2989" t="s">
        <v>1357</v>
      </c>
      <c r="K2989" t="s">
        <v>1357</v>
      </c>
      <c r="L2989" t="s">
        <v>1357</v>
      </c>
    </row>
    <row r="2990" spans="6:12">
      <c r="H2990" t="s">
        <v>4933</v>
      </c>
      <c r="I2990" t="s">
        <v>1357</v>
      </c>
      <c r="J2990" t="s">
        <v>1357</v>
      </c>
      <c r="K2990" t="s">
        <v>1357</v>
      </c>
      <c r="L2990" t="s">
        <v>1357</v>
      </c>
    </row>
    <row r="2991" spans="6:12">
      <c r="H2991" t="s">
        <v>4934</v>
      </c>
      <c r="I2991" t="s">
        <v>1357</v>
      </c>
      <c r="J2991" t="s">
        <v>1357</v>
      </c>
      <c r="K2991" t="s">
        <v>1357</v>
      </c>
      <c r="L2991" t="s">
        <v>1357</v>
      </c>
    </row>
    <row r="2992" spans="6:12">
      <c r="H2992" t="s">
        <v>4935</v>
      </c>
      <c r="I2992" t="s">
        <v>1357</v>
      </c>
      <c r="J2992" t="s">
        <v>1357</v>
      </c>
      <c r="K2992" t="s">
        <v>1357</v>
      </c>
      <c r="L2992" t="s">
        <v>1357</v>
      </c>
    </row>
    <row r="2993" spans="6:12">
      <c r="H2993" t="s">
        <v>4936</v>
      </c>
      <c r="I2993" t="s">
        <v>1357</v>
      </c>
      <c r="J2993" t="s">
        <v>1357</v>
      </c>
      <c r="K2993" t="s">
        <v>1357</v>
      </c>
      <c r="L2993" t="s">
        <v>1357</v>
      </c>
    </row>
    <row r="2994" spans="6:12">
      <c r="H2994" t="s">
        <v>4937</v>
      </c>
      <c r="I2994" t="s">
        <v>1357</v>
      </c>
      <c r="J2994" t="s">
        <v>1357</v>
      </c>
      <c r="K2994" t="s">
        <v>1357</v>
      </c>
      <c r="L2994" t="s">
        <v>1357</v>
      </c>
    </row>
    <row r="2995" spans="6:12">
      <c r="H2995" t="s">
        <v>4938</v>
      </c>
      <c r="I2995" t="s">
        <v>1357</v>
      </c>
      <c r="J2995" t="s">
        <v>1357</v>
      </c>
      <c r="K2995" t="s">
        <v>1357</v>
      </c>
      <c r="L2995" t="s">
        <v>1357</v>
      </c>
    </row>
    <row r="2996" spans="6:12">
      <c r="H2996" t="s">
        <v>4939</v>
      </c>
      <c r="I2996" t="s">
        <v>1357</v>
      </c>
      <c r="J2996" t="s">
        <v>1357</v>
      </c>
      <c r="K2996" t="s">
        <v>1357</v>
      </c>
      <c r="L2996" t="s">
        <v>1357</v>
      </c>
    </row>
    <row r="2997" spans="6:12">
      <c r="H2997" t="s">
        <v>4940</v>
      </c>
      <c r="I2997" t="s">
        <v>1357</v>
      </c>
      <c r="J2997" t="s">
        <v>1357</v>
      </c>
      <c r="K2997" t="s">
        <v>1357</v>
      </c>
      <c r="L2997" t="s">
        <v>1357</v>
      </c>
    </row>
    <row r="2998" spans="6:12">
      <c r="H2998" t="s">
        <v>4941</v>
      </c>
      <c r="I2998" t="s">
        <v>1357</v>
      </c>
      <c r="J2998" t="s">
        <v>1357</v>
      </c>
      <c r="K2998" t="s">
        <v>1357</v>
      </c>
      <c r="L2998" t="s">
        <v>1357</v>
      </c>
    </row>
    <row r="2999" spans="6:12">
      <c r="H2999" t="s">
        <v>4942</v>
      </c>
      <c r="I2999" t="s">
        <v>1357</v>
      </c>
      <c r="J2999" t="s">
        <v>1357</v>
      </c>
      <c r="K2999" t="s">
        <v>1357</v>
      </c>
      <c r="L2999" t="s">
        <v>1357</v>
      </c>
    </row>
    <row r="3000" spans="6:12">
      <c r="F3000" t="s">
        <v>2830</v>
      </c>
      <c r="G3000" t="s">
        <v>3203</v>
      </c>
      <c r="H3000" t="s">
        <v>4943</v>
      </c>
      <c r="I3000" t="s">
        <v>1357</v>
      </c>
      <c r="J3000" t="s">
        <v>1357</v>
      </c>
      <c r="K3000" t="s">
        <v>1357</v>
      </c>
      <c r="L3000" t="s">
        <v>1357</v>
      </c>
    </row>
    <row r="3001" spans="6:12">
      <c r="H3001" t="s">
        <v>4944</v>
      </c>
      <c r="I3001" t="s">
        <v>1357</v>
      </c>
      <c r="J3001" t="s">
        <v>1357</v>
      </c>
      <c r="K3001" t="s">
        <v>1357</v>
      </c>
      <c r="L3001" t="s">
        <v>1357</v>
      </c>
    </row>
    <row r="3002" spans="6:12">
      <c r="H3002" t="s">
        <v>4945</v>
      </c>
      <c r="I3002" t="s">
        <v>1357</v>
      </c>
      <c r="J3002" t="s">
        <v>1357</v>
      </c>
      <c r="K3002" t="s">
        <v>1357</v>
      </c>
      <c r="L3002" t="s">
        <v>1357</v>
      </c>
    </row>
    <row r="3003" spans="6:12">
      <c r="H3003" t="s">
        <v>4946</v>
      </c>
      <c r="I3003" t="s">
        <v>1357</v>
      </c>
      <c r="J3003" t="s">
        <v>1357</v>
      </c>
      <c r="K3003" t="s">
        <v>1357</v>
      </c>
      <c r="L3003" t="s">
        <v>1357</v>
      </c>
    </row>
    <row r="3004" spans="6:12">
      <c r="H3004" t="s">
        <v>4947</v>
      </c>
      <c r="I3004" t="s">
        <v>1357</v>
      </c>
      <c r="J3004" t="s">
        <v>1357</v>
      </c>
      <c r="K3004" t="s">
        <v>1357</v>
      </c>
      <c r="L3004" t="s">
        <v>1357</v>
      </c>
    </row>
    <row r="3005" spans="6:12">
      <c r="F3005" t="s">
        <v>2831</v>
      </c>
      <c r="G3005" t="s">
        <v>3204</v>
      </c>
      <c r="H3005" t="s">
        <v>4943</v>
      </c>
      <c r="I3005" t="s">
        <v>1357</v>
      </c>
      <c r="J3005" t="s">
        <v>1357</v>
      </c>
      <c r="K3005" t="s">
        <v>1357</v>
      </c>
      <c r="L3005" t="s">
        <v>1357</v>
      </c>
    </row>
    <row r="3006" spans="6:12">
      <c r="H3006" t="s">
        <v>4948</v>
      </c>
      <c r="I3006" t="s">
        <v>1357</v>
      </c>
      <c r="J3006" t="s">
        <v>1357</v>
      </c>
      <c r="K3006" t="s">
        <v>1357</v>
      </c>
      <c r="L3006" t="s">
        <v>1357</v>
      </c>
    </row>
    <row r="3007" spans="6:12">
      <c r="H3007" t="s">
        <v>4949</v>
      </c>
      <c r="I3007" t="s">
        <v>1357</v>
      </c>
      <c r="J3007" t="s">
        <v>1357</v>
      </c>
      <c r="K3007" t="s">
        <v>1357</v>
      </c>
      <c r="L3007" t="s">
        <v>1357</v>
      </c>
    </row>
    <row r="3008" spans="6:12">
      <c r="H3008" t="s">
        <v>4950</v>
      </c>
      <c r="I3008" t="s">
        <v>1357</v>
      </c>
      <c r="J3008" t="s">
        <v>1357</v>
      </c>
      <c r="K3008" t="s">
        <v>1357</v>
      </c>
      <c r="L3008" t="s">
        <v>1357</v>
      </c>
    </row>
    <row r="3009" spans="8:12">
      <c r="H3009" t="s">
        <v>4944</v>
      </c>
      <c r="I3009" t="s">
        <v>1357</v>
      </c>
      <c r="J3009" t="s">
        <v>1357</v>
      </c>
      <c r="K3009" t="s">
        <v>1357</v>
      </c>
      <c r="L3009" t="s">
        <v>1357</v>
      </c>
    </row>
    <row r="3010" spans="8:12">
      <c r="H3010" t="s">
        <v>4951</v>
      </c>
      <c r="I3010" t="s">
        <v>1357</v>
      </c>
      <c r="J3010" t="s">
        <v>1357</v>
      </c>
      <c r="K3010" t="s">
        <v>1357</v>
      </c>
      <c r="L3010" t="s">
        <v>1357</v>
      </c>
    </row>
    <row r="3011" spans="8:12">
      <c r="H3011" t="s">
        <v>4946</v>
      </c>
      <c r="I3011" t="s">
        <v>1357</v>
      </c>
      <c r="J3011" t="s">
        <v>1357</v>
      </c>
      <c r="K3011" t="s">
        <v>1357</v>
      </c>
      <c r="L3011" t="s">
        <v>1357</v>
      </c>
    </row>
    <row r="3012" spans="8:12">
      <c r="H3012" t="s">
        <v>4882</v>
      </c>
      <c r="I3012" t="s">
        <v>1357</v>
      </c>
      <c r="J3012" t="s">
        <v>1357</v>
      </c>
      <c r="K3012" t="s">
        <v>1357</v>
      </c>
      <c r="L3012" t="s">
        <v>1357</v>
      </c>
    </row>
    <row r="3013" spans="8:12">
      <c r="H3013" t="s">
        <v>4952</v>
      </c>
      <c r="I3013" t="s">
        <v>1357</v>
      </c>
      <c r="J3013" t="s">
        <v>1357</v>
      </c>
      <c r="K3013" t="s">
        <v>1357</v>
      </c>
      <c r="L3013" t="s">
        <v>1357</v>
      </c>
    </row>
    <row r="3014" spans="8:12">
      <c r="H3014" t="s">
        <v>4953</v>
      </c>
      <c r="I3014" t="s">
        <v>1357</v>
      </c>
      <c r="J3014" t="s">
        <v>1357</v>
      </c>
      <c r="K3014" t="s">
        <v>1357</v>
      </c>
      <c r="L3014" t="s">
        <v>1357</v>
      </c>
    </row>
    <row r="3015" spans="8:12">
      <c r="H3015" t="s">
        <v>4900</v>
      </c>
      <c r="I3015" t="s">
        <v>1357</v>
      </c>
      <c r="J3015" t="s">
        <v>1357</v>
      </c>
      <c r="K3015" t="s">
        <v>1357</v>
      </c>
      <c r="L3015" t="s">
        <v>1357</v>
      </c>
    </row>
    <row r="3016" spans="8:12">
      <c r="H3016" t="s">
        <v>3823</v>
      </c>
      <c r="I3016" t="s">
        <v>1357</v>
      </c>
      <c r="J3016" t="s">
        <v>1357</v>
      </c>
      <c r="K3016" t="s">
        <v>1357</v>
      </c>
      <c r="L3016" t="s">
        <v>1357</v>
      </c>
    </row>
    <row r="3017" spans="8:12">
      <c r="H3017" t="s">
        <v>4954</v>
      </c>
      <c r="I3017" t="s">
        <v>1357</v>
      </c>
      <c r="J3017" t="s">
        <v>1357</v>
      </c>
      <c r="K3017" t="s">
        <v>1357</v>
      </c>
      <c r="L3017" t="s">
        <v>1357</v>
      </c>
    </row>
    <row r="3018" spans="8:12">
      <c r="H3018" t="s">
        <v>4722</v>
      </c>
      <c r="I3018" t="s">
        <v>1357</v>
      </c>
      <c r="J3018" t="s">
        <v>1357</v>
      </c>
      <c r="K3018" t="s">
        <v>1357</v>
      </c>
      <c r="L3018" t="s">
        <v>1357</v>
      </c>
    </row>
    <row r="3019" spans="8:12">
      <c r="H3019" t="s">
        <v>3792</v>
      </c>
      <c r="I3019" t="s">
        <v>1357</v>
      </c>
      <c r="J3019" t="s">
        <v>1357</v>
      </c>
      <c r="K3019" t="s">
        <v>1357</v>
      </c>
      <c r="L3019" t="s">
        <v>1357</v>
      </c>
    </row>
    <row r="3020" spans="8:12">
      <c r="H3020" t="s">
        <v>4955</v>
      </c>
      <c r="I3020" t="s">
        <v>1357</v>
      </c>
      <c r="J3020" t="s">
        <v>1357</v>
      </c>
      <c r="K3020" t="s">
        <v>1357</v>
      </c>
      <c r="L3020" t="s">
        <v>1357</v>
      </c>
    </row>
    <row r="3021" spans="8:12">
      <c r="H3021" t="s">
        <v>4956</v>
      </c>
      <c r="I3021" t="s">
        <v>1357</v>
      </c>
      <c r="J3021" t="s">
        <v>1357</v>
      </c>
      <c r="K3021" t="s">
        <v>1357</v>
      </c>
      <c r="L3021" t="s">
        <v>1357</v>
      </c>
    </row>
    <row r="3022" spans="8:12">
      <c r="H3022" t="s">
        <v>4957</v>
      </c>
      <c r="I3022" t="s">
        <v>1357</v>
      </c>
      <c r="J3022" t="s">
        <v>1357</v>
      </c>
      <c r="K3022" t="s">
        <v>1357</v>
      </c>
      <c r="L3022" t="s">
        <v>1357</v>
      </c>
    </row>
    <row r="3023" spans="8:12">
      <c r="H3023" t="s">
        <v>4958</v>
      </c>
      <c r="I3023" t="s">
        <v>1357</v>
      </c>
      <c r="J3023" t="s">
        <v>1357</v>
      </c>
      <c r="K3023" t="s">
        <v>1357</v>
      </c>
      <c r="L3023" t="s">
        <v>1357</v>
      </c>
    </row>
    <row r="3024" spans="8:12">
      <c r="H3024" t="s">
        <v>4063</v>
      </c>
      <c r="I3024" t="s">
        <v>1357</v>
      </c>
      <c r="J3024" t="s">
        <v>1357</v>
      </c>
      <c r="K3024" t="s">
        <v>1357</v>
      </c>
      <c r="L3024" t="s">
        <v>1357</v>
      </c>
    </row>
    <row r="3025" spans="6:12">
      <c r="H3025" t="s">
        <v>4064</v>
      </c>
      <c r="I3025" t="s">
        <v>1357</v>
      </c>
      <c r="J3025" t="s">
        <v>1357</v>
      </c>
      <c r="K3025" t="s">
        <v>1357</v>
      </c>
      <c r="L3025" t="s">
        <v>1357</v>
      </c>
    </row>
    <row r="3026" spans="6:12">
      <c r="H3026" t="s">
        <v>4065</v>
      </c>
      <c r="I3026" t="s">
        <v>1357</v>
      </c>
      <c r="J3026" t="s">
        <v>1357</v>
      </c>
      <c r="K3026" t="s">
        <v>1357</v>
      </c>
      <c r="L3026" t="s">
        <v>1357</v>
      </c>
    </row>
    <row r="3027" spans="6:12">
      <c r="H3027" t="s">
        <v>4066</v>
      </c>
      <c r="I3027" t="s">
        <v>1357</v>
      </c>
      <c r="J3027" t="s">
        <v>1357</v>
      </c>
      <c r="K3027" t="s">
        <v>1357</v>
      </c>
      <c r="L3027" t="s">
        <v>1357</v>
      </c>
    </row>
    <row r="3028" spans="6:12">
      <c r="H3028" t="s">
        <v>4067</v>
      </c>
      <c r="I3028" t="s">
        <v>1357</v>
      </c>
      <c r="J3028" t="s">
        <v>1357</v>
      </c>
      <c r="K3028" t="s">
        <v>1357</v>
      </c>
      <c r="L3028" t="s">
        <v>1357</v>
      </c>
    </row>
    <row r="3029" spans="6:12">
      <c r="H3029" t="s">
        <v>4959</v>
      </c>
      <c r="I3029" t="s">
        <v>1357</v>
      </c>
      <c r="J3029" t="s">
        <v>1357</v>
      </c>
      <c r="K3029" t="s">
        <v>1357</v>
      </c>
      <c r="L3029" t="s">
        <v>1357</v>
      </c>
    </row>
    <row r="3030" spans="6:12">
      <c r="H3030" t="s">
        <v>4960</v>
      </c>
      <c r="I3030" t="s">
        <v>1357</v>
      </c>
      <c r="J3030" t="s">
        <v>1357</v>
      </c>
      <c r="K3030" t="s">
        <v>1357</v>
      </c>
      <c r="L3030" t="s">
        <v>1357</v>
      </c>
    </row>
    <row r="3031" spans="6:12">
      <c r="H3031" t="s">
        <v>4961</v>
      </c>
      <c r="I3031" t="s">
        <v>1357</v>
      </c>
      <c r="J3031" t="s">
        <v>1357</v>
      </c>
      <c r="K3031" t="s">
        <v>1357</v>
      </c>
      <c r="L3031" t="s">
        <v>1357</v>
      </c>
    </row>
    <row r="3032" spans="6:12">
      <c r="F3032" t="s">
        <v>2832</v>
      </c>
      <c r="G3032" t="s">
        <v>3205</v>
      </c>
      <c r="H3032" t="s">
        <v>4962</v>
      </c>
      <c r="I3032" t="s">
        <v>1357</v>
      </c>
      <c r="J3032" t="s">
        <v>1357</v>
      </c>
      <c r="K3032" t="s">
        <v>1357</v>
      </c>
      <c r="L3032" t="s">
        <v>1357</v>
      </c>
    </row>
    <row r="3033" spans="6:12">
      <c r="F3033" t="s">
        <v>2833</v>
      </c>
      <c r="G3033" t="s">
        <v>3206</v>
      </c>
      <c r="H3033" t="s">
        <v>4963</v>
      </c>
      <c r="I3033" t="s">
        <v>1357</v>
      </c>
      <c r="J3033" t="s">
        <v>1357</v>
      </c>
      <c r="K3033" t="s">
        <v>1357</v>
      </c>
      <c r="L3033" t="s">
        <v>1357</v>
      </c>
    </row>
    <row r="3034" spans="6:12">
      <c r="H3034" t="s">
        <v>4701</v>
      </c>
      <c r="I3034" t="s">
        <v>1357</v>
      </c>
      <c r="J3034" t="s">
        <v>1357</v>
      </c>
      <c r="K3034" t="s">
        <v>1357</v>
      </c>
      <c r="L3034" t="s">
        <v>1357</v>
      </c>
    </row>
    <row r="3035" spans="6:12">
      <c r="H3035" t="s">
        <v>899</v>
      </c>
      <c r="I3035" t="s">
        <v>1357</v>
      </c>
      <c r="J3035" t="s">
        <v>1357</v>
      </c>
      <c r="K3035" t="s">
        <v>1357</v>
      </c>
      <c r="L3035" t="s">
        <v>1357</v>
      </c>
    </row>
    <row r="3036" spans="6:12">
      <c r="H3036" t="s">
        <v>4106</v>
      </c>
      <c r="I3036" t="s">
        <v>1357</v>
      </c>
      <c r="J3036" t="s">
        <v>1357</v>
      </c>
      <c r="K3036" t="s">
        <v>1357</v>
      </c>
      <c r="L3036" t="s">
        <v>1357</v>
      </c>
    </row>
    <row r="3037" spans="6:12">
      <c r="H3037" t="s">
        <v>4696</v>
      </c>
      <c r="I3037" t="s">
        <v>1357</v>
      </c>
      <c r="J3037" t="s">
        <v>1357</v>
      </c>
      <c r="K3037" t="s">
        <v>1357</v>
      </c>
      <c r="L3037" t="s">
        <v>1357</v>
      </c>
    </row>
    <row r="3038" spans="6:12">
      <c r="F3038" t="s">
        <v>2834</v>
      </c>
      <c r="G3038" t="s">
        <v>3207</v>
      </c>
      <c r="H3038" t="s">
        <v>4712</v>
      </c>
      <c r="I3038" t="s">
        <v>1357</v>
      </c>
      <c r="J3038" t="s">
        <v>1357</v>
      </c>
      <c r="K3038" t="s">
        <v>1357</v>
      </c>
      <c r="L3038" t="s">
        <v>1357</v>
      </c>
    </row>
    <row r="3039" spans="6:12">
      <c r="H3039" t="s">
        <v>4713</v>
      </c>
      <c r="I3039" t="s">
        <v>1357</v>
      </c>
      <c r="J3039" t="s">
        <v>1357</v>
      </c>
      <c r="K3039" t="s">
        <v>1357</v>
      </c>
      <c r="L3039" t="s">
        <v>1357</v>
      </c>
    </row>
    <row r="3040" spans="6:12">
      <c r="H3040" t="s">
        <v>906</v>
      </c>
      <c r="I3040" t="s">
        <v>1357</v>
      </c>
      <c r="J3040" t="s">
        <v>1357</v>
      </c>
      <c r="K3040" t="s">
        <v>1357</v>
      </c>
      <c r="L3040" t="s">
        <v>1357</v>
      </c>
    </row>
    <row r="3041" spans="6:12">
      <c r="F3041" t="s">
        <v>2835</v>
      </c>
      <c r="G3041" t="s">
        <v>3208</v>
      </c>
      <c r="H3041" t="s">
        <v>4964</v>
      </c>
      <c r="I3041" t="s">
        <v>1357</v>
      </c>
      <c r="J3041" t="s">
        <v>1357</v>
      </c>
      <c r="K3041" t="s">
        <v>1357</v>
      </c>
      <c r="L3041" t="s">
        <v>1357</v>
      </c>
    </row>
    <row r="3042" spans="6:12">
      <c r="H3042" t="s">
        <v>4965</v>
      </c>
      <c r="I3042" t="s">
        <v>1357</v>
      </c>
      <c r="J3042" t="s">
        <v>1357</v>
      </c>
      <c r="K3042" t="s">
        <v>1357</v>
      </c>
      <c r="L3042" t="s">
        <v>1357</v>
      </c>
    </row>
    <row r="3043" spans="6:12">
      <c r="H3043" t="s">
        <v>4059</v>
      </c>
      <c r="I3043" t="s">
        <v>1357</v>
      </c>
      <c r="J3043" t="s">
        <v>1357</v>
      </c>
      <c r="K3043" t="s">
        <v>1357</v>
      </c>
      <c r="L3043" t="s">
        <v>1357</v>
      </c>
    </row>
    <row r="3044" spans="6:12">
      <c r="H3044" t="s">
        <v>4966</v>
      </c>
      <c r="I3044" t="s">
        <v>1357</v>
      </c>
      <c r="J3044" t="s">
        <v>1357</v>
      </c>
      <c r="K3044" t="s">
        <v>1357</v>
      </c>
      <c r="L3044" t="s">
        <v>1357</v>
      </c>
    </row>
    <row r="3045" spans="6:12">
      <c r="H3045" t="s">
        <v>4713</v>
      </c>
      <c r="I3045" t="s">
        <v>1357</v>
      </c>
      <c r="J3045" t="s">
        <v>1357</v>
      </c>
      <c r="K3045" t="s">
        <v>1357</v>
      </c>
      <c r="L3045" t="s">
        <v>1357</v>
      </c>
    </row>
    <row r="3046" spans="6:12">
      <c r="H3046" t="s">
        <v>4696</v>
      </c>
      <c r="I3046" t="s">
        <v>1357</v>
      </c>
      <c r="J3046" t="s">
        <v>1357</v>
      </c>
      <c r="K3046" t="s">
        <v>1357</v>
      </c>
      <c r="L3046" t="s">
        <v>1357</v>
      </c>
    </row>
    <row r="3047" spans="6:12">
      <c r="H3047" t="s">
        <v>4770</v>
      </c>
      <c r="I3047" t="s">
        <v>1357</v>
      </c>
      <c r="J3047" t="s">
        <v>1357</v>
      </c>
      <c r="K3047" t="s">
        <v>1357</v>
      </c>
      <c r="L3047" t="s">
        <v>1357</v>
      </c>
    </row>
    <row r="3048" spans="6:12">
      <c r="H3048" t="s">
        <v>4967</v>
      </c>
      <c r="I3048" t="s">
        <v>1357</v>
      </c>
      <c r="J3048" t="s">
        <v>1357</v>
      </c>
      <c r="K3048" t="s">
        <v>1357</v>
      </c>
      <c r="L3048" t="s">
        <v>1357</v>
      </c>
    </row>
    <row r="3049" spans="6:12">
      <c r="H3049" t="s">
        <v>3473</v>
      </c>
      <c r="I3049" t="s">
        <v>1357</v>
      </c>
      <c r="J3049" t="s">
        <v>1357</v>
      </c>
      <c r="K3049" t="s">
        <v>1357</v>
      </c>
      <c r="L3049" t="s">
        <v>1357</v>
      </c>
    </row>
    <row r="3050" spans="6:12">
      <c r="F3050" t="s">
        <v>2836</v>
      </c>
      <c r="G3050" t="s">
        <v>3209</v>
      </c>
      <c r="H3050" t="s">
        <v>4968</v>
      </c>
      <c r="I3050" t="s">
        <v>1357</v>
      </c>
      <c r="J3050" t="s">
        <v>1357</v>
      </c>
      <c r="K3050" t="s">
        <v>1357</v>
      </c>
      <c r="L3050" t="s">
        <v>1357</v>
      </c>
    </row>
    <row r="3051" spans="6:12">
      <c r="H3051" t="s">
        <v>4969</v>
      </c>
      <c r="I3051" t="s">
        <v>1357</v>
      </c>
      <c r="J3051" t="s">
        <v>1357</v>
      </c>
      <c r="K3051" t="s">
        <v>1357</v>
      </c>
      <c r="L3051" t="s">
        <v>1357</v>
      </c>
    </row>
    <row r="3052" spans="6:12">
      <c r="H3052" t="s">
        <v>4970</v>
      </c>
      <c r="I3052" t="s">
        <v>1357</v>
      </c>
      <c r="J3052" t="s">
        <v>1357</v>
      </c>
      <c r="K3052" t="s">
        <v>1357</v>
      </c>
      <c r="L3052" t="s">
        <v>1357</v>
      </c>
    </row>
    <row r="3053" spans="6:12">
      <c r="H3053" t="s">
        <v>4701</v>
      </c>
      <c r="I3053" t="s">
        <v>1357</v>
      </c>
      <c r="J3053" t="s">
        <v>1357</v>
      </c>
      <c r="K3053" t="s">
        <v>1357</v>
      </c>
      <c r="L3053" t="s">
        <v>1357</v>
      </c>
    </row>
    <row r="3054" spans="6:12">
      <c r="H3054" t="s">
        <v>899</v>
      </c>
      <c r="I3054" t="s">
        <v>1357</v>
      </c>
      <c r="J3054" t="s">
        <v>1357</v>
      </c>
      <c r="K3054" t="s">
        <v>1357</v>
      </c>
      <c r="L3054" t="s">
        <v>1357</v>
      </c>
    </row>
    <row r="3055" spans="6:12">
      <c r="H3055" t="s">
        <v>4106</v>
      </c>
      <c r="I3055" t="s">
        <v>1357</v>
      </c>
      <c r="J3055" t="s">
        <v>1357</v>
      </c>
      <c r="K3055" t="s">
        <v>1357</v>
      </c>
      <c r="L3055" t="s">
        <v>1357</v>
      </c>
    </row>
    <row r="3056" spans="6:12">
      <c r="H3056" t="s">
        <v>4696</v>
      </c>
      <c r="I3056" t="s">
        <v>1357</v>
      </c>
      <c r="J3056" t="s">
        <v>1357</v>
      </c>
      <c r="K3056" t="s">
        <v>1357</v>
      </c>
      <c r="L3056" t="s">
        <v>1357</v>
      </c>
    </row>
    <row r="3057" spans="1:12">
      <c r="F3057" t="s">
        <v>2837</v>
      </c>
      <c r="G3057" t="s">
        <v>3210</v>
      </c>
      <c r="H3057" t="s">
        <v>4971</v>
      </c>
      <c r="I3057" t="s">
        <v>1357</v>
      </c>
      <c r="J3057" t="s">
        <v>1357</v>
      </c>
      <c r="K3057" t="s">
        <v>1357</v>
      </c>
      <c r="L3057" t="s">
        <v>1357</v>
      </c>
    </row>
    <row r="3058" spans="1:12">
      <c r="H3058" t="s">
        <v>4882</v>
      </c>
      <c r="I3058" t="s">
        <v>1357</v>
      </c>
      <c r="J3058" t="s">
        <v>1357</v>
      </c>
      <c r="K3058" t="s">
        <v>1357</v>
      </c>
      <c r="L3058" t="s">
        <v>1357</v>
      </c>
    </row>
    <row r="3059" spans="1:12">
      <c r="H3059" t="s">
        <v>4972</v>
      </c>
      <c r="I3059" t="s">
        <v>1357</v>
      </c>
      <c r="J3059" t="s">
        <v>1357</v>
      </c>
      <c r="K3059" t="s">
        <v>1357</v>
      </c>
      <c r="L3059" t="s">
        <v>1357</v>
      </c>
    </row>
    <row r="3060" spans="1:12">
      <c r="H3060" t="s">
        <v>4973</v>
      </c>
      <c r="I3060" t="s">
        <v>1357</v>
      </c>
      <c r="J3060" t="s">
        <v>1357</v>
      </c>
      <c r="K3060" t="s">
        <v>1357</v>
      </c>
      <c r="L3060" t="s">
        <v>1357</v>
      </c>
    </row>
    <row r="3061" spans="1:12">
      <c r="H3061" t="s">
        <v>4974</v>
      </c>
      <c r="I3061" t="s">
        <v>1357</v>
      </c>
      <c r="J3061" t="s">
        <v>1357</v>
      </c>
      <c r="K3061" t="s">
        <v>1357</v>
      </c>
      <c r="L3061" t="s">
        <v>1357</v>
      </c>
    </row>
    <row r="3062" spans="1:12">
      <c r="H3062" t="s">
        <v>4975</v>
      </c>
      <c r="I3062" t="s">
        <v>1357</v>
      </c>
      <c r="J3062" t="s">
        <v>1357</v>
      </c>
      <c r="K3062" t="s">
        <v>1357</v>
      </c>
      <c r="L3062" t="s">
        <v>1357</v>
      </c>
    </row>
    <row r="3063" spans="1:12">
      <c r="H3063" t="s">
        <v>4976</v>
      </c>
      <c r="I3063" t="s">
        <v>1357</v>
      </c>
      <c r="J3063" t="s">
        <v>1357</v>
      </c>
      <c r="K3063" t="s">
        <v>1357</v>
      </c>
      <c r="L3063" t="s">
        <v>1357</v>
      </c>
    </row>
    <row r="3064" spans="1:12">
      <c r="H3064" t="s">
        <v>4977</v>
      </c>
      <c r="I3064" t="s">
        <v>1357</v>
      </c>
      <c r="J3064" t="s">
        <v>1357</v>
      </c>
      <c r="K3064" t="s">
        <v>1357</v>
      </c>
      <c r="L3064" t="s">
        <v>1357</v>
      </c>
    </row>
    <row r="3065" spans="1:12">
      <c r="H3065" t="s">
        <v>4978</v>
      </c>
      <c r="I3065" t="s">
        <v>1357</v>
      </c>
      <c r="J3065" t="s">
        <v>1357</v>
      </c>
      <c r="K3065" t="s">
        <v>1357</v>
      </c>
      <c r="L3065" t="s">
        <v>1357</v>
      </c>
    </row>
    <row r="3066" spans="1:12">
      <c r="H3066" t="s">
        <v>4979</v>
      </c>
      <c r="I3066" t="s">
        <v>1357</v>
      </c>
      <c r="J3066" t="s">
        <v>1357</v>
      </c>
      <c r="K3066" t="s">
        <v>1357</v>
      </c>
      <c r="L3066" t="s">
        <v>1357</v>
      </c>
    </row>
    <row r="3067" spans="1:12">
      <c r="H3067" t="s">
        <v>4980</v>
      </c>
      <c r="I3067" t="s">
        <v>1357</v>
      </c>
      <c r="J3067" t="s">
        <v>1357</v>
      </c>
      <c r="K3067" t="s">
        <v>1357</v>
      </c>
      <c r="L3067" t="s">
        <v>1357</v>
      </c>
    </row>
    <row r="3068" spans="1:12">
      <c r="F3068" t="s">
        <v>2838</v>
      </c>
      <c r="G3068" t="s">
        <v>3211</v>
      </c>
      <c r="H3068" t="s">
        <v>4946</v>
      </c>
      <c r="I3068" t="s">
        <v>1357</v>
      </c>
      <c r="J3068" t="s">
        <v>1357</v>
      </c>
      <c r="K3068" t="s">
        <v>1357</v>
      </c>
      <c r="L3068" t="s">
        <v>1357</v>
      </c>
    </row>
    <row r="3069" spans="1:12">
      <c r="H3069" t="s">
        <v>4958</v>
      </c>
      <c r="I3069" t="s">
        <v>1357</v>
      </c>
      <c r="J3069" t="s">
        <v>1357</v>
      </c>
      <c r="K3069" t="s">
        <v>1357</v>
      </c>
      <c r="L3069" t="s">
        <v>1357</v>
      </c>
    </row>
    <row r="3070" spans="1:12">
      <c r="H3070" t="s">
        <v>4981</v>
      </c>
      <c r="I3070" t="s">
        <v>1357</v>
      </c>
      <c r="J3070" t="s">
        <v>1357</v>
      </c>
      <c r="K3070" t="s">
        <v>1357</v>
      </c>
      <c r="L3070" t="s">
        <v>1357</v>
      </c>
    </row>
    <row r="3071" spans="1:12">
      <c r="H3071" t="s">
        <v>4961</v>
      </c>
      <c r="I3071" t="s">
        <v>1357</v>
      </c>
      <c r="J3071" t="s">
        <v>1357</v>
      </c>
      <c r="K3071" t="s">
        <v>1357</v>
      </c>
      <c r="L3071" t="s">
        <v>1357</v>
      </c>
    </row>
    <row r="3072" spans="1:12">
      <c r="A3072" t="s">
        <v>2098</v>
      </c>
      <c r="B3072">
        <f>HYPERLINK("https://github.com/apache/commons-math/commit/b8d96de5871d938f678b4702c2fcc306bdf1f34d", "b8d96de5871d938f678b4702c2fcc306bdf1f34d")</f>
        <v>0</v>
      </c>
      <c r="C3072">
        <f>HYPERLINK("https://github.com/apache/commons-math/commit/238f211d6a7b94b65c56fd20a0bbb1e4f936f17a", "238f211d6a7b94b65c56fd20a0bbb1e4f936f17a")</f>
        <v>0</v>
      </c>
      <c r="D3072" t="s">
        <v>2158</v>
      </c>
      <c r="E3072" t="s">
        <v>2382</v>
      </c>
      <c r="F3072" t="s">
        <v>2839</v>
      </c>
      <c r="G3072" t="s">
        <v>3212</v>
      </c>
      <c r="H3072" t="s">
        <v>795</v>
      </c>
      <c r="I3072" t="s">
        <v>1357</v>
      </c>
      <c r="J3072" t="s">
        <v>1357</v>
      </c>
      <c r="K3072" t="s">
        <v>1357</v>
      </c>
      <c r="L3072" t="s">
        <v>1357</v>
      </c>
    </row>
    <row r="3073" spans="8:13">
      <c r="H3073" t="s">
        <v>4456</v>
      </c>
      <c r="I3073" t="s">
        <v>1357</v>
      </c>
      <c r="J3073" t="s">
        <v>1357</v>
      </c>
      <c r="K3073" t="s">
        <v>1357</v>
      </c>
      <c r="L3073" t="s">
        <v>1357</v>
      </c>
    </row>
    <row r="3074" spans="8:13">
      <c r="H3074" t="s">
        <v>4982</v>
      </c>
      <c r="I3074" t="s">
        <v>1357</v>
      </c>
      <c r="J3074" t="s">
        <v>1357</v>
      </c>
      <c r="K3074" t="s">
        <v>1357</v>
      </c>
      <c r="L3074" t="s">
        <v>1357</v>
      </c>
    </row>
    <row r="3075" spans="8:13">
      <c r="H3075" t="s">
        <v>4983</v>
      </c>
      <c r="I3075" t="s">
        <v>1357</v>
      </c>
      <c r="J3075" t="s">
        <v>1357</v>
      </c>
      <c r="K3075" t="s">
        <v>1357</v>
      </c>
      <c r="L3075" t="s">
        <v>1357</v>
      </c>
    </row>
    <row r="3076" spans="8:13">
      <c r="H3076" t="s">
        <v>4984</v>
      </c>
      <c r="I3076" t="s">
        <v>1357</v>
      </c>
      <c r="J3076" t="s">
        <v>1357</v>
      </c>
      <c r="K3076" t="s">
        <v>1357</v>
      </c>
      <c r="L3076" t="s">
        <v>1357</v>
      </c>
    </row>
    <row r="3077" spans="8:13">
      <c r="H3077" t="s">
        <v>4985</v>
      </c>
      <c r="I3077" t="s">
        <v>1357</v>
      </c>
      <c r="J3077" t="s">
        <v>1357</v>
      </c>
      <c r="K3077" t="s">
        <v>1357</v>
      </c>
      <c r="L3077" t="s">
        <v>1357</v>
      </c>
    </row>
    <row r="3078" spans="8:13">
      <c r="H3078" t="s">
        <v>812</v>
      </c>
      <c r="I3078" t="s">
        <v>1357</v>
      </c>
      <c r="J3078" t="s">
        <v>1357</v>
      </c>
      <c r="K3078" t="s">
        <v>1357</v>
      </c>
      <c r="L3078" t="s">
        <v>1357</v>
      </c>
    </row>
    <row r="3079" spans="8:13">
      <c r="H3079" t="s">
        <v>4986</v>
      </c>
      <c r="I3079" t="s">
        <v>1357</v>
      </c>
      <c r="J3079" t="s">
        <v>1357</v>
      </c>
      <c r="K3079" t="s">
        <v>1357</v>
      </c>
      <c r="L3079" t="s">
        <v>1357</v>
      </c>
    </row>
    <row r="3080" spans="8:13">
      <c r="H3080" t="s">
        <v>4987</v>
      </c>
      <c r="I3080" t="s">
        <v>1357</v>
      </c>
      <c r="J3080" t="s">
        <v>1357</v>
      </c>
      <c r="K3080" t="s">
        <v>1357</v>
      </c>
      <c r="L3080" t="s">
        <v>1357</v>
      </c>
    </row>
    <row r="3081" spans="8:13">
      <c r="H3081" t="s">
        <v>4988</v>
      </c>
      <c r="I3081" t="s">
        <v>1357</v>
      </c>
      <c r="J3081" t="s">
        <v>1357</v>
      </c>
      <c r="K3081" t="s">
        <v>1357</v>
      </c>
      <c r="L3081" t="s">
        <v>1357</v>
      </c>
    </row>
    <row r="3082" spans="8:13">
      <c r="H3082" t="s">
        <v>4989</v>
      </c>
      <c r="I3082" t="s">
        <v>1357</v>
      </c>
      <c r="J3082" t="s">
        <v>1357</v>
      </c>
      <c r="K3082" t="s">
        <v>1357</v>
      </c>
      <c r="L3082" t="s">
        <v>1357</v>
      </c>
    </row>
    <row r="3083" spans="8:13">
      <c r="H3083" t="s">
        <v>4990</v>
      </c>
      <c r="I3083" t="s">
        <v>1357</v>
      </c>
      <c r="J3083" t="s">
        <v>1357</v>
      </c>
      <c r="K3083" t="s">
        <v>1357</v>
      </c>
      <c r="L3083" t="s">
        <v>1357</v>
      </c>
      <c r="M3083" t="s">
        <v>1361</v>
      </c>
    </row>
    <row r="3084" spans="8:13">
      <c r="H3084" t="s">
        <v>3302</v>
      </c>
      <c r="I3084" t="s">
        <v>1357</v>
      </c>
      <c r="J3084" t="s">
        <v>1357</v>
      </c>
      <c r="K3084" t="s">
        <v>1357</v>
      </c>
      <c r="L3084" t="s">
        <v>1357</v>
      </c>
    </row>
    <row r="3085" spans="8:13">
      <c r="H3085" t="s">
        <v>4991</v>
      </c>
      <c r="I3085" t="s">
        <v>1357</v>
      </c>
      <c r="J3085" t="s">
        <v>1357</v>
      </c>
      <c r="K3085" t="s">
        <v>1357</v>
      </c>
      <c r="L3085" t="s">
        <v>1357</v>
      </c>
    </row>
    <row r="3086" spans="8:13">
      <c r="H3086" t="s">
        <v>4992</v>
      </c>
      <c r="I3086" t="s">
        <v>1357</v>
      </c>
      <c r="J3086" t="s">
        <v>1357</v>
      </c>
      <c r="K3086" t="s">
        <v>1357</v>
      </c>
      <c r="L3086" t="s">
        <v>1357</v>
      </c>
    </row>
    <row r="3087" spans="8:13">
      <c r="H3087" t="s">
        <v>4993</v>
      </c>
      <c r="I3087" t="s">
        <v>1357</v>
      </c>
      <c r="J3087" t="s">
        <v>1357</v>
      </c>
      <c r="K3087" t="s">
        <v>1357</v>
      </c>
      <c r="L3087" t="s">
        <v>1357</v>
      </c>
    </row>
    <row r="3088" spans="8:13">
      <c r="H3088" t="s">
        <v>4629</v>
      </c>
      <c r="I3088" t="s">
        <v>1357</v>
      </c>
      <c r="J3088" t="s">
        <v>1357</v>
      </c>
      <c r="K3088" t="s">
        <v>1357</v>
      </c>
      <c r="L3088" t="s">
        <v>1357</v>
      </c>
    </row>
    <row r="3089" spans="1:13">
      <c r="H3089" t="s">
        <v>3311</v>
      </c>
      <c r="I3089" t="s">
        <v>1357</v>
      </c>
      <c r="J3089" t="s">
        <v>1357</v>
      </c>
      <c r="K3089" t="s">
        <v>1357</v>
      </c>
      <c r="L3089" t="s">
        <v>1357</v>
      </c>
    </row>
    <row r="3090" spans="1:13">
      <c r="H3090" t="s">
        <v>3303</v>
      </c>
      <c r="I3090" t="s">
        <v>1357</v>
      </c>
      <c r="J3090" t="s">
        <v>1357</v>
      </c>
      <c r="K3090" t="s">
        <v>1357</v>
      </c>
      <c r="L3090" t="s">
        <v>1357</v>
      </c>
    </row>
    <row r="3091" spans="1:13">
      <c r="H3091" t="s">
        <v>3307</v>
      </c>
      <c r="I3091" t="s">
        <v>1357</v>
      </c>
      <c r="J3091" t="s">
        <v>1357</v>
      </c>
      <c r="K3091" t="s">
        <v>1357</v>
      </c>
      <c r="L3091" t="s">
        <v>1357</v>
      </c>
    </row>
    <row r="3092" spans="1:13">
      <c r="H3092" t="s">
        <v>3309</v>
      </c>
      <c r="I3092" t="s">
        <v>1357</v>
      </c>
      <c r="J3092" t="s">
        <v>1357</v>
      </c>
      <c r="K3092" t="s">
        <v>1357</v>
      </c>
      <c r="L3092" t="s">
        <v>1357</v>
      </c>
    </row>
    <row r="3093" spans="1:13">
      <c r="H3093" t="s">
        <v>3313</v>
      </c>
      <c r="I3093" t="s">
        <v>1357</v>
      </c>
      <c r="J3093" t="s">
        <v>1357</v>
      </c>
      <c r="K3093" t="s">
        <v>1357</v>
      </c>
      <c r="L3093" t="s">
        <v>1357</v>
      </c>
    </row>
    <row r="3094" spans="1:13">
      <c r="H3094" t="s">
        <v>1850</v>
      </c>
      <c r="I3094" t="s">
        <v>1357</v>
      </c>
      <c r="J3094" t="s">
        <v>1357</v>
      </c>
      <c r="K3094" t="s">
        <v>1357</v>
      </c>
      <c r="L3094" t="s">
        <v>1357</v>
      </c>
    </row>
    <row r="3095" spans="1:13">
      <c r="H3095" t="s">
        <v>4994</v>
      </c>
      <c r="I3095" t="s">
        <v>1357</v>
      </c>
      <c r="J3095" t="s">
        <v>1357</v>
      </c>
      <c r="K3095" t="s">
        <v>1357</v>
      </c>
      <c r="L3095" t="s">
        <v>1357</v>
      </c>
    </row>
    <row r="3096" spans="1:13">
      <c r="H3096" t="s">
        <v>901</v>
      </c>
      <c r="I3096" t="s">
        <v>1357</v>
      </c>
      <c r="J3096" t="s">
        <v>1357</v>
      </c>
      <c r="K3096" t="s">
        <v>1357</v>
      </c>
      <c r="L3096" t="s">
        <v>1357</v>
      </c>
    </row>
    <row r="3097" spans="1:13">
      <c r="H3097" t="s">
        <v>3853</v>
      </c>
      <c r="I3097" t="s">
        <v>1357</v>
      </c>
      <c r="J3097" t="s">
        <v>1357</v>
      </c>
      <c r="K3097" t="s">
        <v>1357</v>
      </c>
      <c r="L3097" t="s">
        <v>1357</v>
      </c>
    </row>
    <row r="3098" spans="1:13">
      <c r="F3098" t="s">
        <v>2840</v>
      </c>
      <c r="G3098" t="s">
        <v>3021</v>
      </c>
      <c r="H3098" t="s">
        <v>4995</v>
      </c>
      <c r="I3098" t="s">
        <v>1357</v>
      </c>
      <c r="J3098" t="s">
        <v>1357</v>
      </c>
      <c r="K3098" t="s">
        <v>1357</v>
      </c>
      <c r="L3098" t="s">
        <v>1357</v>
      </c>
    </row>
    <row r="3099" spans="1:13">
      <c r="A3099" t="s">
        <v>2099</v>
      </c>
      <c r="B3099">
        <f>HYPERLINK("https://github.com/apache/commons-math/commit/cf2b9e7479179bff9111df99b7fa9f30a1bd5a8b", "cf2b9e7479179bff9111df99b7fa9f30a1bd5a8b")</f>
        <v>0</v>
      </c>
      <c r="C3099">
        <f>HYPERLINK("https://github.com/apache/commons-math/commit/b8d96de5871d938f678b4702c2fcc306bdf1f34d", "b8d96de5871d938f678b4702c2fcc306bdf1f34d")</f>
        <v>0</v>
      </c>
      <c r="D3099" t="s">
        <v>2158</v>
      </c>
      <c r="E3099" t="s">
        <v>2383</v>
      </c>
      <c r="F3099" t="s">
        <v>2841</v>
      </c>
      <c r="G3099" t="s">
        <v>3213</v>
      </c>
      <c r="H3099" t="s">
        <v>3790</v>
      </c>
      <c r="I3099" t="s">
        <v>1357</v>
      </c>
      <c r="J3099" t="s">
        <v>1357</v>
      </c>
      <c r="K3099" t="s">
        <v>1357</v>
      </c>
      <c r="L3099" t="s">
        <v>1357</v>
      </c>
    </row>
    <row r="3100" spans="1:13">
      <c r="H3100" t="s">
        <v>3695</v>
      </c>
      <c r="I3100" t="s">
        <v>1357</v>
      </c>
      <c r="J3100" t="s">
        <v>1357</v>
      </c>
      <c r="K3100" t="s">
        <v>1357</v>
      </c>
      <c r="L3100" t="s">
        <v>1357</v>
      </c>
    </row>
    <row r="3101" spans="1:13">
      <c r="H3101" t="s">
        <v>3853</v>
      </c>
      <c r="I3101" t="s">
        <v>1357</v>
      </c>
      <c r="J3101" t="s">
        <v>1357</v>
      </c>
      <c r="K3101" t="s">
        <v>1357</v>
      </c>
      <c r="L3101" t="s">
        <v>1357</v>
      </c>
      <c r="M3101" t="s">
        <v>1361</v>
      </c>
    </row>
    <row r="3102" spans="1:13">
      <c r="F3102" t="s">
        <v>2842</v>
      </c>
      <c r="G3102" t="s">
        <v>3214</v>
      </c>
      <c r="H3102" t="s">
        <v>795</v>
      </c>
      <c r="I3102" t="s">
        <v>1357</v>
      </c>
      <c r="J3102" t="s">
        <v>1357</v>
      </c>
      <c r="K3102" t="s">
        <v>1357</v>
      </c>
      <c r="L3102" t="s">
        <v>1357</v>
      </c>
    </row>
    <row r="3103" spans="1:13">
      <c r="H3103" t="s">
        <v>4456</v>
      </c>
      <c r="I3103" t="s">
        <v>1357</v>
      </c>
      <c r="J3103" t="s">
        <v>1357</v>
      </c>
      <c r="K3103" t="s">
        <v>1357</v>
      </c>
      <c r="L3103" t="s">
        <v>1357</v>
      </c>
    </row>
    <row r="3104" spans="1:13">
      <c r="H3104" t="s">
        <v>4982</v>
      </c>
      <c r="I3104" t="s">
        <v>1357</v>
      </c>
      <c r="J3104" t="s">
        <v>1357</v>
      </c>
      <c r="K3104" t="s">
        <v>1357</v>
      </c>
      <c r="L3104" t="s">
        <v>1357</v>
      </c>
    </row>
    <row r="3105" spans="8:12">
      <c r="H3105" t="s">
        <v>4983</v>
      </c>
      <c r="I3105" t="s">
        <v>1357</v>
      </c>
      <c r="J3105" t="s">
        <v>1357</v>
      </c>
      <c r="K3105" t="s">
        <v>1357</v>
      </c>
      <c r="L3105" t="s">
        <v>1357</v>
      </c>
    </row>
    <row r="3106" spans="8:12">
      <c r="H3106" t="s">
        <v>4996</v>
      </c>
      <c r="I3106" t="s">
        <v>1357</v>
      </c>
      <c r="J3106" t="s">
        <v>1357</v>
      </c>
      <c r="K3106" t="s">
        <v>1357</v>
      </c>
      <c r="L3106" t="s">
        <v>1357</v>
      </c>
    </row>
    <row r="3107" spans="8:12">
      <c r="H3107" t="s">
        <v>4997</v>
      </c>
      <c r="I3107" t="s">
        <v>1357</v>
      </c>
      <c r="J3107" t="s">
        <v>1357</v>
      </c>
      <c r="K3107" t="s">
        <v>1357</v>
      </c>
      <c r="L3107" t="s">
        <v>1357</v>
      </c>
    </row>
    <row r="3108" spans="8:12">
      <c r="H3108" t="s">
        <v>4985</v>
      </c>
      <c r="I3108" t="s">
        <v>1357</v>
      </c>
      <c r="J3108" t="s">
        <v>1357</v>
      </c>
      <c r="K3108" t="s">
        <v>1357</v>
      </c>
      <c r="L3108" t="s">
        <v>1357</v>
      </c>
    </row>
    <row r="3109" spans="8:12">
      <c r="H3109" t="s">
        <v>812</v>
      </c>
      <c r="I3109" t="s">
        <v>1357</v>
      </c>
      <c r="J3109" t="s">
        <v>1357</v>
      </c>
      <c r="K3109" t="s">
        <v>1357</v>
      </c>
      <c r="L3109" t="s">
        <v>1357</v>
      </c>
    </row>
    <row r="3110" spans="8:12">
      <c r="H3110" t="s">
        <v>4986</v>
      </c>
      <c r="I3110" t="s">
        <v>1357</v>
      </c>
      <c r="J3110" t="s">
        <v>1357</v>
      </c>
      <c r="K3110" t="s">
        <v>1357</v>
      </c>
      <c r="L3110" t="s">
        <v>1357</v>
      </c>
    </row>
    <row r="3111" spans="8:12">
      <c r="H3111" t="s">
        <v>4998</v>
      </c>
      <c r="I3111" t="s">
        <v>1357</v>
      </c>
      <c r="J3111" t="s">
        <v>1357</v>
      </c>
      <c r="K3111" t="s">
        <v>1357</v>
      </c>
      <c r="L3111" t="s">
        <v>1357</v>
      </c>
    </row>
    <row r="3112" spans="8:12">
      <c r="H3112" t="s">
        <v>4999</v>
      </c>
      <c r="I3112" t="s">
        <v>1357</v>
      </c>
      <c r="J3112" t="s">
        <v>1357</v>
      </c>
      <c r="K3112" t="s">
        <v>1357</v>
      </c>
      <c r="L3112" t="s">
        <v>1357</v>
      </c>
    </row>
    <row r="3113" spans="8:12">
      <c r="H3113" t="s">
        <v>4987</v>
      </c>
      <c r="I3113" t="s">
        <v>1357</v>
      </c>
      <c r="J3113" t="s">
        <v>1357</v>
      </c>
      <c r="K3113" t="s">
        <v>1357</v>
      </c>
      <c r="L3113" t="s">
        <v>1357</v>
      </c>
    </row>
    <row r="3114" spans="8:12">
      <c r="H3114" t="s">
        <v>4988</v>
      </c>
      <c r="I3114" t="s">
        <v>1357</v>
      </c>
      <c r="J3114" t="s">
        <v>1357</v>
      </c>
      <c r="K3114" t="s">
        <v>1357</v>
      </c>
      <c r="L3114" t="s">
        <v>1357</v>
      </c>
    </row>
    <row r="3115" spans="8:12">
      <c r="H3115" t="s">
        <v>4989</v>
      </c>
      <c r="I3115" t="s">
        <v>1357</v>
      </c>
      <c r="J3115" t="s">
        <v>1357</v>
      </c>
      <c r="K3115" t="s">
        <v>1357</v>
      </c>
      <c r="L3115" t="s">
        <v>1357</v>
      </c>
    </row>
    <row r="3116" spans="8:12">
      <c r="H3116" t="s">
        <v>4990</v>
      </c>
      <c r="I3116" t="s">
        <v>1357</v>
      </c>
      <c r="J3116" t="s">
        <v>1357</v>
      </c>
      <c r="K3116" t="s">
        <v>1357</v>
      </c>
      <c r="L3116" t="s">
        <v>1357</v>
      </c>
    </row>
    <row r="3117" spans="8:12">
      <c r="H3117" t="s">
        <v>3302</v>
      </c>
      <c r="I3117" t="s">
        <v>1357</v>
      </c>
      <c r="J3117" t="s">
        <v>1357</v>
      </c>
      <c r="K3117" t="s">
        <v>1357</v>
      </c>
      <c r="L3117" t="s">
        <v>1357</v>
      </c>
    </row>
    <row r="3118" spans="8:12">
      <c r="H3118" t="s">
        <v>4629</v>
      </c>
      <c r="I3118" t="s">
        <v>1357</v>
      </c>
      <c r="J3118" t="s">
        <v>1357</v>
      </c>
      <c r="K3118" t="s">
        <v>1357</v>
      </c>
      <c r="L3118" t="s">
        <v>1357</v>
      </c>
    </row>
    <row r="3119" spans="8:12">
      <c r="H3119" t="s">
        <v>3311</v>
      </c>
      <c r="I3119" t="s">
        <v>1357</v>
      </c>
      <c r="J3119" t="s">
        <v>1357</v>
      </c>
      <c r="K3119" t="s">
        <v>1357</v>
      </c>
      <c r="L3119" t="s">
        <v>1357</v>
      </c>
    </row>
    <row r="3120" spans="8:12">
      <c r="H3120" t="s">
        <v>3303</v>
      </c>
      <c r="I3120" t="s">
        <v>1357</v>
      </c>
      <c r="J3120" t="s">
        <v>1357</v>
      </c>
      <c r="K3120" t="s">
        <v>1357</v>
      </c>
      <c r="L3120" t="s">
        <v>1357</v>
      </c>
    </row>
    <row r="3121" spans="1:12">
      <c r="H3121" t="s">
        <v>3307</v>
      </c>
      <c r="I3121" t="s">
        <v>1357</v>
      </c>
      <c r="J3121" t="s">
        <v>1357</v>
      </c>
      <c r="K3121" t="s">
        <v>1357</v>
      </c>
      <c r="L3121" t="s">
        <v>1357</v>
      </c>
    </row>
    <row r="3122" spans="1:12">
      <c r="H3122" t="s">
        <v>3309</v>
      </c>
      <c r="I3122" t="s">
        <v>1357</v>
      </c>
      <c r="J3122" t="s">
        <v>1357</v>
      </c>
      <c r="K3122" t="s">
        <v>1357</v>
      </c>
      <c r="L3122" t="s">
        <v>1357</v>
      </c>
    </row>
    <row r="3123" spans="1:12">
      <c r="H3123" t="s">
        <v>3313</v>
      </c>
      <c r="I3123" t="s">
        <v>1357</v>
      </c>
      <c r="J3123" t="s">
        <v>1357</v>
      </c>
      <c r="K3123" t="s">
        <v>1357</v>
      </c>
      <c r="L3123" t="s">
        <v>1357</v>
      </c>
    </row>
    <row r="3124" spans="1:12">
      <c r="H3124" t="s">
        <v>5000</v>
      </c>
      <c r="I3124" t="s">
        <v>1357</v>
      </c>
      <c r="J3124" t="s">
        <v>1357</v>
      </c>
      <c r="K3124" t="s">
        <v>1357</v>
      </c>
      <c r="L3124" t="s">
        <v>1357</v>
      </c>
    </row>
    <row r="3125" spans="1:12">
      <c r="H3125" t="s">
        <v>1850</v>
      </c>
      <c r="I3125" t="s">
        <v>1357</v>
      </c>
      <c r="J3125" t="s">
        <v>1357</v>
      </c>
      <c r="K3125" t="s">
        <v>1357</v>
      </c>
      <c r="L3125" t="s">
        <v>1357</v>
      </c>
    </row>
    <row r="3126" spans="1:12">
      <c r="H3126" t="s">
        <v>4994</v>
      </c>
      <c r="I3126" t="s">
        <v>1357</v>
      </c>
      <c r="J3126" t="s">
        <v>1357</v>
      </c>
      <c r="K3126" t="s">
        <v>1357</v>
      </c>
      <c r="L3126" t="s">
        <v>1357</v>
      </c>
    </row>
    <row r="3127" spans="1:12">
      <c r="H3127" t="s">
        <v>4991</v>
      </c>
      <c r="I3127" t="s">
        <v>1357</v>
      </c>
      <c r="J3127" t="s">
        <v>1357</v>
      </c>
      <c r="K3127" t="s">
        <v>1357</v>
      </c>
      <c r="L3127" t="s">
        <v>1357</v>
      </c>
    </row>
    <row r="3128" spans="1:12">
      <c r="H3128" t="s">
        <v>3650</v>
      </c>
      <c r="I3128" t="s">
        <v>1357</v>
      </c>
      <c r="J3128" t="s">
        <v>1357</v>
      </c>
      <c r="K3128" t="s">
        <v>1357</v>
      </c>
      <c r="L3128" t="s">
        <v>1357</v>
      </c>
    </row>
    <row r="3129" spans="1:12">
      <c r="H3129" t="s">
        <v>5001</v>
      </c>
      <c r="I3129" t="s">
        <v>1357</v>
      </c>
      <c r="J3129" t="s">
        <v>1357</v>
      </c>
      <c r="K3129" t="s">
        <v>1357</v>
      </c>
      <c r="L3129" t="s">
        <v>1357</v>
      </c>
    </row>
    <row r="3130" spans="1:12">
      <c r="H3130" t="s">
        <v>3853</v>
      </c>
      <c r="I3130" t="s">
        <v>1357</v>
      </c>
      <c r="J3130" t="s">
        <v>1357</v>
      </c>
      <c r="K3130" t="s">
        <v>1357</v>
      </c>
      <c r="L3130" t="s">
        <v>1357</v>
      </c>
    </row>
    <row r="3131" spans="1:12">
      <c r="F3131" t="s">
        <v>2840</v>
      </c>
      <c r="G3131" t="s">
        <v>3021</v>
      </c>
      <c r="H3131" t="s">
        <v>5002</v>
      </c>
      <c r="I3131" t="s">
        <v>1357</v>
      </c>
      <c r="J3131" t="s">
        <v>1357</v>
      </c>
      <c r="K3131" t="s">
        <v>1357</v>
      </c>
      <c r="L3131" t="s">
        <v>1357</v>
      </c>
    </row>
    <row r="3132" spans="1:12">
      <c r="A3132" t="s">
        <v>2100</v>
      </c>
      <c r="B3132">
        <f>HYPERLINK("https://github.com/apache/commons-math/commit/a55b8520afc62ae1d0c281dfa32054f2608a760f", "a55b8520afc62ae1d0c281dfa32054f2608a760f")</f>
        <v>0</v>
      </c>
      <c r="C3132">
        <f>HYPERLINK("https://github.com/apache/commons-math/commit/084db0dcc42b906da45eb639ede4c9fa1e28b85b", "084db0dcc42b906da45eb639ede4c9fa1e28b85b")</f>
        <v>0</v>
      </c>
      <c r="D3132" t="s">
        <v>2158</v>
      </c>
      <c r="E3132" t="s">
        <v>2384</v>
      </c>
      <c r="F3132" t="s">
        <v>2843</v>
      </c>
      <c r="G3132" t="s">
        <v>2963</v>
      </c>
      <c r="H3132" t="s">
        <v>5003</v>
      </c>
      <c r="I3132" t="s">
        <v>1357</v>
      </c>
      <c r="J3132" t="s">
        <v>1357</v>
      </c>
      <c r="K3132" t="s">
        <v>1357</v>
      </c>
      <c r="L3132" t="s">
        <v>1357</v>
      </c>
    </row>
    <row r="3133" spans="1:12">
      <c r="H3133" t="s">
        <v>5004</v>
      </c>
      <c r="I3133" t="s">
        <v>1357</v>
      </c>
      <c r="J3133" t="s">
        <v>1357</v>
      </c>
      <c r="K3133" t="s">
        <v>1357</v>
      </c>
      <c r="L3133" t="s">
        <v>1357</v>
      </c>
    </row>
    <row r="3134" spans="1:12">
      <c r="H3134" t="s">
        <v>5005</v>
      </c>
      <c r="I3134" t="s">
        <v>1357</v>
      </c>
      <c r="J3134" t="s">
        <v>1357</v>
      </c>
      <c r="K3134" t="s">
        <v>1357</v>
      </c>
      <c r="L3134" t="s">
        <v>1357</v>
      </c>
    </row>
    <row r="3135" spans="1:12">
      <c r="H3135" t="s">
        <v>5006</v>
      </c>
      <c r="I3135" t="s">
        <v>1357</v>
      </c>
      <c r="J3135" t="s">
        <v>1357</v>
      </c>
      <c r="K3135" t="s">
        <v>1357</v>
      </c>
      <c r="L3135" t="s">
        <v>1357</v>
      </c>
    </row>
    <row r="3136" spans="1:12">
      <c r="H3136" t="s">
        <v>5007</v>
      </c>
      <c r="I3136" t="s">
        <v>1357</v>
      </c>
      <c r="J3136" t="s">
        <v>1357</v>
      </c>
      <c r="K3136" t="s">
        <v>1357</v>
      </c>
      <c r="L3136" t="s">
        <v>1357</v>
      </c>
    </row>
    <row r="3137" spans="1:12">
      <c r="H3137" t="s">
        <v>5008</v>
      </c>
      <c r="I3137" t="s">
        <v>1357</v>
      </c>
      <c r="J3137" t="s">
        <v>1357</v>
      </c>
      <c r="K3137" t="s">
        <v>1357</v>
      </c>
      <c r="L3137" t="s">
        <v>1357</v>
      </c>
    </row>
    <row r="3138" spans="1:12">
      <c r="H3138" t="s">
        <v>5009</v>
      </c>
      <c r="I3138" t="s">
        <v>1357</v>
      </c>
      <c r="J3138" t="s">
        <v>1357</v>
      </c>
      <c r="K3138" t="s">
        <v>1357</v>
      </c>
      <c r="L3138" t="s">
        <v>1357</v>
      </c>
    </row>
    <row r="3139" spans="1:12">
      <c r="H3139" t="s">
        <v>5010</v>
      </c>
      <c r="I3139" t="s">
        <v>1357</v>
      </c>
      <c r="J3139" t="s">
        <v>1357</v>
      </c>
      <c r="K3139" t="s">
        <v>1357</v>
      </c>
      <c r="L3139" t="s">
        <v>1357</v>
      </c>
    </row>
    <row r="3140" spans="1:12">
      <c r="H3140" t="s">
        <v>5011</v>
      </c>
      <c r="I3140" t="s">
        <v>1357</v>
      </c>
      <c r="J3140" t="s">
        <v>1357</v>
      </c>
      <c r="K3140" t="s">
        <v>1357</v>
      </c>
      <c r="L3140" t="s">
        <v>1357</v>
      </c>
    </row>
    <row r="3141" spans="1:12">
      <c r="H3141" t="s">
        <v>5012</v>
      </c>
      <c r="I3141" t="s">
        <v>1357</v>
      </c>
      <c r="J3141" t="s">
        <v>1357</v>
      </c>
      <c r="K3141" t="s">
        <v>1357</v>
      </c>
      <c r="L3141" t="s">
        <v>1357</v>
      </c>
    </row>
    <row r="3142" spans="1:12">
      <c r="H3142" t="s">
        <v>5013</v>
      </c>
      <c r="I3142" t="s">
        <v>1357</v>
      </c>
      <c r="J3142" t="s">
        <v>1357</v>
      </c>
      <c r="K3142" t="s">
        <v>1357</v>
      </c>
      <c r="L3142" t="s">
        <v>1357</v>
      </c>
    </row>
    <row r="3143" spans="1:12">
      <c r="H3143" t="s">
        <v>5014</v>
      </c>
      <c r="I3143" t="s">
        <v>1357</v>
      </c>
      <c r="J3143" t="s">
        <v>1357</v>
      </c>
      <c r="K3143" t="s">
        <v>1357</v>
      </c>
      <c r="L3143" t="s">
        <v>1357</v>
      </c>
    </row>
    <row r="3144" spans="1:12">
      <c r="H3144" t="s">
        <v>5015</v>
      </c>
      <c r="I3144" t="s">
        <v>1357</v>
      </c>
      <c r="J3144" t="s">
        <v>1357</v>
      </c>
      <c r="K3144" t="s">
        <v>1357</v>
      </c>
      <c r="L3144" t="s">
        <v>1357</v>
      </c>
    </row>
    <row r="3145" spans="1:12">
      <c r="H3145" t="s">
        <v>836</v>
      </c>
      <c r="I3145" t="s">
        <v>1357</v>
      </c>
      <c r="J3145" t="s">
        <v>1357</v>
      </c>
      <c r="K3145" t="s">
        <v>1357</v>
      </c>
      <c r="L3145" t="s">
        <v>1357</v>
      </c>
    </row>
    <row r="3146" spans="1:12">
      <c r="A3146" t="s">
        <v>2101</v>
      </c>
      <c r="B3146">
        <f>HYPERLINK("https://github.com/apache/commons-math/commit/490223af4a31702c7effee0c04b585f8388d0af2", "490223af4a31702c7effee0c04b585f8388d0af2")</f>
        <v>0</v>
      </c>
      <c r="C3146">
        <f>HYPERLINK("https://github.com/apache/commons-math/commit/b6a65a7b6e80ba4ef602b5ed2579a063d28f2249", "b6a65a7b6e80ba4ef602b5ed2579a063d28f2249")</f>
        <v>0</v>
      </c>
      <c r="D3146" t="s">
        <v>2158</v>
      </c>
      <c r="E3146" t="s">
        <v>2385</v>
      </c>
      <c r="F3146" t="s">
        <v>2844</v>
      </c>
      <c r="G3146" t="s">
        <v>3215</v>
      </c>
      <c r="H3146" t="s">
        <v>3880</v>
      </c>
      <c r="I3146" t="s">
        <v>1357</v>
      </c>
      <c r="J3146" t="s">
        <v>1357</v>
      </c>
      <c r="K3146" t="s">
        <v>1357</v>
      </c>
      <c r="L3146" t="s">
        <v>1357</v>
      </c>
    </row>
    <row r="3147" spans="1:12">
      <c r="H3147" t="s">
        <v>5016</v>
      </c>
      <c r="I3147" t="s">
        <v>1357</v>
      </c>
      <c r="J3147" t="s">
        <v>1357</v>
      </c>
      <c r="K3147" t="s">
        <v>1357</v>
      </c>
      <c r="L3147" t="s">
        <v>1357</v>
      </c>
    </row>
    <row r="3148" spans="1:12">
      <c r="H3148" t="s">
        <v>902</v>
      </c>
      <c r="I3148" t="s">
        <v>1357</v>
      </c>
      <c r="J3148" t="s">
        <v>1357</v>
      </c>
      <c r="K3148" t="s">
        <v>1357</v>
      </c>
      <c r="L3148" t="s">
        <v>1357</v>
      </c>
    </row>
    <row r="3149" spans="1:12">
      <c r="H3149" t="s">
        <v>5017</v>
      </c>
      <c r="I3149" t="s">
        <v>1357</v>
      </c>
      <c r="J3149" t="s">
        <v>1357</v>
      </c>
      <c r="K3149" t="s">
        <v>1357</v>
      </c>
      <c r="L3149" t="s">
        <v>1357</v>
      </c>
    </row>
    <row r="3150" spans="1:12">
      <c r="H3150" t="s">
        <v>5018</v>
      </c>
      <c r="I3150" t="s">
        <v>1357</v>
      </c>
      <c r="J3150" t="s">
        <v>1357</v>
      </c>
      <c r="K3150" t="s">
        <v>1357</v>
      </c>
      <c r="L3150" t="s">
        <v>1357</v>
      </c>
    </row>
    <row r="3151" spans="1:12">
      <c r="H3151" t="s">
        <v>4574</v>
      </c>
      <c r="I3151" t="s">
        <v>1357</v>
      </c>
      <c r="J3151" t="s">
        <v>1357</v>
      </c>
      <c r="K3151" t="s">
        <v>1357</v>
      </c>
      <c r="L3151" t="s">
        <v>1357</v>
      </c>
    </row>
    <row r="3152" spans="1:12">
      <c r="H3152" t="s">
        <v>5019</v>
      </c>
      <c r="I3152" t="s">
        <v>1357</v>
      </c>
      <c r="J3152" t="s">
        <v>1357</v>
      </c>
      <c r="K3152" t="s">
        <v>1357</v>
      </c>
      <c r="L3152" t="s">
        <v>1357</v>
      </c>
    </row>
    <row r="3153" spans="1:12">
      <c r="A3153" t="s">
        <v>2102</v>
      </c>
      <c r="B3153">
        <f>HYPERLINK("https://github.com/apache/commons-math/commit/6e5577ad8adff3aad503365a3e118453501bcfef", "6e5577ad8adff3aad503365a3e118453501bcfef")</f>
        <v>0</v>
      </c>
      <c r="C3153">
        <f>HYPERLINK("https://github.com/apache/commons-math/commit/f4dd17aa7d68509e41c906dd8e53265985b878b4", "f4dd17aa7d68509e41c906dd8e53265985b878b4")</f>
        <v>0</v>
      </c>
      <c r="D3153" t="s">
        <v>2158</v>
      </c>
      <c r="E3153" t="s">
        <v>2386</v>
      </c>
      <c r="F3153" t="s">
        <v>2717</v>
      </c>
      <c r="G3153" t="s">
        <v>3051</v>
      </c>
      <c r="H3153" t="s">
        <v>5020</v>
      </c>
      <c r="I3153" t="s">
        <v>1357</v>
      </c>
      <c r="J3153" t="s">
        <v>1357</v>
      </c>
      <c r="K3153" t="s">
        <v>1357</v>
      </c>
      <c r="L3153" t="s">
        <v>1357</v>
      </c>
    </row>
    <row r="3154" spans="1:12">
      <c r="H3154" t="s">
        <v>3943</v>
      </c>
      <c r="I3154" t="s">
        <v>1357</v>
      </c>
      <c r="J3154" t="s">
        <v>1357</v>
      </c>
      <c r="K3154" t="s">
        <v>1357</v>
      </c>
      <c r="L3154" t="s">
        <v>1357</v>
      </c>
    </row>
    <row r="3155" spans="1:12">
      <c r="H3155" t="s">
        <v>3944</v>
      </c>
      <c r="I3155" t="s">
        <v>1357</v>
      </c>
      <c r="J3155" t="s">
        <v>1357</v>
      </c>
      <c r="K3155" t="s">
        <v>1357</v>
      </c>
      <c r="L3155" t="s">
        <v>1357</v>
      </c>
    </row>
    <row r="3156" spans="1:12">
      <c r="H3156" t="s">
        <v>5021</v>
      </c>
      <c r="I3156" t="s">
        <v>1357</v>
      </c>
      <c r="J3156" t="s">
        <v>1357</v>
      </c>
      <c r="K3156" t="s">
        <v>1357</v>
      </c>
      <c r="L3156" t="s">
        <v>1357</v>
      </c>
    </row>
    <row r="3157" spans="1:12">
      <c r="H3157" t="s">
        <v>3945</v>
      </c>
      <c r="I3157" t="s">
        <v>1357</v>
      </c>
      <c r="J3157" t="s">
        <v>1357</v>
      </c>
      <c r="K3157" t="s">
        <v>1357</v>
      </c>
      <c r="L3157" t="s">
        <v>1357</v>
      </c>
    </row>
    <row r="3158" spans="1:12">
      <c r="H3158" t="s">
        <v>3946</v>
      </c>
      <c r="I3158" t="s">
        <v>1357</v>
      </c>
      <c r="J3158" t="s">
        <v>1357</v>
      </c>
      <c r="K3158" t="s">
        <v>1357</v>
      </c>
      <c r="L3158" t="s">
        <v>1357</v>
      </c>
    </row>
    <row r="3159" spans="1:12">
      <c r="H3159" t="s">
        <v>5022</v>
      </c>
      <c r="I3159" t="s">
        <v>1357</v>
      </c>
      <c r="J3159" t="s">
        <v>1357</v>
      </c>
      <c r="K3159" t="s">
        <v>1357</v>
      </c>
      <c r="L3159" t="s">
        <v>1357</v>
      </c>
    </row>
    <row r="3160" spans="1:12">
      <c r="A3160" t="s">
        <v>2103</v>
      </c>
      <c r="B3160">
        <f>HYPERLINK("https://github.com/apache/commons-math/commit/ef4596df33979faac6253056c5f755792a3751ba", "ef4596df33979faac6253056c5f755792a3751ba")</f>
        <v>0</v>
      </c>
      <c r="C3160">
        <f>HYPERLINK("https://github.com/apache/commons-math/commit/8091c4fe8395ef69a652885bb6eef0c2ac935927", "8091c4fe8395ef69a652885bb6eef0c2ac935927")</f>
        <v>0</v>
      </c>
      <c r="D3160" t="s">
        <v>2158</v>
      </c>
      <c r="E3160" t="s">
        <v>2387</v>
      </c>
      <c r="F3160" t="s">
        <v>2845</v>
      </c>
      <c r="G3160" t="s">
        <v>3216</v>
      </c>
      <c r="H3160" t="s">
        <v>1137</v>
      </c>
      <c r="I3160" t="s">
        <v>1357</v>
      </c>
      <c r="J3160" t="s">
        <v>1357</v>
      </c>
      <c r="K3160" t="s">
        <v>1357</v>
      </c>
      <c r="L3160" t="s">
        <v>1357</v>
      </c>
    </row>
    <row r="3161" spans="1:12">
      <c r="H3161" t="s">
        <v>1139</v>
      </c>
      <c r="I3161" t="s">
        <v>1357</v>
      </c>
      <c r="J3161" t="s">
        <v>1357</v>
      </c>
      <c r="K3161" t="s">
        <v>1357</v>
      </c>
      <c r="L3161" t="s">
        <v>1357</v>
      </c>
    </row>
    <row r="3162" spans="1:12">
      <c r="H3162" t="s">
        <v>5023</v>
      </c>
      <c r="I3162" t="s">
        <v>1357</v>
      </c>
      <c r="J3162" t="s">
        <v>1357</v>
      </c>
      <c r="K3162" t="s">
        <v>1357</v>
      </c>
      <c r="L3162" t="s">
        <v>1357</v>
      </c>
    </row>
    <row r="3163" spans="1:12">
      <c r="H3163" t="s">
        <v>5024</v>
      </c>
      <c r="I3163" t="s">
        <v>1357</v>
      </c>
      <c r="J3163" t="s">
        <v>1357</v>
      </c>
      <c r="K3163" t="s">
        <v>1357</v>
      </c>
      <c r="L3163" t="s">
        <v>1357</v>
      </c>
    </row>
    <row r="3164" spans="1:12">
      <c r="H3164" t="s">
        <v>5025</v>
      </c>
      <c r="I3164" t="s">
        <v>1357</v>
      </c>
      <c r="J3164" t="s">
        <v>1357</v>
      </c>
      <c r="K3164" t="s">
        <v>1357</v>
      </c>
      <c r="L3164" t="s">
        <v>1357</v>
      </c>
    </row>
    <row r="3165" spans="1:12">
      <c r="H3165" t="s">
        <v>5026</v>
      </c>
      <c r="I3165" t="s">
        <v>1357</v>
      </c>
      <c r="J3165" t="s">
        <v>1357</v>
      </c>
      <c r="K3165" t="s">
        <v>1357</v>
      </c>
      <c r="L3165" t="s">
        <v>1357</v>
      </c>
    </row>
    <row r="3166" spans="1:12">
      <c r="H3166" t="s">
        <v>5027</v>
      </c>
      <c r="I3166" t="s">
        <v>1357</v>
      </c>
      <c r="J3166" t="s">
        <v>1357</v>
      </c>
      <c r="K3166" t="s">
        <v>1357</v>
      </c>
      <c r="L3166" t="s">
        <v>1357</v>
      </c>
    </row>
    <row r="3167" spans="1:12">
      <c r="H3167" t="s">
        <v>5028</v>
      </c>
      <c r="I3167" t="s">
        <v>1357</v>
      </c>
      <c r="J3167" t="s">
        <v>1357</v>
      </c>
      <c r="K3167" t="s">
        <v>1357</v>
      </c>
      <c r="L3167" t="s">
        <v>1357</v>
      </c>
    </row>
    <row r="3168" spans="1:12">
      <c r="H3168" t="s">
        <v>5029</v>
      </c>
      <c r="I3168" t="s">
        <v>1357</v>
      </c>
      <c r="J3168" t="s">
        <v>1357</v>
      </c>
      <c r="K3168" t="s">
        <v>1357</v>
      </c>
      <c r="L3168" t="s">
        <v>1357</v>
      </c>
    </row>
    <row r="3169" spans="1:12">
      <c r="H3169" t="s">
        <v>5030</v>
      </c>
      <c r="I3169" t="s">
        <v>1357</v>
      </c>
      <c r="J3169" t="s">
        <v>1357</v>
      </c>
      <c r="K3169" t="s">
        <v>1357</v>
      </c>
      <c r="L3169" t="s">
        <v>1357</v>
      </c>
    </row>
    <row r="3170" spans="1:12">
      <c r="A3170" t="s">
        <v>2104</v>
      </c>
      <c r="B3170">
        <f>HYPERLINK("https://github.com/apache/commons-math/commit/f2eebe68d856ff681f5d7b0282a02bf6d396a9ea", "f2eebe68d856ff681f5d7b0282a02bf6d396a9ea")</f>
        <v>0</v>
      </c>
      <c r="C3170">
        <f>HYPERLINK("https://github.com/apache/commons-math/commit/7ae8c7ac46f979891af3cca3d1c52ca984125002", "7ae8c7ac46f979891af3cca3d1c52ca984125002")</f>
        <v>0</v>
      </c>
      <c r="D3170" t="s">
        <v>2162</v>
      </c>
      <c r="E3170" t="s">
        <v>2388</v>
      </c>
      <c r="F3170" t="s">
        <v>2846</v>
      </c>
      <c r="G3170" t="s">
        <v>3217</v>
      </c>
      <c r="H3170" t="s">
        <v>5031</v>
      </c>
      <c r="I3170" t="s">
        <v>1357</v>
      </c>
      <c r="J3170" t="s">
        <v>1357</v>
      </c>
      <c r="K3170" t="s">
        <v>1357</v>
      </c>
      <c r="L3170" t="s">
        <v>1357</v>
      </c>
    </row>
    <row r="3171" spans="1:12">
      <c r="H3171" t="s">
        <v>5032</v>
      </c>
      <c r="I3171" t="s">
        <v>1357</v>
      </c>
      <c r="J3171" t="s">
        <v>1357</v>
      </c>
      <c r="K3171" t="s">
        <v>1357</v>
      </c>
      <c r="L3171" t="s">
        <v>1357</v>
      </c>
    </row>
    <row r="3172" spans="1:12">
      <c r="A3172" t="s">
        <v>2105</v>
      </c>
      <c r="B3172">
        <f>HYPERLINK("https://github.com/apache/commons-math/commit/9cbf1d184442063ec5ab833e954009b7f18c2781", "9cbf1d184442063ec5ab833e954009b7f18c2781")</f>
        <v>0</v>
      </c>
      <c r="C3172">
        <f>HYPERLINK("https://github.com/apache/commons-math/commit/960ba5322beb3b0c26b71fb06b0e3131122a8a0d", "960ba5322beb3b0c26b71fb06b0e3131122a8a0d")</f>
        <v>0</v>
      </c>
      <c r="D3172" t="s">
        <v>2163</v>
      </c>
      <c r="E3172" t="s">
        <v>2389</v>
      </c>
      <c r="F3172" t="s">
        <v>2847</v>
      </c>
      <c r="G3172" t="s">
        <v>3218</v>
      </c>
      <c r="H3172" t="s">
        <v>5033</v>
      </c>
      <c r="I3172" t="s">
        <v>1357</v>
      </c>
      <c r="J3172" t="s">
        <v>1357</v>
      </c>
      <c r="K3172" t="s">
        <v>1357</v>
      </c>
      <c r="L3172" t="s">
        <v>1357</v>
      </c>
    </row>
    <row r="3173" spans="1:12">
      <c r="A3173" t="s">
        <v>2106</v>
      </c>
      <c r="B3173">
        <f>HYPERLINK("https://github.com/apache/commons-math/commit/b1c0b4db5190986216f810190c4bed4dd9aa0bb5", "b1c0b4db5190986216f810190c4bed4dd9aa0bb5")</f>
        <v>0</v>
      </c>
      <c r="C3173">
        <f>HYPERLINK("https://github.com/apache/commons-math/commit/0e3b77d76ca36a44c3e53308091a630915c0f012", "0e3b77d76ca36a44c3e53308091a630915c0f012")</f>
        <v>0</v>
      </c>
      <c r="D3173" t="s">
        <v>2163</v>
      </c>
      <c r="E3173" t="s">
        <v>2390</v>
      </c>
      <c r="F3173" t="s">
        <v>2848</v>
      </c>
      <c r="G3173" t="s">
        <v>3219</v>
      </c>
      <c r="H3173" t="s">
        <v>3908</v>
      </c>
      <c r="I3173" t="s">
        <v>1357</v>
      </c>
      <c r="J3173" t="s">
        <v>1357</v>
      </c>
      <c r="K3173" t="s">
        <v>1357</v>
      </c>
      <c r="L3173" t="s">
        <v>1357</v>
      </c>
    </row>
    <row r="3174" spans="1:12">
      <c r="H3174" t="s">
        <v>4816</v>
      </c>
      <c r="I3174" t="s">
        <v>1357</v>
      </c>
      <c r="J3174" t="s">
        <v>1357</v>
      </c>
      <c r="K3174" t="s">
        <v>1357</v>
      </c>
      <c r="L3174" t="s">
        <v>1357</v>
      </c>
    </row>
    <row r="3175" spans="1:12">
      <c r="H3175" t="s">
        <v>4817</v>
      </c>
      <c r="I3175" t="s">
        <v>1357</v>
      </c>
      <c r="J3175" t="s">
        <v>1357</v>
      </c>
      <c r="K3175" t="s">
        <v>1357</v>
      </c>
      <c r="L3175" t="s">
        <v>1357</v>
      </c>
    </row>
    <row r="3176" spans="1:12">
      <c r="H3176" t="s">
        <v>4818</v>
      </c>
      <c r="I3176" t="s">
        <v>1357</v>
      </c>
      <c r="J3176" t="s">
        <v>1357</v>
      </c>
      <c r="K3176" t="s">
        <v>1357</v>
      </c>
      <c r="L3176" t="s">
        <v>1357</v>
      </c>
    </row>
    <row r="3177" spans="1:12">
      <c r="H3177" t="s">
        <v>5034</v>
      </c>
      <c r="I3177" t="s">
        <v>1357</v>
      </c>
      <c r="J3177" t="s">
        <v>1357</v>
      </c>
      <c r="K3177" t="s">
        <v>1357</v>
      </c>
      <c r="L3177" t="s">
        <v>1357</v>
      </c>
    </row>
    <row r="3178" spans="1:12">
      <c r="H3178" t="s">
        <v>4820</v>
      </c>
      <c r="I3178" t="s">
        <v>1357</v>
      </c>
      <c r="J3178" t="s">
        <v>1357</v>
      </c>
      <c r="K3178" t="s">
        <v>1357</v>
      </c>
      <c r="L3178" t="s">
        <v>1357</v>
      </c>
    </row>
    <row r="3179" spans="1:12">
      <c r="H3179" t="s">
        <v>4821</v>
      </c>
      <c r="I3179" t="s">
        <v>1357</v>
      </c>
      <c r="J3179" t="s">
        <v>1357</v>
      </c>
      <c r="K3179" t="s">
        <v>1357</v>
      </c>
      <c r="L3179" t="s">
        <v>1357</v>
      </c>
    </row>
    <row r="3180" spans="1:12">
      <c r="H3180" t="s">
        <v>4822</v>
      </c>
      <c r="I3180" t="s">
        <v>1357</v>
      </c>
      <c r="J3180" t="s">
        <v>1357</v>
      </c>
      <c r="K3180" t="s">
        <v>1357</v>
      </c>
      <c r="L3180" t="s">
        <v>1357</v>
      </c>
    </row>
    <row r="3181" spans="1:12">
      <c r="H3181" t="s">
        <v>4823</v>
      </c>
      <c r="I3181" t="s">
        <v>1357</v>
      </c>
      <c r="J3181" t="s">
        <v>1357</v>
      </c>
      <c r="K3181" t="s">
        <v>1357</v>
      </c>
      <c r="L3181" t="s">
        <v>1357</v>
      </c>
    </row>
    <row r="3182" spans="1:12">
      <c r="H3182" t="s">
        <v>4824</v>
      </c>
      <c r="I3182" t="s">
        <v>1357</v>
      </c>
      <c r="J3182" t="s">
        <v>1357</v>
      </c>
      <c r="K3182" t="s">
        <v>1357</v>
      </c>
      <c r="L3182" t="s">
        <v>1357</v>
      </c>
    </row>
    <row r="3183" spans="1:12">
      <c r="H3183" t="s">
        <v>4825</v>
      </c>
      <c r="I3183" t="s">
        <v>1357</v>
      </c>
      <c r="J3183" t="s">
        <v>1357</v>
      </c>
      <c r="K3183" t="s">
        <v>1357</v>
      </c>
      <c r="L3183" t="s">
        <v>1357</v>
      </c>
    </row>
    <row r="3184" spans="1:12">
      <c r="H3184" t="s">
        <v>4826</v>
      </c>
      <c r="I3184" t="s">
        <v>1357</v>
      </c>
      <c r="J3184" t="s">
        <v>1357</v>
      </c>
      <c r="K3184" t="s">
        <v>1357</v>
      </c>
      <c r="L3184" t="s">
        <v>1357</v>
      </c>
    </row>
    <row r="3185" spans="6:12">
      <c r="H3185" t="s">
        <v>4827</v>
      </c>
      <c r="I3185" t="s">
        <v>1357</v>
      </c>
      <c r="J3185" t="s">
        <v>1357</v>
      </c>
      <c r="K3185" t="s">
        <v>1357</v>
      </c>
      <c r="L3185" t="s">
        <v>1357</v>
      </c>
    </row>
    <row r="3186" spans="6:12">
      <c r="H3186" t="s">
        <v>4828</v>
      </c>
      <c r="I3186" t="s">
        <v>1357</v>
      </c>
      <c r="J3186" t="s">
        <v>1357</v>
      </c>
      <c r="K3186" t="s">
        <v>1357</v>
      </c>
      <c r="L3186" t="s">
        <v>1357</v>
      </c>
    </row>
    <row r="3187" spans="6:12">
      <c r="H3187" t="s">
        <v>5035</v>
      </c>
      <c r="I3187" t="s">
        <v>1357</v>
      </c>
      <c r="J3187" t="s">
        <v>1357</v>
      </c>
      <c r="K3187" t="s">
        <v>1357</v>
      </c>
      <c r="L3187" t="s">
        <v>1357</v>
      </c>
    </row>
    <row r="3188" spans="6:12">
      <c r="H3188" t="s">
        <v>4830</v>
      </c>
      <c r="I3188" t="s">
        <v>1357</v>
      </c>
      <c r="J3188" t="s">
        <v>1357</v>
      </c>
      <c r="K3188" t="s">
        <v>1357</v>
      </c>
      <c r="L3188" t="s">
        <v>1357</v>
      </c>
    </row>
    <row r="3189" spans="6:12">
      <c r="H3189" t="s">
        <v>4831</v>
      </c>
      <c r="I3189" t="s">
        <v>1357</v>
      </c>
      <c r="J3189" t="s">
        <v>1357</v>
      </c>
      <c r="K3189" t="s">
        <v>1357</v>
      </c>
      <c r="L3189" t="s">
        <v>1357</v>
      </c>
    </row>
    <row r="3190" spans="6:12">
      <c r="H3190" t="s">
        <v>4832</v>
      </c>
      <c r="I3190" t="s">
        <v>1357</v>
      </c>
      <c r="J3190" t="s">
        <v>1357</v>
      </c>
      <c r="K3190" t="s">
        <v>1357</v>
      </c>
      <c r="L3190" t="s">
        <v>1357</v>
      </c>
    </row>
    <row r="3191" spans="6:12">
      <c r="H3191" t="s">
        <v>4833</v>
      </c>
      <c r="I3191" t="s">
        <v>1357</v>
      </c>
      <c r="J3191" t="s">
        <v>1357</v>
      </c>
      <c r="K3191" t="s">
        <v>1357</v>
      </c>
      <c r="L3191" t="s">
        <v>1357</v>
      </c>
    </row>
    <row r="3192" spans="6:12">
      <c r="H3192" t="s">
        <v>5036</v>
      </c>
      <c r="I3192" t="s">
        <v>1357</v>
      </c>
      <c r="J3192" t="s">
        <v>1357</v>
      </c>
      <c r="K3192" t="s">
        <v>1357</v>
      </c>
      <c r="L3192" t="s">
        <v>1357</v>
      </c>
    </row>
    <row r="3193" spans="6:12">
      <c r="H3193" t="s">
        <v>5037</v>
      </c>
      <c r="I3193" t="s">
        <v>1357</v>
      </c>
      <c r="J3193" t="s">
        <v>1357</v>
      </c>
      <c r="K3193" t="s">
        <v>1357</v>
      </c>
      <c r="L3193" t="s">
        <v>1357</v>
      </c>
    </row>
    <row r="3194" spans="6:12">
      <c r="H3194" t="s">
        <v>5038</v>
      </c>
      <c r="I3194" t="s">
        <v>1357</v>
      </c>
      <c r="J3194" t="s">
        <v>1357</v>
      </c>
      <c r="K3194" t="s">
        <v>1357</v>
      </c>
      <c r="L3194" t="s">
        <v>1357</v>
      </c>
    </row>
    <row r="3195" spans="6:12">
      <c r="H3195" t="s">
        <v>5039</v>
      </c>
      <c r="I3195" t="s">
        <v>1357</v>
      </c>
      <c r="J3195" t="s">
        <v>1357</v>
      </c>
      <c r="K3195" t="s">
        <v>1357</v>
      </c>
      <c r="L3195" t="s">
        <v>1357</v>
      </c>
    </row>
    <row r="3196" spans="6:12">
      <c r="H3196" t="s">
        <v>1659</v>
      </c>
      <c r="I3196" t="s">
        <v>1357</v>
      </c>
      <c r="J3196" t="s">
        <v>1357</v>
      </c>
      <c r="K3196" t="s">
        <v>1357</v>
      </c>
      <c r="L3196" t="s">
        <v>1357</v>
      </c>
    </row>
    <row r="3197" spans="6:12">
      <c r="H3197" t="s">
        <v>4835</v>
      </c>
      <c r="I3197" t="s">
        <v>1357</v>
      </c>
      <c r="J3197" t="s">
        <v>1357</v>
      </c>
      <c r="K3197" t="s">
        <v>1357</v>
      </c>
      <c r="L3197" t="s">
        <v>1357</v>
      </c>
    </row>
    <row r="3198" spans="6:12">
      <c r="H3198" t="s">
        <v>4836</v>
      </c>
      <c r="I3198" t="s">
        <v>1357</v>
      </c>
      <c r="J3198" t="s">
        <v>1357</v>
      </c>
      <c r="K3198" t="s">
        <v>1357</v>
      </c>
      <c r="L3198" t="s">
        <v>1357</v>
      </c>
    </row>
    <row r="3199" spans="6:12">
      <c r="H3199" t="s">
        <v>4837</v>
      </c>
      <c r="I3199" t="s">
        <v>1357</v>
      </c>
      <c r="J3199" t="s">
        <v>1357</v>
      </c>
      <c r="K3199" t="s">
        <v>1357</v>
      </c>
      <c r="L3199" t="s">
        <v>1357</v>
      </c>
    </row>
    <row r="3200" spans="6:12">
      <c r="F3200" t="s">
        <v>2849</v>
      </c>
      <c r="G3200" t="s">
        <v>3220</v>
      </c>
      <c r="H3200" t="s">
        <v>3908</v>
      </c>
      <c r="I3200" t="s">
        <v>1357</v>
      </c>
      <c r="J3200" t="s">
        <v>1357</v>
      </c>
      <c r="K3200" t="s">
        <v>1357</v>
      </c>
      <c r="L3200" t="s">
        <v>1357</v>
      </c>
    </row>
    <row r="3201" spans="8:12">
      <c r="H3201" t="s">
        <v>4816</v>
      </c>
      <c r="I3201" t="s">
        <v>1357</v>
      </c>
      <c r="J3201" t="s">
        <v>1357</v>
      </c>
      <c r="K3201" t="s">
        <v>1357</v>
      </c>
      <c r="L3201" t="s">
        <v>1357</v>
      </c>
    </row>
    <row r="3202" spans="8:12">
      <c r="H3202" t="s">
        <v>4817</v>
      </c>
      <c r="I3202" t="s">
        <v>1357</v>
      </c>
      <c r="J3202" t="s">
        <v>1357</v>
      </c>
      <c r="K3202" t="s">
        <v>1357</v>
      </c>
      <c r="L3202" t="s">
        <v>1357</v>
      </c>
    </row>
    <row r="3203" spans="8:12">
      <c r="H3203" t="s">
        <v>4818</v>
      </c>
      <c r="I3203" t="s">
        <v>1357</v>
      </c>
      <c r="J3203" t="s">
        <v>1357</v>
      </c>
      <c r="K3203" t="s">
        <v>1357</v>
      </c>
      <c r="L3203" t="s">
        <v>1357</v>
      </c>
    </row>
    <row r="3204" spans="8:12">
      <c r="H3204" t="s">
        <v>5034</v>
      </c>
      <c r="I3204" t="s">
        <v>1357</v>
      </c>
      <c r="J3204" t="s">
        <v>1357</v>
      </c>
      <c r="K3204" t="s">
        <v>1357</v>
      </c>
      <c r="L3204" t="s">
        <v>1357</v>
      </c>
    </row>
    <row r="3205" spans="8:12">
      <c r="H3205" t="s">
        <v>4820</v>
      </c>
      <c r="I3205" t="s">
        <v>1357</v>
      </c>
      <c r="J3205" t="s">
        <v>1357</v>
      </c>
      <c r="K3205" t="s">
        <v>1357</v>
      </c>
      <c r="L3205" t="s">
        <v>1357</v>
      </c>
    </row>
    <row r="3206" spans="8:12">
      <c r="H3206" t="s">
        <v>4821</v>
      </c>
      <c r="I3206" t="s">
        <v>1357</v>
      </c>
      <c r="J3206" t="s">
        <v>1357</v>
      </c>
      <c r="K3206" t="s">
        <v>1357</v>
      </c>
      <c r="L3206" t="s">
        <v>1357</v>
      </c>
    </row>
    <row r="3207" spans="8:12">
      <c r="H3207" t="s">
        <v>4822</v>
      </c>
      <c r="I3207" t="s">
        <v>1357</v>
      </c>
      <c r="J3207" t="s">
        <v>1357</v>
      </c>
      <c r="K3207" t="s">
        <v>1357</v>
      </c>
      <c r="L3207" t="s">
        <v>1357</v>
      </c>
    </row>
    <row r="3208" spans="8:12">
      <c r="H3208" t="s">
        <v>4823</v>
      </c>
      <c r="I3208" t="s">
        <v>1357</v>
      </c>
      <c r="J3208" t="s">
        <v>1357</v>
      </c>
      <c r="K3208" t="s">
        <v>1357</v>
      </c>
      <c r="L3208" t="s">
        <v>1357</v>
      </c>
    </row>
    <row r="3209" spans="8:12">
      <c r="H3209" t="s">
        <v>4824</v>
      </c>
      <c r="I3209" t="s">
        <v>1357</v>
      </c>
      <c r="J3209" t="s">
        <v>1357</v>
      </c>
      <c r="K3209" t="s">
        <v>1357</v>
      </c>
      <c r="L3209" t="s">
        <v>1357</v>
      </c>
    </row>
    <row r="3210" spans="8:12">
      <c r="H3210" t="s">
        <v>4825</v>
      </c>
      <c r="I3210" t="s">
        <v>1357</v>
      </c>
      <c r="J3210" t="s">
        <v>1357</v>
      </c>
      <c r="K3210" t="s">
        <v>1357</v>
      </c>
      <c r="L3210" t="s">
        <v>1357</v>
      </c>
    </row>
    <row r="3211" spans="8:12">
      <c r="H3211" t="s">
        <v>4826</v>
      </c>
      <c r="I3211" t="s">
        <v>1357</v>
      </c>
      <c r="J3211" t="s">
        <v>1357</v>
      </c>
      <c r="K3211" t="s">
        <v>1357</v>
      </c>
      <c r="L3211" t="s">
        <v>1357</v>
      </c>
    </row>
    <row r="3212" spans="8:12">
      <c r="H3212" t="s">
        <v>4827</v>
      </c>
      <c r="I3212" t="s">
        <v>1357</v>
      </c>
      <c r="J3212" t="s">
        <v>1357</v>
      </c>
      <c r="K3212" t="s">
        <v>1357</v>
      </c>
      <c r="L3212" t="s">
        <v>1357</v>
      </c>
    </row>
    <row r="3213" spans="8:12">
      <c r="H3213" t="s">
        <v>4828</v>
      </c>
      <c r="I3213" t="s">
        <v>1357</v>
      </c>
      <c r="J3213" t="s">
        <v>1357</v>
      </c>
      <c r="K3213" t="s">
        <v>1357</v>
      </c>
      <c r="L3213" t="s">
        <v>1357</v>
      </c>
    </row>
    <row r="3214" spans="8:12">
      <c r="H3214" t="s">
        <v>5035</v>
      </c>
      <c r="I3214" t="s">
        <v>1357</v>
      </c>
      <c r="J3214" t="s">
        <v>1357</v>
      </c>
      <c r="K3214" t="s">
        <v>1357</v>
      </c>
      <c r="L3214" t="s">
        <v>1357</v>
      </c>
    </row>
    <row r="3215" spans="8:12">
      <c r="H3215" t="s">
        <v>4830</v>
      </c>
      <c r="I3215" t="s">
        <v>1357</v>
      </c>
      <c r="J3215" t="s">
        <v>1357</v>
      </c>
      <c r="K3215" t="s">
        <v>1357</v>
      </c>
      <c r="L3215" t="s">
        <v>1357</v>
      </c>
    </row>
    <row r="3216" spans="8:12">
      <c r="H3216" t="s">
        <v>4831</v>
      </c>
      <c r="I3216" t="s">
        <v>1357</v>
      </c>
      <c r="J3216" t="s">
        <v>1357</v>
      </c>
      <c r="K3216" t="s">
        <v>1357</v>
      </c>
      <c r="L3216" t="s">
        <v>1357</v>
      </c>
    </row>
    <row r="3217" spans="6:12">
      <c r="H3217" t="s">
        <v>4832</v>
      </c>
      <c r="I3217" t="s">
        <v>1357</v>
      </c>
      <c r="J3217" t="s">
        <v>1357</v>
      </c>
      <c r="K3217" t="s">
        <v>1357</v>
      </c>
      <c r="L3217" t="s">
        <v>1357</v>
      </c>
    </row>
    <row r="3218" spans="6:12">
      <c r="H3218" t="s">
        <v>4833</v>
      </c>
      <c r="I3218" t="s">
        <v>1357</v>
      </c>
      <c r="J3218" t="s">
        <v>1357</v>
      </c>
      <c r="K3218" t="s">
        <v>1357</v>
      </c>
      <c r="L3218" t="s">
        <v>1357</v>
      </c>
    </row>
    <row r="3219" spans="6:12">
      <c r="H3219" t="s">
        <v>4834</v>
      </c>
      <c r="I3219" t="s">
        <v>1357</v>
      </c>
      <c r="J3219" t="s">
        <v>1357</v>
      </c>
      <c r="K3219" t="s">
        <v>1357</v>
      </c>
      <c r="L3219" t="s">
        <v>1357</v>
      </c>
    </row>
    <row r="3220" spans="6:12">
      <c r="H3220" t="s">
        <v>5037</v>
      </c>
      <c r="I3220" t="s">
        <v>1357</v>
      </c>
      <c r="J3220" t="s">
        <v>1357</v>
      </c>
      <c r="K3220" t="s">
        <v>1357</v>
      </c>
      <c r="L3220" t="s">
        <v>1357</v>
      </c>
    </row>
    <row r="3221" spans="6:12">
      <c r="H3221" t="s">
        <v>5038</v>
      </c>
      <c r="I3221" t="s">
        <v>1357</v>
      </c>
      <c r="J3221" t="s">
        <v>1357</v>
      </c>
      <c r="K3221" t="s">
        <v>1357</v>
      </c>
      <c r="L3221" t="s">
        <v>1357</v>
      </c>
    </row>
    <row r="3222" spans="6:12">
      <c r="H3222" t="s">
        <v>1659</v>
      </c>
      <c r="I3222" t="s">
        <v>1357</v>
      </c>
      <c r="J3222" t="s">
        <v>1357</v>
      </c>
      <c r="K3222" t="s">
        <v>1357</v>
      </c>
      <c r="L3222" t="s">
        <v>1357</v>
      </c>
    </row>
    <row r="3223" spans="6:12">
      <c r="H3223" t="s">
        <v>4835</v>
      </c>
      <c r="I3223" t="s">
        <v>1357</v>
      </c>
      <c r="J3223" t="s">
        <v>1357</v>
      </c>
      <c r="K3223" t="s">
        <v>1357</v>
      </c>
      <c r="L3223" t="s">
        <v>1357</v>
      </c>
    </row>
    <row r="3224" spans="6:12">
      <c r="H3224" t="s">
        <v>4836</v>
      </c>
      <c r="I3224" t="s">
        <v>1357</v>
      </c>
      <c r="J3224" t="s">
        <v>1357</v>
      </c>
      <c r="K3224" t="s">
        <v>1357</v>
      </c>
      <c r="L3224" t="s">
        <v>1357</v>
      </c>
    </row>
    <row r="3225" spans="6:12">
      <c r="H3225" t="s">
        <v>4837</v>
      </c>
      <c r="I3225" t="s">
        <v>1357</v>
      </c>
      <c r="J3225" t="s">
        <v>1357</v>
      </c>
      <c r="K3225" t="s">
        <v>1357</v>
      </c>
      <c r="L3225" t="s">
        <v>1357</v>
      </c>
    </row>
    <row r="3226" spans="6:12">
      <c r="F3226" t="s">
        <v>2850</v>
      </c>
      <c r="G3226" t="s">
        <v>3221</v>
      </c>
      <c r="H3226" t="s">
        <v>3780</v>
      </c>
      <c r="I3226" t="s">
        <v>1357</v>
      </c>
      <c r="J3226" t="s">
        <v>1357</v>
      </c>
      <c r="K3226" t="s">
        <v>1357</v>
      </c>
      <c r="L3226" t="s">
        <v>1357</v>
      </c>
    </row>
    <row r="3227" spans="6:12">
      <c r="H3227" t="s">
        <v>899</v>
      </c>
      <c r="I3227" t="s">
        <v>1357</v>
      </c>
      <c r="J3227" t="s">
        <v>1357</v>
      </c>
      <c r="K3227" t="s">
        <v>1357</v>
      </c>
      <c r="L3227" t="s">
        <v>1357</v>
      </c>
    </row>
    <row r="3228" spans="6:12">
      <c r="H3228" t="s">
        <v>4710</v>
      </c>
      <c r="I3228" t="s">
        <v>1357</v>
      </c>
      <c r="J3228" t="s">
        <v>1357</v>
      </c>
      <c r="K3228" t="s">
        <v>1357</v>
      </c>
      <c r="L3228" t="s">
        <v>1357</v>
      </c>
    </row>
    <row r="3229" spans="6:12">
      <c r="H3229" t="s">
        <v>4702</v>
      </c>
      <c r="I3229" t="s">
        <v>1357</v>
      </c>
      <c r="J3229" t="s">
        <v>1357</v>
      </c>
      <c r="K3229" t="s">
        <v>1357</v>
      </c>
      <c r="L3229" t="s">
        <v>1357</v>
      </c>
    </row>
    <row r="3230" spans="6:12">
      <c r="H3230" t="s">
        <v>4701</v>
      </c>
      <c r="I3230" t="s">
        <v>1357</v>
      </c>
      <c r="J3230" t="s">
        <v>1357</v>
      </c>
      <c r="K3230" t="s">
        <v>1357</v>
      </c>
      <c r="L3230" t="s">
        <v>1357</v>
      </c>
    </row>
    <row r="3231" spans="6:12">
      <c r="H3231" t="s">
        <v>901</v>
      </c>
      <c r="I3231" t="s">
        <v>1357</v>
      </c>
      <c r="J3231" t="s">
        <v>1357</v>
      </c>
      <c r="K3231" t="s">
        <v>1357</v>
      </c>
      <c r="L3231" t="s">
        <v>1357</v>
      </c>
    </row>
    <row r="3232" spans="6:12">
      <c r="H3232" t="s">
        <v>4516</v>
      </c>
      <c r="I3232" t="s">
        <v>1357</v>
      </c>
      <c r="J3232" t="s">
        <v>1357</v>
      </c>
      <c r="K3232" t="s">
        <v>1357</v>
      </c>
      <c r="L3232" t="s">
        <v>1357</v>
      </c>
    </row>
    <row r="3233" spans="8:12">
      <c r="H3233" t="s">
        <v>4610</v>
      </c>
      <c r="I3233" t="s">
        <v>1357</v>
      </c>
      <c r="J3233" t="s">
        <v>1357</v>
      </c>
      <c r="K3233" t="s">
        <v>1357</v>
      </c>
      <c r="L3233" t="s">
        <v>1357</v>
      </c>
    </row>
    <row r="3234" spans="8:12">
      <c r="H3234" t="s">
        <v>4697</v>
      </c>
      <c r="I3234" t="s">
        <v>1357</v>
      </c>
      <c r="J3234" t="s">
        <v>1357</v>
      </c>
      <c r="K3234" t="s">
        <v>1357</v>
      </c>
      <c r="L3234" t="s">
        <v>1357</v>
      </c>
    </row>
    <row r="3235" spans="8:12">
      <c r="H3235" t="s">
        <v>3394</v>
      </c>
      <c r="I3235" t="s">
        <v>1357</v>
      </c>
      <c r="J3235" t="s">
        <v>1357</v>
      </c>
      <c r="K3235" t="s">
        <v>1357</v>
      </c>
      <c r="L3235" t="s">
        <v>1357</v>
      </c>
    </row>
    <row r="3236" spans="8:12">
      <c r="H3236" t="s">
        <v>4698</v>
      </c>
      <c r="I3236" t="s">
        <v>1357</v>
      </c>
      <c r="J3236" t="s">
        <v>1357</v>
      </c>
      <c r="K3236" t="s">
        <v>1357</v>
      </c>
      <c r="L3236" t="s">
        <v>1357</v>
      </c>
    </row>
    <row r="3237" spans="8:12">
      <c r="H3237" t="s">
        <v>4699</v>
      </c>
      <c r="I3237" t="s">
        <v>1357</v>
      </c>
      <c r="J3237" t="s">
        <v>1357</v>
      </c>
      <c r="K3237" t="s">
        <v>1357</v>
      </c>
      <c r="L3237" t="s">
        <v>1357</v>
      </c>
    </row>
    <row r="3238" spans="8:12">
      <c r="H3238" t="s">
        <v>4703</v>
      </c>
      <c r="I3238" t="s">
        <v>1357</v>
      </c>
      <c r="J3238" t="s">
        <v>1357</v>
      </c>
      <c r="K3238" t="s">
        <v>1357</v>
      </c>
      <c r="L3238" t="s">
        <v>1357</v>
      </c>
    </row>
    <row r="3239" spans="8:12">
      <c r="H3239" t="s">
        <v>4106</v>
      </c>
      <c r="I3239" t="s">
        <v>1357</v>
      </c>
      <c r="J3239" t="s">
        <v>1357</v>
      </c>
      <c r="K3239" t="s">
        <v>1357</v>
      </c>
      <c r="L3239" t="s">
        <v>1357</v>
      </c>
    </row>
    <row r="3240" spans="8:12">
      <c r="H3240" t="s">
        <v>4707</v>
      </c>
      <c r="I3240" t="s">
        <v>1357</v>
      </c>
      <c r="J3240" t="s">
        <v>1357</v>
      </c>
      <c r="K3240" t="s">
        <v>1357</v>
      </c>
      <c r="L3240" t="s">
        <v>1357</v>
      </c>
    </row>
    <row r="3241" spans="8:12">
      <c r="H3241" t="s">
        <v>4705</v>
      </c>
      <c r="I3241" t="s">
        <v>1357</v>
      </c>
      <c r="J3241" t="s">
        <v>1357</v>
      </c>
      <c r="K3241" t="s">
        <v>1357</v>
      </c>
      <c r="L3241" t="s">
        <v>1357</v>
      </c>
    </row>
    <row r="3242" spans="8:12">
      <c r="H3242" t="s">
        <v>3313</v>
      </c>
      <c r="I3242" t="s">
        <v>1357</v>
      </c>
      <c r="J3242" t="s">
        <v>1357</v>
      </c>
      <c r="K3242" t="s">
        <v>1357</v>
      </c>
      <c r="L3242" t="s">
        <v>1357</v>
      </c>
    </row>
    <row r="3243" spans="8:12">
      <c r="H3243" t="s">
        <v>3303</v>
      </c>
      <c r="I3243" t="s">
        <v>1357</v>
      </c>
      <c r="J3243" t="s">
        <v>1357</v>
      </c>
      <c r="K3243" t="s">
        <v>1357</v>
      </c>
      <c r="L3243" t="s">
        <v>1357</v>
      </c>
    </row>
    <row r="3244" spans="8:12">
      <c r="H3244" t="s">
        <v>4611</v>
      </c>
      <c r="I3244" t="s">
        <v>1357</v>
      </c>
      <c r="J3244" t="s">
        <v>1357</v>
      </c>
      <c r="K3244" t="s">
        <v>1357</v>
      </c>
      <c r="L3244" t="s">
        <v>1357</v>
      </c>
    </row>
    <row r="3245" spans="8:12">
      <c r="H3245" t="s">
        <v>4862</v>
      </c>
      <c r="I3245" t="s">
        <v>1357</v>
      </c>
      <c r="J3245" t="s">
        <v>1357</v>
      </c>
      <c r="K3245" t="s">
        <v>1357</v>
      </c>
      <c r="L3245" t="s">
        <v>1357</v>
      </c>
    </row>
    <row r="3246" spans="8:12">
      <c r="H3246" t="s">
        <v>4863</v>
      </c>
      <c r="I3246" t="s">
        <v>1357</v>
      </c>
      <c r="J3246" t="s">
        <v>1357</v>
      </c>
      <c r="K3246" t="s">
        <v>1357</v>
      </c>
      <c r="L3246" t="s">
        <v>1357</v>
      </c>
    </row>
    <row r="3247" spans="8:12">
      <c r="H3247" t="s">
        <v>4864</v>
      </c>
      <c r="I3247" t="s">
        <v>1357</v>
      </c>
      <c r="J3247" t="s">
        <v>1357</v>
      </c>
      <c r="K3247" t="s">
        <v>1357</v>
      </c>
      <c r="L3247" t="s">
        <v>1357</v>
      </c>
    </row>
    <row r="3248" spans="8:12">
      <c r="H3248" t="s">
        <v>4865</v>
      </c>
      <c r="I3248" t="s">
        <v>1357</v>
      </c>
      <c r="J3248" t="s">
        <v>1357</v>
      </c>
      <c r="K3248" t="s">
        <v>1357</v>
      </c>
      <c r="L3248" t="s">
        <v>1357</v>
      </c>
    </row>
    <row r="3249" spans="1:12">
      <c r="H3249" t="s">
        <v>4523</v>
      </c>
      <c r="I3249" t="s">
        <v>1357</v>
      </c>
      <c r="J3249" t="s">
        <v>1357</v>
      </c>
      <c r="K3249" t="s">
        <v>1357</v>
      </c>
      <c r="L3249" t="s">
        <v>1357</v>
      </c>
    </row>
    <row r="3250" spans="1:12">
      <c r="H3250" t="s">
        <v>3311</v>
      </c>
      <c r="I3250" t="s">
        <v>1357</v>
      </c>
      <c r="J3250" t="s">
        <v>1357</v>
      </c>
      <c r="K3250" t="s">
        <v>1357</v>
      </c>
      <c r="L3250" t="s">
        <v>1357</v>
      </c>
    </row>
    <row r="3251" spans="1:12">
      <c r="H3251" t="s">
        <v>4866</v>
      </c>
      <c r="I3251" t="s">
        <v>1357</v>
      </c>
      <c r="J3251" t="s">
        <v>1357</v>
      </c>
      <c r="K3251" t="s">
        <v>1357</v>
      </c>
      <c r="L3251" t="s">
        <v>1357</v>
      </c>
    </row>
    <row r="3252" spans="1:12">
      <c r="H3252" t="s">
        <v>4867</v>
      </c>
      <c r="I3252" t="s">
        <v>1357</v>
      </c>
      <c r="J3252" t="s">
        <v>1357</v>
      </c>
      <c r="K3252" t="s">
        <v>1357</v>
      </c>
      <c r="L3252" t="s">
        <v>1357</v>
      </c>
    </row>
    <row r="3253" spans="1:12">
      <c r="H3253" t="s">
        <v>4868</v>
      </c>
      <c r="I3253" t="s">
        <v>1357</v>
      </c>
      <c r="J3253" t="s">
        <v>1357</v>
      </c>
      <c r="K3253" t="s">
        <v>1357</v>
      </c>
      <c r="L3253" t="s">
        <v>1357</v>
      </c>
    </row>
    <row r="3254" spans="1:12">
      <c r="H3254" t="s">
        <v>4709</v>
      </c>
      <c r="I3254" t="s">
        <v>1357</v>
      </c>
      <c r="J3254" t="s">
        <v>1357</v>
      </c>
      <c r="K3254" t="s">
        <v>1357</v>
      </c>
      <c r="L3254" t="s">
        <v>1357</v>
      </c>
    </row>
    <row r="3255" spans="1:12">
      <c r="H3255" t="s">
        <v>4869</v>
      </c>
      <c r="I3255" t="s">
        <v>1357</v>
      </c>
      <c r="J3255" t="s">
        <v>1357</v>
      </c>
      <c r="K3255" t="s">
        <v>1357</v>
      </c>
      <c r="L3255" t="s">
        <v>1357</v>
      </c>
    </row>
    <row r="3256" spans="1:12">
      <c r="H3256" t="s">
        <v>4870</v>
      </c>
      <c r="I3256" t="s">
        <v>1357</v>
      </c>
      <c r="J3256" t="s">
        <v>1357</v>
      </c>
      <c r="K3256" t="s">
        <v>1357</v>
      </c>
      <c r="L3256" t="s">
        <v>1357</v>
      </c>
    </row>
    <row r="3257" spans="1:12">
      <c r="F3257" t="s">
        <v>2851</v>
      </c>
      <c r="G3257" t="s">
        <v>3222</v>
      </c>
      <c r="H3257" t="s">
        <v>898</v>
      </c>
      <c r="I3257" t="s">
        <v>1357</v>
      </c>
      <c r="J3257" t="s">
        <v>1357</v>
      </c>
      <c r="K3257" t="s">
        <v>1357</v>
      </c>
      <c r="L3257" t="s">
        <v>1357</v>
      </c>
    </row>
    <row r="3258" spans="1:12">
      <c r="A3258" t="s">
        <v>2107</v>
      </c>
      <c r="B3258">
        <f>HYPERLINK("https://github.com/apache/commons-math/commit/5e59617d85a2fb8eaab0bd84711b3e48b698abe6", "5e59617d85a2fb8eaab0bd84711b3e48b698abe6")</f>
        <v>0</v>
      </c>
      <c r="C3258">
        <f>HYPERLINK("https://github.com/apache/commons-math/commit/9fca795acfb74a5954229743780a71a7c0b16c76", "9fca795acfb74a5954229743780a71a7c0b16c76")</f>
        <v>0</v>
      </c>
      <c r="D3258" t="s">
        <v>2163</v>
      </c>
      <c r="E3258" t="s">
        <v>2391</v>
      </c>
      <c r="F3258" t="s">
        <v>2852</v>
      </c>
      <c r="G3258" t="s">
        <v>3223</v>
      </c>
      <c r="H3258" t="s">
        <v>5040</v>
      </c>
      <c r="I3258" t="s">
        <v>1357</v>
      </c>
      <c r="J3258" t="s">
        <v>1357</v>
      </c>
      <c r="K3258" t="s">
        <v>1357</v>
      </c>
      <c r="L3258" t="s">
        <v>1357</v>
      </c>
    </row>
    <row r="3259" spans="1:12">
      <c r="H3259" t="s">
        <v>5041</v>
      </c>
      <c r="I3259" t="s">
        <v>1357</v>
      </c>
      <c r="J3259" t="s">
        <v>1357</v>
      </c>
      <c r="K3259" t="s">
        <v>1357</v>
      </c>
      <c r="L3259" t="s">
        <v>1357</v>
      </c>
    </row>
    <row r="3260" spans="1:12">
      <c r="A3260" t="s">
        <v>2108</v>
      </c>
      <c r="B3260">
        <f>HYPERLINK("https://github.com/apache/commons-math/commit/7f383414c2fff5caba046f4a4c5d9ff7e674b22f", "7f383414c2fff5caba046f4a4c5d9ff7e674b22f")</f>
        <v>0</v>
      </c>
      <c r="C3260">
        <f>HYPERLINK("https://github.com/apache/commons-math/commit/d2067374626de14b2af2cb89a627835775df865f", "d2067374626de14b2af2cb89a627835775df865f")</f>
        <v>0</v>
      </c>
      <c r="D3260" t="s">
        <v>2163</v>
      </c>
      <c r="E3260" t="s">
        <v>2392</v>
      </c>
      <c r="F3260" t="s">
        <v>2853</v>
      </c>
      <c r="G3260" t="s">
        <v>3224</v>
      </c>
      <c r="H3260" t="s">
        <v>5042</v>
      </c>
      <c r="I3260" t="s">
        <v>1357</v>
      </c>
      <c r="J3260" t="s">
        <v>1357</v>
      </c>
      <c r="K3260" t="s">
        <v>1357</v>
      </c>
      <c r="L3260" t="s">
        <v>1357</v>
      </c>
    </row>
    <row r="3261" spans="1:12">
      <c r="A3261" t="s">
        <v>2109</v>
      </c>
      <c r="B3261">
        <f>HYPERLINK("https://github.com/apache/commons-math/commit/35d56cc547b95e3d2c1a8850e0e8cefb35ffa093", "35d56cc547b95e3d2c1a8850e0e8cefb35ffa093")</f>
        <v>0</v>
      </c>
      <c r="C3261">
        <f>HYPERLINK("https://github.com/apache/commons-math/commit/ad5f0dac37c3b5f7604d18747f0af434b83d7632", "ad5f0dac37c3b5f7604d18747f0af434b83d7632")</f>
        <v>0</v>
      </c>
      <c r="D3261" t="s">
        <v>2163</v>
      </c>
      <c r="E3261" t="s">
        <v>2393</v>
      </c>
      <c r="F3261" t="s">
        <v>2854</v>
      </c>
      <c r="G3261" t="s">
        <v>2939</v>
      </c>
      <c r="H3261" t="s">
        <v>4710</v>
      </c>
      <c r="I3261" t="s">
        <v>1357</v>
      </c>
      <c r="J3261" t="s">
        <v>1357</v>
      </c>
      <c r="K3261" t="s">
        <v>1357</v>
      </c>
      <c r="L3261" t="s">
        <v>1357</v>
      </c>
    </row>
    <row r="3262" spans="1:12">
      <c r="H3262" t="s">
        <v>5043</v>
      </c>
      <c r="I3262" t="s">
        <v>1357</v>
      </c>
      <c r="J3262" t="s">
        <v>1357</v>
      </c>
      <c r="K3262" t="s">
        <v>1357</v>
      </c>
      <c r="L3262" t="s">
        <v>1357</v>
      </c>
    </row>
    <row r="3263" spans="1:12">
      <c r="H3263" t="s">
        <v>5044</v>
      </c>
      <c r="I3263" t="s">
        <v>1357</v>
      </c>
      <c r="J3263" t="s">
        <v>1357</v>
      </c>
      <c r="K3263" t="s">
        <v>1357</v>
      </c>
      <c r="L3263" t="s">
        <v>1357</v>
      </c>
    </row>
    <row r="3264" spans="1:12">
      <c r="A3264" t="s">
        <v>2110</v>
      </c>
      <c r="B3264">
        <f>HYPERLINK("https://github.com/apache/commons-math/commit/8157678473cddeb3fee465136d3b66414293259b", "8157678473cddeb3fee465136d3b66414293259b")</f>
        <v>0</v>
      </c>
      <c r="C3264">
        <f>HYPERLINK("https://github.com/apache/commons-math/commit/35d56cc547b95e3d2c1a8850e0e8cefb35ffa093", "35d56cc547b95e3d2c1a8850e0e8cefb35ffa093")</f>
        <v>0</v>
      </c>
      <c r="D3264" t="s">
        <v>2163</v>
      </c>
      <c r="E3264" t="s">
        <v>2394</v>
      </c>
      <c r="F3264" t="s">
        <v>2854</v>
      </c>
      <c r="G3264" t="s">
        <v>2939</v>
      </c>
      <c r="H3264" t="s">
        <v>5045</v>
      </c>
      <c r="I3264" t="s">
        <v>1357</v>
      </c>
      <c r="J3264" t="s">
        <v>1357</v>
      </c>
      <c r="K3264" t="s">
        <v>1357</v>
      </c>
      <c r="L3264" t="s">
        <v>1357</v>
      </c>
    </row>
    <row r="3265" spans="1:12">
      <c r="H3265" t="s">
        <v>5046</v>
      </c>
      <c r="I3265" t="s">
        <v>1357</v>
      </c>
      <c r="J3265" t="s">
        <v>1357</v>
      </c>
      <c r="K3265" t="s">
        <v>1357</v>
      </c>
      <c r="L3265" t="s">
        <v>1357</v>
      </c>
    </row>
    <row r="3266" spans="1:12">
      <c r="H3266" t="s">
        <v>5047</v>
      </c>
      <c r="I3266" t="s">
        <v>1357</v>
      </c>
      <c r="J3266" t="s">
        <v>1357</v>
      </c>
      <c r="K3266" t="s">
        <v>1357</v>
      </c>
      <c r="L3266" t="s">
        <v>1357</v>
      </c>
    </row>
    <row r="3267" spans="1:12">
      <c r="H3267" t="s">
        <v>5048</v>
      </c>
      <c r="I3267" t="s">
        <v>1357</v>
      </c>
      <c r="J3267" t="s">
        <v>1357</v>
      </c>
      <c r="K3267" t="s">
        <v>1357</v>
      </c>
      <c r="L3267" t="s">
        <v>1357</v>
      </c>
    </row>
    <row r="3268" spans="1:12">
      <c r="H3268" t="s">
        <v>3500</v>
      </c>
      <c r="I3268" t="s">
        <v>1357</v>
      </c>
      <c r="J3268" t="s">
        <v>1357</v>
      </c>
      <c r="K3268" t="s">
        <v>1357</v>
      </c>
      <c r="L3268" t="s">
        <v>1357</v>
      </c>
    </row>
    <row r="3269" spans="1:12">
      <c r="H3269" t="s">
        <v>3502</v>
      </c>
      <c r="I3269" t="s">
        <v>1357</v>
      </c>
      <c r="J3269" t="s">
        <v>1357</v>
      </c>
      <c r="K3269" t="s">
        <v>1357</v>
      </c>
      <c r="L3269" t="s">
        <v>1357</v>
      </c>
    </row>
    <row r="3270" spans="1:12">
      <c r="H3270" t="s">
        <v>3503</v>
      </c>
      <c r="I3270" t="s">
        <v>1357</v>
      </c>
      <c r="J3270" t="s">
        <v>1357</v>
      </c>
      <c r="K3270" t="s">
        <v>1357</v>
      </c>
      <c r="L3270" t="s">
        <v>1357</v>
      </c>
    </row>
    <row r="3271" spans="1:12">
      <c r="H3271" t="s">
        <v>3501</v>
      </c>
      <c r="I3271" t="s">
        <v>1357</v>
      </c>
      <c r="J3271" t="s">
        <v>1357</v>
      </c>
      <c r="K3271" t="s">
        <v>1357</v>
      </c>
      <c r="L3271" t="s">
        <v>1357</v>
      </c>
    </row>
    <row r="3272" spans="1:12">
      <c r="H3272" t="s">
        <v>5049</v>
      </c>
      <c r="I3272" t="s">
        <v>1357</v>
      </c>
      <c r="J3272" t="s">
        <v>1357</v>
      </c>
      <c r="K3272" t="s">
        <v>1357</v>
      </c>
      <c r="L3272" t="s">
        <v>1357</v>
      </c>
    </row>
    <row r="3273" spans="1:12">
      <c r="H3273" t="s">
        <v>5050</v>
      </c>
      <c r="I3273" t="s">
        <v>1357</v>
      </c>
      <c r="J3273" t="s">
        <v>1357</v>
      </c>
      <c r="K3273" t="s">
        <v>1357</v>
      </c>
      <c r="L3273" t="s">
        <v>1357</v>
      </c>
    </row>
    <row r="3274" spans="1:12">
      <c r="A3274" t="s">
        <v>2111</v>
      </c>
      <c r="B3274">
        <f>HYPERLINK("https://github.com/apache/commons-math/commit/eedd0b853b93ea47b44b6b81d48f68904351f2ae", "eedd0b853b93ea47b44b6b81d48f68904351f2ae")</f>
        <v>0</v>
      </c>
      <c r="C3274">
        <f>HYPERLINK("https://github.com/apache/commons-math/commit/f885cb029fefade800970be1c64f75e6de716b81", "f885cb029fefade800970be1c64f75e6de716b81")</f>
        <v>0</v>
      </c>
      <c r="D3274" t="s">
        <v>2163</v>
      </c>
      <c r="E3274" t="s">
        <v>2395</v>
      </c>
      <c r="F3274" t="s">
        <v>2854</v>
      </c>
      <c r="G3274" t="s">
        <v>2939</v>
      </c>
      <c r="H3274" t="s">
        <v>856</v>
      </c>
      <c r="I3274" t="s">
        <v>1357</v>
      </c>
      <c r="J3274" t="s">
        <v>1357</v>
      </c>
      <c r="K3274" t="s">
        <v>1357</v>
      </c>
      <c r="L3274" t="s">
        <v>1357</v>
      </c>
    </row>
    <row r="3275" spans="1:12">
      <c r="A3275" t="s">
        <v>2112</v>
      </c>
      <c r="B3275">
        <f>HYPERLINK("https://github.com/apache/commons-math/commit/23c029484fab88efe274fe409234e572741a876f", "23c029484fab88efe274fe409234e572741a876f")</f>
        <v>0</v>
      </c>
      <c r="C3275">
        <f>HYPERLINK("https://github.com/apache/commons-math/commit/a4c8c52bd2d2ccdc65160cfa943efdf6f7736a19", "a4c8c52bd2d2ccdc65160cfa943efdf6f7736a19")</f>
        <v>0</v>
      </c>
      <c r="D3275" t="s">
        <v>2163</v>
      </c>
      <c r="E3275" t="s">
        <v>2396</v>
      </c>
      <c r="F3275" t="s">
        <v>2854</v>
      </c>
      <c r="G3275" t="s">
        <v>2939</v>
      </c>
      <c r="H3275" t="s">
        <v>5051</v>
      </c>
      <c r="I3275" t="s">
        <v>1357</v>
      </c>
      <c r="J3275" t="s">
        <v>1357</v>
      </c>
      <c r="K3275" t="s">
        <v>1357</v>
      </c>
      <c r="L3275" t="s">
        <v>1357</v>
      </c>
    </row>
    <row r="3276" spans="1:12">
      <c r="H3276" t="s">
        <v>5052</v>
      </c>
      <c r="I3276" t="s">
        <v>1357</v>
      </c>
      <c r="J3276" t="s">
        <v>1357</v>
      </c>
      <c r="K3276" t="s">
        <v>1357</v>
      </c>
      <c r="L3276" t="s">
        <v>1357</v>
      </c>
    </row>
    <row r="3277" spans="1:12">
      <c r="H3277" t="s">
        <v>5053</v>
      </c>
      <c r="I3277" t="s">
        <v>1357</v>
      </c>
      <c r="J3277" t="s">
        <v>1357</v>
      </c>
      <c r="K3277" t="s">
        <v>1357</v>
      </c>
      <c r="L3277" t="s">
        <v>1357</v>
      </c>
    </row>
    <row r="3278" spans="1:12">
      <c r="A3278" t="s">
        <v>2113</v>
      </c>
      <c r="B3278">
        <f>HYPERLINK("https://github.com/apache/commons-math/commit/0e81847e45d91cde337e22b8c4a5e223659eb90c", "0e81847e45d91cde337e22b8c4a5e223659eb90c")</f>
        <v>0</v>
      </c>
      <c r="C3278">
        <f>HYPERLINK("https://github.com/apache/commons-math/commit/2650a4786cb13955c174ac6a7503171918b72a2f", "2650a4786cb13955c174ac6a7503171918b72a2f")</f>
        <v>0</v>
      </c>
      <c r="D3278" t="s">
        <v>2163</v>
      </c>
      <c r="E3278" t="s">
        <v>2397</v>
      </c>
      <c r="F3278" t="s">
        <v>2854</v>
      </c>
      <c r="G3278" t="s">
        <v>2939</v>
      </c>
      <c r="H3278" t="s">
        <v>5054</v>
      </c>
      <c r="I3278" t="s">
        <v>1357</v>
      </c>
      <c r="J3278" t="s">
        <v>1357</v>
      </c>
      <c r="K3278" t="s">
        <v>1357</v>
      </c>
      <c r="L3278" t="s">
        <v>1357</v>
      </c>
    </row>
    <row r="3279" spans="1:12">
      <c r="H3279" t="s">
        <v>5055</v>
      </c>
      <c r="I3279" t="s">
        <v>1357</v>
      </c>
      <c r="J3279" t="s">
        <v>1357</v>
      </c>
      <c r="K3279" t="s">
        <v>1357</v>
      </c>
      <c r="L3279" t="s">
        <v>1357</v>
      </c>
    </row>
    <row r="3280" spans="1:12">
      <c r="A3280" t="s">
        <v>2114</v>
      </c>
      <c r="B3280">
        <f>HYPERLINK("https://github.com/apache/commons-math/commit/c93520a02ff74328871c22b287892dcdc3c08d21", "c93520a02ff74328871c22b287892dcdc3c08d21")</f>
        <v>0</v>
      </c>
      <c r="C3280">
        <f>HYPERLINK("https://github.com/apache/commons-math/commit/8a756d763d9e2788f2818ff41084ffce091b7850", "8a756d763d9e2788f2818ff41084ffce091b7850")</f>
        <v>0</v>
      </c>
      <c r="D3280" t="s">
        <v>2163</v>
      </c>
      <c r="E3280" t="s">
        <v>2398</v>
      </c>
      <c r="F3280" t="s">
        <v>2855</v>
      </c>
      <c r="G3280" t="s">
        <v>3225</v>
      </c>
      <c r="H3280" t="s">
        <v>5056</v>
      </c>
      <c r="I3280" t="s">
        <v>1357</v>
      </c>
      <c r="J3280" t="s">
        <v>1357</v>
      </c>
      <c r="K3280" t="s">
        <v>1357</v>
      </c>
      <c r="L3280" t="s">
        <v>1357</v>
      </c>
    </row>
    <row r="3281" spans="1:12">
      <c r="F3281" t="s">
        <v>2856</v>
      </c>
      <c r="G3281" t="s">
        <v>3226</v>
      </c>
      <c r="H3281" t="s">
        <v>5057</v>
      </c>
      <c r="I3281" t="s">
        <v>1357</v>
      </c>
      <c r="J3281" t="s">
        <v>1357</v>
      </c>
      <c r="K3281" t="s">
        <v>1357</v>
      </c>
      <c r="L3281" t="s">
        <v>1357</v>
      </c>
    </row>
    <row r="3282" spans="1:12">
      <c r="A3282" t="s">
        <v>2115</v>
      </c>
      <c r="B3282">
        <f>HYPERLINK("https://github.com/apache/commons-math/commit/9cfd17601bcb30ea734b8261d2a3fa4dc5ed5d9e", "9cfd17601bcb30ea734b8261d2a3fa4dc5ed5d9e")</f>
        <v>0</v>
      </c>
      <c r="C3282">
        <f>HYPERLINK("https://github.com/apache/commons-math/commit/bcdc7fbba7dea86e5603a3d7fd958fca3b473f01", "bcdc7fbba7dea86e5603a3d7fd958fca3b473f01")</f>
        <v>0</v>
      </c>
      <c r="D3282" t="s">
        <v>2163</v>
      </c>
      <c r="E3282" t="s">
        <v>2399</v>
      </c>
      <c r="F3282" t="s">
        <v>2857</v>
      </c>
      <c r="G3282" t="s">
        <v>2937</v>
      </c>
      <c r="H3282" t="s">
        <v>3477</v>
      </c>
      <c r="I3282" t="s">
        <v>1357</v>
      </c>
      <c r="J3282" t="s">
        <v>1357</v>
      </c>
      <c r="K3282" t="s">
        <v>1357</v>
      </c>
      <c r="L3282" t="s">
        <v>1357</v>
      </c>
    </row>
    <row r="3283" spans="1:12">
      <c r="H3283" t="s">
        <v>3478</v>
      </c>
      <c r="I3283" t="s">
        <v>1357</v>
      </c>
      <c r="J3283" t="s">
        <v>1357</v>
      </c>
      <c r="K3283" t="s">
        <v>1357</v>
      </c>
      <c r="L3283" t="s">
        <v>1357</v>
      </c>
    </row>
    <row r="3284" spans="1:12">
      <c r="H3284" t="s">
        <v>3479</v>
      </c>
      <c r="I3284" t="s">
        <v>1357</v>
      </c>
      <c r="J3284" t="s">
        <v>1357</v>
      </c>
      <c r="K3284" t="s">
        <v>1357</v>
      </c>
      <c r="L3284" t="s">
        <v>1357</v>
      </c>
    </row>
    <row r="3285" spans="1:12">
      <c r="H3285" t="s">
        <v>3480</v>
      </c>
      <c r="I3285" t="s">
        <v>1357</v>
      </c>
      <c r="J3285" t="s">
        <v>1357</v>
      </c>
      <c r="K3285" t="s">
        <v>1357</v>
      </c>
      <c r="L3285" t="s">
        <v>1357</v>
      </c>
    </row>
    <row r="3286" spans="1:12">
      <c r="H3286" t="s">
        <v>3481</v>
      </c>
      <c r="I3286" t="s">
        <v>1357</v>
      </c>
      <c r="J3286" t="s">
        <v>1357</v>
      </c>
      <c r="K3286" t="s">
        <v>1357</v>
      </c>
      <c r="L3286" t="s">
        <v>1357</v>
      </c>
    </row>
    <row r="3287" spans="1:12">
      <c r="H3287" t="s">
        <v>3482</v>
      </c>
      <c r="I3287" t="s">
        <v>1357</v>
      </c>
      <c r="J3287" t="s">
        <v>1357</v>
      </c>
      <c r="K3287" t="s">
        <v>1357</v>
      </c>
      <c r="L3287" t="s">
        <v>1357</v>
      </c>
    </row>
    <row r="3288" spans="1:12">
      <c r="H3288" t="s">
        <v>3853</v>
      </c>
      <c r="I3288" t="s">
        <v>1357</v>
      </c>
      <c r="J3288" t="s">
        <v>1357</v>
      </c>
      <c r="K3288" t="s">
        <v>1357</v>
      </c>
      <c r="L3288" t="s">
        <v>1357</v>
      </c>
    </row>
    <row r="3289" spans="1:12">
      <c r="F3289" t="s">
        <v>2858</v>
      </c>
      <c r="G3289" t="s">
        <v>2940</v>
      </c>
      <c r="H3289" t="s">
        <v>3504</v>
      </c>
      <c r="I3289" t="s">
        <v>1357</v>
      </c>
      <c r="J3289" t="s">
        <v>1357</v>
      </c>
      <c r="K3289" t="s">
        <v>1357</v>
      </c>
      <c r="L3289" t="s">
        <v>1357</v>
      </c>
    </row>
    <row r="3290" spans="1:12">
      <c r="H3290" t="s">
        <v>3505</v>
      </c>
      <c r="I3290" t="s">
        <v>1357</v>
      </c>
      <c r="J3290" t="s">
        <v>1357</v>
      </c>
      <c r="K3290" t="s">
        <v>1357</v>
      </c>
      <c r="L3290" t="s">
        <v>1357</v>
      </c>
    </row>
    <row r="3291" spans="1:12">
      <c r="H3291" t="s">
        <v>3506</v>
      </c>
      <c r="I3291" t="s">
        <v>1357</v>
      </c>
      <c r="J3291" t="s">
        <v>1357</v>
      </c>
      <c r="K3291" t="s">
        <v>1357</v>
      </c>
      <c r="L3291" t="s">
        <v>1357</v>
      </c>
    </row>
    <row r="3292" spans="1:12">
      <c r="H3292" t="s">
        <v>3507</v>
      </c>
      <c r="I3292" t="s">
        <v>1357</v>
      </c>
      <c r="J3292" t="s">
        <v>1357</v>
      </c>
      <c r="K3292" t="s">
        <v>1357</v>
      </c>
      <c r="L3292" t="s">
        <v>1357</v>
      </c>
    </row>
    <row r="3293" spans="1:12">
      <c r="H3293" t="s">
        <v>1077</v>
      </c>
      <c r="I3293" t="s">
        <v>1357</v>
      </c>
      <c r="J3293" t="s">
        <v>1357</v>
      </c>
      <c r="K3293" t="s">
        <v>1357</v>
      </c>
      <c r="L3293" t="s">
        <v>1357</v>
      </c>
    </row>
    <row r="3294" spans="1:12">
      <c r="H3294" t="s">
        <v>3508</v>
      </c>
      <c r="I3294" t="s">
        <v>1357</v>
      </c>
      <c r="J3294" t="s">
        <v>1357</v>
      </c>
      <c r="K3294" t="s">
        <v>1357</v>
      </c>
      <c r="L3294" t="s">
        <v>1357</v>
      </c>
    </row>
    <row r="3295" spans="1:12">
      <c r="H3295" t="s">
        <v>3509</v>
      </c>
      <c r="I3295" t="s">
        <v>1357</v>
      </c>
      <c r="J3295" t="s">
        <v>1357</v>
      </c>
      <c r="K3295" t="s">
        <v>1357</v>
      </c>
      <c r="L3295" t="s">
        <v>1357</v>
      </c>
    </row>
    <row r="3296" spans="1:12">
      <c r="H3296" t="s">
        <v>3853</v>
      </c>
      <c r="I3296" t="s">
        <v>1357</v>
      </c>
      <c r="J3296" t="s">
        <v>1357</v>
      </c>
      <c r="K3296" t="s">
        <v>1357</v>
      </c>
      <c r="L3296" t="s">
        <v>1357</v>
      </c>
    </row>
    <row r="3297" spans="1:12">
      <c r="A3297" t="s">
        <v>2116</v>
      </c>
      <c r="B3297">
        <f>HYPERLINK("https://github.com/apache/commons-math/commit/53cb2cce5f7bbcc2301ee131b26abf9354fd6302", "53cb2cce5f7bbcc2301ee131b26abf9354fd6302")</f>
        <v>0</v>
      </c>
      <c r="C3297">
        <f>HYPERLINK("https://github.com/apache/commons-math/commit/9cfd17601bcb30ea734b8261d2a3fa4dc5ed5d9e", "9cfd17601bcb30ea734b8261d2a3fa4dc5ed5d9e")</f>
        <v>0</v>
      </c>
      <c r="D3297" t="s">
        <v>2163</v>
      </c>
      <c r="E3297" t="s">
        <v>2400</v>
      </c>
      <c r="F3297" t="s">
        <v>2859</v>
      </c>
      <c r="G3297" t="s">
        <v>2900</v>
      </c>
      <c r="H3297" t="s">
        <v>3253</v>
      </c>
      <c r="I3297" t="s">
        <v>1357</v>
      </c>
      <c r="J3297" t="s">
        <v>1357</v>
      </c>
      <c r="K3297" t="s">
        <v>1357</v>
      </c>
      <c r="L3297" t="s">
        <v>1357</v>
      </c>
    </row>
    <row r="3298" spans="1:12">
      <c r="H3298" t="s">
        <v>3258</v>
      </c>
      <c r="I3298" t="s">
        <v>1357</v>
      </c>
      <c r="J3298" t="s">
        <v>1357</v>
      </c>
      <c r="K3298" t="s">
        <v>1357</v>
      </c>
      <c r="L3298" t="s">
        <v>1357</v>
      </c>
    </row>
    <row r="3299" spans="1:12">
      <c r="H3299" t="s">
        <v>3259</v>
      </c>
      <c r="I3299" t="s">
        <v>1357</v>
      </c>
      <c r="J3299" t="s">
        <v>1357</v>
      </c>
      <c r="K3299" t="s">
        <v>1357</v>
      </c>
      <c r="L3299" t="s">
        <v>1357</v>
      </c>
    </row>
    <row r="3300" spans="1:12">
      <c r="H3300" t="s">
        <v>3260</v>
      </c>
      <c r="I3300" t="s">
        <v>1357</v>
      </c>
      <c r="J3300" t="s">
        <v>1357</v>
      </c>
      <c r="K3300" t="s">
        <v>1357</v>
      </c>
      <c r="L3300" t="s">
        <v>1357</v>
      </c>
    </row>
    <row r="3301" spans="1:12">
      <c r="H3301" t="s">
        <v>906</v>
      </c>
      <c r="I3301" t="s">
        <v>1357</v>
      </c>
      <c r="J3301" t="s">
        <v>1357</v>
      </c>
      <c r="K3301" t="s">
        <v>1357</v>
      </c>
      <c r="L3301" t="s">
        <v>1357</v>
      </c>
    </row>
    <row r="3302" spans="1:12">
      <c r="F3302" t="s">
        <v>2860</v>
      </c>
      <c r="G3302" t="s">
        <v>2929</v>
      </c>
      <c r="H3302" t="s">
        <v>3253</v>
      </c>
      <c r="I3302" t="s">
        <v>1357</v>
      </c>
      <c r="J3302" t="s">
        <v>1357</v>
      </c>
      <c r="K3302" t="s">
        <v>1357</v>
      </c>
      <c r="L3302" t="s">
        <v>1357</v>
      </c>
    </row>
    <row r="3303" spans="1:12">
      <c r="H3303" t="s">
        <v>3258</v>
      </c>
      <c r="I3303" t="s">
        <v>1357</v>
      </c>
      <c r="J3303" t="s">
        <v>1357</v>
      </c>
      <c r="K3303" t="s">
        <v>1357</v>
      </c>
      <c r="L3303" t="s">
        <v>1357</v>
      </c>
    </row>
    <row r="3304" spans="1:12">
      <c r="H3304" t="s">
        <v>3259</v>
      </c>
      <c r="I3304" t="s">
        <v>1357</v>
      </c>
      <c r="J3304" t="s">
        <v>1357</v>
      </c>
      <c r="K3304" t="s">
        <v>1357</v>
      </c>
      <c r="L3304" t="s">
        <v>1357</v>
      </c>
    </row>
    <row r="3305" spans="1:12">
      <c r="H3305" t="s">
        <v>3260</v>
      </c>
      <c r="I3305" t="s">
        <v>1357</v>
      </c>
      <c r="J3305" t="s">
        <v>1357</v>
      </c>
      <c r="K3305" t="s">
        <v>1357</v>
      </c>
      <c r="L3305" t="s">
        <v>1357</v>
      </c>
    </row>
    <row r="3306" spans="1:12">
      <c r="A3306" t="s">
        <v>2117</v>
      </c>
      <c r="B3306">
        <f>HYPERLINK("https://github.com/apache/commons-math/commit/536ee3f6450db46f6aaf603d4e6392e0ff92d074", "536ee3f6450db46f6aaf603d4e6392e0ff92d074")</f>
        <v>0</v>
      </c>
      <c r="C3306">
        <f>HYPERLINK("https://github.com/apache/commons-math/commit/456de1bf98e87d18588fe76b623b5ed1bd4d715b", "456de1bf98e87d18588fe76b623b5ed1bd4d715b")</f>
        <v>0</v>
      </c>
      <c r="D3306" t="s">
        <v>2163</v>
      </c>
      <c r="E3306" t="s">
        <v>2401</v>
      </c>
      <c r="F3306" t="s">
        <v>2861</v>
      </c>
      <c r="G3306" t="s">
        <v>3227</v>
      </c>
      <c r="H3306" t="s">
        <v>5056</v>
      </c>
      <c r="I3306" t="s">
        <v>1357</v>
      </c>
      <c r="J3306" t="s">
        <v>1357</v>
      </c>
      <c r="K3306" t="s">
        <v>1357</v>
      </c>
      <c r="L3306" t="s">
        <v>1357</v>
      </c>
    </row>
    <row r="3307" spans="1:12">
      <c r="A3307" t="s">
        <v>2118</v>
      </c>
      <c r="B3307">
        <f>HYPERLINK("https://github.com/apache/commons-math/commit/8f39a414c112fe1ca59b1aa8b4b45485b04d74b8", "8f39a414c112fe1ca59b1aa8b4b45485b04d74b8")</f>
        <v>0</v>
      </c>
      <c r="C3307">
        <f>HYPERLINK("https://github.com/apache/commons-math/commit/076fe24409fb17c9b9eb640dc25ac5d007459162", "076fe24409fb17c9b9eb640dc25ac5d007459162")</f>
        <v>0</v>
      </c>
      <c r="D3307" t="s">
        <v>2163</v>
      </c>
      <c r="E3307" t="s">
        <v>2402</v>
      </c>
      <c r="F3307" t="s">
        <v>2862</v>
      </c>
      <c r="G3307" t="s">
        <v>3228</v>
      </c>
      <c r="H3307" t="s">
        <v>5058</v>
      </c>
      <c r="I3307" t="s">
        <v>1357</v>
      </c>
      <c r="J3307" t="s">
        <v>1357</v>
      </c>
      <c r="K3307" t="s">
        <v>1357</v>
      </c>
      <c r="L3307" t="s">
        <v>1357</v>
      </c>
    </row>
    <row r="3308" spans="1:12">
      <c r="H3308" t="s">
        <v>5059</v>
      </c>
      <c r="I3308" t="s">
        <v>1357</v>
      </c>
      <c r="J3308" t="s">
        <v>1357</v>
      </c>
      <c r="K3308" t="s">
        <v>1357</v>
      </c>
      <c r="L3308" t="s">
        <v>1357</v>
      </c>
    </row>
    <row r="3309" spans="1:12">
      <c r="A3309" t="s">
        <v>2119</v>
      </c>
      <c r="B3309">
        <f>HYPERLINK("https://github.com/apache/commons-math/commit/151b015ea733543fa8b06873d6bece3ed9d30052", "151b015ea733543fa8b06873d6bece3ed9d30052")</f>
        <v>0</v>
      </c>
      <c r="C3309">
        <f>HYPERLINK("https://github.com/apache/commons-math/commit/c67bf75076860be55ae78e7eebeacd8074b808e0", "c67bf75076860be55ae78e7eebeacd8074b808e0")</f>
        <v>0</v>
      </c>
      <c r="D3309" t="s">
        <v>2163</v>
      </c>
      <c r="E3309" t="s">
        <v>2403</v>
      </c>
      <c r="F3309" t="s">
        <v>2863</v>
      </c>
      <c r="G3309" t="s">
        <v>2923</v>
      </c>
      <c r="H3309" t="s">
        <v>906</v>
      </c>
      <c r="I3309" t="s">
        <v>1357</v>
      </c>
      <c r="J3309" t="s">
        <v>1357</v>
      </c>
      <c r="K3309" t="s">
        <v>1357</v>
      </c>
      <c r="L3309" t="s">
        <v>1357</v>
      </c>
    </row>
    <row r="3310" spans="1:12">
      <c r="F3310" t="s">
        <v>2864</v>
      </c>
      <c r="G3310" t="s">
        <v>3094</v>
      </c>
      <c r="H3310" t="s">
        <v>5060</v>
      </c>
      <c r="I3310" t="s">
        <v>1357</v>
      </c>
      <c r="J3310" t="s">
        <v>1357</v>
      </c>
      <c r="K3310" t="s">
        <v>1357</v>
      </c>
      <c r="L3310" t="s">
        <v>1357</v>
      </c>
    </row>
    <row r="3311" spans="1:12">
      <c r="A3311" t="s">
        <v>2120</v>
      </c>
      <c r="B3311">
        <f>HYPERLINK("https://github.com/apache/commons-math/commit/24b1d86ffba3a1434747af0629a4b89b2dab8b3d", "24b1d86ffba3a1434747af0629a4b89b2dab8b3d")</f>
        <v>0</v>
      </c>
      <c r="C3311">
        <f>HYPERLINK("https://github.com/apache/commons-math/commit/bdc4a527fb526da71042b4cbf7acbb9484885c40", "bdc4a527fb526da71042b4cbf7acbb9484885c40")</f>
        <v>0</v>
      </c>
      <c r="D3311" t="s">
        <v>2163</v>
      </c>
      <c r="E3311" t="s">
        <v>2404</v>
      </c>
      <c r="F3311" t="s">
        <v>2865</v>
      </c>
      <c r="G3311" t="s">
        <v>3146</v>
      </c>
      <c r="H3311" t="s">
        <v>5061</v>
      </c>
      <c r="I3311" t="s">
        <v>1357</v>
      </c>
      <c r="J3311" t="s">
        <v>1357</v>
      </c>
      <c r="K3311" t="s">
        <v>1357</v>
      </c>
      <c r="L3311" t="s">
        <v>1357</v>
      </c>
    </row>
    <row r="3312" spans="1:12">
      <c r="H3312" t="s">
        <v>5062</v>
      </c>
      <c r="I3312" t="s">
        <v>1357</v>
      </c>
      <c r="J3312" t="s">
        <v>1357</v>
      </c>
      <c r="K3312" t="s">
        <v>1357</v>
      </c>
      <c r="L3312" t="s">
        <v>1357</v>
      </c>
    </row>
    <row r="3313" spans="1:14">
      <c r="A3313" t="s">
        <v>2121</v>
      </c>
      <c r="B3313">
        <f>HYPERLINK("https://github.com/apache/commons-math/commit/b509678e95f313d05bfdae6e38492b3dbb306b5a", "b509678e95f313d05bfdae6e38492b3dbb306b5a")</f>
        <v>0</v>
      </c>
      <c r="C3313">
        <f>HYPERLINK("https://github.com/apache/commons-math/commit/ee73d636dea9618c685755111a98e65e1cbc5049", "ee73d636dea9618c685755111a98e65e1cbc5049")</f>
        <v>0</v>
      </c>
      <c r="D3313" t="s">
        <v>2163</v>
      </c>
      <c r="E3313" t="s">
        <v>2405</v>
      </c>
      <c r="F3313" t="s">
        <v>2865</v>
      </c>
      <c r="G3313" t="s">
        <v>3146</v>
      </c>
      <c r="H3313" t="s">
        <v>4273</v>
      </c>
      <c r="I3313" t="s">
        <v>1357</v>
      </c>
      <c r="J3313" t="s">
        <v>1357</v>
      </c>
      <c r="K3313" t="s">
        <v>1357</v>
      </c>
      <c r="L3313" t="s">
        <v>1357</v>
      </c>
    </row>
    <row r="3314" spans="1:14">
      <c r="H3314" t="s">
        <v>4292</v>
      </c>
      <c r="I3314" t="s">
        <v>1357</v>
      </c>
      <c r="J3314" t="s">
        <v>1357</v>
      </c>
      <c r="K3314" t="s">
        <v>1357</v>
      </c>
      <c r="L3314" t="s">
        <v>1357</v>
      </c>
    </row>
    <row r="3315" spans="1:14">
      <c r="H3315" t="s">
        <v>5063</v>
      </c>
      <c r="I3315" t="s">
        <v>1357</v>
      </c>
      <c r="J3315" t="s">
        <v>1357</v>
      </c>
      <c r="K3315" t="s">
        <v>1357</v>
      </c>
      <c r="L3315" t="s">
        <v>1357</v>
      </c>
    </row>
    <row r="3316" spans="1:14">
      <c r="H3316" t="s">
        <v>5064</v>
      </c>
      <c r="I3316" t="s">
        <v>1357</v>
      </c>
      <c r="J3316" t="s">
        <v>1357</v>
      </c>
      <c r="K3316" t="s">
        <v>1357</v>
      </c>
      <c r="L3316" t="s">
        <v>1357</v>
      </c>
    </row>
    <row r="3317" spans="1:14">
      <c r="H3317" t="s">
        <v>5065</v>
      </c>
      <c r="I3317" t="s">
        <v>1357</v>
      </c>
      <c r="J3317" t="s">
        <v>1357</v>
      </c>
      <c r="K3317" t="s">
        <v>1357</v>
      </c>
      <c r="L3317" t="s">
        <v>1357</v>
      </c>
    </row>
    <row r="3318" spans="1:14">
      <c r="H3318" t="s">
        <v>5066</v>
      </c>
      <c r="I3318" t="s">
        <v>1357</v>
      </c>
      <c r="J3318" t="s">
        <v>1357</v>
      </c>
      <c r="K3318" t="s">
        <v>1357</v>
      </c>
      <c r="L3318" t="s">
        <v>1357</v>
      </c>
    </row>
    <row r="3319" spans="1:14">
      <c r="H3319" t="s">
        <v>4297</v>
      </c>
      <c r="I3319" t="s">
        <v>1357</v>
      </c>
      <c r="J3319" t="s">
        <v>1357</v>
      </c>
      <c r="K3319" t="s">
        <v>1357</v>
      </c>
      <c r="L3319" t="s">
        <v>1357</v>
      </c>
    </row>
    <row r="3320" spans="1:14">
      <c r="A3320" t="s">
        <v>2122</v>
      </c>
      <c r="B3320">
        <f>HYPERLINK("https://github.com/apache/commons-math/commit/0a3c4023ddc1a1c14c85b54f8742a58401ee08d9", "0a3c4023ddc1a1c14c85b54f8742a58401ee08d9")</f>
        <v>0</v>
      </c>
      <c r="C3320">
        <f>HYPERLINK("https://github.com/apache/commons-math/commit/a1f2a98c28b400a01142147816a1b298e86e60bb", "a1f2a98c28b400a01142147816a1b298e86e60bb")</f>
        <v>0</v>
      </c>
      <c r="D3320" t="s">
        <v>2163</v>
      </c>
      <c r="E3320" t="s">
        <v>2406</v>
      </c>
      <c r="F3320" t="s">
        <v>2866</v>
      </c>
      <c r="G3320" t="s">
        <v>3051</v>
      </c>
      <c r="H3320" t="s">
        <v>5067</v>
      </c>
      <c r="I3320" t="s">
        <v>1357</v>
      </c>
      <c r="J3320" t="s">
        <v>1357</v>
      </c>
      <c r="K3320" t="s">
        <v>1357</v>
      </c>
      <c r="L3320" t="s">
        <v>1357</v>
      </c>
    </row>
    <row r="3321" spans="1:14">
      <c r="H3321" t="s">
        <v>5068</v>
      </c>
      <c r="I3321" t="s">
        <v>1357</v>
      </c>
      <c r="J3321" t="s">
        <v>1357</v>
      </c>
      <c r="K3321" t="s">
        <v>1357</v>
      </c>
      <c r="L3321" t="s">
        <v>1357</v>
      </c>
    </row>
    <row r="3322" spans="1:14">
      <c r="H3322" t="s">
        <v>5069</v>
      </c>
      <c r="I3322" t="s">
        <v>1357</v>
      </c>
      <c r="J3322" t="s">
        <v>1357</v>
      </c>
      <c r="K3322" t="s">
        <v>1357</v>
      </c>
      <c r="L3322" t="s">
        <v>1357</v>
      </c>
    </row>
    <row r="3323" spans="1:14">
      <c r="H3323" t="s">
        <v>5070</v>
      </c>
      <c r="I3323" t="s">
        <v>1357</v>
      </c>
      <c r="J3323" t="s">
        <v>1357</v>
      </c>
      <c r="K3323" t="s">
        <v>1357</v>
      </c>
      <c r="L3323" t="s">
        <v>1357</v>
      </c>
    </row>
    <row r="3324" spans="1:14">
      <c r="A3324" t="s">
        <v>2123</v>
      </c>
      <c r="B3324">
        <f>HYPERLINK("https://github.com/apache/commons-math/commit/46a0c3ae4140fd34cf8479362192bddb7b7b3e38", "46a0c3ae4140fd34cf8479362192bddb7b7b3e38")</f>
        <v>0</v>
      </c>
      <c r="C3324">
        <f>HYPERLINK("https://github.com/apache/commons-math/commit/7f425354fb4eed78832bbcb37b81acfd21879ab0", "7f425354fb4eed78832bbcb37b81acfd21879ab0")</f>
        <v>0</v>
      </c>
      <c r="D3324" t="s">
        <v>2163</v>
      </c>
      <c r="E3324" t="s">
        <v>2407</v>
      </c>
      <c r="F3324" t="s">
        <v>2867</v>
      </c>
      <c r="G3324" t="s">
        <v>3049</v>
      </c>
      <c r="H3324" t="s">
        <v>4144</v>
      </c>
      <c r="I3324" t="s">
        <v>1358</v>
      </c>
      <c r="J3324" t="s">
        <v>1358</v>
      </c>
      <c r="K3324" t="s">
        <v>1358</v>
      </c>
      <c r="L3324" t="s">
        <v>1358</v>
      </c>
      <c r="N3324" t="s">
        <v>1372</v>
      </c>
    </row>
    <row r="3325" spans="1:14">
      <c r="H3325" t="s">
        <v>4145</v>
      </c>
      <c r="I3325" t="s">
        <v>1358</v>
      </c>
      <c r="J3325" t="s">
        <v>1358</v>
      </c>
      <c r="K3325" t="s">
        <v>1358</v>
      </c>
      <c r="L3325" t="s">
        <v>1358</v>
      </c>
      <c r="N3325" t="s">
        <v>1372</v>
      </c>
    </row>
    <row r="3326" spans="1:14">
      <c r="H3326" t="s">
        <v>4146</v>
      </c>
      <c r="I3326" t="s">
        <v>1358</v>
      </c>
      <c r="J3326" t="s">
        <v>1358</v>
      </c>
      <c r="K3326" t="s">
        <v>1358</v>
      </c>
      <c r="L3326" t="s">
        <v>1358</v>
      </c>
      <c r="N3326" t="s">
        <v>1372</v>
      </c>
    </row>
    <row r="3327" spans="1:14">
      <c r="H3327" t="s">
        <v>4147</v>
      </c>
      <c r="I3327" t="s">
        <v>1358</v>
      </c>
      <c r="J3327" t="s">
        <v>1358</v>
      </c>
      <c r="K3327" t="s">
        <v>1358</v>
      </c>
      <c r="L3327" t="s">
        <v>1358</v>
      </c>
      <c r="N3327" t="s">
        <v>1372</v>
      </c>
    </row>
    <row r="3328" spans="1:14">
      <c r="F3328" t="s">
        <v>2868</v>
      </c>
      <c r="G3328" t="s">
        <v>3050</v>
      </c>
      <c r="H3328" t="s">
        <v>4144</v>
      </c>
      <c r="I3328" t="s">
        <v>1358</v>
      </c>
      <c r="J3328" t="s">
        <v>1358</v>
      </c>
      <c r="K3328" t="s">
        <v>1358</v>
      </c>
      <c r="L3328" t="s">
        <v>1358</v>
      </c>
      <c r="N3328" t="s">
        <v>1372</v>
      </c>
    </row>
    <row r="3329" spans="1:14">
      <c r="H3329" t="s">
        <v>4145</v>
      </c>
      <c r="I3329" t="s">
        <v>1358</v>
      </c>
      <c r="J3329" t="s">
        <v>1358</v>
      </c>
      <c r="K3329" t="s">
        <v>1358</v>
      </c>
      <c r="L3329" t="s">
        <v>1358</v>
      </c>
      <c r="N3329" t="s">
        <v>1372</v>
      </c>
    </row>
    <row r="3330" spans="1:14">
      <c r="H3330" t="s">
        <v>4146</v>
      </c>
      <c r="I3330" t="s">
        <v>1358</v>
      </c>
      <c r="J3330" t="s">
        <v>1358</v>
      </c>
      <c r="K3330" t="s">
        <v>1358</v>
      </c>
      <c r="L3330" t="s">
        <v>1358</v>
      </c>
      <c r="N3330" t="s">
        <v>1372</v>
      </c>
    </row>
    <row r="3331" spans="1:14">
      <c r="H3331" t="s">
        <v>4147</v>
      </c>
      <c r="I3331" t="s">
        <v>1358</v>
      </c>
      <c r="J3331" t="s">
        <v>1358</v>
      </c>
      <c r="K3331" t="s">
        <v>1358</v>
      </c>
      <c r="L3331" t="s">
        <v>1358</v>
      </c>
      <c r="N3331" t="s">
        <v>1372</v>
      </c>
    </row>
    <row r="3332" spans="1:14">
      <c r="A3332" t="s">
        <v>2124</v>
      </c>
      <c r="B3332">
        <f>HYPERLINK("https://github.com/apache/commons-math/commit/5fee542f820e233c59b796f01b737ae6a46964d7", "5fee542f820e233c59b796f01b737ae6a46964d7")</f>
        <v>0</v>
      </c>
      <c r="C3332">
        <f>HYPERLINK("https://github.com/apache/commons-math/commit/71bfa2daeb01fdaab7c35047d04e06af0ef10461", "71bfa2daeb01fdaab7c35047d04e06af0ef10461")</f>
        <v>0</v>
      </c>
      <c r="D3332" t="s">
        <v>2163</v>
      </c>
      <c r="E3332" t="s">
        <v>2408</v>
      </c>
      <c r="F3332" t="s">
        <v>2869</v>
      </c>
      <c r="G3332" t="s">
        <v>3229</v>
      </c>
      <c r="H3332" t="s">
        <v>1036</v>
      </c>
      <c r="I3332" t="s">
        <v>1357</v>
      </c>
      <c r="J3332" t="s">
        <v>1357</v>
      </c>
      <c r="K3332" t="s">
        <v>1357</v>
      </c>
      <c r="L3332" t="s">
        <v>1357</v>
      </c>
    </row>
    <row r="3333" spans="1:14">
      <c r="H3333" t="s">
        <v>5071</v>
      </c>
      <c r="I3333" t="s">
        <v>1357</v>
      </c>
      <c r="J3333" t="s">
        <v>1357</v>
      </c>
      <c r="K3333" t="s">
        <v>1357</v>
      </c>
      <c r="L3333" t="s">
        <v>1357</v>
      </c>
    </row>
    <row r="3334" spans="1:14">
      <c r="H3334" t="s">
        <v>5072</v>
      </c>
      <c r="I3334" t="s">
        <v>1357</v>
      </c>
      <c r="J3334" t="s">
        <v>1357</v>
      </c>
      <c r="K3334" t="s">
        <v>1357</v>
      </c>
      <c r="L3334" t="s">
        <v>1357</v>
      </c>
    </row>
    <row r="3335" spans="1:14">
      <c r="H3335" t="s">
        <v>5073</v>
      </c>
      <c r="I3335" t="s">
        <v>1357</v>
      </c>
      <c r="J3335" t="s">
        <v>1357</v>
      </c>
      <c r="K3335" t="s">
        <v>1357</v>
      </c>
      <c r="L3335" t="s">
        <v>1357</v>
      </c>
    </row>
    <row r="3336" spans="1:14">
      <c r="H3336" t="s">
        <v>5074</v>
      </c>
      <c r="I3336" t="s">
        <v>1357</v>
      </c>
      <c r="J3336" t="s">
        <v>1357</v>
      </c>
      <c r="K3336" t="s">
        <v>1357</v>
      </c>
      <c r="L3336" t="s">
        <v>1357</v>
      </c>
    </row>
    <row r="3337" spans="1:14">
      <c r="H3337" t="s">
        <v>5075</v>
      </c>
      <c r="I3337" t="s">
        <v>1357</v>
      </c>
      <c r="J3337" t="s">
        <v>1357</v>
      </c>
      <c r="K3337" t="s">
        <v>1357</v>
      </c>
      <c r="L3337" t="s">
        <v>1357</v>
      </c>
    </row>
    <row r="3338" spans="1:14">
      <c r="H3338" t="s">
        <v>5076</v>
      </c>
      <c r="I3338" t="s">
        <v>1357</v>
      </c>
      <c r="J3338" t="s">
        <v>1357</v>
      </c>
      <c r="K3338" t="s">
        <v>1357</v>
      </c>
      <c r="L3338" t="s">
        <v>1357</v>
      </c>
    </row>
    <row r="3339" spans="1:14">
      <c r="A3339" t="s">
        <v>2125</v>
      </c>
      <c r="B3339">
        <f>HYPERLINK("https://github.com/apache/commons-math/commit/2218194942ea095fd15b3bc1552e12a263981f80", "2218194942ea095fd15b3bc1552e12a263981f80")</f>
        <v>0</v>
      </c>
      <c r="C3339">
        <f>HYPERLINK("https://github.com/apache/commons-math/commit/e6bc7a4d31eaea79eee58fa096866f5c95d78470", "e6bc7a4d31eaea79eee58fa096866f5c95d78470")</f>
        <v>0</v>
      </c>
      <c r="D3339" t="s">
        <v>2163</v>
      </c>
      <c r="E3339" t="s">
        <v>2409</v>
      </c>
      <c r="F3339" t="s">
        <v>2865</v>
      </c>
      <c r="G3339" t="s">
        <v>3146</v>
      </c>
      <c r="H3339" t="s">
        <v>4272</v>
      </c>
      <c r="I3339" t="s">
        <v>1357</v>
      </c>
      <c r="J3339" t="s">
        <v>1357</v>
      </c>
      <c r="K3339" t="s">
        <v>1357</v>
      </c>
      <c r="L3339" t="s">
        <v>1357</v>
      </c>
    </row>
    <row r="3340" spans="1:14">
      <c r="H3340" t="s">
        <v>4279</v>
      </c>
      <c r="I3340" t="s">
        <v>1357</v>
      </c>
      <c r="J3340" t="s">
        <v>1357</v>
      </c>
      <c r="K3340" t="s">
        <v>1357</v>
      </c>
      <c r="L3340" t="s">
        <v>1357</v>
      </c>
    </row>
    <row r="3341" spans="1:14">
      <c r="H3341" t="s">
        <v>4280</v>
      </c>
      <c r="I3341" t="s">
        <v>1357</v>
      </c>
      <c r="J3341" t="s">
        <v>1357</v>
      </c>
      <c r="K3341" t="s">
        <v>1357</v>
      </c>
      <c r="L3341" t="s">
        <v>1357</v>
      </c>
    </row>
    <row r="3342" spans="1:14">
      <c r="H3342" t="s">
        <v>4281</v>
      </c>
      <c r="I3342" t="s">
        <v>1357</v>
      </c>
      <c r="J3342" t="s">
        <v>1357</v>
      </c>
      <c r="K3342" t="s">
        <v>1357</v>
      </c>
      <c r="L3342" t="s">
        <v>1357</v>
      </c>
    </row>
    <row r="3343" spans="1:14">
      <c r="H3343" t="s">
        <v>4282</v>
      </c>
      <c r="I3343" t="s">
        <v>1357</v>
      </c>
      <c r="J3343" t="s">
        <v>1357</v>
      </c>
      <c r="K3343" t="s">
        <v>1357</v>
      </c>
      <c r="L3343" t="s">
        <v>1357</v>
      </c>
    </row>
    <row r="3344" spans="1:14">
      <c r="H3344" t="s">
        <v>4283</v>
      </c>
      <c r="I3344" t="s">
        <v>1357</v>
      </c>
      <c r="J3344" t="s">
        <v>1357</v>
      </c>
      <c r="K3344" t="s">
        <v>1357</v>
      </c>
      <c r="L3344" t="s">
        <v>1357</v>
      </c>
    </row>
    <row r="3345" spans="1:13">
      <c r="A3345" t="s">
        <v>2126</v>
      </c>
      <c r="B3345">
        <f>HYPERLINK("https://github.com/apache/commons-math/commit/9dbceb0ed1d58c6ccb4d841a2384fe8f6d98149c", "9dbceb0ed1d58c6ccb4d841a2384fe8f6d98149c")</f>
        <v>0</v>
      </c>
      <c r="C3345">
        <f>HYPERLINK("https://github.com/apache/commons-math/commit/8968416790a42eebd5583718800ccc4fe55c8cbc", "8968416790a42eebd5583718800ccc4fe55c8cbc")</f>
        <v>0</v>
      </c>
      <c r="D3345" t="s">
        <v>2163</v>
      </c>
      <c r="E3345" t="s">
        <v>2410</v>
      </c>
      <c r="F3345" t="s">
        <v>2863</v>
      </c>
      <c r="G3345" t="s">
        <v>2923</v>
      </c>
      <c r="H3345" t="s">
        <v>5077</v>
      </c>
      <c r="I3345" t="s">
        <v>1357</v>
      </c>
      <c r="J3345" t="s">
        <v>1357</v>
      </c>
      <c r="K3345" t="s">
        <v>1357</v>
      </c>
      <c r="L3345" t="s">
        <v>1357</v>
      </c>
    </row>
    <row r="3346" spans="1:13">
      <c r="H3346" t="s">
        <v>5078</v>
      </c>
      <c r="I3346" t="s">
        <v>1357</v>
      </c>
      <c r="J3346" t="s">
        <v>1357</v>
      </c>
      <c r="K3346" t="s">
        <v>1357</v>
      </c>
      <c r="L3346" t="s">
        <v>1357</v>
      </c>
    </row>
    <row r="3347" spans="1:13">
      <c r="H3347" t="s">
        <v>5079</v>
      </c>
      <c r="I3347" t="s">
        <v>1357</v>
      </c>
      <c r="J3347" t="s">
        <v>1357</v>
      </c>
      <c r="K3347" t="s">
        <v>1357</v>
      </c>
      <c r="L3347" t="s">
        <v>1357</v>
      </c>
      <c r="M3347" t="s">
        <v>1365</v>
      </c>
    </row>
    <row r="3348" spans="1:13">
      <c r="H3348" t="s">
        <v>5080</v>
      </c>
      <c r="I3348" t="s">
        <v>1357</v>
      </c>
      <c r="J3348" t="s">
        <v>1357</v>
      </c>
      <c r="K3348" t="s">
        <v>1357</v>
      </c>
      <c r="L3348" t="s">
        <v>1357</v>
      </c>
    </row>
    <row r="3349" spans="1:13">
      <c r="A3349" t="s">
        <v>2127</v>
      </c>
      <c r="B3349">
        <f>HYPERLINK("https://github.com/apache/commons-math/commit/6bc63d4f3f0c5acc1d0e9c1723b523cfec18a10f", "6bc63d4f3f0c5acc1d0e9c1723b523cfec18a10f")</f>
        <v>0</v>
      </c>
      <c r="C3349">
        <f>HYPERLINK("https://github.com/apache/commons-math/commit/3df6d879e701b442fabf709c8143e6ca8f8f9547", "3df6d879e701b442fabf709c8143e6ca8f8f9547")</f>
        <v>0</v>
      </c>
      <c r="D3349" t="s">
        <v>2163</v>
      </c>
      <c r="E3349" t="s">
        <v>2411</v>
      </c>
      <c r="F3349" t="s">
        <v>2863</v>
      </c>
      <c r="G3349" t="s">
        <v>2923</v>
      </c>
      <c r="H3349" t="s">
        <v>5081</v>
      </c>
      <c r="I3349" t="s">
        <v>1357</v>
      </c>
      <c r="J3349" t="s">
        <v>1357</v>
      </c>
      <c r="K3349" t="s">
        <v>1357</v>
      </c>
      <c r="L3349" t="s">
        <v>1357</v>
      </c>
    </row>
    <row r="3350" spans="1:13">
      <c r="A3350" t="s">
        <v>2128</v>
      </c>
      <c r="B3350">
        <f>HYPERLINK("https://github.com/apache/commons-math/commit/a2491345b8e549f653c0e3592408ca6cfa74bb12", "a2491345b8e549f653c0e3592408ca6cfa74bb12")</f>
        <v>0</v>
      </c>
      <c r="C3350">
        <f>HYPERLINK("https://github.com/apache/commons-math/commit/43ac9463822830a0497bb7eb5872b26f733810bb", "43ac9463822830a0497bb7eb5872b26f733810bb")</f>
        <v>0</v>
      </c>
      <c r="D3350" t="s">
        <v>2163</v>
      </c>
      <c r="E3350" t="s">
        <v>2412</v>
      </c>
      <c r="F3350" t="s">
        <v>2867</v>
      </c>
      <c r="G3350" t="s">
        <v>3049</v>
      </c>
      <c r="H3350" t="s">
        <v>3928</v>
      </c>
      <c r="I3350" t="s">
        <v>1357</v>
      </c>
      <c r="J3350" t="s">
        <v>1357</v>
      </c>
      <c r="K3350" t="s">
        <v>1357</v>
      </c>
      <c r="L3350" t="s">
        <v>1357</v>
      </c>
    </row>
    <row r="3351" spans="1:13">
      <c r="F3351" t="s">
        <v>2868</v>
      </c>
      <c r="G3351" t="s">
        <v>3050</v>
      </c>
      <c r="H3351" t="s">
        <v>3928</v>
      </c>
      <c r="I3351" t="s">
        <v>1357</v>
      </c>
      <c r="J3351" t="s">
        <v>1357</v>
      </c>
      <c r="K3351" t="s">
        <v>1357</v>
      </c>
      <c r="L3351" t="s">
        <v>1357</v>
      </c>
    </row>
    <row r="3352" spans="1:13">
      <c r="A3352" t="s">
        <v>2129</v>
      </c>
      <c r="B3352">
        <f>HYPERLINK("https://github.com/apache/commons-math/commit/858ecda80fd60d1f86330f5ea535d714d9474578", "858ecda80fd60d1f86330f5ea535d714d9474578")</f>
        <v>0</v>
      </c>
      <c r="C3352">
        <f>HYPERLINK("https://github.com/apache/commons-math/commit/fdbb8b98f5c0dba55d1bc607434ea00e2b9c3145", "fdbb8b98f5c0dba55d1bc607434ea00e2b9c3145")</f>
        <v>0</v>
      </c>
      <c r="D3352" t="s">
        <v>2163</v>
      </c>
      <c r="E3352" t="s">
        <v>2413</v>
      </c>
      <c r="F3352" t="s">
        <v>2867</v>
      </c>
      <c r="G3352" t="s">
        <v>3049</v>
      </c>
      <c r="H3352" t="s">
        <v>3856</v>
      </c>
      <c r="I3352" t="s">
        <v>1357</v>
      </c>
      <c r="J3352" t="s">
        <v>1357</v>
      </c>
      <c r="K3352" t="s">
        <v>1357</v>
      </c>
      <c r="L3352" t="s">
        <v>1357</v>
      </c>
    </row>
    <row r="3353" spans="1:13">
      <c r="H3353" t="s">
        <v>3857</v>
      </c>
      <c r="I3353" t="s">
        <v>1357</v>
      </c>
      <c r="J3353" t="s">
        <v>1357</v>
      </c>
      <c r="K3353" t="s">
        <v>1357</v>
      </c>
      <c r="L3353" t="s">
        <v>1357</v>
      </c>
    </row>
    <row r="3354" spans="1:13">
      <c r="H3354" t="s">
        <v>3930</v>
      </c>
      <c r="I3354" t="s">
        <v>1357</v>
      </c>
      <c r="J3354" t="s">
        <v>1357</v>
      </c>
      <c r="K3354" t="s">
        <v>1357</v>
      </c>
      <c r="L3354" t="s">
        <v>1357</v>
      </c>
    </row>
    <row r="3355" spans="1:13">
      <c r="H3355" t="s">
        <v>3932</v>
      </c>
      <c r="I3355" t="s">
        <v>1357</v>
      </c>
      <c r="J3355" t="s">
        <v>1357</v>
      </c>
      <c r="K3355" t="s">
        <v>1357</v>
      </c>
      <c r="L3355" t="s">
        <v>1357</v>
      </c>
    </row>
    <row r="3356" spans="1:13">
      <c r="H3356" t="s">
        <v>3933</v>
      </c>
      <c r="I3356" t="s">
        <v>1357</v>
      </c>
      <c r="J3356" t="s">
        <v>1357</v>
      </c>
      <c r="K3356" t="s">
        <v>1357</v>
      </c>
      <c r="L3356" t="s">
        <v>1357</v>
      </c>
    </row>
    <row r="3357" spans="1:13">
      <c r="H3357" t="s">
        <v>3934</v>
      </c>
      <c r="I3357" t="s">
        <v>1357</v>
      </c>
      <c r="J3357" t="s">
        <v>1357</v>
      </c>
      <c r="K3357" t="s">
        <v>1357</v>
      </c>
      <c r="L3357" t="s">
        <v>1357</v>
      </c>
    </row>
    <row r="3358" spans="1:13">
      <c r="H3358" t="s">
        <v>3935</v>
      </c>
      <c r="I3358" t="s">
        <v>1357</v>
      </c>
      <c r="J3358" t="s">
        <v>1357</v>
      </c>
      <c r="K3358" t="s">
        <v>1357</v>
      </c>
      <c r="L3358" t="s">
        <v>1357</v>
      </c>
    </row>
    <row r="3359" spans="1:13">
      <c r="H3359" t="s">
        <v>3936</v>
      </c>
      <c r="I3359" t="s">
        <v>1357</v>
      </c>
      <c r="J3359" t="s">
        <v>1357</v>
      </c>
      <c r="K3359" t="s">
        <v>1357</v>
      </c>
      <c r="L3359" t="s">
        <v>1357</v>
      </c>
    </row>
    <row r="3360" spans="1:13">
      <c r="H3360" t="s">
        <v>3937</v>
      </c>
      <c r="I3360" t="s">
        <v>1357</v>
      </c>
      <c r="J3360" t="s">
        <v>1357</v>
      </c>
      <c r="K3360" t="s">
        <v>1357</v>
      </c>
      <c r="L3360" t="s">
        <v>1357</v>
      </c>
    </row>
    <row r="3361" spans="1:12">
      <c r="H3361" t="s">
        <v>3938</v>
      </c>
      <c r="I3361" t="s">
        <v>1357</v>
      </c>
      <c r="J3361" t="s">
        <v>1357</v>
      </c>
      <c r="K3361" t="s">
        <v>1357</v>
      </c>
      <c r="L3361" t="s">
        <v>1357</v>
      </c>
    </row>
    <row r="3362" spans="1:12">
      <c r="H3362" t="s">
        <v>3939</v>
      </c>
      <c r="I3362" t="s">
        <v>1357</v>
      </c>
      <c r="J3362" t="s">
        <v>1357</v>
      </c>
      <c r="K3362" t="s">
        <v>1357</v>
      </c>
      <c r="L3362" t="s">
        <v>1357</v>
      </c>
    </row>
    <row r="3363" spans="1:12">
      <c r="H3363" t="s">
        <v>3940</v>
      </c>
      <c r="I3363" t="s">
        <v>1357</v>
      </c>
      <c r="J3363" t="s">
        <v>1357</v>
      </c>
      <c r="K3363" t="s">
        <v>1357</v>
      </c>
      <c r="L3363" t="s">
        <v>1357</v>
      </c>
    </row>
    <row r="3364" spans="1:12">
      <c r="F3364" t="s">
        <v>2868</v>
      </c>
      <c r="G3364" t="s">
        <v>3050</v>
      </c>
      <c r="H3364" t="s">
        <v>3856</v>
      </c>
      <c r="I3364" t="s">
        <v>1357</v>
      </c>
      <c r="J3364" t="s">
        <v>1357</v>
      </c>
      <c r="K3364" t="s">
        <v>1357</v>
      </c>
      <c r="L3364" t="s">
        <v>1357</v>
      </c>
    </row>
    <row r="3365" spans="1:12">
      <c r="H3365" t="s">
        <v>3857</v>
      </c>
      <c r="I3365" t="s">
        <v>1357</v>
      </c>
      <c r="J3365" t="s">
        <v>1357</v>
      </c>
      <c r="K3365" t="s">
        <v>1357</v>
      </c>
      <c r="L3365" t="s">
        <v>1357</v>
      </c>
    </row>
    <row r="3366" spans="1:12">
      <c r="H3366" t="s">
        <v>3930</v>
      </c>
      <c r="I3366" t="s">
        <v>1357</v>
      </c>
      <c r="J3366" t="s">
        <v>1357</v>
      </c>
      <c r="K3366" t="s">
        <v>1357</v>
      </c>
      <c r="L3366" t="s">
        <v>1357</v>
      </c>
    </row>
    <row r="3367" spans="1:12">
      <c r="H3367" t="s">
        <v>3932</v>
      </c>
      <c r="I3367" t="s">
        <v>1357</v>
      </c>
      <c r="J3367" t="s">
        <v>1357</v>
      </c>
      <c r="K3367" t="s">
        <v>1357</v>
      </c>
      <c r="L3367" t="s">
        <v>1357</v>
      </c>
    </row>
    <row r="3368" spans="1:12">
      <c r="H3368" t="s">
        <v>3933</v>
      </c>
      <c r="I3368" t="s">
        <v>1357</v>
      </c>
      <c r="J3368" t="s">
        <v>1357</v>
      </c>
      <c r="K3368" t="s">
        <v>1357</v>
      </c>
      <c r="L3368" t="s">
        <v>1357</v>
      </c>
    </row>
    <row r="3369" spans="1:12">
      <c r="H3369" t="s">
        <v>3934</v>
      </c>
      <c r="I3369" t="s">
        <v>1357</v>
      </c>
      <c r="J3369" t="s">
        <v>1357</v>
      </c>
      <c r="K3369" t="s">
        <v>1357</v>
      </c>
      <c r="L3369" t="s">
        <v>1357</v>
      </c>
    </row>
    <row r="3370" spans="1:12">
      <c r="H3370" t="s">
        <v>3935</v>
      </c>
      <c r="I3370" t="s">
        <v>1357</v>
      </c>
      <c r="J3370" t="s">
        <v>1357</v>
      </c>
      <c r="K3370" t="s">
        <v>1357</v>
      </c>
      <c r="L3370" t="s">
        <v>1357</v>
      </c>
    </row>
    <row r="3371" spans="1:12">
      <c r="H3371" t="s">
        <v>3936</v>
      </c>
      <c r="I3371" t="s">
        <v>1357</v>
      </c>
      <c r="J3371" t="s">
        <v>1357</v>
      </c>
      <c r="K3371" t="s">
        <v>1357</v>
      </c>
      <c r="L3371" t="s">
        <v>1357</v>
      </c>
    </row>
    <row r="3372" spans="1:12">
      <c r="H3372" t="s">
        <v>3937</v>
      </c>
      <c r="I3372" t="s">
        <v>1357</v>
      </c>
      <c r="J3372" t="s">
        <v>1357</v>
      </c>
      <c r="K3372" t="s">
        <v>1357</v>
      </c>
      <c r="L3372" t="s">
        <v>1357</v>
      </c>
    </row>
    <row r="3373" spans="1:12">
      <c r="H3373" t="s">
        <v>3938</v>
      </c>
      <c r="I3373" t="s">
        <v>1357</v>
      </c>
      <c r="J3373" t="s">
        <v>1357</v>
      </c>
      <c r="K3373" t="s">
        <v>1357</v>
      </c>
      <c r="L3373" t="s">
        <v>1357</v>
      </c>
    </row>
    <row r="3374" spans="1:12">
      <c r="H3374" t="s">
        <v>3939</v>
      </c>
      <c r="I3374" t="s">
        <v>1357</v>
      </c>
      <c r="J3374" t="s">
        <v>1357</v>
      </c>
      <c r="K3374" t="s">
        <v>1357</v>
      </c>
      <c r="L3374" t="s">
        <v>1357</v>
      </c>
    </row>
    <row r="3375" spans="1:12">
      <c r="H3375" t="s">
        <v>3940</v>
      </c>
      <c r="I3375" t="s">
        <v>1357</v>
      </c>
      <c r="J3375" t="s">
        <v>1357</v>
      </c>
      <c r="K3375" t="s">
        <v>1357</v>
      </c>
      <c r="L3375" t="s">
        <v>1357</v>
      </c>
    </row>
    <row r="3376" spans="1:12">
      <c r="A3376" t="s">
        <v>2130</v>
      </c>
      <c r="B3376">
        <f>HYPERLINK("https://github.com/apache/commons-math/commit/9fd6725d51e1106e3b07222bf11a96e2f2ca7b61", "9fd6725d51e1106e3b07222bf11a96e2f2ca7b61")</f>
        <v>0</v>
      </c>
      <c r="C3376">
        <f>HYPERLINK("https://github.com/apache/commons-math/commit/bdd6bc4d134f63e72aef5d071524fb33cccb660e", "bdd6bc4d134f63e72aef5d071524fb33cccb660e")</f>
        <v>0</v>
      </c>
      <c r="D3376" t="s">
        <v>2163</v>
      </c>
      <c r="E3376" t="s">
        <v>2414</v>
      </c>
      <c r="F3376" t="s">
        <v>2870</v>
      </c>
      <c r="G3376" t="s">
        <v>3230</v>
      </c>
      <c r="H3376" t="s">
        <v>5082</v>
      </c>
      <c r="I3376" t="s">
        <v>1357</v>
      </c>
      <c r="J3376" t="s">
        <v>1357</v>
      </c>
      <c r="K3376" t="s">
        <v>1357</v>
      </c>
      <c r="L3376" t="s">
        <v>1357</v>
      </c>
    </row>
    <row r="3377" spans="1:14">
      <c r="H3377" t="s">
        <v>5083</v>
      </c>
      <c r="I3377" t="s">
        <v>1357</v>
      </c>
      <c r="J3377" t="s">
        <v>1357</v>
      </c>
      <c r="K3377" t="s">
        <v>1357</v>
      </c>
      <c r="L3377" t="s">
        <v>1357</v>
      </c>
    </row>
    <row r="3378" spans="1:14">
      <c r="H3378" t="s">
        <v>5084</v>
      </c>
      <c r="I3378" t="s">
        <v>1357</v>
      </c>
      <c r="J3378" t="s">
        <v>1357</v>
      </c>
      <c r="K3378" t="s">
        <v>1357</v>
      </c>
      <c r="L3378" t="s">
        <v>1357</v>
      </c>
    </row>
    <row r="3379" spans="1:14">
      <c r="H3379" t="s">
        <v>3857</v>
      </c>
      <c r="I3379" t="s">
        <v>1357</v>
      </c>
      <c r="J3379" t="s">
        <v>1357</v>
      </c>
      <c r="K3379" t="s">
        <v>1357</v>
      </c>
      <c r="L3379" t="s">
        <v>1357</v>
      </c>
    </row>
    <row r="3380" spans="1:14">
      <c r="A3380" t="s">
        <v>2131</v>
      </c>
      <c r="B3380">
        <f>HYPERLINK("https://github.com/apache/commons-math/commit/1fb5411a8119ec88bfdf5d1261afd6e3df73365a", "1fb5411a8119ec88bfdf5d1261afd6e3df73365a")</f>
        <v>0</v>
      </c>
      <c r="C3380">
        <f>HYPERLINK("https://github.com/apache/commons-math/commit/9fd6725d51e1106e3b07222bf11a96e2f2ca7b61", "9fd6725d51e1106e3b07222bf11a96e2f2ca7b61")</f>
        <v>0</v>
      </c>
      <c r="D3380" t="s">
        <v>2163</v>
      </c>
      <c r="E3380" t="s">
        <v>2415</v>
      </c>
      <c r="F3380" t="s">
        <v>2867</v>
      </c>
      <c r="G3380" t="s">
        <v>3049</v>
      </c>
      <c r="H3380" t="s">
        <v>5085</v>
      </c>
      <c r="I3380" t="s">
        <v>1358</v>
      </c>
      <c r="J3380" t="s">
        <v>1358</v>
      </c>
      <c r="K3380" t="s">
        <v>1358</v>
      </c>
      <c r="L3380" t="s">
        <v>1358</v>
      </c>
    </row>
    <row r="3381" spans="1:14">
      <c r="F3381" t="s">
        <v>2868</v>
      </c>
      <c r="G3381" t="s">
        <v>3050</v>
      </c>
      <c r="H3381" t="s">
        <v>5085</v>
      </c>
      <c r="I3381" t="s">
        <v>1358</v>
      </c>
      <c r="J3381" t="s">
        <v>1358</v>
      </c>
      <c r="K3381" t="s">
        <v>1358</v>
      </c>
      <c r="L3381" t="s">
        <v>1358</v>
      </c>
    </row>
    <row r="3382" spans="1:14">
      <c r="H3382" t="s">
        <v>3862</v>
      </c>
      <c r="I3382" t="s">
        <v>1359</v>
      </c>
      <c r="J3382" t="s">
        <v>1358</v>
      </c>
      <c r="K3382" t="s">
        <v>1357</v>
      </c>
      <c r="L3382" t="s">
        <v>1358</v>
      </c>
      <c r="M3382" t="s">
        <v>1365</v>
      </c>
      <c r="N3382" t="s">
        <v>1372</v>
      </c>
    </row>
    <row r="3383" spans="1:14">
      <c r="A3383" t="s">
        <v>2132</v>
      </c>
      <c r="B3383">
        <f>HYPERLINK("https://github.com/apache/commons-math/commit/3ba0221c267e299525d385c496840c2b92eeac9c", "3ba0221c267e299525d385c496840c2b92eeac9c")</f>
        <v>0</v>
      </c>
      <c r="C3383">
        <f>HYPERLINK("https://github.com/apache/commons-math/commit/7813ecb115eae3c43973056d9155c1c5c98eabce", "7813ecb115eae3c43973056d9155c1c5c98eabce")</f>
        <v>0</v>
      </c>
      <c r="D3383" t="s">
        <v>2163</v>
      </c>
      <c r="E3383" t="s">
        <v>2416</v>
      </c>
      <c r="F3383" t="s">
        <v>2871</v>
      </c>
      <c r="G3383" t="s">
        <v>3047</v>
      </c>
      <c r="H3383" t="s">
        <v>3938</v>
      </c>
      <c r="I3383" t="s">
        <v>1357</v>
      </c>
      <c r="J3383" t="s">
        <v>1357</v>
      </c>
      <c r="K3383" t="s">
        <v>1357</v>
      </c>
      <c r="L3383" t="s">
        <v>1357</v>
      </c>
    </row>
    <row r="3384" spans="1:14">
      <c r="F3384" t="s">
        <v>2872</v>
      </c>
      <c r="G3384" t="s">
        <v>3041</v>
      </c>
      <c r="H3384" t="s">
        <v>3938</v>
      </c>
      <c r="I3384" t="s">
        <v>1357</v>
      </c>
      <c r="J3384" t="s">
        <v>1357</v>
      </c>
      <c r="K3384" t="s">
        <v>1357</v>
      </c>
      <c r="L3384" t="s">
        <v>1357</v>
      </c>
    </row>
    <row r="3385" spans="1:14">
      <c r="A3385" t="s">
        <v>2133</v>
      </c>
      <c r="B3385">
        <f>HYPERLINK("https://github.com/apache/commons-math/commit/bf1c2c214c67fb3ce513fc8241d711e91cc81be9", "bf1c2c214c67fb3ce513fc8241d711e91cc81be9")</f>
        <v>0</v>
      </c>
      <c r="C3385">
        <f>HYPERLINK("https://github.com/apache/commons-math/commit/dd0acaa9ff26939cb3b9a7e4e5b13815d1853d38", "dd0acaa9ff26939cb3b9a7e4e5b13815d1853d38")</f>
        <v>0</v>
      </c>
      <c r="D3385" t="s">
        <v>2163</v>
      </c>
      <c r="E3385" t="s">
        <v>2417</v>
      </c>
      <c r="F3385" t="s">
        <v>2873</v>
      </c>
      <c r="G3385" t="s">
        <v>3231</v>
      </c>
      <c r="H3385" t="s">
        <v>5086</v>
      </c>
      <c r="I3385" t="s">
        <v>1357</v>
      </c>
      <c r="J3385" t="s">
        <v>1357</v>
      </c>
      <c r="K3385" t="s">
        <v>1357</v>
      </c>
      <c r="L3385" t="s">
        <v>1357</v>
      </c>
    </row>
    <row r="3386" spans="1:14">
      <c r="H3386" t="s">
        <v>5087</v>
      </c>
      <c r="I3386" t="s">
        <v>1357</v>
      </c>
      <c r="J3386" t="s">
        <v>1357</v>
      </c>
      <c r="K3386" t="s">
        <v>1357</v>
      </c>
      <c r="L3386" t="s">
        <v>1357</v>
      </c>
    </row>
    <row r="3387" spans="1:14">
      <c r="A3387" t="s">
        <v>2134</v>
      </c>
      <c r="B3387">
        <f>HYPERLINK("https://github.com/apache/commons-math/commit/22753536f4c0671a797b9cc1fd4e4c18c7c39fa6", "22753536f4c0671a797b9cc1fd4e4c18c7c39fa6")</f>
        <v>0</v>
      </c>
      <c r="C3387">
        <f>HYPERLINK("https://github.com/apache/commons-math/commit/b35167641afd36f32bb925e71abfda74080a2ebe", "b35167641afd36f32bb925e71abfda74080a2ebe")</f>
        <v>0</v>
      </c>
      <c r="D3387" t="s">
        <v>2163</v>
      </c>
      <c r="E3387" t="s">
        <v>2418</v>
      </c>
      <c r="F3387" t="s">
        <v>2874</v>
      </c>
      <c r="G3387" t="s">
        <v>3232</v>
      </c>
      <c r="H3387" t="s">
        <v>5088</v>
      </c>
      <c r="I3387" t="s">
        <v>1357</v>
      </c>
      <c r="J3387" t="s">
        <v>1357</v>
      </c>
      <c r="K3387" t="s">
        <v>1357</v>
      </c>
      <c r="L3387" t="s">
        <v>1357</v>
      </c>
    </row>
    <row r="3388" spans="1:14">
      <c r="H3388" t="s">
        <v>5089</v>
      </c>
      <c r="I3388" t="s">
        <v>1359</v>
      </c>
      <c r="J3388" t="s">
        <v>1358</v>
      </c>
      <c r="K3388" t="s">
        <v>1357</v>
      </c>
      <c r="L3388" t="s">
        <v>1358</v>
      </c>
      <c r="N3388" t="s">
        <v>1372</v>
      </c>
    </row>
    <row r="3389" spans="1:14">
      <c r="A3389" t="s">
        <v>2135</v>
      </c>
      <c r="B3389">
        <f>HYPERLINK("https://github.com/apache/commons-math/commit/226c1fc6380ddcd59c38cbcafd892a58e8e356dd", "226c1fc6380ddcd59c38cbcafd892a58e8e356dd")</f>
        <v>0</v>
      </c>
      <c r="C3389">
        <f>HYPERLINK("https://github.com/apache/commons-math/commit/142dcaa92109648d69b06694d80b377ab7fd8424", "142dcaa92109648d69b06694d80b377ab7fd8424")</f>
        <v>0</v>
      </c>
      <c r="D3389" t="s">
        <v>2163</v>
      </c>
      <c r="E3389" t="s">
        <v>2419</v>
      </c>
      <c r="F3389" t="s">
        <v>2875</v>
      </c>
      <c r="G3389" t="s">
        <v>3233</v>
      </c>
      <c r="H3389" t="s">
        <v>5090</v>
      </c>
      <c r="I3389" t="s">
        <v>1357</v>
      </c>
      <c r="J3389" t="s">
        <v>1357</v>
      </c>
      <c r="K3389" t="s">
        <v>1357</v>
      </c>
      <c r="L3389" t="s">
        <v>1357</v>
      </c>
    </row>
    <row r="3390" spans="1:14">
      <c r="H3390" t="s">
        <v>5091</v>
      </c>
      <c r="I3390" t="s">
        <v>1357</v>
      </c>
      <c r="J3390" t="s">
        <v>1357</v>
      </c>
      <c r="K3390" t="s">
        <v>1357</v>
      </c>
      <c r="L3390" t="s">
        <v>1357</v>
      </c>
    </row>
    <row r="3391" spans="1:14">
      <c r="F3391" t="s">
        <v>2853</v>
      </c>
      <c r="G3391" t="s">
        <v>3224</v>
      </c>
      <c r="H3391" t="s">
        <v>5092</v>
      </c>
      <c r="I3391" t="s">
        <v>1357</v>
      </c>
      <c r="J3391" t="s">
        <v>1357</v>
      </c>
      <c r="K3391" t="s">
        <v>1357</v>
      </c>
      <c r="L3391" t="s">
        <v>1357</v>
      </c>
    </row>
    <row r="3392" spans="1:14">
      <c r="F3392" t="s">
        <v>2876</v>
      </c>
      <c r="G3392" t="s">
        <v>3093</v>
      </c>
      <c r="H3392" t="s">
        <v>5092</v>
      </c>
      <c r="I3392" t="s">
        <v>1357</v>
      </c>
      <c r="J3392" t="s">
        <v>1357</v>
      </c>
      <c r="K3392" t="s">
        <v>1357</v>
      </c>
      <c r="L3392" t="s">
        <v>1357</v>
      </c>
    </row>
    <row r="3393" spans="1:12">
      <c r="A3393" t="s">
        <v>2136</v>
      </c>
      <c r="B3393">
        <f>HYPERLINK("https://github.com/apache/commons-math/commit/eac2e8b627a238d1777f3e217cf39530b76d9c0c", "eac2e8b627a238d1777f3e217cf39530b76d9c0c")</f>
        <v>0</v>
      </c>
      <c r="C3393">
        <f>HYPERLINK("https://github.com/apache/commons-math/commit/43ebe7bc45edb5c606d7d6fd7dfa9165f18fb45c", "43ebe7bc45edb5c606d7d6fd7dfa9165f18fb45c")</f>
        <v>0</v>
      </c>
      <c r="D3393" t="s">
        <v>2163</v>
      </c>
      <c r="E3393" t="s">
        <v>2403</v>
      </c>
      <c r="F3393" t="s">
        <v>2877</v>
      </c>
      <c r="G3393" t="s">
        <v>3234</v>
      </c>
      <c r="H3393" t="s">
        <v>906</v>
      </c>
      <c r="I3393" t="s">
        <v>1357</v>
      </c>
      <c r="J3393" t="s">
        <v>1357</v>
      </c>
      <c r="K3393" t="s">
        <v>1357</v>
      </c>
      <c r="L3393" t="s">
        <v>1357</v>
      </c>
    </row>
    <row r="3394" spans="1:12">
      <c r="F3394" t="s">
        <v>2878</v>
      </c>
      <c r="G3394" t="s">
        <v>3235</v>
      </c>
      <c r="H3394" t="s">
        <v>906</v>
      </c>
      <c r="I3394" t="s">
        <v>1357</v>
      </c>
      <c r="J3394" t="s">
        <v>1357</v>
      </c>
      <c r="K3394" t="s">
        <v>1357</v>
      </c>
      <c r="L3394" t="s">
        <v>1357</v>
      </c>
    </row>
    <row r="3395" spans="1:12">
      <c r="F3395" t="s">
        <v>2879</v>
      </c>
      <c r="G3395" t="s">
        <v>3236</v>
      </c>
      <c r="H3395" t="s">
        <v>906</v>
      </c>
      <c r="I3395" t="s">
        <v>1357</v>
      </c>
      <c r="J3395" t="s">
        <v>1357</v>
      </c>
      <c r="K3395" t="s">
        <v>1357</v>
      </c>
      <c r="L3395" t="s">
        <v>1357</v>
      </c>
    </row>
    <row r="3396" spans="1:12">
      <c r="F3396" t="s">
        <v>2880</v>
      </c>
      <c r="G3396" t="s">
        <v>3237</v>
      </c>
      <c r="H3396" t="s">
        <v>3853</v>
      </c>
      <c r="I3396" t="s">
        <v>1357</v>
      </c>
      <c r="J3396" t="s">
        <v>1357</v>
      </c>
      <c r="K3396" t="s">
        <v>1357</v>
      </c>
      <c r="L3396" t="s">
        <v>1357</v>
      </c>
    </row>
    <row r="3397" spans="1:12">
      <c r="F3397" t="s">
        <v>2881</v>
      </c>
      <c r="G3397" t="s">
        <v>2932</v>
      </c>
      <c r="H3397" t="s">
        <v>906</v>
      </c>
      <c r="I3397" t="s">
        <v>1357</v>
      </c>
      <c r="J3397" t="s">
        <v>1357</v>
      </c>
      <c r="K3397" t="s">
        <v>1357</v>
      </c>
      <c r="L3397" t="s">
        <v>1357</v>
      </c>
    </row>
    <row r="3398" spans="1:12">
      <c r="H3398" t="s">
        <v>3853</v>
      </c>
      <c r="I3398" t="s">
        <v>1357</v>
      </c>
      <c r="J3398" t="s">
        <v>1357</v>
      </c>
      <c r="K3398" t="s">
        <v>1357</v>
      </c>
      <c r="L3398" t="s">
        <v>1357</v>
      </c>
    </row>
    <row r="3399" spans="1:12">
      <c r="A3399" t="s">
        <v>2137</v>
      </c>
      <c r="B3399">
        <f>HYPERLINK("https://github.com/apache/commons-math/commit/aa0bee30550b071cb4b3006bbb7e39e163e08038", "aa0bee30550b071cb4b3006bbb7e39e163e08038")</f>
        <v>0</v>
      </c>
      <c r="C3399">
        <f>HYPERLINK("https://github.com/apache/commons-math/commit/eac2e8b627a238d1777f3e217cf39530b76d9c0c", "eac2e8b627a238d1777f3e217cf39530b76d9c0c")</f>
        <v>0</v>
      </c>
      <c r="D3399" t="s">
        <v>2163</v>
      </c>
      <c r="E3399" t="s">
        <v>2403</v>
      </c>
      <c r="F3399" t="s">
        <v>2882</v>
      </c>
      <c r="G3399" t="s">
        <v>2928</v>
      </c>
      <c r="H3399" t="s">
        <v>3853</v>
      </c>
      <c r="I3399" t="s">
        <v>1357</v>
      </c>
      <c r="J3399" t="s">
        <v>1357</v>
      </c>
      <c r="K3399" t="s">
        <v>1357</v>
      </c>
      <c r="L3399" t="s">
        <v>1357</v>
      </c>
    </row>
    <row r="3400" spans="1:12">
      <c r="F3400" t="s">
        <v>2883</v>
      </c>
      <c r="G3400" t="s">
        <v>2961</v>
      </c>
      <c r="H3400" t="s">
        <v>906</v>
      </c>
      <c r="I3400" t="s">
        <v>1357</v>
      </c>
      <c r="J3400" t="s">
        <v>1357</v>
      </c>
      <c r="K3400" t="s">
        <v>1357</v>
      </c>
      <c r="L3400" t="s">
        <v>1357</v>
      </c>
    </row>
    <row r="3401" spans="1:12">
      <c r="F3401" t="s">
        <v>2884</v>
      </c>
      <c r="G3401" t="s">
        <v>3238</v>
      </c>
      <c r="H3401" t="s">
        <v>906</v>
      </c>
      <c r="I3401" t="s">
        <v>1357</v>
      </c>
      <c r="J3401" t="s">
        <v>1357</v>
      </c>
      <c r="K3401" t="s">
        <v>1357</v>
      </c>
      <c r="L3401" t="s">
        <v>1357</v>
      </c>
    </row>
    <row r="3402" spans="1:12">
      <c r="F3402" t="s">
        <v>2885</v>
      </c>
      <c r="G3402" t="s">
        <v>3239</v>
      </c>
      <c r="H3402" t="s">
        <v>906</v>
      </c>
      <c r="I3402" t="s">
        <v>1357</v>
      </c>
      <c r="J3402" t="s">
        <v>1357</v>
      </c>
      <c r="K3402" t="s">
        <v>1357</v>
      </c>
      <c r="L3402" t="s">
        <v>1357</v>
      </c>
    </row>
    <row r="3403" spans="1:12">
      <c r="F3403" t="s">
        <v>2886</v>
      </c>
      <c r="G3403" t="s">
        <v>3240</v>
      </c>
      <c r="H3403" t="s">
        <v>3853</v>
      </c>
      <c r="I3403" t="s">
        <v>1357</v>
      </c>
      <c r="J3403" t="s">
        <v>1357</v>
      </c>
      <c r="K3403" t="s">
        <v>1357</v>
      </c>
      <c r="L3403" t="s">
        <v>1357</v>
      </c>
    </row>
    <row r="3404" spans="1:12">
      <c r="F3404" t="s">
        <v>2887</v>
      </c>
      <c r="G3404" t="s">
        <v>3241</v>
      </c>
      <c r="H3404" t="s">
        <v>3853</v>
      </c>
      <c r="I3404" t="s">
        <v>1357</v>
      </c>
      <c r="J3404" t="s">
        <v>1357</v>
      </c>
      <c r="K3404" t="s">
        <v>1357</v>
      </c>
      <c r="L3404" t="s">
        <v>1357</v>
      </c>
    </row>
    <row r="3405" spans="1:12">
      <c r="A3405" t="s">
        <v>2138</v>
      </c>
      <c r="B3405">
        <f>HYPERLINK("https://github.com/apache/commons-math/commit/89f0abb4ea03816b8d27160fcdf35381871bf351", "89f0abb4ea03816b8d27160fcdf35381871bf351")</f>
        <v>0</v>
      </c>
      <c r="C3405">
        <f>HYPERLINK("https://github.com/apache/commons-math/commit/4f0a49b6743cf5083a50fec1870145d7a683c392", "4f0a49b6743cf5083a50fec1870145d7a683c392")</f>
        <v>0</v>
      </c>
      <c r="D3405" t="s">
        <v>2163</v>
      </c>
      <c r="E3405" t="s">
        <v>2403</v>
      </c>
      <c r="F3405" t="s">
        <v>2888</v>
      </c>
      <c r="G3405" t="s">
        <v>3098</v>
      </c>
      <c r="H3405" t="s">
        <v>3853</v>
      </c>
      <c r="I3405" t="s">
        <v>1357</v>
      </c>
      <c r="J3405" t="s">
        <v>1357</v>
      </c>
      <c r="K3405" t="s">
        <v>1357</v>
      </c>
      <c r="L3405" t="s">
        <v>1357</v>
      </c>
    </row>
    <row r="3406" spans="1:12">
      <c r="A3406" t="s">
        <v>2139</v>
      </c>
      <c r="B3406">
        <f>HYPERLINK("https://github.com/apache/commons-math/commit/9f633f7af452b00fc17078380b22a5262a4bb3e2", "9f633f7af452b00fc17078380b22a5262a4bb3e2")</f>
        <v>0</v>
      </c>
      <c r="C3406">
        <f>HYPERLINK("https://github.com/apache/commons-math/commit/89f0abb4ea03816b8d27160fcdf35381871bf351", "89f0abb4ea03816b8d27160fcdf35381871bf351")</f>
        <v>0</v>
      </c>
      <c r="D3406" t="s">
        <v>2163</v>
      </c>
      <c r="E3406" t="s">
        <v>2403</v>
      </c>
      <c r="F3406" t="s">
        <v>2889</v>
      </c>
      <c r="G3406" t="s">
        <v>3099</v>
      </c>
      <c r="H3406" t="s">
        <v>3853</v>
      </c>
      <c r="I3406" t="s">
        <v>1357</v>
      </c>
      <c r="J3406" t="s">
        <v>1357</v>
      </c>
      <c r="K3406" t="s">
        <v>1357</v>
      </c>
      <c r="L3406" t="s">
        <v>1357</v>
      </c>
    </row>
    <row r="3407" spans="1:12">
      <c r="A3407" t="s">
        <v>2140</v>
      </c>
      <c r="B3407">
        <f>HYPERLINK("https://github.com/apache/commons-math/commit/eab5cb3af159ab9cbb27fdbd1ee484708dfc699c", "eab5cb3af159ab9cbb27fdbd1ee484708dfc699c")</f>
        <v>0</v>
      </c>
      <c r="C3407">
        <f>HYPERLINK("https://github.com/apache/commons-math/commit/94061dc5669452865779bc1d077b0dc7b051a854", "94061dc5669452865779bc1d077b0dc7b051a854")</f>
        <v>0</v>
      </c>
      <c r="D3407" t="s">
        <v>2163</v>
      </c>
      <c r="E3407" t="s">
        <v>2403</v>
      </c>
      <c r="F3407" t="s">
        <v>2890</v>
      </c>
      <c r="G3407" t="s">
        <v>3111</v>
      </c>
      <c r="H3407" t="s">
        <v>3853</v>
      </c>
      <c r="I3407" t="s">
        <v>1357</v>
      </c>
      <c r="J3407" t="s">
        <v>1357</v>
      </c>
      <c r="K3407" t="s">
        <v>1357</v>
      </c>
      <c r="L3407" t="s">
        <v>1357</v>
      </c>
    </row>
    <row r="3408" spans="1:12">
      <c r="A3408" t="s">
        <v>2141</v>
      </c>
      <c r="B3408">
        <f>HYPERLINK("https://github.com/apache/commons-math/commit/c6d5f4b65fc589a715c82d3c643a85dacbc0d1ac", "c6d5f4b65fc589a715c82d3c643a85dacbc0d1ac")</f>
        <v>0</v>
      </c>
      <c r="C3408">
        <f>HYPERLINK("https://github.com/apache/commons-math/commit/2f48fbb5f9888279a9682de6e04f10c5ad7859ea", "2f48fbb5f9888279a9682de6e04f10c5ad7859ea")</f>
        <v>0</v>
      </c>
      <c r="D3408" t="s">
        <v>2163</v>
      </c>
      <c r="E3408" t="s">
        <v>2403</v>
      </c>
      <c r="F3408" t="s">
        <v>2891</v>
      </c>
      <c r="G3408" t="s">
        <v>3242</v>
      </c>
      <c r="H3408" t="s">
        <v>3960</v>
      </c>
      <c r="I3408" t="s">
        <v>1357</v>
      </c>
      <c r="J3408" t="s">
        <v>1357</v>
      </c>
      <c r="K3408" t="s">
        <v>1357</v>
      </c>
      <c r="L3408" t="s">
        <v>1357</v>
      </c>
    </row>
    <row r="3409" spans="1:12">
      <c r="F3409" t="s">
        <v>2892</v>
      </c>
      <c r="G3409" t="s">
        <v>3243</v>
      </c>
      <c r="H3409" t="s">
        <v>3960</v>
      </c>
      <c r="I3409" t="s">
        <v>1357</v>
      </c>
      <c r="J3409" t="s">
        <v>1357</v>
      </c>
      <c r="K3409" t="s">
        <v>1357</v>
      </c>
      <c r="L3409" t="s">
        <v>1357</v>
      </c>
    </row>
    <row r="3410" spans="1:12">
      <c r="F3410" t="s">
        <v>2893</v>
      </c>
      <c r="G3410" t="s">
        <v>3244</v>
      </c>
      <c r="H3410" t="s">
        <v>3960</v>
      </c>
      <c r="I3410" t="s">
        <v>1357</v>
      </c>
      <c r="J3410" t="s">
        <v>1357</v>
      </c>
      <c r="K3410" t="s">
        <v>1357</v>
      </c>
      <c r="L3410" t="s">
        <v>1357</v>
      </c>
    </row>
    <row r="3411" spans="1:12">
      <c r="F3411" t="s">
        <v>2894</v>
      </c>
      <c r="G3411" t="s">
        <v>3245</v>
      </c>
      <c r="H3411" t="s">
        <v>3960</v>
      </c>
      <c r="I3411" t="s">
        <v>1357</v>
      </c>
      <c r="J3411" t="s">
        <v>1357</v>
      </c>
      <c r="K3411" t="s">
        <v>1357</v>
      </c>
      <c r="L3411" t="s">
        <v>1357</v>
      </c>
    </row>
    <row r="3412" spans="1:12">
      <c r="A3412" t="s">
        <v>2142</v>
      </c>
      <c r="B3412">
        <f>HYPERLINK("https://github.com/apache/commons-math/commit/50977290cdda79896ccb6304067341486fe104d2", "50977290cdda79896ccb6304067341486fe104d2")</f>
        <v>0</v>
      </c>
      <c r="C3412">
        <f>HYPERLINK("https://github.com/apache/commons-math/commit/24e4acc7de355092c071bd63336d2fdb31c2c7ff", "24e4acc7de355092c071bd63336d2fdb31c2c7ff")</f>
        <v>0</v>
      </c>
      <c r="D3412" t="s">
        <v>2163</v>
      </c>
      <c r="E3412" t="s">
        <v>2420</v>
      </c>
      <c r="F3412" t="s">
        <v>2891</v>
      </c>
      <c r="G3412" t="s">
        <v>3242</v>
      </c>
      <c r="H3412" t="s">
        <v>1841</v>
      </c>
      <c r="I3412" t="s">
        <v>1358</v>
      </c>
      <c r="J3412" t="s">
        <v>1358</v>
      </c>
      <c r="K3412" t="s">
        <v>1358</v>
      </c>
      <c r="L3412" t="s">
        <v>1358</v>
      </c>
    </row>
    <row r="3413" spans="1:12">
      <c r="A3413" t="s">
        <v>2143</v>
      </c>
      <c r="B3413">
        <f>HYPERLINK("https://github.com/apache/commons-math/commit/654697c048b50b7e2ac28f012792098560df8db9", "654697c048b50b7e2ac28f012792098560df8db9")</f>
        <v>0</v>
      </c>
      <c r="C3413">
        <f>HYPERLINK("https://github.com/apache/commons-math/commit/50977290cdda79896ccb6304067341486fe104d2", "50977290cdda79896ccb6304067341486fe104d2")</f>
        <v>0</v>
      </c>
      <c r="D3413" t="s">
        <v>2164</v>
      </c>
      <c r="E3413" t="s">
        <v>2421</v>
      </c>
      <c r="F3413" t="s">
        <v>2895</v>
      </c>
      <c r="G3413" t="s">
        <v>3151</v>
      </c>
      <c r="H3413" t="s">
        <v>5093</v>
      </c>
      <c r="I3413" t="s">
        <v>1357</v>
      </c>
      <c r="J3413" t="s">
        <v>1357</v>
      </c>
      <c r="K3413" t="s">
        <v>1357</v>
      </c>
      <c r="L3413" t="s">
        <v>1357</v>
      </c>
    </row>
    <row r="3414" spans="1:12">
      <c r="H3414" t="s">
        <v>5094</v>
      </c>
      <c r="I3414" t="s">
        <v>1357</v>
      </c>
      <c r="J3414" t="s">
        <v>1357</v>
      </c>
      <c r="K3414" t="s">
        <v>1357</v>
      </c>
      <c r="L3414" t="s">
        <v>1357</v>
      </c>
    </row>
    <row r="3415" spans="1:12">
      <c r="H3415" t="s">
        <v>5095</v>
      </c>
      <c r="I3415" t="s">
        <v>1357</v>
      </c>
      <c r="J3415" t="s">
        <v>1357</v>
      </c>
      <c r="K3415" t="s">
        <v>1357</v>
      </c>
      <c r="L3415" t="s">
        <v>1357</v>
      </c>
    </row>
    <row r="3416" spans="1:12">
      <c r="H3416" t="s">
        <v>5096</v>
      </c>
      <c r="I3416" t="s">
        <v>1357</v>
      </c>
      <c r="J3416" t="s">
        <v>1357</v>
      </c>
      <c r="K3416" t="s">
        <v>1357</v>
      </c>
      <c r="L3416" t="s">
        <v>1357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53"/>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5116</v>
      </c>
      <c r="B2">
        <f>HYPERLINK("https://github.com/jfree/jfreechart/commit/949365da759b3ea009185090fb4b27e75d768793", "949365da759b3ea009185090fb4b27e75d768793")</f>
        <v>0</v>
      </c>
      <c r="C2">
        <f>HYPERLINK("https://github.com/jfree/jfreechart/commit/9f02d1c1343faea1b3fc9462284ab35dc0c5f2a6", "9f02d1c1343faea1b3fc9462284ab35dc0c5f2a6")</f>
        <v>0</v>
      </c>
      <c r="D2" t="s">
        <v>5131</v>
      </c>
      <c r="E2" t="s">
        <v>5133</v>
      </c>
      <c r="F2" t="s">
        <v>5145</v>
      </c>
      <c r="G2" t="s">
        <v>5175</v>
      </c>
      <c r="H2" t="s">
        <v>899</v>
      </c>
      <c r="I2" t="s">
        <v>1357</v>
      </c>
      <c r="J2" t="s">
        <v>1357</v>
      </c>
      <c r="K2" t="s">
        <v>1357</v>
      </c>
      <c r="L2" t="s">
        <v>1357</v>
      </c>
      <c r="N2" t="s">
        <v>1364</v>
      </c>
    </row>
    <row r="3" spans="1:14">
      <c r="H3" t="s">
        <v>900</v>
      </c>
      <c r="I3" t="s">
        <v>1357</v>
      </c>
      <c r="J3" t="s">
        <v>1357</v>
      </c>
      <c r="K3" t="s">
        <v>1357</v>
      </c>
      <c r="L3" t="s">
        <v>1357</v>
      </c>
      <c r="N3" t="s">
        <v>1364</v>
      </c>
    </row>
    <row r="4" spans="1:14">
      <c r="H4" t="s">
        <v>5204</v>
      </c>
      <c r="I4" t="s">
        <v>1357</v>
      </c>
      <c r="J4" t="s">
        <v>1357</v>
      </c>
      <c r="K4" t="s">
        <v>1357</v>
      </c>
      <c r="L4" t="s">
        <v>1357</v>
      </c>
      <c r="N4" t="s">
        <v>1364</v>
      </c>
    </row>
    <row r="5" spans="1:14">
      <c r="H5" t="s">
        <v>5205</v>
      </c>
      <c r="I5" t="s">
        <v>1357</v>
      </c>
      <c r="J5" t="s">
        <v>1357</v>
      </c>
      <c r="K5" t="s">
        <v>1357</v>
      </c>
      <c r="L5" t="s">
        <v>1357</v>
      </c>
      <c r="N5" t="s">
        <v>1364</v>
      </c>
    </row>
    <row r="6" spans="1:14">
      <c r="F6" t="s">
        <v>5146</v>
      </c>
      <c r="G6" t="s">
        <v>5176</v>
      </c>
      <c r="H6" t="s">
        <v>899</v>
      </c>
      <c r="I6" t="s">
        <v>1357</v>
      </c>
      <c r="J6" t="s">
        <v>1357</v>
      </c>
      <c r="K6" t="s">
        <v>1357</v>
      </c>
      <c r="L6" t="s">
        <v>1357</v>
      </c>
      <c r="N6" t="s">
        <v>1364</v>
      </c>
    </row>
    <row r="7" spans="1:14">
      <c r="H7" t="s">
        <v>5206</v>
      </c>
      <c r="I7" t="s">
        <v>1357</v>
      </c>
      <c r="J7" t="s">
        <v>1357</v>
      </c>
      <c r="K7" t="s">
        <v>1357</v>
      </c>
      <c r="L7" t="s">
        <v>1357</v>
      </c>
      <c r="N7" t="s">
        <v>1364</v>
      </c>
    </row>
    <row r="8" spans="1:14">
      <c r="H8" t="s">
        <v>5204</v>
      </c>
      <c r="I8" t="s">
        <v>1357</v>
      </c>
      <c r="J8" t="s">
        <v>1357</v>
      </c>
      <c r="K8" t="s">
        <v>1357</v>
      </c>
      <c r="L8" t="s">
        <v>1357</v>
      </c>
      <c r="N8" t="s">
        <v>1364</v>
      </c>
    </row>
    <row r="9" spans="1:14">
      <c r="H9" t="s">
        <v>5207</v>
      </c>
      <c r="I9" t="s">
        <v>1357</v>
      </c>
      <c r="J9" t="s">
        <v>1357</v>
      </c>
      <c r="K9" t="s">
        <v>1357</v>
      </c>
      <c r="L9" t="s">
        <v>1357</v>
      </c>
      <c r="N9" t="s">
        <v>1364</v>
      </c>
    </row>
    <row r="10" spans="1:14">
      <c r="H10" t="s">
        <v>5208</v>
      </c>
      <c r="I10" t="s">
        <v>1357</v>
      </c>
      <c r="J10" t="s">
        <v>1357</v>
      </c>
      <c r="K10" t="s">
        <v>1357</v>
      </c>
      <c r="L10" t="s">
        <v>1357</v>
      </c>
      <c r="N10" t="s">
        <v>1364</v>
      </c>
    </row>
    <row r="11" spans="1:14">
      <c r="A11" t="s">
        <v>5117</v>
      </c>
      <c r="B11">
        <f>HYPERLINK("https://github.com/jfree/jfreechart/commit/e4e04e10a80308f2dd5784956d684376faf5b608", "e4e04e10a80308f2dd5784956d684376faf5b608")</f>
        <v>0</v>
      </c>
      <c r="C11">
        <f>HYPERLINK("https://github.com/jfree/jfreechart/commit/a6696e78493374c9e8afb9785452dca0be505e5e", "a6696e78493374c9e8afb9785452dca0be505e5e")</f>
        <v>0</v>
      </c>
      <c r="D11" t="s">
        <v>5131</v>
      </c>
      <c r="E11" t="s">
        <v>5134</v>
      </c>
      <c r="F11" t="s">
        <v>5147</v>
      </c>
      <c r="G11" t="s">
        <v>5177</v>
      </c>
      <c r="H11" t="s">
        <v>5209</v>
      </c>
      <c r="I11" t="s">
        <v>1357</v>
      </c>
      <c r="J11" t="s">
        <v>1357</v>
      </c>
      <c r="K11" t="s">
        <v>1357</v>
      </c>
      <c r="L11" t="s">
        <v>1357</v>
      </c>
    </row>
    <row r="12" spans="1:14">
      <c r="A12" t="s">
        <v>5118</v>
      </c>
      <c r="B12">
        <f>HYPERLINK("https://github.com/jfree/jfreechart/commit/07059fb93ed38147f8ded82ec8d1bf5400be1952", "07059fb93ed38147f8ded82ec8d1bf5400be1952")</f>
        <v>0</v>
      </c>
      <c r="C12">
        <f>HYPERLINK("https://github.com/jfree/jfreechart/commit/9473d89fe2e5b3c0586e502af7ecce1f7a43a3bc", "9473d89fe2e5b3c0586e502af7ecce1f7a43a3bc")</f>
        <v>0</v>
      </c>
      <c r="D12" t="s">
        <v>5131</v>
      </c>
      <c r="E12" t="s">
        <v>5135</v>
      </c>
      <c r="F12" t="s">
        <v>5148</v>
      </c>
      <c r="G12" t="s">
        <v>5178</v>
      </c>
      <c r="H12" t="s">
        <v>899</v>
      </c>
      <c r="I12" t="s">
        <v>1357</v>
      </c>
      <c r="J12" t="s">
        <v>1357</v>
      </c>
      <c r="K12" t="s">
        <v>1357</v>
      </c>
      <c r="L12" t="s">
        <v>1357</v>
      </c>
    </row>
    <row r="13" spans="1:14">
      <c r="H13" t="s">
        <v>900</v>
      </c>
      <c r="I13" t="s">
        <v>1357</v>
      </c>
      <c r="J13" t="s">
        <v>1357</v>
      </c>
      <c r="K13" t="s">
        <v>1357</v>
      </c>
      <c r="L13" t="s">
        <v>1357</v>
      </c>
    </row>
    <row r="14" spans="1:14">
      <c r="H14" t="s">
        <v>5204</v>
      </c>
      <c r="I14" t="s">
        <v>1357</v>
      </c>
      <c r="J14" t="s">
        <v>1357</v>
      </c>
      <c r="K14" t="s">
        <v>1357</v>
      </c>
      <c r="L14" t="s">
        <v>1357</v>
      </c>
    </row>
    <row r="15" spans="1:14">
      <c r="H15" t="s">
        <v>906</v>
      </c>
      <c r="I15" t="s">
        <v>1357</v>
      </c>
      <c r="J15" t="s">
        <v>1357</v>
      </c>
      <c r="K15" t="s">
        <v>1357</v>
      </c>
      <c r="L15" t="s">
        <v>1357</v>
      </c>
    </row>
    <row r="16" spans="1:14">
      <c r="F16" t="s">
        <v>5149</v>
      </c>
      <c r="G16" t="s">
        <v>5179</v>
      </c>
      <c r="H16" t="s">
        <v>906</v>
      </c>
      <c r="I16" t="s">
        <v>1357</v>
      </c>
      <c r="J16" t="s">
        <v>1357</v>
      </c>
      <c r="K16" t="s">
        <v>1357</v>
      </c>
      <c r="L16" t="s">
        <v>1357</v>
      </c>
    </row>
    <row r="17" spans="1:14">
      <c r="A17" t="s">
        <v>5119</v>
      </c>
      <c r="B17">
        <f>HYPERLINK("https://github.com/jfree/jfreechart/commit/4076fe1df622d29ac05593469b55fb1c229bfce1", "4076fe1df622d29ac05593469b55fb1c229bfce1")</f>
        <v>0</v>
      </c>
      <c r="C17">
        <f>HYPERLINK("https://github.com/jfree/jfreechart/commit/07059fb93ed38147f8ded82ec8d1bf5400be1952", "07059fb93ed38147f8ded82ec8d1bf5400be1952")</f>
        <v>0</v>
      </c>
      <c r="D17" t="s">
        <v>5131</v>
      </c>
      <c r="E17" t="s">
        <v>5135</v>
      </c>
      <c r="F17" t="s">
        <v>5150</v>
      </c>
      <c r="G17" t="s">
        <v>5180</v>
      </c>
      <c r="H17" t="s">
        <v>899</v>
      </c>
      <c r="I17" t="s">
        <v>1357</v>
      </c>
      <c r="J17" t="s">
        <v>1357</v>
      </c>
      <c r="K17" t="s">
        <v>1357</v>
      </c>
      <c r="L17" t="s">
        <v>1357</v>
      </c>
    </row>
    <row r="18" spans="1:14">
      <c r="H18" t="s">
        <v>5204</v>
      </c>
      <c r="I18" t="s">
        <v>1357</v>
      </c>
      <c r="J18" t="s">
        <v>1357</v>
      </c>
      <c r="K18" t="s">
        <v>1357</v>
      </c>
      <c r="L18" t="s">
        <v>1357</v>
      </c>
      <c r="M18" t="s">
        <v>5287</v>
      </c>
    </row>
    <row r="19" spans="1:14">
      <c r="H19" t="s">
        <v>906</v>
      </c>
      <c r="I19" t="s">
        <v>1357</v>
      </c>
      <c r="J19" t="s">
        <v>1357</v>
      </c>
      <c r="K19" t="s">
        <v>1357</v>
      </c>
      <c r="L19" t="s">
        <v>1357</v>
      </c>
    </row>
    <row r="20" spans="1:14">
      <c r="F20" t="s">
        <v>5151</v>
      </c>
      <c r="G20" t="s">
        <v>5181</v>
      </c>
      <c r="H20" t="s">
        <v>906</v>
      </c>
      <c r="I20" t="s">
        <v>1357</v>
      </c>
      <c r="J20" t="s">
        <v>1357</v>
      </c>
      <c r="K20" t="s">
        <v>1357</v>
      </c>
      <c r="L20" t="s">
        <v>1357</v>
      </c>
    </row>
    <row r="21" spans="1:14">
      <c r="F21" t="s">
        <v>5152</v>
      </c>
      <c r="G21" t="s">
        <v>5182</v>
      </c>
      <c r="H21" t="s">
        <v>5204</v>
      </c>
      <c r="I21" t="s">
        <v>1357</v>
      </c>
      <c r="J21" t="s">
        <v>1357</v>
      </c>
      <c r="K21" t="s">
        <v>1357</v>
      </c>
      <c r="L21" t="s">
        <v>1357</v>
      </c>
      <c r="N21" t="s">
        <v>5288</v>
      </c>
    </row>
    <row r="22" spans="1:14">
      <c r="H22" t="s">
        <v>899</v>
      </c>
      <c r="I22" t="s">
        <v>1357</v>
      </c>
      <c r="J22" t="s">
        <v>1357</v>
      </c>
      <c r="K22" t="s">
        <v>1357</v>
      </c>
      <c r="L22" t="s">
        <v>1357</v>
      </c>
    </row>
    <row r="23" spans="1:14">
      <c r="A23" t="s">
        <v>5120</v>
      </c>
      <c r="B23">
        <f>HYPERLINK("https://github.com/jfree/jfreechart/commit/61220d6f207fdee783a87ad7428baa0d61c7ad79", "61220d6f207fdee783a87ad7428baa0d61c7ad79")</f>
        <v>0</v>
      </c>
      <c r="C23">
        <f>HYPERLINK("https://github.com/jfree/jfreechart/commit/4076fe1df622d29ac05593469b55fb1c229bfce1", "4076fe1df622d29ac05593469b55fb1c229bfce1")</f>
        <v>0</v>
      </c>
      <c r="D23" t="s">
        <v>5131</v>
      </c>
      <c r="E23" t="s">
        <v>5136</v>
      </c>
      <c r="F23" t="s">
        <v>5153</v>
      </c>
      <c r="G23" t="s">
        <v>5183</v>
      </c>
      <c r="H23" t="s">
        <v>5210</v>
      </c>
      <c r="I23" t="s">
        <v>1357</v>
      </c>
      <c r="J23" t="s">
        <v>1357</v>
      </c>
      <c r="K23" t="s">
        <v>1357</v>
      </c>
      <c r="L23" t="s">
        <v>1357</v>
      </c>
    </row>
    <row r="24" spans="1:14">
      <c r="H24" t="s">
        <v>5211</v>
      </c>
      <c r="I24" t="s">
        <v>1357</v>
      </c>
      <c r="J24" t="s">
        <v>1357</v>
      </c>
      <c r="K24" t="s">
        <v>1357</v>
      </c>
      <c r="L24" t="s">
        <v>1357</v>
      </c>
    </row>
    <row r="25" spans="1:14">
      <c r="H25" t="s">
        <v>5212</v>
      </c>
      <c r="I25" t="s">
        <v>1357</v>
      </c>
      <c r="J25" t="s">
        <v>1357</v>
      </c>
      <c r="K25" t="s">
        <v>1357</v>
      </c>
      <c r="L25" t="s">
        <v>1357</v>
      </c>
    </row>
    <row r="26" spans="1:14">
      <c r="H26" t="s">
        <v>5213</v>
      </c>
      <c r="I26" t="s">
        <v>1357</v>
      </c>
      <c r="J26" t="s">
        <v>1357</v>
      </c>
      <c r="K26" t="s">
        <v>1357</v>
      </c>
      <c r="L26" t="s">
        <v>1357</v>
      </c>
    </row>
    <row r="27" spans="1:14">
      <c r="H27" t="s">
        <v>5214</v>
      </c>
      <c r="I27" t="s">
        <v>1357</v>
      </c>
      <c r="J27" t="s">
        <v>1357</v>
      </c>
      <c r="K27" t="s">
        <v>1357</v>
      </c>
      <c r="L27" t="s">
        <v>1357</v>
      </c>
    </row>
    <row r="28" spans="1:14">
      <c r="H28" t="s">
        <v>5215</v>
      </c>
      <c r="I28" t="s">
        <v>1357</v>
      </c>
      <c r="J28" t="s">
        <v>1357</v>
      </c>
      <c r="K28" t="s">
        <v>1357</v>
      </c>
      <c r="L28" t="s">
        <v>1357</v>
      </c>
    </row>
    <row r="29" spans="1:14">
      <c r="H29" t="s">
        <v>5216</v>
      </c>
      <c r="I29" t="s">
        <v>1357</v>
      </c>
      <c r="J29" t="s">
        <v>1357</v>
      </c>
      <c r="K29" t="s">
        <v>1357</v>
      </c>
      <c r="L29" t="s">
        <v>1357</v>
      </c>
    </row>
    <row r="30" spans="1:14">
      <c r="H30" t="s">
        <v>5217</v>
      </c>
      <c r="I30" t="s">
        <v>1357</v>
      </c>
      <c r="J30" t="s">
        <v>1357</v>
      </c>
      <c r="K30" t="s">
        <v>1357</v>
      </c>
      <c r="L30" t="s">
        <v>1357</v>
      </c>
    </row>
    <row r="31" spans="1:14">
      <c r="H31" t="s">
        <v>5218</v>
      </c>
      <c r="I31" t="s">
        <v>1357</v>
      </c>
      <c r="J31" t="s">
        <v>1357</v>
      </c>
      <c r="K31" t="s">
        <v>1357</v>
      </c>
      <c r="L31" t="s">
        <v>1357</v>
      </c>
    </row>
    <row r="32" spans="1:14">
      <c r="H32" t="s">
        <v>5219</v>
      </c>
      <c r="I32" t="s">
        <v>1357</v>
      </c>
      <c r="J32" t="s">
        <v>1357</v>
      </c>
      <c r="K32" t="s">
        <v>1357</v>
      </c>
      <c r="L32" t="s">
        <v>1357</v>
      </c>
    </row>
    <row r="33" spans="1:12">
      <c r="H33" t="s">
        <v>5220</v>
      </c>
      <c r="I33" t="s">
        <v>1357</v>
      </c>
      <c r="J33" t="s">
        <v>1357</v>
      </c>
      <c r="K33" t="s">
        <v>1357</v>
      </c>
      <c r="L33" t="s">
        <v>1357</v>
      </c>
    </row>
    <row r="34" spans="1:12">
      <c r="A34" t="s">
        <v>5121</v>
      </c>
      <c r="B34">
        <f>HYPERLINK("https://github.com/jfree/jfreechart/commit/1be317c64d9b5b295ca9b519f80f81779b418868", "1be317c64d9b5b295ca9b519f80f81779b418868")</f>
        <v>0</v>
      </c>
      <c r="C34">
        <f>HYPERLINK("https://github.com/jfree/jfreechart/commit/293b2021b7befc0fb331c035fa5b4642da8bc1f2", "293b2021b7befc0fb331c035fa5b4642da8bc1f2")</f>
        <v>0</v>
      </c>
      <c r="D34" t="s">
        <v>5131</v>
      </c>
      <c r="E34" t="s">
        <v>5136</v>
      </c>
      <c r="F34" t="s">
        <v>5154</v>
      </c>
      <c r="G34" t="s">
        <v>5184</v>
      </c>
      <c r="H34" t="s">
        <v>5221</v>
      </c>
      <c r="I34" t="s">
        <v>1357</v>
      </c>
      <c r="J34" t="s">
        <v>1357</v>
      </c>
      <c r="K34" t="s">
        <v>1357</v>
      </c>
      <c r="L34" t="s">
        <v>1357</v>
      </c>
    </row>
    <row r="35" spans="1:12">
      <c r="H35" t="s">
        <v>5222</v>
      </c>
      <c r="I35" t="s">
        <v>1357</v>
      </c>
      <c r="J35" t="s">
        <v>1357</v>
      </c>
      <c r="K35" t="s">
        <v>1357</v>
      </c>
      <c r="L35" t="s">
        <v>1357</v>
      </c>
    </row>
    <row r="36" spans="1:12">
      <c r="H36" t="s">
        <v>5223</v>
      </c>
      <c r="I36" t="s">
        <v>1357</v>
      </c>
      <c r="J36" t="s">
        <v>1357</v>
      </c>
      <c r="K36" t="s">
        <v>1357</v>
      </c>
      <c r="L36" t="s">
        <v>1357</v>
      </c>
    </row>
    <row r="37" spans="1:12">
      <c r="H37" t="s">
        <v>5224</v>
      </c>
      <c r="I37" t="s">
        <v>1357</v>
      </c>
      <c r="J37" t="s">
        <v>1357</v>
      </c>
      <c r="K37" t="s">
        <v>1357</v>
      </c>
      <c r="L37" t="s">
        <v>1357</v>
      </c>
    </row>
    <row r="38" spans="1:12">
      <c r="F38" t="s">
        <v>5155</v>
      </c>
      <c r="G38" t="s">
        <v>5185</v>
      </c>
      <c r="H38" t="s">
        <v>5221</v>
      </c>
      <c r="I38" t="s">
        <v>1357</v>
      </c>
      <c r="J38" t="s">
        <v>1357</v>
      </c>
      <c r="K38" t="s">
        <v>1357</v>
      </c>
      <c r="L38" t="s">
        <v>1357</v>
      </c>
    </row>
    <row r="39" spans="1:12">
      <c r="H39" t="s">
        <v>5222</v>
      </c>
      <c r="I39" t="s">
        <v>1357</v>
      </c>
      <c r="J39" t="s">
        <v>1357</v>
      </c>
      <c r="K39" t="s">
        <v>1357</v>
      </c>
      <c r="L39" t="s">
        <v>1357</v>
      </c>
    </row>
    <row r="40" spans="1:12">
      <c r="H40" t="s">
        <v>5223</v>
      </c>
      <c r="I40" t="s">
        <v>1357</v>
      </c>
      <c r="J40" t="s">
        <v>1357</v>
      </c>
      <c r="K40" t="s">
        <v>1357</v>
      </c>
      <c r="L40" t="s">
        <v>1357</v>
      </c>
    </row>
    <row r="41" spans="1:12">
      <c r="H41" t="s">
        <v>5224</v>
      </c>
      <c r="I41" t="s">
        <v>1357</v>
      </c>
      <c r="J41" t="s">
        <v>1357</v>
      </c>
      <c r="K41" t="s">
        <v>1357</v>
      </c>
      <c r="L41" t="s">
        <v>1357</v>
      </c>
    </row>
    <row r="42" spans="1:12">
      <c r="F42" t="s">
        <v>5156</v>
      </c>
      <c r="G42" t="s">
        <v>5186</v>
      </c>
      <c r="H42" t="s">
        <v>5221</v>
      </c>
      <c r="I42" t="s">
        <v>1357</v>
      </c>
      <c r="J42" t="s">
        <v>1357</v>
      </c>
      <c r="K42" t="s">
        <v>1357</v>
      </c>
      <c r="L42" t="s">
        <v>1357</v>
      </c>
    </row>
    <row r="43" spans="1:12">
      <c r="H43" t="s">
        <v>5222</v>
      </c>
      <c r="I43" t="s">
        <v>1357</v>
      </c>
      <c r="J43" t="s">
        <v>1357</v>
      </c>
      <c r="K43" t="s">
        <v>1357</v>
      </c>
      <c r="L43" t="s">
        <v>1357</v>
      </c>
    </row>
    <row r="44" spans="1:12">
      <c r="H44" t="s">
        <v>5223</v>
      </c>
      <c r="I44" t="s">
        <v>1357</v>
      </c>
      <c r="J44" t="s">
        <v>1357</v>
      </c>
      <c r="K44" t="s">
        <v>1357</v>
      </c>
      <c r="L44" t="s">
        <v>1357</v>
      </c>
    </row>
    <row r="45" spans="1:12">
      <c r="H45" t="s">
        <v>5224</v>
      </c>
      <c r="I45" t="s">
        <v>1357</v>
      </c>
      <c r="J45" t="s">
        <v>1357</v>
      </c>
      <c r="K45" t="s">
        <v>1357</v>
      </c>
      <c r="L45" t="s">
        <v>1357</v>
      </c>
    </row>
    <row r="46" spans="1:12">
      <c r="F46" t="s">
        <v>5157</v>
      </c>
      <c r="G46" t="s">
        <v>5187</v>
      </c>
      <c r="H46" t="s">
        <v>899</v>
      </c>
      <c r="I46" t="s">
        <v>1357</v>
      </c>
      <c r="J46" t="s">
        <v>1357</v>
      </c>
      <c r="K46" t="s">
        <v>1357</v>
      </c>
      <c r="L46" t="s">
        <v>1357</v>
      </c>
    </row>
    <row r="47" spans="1:12">
      <c r="H47" t="s">
        <v>5206</v>
      </c>
      <c r="I47" t="s">
        <v>1357</v>
      </c>
      <c r="J47" t="s">
        <v>1357</v>
      </c>
      <c r="K47" t="s">
        <v>1357</v>
      </c>
      <c r="L47" t="s">
        <v>1357</v>
      </c>
    </row>
    <row r="48" spans="1:12">
      <c r="H48" t="s">
        <v>5204</v>
      </c>
      <c r="I48" t="s">
        <v>1357</v>
      </c>
      <c r="J48" t="s">
        <v>1357</v>
      </c>
      <c r="K48" t="s">
        <v>1357</v>
      </c>
      <c r="L48" t="s">
        <v>1357</v>
      </c>
    </row>
    <row r="49" spans="6:12">
      <c r="H49" t="s">
        <v>5205</v>
      </c>
      <c r="I49" t="s">
        <v>1357</v>
      </c>
      <c r="J49" t="s">
        <v>1357</v>
      </c>
      <c r="K49" t="s">
        <v>1357</v>
      </c>
      <c r="L49" t="s">
        <v>1357</v>
      </c>
    </row>
    <row r="50" spans="6:12">
      <c r="H50" t="s">
        <v>906</v>
      </c>
      <c r="I50" t="s">
        <v>1357</v>
      </c>
      <c r="J50" t="s">
        <v>1357</v>
      </c>
      <c r="K50" t="s">
        <v>1357</v>
      </c>
      <c r="L50" t="s">
        <v>1357</v>
      </c>
    </row>
    <row r="51" spans="6:12">
      <c r="F51" t="s">
        <v>5158</v>
      </c>
      <c r="G51" t="s">
        <v>5188</v>
      </c>
      <c r="H51" t="s">
        <v>899</v>
      </c>
      <c r="I51" t="s">
        <v>1357</v>
      </c>
      <c r="J51" t="s">
        <v>1357</v>
      </c>
      <c r="K51" t="s">
        <v>1357</v>
      </c>
      <c r="L51" t="s">
        <v>1357</v>
      </c>
    </row>
    <row r="52" spans="6:12">
      <c r="H52" t="s">
        <v>5206</v>
      </c>
      <c r="I52" t="s">
        <v>1357</v>
      </c>
      <c r="J52" t="s">
        <v>1357</v>
      </c>
      <c r="K52" t="s">
        <v>1357</v>
      </c>
      <c r="L52" t="s">
        <v>1357</v>
      </c>
    </row>
    <row r="53" spans="6:12">
      <c r="H53" t="s">
        <v>5204</v>
      </c>
      <c r="I53" t="s">
        <v>1357</v>
      </c>
      <c r="J53" t="s">
        <v>1357</v>
      </c>
      <c r="K53" t="s">
        <v>1357</v>
      </c>
      <c r="L53" t="s">
        <v>1357</v>
      </c>
    </row>
    <row r="54" spans="6:12">
      <c r="H54" t="s">
        <v>5205</v>
      </c>
      <c r="I54" t="s">
        <v>1357</v>
      </c>
      <c r="J54" t="s">
        <v>1357</v>
      </c>
      <c r="K54" t="s">
        <v>1357</v>
      </c>
      <c r="L54" t="s">
        <v>1357</v>
      </c>
    </row>
    <row r="55" spans="6:12">
      <c r="H55" t="s">
        <v>906</v>
      </c>
      <c r="I55" t="s">
        <v>1357</v>
      </c>
      <c r="J55" t="s">
        <v>1357</v>
      </c>
      <c r="K55" t="s">
        <v>1357</v>
      </c>
      <c r="L55" t="s">
        <v>1357</v>
      </c>
    </row>
    <row r="56" spans="6:12">
      <c r="F56" t="s">
        <v>5159</v>
      </c>
      <c r="G56" t="s">
        <v>5189</v>
      </c>
      <c r="H56" t="s">
        <v>5225</v>
      </c>
      <c r="I56" t="s">
        <v>1357</v>
      </c>
      <c r="J56" t="s">
        <v>1357</v>
      </c>
      <c r="K56" t="s">
        <v>1357</v>
      </c>
      <c r="L56" t="s">
        <v>1357</v>
      </c>
    </row>
    <row r="57" spans="6:12">
      <c r="H57" t="s">
        <v>899</v>
      </c>
      <c r="I57" t="s">
        <v>1357</v>
      </c>
      <c r="J57" t="s">
        <v>1357</v>
      </c>
      <c r="K57" t="s">
        <v>1357</v>
      </c>
      <c r="L57" t="s">
        <v>1357</v>
      </c>
    </row>
    <row r="58" spans="6:12">
      <c r="H58" t="s">
        <v>5206</v>
      </c>
      <c r="I58" t="s">
        <v>1357</v>
      </c>
      <c r="J58" t="s">
        <v>1357</v>
      </c>
      <c r="K58" t="s">
        <v>1357</v>
      </c>
      <c r="L58" t="s">
        <v>1357</v>
      </c>
    </row>
    <row r="59" spans="6:12">
      <c r="H59" t="s">
        <v>5204</v>
      </c>
      <c r="I59" t="s">
        <v>1357</v>
      </c>
      <c r="J59" t="s">
        <v>1357</v>
      </c>
      <c r="K59" t="s">
        <v>1357</v>
      </c>
      <c r="L59" t="s">
        <v>1357</v>
      </c>
    </row>
    <row r="60" spans="6:12">
      <c r="H60" t="s">
        <v>5205</v>
      </c>
      <c r="I60" t="s">
        <v>1357</v>
      </c>
      <c r="J60" t="s">
        <v>1357</v>
      </c>
      <c r="K60" t="s">
        <v>1357</v>
      </c>
      <c r="L60" t="s">
        <v>1357</v>
      </c>
    </row>
    <row r="61" spans="6:12">
      <c r="H61" t="s">
        <v>906</v>
      </c>
      <c r="I61" t="s">
        <v>1357</v>
      </c>
      <c r="J61" t="s">
        <v>1357</v>
      </c>
      <c r="K61" t="s">
        <v>1357</v>
      </c>
      <c r="L61" t="s">
        <v>1357</v>
      </c>
    </row>
    <row r="62" spans="6:12">
      <c r="H62" t="s">
        <v>5226</v>
      </c>
      <c r="I62" t="s">
        <v>1357</v>
      </c>
      <c r="J62" t="s">
        <v>1357</v>
      </c>
      <c r="K62" t="s">
        <v>1357</v>
      </c>
      <c r="L62" t="s">
        <v>1357</v>
      </c>
    </row>
    <row r="63" spans="6:12">
      <c r="H63" t="s">
        <v>5227</v>
      </c>
      <c r="I63" t="s">
        <v>1357</v>
      </c>
      <c r="J63" t="s">
        <v>1357</v>
      </c>
      <c r="K63" t="s">
        <v>1357</v>
      </c>
      <c r="L63" t="s">
        <v>1357</v>
      </c>
    </row>
    <row r="64" spans="6:12">
      <c r="H64" t="s">
        <v>5228</v>
      </c>
      <c r="I64" t="s">
        <v>1357</v>
      </c>
      <c r="J64" t="s">
        <v>1357</v>
      </c>
      <c r="K64" t="s">
        <v>1357</v>
      </c>
      <c r="L64" t="s">
        <v>1357</v>
      </c>
    </row>
    <row r="65" spans="1:12">
      <c r="H65" t="s">
        <v>5229</v>
      </c>
      <c r="I65" t="s">
        <v>1357</v>
      </c>
      <c r="J65" t="s">
        <v>1357</v>
      </c>
      <c r="K65" t="s">
        <v>1357</v>
      </c>
      <c r="L65" t="s">
        <v>1357</v>
      </c>
    </row>
    <row r="66" spans="1:12">
      <c r="H66" t="s">
        <v>5230</v>
      </c>
      <c r="I66" t="s">
        <v>1357</v>
      </c>
      <c r="J66" t="s">
        <v>1357</v>
      </c>
      <c r="K66" t="s">
        <v>1357</v>
      </c>
      <c r="L66" t="s">
        <v>1357</v>
      </c>
    </row>
    <row r="67" spans="1:12">
      <c r="H67" t="s">
        <v>5231</v>
      </c>
      <c r="I67" t="s">
        <v>1357</v>
      </c>
      <c r="J67" t="s">
        <v>1357</v>
      </c>
      <c r="K67" t="s">
        <v>1357</v>
      </c>
      <c r="L67" t="s">
        <v>1357</v>
      </c>
    </row>
    <row r="68" spans="1:12">
      <c r="H68" t="s">
        <v>5232</v>
      </c>
      <c r="I68" t="s">
        <v>1357</v>
      </c>
      <c r="J68" t="s">
        <v>1357</v>
      </c>
      <c r="K68" t="s">
        <v>1357</v>
      </c>
      <c r="L68" t="s">
        <v>1357</v>
      </c>
    </row>
    <row r="69" spans="1:12">
      <c r="H69" t="s">
        <v>5233</v>
      </c>
      <c r="I69" t="s">
        <v>1357</v>
      </c>
      <c r="J69" t="s">
        <v>1357</v>
      </c>
      <c r="K69" t="s">
        <v>1357</v>
      </c>
      <c r="L69" t="s">
        <v>1357</v>
      </c>
    </row>
    <row r="70" spans="1:12">
      <c r="H70" t="s">
        <v>5234</v>
      </c>
      <c r="I70" t="s">
        <v>1357</v>
      </c>
      <c r="J70" t="s">
        <v>1357</v>
      </c>
      <c r="K70" t="s">
        <v>1357</v>
      </c>
      <c r="L70" t="s">
        <v>1357</v>
      </c>
    </row>
    <row r="71" spans="1:12">
      <c r="H71" t="s">
        <v>5235</v>
      </c>
      <c r="I71" t="s">
        <v>1357</v>
      </c>
      <c r="J71" t="s">
        <v>1357</v>
      </c>
      <c r="K71" t="s">
        <v>1357</v>
      </c>
      <c r="L71" t="s">
        <v>1357</v>
      </c>
    </row>
    <row r="72" spans="1:12">
      <c r="H72" t="s">
        <v>5236</v>
      </c>
      <c r="I72" t="s">
        <v>1357</v>
      </c>
      <c r="J72" t="s">
        <v>1357</v>
      </c>
      <c r="K72" t="s">
        <v>1357</v>
      </c>
      <c r="L72" t="s">
        <v>1357</v>
      </c>
    </row>
    <row r="73" spans="1:12">
      <c r="H73" t="s">
        <v>5237</v>
      </c>
      <c r="I73" t="s">
        <v>1357</v>
      </c>
      <c r="J73" t="s">
        <v>1357</v>
      </c>
      <c r="K73" t="s">
        <v>1357</v>
      </c>
      <c r="L73" t="s">
        <v>1357</v>
      </c>
    </row>
    <row r="74" spans="1:12">
      <c r="H74" t="s">
        <v>5238</v>
      </c>
      <c r="I74" t="s">
        <v>1357</v>
      </c>
      <c r="J74" t="s">
        <v>1357</v>
      </c>
      <c r="K74" t="s">
        <v>1357</v>
      </c>
      <c r="L74" t="s">
        <v>1357</v>
      </c>
    </row>
    <row r="75" spans="1:12">
      <c r="H75" t="s">
        <v>5239</v>
      </c>
      <c r="I75" t="s">
        <v>1357</v>
      </c>
      <c r="J75" t="s">
        <v>1357</v>
      </c>
      <c r="K75" t="s">
        <v>1357</v>
      </c>
      <c r="L75" t="s">
        <v>1357</v>
      </c>
    </row>
    <row r="76" spans="1:12">
      <c r="H76" t="s">
        <v>5240</v>
      </c>
      <c r="I76" t="s">
        <v>1357</v>
      </c>
      <c r="J76" t="s">
        <v>1357</v>
      </c>
      <c r="K76" t="s">
        <v>1357</v>
      </c>
      <c r="L76" t="s">
        <v>1357</v>
      </c>
    </row>
    <row r="77" spans="1:12">
      <c r="H77" t="s">
        <v>5241</v>
      </c>
      <c r="I77" t="s">
        <v>1357</v>
      </c>
      <c r="J77" t="s">
        <v>1357</v>
      </c>
      <c r="K77" t="s">
        <v>1357</v>
      </c>
      <c r="L77" t="s">
        <v>1357</v>
      </c>
    </row>
    <row r="78" spans="1:12">
      <c r="H78" t="s">
        <v>5242</v>
      </c>
      <c r="I78" t="s">
        <v>1357</v>
      </c>
      <c r="J78" t="s">
        <v>1357</v>
      </c>
      <c r="K78" t="s">
        <v>1357</v>
      </c>
      <c r="L78" t="s">
        <v>1357</v>
      </c>
    </row>
    <row r="79" spans="1:12">
      <c r="A79" t="s">
        <v>5122</v>
      </c>
      <c r="B79">
        <f>HYPERLINK("https://github.com/jfree/jfreechart/commit/79679c0545f5167515d40e2f23f19e91aa691077", "79679c0545f5167515d40e2f23f19e91aa691077")</f>
        <v>0</v>
      </c>
      <c r="C79">
        <f>HYPERLINK("https://github.com/jfree/jfreechart/commit/1be317c64d9b5b295ca9b519f80f81779b418868", "1be317c64d9b5b295ca9b519f80f81779b418868")</f>
        <v>0</v>
      </c>
      <c r="D79" t="s">
        <v>5131</v>
      </c>
      <c r="E79" t="s">
        <v>5136</v>
      </c>
      <c r="F79" t="s">
        <v>5160</v>
      </c>
      <c r="G79" t="s">
        <v>5190</v>
      </c>
      <c r="H79" t="s">
        <v>3834</v>
      </c>
      <c r="I79" t="s">
        <v>1357</v>
      </c>
      <c r="J79" t="s">
        <v>1357</v>
      </c>
      <c r="K79" t="s">
        <v>1357</v>
      </c>
      <c r="L79" t="s">
        <v>1357</v>
      </c>
    </row>
    <row r="80" spans="1:12">
      <c r="H80" t="s">
        <v>3835</v>
      </c>
      <c r="I80" t="s">
        <v>1357</v>
      </c>
      <c r="J80" t="s">
        <v>1357</v>
      </c>
      <c r="K80" t="s">
        <v>1357</v>
      </c>
      <c r="L80" t="s">
        <v>1357</v>
      </c>
    </row>
    <row r="81" spans="6:12">
      <c r="H81" t="s">
        <v>3836</v>
      </c>
      <c r="I81" t="s">
        <v>1357</v>
      </c>
      <c r="J81" t="s">
        <v>1357</v>
      </c>
      <c r="K81" t="s">
        <v>1357</v>
      </c>
      <c r="L81" t="s">
        <v>1357</v>
      </c>
    </row>
    <row r="82" spans="6:12">
      <c r="H82" t="s">
        <v>3837</v>
      </c>
      <c r="I82" t="s">
        <v>1357</v>
      </c>
      <c r="J82" t="s">
        <v>1357</v>
      </c>
      <c r="K82" t="s">
        <v>1357</v>
      </c>
      <c r="L82" t="s">
        <v>1357</v>
      </c>
    </row>
    <row r="83" spans="6:12">
      <c r="H83" t="s">
        <v>3838</v>
      </c>
      <c r="I83" t="s">
        <v>1357</v>
      </c>
      <c r="J83" t="s">
        <v>1357</v>
      </c>
      <c r="K83" t="s">
        <v>1357</v>
      </c>
      <c r="L83" t="s">
        <v>1357</v>
      </c>
    </row>
    <row r="84" spans="6:12">
      <c r="H84" t="s">
        <v>5243</v>
      </c>
      <c r="I84" t="s">
        <v>1357</v>
      </c>
      <c r="J84" t="s">
        <v>1357</v>
      </c>
      <c r="K84" t="s">
        <v>1357</v>
      </c>
      <c r="L84" t="s">
        <v>1357</v>
      </c>
    </row>
    <row r="85" spans="6:12">
      <c r="H85" t="s">
        <v>5244</v>
      </c>
      <c r="I85" t="s">
        <v>1357</v>
      </c>
      <c r="J85" t="s">
        <v>1357</v>
      </c>
      <c r="K85" t="s">
        <v>1357</v>
      </c>
      <c r="L85" t="s">
        <v>1357</v>
      </c>
    </row>
    <row r="86" spans="6:12">
      <c r="H86" t="s">
        <v>5245</v>
      </c>
      <c r="I86" t="s">
        <v>1357</v>
      </c>
      <c r="J86" t="s">
        <v>1357</v>
      </c>
      <c r="K86" t="s">
        <v>1357</v>
      </c>
      <c r="L86" t="s">
        <v>1357</v>
      </c>
    </row>
    <row r="87" spans="6:12">
      <c r="F87" t="s">
        <v>5161</v>
      </c>
      <c r="G87" t="s">
        <v>5191</v>
      </c>
      <c r="H87" t="s">
        <v>5246</v>
      </c>
      <c r="I87" t="s">
        <v>1357</v>
      </c>
      <c r="J87" t="s">
        <v>1357</v>
      </c>
      <c r="K87" t="s">
        <v>1357</v>
      </c>
      <c r="L87" t="s">
        <v>1357</v>
      </c>
    </row>
    <row r="88" spans="6:12">
      <c r="H88" t="s">
        <v>5247</v>
      </c>
      <c r="I88" t="s">
        <v>1357</v>
      </c>
      <c r="J88" t="s">
        <v>1357</v>
      </c>
      <c r="K88" t="s">
        <v>1357</v>
      </c>
      <c r="L88" t="s">
        <v>1357</v>
      </c>
    </row>
    <row r="89" spans="6:12">
      <c r="H89" t="s">
        <v>5248</v>
      </c>
      <c r="I89" t="s">
        <v>1357</v>
      </c>
      <c r="J89" t="s">
        <v>1357</v>
      </c>
      <c r="K89" t="s">
        <v>1357</v>
      </c>
      <c r="L89" t="s">
        <v>1357</v>
      </c>
    </row>
    <row r="90" spans="6:12">
      <c r="H90" t="s">
        <v>5249</v>
      </c>
      <c r="I90" t="s">
        <v>1357</v>
      </c>
      <c r="J90" t="s">
        <v>1357</v>
      </c>
      <c r="K90" t="s">
        <v>1357</v>
      </c>
      <c r="L90" t="s">
        <v>1357</v>
      </c>
    </row>
    <row r="91" spans="6:12">
      <c r="H91" t="s">
        <v>5250</v>
      </c>
      <c r="I91" t="s">
        <v>1357</v>
      </c>
      <c r="J91" t="s">
        <v>1357</v>
      </c>
      <c r="K91" t="s">
        <v>1357</v>
      </c>
      <c r="L91" t="s">
        <v>1357</v>
      </c>
    </row>
    <row r="92" spans="6:12">
      <c r="H92" t="s">
        <v>5251</v>
      </c>
      <c r="I92" t="s">
        <v>1357</v>
      </c>
      <c r="J92" t="s">
        <v>1357</v>
      </c>
      <c r="K92" t="s">
        <v>1357</v>
      </c>
      <c r="L92" t="s">
        <v>1357</v>
      </c>
    </row>
    <row r="93" spans="6:12">
      <c r="H93" t="s">
        <v>5252</v>
      </c>
      <c r="I93" t="s">
        <v>1357</v>
      </c>
      <c r="J93" t="s">
        <v>1357</v>
      </c>
      <c r="K93" t="s">
        <v>1357</v>
      </c>
      <c r="L93" t="s">
        <v>1357</v>
      </c>
    </row>
    <row r="94" spans="6:12">
      <c r="H94" t="s">
        <v>5253</v>
      </c>
      <c r="I94" t="s">
        <v>1357</v>
      </c>
      <c r="J94" t="s">
        <v>1357</v>
      </c>
      <c r="K94" t="s">
        <v>1357</v>
      </c>
      <c r="L94" t="s">
        <v>1357</v>
      </c>
    </row>
    <row r="95" spans="6:12">
      <c r="H95" t="s">
        <v>5254</v>
      </c>
      <c r="I95" t="s">
        <v>1357</v>
      </c>
      <c r="J95" t="s">
        <v>1357</v>
      </c>
      <c r="K95" t="s">
        <v>1357</v>
      </c>
      <c r="L95" t="s">
        <v>1357</v>
      </c>
    </row>
    <row r="96" spans="6:12">
      <c r="H96" t="s">
        <v>5255</v>
      </c>
      <c r="I96" t="s">
        <v>1357</v>
      </c>
      <c r="J96" t="s">
        <v>1357</v>
      </c>
      <c r="K96" t="s">
        <v>1357</v>
      </c>
      <c r="L96" t="s">
        <v>1357</v>
      </c>
    </row>
    <row r="97" spans="8:12">
      <c r="H97" t="s">
        <v>5256</v>
      </c>
      <c r="I97" t="s">
        <v>1357</v>
      </c>
      <c r="J97" t="s">
        <v>1357</v>
      </c>
      <c r="K97" t="s">
        <v>1357</v>
      </c>
      <c r="L97" t="s">
        <v>1357</v>
      </c>
    </row>
    <row r="98" spans="8:12">
      <c r="H98" t="s">
        <v>5257</v>
      </c>
      <c r="I98" t="s">
        <v>1357</v>
      </c>
      <c r="J98" t="s">
        <v>1357</v>
      </c>
      <c r="K98" t="s">
        <v>1357</v>
      </c>
      <c r="L98" t="s">
        <v>1357</v>
      </c>
    </row>
    <row r="99" spans="8:12">
      <c r="H99" t="s">
        <v>5258</v>
      </c>
      <c r="I99" t="s">
        <v>1357</v>
      </c>
      <c r="J99" t="s">
        <v>1357</v>
      </c>
      <c r="K99" t="s">
        <v>1357</v>
      </c>
      <c r="L99" t="s">
        <v>1357</v>
      </c>
    </row>
    <row r="100" spans="8:12">
      <c r="H100" t="s">
        <v>5259</v>
      </c>
      <c r="I100" t="s">
        <v>1357</v>
      </c>
      <c r="J100" t="s">
        <v>1357</v>
      </c>
      <c r="K100" t="s">
        <v>1357</v>
      </c>
      <c r="L100" t="s">
        <v>1357</v>
      </c>
    </row>
    <row r="101" spans="8:12">
      <c r="H101" t="s">
        <v>5260</v>
      </c>
      <c r="I101" t="s">
        <v>1357</v>
      </c>
      <c r="J101" t="s">
        <v>1357</v>
      </c>
      <c r="K101" t="s">
        <v>1357</v>
      </c>
      <c r="L101" t="s">
        <v>1357</v>
      </c>
    </row>
    <row r="102" spans="8:12">
      <c r="H102" t="s">
        <v>5261</v>
      </c>
      <c r="I102" t="s">
        <v>1357</v>
      </c>
      <c r="J102" t="s">
        <v>1357</v>
      </c>
      <c r="K102" t="s">
        <v>1357</v>
      </c>
      <c r="L102" t="s">
        <v>1357</v>
      </c>
    </row>
    <row r="103" spans="8:12">
      <c r="H103" t="s">
        <v>5262</v>
      </c>
      <c r="I103" t="s">
        <v>1357</v>
      </c>
      <c r="J103" t="s">
        <v>1357</v>
      </c>
      <c r="K103" t="s">
        <v>1357</v>
      </c>
      <c r="L103" t="s">
        <v>1357</v>
      </c>
    </row>
    <row r="104" spans="8:12">
      <c r="H104" t="s">
        <v>5263</v>
      </c>
      <c r="I104" t="s">
        <v>1357</v>
      </c>
      <c r="J104" t="s">
        <v>1357</v>
      </c>
      <c r="K104" t="s">
        <v>1357</v>
      </c>
      <c r="L104" t="s">
        <v>1357</v>
      </c>
    </row>
    <row r="105" spans="8:12">
      <c r="H105" t="s">
        <v>5264</v>
      </c>
      <c r="I105" t="s">
        <v>1357</v>
      </c>
      <c r="J105" t="s">
        <v>1357</v>
      </c>
      <c r="K105" t="s">
        <v>1357</v>
      </c>
      <c r="L105" t="s">
        <v>1357</v>
      </c>
    </row>
    <row r="106" spans="8:12">
      <c r="H106" t="s">
        <v>5265</v>
      </c>
      <c r="I106" t="s">
        <v>1357</v>
      </c>
      <c r="J106" t="s">
        <v>1357</v>
      </c>
      <c r="K106" t="s">
        <v>1357</v>
      </c>
      <c r="L106" t="s">
        <v>1357</v>
      </c>
    </row>
    <row r="107" spans="8:12">
      <c r="H107" t="s">
        <v>5266</v>
      </c>
      <c r="I107" t="s">
        <v>1357</v>
      </c>
      <c r="J107" t="s">
        <v>1357</v>
      </c>
      <c r="K107" t="s">
        <v>1357</v>
      </c>
      <c r="L107" t="s">
        <v>1357</v>
      </c>
    </row>
    <row r="108" spans="8:12">
      <c r="H108" t="s">
        <v>5267</v>
      </c>
      <c r="I108" t="s">
        <v>1357</v>
      </c>
      <c r="J108" t="s">
        <v>1357</v>
      </c>
      <c r="K108" t="s">
        <v>1357</v>
      </c>
      <c r="L108" t="s">
        <v>1357</v>
      </c>
    </row>
    <row r="109" spans="8:12">
      <c r="H109" t="s">
        <v>5268</v>
      </c>
      <c r="I109" t="s">
        <v>1357</v>
      </c>
      <c r="J109" t="s">
        <v>1357</v>
      </c>
      <c r="K109" t="s">
        <v>1357</v>
      </c>
      <c r="L109" t="s">
        <v>1357</v>
      </c>
    </row>
    <row r="110" spans="8:12">
      <c r="H110" t="s">
        <v>5269</v>
      </c>
      <c r="I110" t="s">
        <v>1357</v>
      </c>
      <c r="J110" t="s">
        <v>1357</v>
      </c>
      <c r="K110" t="s">
        <v>1357</v>
      </c>
      <c r="L110" t="s">
        <v>1357</v>
      </c>
    </row>
    <row r="111" spans="8:12">
      <c r="H111" t="s">
        <v>5270</v>
      </c>
      <c r="I111" t="s">
        <v>1357</v>
      </c>
      <c r="J111" t="s">
        <v>1357</v>
      </c>
      <c r="K111" t="s">
        <v>1357</v>
      </c>
      <c r="L111" t="s">
        <v>1357</v>
      </c>
    </row>
    <row r="112" spans="8:12">
      <c r="H112" t="s">
        <v>906</v>
      </c>
      <c r="I112" t="s">
        <v>1357</v>
      </c>
      <c r="J112" t="s">
        <v>1357</v>
      </c>
      <c r="K112" t="s">
        <v>1357</v>
      </c>
      <c r="L112" t="s">
        <v>1357</v>
      </c>
    </row>
    <row r="113" spans="1:12">
      <c r="H113" t="s">
        <v>5204</v>
      </c>
      <c r="I113" t="s">
        <v>1357</v>
      </c>
      <c r="J113" t="s">
        <v>1357</v>
      </c>
      <c r="K113" t="s">
        <v>1357</v>
      </c>
      <c r="L113" t="s">
        <v>1357</v>
      </c>
    </row>
    <row r="114" spans="1:12">
      <c r="H114" t="s">
        <v>899</v>
      </c>
      <c r="I114" t="s">
        <v>1357</v>
      </c>
      <c r="J114" t="s">
        <v>1357</v>
      </c>
      <c r="K114" t="s">
        <v>1357</v>
      </c>
      <c r="L114" t="s">
        <v>1357</v>
      </c>
    </row>
    <row r="115" spans="1:12">
      <c r="H115" t="s">
        <v>900</v>
      </c>
      <c r="I115" t="s">
        <v>1357</v>
      </c>
      <c r="J115" t="s">
        <v>1357</v>
      </c>
      <c r="K115" t="s">
        <v>1357</v>
      </c>
      <c r="L115" t="s">
        <v>1357</v>
      </c>
    </row>
    <row r="116" spans="1:12">
      <c r="H116" t="s">
        <v>5271</v>
      </c>
      <c r="I116" t="s">
        <v>1357</v>
      </c>
      <c r="J116" t="s">
        <v>1357</v>
      </c>
      <c r="K116" t="s">
        <v>1357</v>
      </c>
      <c r="L116" t="s">
        <v>1357</v>
      </c>
    </row>
    <row r="117" spans="1:12">
      <c r="H117" t="s">
        <v>5272</v>
      </c>
      <c r="I117" t="s">
        <v>1357</v>
      </c>
      <c r="J117" t="s">
        <v>1357</v>
      </c>
      <c r="K117" t="s">
        <v>1357</v>
      </c>
      <c r="L117" t="s">
        <v>1357</v>
      </c>
    </row>
    <row r="118" spans="1:12">
      <c r="H118" t="s">
        <v>5273</v>
      </c>
      <c r="I118" t="s">
        <v>1357</v>
      </c>
      <c r="J118" t="s">
        <v>1357</v>
      </c>
      <c r="K118" t="s">
        <v>1357</v>
      </c>
      <c r="L118" t="s">
        <v>1357</v>
      </c>
    </row>
    <row r="119" spans="1:12">
      <c r="F119" t="s">
        <v>5162</v>
      </c>
      <c r="G119" t="s">
        <v>5192</v>
      </c>
      <c r="H119" t="s">
        <v>5274</v>
      </c>
      <c r="I119" t="s">
        <v>1357</v>
      </c>
      <c r="J119" t="s">
        <v>1357</v>
      </c>
      <c r="K119" t="s">
        <v>1357</v>
      </c>
      <c r="L119" t="s">
        <v>1357</v>
      </c>
    </row>
    <row r="120" spans="1:12">
      <c r="A120" t="s">
        <v>5123</v>
      </c>
      <c r="B120">
        <f>HYPERLINK("https://github.com/jfree/jfreechart/commit/7a5eb4da438e513501501c76e3f100999c3c6ee4", "7a5eb4da438e513501501c76e3f100999c3c6ee4")</f>
        <v>0</v>
      </c>
      <c r="C120">
        <f>HYPERLINK("https://github.com/jfree/jfreechart/commit/6a67a2027cb181c8d00b88145a1b4b0116c38805", "6a67a2027cb181c8d00b88145a1b4b0116c38805")</f>
        <v>0</v>
      </c>
      <c r="D120" t="s">
        <v>5131</v>
      </c>
      <c r="E120" t="s">
        <v>5137</v>
      </c>
      <c r="F120" t="s">
        <v>5163</v>
      </c>
      <c r="G120" t="s">
        <v>5193</v>
      </c>
      <c r="H120" t="s">
        <v>5204</v>
      </c>
      <c r="I120" t="s">
        <v>1357</v>
      </c>
      <c r="J120" t="s">
        <v>1357</v>
      </c>
      <c r="K120" t="s">
        <v>1357</v>
      </c>
      <c r="L120" t="s">
        <v>1357</v>
      </c>
    </row>
    <row r="121" spans="1:12">
      <c r="H121" t="s">
        <v>906</v>
      </c>
      <c r="I121" t="s">
        <v>1357</v>
      </c>
      <c r="J121" t="s">
        <v>1357</v>
      </c>
      <c r="K121" t="s">
        <v>1357</v>
      </c>
      <c r="L121" t="s">
        <v>1357</v>
      </c>
    </row>
    <row r="122" spans="1:12">
      <c r="F122" t="s">
        <v>5164</v>
      </c>
      <c r="G122" t="s">
        <v>5194</v>
      </c>
      <c r="H122" t="s">
        <v>906</v>
      </c>
      <c r="I122" t="s">
        <v>1357</v>
      </c>
      <c r="J122" t="s">
        <v>1357</v>
      </c>
      <c r="K122" t="s">
        <v>1357</v>
      </c>
      <c r="L122" t="s">
        <v>1357</v>
      </c>
    </row>
    <row r="123" spans="1:12">
      <c r="F123" t="s">
        <v>5165</v>
      </c>
      <c r="G123" t="s">
        <v>5195</v>
      </c>
      <c r="H123" t="s">
        <v>899</v>
      </c>
      <c r="I123" t="s">
        <v>1357</v>
      </c>
      <c r="J123" t="s">
        <v>1357</v>
      </c>
      <c r="K123" t="s">
        <v>1357</v>
      </c>
      <c r="L123" t="s">
        <v>1357</v>
      </c>
    </row>
    <row r="124" spans="1:12">
      <c r="H124" t="s">
        <v>5206</v>
      </c>
      <c r="I124" t="s">
        <v>1357</v>
      </c>
      <c r="J124" t="s">
        <v>1357</v>
      </c>
      <c r="K124" t="s">
        <v>1357</v>
      </c>
      <c r="L124" t="s">
        <v>1357</v>
      </c>
    </row>
    <row r="125" spans="1:12">
      <c r="H125" t="s">
        <v>5204</v>
      </c>
      <c r="I125" t="s">
        <v>1357</v>
      </c>
      <c r="J125" t="s">
        <v>1357</v>
      </c>
      <c r="K125" t="s">
        <v>1357</v>
      </c>
      <c r="L125" t="s">
        <v>1357</v>
      </c>
    </row>
    <row r="126" spans="1:12">
      <c r="H126" t="s">
        <v>5205</v>
      </c>
      <c r="I126" t="s">
        <v>1357</v>
      </c>
      <c r="J126" t="s">
        <v>1357</v>
      </c>
      <c r="K126" t="s">
        <v>1357</v>
      </c>
      <c r="L126" t="s">
        <v>1357</v>
      </c>
    </row>
    <row r="127" spans="1:12">
      <c r="H127" t="s">
        <v>906</v>
      </c>
      <c r="I127" t="s">
        <v>1357</v>
      </c>
      <c r="J127" t="s">
        <v>1357</v>
      </c>
      <c r="K127" t="s">
        <v>1357</v>
      </c>
      <c r="L127" t="s">
        <v>1357</v>
      </c>
    </row>
    <row r="128" spans="1:12">
      <c r="A128" t="s">
        <v>5124</v>
      </c>
      <c r="B128">
        <f>HYPERLINK("https://github.com/jfree/jfreechart/commit/5836f606082f076242abfb64e289355e53d1356e", "5836f606082f076242abfb64e289355e53d1356e")</f>
        <v>0</v>
      </c>
      <c r="C128">
        <f>HYPERLINK("https://github.com/jfree/jfreechart/commit/7997d52f1ab449ddd2adf390f6ba94d848c2e3a5", "7997d52f1ab449ddd2adf390f6ba94d848c2e3a5")</f>
        <v>0</v>
      </c>
      <c r="D128" t="s">
        <v>5131</v>
      </c>
      <c r="E128" t="s">
        <v>5138</v>
      </c>
      <c r="F128" t="s">
        <v>5166</v>
      </c>
      <c r="G128" t="s">
        <v>5196</v>
      </c>
      <c r="H128" t="s">
        <v>5275</v>
      </c>
      <c r="I128" t="s">
        <v>1357</v>
      </c>
      <c r="J128" t="s">
        <v>1357</v>
      </c>
      <c r="K128" t="s">
        <v>1357</v>
      </c>
      <c r="L128" t="s">
        <v>1357</v>
      </c>
    </row>
    <row r="129" spans="1:12">
      <c r="A129" t="s">
        <v>5125</v>
      </c>
      <c r="B129">
        <f>HYPERLINK("https://github.com/jfree/jfreechart/commit/e8ec7697c823d9ca1a2e996a67c31fb5580e2e3c", "e8ec7697c823d9ca1a2e996a67c31fb5580e2e3c")</f>
        <v>0</v>
      </c>
      <c r="C129">
        <f>HYPERLINK("https://github.com/jfree/jfreechart/commit/731b3f1c598a023ce628cc1d20d3ef78e8de7102", "731b3f1c598a023ce628cc1d20d3ef78e8de7102")</f>
        <v>0</v>
      </c>
      <c r="D129" t="s">
        <v>5132</v>
      </c>
      <c r="E129" t="s">
        <v>5139</v>
      </c>
      <c r="F129" t="s">
        <v>5167</v>
      </c>
      <c r="G129" t="s">
        <v>5197</v>
      </c>
      <c r="H129" t="s">
        <v>5271</v>
      </c>
      <c r="I129" t="s">
        <v>1357</v>
      </c>
      <c r="J129" t="s">
        <v>1357</v>
      </c>
      <c r="K129" t="s">
        <v>1357</v>
      </c>
      <c r="L129" t="s">
        <v>1357</v>
      </c>
    </row>
    <row r="130" spans="1:12">
      <c r="F130" t="s">
        <v>5168</v>
      </c>
      <c r="G130" t="s">
        <v>5198</v>
      </c>
      <c r="H130" t="s">
        <v>5276</v>
      </c>
      <c r="I130" t="s">
        <v>1357</v>
      </c>
      <c r="J130" t="s">
        <v>1357</v>
      </c>
      <c r="K130" t="s">
        <v>1357</v>
      </c>
      <c r="L130" t="s">
        <v>1357</v>
      </c>
    </row>
    <row r="131" spans="1:12">
      <c r="H131" t="s">
        <v>5277</v>
      </c>
      <c r="I131" t="s">
        <v>1357</v>
      </c>
      <c r="J131" t="s">
        <v>1357</v>
      </c>
      <c r="K131" t="s">
        <v>1357</v>
      </c>
      <c r="L131" t="s">
        <v>1357</v>
      </c>
    </row>
    <row r="132" spans="1:12">
      <c r="F132" t="s">
        <v>5169</v>
      </c>
      <c r="G132" t="s">
        <v>5199</v>
      </c>
      <c r="H132" t="s">
        <v>899</v>
      </c>
      <c r="I132" t="s">
        <v>1357</v>
      </c>
      <c r="J132" t="s">
        <v>1357</v>
      </c>
      <c r="K132" t="s">
        <v>1357</v>
      </c>
      <c r="L132" t="s">
        <v>1357</v>
      </c>
    </row>
    <row r="133" spans="1:12">
      <c r="H133" t="s">
        <v>906</v>
      </c>
      <c r="I133" t="s">
        <v>1357</v>
      </c>
      <c r="J133" t="s">
        <v>1357</v>
      </c>
      <c r="K133" t="s">
        <v>1357</v>
      </c>
      <c r="L133" t="s">
        <v>1357</v>
      </c>
    </row>
    <row r="134" spans="1:12">
      <c r="H134" t="s">
        <v>5278</v>
      </c>
      <c r="I134" t="s">
        <v>1357</v>
      </c>
      <c r="J134" t="s">
        <v>1357</v>
      </c>
      <c r="K134" t="s">
        <v>1357</v>
      </c>
      <c r="L134" t="s">
        <v>1357</v>
      </c>
    </row>
    <row r="135" spans="1:12">
      <c r="A135" t="s">
        <v>5126</v>
      </c>
      <c r="B135">
        <f>HYPERLINK("https://github.com/jfree/jfreechart/commit/93078512157362e7584af9a67a23a75b55b2f239", "93078512157362e7584af9a67a23a75b55b2f239")</f>
        <v>0</v>
      </c>
      <c r="C135">
        <f>HYPERLINK("https://github.com/jfree/jfreechart/commit/b869a3fe44d9b5e8b848d25b8061a63d3553399c", "b869a3fe44d9b5e8b848d25b8061a63d3553399c")</f>
        <v>0</v>
      </c>
      <c r="D135" t="s">
        <v>5131</v>
      </c>
      <c r="E135" t="s">
        <v>5140</v>
      </c>
      <c r="F135" t="s">
        <v>5170</v>
      </c>
      <c r="G135" t="s">
        <v>5200</v>
      </c>
      <c r="H135" t="s">
        <v>5279</v>
      </c>
      <c r="I135" t="s">
        <v>1357</v>
      </c>
      <c r="J135" t="s">
        <v>1357</v>
      </c>
      <c r="K135" t="s">
        <v>1357</v>
      </c>
      <c r="L135" t="s">
        <v>1357</v>
      </c>
    </row>
    <row r="136" spans="1:12">
      <c r="H136" t="s">
        <v>1082</v>
      </c>
      <c r="I136" t="s">
        <v>1357</v>
      </c>
      <c r="J136" t="s">
        <v>1357</v>
      </c>
      <c r="K136" t="s">
        <v>1357</v>
      </c>
      <c r="L136" t="s">
        <v>1357</v>
      </c>
    </row>
    <row r="137" spans="1:12">
      <c r="H137" t="s">
        <v>899</v>
      </c>
      <c r="I137" t="s">
        <v>1357</v>
      </c>
      <c r="J137" t="s">
        <v>1357</v>
      </c>
      <c r="K137" t="s">
        <v>1357</v>
      </c>
      <c r="L137" t="s">
        <v>1357</v>
      </c>
    </row>
    <row r="138" spans="1:12">
      <c r="H138" t="s">
        <v>5204</v>
      </c>
      <c r="I138" t="s">
        <v>1357</v>
      </c>
      <c r="J138" t="s">
        <v>1357</v>
      </c>
      <c r="K138" t="s">
        <v>1357</v>
      </c>
      <c r="L138" t="s">
        <v>1357</v>
      </c>
    </row>
    <row r="139" spans="1:12">
      <c r="H139" t="s">
        <v>5280</v>
      </c>
      <c r="I139" t="s">
        <v>1357</v>
      </c>
      <c r="J139" t="s">
        <v>1357</v>
      </c>
      <c r="K139" t="s">
        <v>1357</v>
      </c>
      <c r="L139" t="s">
        <v>1357</v>
      </c>
    </row>
    <row r="140" spans="1:12">
      <c r="H140" t="s">
        <v>5271</v>
      </c>
      <c r="I140" t="s">
        <v>1357</v>
      </c>
      <c r="J140" t="s">
        <v>1357</v>
      </c>
      <c r="K140" t="s">
        <v>1357</v>
      </c>
      <c r="L140" t="s">
        <v>1357</v>
      </c>
    </row>
    <row r="141" spans="1:12">
      <c r="A141" t="s">
        <v>5127</v>
      </c>
      <c r="B141">
        <f>HYPERLINK("https://github.com/jfree/jfreechart/commit/6e51b1bca58b6d4a76f53f433d03a94c3594ef82", "6e51b1bca58b6d4a76f53f433d03a94c3594ef82")</f>
        <v>0</v>
      </c>
      <c r="C141">
        <f>HYPERLINK("https://github.com/jfree/jfreechart/commit/93078512157362e7584af9a67a23a75b55b2f239", "93078512157362e7584af9a67a23a75b55b2f239")</f>
        <v>0</v>
      </c>
      <c r="D141" t="s">
        <v>5131</v>
      </c>
      <c r="E141" t="s">
        <v>5141</v>
      </c>
      <c r="F141" t="s">
        <v>5171</v>
      </c>
      <c r="G141" t="s">
        <v>5196</v>
      </c>
      <c r="H141" t="s">
        <v>5281</v>
      </c>
      <c r="I141" t="s">
        <v>1357</v>
      </c>
      <c r="J141" t="s">
        <v>1357</v>
      </c>
      <c r="K141" t="s">
        <v>1357</v>
      </c>
      <c r="L141" t="s">
        <v>1357</v>
      </c>
    </row>
    <row r="142" spans="1:12">
      <c r="H142" t="s">
        <v>1082</v>
      </c>
      <c r="I142" t="s">
        <v>1357</v>
      </c>
      <c r="J142" t="s">
        <v>1357</v>
      </c>
      <c r="K142" t="s">
        <v>1357</v>
      </c>
      <c r="L142" t="s">
        <v>1357</v>
      </c>
    </row>
    <row r="143" spans="1:12">
      <c r="H143" t="s">
        <v>899</v>
      </c>
      <c r="I143" t="s">
        <v>1357</v>
      </c>
      <c r="J143" t="s">
        <v>1357</v>
      </c>
      <c r="K143" t="s">
        <v>1357</v>
      </c>
      <c r="L143" t="s">
        <v>1357</v>
      </c>
    </row>
    <row r="144" spans="1:12">
      <c r="H144" t="s">
        <v>5204</v>
      </c>
      <c r="I144" t="s">
        <v>1357</v>
      </c>
      <c r="J144" t="s">
        <v>1357</v>
      </c>
      <c r="K144" t="s">
        <v>1357</v>
      </c>
      <c r="L144" t="s">
        <v>1357</v>
      </c>
    </row>
    <row r="145" spans="1:14">
      <c r="H145" t="s">
        <v>5280</v>
      </c>
      <c r="I145" t="s">
        <v>1357</v>
      </c>
      <c r="J145" t="s">
        <v>1357</v>
      </c>
      <c r="K145" t="s">
        <v>1357</v>
      </c>
      <c r="L145" t="s">
        <v>1357</v>
      </c>
    </row>
    <row r="146" spans="1:14">
      <c r="H146" t="s">
        <v>5271</v>
      </c>
      <c r="I146" t="s">
        <v>1357</v>
      </c>
      <c r="J146" t="s">
        <v>1357</v>
      </c>
      <c r="K146" t="s">
        <v>1357</v>
      </c>
      <c r="L146" t="s">
        <v>1357</v>
      </c>
    </row>
    <row r="147" spans="1:14">
      <c r="A147" t="s">
        <v>5128</v>
      </c>
      <c r="B147">
        <f>HYPERLINK("https://github.com/jfree/jfreechart/commit/23f2266614cdb362870069a124af4e4335cc54a6", "23f2266614cdb362870069a124af4e4335cc54a6")</f>
        <v>0</v>
      </c>
      <c r="C147">
        <f>HYPERLINK("https://github.com/jfree/jfreechart/commit/8f80ac68c27cadf3e8046e2840f896f0088e8d81", "8f80ac68c27cadf3e8046e2840f896f0088e8d81")</f>
        <v>0</v>
      </c>
      <c r="D147" t="s">
        <v>5131</v>
      </c>
      <c r="E147" t="s">
        <v>5142</v>
      </c>
      <c r="F147" t="s">
        <v>5167</v>
      </c>
      <c r="G147" t="s">
        <v>5197</v>
      </c>
      <c r="H147" t="s">
        <v>5282</v>
      </c>
      <c r="I147" t="s">
        <v>1358</v>
      </c>
      <c r="J147" t="s">
        <v>1358</v>
      </c>
      <c r="K147" t="s">
        <v>1358</v>
      </c>
      <c r="L147" t="s">
        <v>1358</v>
      </c>
      <c r="N147" t="s">
        <v>1374</v>
      </c>
    </row>
    <row r="148" spans="1:14">
      <c r="A148" t="s">
        <v>5129</v>
      </c>
      <c r="B148">
        <f>HYPERLINK("https://github.com/jfree/jfreechart/commit/febda0a6412471eb9a1d9d1bc975e6d81a18a72d", "febda0a6412471eb9a1d9d1bc975e6d81a18a72d")</f>
        <v>0</v>
      </c>
      <c r="C148">
        <f>HYPERLINK("https://github.com/jfree/jfreechart/commit/ee91627a19d9bafde058ea2663dc6405f9f01e3b", "ee91627a19d9bafde058ea2663dc6405f9f01e3b")</f>
        <v>0</v>
      </c>
      <c r="D148" t="s">
        <v>5131</v>
      </c>
      <c r="E148" t="s">
        <v>5143</v>
      </c>
      <c r="F148" t="s">
        <v>5172</v>
      </c>
      <c r="G148" t="s">
        <v>5201</v>
      </c>
      <c r="H148" t="s">
        <v>906</v>
      </c>
      <c r="I148" t="s">
        <v>1357</v>
      </c>
      <c r="J148" t="s">
        <v>1357</v>
      </c>
      <c r="K148" t="s">
        <v>1357</v>
      </c>
      <c r="L148" t="s">
        <v>1357</v>
      </c>
    </row>
    <row r="149" spans="1:14">
      <c r="A149" t="s">
        <v>5130</v>
      </c>
      <c r="B149">
        <f>HYPERLINK("https://github.com/jfree/jfreechart/commit/2b7df0cec3c8966f0f2e55e7a61cbcf33a06e383", "2b7df0cec3c8966f0f2e55e7a61cbcf33a06e383")</f>
        <v>0</v>
      </c>
      <c r="C149">
        <f>HYPERLINK("https://github.com/jfree/jfreechart/commit/46aec2fa3e3386eeed9f19e9c17446837978d3f1", "46aec2fa3e3386eeed9f19e9c17446837978d3f1")</f>
        <v>0</v>
      </c>
      <c r="D149" t="s">
        <v>5131</v>
      </c>
      <c r="E149" t="s">
        <v>5144</v>
      </c>
      <c r="F149" t="s">
        <v>5147</v>
      </c>
      <c r="G149" t="s">
        <v>5177</v>
      </c>
      <c r="H149" t="s">
        <v>5283</v>
      </c>
      <c r="I149" t="s">
        <v>1357</v>
      </c>
      <c r="J149" t="s">
        <v>1357</v>
      </c>
      <c r="K149" t="s">
        <v>1357</v>
      </c>
      <c r="L149" t="s">
        <v>1357</v>
      </c>
      <c r="N149" t="s">
        <v>5289</v>
      </c>
    </row>
    <row r="150" spans="1:14">
      <c r="H150" t="s">
        <v>5284</v>
      </c>
      <c r="I150" t="s">
        <v>1357</v>
      </c>
      <c r="J150" t="s">
        <v>1357</v>
      </c>
      <c r="K150" t="s">
        <v>1357</v>
      </c>
      <c r="L150" t="s">
        <v>1357</v>
      </c>
      <c r="N150" t="s">
        <v>5289</v>
      </c>
    </row>
    <row r="151" spans="1:14">
      <c r="F151" t="s">
        <v>5173</v>
      </c>
      <c r="G151" t="s">
        <v>5202</v>
      </c>
      <c r="H151" t="s">
        <v>5285</v>
      </c>
      <c r="I151" t="s">
        <v>1357</v>
      </c>
      <c r="J151" t="s">
        <v>1357</v>
      </c>
      <c r="K151" t="s">
        <v>1357</v>
      </c>
      <c r="L151" t="s">
        <v>1357</v>
      </c>
    </row>
    <row r="152" spans="1:14">
      <c r="H152" t="s">
        <v>5286</v>
      </c>
      <c r="I152" t="s">
        <v>1357</v>
      </c>
      <c r="J152" t="s">
        <v>1357</v>
      </c>
      <c r="K152" t="s">
        <v>1357</v>
      </c>
      <c r="L152" t="s">
        <v>1357</v>
      </c>
    </row>
    <row r="153" spans="1:14">
      <c r="F153" t="s">
        <v>5174</v>
      </c>
      <c r="G153" t="s">
        <v>5203</v>
      </c>
      <c r="H153" t="s">
        <v>5284</v>
      </c>
      <c r="I153" t="s">
        <v>1357</v>
      </c>
      <c r="J153" t="s">
        <v>1357</v>
      </c>
      <c r="K153" t="s">
        <v>1357</v>
      </c>
      <c r="L153" t="s">
        <v>1357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4"/>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5290</v>
      </c>
      <c r="B2">
        <f>HYPERLINK("https://github.com/JodaOrg/joda-time/commit/0e07ac6b2cff63550d7df336355ca63cc05aa40b", "0e07ac6b2cff63550d7df336355ca63cc05aa40b")</f>
        <v>0</v>
      </c>
      <c r="C2">
        <f>HYPERLINK("https://github.com/JodaOrg/joda-time/commit/1ba4f9861a0cfbc32c56efced3619874a43ec5dd", "1ba4f9861a0cfbc32c56efced3619874a43ec5dd")</f>
        <v>0</v>
      </c>
      <c r="D2" t="s">
        <v>5327</v>
      </c>
      <c r="E2" t="s">
        <v>5330</v>
      </c>
      <c r="F2" t="s">
        <v>5367</v>
      </c>
      <c r="G2" t="s">
        <v>5474</v>
      </c>
      <c r="H2" t="s">
        <v>5559</v>
      </c>
      <c r="I2" t="s">
        <v>1357</v>
      </c>
      <c r="J2" t="s">
        <v>1357</v>
      </c>
      <c r="K2" t="s">
        <v>1357</v>
      </c>
      <c r="L2" t="s">
        <v>1357</v>
      </c>
      <c r="M2" t="s">
        <v>6054</v>
      </c>
    </row>
    <row r="3" spans="1:14">
      <c r="H3" t="s">
        <v>5560</v>
      </c>
      <c r="I3" t="s">
        <v>1357</v>
      </c>
      <c r="J3" t="s">
        <v>1357</v>
      </c>
      <c r="K3" t="s">
        <v>1357</v>
      </c>
      <c r="L3" t="s">
        <v>1357</v>
      </c>
      <c r="M3" t="s">
        <v>6054</v>
      </c>
    </row>
    <row r="4" spans="1:14">
      <c r="H4" t="s">
        <v>5561</v>
      </c>
      <c r="I4" t="s">
        <v>1357</v>
      </c>
      <c r="J4" t="s">
        <v>1357</v>
      </c>
      <c r="K4" t="s">
        <v>1357</v>
      </c>
      <c r="L4" t="s">
        <v>1357</v>
      </c>
      <c r="M4" t="s">
        <v>6054</v>
      </c>
    </row>
    <row r="5" spans="1:14">
      <c r="H5" t="s">
        <v>5562</v>
      </c>
      <c r="I5" t="s">
        <v>1357</v>
      </c>
      <c r="J5" t="s">
        <v>1357</v>
      </c>
      <c r="K5" t="s">
        <v>1357</v>
      </c>
      <c r="L5" t="s">
        <v>1357</v>
      </c>
      <c r="M5" t="s">
        <v>6054</v>
      </c>
    </row>
    <row r="6" spans="1:14">
      <c r="H6" t="s">
        <v>5563</v>
      </c>
      <c r="I6" t="s">
        <v>1357</v>
      </c>
      <c r="J6" t="s">
        <v>1357</v>
      </c>
      <c r="K6" t="s">
        <v>1357</v>
      </c>
      <c r="L6" t="s">
        <v>1357</v>
      </c>
      <c r="M6" t="s">
        <v>6054</v>
      </c>
    </row>
    <row r="7" spans="1:14">
      <c r="H7" t="s">
        <v>5564</v>
      </c>
      <c r="I7" t="s">
        <v>1357</v>
      </c>
      <c r="J7" t="s">
        <v>1357</v>
      </c>
      <c r="K7" t="s">
        <v>1357</v>
      </c>
      <c r="L7" t="s">
        <v>1357</v>
      </c>
      <c r="M7" t="s">
        <v>6054</v>
      </c>
    </row>
    <row r="8" spans="1:14">
      <c r="H8" t="s">
        <v>5565</v>
      </c>
      <c r="I8" t="s">
        <v>1357</v>
      </c>
      <c r="J8" t="s">
        <v>1357</v>
      </c>
      <c r="K8" t="s">
        <v>1357</v>
      </c>
      <c r="L8" t="s">
        <v>1357</v>
      </c>
      <c r="M8" t="s">
        <v>6054</v>
      </c>
    </row>
    <row r="9" spans="1:14">
      <c r="H9" t="s">
        <v>5566</v>
      </c>
      <c r="I9" t="s">
        <v>1357</v>
      </c>
      <c r="J9" t="s">
        <v>1357</v>
      </c>
      <c r="K9" t="s">
        <v>1357</v>
      </c>
      <c r="L9" t="s">
        <v>1357</v>
      </c>
      <c r="M9" t="s">
        <v>6054</v>
      </c>
    </row>
    <row r="10" spans="1:14">
      <c r="H10" t="s">
        <v>5567</v>
      </c>
      <c r="I10" t="s">
        <v>1357</v>
      </c>
      <c r="J10" t="s">
        <v>1357</v>
      </c>
      <c r="K10" t="s">
        <v>1357</v>
      </c>
      <c r="L10" t="s">
        <v>1357</v>
      </c>
      <c r="M10" t="s">
        <v>6054</v>
      </c>
    </row>
    <row r="11" spans="1:14">
      <c r="H11" t="s">
        <v>5568</v>
      </c>
      <c r="I11" t="s">
        <v>1357</v>
      </c>
      <c r="J11" t="s">
        <v>1357</v>
      </c>
      <c r="K11" t="s">
        <v>1357</v>
      </c>
      <c r="L11" t="s">
        <v>1357</v>
      </c>
      <c r="M11" t="s">
        <v>6054</v>
      </c>
    </row>
    <row r="12" spans="1:14">
      <c r="H12" t="s">
        <v>5569</v>
      </c>
      <c r="I12" t="s">
        <v>1357</v>
      </c>
      <c r="J12" t="s">
        <v>1357</v>
      </c>
      <c r="K12" t="s">
        <v>1357</v>
      </c>
      <c r="L12" t="s">
        <v>1357</v>
      </c>
      <c r="M12" t="s">
        <v>6054</v>
      </c>
    </row>
    <row r="13" spans="1:14">
      <c r="H13" t="s">
        <v>5570</v>
      </c>
      <c r="I13" t="s">
        <v>1357</v>
      </c>
      <c r="J13" t="s">
        <v>1357</v>
      </c>
      <c r="K13" t="s">
        <v>1357</v>
      </c>
      <c r="L13" t="s">
        <v>1357</v>
      </c>
      <c r="M13" t="s">
        <v>6054</v>
      </c>
    </row>
    <row r="14" spans="1:14">
      <c r="H14" t="s">
        <v>5571</v>
      </c>
      <c r="I14" t="s">
        <v>1357</v>
      </c>
      <c r="J14" t="s">
        <v>1357</v>
      </c>
      <c r="K14" t="s">
        <v>1357</v>
      </c>
      <c r="L14" t="s">
        <v>1357</v>
      </c>
      <c r="M14" t="s">
        <v>6054</v>
      </c>
    </row>
    <row r="15" spans="1:14">
      <c r="H15" t="s">
        <v>5572</v>
      </c>
      <c r="I15" t="s">
        <v>1357</v>
      </c>
      <c r="J15" t="s">
        <v>1357</v>
      </c>
      <c r="K15" t="s">
        <v>1357</v>
      </c>
      <c r="L15" t="s">
        <v>1357</v>
      </c>
      <c r="M15" t="s">
        <v>6054</v>
      </c>
    </row>
    <row r="16" spans="1:14">
      <c r="H16" t="s">
        <v>5573</v>
      </c>
      <c r="I16" t="s">
        <v>1357</v>
      </c>
      <c r="J16" t="s">
        <v>1357</v>
      </c>
      <c r="K16" t="s">
        <v>1357</v>
      </c>
      <c r="L16" t="s">
        <v>1357</v>
      </c>
      <c r="M16" t="s">
        <v>6054</v>
      </c>
    </row>
    <row r="17" spans="1:13">
      <c r="H17" t="s">
        <v>5574</v>
      </c>
      <c r="I17" t="s">
        <v>1357</v>
      </c>
      <c r="J17" t="s">
        <v>1357</v>
      </c>
      <c r="K17" t="s">
        <v>1357</v>
      </c>
      <c r="L17" t="s">
        <v>1357</v>
      </c>
      <c r="M17" t="s">
        <v>6054</v>
      </c>
    </row>
    <row r="18" spans="1:13">
      <c r="H18" t="s">
        <v>5575</v>
      </c>
      <c r="I18" t="s">
        <v>1357</v>
      </c>
      <c r="J18" t="s">
        <v>1357</v>
      </c>
      <c r="K18" t="s">
        <v>1357</v>
      </c>
      <c r="L18" t="s">
        <v>1357</v>
      </c>
      <c r="M18" t="s">
        <v>6054</v>
      </c>
    </row>
    <row r="19" spans="1:13">
      <c r="H19" t="s">
        <v>5576</v>
      </c>
      <c r="I19" t="s">
        <v>1357</v>
      </c>
      <c r="J19" t="s">
        <v>1357</v>
      </c>
      <c r="K19" t="s">
        <v>1357</v>
      </c>
      <c r="L19" t="s">
        <v>1357</v>
      </c>
      <c r="M19" t="s">
        <v>6054</v>
      </c>
    </row>
    <row r="20" spans="1:13">
      <c r="H20" t="s">
        <v>5577</v>
      </c>
      <c r="I20" t="s">
        <v>1357</v>
      </c>
      <c r="J20" t="s">
        <v>1357</v>
      </c>
      <c r="K20" t="s">
        <v>1357</v>
      </c>
      <c r="L20" t="s">
        <v>1357</v>
      </c>
      <c r="M20" t="s">
        <v>6054</v>
      </c>
    </row>
    <row r="21" spans="1:13">
      <c r="H21" t="s">
        <v>5578</v>
      </c>
      <c r="I21" t="s">
        <v>1357</v>
      </c>
      <c r="J21" t="s">
        <v>1357</v>
      </c>
      <c r="K21" t="s">
        <v>1357</v>
      </c>
      <c r="L21" t="s">
        <v>1357</v>
      </c>
      <c r="M21" t="s">
        <v>6054</v>
      </c>
    </row>
    <row r="22" spans="1:13">
      <c r="H22" t="s">
        <v>5579</v>
      </c>
      <c r="I22" t="s">
        <v>1357</v>
      </c>
      <c r="J22" t="s">
        <v>1357</v>
      </c>
      <c r="K22" t="s">
        <v>1357</v>
      </c>
      <c r="L22" t="s">
        <v>1357</v>
      </c>
      <c r="M22" t="s">
        <v>6054</v>
      </c>
    </row>
    <row r="23" spans="1:13">
      <c r="H23" t="s">
        <v>5580</v>
      </c>
      <c r="I23" t="s">
        <v>1357</v>
      </c>
      <c r="J23" t="s">
        <v>1357</v>
      </c>
      <c r="K23" t="s">
        <v>1357</v>
      </c>
      <c r="L23" t="s">
        <v>1357</v>
      </c>
      <c r="M23" t="s">
        <v>6054</v>
      </c>
    </row>
    <row r="24" spans="1:13">
      <c r="A24" t="s">
        <v>5291</v>
      </c>
      <c r="B24">
        <f>HYPERLINK("https://github.com/JodaOrg/joda-time/commit/acc5016243117465b83621ea5ff31ae76163d3b8", "acc5016243117465b83621ea5ff31ae76163d3b8")</f>
        <v>0</v>
      </c>
      <c r="C24">
        <f>HYPERLINK("https://github.com/JodaOrg/joda-time/commit/f1a476f463c62b736e4a641aba4c59d9629814d1", "f1a476f463c62b736e4a641aba4c59d9629814d1")</f>
        <v>0</v>
      </c>
      <c r="D24" t="s">
        <v>5327</v>
      </c>
      <c r="E24" t="s">
        <v>5331</v>
      </c>
      <c r="F24" t="s">
        <v>5367</v>
      </c>
      <c r="G24" t="s">
        <v>5474</v>
      </c>
      <c r="H24" t="s">
        <v>5581</v>
      </c>
      <c r="I24" t="s">
        <v>1357</v>
      </c>
      <c r="J24" t="s">
        <v>1357</v>
      </c>
      <c r="K24" t="s">
        <v>1357</v>
      </c>
      <c r="L24" t="s">
        <v>1357</v>
      </c>
      <c r="M24" t="s">
        <v>6054</v>
      </c>
    </row>
    <row r="25" spans="1:13">
      <c r="H25" t="s">
        <v>5582</v>
      </c>
      <c r="I25" t="s">
        <v>1357</v>
      </c>
      <c r="J25" t="s">
        <v>1357</v>
      </c>
      <c r="K25" t="s">
        <v>1357</v>
      </c>
      <c r="L25" t="s">
        <v>1357</v>
      </c>
      <c r="M25" t="s">
        <v>6054</v>
      </c>
    </row>
    <row r="26" spans="1:13">
      <c r="H26" t="s">
        <v>5583</v>
      </c>
      <c r="I26" t="s">
        <v>1357</v>
      </c>
      <c r="J26" t="s">
        <v>1357</v>
      </c>
      <c r="K26" t="s">
        <v>1357</v>
      </c>
      <c r="L26" t="s">
        <v>1357</v>
      </c>
      <c r="M26" t="s">
        <v>6054</v>
      </c>
    </row>
    <row r="27" spans="1:13">
      <c r="H27" t="s">
        <v>5584</v>
      </c>
      <c r="I27" t="s">
        <v>1357</v>
      </c>
      <c r="J27" t="s">
        <v>1357</v>
      </c>
      <c r="K27" t="s">
        <v>1357</v>
      </c>
      <c r="L27" t="s">
        <v>1357</v>
      </c>
      <c r="M27" t="s">
        <v>6054</v>
      </c>
    </row>
    <row r="28" spans="1:13">
      <c r="H28" t="s">
        <v>5585</v>
      </c>
      <c r="I28" t="s">
        <v>1357</v>
      </c>
      <c r="J28" t="s">
        <v>1357</v>
      </c>
      <c r="K28" t="s">
        <v>1357</v>
      </c>
      <c r="L28" t="s">
        <v>1357</v>
      </c>
      <c r="M28" t="s">
        <v>6054</v>
      </c>
    </row>
    <row r="29" spans="1:13">
      <c r="H29" t="s">
        <v>5586</v>
      </c>
      <c r="I29" t="s">
        <v>1357</v>
      </c>
      <c r="J29" t="s">
        <v>1357</v>
      </c>
      <c r="K29" t="s">
        <v>1357</v>
      </c>
      <c r="L29" t="s">
        <v>1357</v>
      </c>
      <c r="M29" t="s">
        <v>6054</v>
      </c>
    </row>
    <row r="30" spans="1:13">
      <c r="H30" t="s">
        <v>5587</v>
      </c>
      <c r="I30" t="s">
        <v>1357</v>
      </c>
      <c r="J30" t="s">
        <v>1357</v>
      </c>
      <c r="K30" t="s">
        <v>1357</v>
      </c>
      <c r="L30" t="s">
        <v>1357</v>
      </c>
      <c r="M30" t="s">
        <v>6054</v>
      </c>
    </row>
    <row r="31" spans="1:13">
      <c r="F31" t="s">
        <v>5368</v>
      </c>
      <c r="G31" t="s">
        <v>5475</v>
      </c>
      <c r="H31" t="s">
        <v>5588</v>
      </c>
      <c r="I31" t="s">
        <v>1357</v>
      </c>
      <c r="J31" t="s">
        <v>1357</v>
      </c>
      <c r="K31" t="s">
        <v>1357</v>
      </c>
      <c r="L31" t="s">
        <v>1357</v>
      </c>
      <c r="M31" t="s">
        <v>6054</v>
      </c>
    </row>
    <row r="32" spans="1:13">
      <c r="H32" t="s">
        <v>5589</v>
      </c>
      <c r="I32" t="s">
        <v>1357</v>
      </c>
      <c r="J32" t="s">
        <v>1357</v>
      </c>
      <c r="K32" t="s">
        <v>1357</v>
      </c>
      <c r="L32" t="s">
        <v>1357</v>
      </c>
      <c r="M32" t="s">
        <v>6054</v>
      </c>
    </row>
    <row r="33" spans="8:13">
      <c r="H33" t="s">
        <v>5590</v>
      </c>
      <c r="I33" t="s">
        <v>1357</v>
      </c>
      <c r="J33" t="s">
        <v>1357</v>
      </c>
      <c r="K33" t="s">
        <v>1357</v>
      </c>
      <c r="L33" t="s">
        <v>1357</v>
      </c>
      <c r="M33" t="s">
        <v>6054</v>
      </c>
    </row>
    <row r="34" spans="8:13">
      <c r="H34" t="s">
        <v>5591</v>
      </c>
      <c r="I34" t="s">
        <v>1357</v>
      </c>
      <c r="J34" t="s">
        <v>1357</v>
      </c>
      <c r="K34" t="s">
        <v>1357</v>
      </c>
      <c r="L34" t="s">
        <v>1357</v>
      </c>
      <c r="M34" t="s">
        <v>6054</v>
      </c>
    </row>
    <row r="35" spans="8:13">
      <c r="H35" t="s">
        <v>5592</v>
      </c>
      <c r="I35" t="s">
        <v>1357</v>
      </c>
      <c r="J35" t="s">
        <v>1357</v>
      </c>
      <c r="K35" t="s">
        <v>1357</v>
      </c>
      <c r="L35" t="s">
        <v>1357</v>
      </c>
      <c r="M35" t="s">
        <v>6054</v>
      </c>
    </row>
    <row r="36" spans="8:13">
      <c r="H36" t="s">
        <v>5593</v>
      </c>
      <c r="I36" t="s">
        <v>1357</v>
      </c>
      <c r="J36" t="s">
        <v>1357</v>
      </c>
      <c r="K36" t="s">
        <v>1357</v>
      </c>
      <c r="L36" t="s">
        <v>1357</v>
      </c>
      <c r="M36" t="s">
        <v>6054</v>
      </c>
    </row>
    <row r="37" spans="8:13">
      <c r="H37" t="s">
        <v>1077</v>
      </c>
      <c r="I37" t="s">
        <v>1357</v>
      </c>
      <c r="J37" t="s">
        <v>1357</v>
      </c>
      <c r="K37" t="s">
        <v>1357</v>
      </c>
      <c r="L37" t="s">
        <v>1357</v>
      </c>
      <c r="M37" t="s">
        <v>6054</v>
      </c>
    </row>
    <row r="38" spans="8:13">
      <c r="H38" t="s">
        <v>5594</v>
      </c>
      <c r="I38" t="s">
        <v>1357</v>
      </c>
      <c r="J38" t="s">
        <v>1357</v>
      </c>
      <c r="K38" t="s">
        <v>1357</v>
      </c>
      <c r="L38" t="s">
        <v>1357</v>
      </c>
      <c r="M38" t="s">
        <v>6054</v>
      </c>
    </row>
    <row r="39" spans="8:13">
      <c r="H39" t="s">
        <v>5595</v>
      </c>
      <c r="I39" t="s">
        <v>1357</v>
      </c>
      <c r="J39" t="s">
        <v>1357</v>
      </c>
      <c r="K39" t="s">
        <v>1357</v>
      </c>
      <c r="L39" t="s">
        <v>1357</v>
      </c>
      <c r="M39" t="s">
        <v>6054</v>
      </c>
    </row>
    <row r="40" spans="8:13">
      <c r="H40" t="s">
        <v>5596</v>
      </c>
      <c r="I40" t="s">
        <v>1357</v>
      </c>
      <c r="J40" t="s">
        <v>1357</v>
      </c>
      <c r="K40" t="s">
        <v>1357</v>
      </c>
      <c r="L40" t="s">
        <v>1357</v>
      </c>
      <c r="M40" t="s">
        <v>6054</v>
      </c>
    </row>
    <row r="41" spans="8:13">
      <c r="H41" t="s">
        <v>5597</v>
      </c>
      <c r="I41" t="s">
        <v>1357</v>
      </c>
      <c r="J41" t="s">
        <v>1357</v>
      </c>
      <c r="K41" t="s">
        <v>1357</v>
      </c>
      <c r="L41" t="s">
        <v>1357</v>
      </c>
      <c r="M41" t="s">
        <v>6054</v>
      </c>
    </row>
    <row r="42" spans="8:13">
      <c r="H42" t="s">
        <v>5598</v>
      </c>
      <c r="I42" t="s">
        <v>1357</v>
      </c>
      <c r="J42" t="s">
        <v>1357</v>
      </c>
      <c r="K42" t="s">
        <v>1357</v>
      </c>
      <c r="L42" t="s">
        <v>1357</v>
      </c>
      <c r="M42" t="s">
        <v>6054</v>
      </c>
    </row>
    <row r="43" spans="8:13">
      <c r="H43" t="s">
        <v>5599</v>
      </c>
      <c r="I43" t="s">
        <v>1357</v>
      </c>
      <c r="J43" t="s">
        <v>1357</v>
      </c>
      <c r="K43" t="s">
        <v>1357</v>
      </c>
      <c r="L43" t="s">
        <v>1357</v>
      </c>
      <c r="M43" t="s">
        <v>6054</v>
      </c>
    </row>
    <row r="44" spans="8:13">
      <c r="H44" t="s">
        <v>5600</v>
      </c>
      <c r="I44" t="s">
        <v>1357</v>
      </c>
      <c r="J44" t="s">
        <v>1357</v>
      </c>
      <c r="K44" t="s">
        <v>1357</v>
      </c>
      <c r="L44" t="s">
        <v>1357</v>
      </c>
      <c r="M44" t="s">
        <v>6054</v>
      </c>
    </row>
    <row r="45" spans="8:13">
      <c r="H45" t="s">
        <v>5601</v>
      </c>
      <c r="I45" t="s">
        <v>1357</v>
      </c>
      <c r="J45" t="s">
        <v>1357</v>
      </c>
      <c r="K45" t="s">
        <v>1357</v>
      </c>
      <c r="L45" t="s">
        <v>1357</v>
      </c>
      <c r="M45" t="s">
        <v>6054</v>
      </c>
    </row>
    <row r="46" spans="8:13">
      <c r="H46" t="s">
        <v>5602</v>
      </c>
      <c r="I46" t="s">
        <v>1357</v>
      </c>
      <c r="J46" t="s">
        <v>1357</v>
      </c>
      <c r="K46" t="s">
        <v>1357</v>
      </c>
      <c r="L46" t="s">
        <v>1357</v>
      </c>
      <c r="M46" t="s">
        <v>6054</v>
      </c>
    </row>
    <row r="47" spans="8:13">
      <c r="H47" t="s">
        <v>5603</v>
      </c>
      <c r="I47" t="s">
        <v>1357</v>
      </c>
      <c r="J47" t="s">
        <v>1357</v>
      </c>
      <c r="K47" t="s">
        <v>1357</v>
      </c>
      <c r="L47" t="s">
        <v>1357</v>
      </c>
      <c r="M47" t="s">
        <v>6054</v>
      </c>
    </row>
    <row r="48" spans="8:13">
      <c r="H48" t="s">
        <v>5604</v>
      </c>
      <c r="I48" t="s">
        <v>1357</v>
      </c>
      <c r="J48" t="s">
        <v>1357</v>
      </c>
      <c r="K48" t="s">
        <v>1357</v>
      </c>
      <c r="L48" t="s">
        <v>1357</v>
      </c>
      <c r="M48" t="s">
        <v>6054</v>
      </c>
    </row>
    <row r="49" spans="8:13">
      <c r="H49" t="s">
        <v>5605</v>
      </c>
      <c r="I49" t="s">
        <v>1357</v>
      </c>
      <c r="J49" t="s">
        <v>1357</v>
      </c>
      <c r="K49" t="s">
        <v>1357</v>
      </c>
      <c r="L49" t="s">
        <v>1357</v>
      </c>
      <c r="M49" t="s">
        <v>6054</v>
      </c>
    </row>
    <row r="50" spans="8:13">
      <c r="H50" t="s">
        <v>5606</v>
      </c>
      <c r="I50" t="s">
        <v>1357</v>
      </c>
      <c r="J50" t="s">
        <v>1357</v>
      </c>
      <c r="K50" t="s">
        <v>1357</v>
      </c>
      <c r="L50" t="s">
        <v>1357</v>
      </c>
      <c r="M50" t="s">
        <v>6054</v>
      </c>
    </row>
    <row r="51" spans="8:13">
      <c r="H51" t="s">
        <v>5607</v>
      </c>
      <c r="I51" t="s">
        <v>1357</v>
      </c>
      <c r="J51" t="s">
        <v>1357</v>
      </c>
      <c r="K51" t="s">
        <v>1357</v>
      </c>
      <c r="L51" t="s">
        <v>1357</v>
      </c>
      <c r="M51" t="s">
        <v>6054</v>
      </c>
    </row>
    <row r="52" spans="8:13">
      <c r="H52" t="s">
        <v>5608</v>
      </c>
      <c r="I52" t="s">
        <v>1357</v>
      </c>
      <c r="J52" t="s">
        <v>1357</v>
      </c>
      <c r="K52" t="s">
        <v>1357</v>
      </c>
      <c r="L52" t="s">
        <v>1357</v>
      </c>
      <c r="M52" t="s">
        <v>6054</v>
      </c>
    </row>
    <row r="53" spans="8:13">
      <c r="H53" t="s">
        <v>5609</v>
      </c>
      <c r="I53" t="s">
        <v>1357</v>
      </c>
      <c r="J53" t="s">
        <v>1357</v>
      </c>
      <c r="K53" t="s">
        <v>1357</v>
      </c>
      <c r="L53" t="s">
        <v>1357</v>
      </c>
      <c r="M53" t="s">
        <v>6054</v>
      </c>
    </row>
    <row r="54" spans="8:13">
      <c r="H54" t="s">
        <v>5610</v>
      </c>
      <c r="I54" t="s">
        <v>1357</v>
      </c>
      <c r="J54" t="s">
        <v>1357</v>
      </c>
      <c r="K54" t="s">
        <v>1357</v>
      </c>
      <c r="L54" t="s">
        <v>1357</v>
      </c>
      <c r="M54" t="s">
        <v>6054</v>
      </c>
    </row>
    <row r="55" spans="8:13">
      <c r="H55" t="s">
        <v>5611</v>
      </c>
      <c r="I55" t="s">
        <v>1357</v>
      </c>
      <c r="J55" t="s">
        <v>1357</v>
      </c>
      <c r="K55" t="s">
        <v>1357</v>
      </c>
      <c r="L55" t="s">
        <v>1357</v>
      </c>
      <c r="M55" t="s">
        <v>6054</v>
      </c>
    </row>
    <row r="56" spans="8:13">
      <c r="H56" t="s">
        <v>5612</v>
      </c>
      <c r="I56" t="s">
        <v>1357</v>
      </c>
      <c r="J56" t="s">
        <v>1357</v>
      </c>
      <c r="K56" t="s">
        <v>1357</v>
      </c>
      <c r="L56" t="s">
        <v>1357</v>
      </c>
      <c r="M56" t="s">
        <v>6054</v>
      </c>
    </row>
    <row r="57" spans="8:13">
      <c r="H57" t="s">
        <v>5613</v>
      </c>
      <c r="I57" t="s">
        <v>1357</v>
      </c>
      <c r="J57" t="s">
        <v>1357</v>
      </c>
      <c r="K57" t="s">
        <v>1357</v>
      </c>
      <c r="L57" t="s">
        <v>1357</v>
      </c>
      <c r="M57" t="s">
        <v>6054</v>
      </c>
    </row>
    <row r="58" spans="8:13">
      <c r="H58" t="s">
        <v>5614</v>
      </c>
      <c r="I58" t="s">
        <v>1357</v>
      </c>
      <c r="J58" t="s">
        <v>1357</v>
      </c>
      <c r="K58" t="s">
        <v>1357</v>
      </c>
      <c r="L58" t="s">
        <v>1357</v>
      </c>
      <c r="M58" t="s">
        <v>6054</v>
      </c>
    </row>
    <row r="59" spans="8:13">
      <c r="H59" t="s">
        <v>5615</v>
      </c>
      <c r="I59" t="s">
        <v>1357</v>
      </c>
      <c r="J59" t="s">
        <v>1357</v>
      </c>
      <c r="K59" t="s">
        <v>1357</v>
      </c>
      <c r="L59" t="s">
        <v>1357</v>
      </c>
      <c r="M59" t="s">
        <v>6054</v>
      </c>
    </row>
    <row r="60" spans="8:13">
      <c r="H60" t="s">
        <v>5616</v>
      </c>
      <c r="I60" t="s">
        <v>1357</v>
      </c>
      <c r="J60" t="s">
        <v>1357</v>
      </c>
      <c r="K60" t="s">
        <v>1357</v>
      </c>
      <c r="L60" t="s">
        <v>1357</v>
      </c>
      <c r="M60" t="s">
        <v>6054</v>
      </c>
    </row>
    <row r="61" spans="8:13">
      <c r="H61" t="s">
        <v>5617</v>
      </c>
      <c r="I61" t="s">
        <v>1357</v>
      </c>
      <c r="J61" t="s">
        <v>1357</v>
      </c>
      <c r="K61" t="s">
        <v>1357</v>
      </c>
      <c r="L61" t="s">
        <v>1357</v>
      </c>
      <c r="M61" t="s">
        <v>6054</v>
      </c>
    </row>
    <row r="62" spans="8:13">
      <c r="H62" t="s">
        <v>5618</v>
      </c>
      <c r="I62" t="s">
        <v>1357</v>
      </c>
      <c r="J62" t="s">
        <v>1357</v>
      </c>
      <c r="K62" t="s">
        <v>1357</v>
      </c>
      <c r="L62" t="s">
        <v>1357</v>
      </c>
      <c r="M62" t="s">
        <v>6054</v>
      </c>
    </row>
    <row r="63" spans="8:13">
      <c r="H63" t="s">
        <v>5619</v>
      </c>
      <c r="I63" t="s">
        <v>1357</v>
      </c>
      <c r="J63" t="s">
        <v>1357</v>
      </c>
      <c r="K63" t="s">
        <v>1357</v>
      </c>
      <c r="L63" t="s">
        <v>1357</v>
      </c>
      <c r="M63" t="s">
        <v>6054</v>
      </c>
    </row>
    <row r="64" spans="8:13">
      <c r="H64" t="s">
        <v>5620</v>
      </c>
      <c r="I64" t="s">
        <v>1357</v>
      </c>
      <c r="J64" t="s">
        <v>1357</v>
      </c>
      <c r="K64" t="s">
        <v>1357</v>
      </c>
      <c r="L64" t="s">
        <v>1357</v>
      </c>
      <c r="M64" t="s">
        <v>6054</v>
      </c>
    </row>
    <row r="65" spans="6:13">
      <c r="H65" t="s">
        <v>5621</v>
      </c>
      <c r="I65" t="s">
        <v>1357</v>
      </c>
      <c r="J65" t="s">
        <v>1357</v>
      </c>
      <c r="K65" t="s">
        <v>1357</v>
      </c>
      <c r="L65" t="s">
        <v>1357</v>
      </c>
      <c r="M65" t="s">
        <v>6054</v>
      </c>
    </row>
    <row r="66" spans="6:13">
      <c r="H66" t="s">
        <v>5622</v>
      </c>
      <c r="I66" t="s">
        <v>1357</v>
      </c>
      <c r="J66" t="s">
        <v>1357</v>
      </c>
      <c r="K66" t="s">
        <v>1357</v>
      </c>
      <c r="L66" t="s">
        <v>1357</v>
      </c>
      <c r="M66" t="s">
        <v>6054</v>
      </c>
    </row>
    <row r="67" spans="6:13">
      <c r="H67" t="s">
        <v>5623</v>
      </c>
      <c r="I67" t="s">
        <v>1357</v>
      </c>
      <c r="J67" t="s">
        <v>1357</v>
      </c>
      <c r="K67" t="s">
        <v>1357</v>
      </c>
      <c r="L67" t="s">
        <v>1357</v>
      </c>
      <c r="M67" t="s">
        <v>6054</v>
      </c>
    </row>
    <row r="68" spans="6:13">
      <c r="H68" t="s">
        <v>5624</v>
      </c>
      <c r="I68" t="s">
        <v>1357</v>
      </c>
      <c r="J68" t="s">
        <v>1357</v>
      </c>
      <c r="K68" t="s">
        <v>1357</v>
      </c>
      <c r="L68" t="s">
        <v>1357</v>
      </c>
      <c r="M68" t="s">
        <v>6054</v>
      </c>
    </row>
    <row r="69" spans="6:13">
      <c r="H69" t="s">
        <v>5625</v>
      </c>
      <c r="I69" t="s">
        <v>1357</v>
      </c>
      <c r="J69" t="s">
        <v>1357</v>
      </c>
      <c r="K69" t="s">
        <v>1357</v>
      </c>
      <c r="L69" t="s">
        <v>1357</v>
      </c>
      <c r="M69" t="s">
        <v>6054</v>
      </c>
    </row>
    <row r="70" spans="6:13">
      <c r="H70" t="s">
        <v>5626</v>
      </c>
      <c r="I70" t="s">
        <v>1357</v>
      </c>
      <c r="J70" t="s">
        <v>1357</v>
      </c>
      <c r="K70" t="s">
        <v>1357</v>
      </c>
      <c r="L70" t="s">
        <v>1357</v>
      </c>
      <c r="M70" t="s">
        <v>6054</v>
      </c>
    </row>
    <row r="71" spans="6:13">
      <c r="H71" t="s">
        <v>5627</v>
      </c>
      <c r="I71" t="s">
        <v>1357</v>
      </c>
      <c r="J71" t="s">
        <v>1357</v>
      </c>
      <c r="K71" t="s">
        <v>1357</v>
      </c>
      <c r="L71" t="s">
        <v>1357</v>
      </c>
      <c r="M71" t="s">
        <v>6054</v>
      </c>
    </row>
    <row r="72" spans="6:13">
      <c r="H72" t="s">
        <v>5628</v>
      </c>
      <c r="I72" t="s">
        <v>1357</v>
      </c>
      <c r="J72" t="s">
        <v>1357</v>
      </c>
      <c r="K72" t="s">
        <v>1357</v>
      </c>
      <c r="L72" t="s">
        <v>1357</v>
      </c>
      <c r="M72" t="s">
        <v>6054</v>
      </c>
    </row>
    <row r="73" spans="6:13">
      <c r="H73" t="s">
        <v>5629</v>
      </c>
      <c r="I73" t="s">
        <v>1357</v>
      </c>
      <c r="J73" t="s">
        <v>1357</v>
      </c>
      <c r="K73" t="s">
        <v>1357</v>
      </c>
      <c r="L73" t="s">
        <v>1357</v>
      </c>
      <c r="M73" t="s">
        <v>6054</v>
      </c>
    </row>
    <row r="74" spans="6:13">
      <c r="H74" t="s">
        <v>5630</v>
      </c>
      <c r="I74" t="s">
        <v>1357</v>
      </c>
      <c r="J74" t="s">
        <v>1357</v>
      </c>
      <c r="K74" t="s">
        <v>1357</v>
      </c>
      <c r="L74" t="s">
        <v>1357</v>
      </c>
      <c r="M74" t="s">
        <v>6054</v>
      </c>
    </row>
    <row r="75" spans="6:13">
      <c r="H75" t="s">
        <v>5631</v>
      </c>
      <c r="I75" t="s">
        <v>1357</v>
      </c>
      <c r="J75" t="s">
        <v>1357</v>
      </c>
      <c r="K75" t="s">
        <v>1357</v>
      </c>
      <c r="L75" t="s">
        <v>1357</v>
      </c>
      <c r="M75" t="s">
        <v>6054</v>
      </c>
    </row>
    <row r="76" spans="6:13">
      <c r="H76" t="s">
        <v>5632</v>
      </c>
      <c r="I76" t="s">
        <v>1357</v>
      </c>
      <c r="J76" t="s">
        <v>1357</v>
      </c>
      <c r="K76" t="s">
        <v>1357</v>
      </c>
      <c r="L76" t="s">
        <v>1357</v>
      </c>
      <c r="M76" t="s">
        <v>6054</v>
      </c>
    </row>
    <row r="77" spans="6:13">
      <c r="H77" t="s">
        <v>5633</v>
      </c>
      <c r="I77" t="s">
        <v>1357</v>
      </c>
      <c r="J77" t="s">
        <v>1357</v>
      </c>
      <c r="K77" t="s">
        <v>1357</v>
      </c>
      <c r="L77" t="s">
        <v>1357</v>
      </c>
      <c r="M77" t="s">
        <v>6054</v>
      </c>
    </row>
    <row r="78" spans="6:13">
      <c r="H78" t="s">
        <v>5634</v>
      </c>
      <c r="I78" t="s">
        <v>1357</v>
      </c>
      <c r="J78" t="s">
        <v>1357</v>
      </c>
      <c r="K78" t="s">
        <v>1357</v>
      </c>
      <c r="L78" t="s">
        <v>1357</v>
      </c>
      <c r="M78" t="s">
        <v>6054</v>
      </c>
    </row>
    <row r="79" spans="6:13">
      <c r="H79" t="s">
        <v>5635</v>
      </c>
      <c r="I79" t="s">
        <v>1357</v>
      </c>
      <c r="J79" t="s">
        <v>1357</v>
      </c>
      <c r="K79" t="s">
        <v>1357</v>
      </c>
      <c r="L79" t="s">
        <v>1357</v>
      </c>
      <c r="M79" t="s">
        <v>6054</v>
      </c>
    </row>
    <row r="80" spans="6:13">
      <c r="F80" t="s">
        <v>5369</v>
      </c>
      <c r="G80" t="s">
        <v>5476</v>
      </c>
      <c r="H80" t="s">
        <v>5636</v>
      </c>
      <c r="I80" t="s">
        <v>1357</v>
      </c>
      <c r="J80" t="s">
        <v>1357</v>
      </c>
      <c r="K80" t="s">
        <v>1357</v>
      </c>
      <c r="L80" t="s">
        <v>1357</v>
      </c>
      <c r="M80" t="s">
        <v>6054</v>
      </c>
    </row>
    <row r="81" spans="6:13">
      <c r="H81" t="s">
        <v>5637</v>
      </c>
      <c r="I81" t="s">
        <v>1357</v>
      </c>
      <c r="J81" t="s">
        <v>1357</v>
      </c>
      <c r="K81" t="s">
        <v>1357</v>
      </c>
      <c r="L81" t="s">
        <v>1357</v>
      </c>
      <c r="M81" t="s">
        <v>6054</v>
      </c>
    </row>
    <row r="82" spans="6:13">
      <c r="H82" t="s">
        <v>5638</v>
      </c>
      <c r="I82" t="s">
        <v>1357</v>
      </c>
      <c r="J82" t="s">
        <v>1357</v>
      </c>
      <c r="K82" t="s">
        <v>1357</v>
      </c>
      <c r="L82" t="s">
        <v>1357</v>
      </c>
      <c r="M82" t="s">
        <v>6054</v>
      </c>
    </row>
    <row r="83" spans="6:13">
      <c r="H83" t="s">
        <v>5639</v>
      </c>
      <c r="I83" t="s">
        <v>1357</v>
      </c>
      <c r="J83" t="s">
        <v>1357</v>
      </c>
      <c r="K83" t="s">
        <v>1357</v>
      </c>
      <c r="L83" t="s">
        <v>1357</v>
      </c>
      <c r="M83" t="s">
        <v>6054</v>
      </c>
    </row>
    <row r="84" spans="6:13">
      <c r="H84" t="s">
        <v>5562</v>
      </c>
      <c r="I84" t="s">
        <v>1357</v>
      </c>
      <c r="J84" t="s">
        <v>1357</v>
      </c>
      <c r="K84" t="s">
        <v>1357</v>
      </c>
      <c r="L84" t="s">
        <v>1357</v>
      </c>
      <c r="M84" t="s">
        <v>6054</v>
      </c>
    </row>
    <row r="85" spans="6:13">
      <c r="H85" t="s">
        <v>5640</v>
      </c>
      <c r="I85" t="s">
        <v>1357</v>
      </c>
      <c r="J85" t="s">
        <v>1357</v>
      </c>
      <c r="K85" t="s">
        <v>1357</v>
      </c>
      <c r="L85" t="s">
        <v>1357</v>
      </c>
      <c r="M85" t="s">
        <v>6054</v>
      </c>
    </row>
    <row r="86" spans="6:13">
      <c r="H86" t="s">
        <v>5641</v>
      </c>
      <c r="I86" t="s">
        <v>1357</v>
      </c>
      <c r="J86" t="s">
        <v>1357</v>
      </c>
      <c r="K86" t="s">
        <v>1357</v>
      </c>
      <c r="L86" t="s">
        <v>1357</v>
      </c>
      <c r="M86" t="s">
        <v>6054</v>
      </c>
    </row>
    <row r="87" spans="6:13">
      <c r="F87" t="s">
        <v>5370</v>
      </c>
      <c r="G87" t="s">
        <v>5477</v>
      </c>
      <c r="H87" t="s">
        <v>4029</v>
      </c>
      <c r="I87" t="s">
        <v>1357</v>
      </c>
      <c r="J87" t="s">
        <v>1357</v>
      </c>
      <c r="K87" t="s">
        <v>1357</v>
      </c>
      <c r="L87" t="s">
        <v>1357</v>
      </c>
      <c r="M87" t="s">
        <v>6054</v>
      </c>
    </row>
    <row r="88" spans="6:13">
      <c r="H88" t="s">
        <v>4491</v>
      </c>
      <c r="I88" t="s">
        <v>1357</v>
      </c>
      <c r="J88" t="s">
        <v>1357</v>
      </c>
      <c r="K88" t="s">
        <v>1357</v>
      </c>
      <c r="L88" t="s">
        <v>1357</v>
      </c>
      <c r="M88" t="s">
        <v>6054</v>
      </c>
    </row>
    <row r="89" spans="6:13">
      <c r="H89" t="s">
        <v>5642</v>
      </c>
      <c r="I89" t="s">
        <v>1357</v>
      </c>
      <c r="J89" t="s">
        <v>1357</v>
      </c>
      <c r="K89" t="s">
        <v>1357</v>
      </c>
      <c r="L89" t="s">
        <v>1357</v>
      </c>
      <c r="M89" t="s">
        <v>6054</v>
      </c>
    </row>
    <row r="90" spans="6:13">
      <c r="H90" t="s">
        <v>5643</v>
      </c>
      <c r="I90" t="s">
        <v>1357</v>
      </c>
      <c r="J90" t="s">
        <v>1357</v>
      </c>
      <c r="K90" t="s">
        <v>1357</v>
      </c>
      <c r="L90" t="s">
        <v>1357</v>
      </c>
      <c r="M90" t="s">
        <v>6054</v>
      </c>
    </row>
    <row r="91" spans="6:13">
      <c r="H91" t="s">
        <v>5644</v>
      </c>
      <c r="I91" t="s">
        <v>1357</v>
      </c>
      <c r="J91" t="s">
        <v>1357</v>
      </c>
      <c r="K91" t="s">
        <v>1357</v>
      </c>
      <c r="L91" t="s">
        <v>1357</v>
      </c>
      <c r="M91" t="s">
        <v>6054</v>
      </c>
    </row>
    <row r="92" spans="6:13">
      <c r="H92" t="s">
        <v>5645</v>
      </c>
      <c r="I92" t="s">
        <v>1357</v>
      </c>
      <c r="J92" t="s">
        <v>1357</v>
      </c>
      <c r="K92" t="s">
        <v>1357</v>
      </c>
      <c r="L92" t="s">
        <v>1357</v>
      </c>
      <c r="M92" t="s">
        <v>6054</v>
      </c>
    </row>
    <row r="93" spans="6:13">
      <c r="H93" t="s">
        <v>5646</v>
      </c>
      <c r="I93" t="s">
        <v>1357</v>
      </c>
      <c r="J93" t="s">
        <v>1357</v>
      </c>
      <c r="K93" t="s">
        <v>1357</v>
      </c>
      <c r="L93" t="s">
        <v>1357</v>
      </c>
      <c r="M93" t="s">
        <v>6054</v>
      </c>
    </row>
    <row r="94" spans="6:13">
      <c r="H94" t="s">
        <v>5647</v>
      </c>
      <c r="I94" t="s">
        <v>1357</v>
      </c>
      <c r="J94" t="s">
        <v>1357</v>
      </c>
      <c r="K94" t="s">
        <v>1357</v>
      </c>
      <c r="L94" t="s">
        <v>1357</v>
      </c>
      <c r="M94" t="s">
        <v>6054</v>
      </c>
    </row>
    <row r="95" spans="6:13">
      <c r="H95" t="s">
        <v>5648</v>
      </c>
      <c r="I95" t="s">
        <v>1357</v>
      </c>
      <c r="J95" t="s">
        <v>1357</v>
      </c>
      <c r="K95" t="s">
        <v>1357</v>
      </c>
      <c r="L95" t="s">
        <v>1357</v>
      </c>
      <c r="M95" t="s">
        <v>6054</v>
      </c>
    </row>
    <row r="96" spans="6:13">
      <c r="H96" t="s">
        <v>5649</v>
      </c>
      <c r="I96" t="s">
        <v>1357</v>
      </c>
      <c r="J96" t="s">
        <v>1357</v>
      </c>
      <c r="K96" t="s">
        <v>1357</v>
      </c>
      <c r="L96" t="s">
        <v>1357</v>
      </c>
      <c r="M96" t="s">
        <v>6054</v>
      </c>
    </row>
    <row r="97" spans="6:13">
      <c r="H97" t="s">
        <v>5650</v>
      </c>
      <c r="I97" t="s">
        <v>1357</v>
      </c>
      <c r="J97" t="s">
        <v>1357</v>
      </c>
      <c r="K97" t="s">
        <v>1357</v>
      </c>
      <c r="L97" t="s">
        <v>1357</v>
      </c>
      <c r="M97" t="s">
        <v>6054</v>
      </c>
    </row>
    <row r="98" spans="6:13">
      <c r="H98" t="s">
        <v>5651</v>
      </c>
      <c r="I98" t="s">
        <v>1357</v>
      </c>
      <c r="J98" t="s">
        <v>1357</v>
      </c>
      <c r="K98" t="s">
        <v>1357</v>
      </c>
      <c r="L98" t="s">
        <v>1357</v>
      </c>
      <c r="M98" t="s">
        <v>6054</v>
      </c>
    </row>
    <row r="99" spans="6:13">
      <c r="H99" t="s">
        <v>5652</v>
      </c>
      <c r="I99" t="s">
        <v>1357</v>
      </c>
      <c r="J99" t="s">
        <v>1357</v>
      </c>
      <c r="K99" t="s">
        <v>1357</v>
      </c>
      <c r="L99" t="s">
        <v>1357</v>
      </c>
      <c r="M99" t="s">
        <v>6054</v>
      </c>
    </row>
    <row r="100" spans="6:13">
      <c r="H100" t="s">
        <v>5653</v>
      </c>
      <c r="I100" t="s">
        <v>1357</v>
      </c>
      <c r="J100" t="s">
        <v>1357</v>
      </c>
      <c r="K100" t="s">
        <v>1357</v>
      </c>
      <c r="L100" t="s">
        <v>1357</v>
      </c>
      <c r="M100" t="s">
        <v>6054</v>
      </c>
    </row>
    <row r="101" spans="6:13">
      <c r="H101" t="s">
        <v>5654</v>
      </c>
      <c r="I101" t="s">
        <v>1357</v>
      </c>
      <c r="J101" t="s">
        <v>1357</v>
      </c>
      <c r="K101" t="s">
        <v>1357</v>
      </c>
      <c r="L101" t="s">
        <v>1357</v>
      </c>
      <c r="M101" t="s">
        <v>6054</v>
      </c>
    </row>
    <row r="102" spans="6:13">
      <c r="H102" t="s">
        <v>5655</v>
      </c>
      <c r="I102" t="s">
        <v>1357</v>
      </c>
      <c r="J102" t="s">
        <v>1357</v>
      </c>
      <c r="K102" t="s">
        <v>1357</v>
      </c>
      <c r="L102" t="s">
        <v>1357</v>
      </c>
      <c r="M102" t="s">
        <v>6054</v>
      </c>
    </row>
    <row r="103" spans="6:13">
      <c r="H103" t="s">
        <v>5656</v>
      </c>
      <c r="I103" t="s">
        <v>1357</v>
      </c>
      <c r="J103" t="s">
        <v>1357</v>
      </c>
      <c r="K103" t="s">
        <v>1357</v>
      </c>
      <c r="L103" t="s">
        <v>1357</v>
      </c>
      <c r="M103" t="s">
        <v>6054</v>
      </c>
    </row>
    <row r="104" spans="6:13">
      <c r="H104" t="s">
        <v>5657</v>
      </c>
      <c r="I104" t="s">
        <v>1357</v>
      </c>
      <c r="J104" t="s">
        <v>1357</v>
      </c>
      <c r="K104" t="s">
        <v>1357</v>
      </c>
      <c r="L104" t="s">
        <v>1357</v>
      </c>
      <c r="M104" t="s">
        <v>6054</v>
      </c>
    </row>
    <row r="105" spans="6:13">
      <c r="H105" t="s">
        <v>899</v>
      </c>
      <c r="I105" t="s">
        <v>1357</v>
      </c>
      <c r="J105" t="s">
        <v>1357</v>
      </c>
      <c r="K105" t="s">
        <v>1357</v>
      </c>
      <c r="L105" t="s">
        <v>1357</v>
      </c>
      <c r="M105" t="s">
        <v>6054</v>
      </c>
    </row>
    <row r="106" spans="6:13">
      <c r="H106" t="s">
        <v>900</v>
      </c>
      <c r="I106" t="s">
        <v>1357</v>
      </c>
      <c r="J106" t="s">
        <v>1357</v>
      </c>
      <c r="K106" t="s">
        <v>1357</v>
      </c>
      <c r="L106" t="s">
        <v>1357</v>
      </c>
      <c r="M106" t="s">
        <v>6054</v>
      </c>
    </row>
    <row r="107" spans="6:13">
      <c r="H107" t="s">
        <v>812</v>
      </c>
      <c r="I107" t="s">
        <v>1357</v>
      </c>
      <c r="J107" t="s">
        <v>1357</v>
      </c>
      <c r="K107" t="s">
        <v>1357</v>
      </c>
      <c r="L107" t="s">
        <v>1357</v>
      </c>
      <c r="M107" t="s">
        <v>6054</v>
      </c>
    </row>
    <row r="108" spans="6:13">
      <c r="H108" t="s">
        <v>5658</v>
      </c>
      <c r="I108" t="s">
        <v>1357</v>
      </c>
      <c r="J108" t="s">
        <v>1357</v>
      </c>
      <c r="K108" t="s">
        <v>1357</v>
      </c>
      <c r="L108" t="s">
        <v>1357</v>
      </c>
      <c r="M108" t="s">
        <v>6054</v>
      </c>
    </row>
    <row r="109" spans="6:13">
      <c r="H109" t="s">
        <v>5659</v>
      </c>
      <c r="I109" t="s">
        <v>1357</v>
      </c>
      <c r="J109" t="s">
        <v>1357</v>
      </c>
      <c r="K109" t="s">
        <v>1357</v>
      </c>
      <c r="L109" t="s">
        <v>1357</v>
      </c>
      <c r="M109" t="s">
        <v>6054</v>
      </c>
    </row>
    <row r="110" spans="6:13">
      <c r="H110" t="s">
        <v>901</v>
      </c>
      <c r="I110" t="s">
        <v>1357</v>
      </c>
      <c r="J110" t="s">
        <v>1357</v>
      </c>
      <c r="K110" t="s">
        <v>1357</v>
      </c>
      <c r="L110" t="s">
        <v>1357</v>
      </c>
      <c r="M110" t="s">
        <v>6054</v>
      </c>
    </row>
    <row r="111" spans="6:13">
      <c r="F111" t="s">
        <v>5371</v>
      </c>
      <c r="G111" t="s">
        <v>5478</v>
      </c>
      <c r="H111" t="s">
        <v>4491</v>
      </c>
      <c r="I111" t="s">
        <v>1357</v>
      </c>
      <c r="J111" t="s">
        <v>1357</v>
      </c>
      <c r="K111" t="s">
        <v>1357</v>
      </c>
      <c r="L111" t="s">
        <v>1357</v>
      </c>
      <c r="M111" t="s">
        <v>6054</v>
      </c>
    </row>
    <row r="112" spans="6:13">
      <c r="H112" t="s">
        <v>5660</v>
      </c>
      <c r="I112" t="s">
        <v>1357</v>
      </c>
      <c r="J112" t="s">
        <v>1357</v>
      </c>
      <c r="K112" t="s">
        <v>1357</v>
      </c>
      <c r="L112" t="s">
        <v>1357</v>
      </c>
      <c r="M112" t="s">
        <v>6054</v>
      </c>
    </row>
    <row r="113" spans="1:12">
      <c r="A113" t="s">
        <v>5292</v>
      </c>
      <c r="B113">
        <f>HYPERLINK("https://github.com/JodaOrg/joda-time/commit/d3c4efa48ca55da45286072b98aa229839d0b1ed", "d3c4efa48ca55da45286072b98aa229839d0b1ed")</f>
        <v>0</v>
      </c>
      <c r="C113">
        <f>HYPERLINK("https://github.com/JodaOrg/joda-time/commit/d21736df31ca4888e76ccbdc7d31f406cf68b645", "d21736df31ca4888e76ccbdc7d31f406cf68b645")</f>
        <v>0</v>
      </c>
      <c r="D113" t="s">
        <v>5327</v>
      </c>
      <c r="E113" t="s">
        <v>5332</v>
      </c>
      <c r="F113" t="s">
        <v>5372</v>
      </c>
      <c r="G113" t="s">
        <v>5479</v>
      </c>
      <c r="H113" t="s">
        <v>5661</v>
      </c>
      <c r="I113" t="s">
        <v>1357</v>
      </c>
      <c r="J113" t="s">
        <v>1357</v>
      </c>
      <c r="K113" t="s">
        <v>1357</v>
      </c>
      <c r="L113" t="s">
        <v>1357</v>
      </c>
    </row>
    <row r="114" spans="1:12">
      <c r="H114" t="s">
        <v>5662</v>
      </c>
      <c r="I114" t="s">
        <v>1357</v>
      </c>
      <c r="J114" t="s">
        <v>1357</v>
      </c>
      <c r="K114" t="s">
        <v>1357</v>
      </c>
      <c r="L114" t="s">
        <v>1357</v>
      </c>
    </row>
    <row r="115" spans="1:12">
      <c r="H115" t="s">
        <v>5663</v>
      </c>
      <c r="I115" t="s">
        <v>1357</v>
      </c>
      <c r="J115" t="s">
        <v>1357</v>
      </c>
      <c r="K115" t="s">
        <v>1357</v>
      </c>
      <c r="L115" t="s">
        <v>1357</v>
      </c>
    </row>
    <row r="116" spans="1:12">
      <c r="F116" t="s">
        <v>5373</v>
      </c>
      <c r="G116" t="s">
        <v>5480</v>
      </c>
      <c r="H116" t="s">
        <v>5664</v>
      </c>
      <c r="I116" t="s">
        <v>1357</v>
      </c>
      <c r="J116" t="s">
        <v>1357</v>
      </c>
      <c r="K116" t="s">
        <v>1357</v>
      </c>
      <c r="L116" t="s">
        <v>1357</v>
      </c>
    </row>
    <row r="117" spans="1:12">
      <c r="H117" t="s">
        <v>5665</v>
      </c>
      <c r="I117" t="s">
        <v>1357</v>
      </c>
      <c r="J117" t="s">
        <v>1357</v>
      </c>
      <c r="K117" t="s">
        <v>1357</v>
      </c>
      <c r="L117" t="s">
        <v>1357</v>
      </c>
    </row>
    <row r="118" spans="1:12">
      <c r="H118" t="s">
        <v>5666</v>
      </c>
      <c r="I118" t="s">
        <v>1357</v>
      </c>
      <c r="J118" t="s">
        <v>1357</v>
      </c>
      <c r="K118" t="s">
        <v>1357</v>
      </c>
      <c r="L118" t="s">
        <v>1357</v>
      </c>
    </row>
    <row r="119" spans="1:12">
      <c r="H119" t="s">
        <v>5667</v>
      </c>
      <c r="I119" t="s">
        <v>1357</v>
      </c>
      <c r="J119" t="s">
        <v>1357</v>
      </c>
      <c r="K119" t="s">
        <v>1357</v>
      </c>
      <c r="L119" t="s">
        <v>1357</v>
      </c>
    </row>
    <row r="120" spans="1:12">
      <c r="H120" t="s">
        <v>5668</v>
      </c>
      <c r="I120" t="s">
        <v>1357</v>
      </c>
      <c r="J120" t="s">
        <v>1357</v>
      </c>
      <c r="K120" t="s">
        <v>1357</v>
      </c>
      <c r="L120" t="s">
        <v>1357</v>
      </c>
    </row>
    <row r="121" spans="1:12">
      <c r="H121" t="s">
        <v>5669</v>
      </c>
      <c r="I121" t="s">
        <v>1357</v>
      </c>
      <c r="J121" t="s">
        <v>1357</v>
      </c>
      <c r="K121" t="s">
        <v>1357</v>
      </c>
      <c r="L121" t="s">
        <v>1357</v>
      </c>
    </row>
    <row r="122" spans="1:12">
      <c r="H122" t="s">
        <v>5670</v>
      </c>
      <c r="I122" t="s">
        <v>1357</v>
      </c>
      <c r="J122" t="s">
        <v>1357</v>
      </c>
      <c r="K122" t="s">
        <v>1357</v>
      </c>
      <c r="L122" t="s">
        <v>1357</v>
      </c>
    </row>
    <row r="123" spans="1:12">
      <c r="H123" t="s">
        <v>5671</v>
      </c>
      <c r="I123" t="s">
        <v>1357</v>
      </c>
      <c r="J123" t="s">
        <v>1357</v>
      </c>
      <c r="K123" t="s">
        <v>1357</v>
      </c>
      <c r="L123" t="s">
        <v>1357</v>
      </c>
    </row>
    <row r="124" spans="1:12">
      <c r="H124" t="s">
        <v>5672</v>
      </c>
      <c r="I124" t="s">
        <v>1357</v>
      </c>
      <c r="J124" t="s">
        <v>1357</v>
      </c>
      <c r="K124" t="s">
        <v>1357</v>
      </c>
      <c r="L124" t="s">
        <v>1357</v>
      </c>
    </row>
    <row r="125" spans="1:12">
      <c r="H125" t="s">
        <v>5673</v>
      </c>
      <c r="I125" t="s">
        <v>1357</v>
      </c>
      <c r="J125" t="s">
        <v>1357</v>
      </c>
      <c r="K125" t="s">
        <v>1357</v>
      </c>
      <c r="L125" t="s">
        <v>1357</v>
      </c>
    </row>
    <row r="126" spans="1:12">
      <c r="H126" t="s">
        <v>5561</v>
      </c>
      <c r="I126" t="s">
        <v>1357</v>
      </c>
      <c r="J126" t="s">
        <v>1357</v>
      </c>
      <c r="K126" t="s">
        <v>1357</v>
      </c>
      <c r="L126" t="s">
        <v>1357</v>
      </c>
    </row>
    <row r="127" spans="1:12">
      <c r="H127" t="s">
        <v>5674</v>
      </c>
      <c r="I127" t="s">
        <v>1357</v>
      </c>
      <c r="J127" t="s">
        <v>1357</v>
      </c>
      <c r="K127" t="s">
        <v>1357</v>
      </c>
      <c r="L127" t="s">
        <v>1357</v>
      </c>
    </row>
    <row r="128" spans="1:12">
      <c r="H128" t="s">
        <v>901</v>
      </c>
      <c r="I128" t="s">
        <v>1357</v>
      </c>
      <c r="J128" t="s">
        <v>1357</v>
      </c>
      <c r="K128" t="s">
        <v>1357</v>
      </c>
      <c r="L128" t="s">
        <v>1357</v>
      </c>
    </row>
    <row r="129" spans="6:13">
      <c r="F129" t="s">
        <v>5374</v>
      </c>
      <c r="G129" t="s">
        <v>5481</v>
      </c>
      <c r="H129" t="s">
        <v>5675</v>
      </c>
      <c r="I129" t="s">
        <v>1357</v>
      </c>
      <c r="J129" t="s">
        <v>1357</v>
      </c>
      <c r="K129" t="s">
        <v>1357</v>
      </c>
      <c r="L129" t="s">
        <v>1357</v>
      </c>
      <c r="M129" t="s">
        <v>6054</v>
      </c>
    </row>
    <row r="130" spans="6:13">
      <c r="H130" t="s">
        <v>5676</v>
      </c>
      <c r="I130" t="s">
        <v>1357</v>
      </c>
      <c r="J130" t="s">
        <v>1357</v>
      </c>
      <c r="K130" t="s">
        <v>1357</v>
      </c>
      <c r="L130" t="s">
        <v>1357</v>
      </c>
      <c r="M130" t="s">
        <v>6054</v>
      </c>
    </row>
    <row r="131" spans="6:13">
      <c r="F131" t="s">
        <v>5375</v>
      </c>
      <c r="G131" t="s">
        <v>5482</v>
      </c>
      <c r="H131" t="s">
        <v>5677</v>
      </c>
      <c r="I131" t="s">
        <v>1357</v>
      </c>
      <c r="J131" t="s">
        <v>1357</v>
      </c>
      <c r="K131" t="s">
        <v>1357</v>
      </c>
      <c r="L131" t="s">
        <v>1357</v>
      </c>
      <c r="M131" t="s">
        <v>6054</v>
      </c>
    </row>
    <row r="132" spans="6:13">
      <c r="H132" t="s">
        <v>5676</v>
      </c>
      <c r="I132" t="s">
        <v>1357</v>
      </c>
      <c r="J132" t="s">
        <v>1357</v>
      </c>
      <c r="K132" t="s">
        <v>1357</v>
      </c>
      <c r="L132" t="s">
        <v>1357</v>
      </c>
      <c r="M132" t="s">
        <v>6054</v>
      </c>
    </row>
    <row r="133" spans="6:13">
      <c r="F133" t="s">
        <v>5376</v>
      </c>
      <c r="G133" t="s">
        <v>5483</v>
      </c>
      <c r="H133" t="s">
        <v>5561</v>
      </c>
      <c r="I133" t="s">
        <v>1357</v>
      </c>
      <c r="J133" t="s">
        <v>1357</v>
      </c>
      <c r="K133" t="s">
        <v>1357</v>
      </c>
      <c r="L133" t="s">
        <v>1357</v>
      </c>
    </row>
    <row r="134" spans="6:13">
      <c r="H134" t="s">
        <v>5642</v>
      </c>
      <c r="I134" t="s">
        <v>1357</v>
      </c>
      <c r="J134" t="s">
        <v>1357</v>
      </c>
      <c r="K134" t="s">
        <v>1357</v>
      </c>
      <c r="L134" t="s">
        <v>1357</v>
      </c>
    </row>
    <row r="135" spans="6:13">
      <c r="H135" t="s">
        <v>5678</v>
      </c>
      <c r="I135" t="s">
        <v>1357</v>
      </c>
      <c r="J135" t="s">
        <v>1357</v>
      </c>
      <c r="K135" t="s">
        <v>1357</v>
      </c>
      <c r="L135" t="s">
        <v>1357</v>
      </c>
    </row>
    <row r="136" spans="6:13">
      <c r="H136" t="s">
        <v>5679</v>
      </c>
      <c r="I136" t="s">
        <v>1357</v>
      </c>
      <c r="J136" t="s">
        <v>1357</v>
      </c>
      <c r="K136" t="s">
        <v>1357</v>
      </c>
      <c r="L136" t="s">
        <v>1357</v>
      </c>
    </row>
    <row r="137" spans="6:13">
      <c r="H137" t="s">
        <v>5680</v>
      </c>
      <c r="I137" t="s">
        <v>1357</v>
      </c>
      <c r="J137" t="s">
        <v>1357</v>
      </c>
      <c r="K137" t="s">
        <v>1357</v>
      </c>
      <c r="L137" t="s">
        <v>1357</v>
      </c>
    </row>
    <row r="138" spans="6:13">
      <c r="H138" t="s">
        <v>5681</v>
      </c>
      <c r="I138" t="s">
        <v>1357</v>
      </c>
      <c r="J138" t="s">
        <v>1357</v>
      </c>
      <c r="K138" t="s">
        <v>1357</v>
      </c>
      <c r="L138" t="s">
        <v>1357</v>
      </c>
    </row>
    <row r="139" spans="6:13">
      <c r="H139" t="s">
        <v>5682</v>
      </c>
      <c r="I139" t="s">
        <v>1357</v>
      </c>
      <c r="J139" t="s">
        <v>1357</v>
      </c>
      <c r="K139" t="s">
        <v>1357</v>
      </c>
      <c r="L139" t="s">
        <v>1357</v>
      </c>
    </row>
    <row r="140" spans="6:13">
      <c r="H140" t="s">
        <v>5683</v>
      </c>
      <c r="I140" t="s">
        <v>1357</v>
      </c>
      <c r="J140" t="s">
        <v>1357</v>
      </c>
      <c r="K140" t="s">
        <v>1357</v>
      </c>
      <c r="L140" t="s">
        <v>1357</v>
      </c>
    </row>
    <row r="141" spans="6:13">
      <c r="H141" t="s">
        <v>5684</v>
      </c>
      <c r="I141" t="s">
        <v>1357</v>
      </c>
      <c r="J141" t="s">
        <v>1357</v>
      </c>
      <c r="K141" t="s">
        <v>1357</v>
      </c>
      <c r="L141" t="s">
        <v>1357</v>
      </c>
    </row>
    <row r="142" spans="6:13">
      <c r="H142" t="s">
        <v>5685</v>
      </c>
      <c r="I142" t="s">
        <v>1357</v>
      </c>
      <c r="J142" t="s">
        <v>1357</v>
      </c>
      <c r="K142" t="s">
        <v>1357</v>
      </c>
      <c r="L142" t="s">
        <v>1357</v>
      </c>
    </row>
    <row r="143" spans="6:13">
      <c r="H143" t="s">
        <v>5686</v>
      </c>
      <c r="I143" t="s">
        <v>1357</v>
      </c>
      <c r="J143" t="s">
        <v>1357</v>
      </c>
      <c r="K143" t="s">
        <v>1357</v>
      </c>
      <c r="L143" t="s">
        <v>1357</v>
      </c>
    </row>
    <row r="144" spans="6:13">
      <c r="H144" t="s">
        <v>5687</v>
      </c>
      <c r="I144" t="s">
        <v>1357</v>
      </c>
      <c r="J144" t="s">
        <v>1357</v>
      </c>
      <c r="K144" t="s">
        <v>1357</v>
      </c>
      <c r="L144" t="s">
        <v>1357</v>
      </c>
    </row>
    <row r="145" spans="8:12">
      <c r="H145" t="s">
        <v>5688</v>
      </c>
      <c r="I145" t="s">
        <v>1357</v>
      </c>
      <c r="J145" t="s">
        <v>1357</v>
      </c>
      <c r="K145" t="s">
        <v>1357</v>
      </c>
      <c r="L145" t="s">
        <v>1357</v>
      </c>
    </row>
    <row r="146" spans="8:12">
      <c r="H146" t="s">
        <v>5689</v>
      </c>
      <c r="I146" t="s">
        <v>1357</v>
      </c>
      <c r="J146" t="s">
        <v>1357</v>
      </c>
      <c r="K146" t="s">
        <v>1357</v>
      </c>
      <c r="L146" t="s">
        <v>1357</v>
      </c>
    </row>
    <row r="147" spans="8:12">
      <c r="H147" t="s">
        <v>5690</v>
      </c>
      <c r="I147" t="s">
        <v>1357</v>
      </c>
      <c r="J147" t="s">
        <v>1357</v>
      </c>
      <c r="K147" t="s">
        <v>1357</v>
      </c>
      <c r="L147" t="s">
        <v>1357</v>
      </c>
    </row>
    <row r="148" spans="8:12">
      <c r="H148" t="s">
        <v>5691</v>
      </c>
      <c r="I148" t="s">
        <v>1357</v>
      </c>
      <c r="J148" t="s">
        <v>1357</v>
      </c>
      <c r="K148" t="s">
        <v>1357</v>
      </c>
      <c r="L148" t="s">
        <v>1357</v>
      </c>
    </row>
    <row r="149" spans="8:12">
      <c r="H149" t="s">
        <v>5692</v>
      </c>
      <c r="I149" t="s">
        <v>1357</v>
      </c>
      <c r="J149" t="s">
        <v>1357</v>
      </c>
      <c r="K149" t="s">
        <v>1357</v>
      </c>
      <c r="L149" t="s">
        <v>1357</v>
      </c>
    </row>
    <row r="150" spans="8:12">
      <c r="H150" t="s">
        <v>5693</v>
      </c>
      <c r="I150" t="s">
        <v>1357</v>
      </c>
      <c r="J150" t="s">
        <v>1357</v>
      </c>
      <c r="K150" t="s">
        <v>1357</v>
      </c>
      <c r="L150" t="s">
        <v>1357</v>
      </c>
    </row>
    <row r="151" spans="8:12">
      <c r="H151" t="s">
        <v>5694</v>
      </c>
      <c r="I151" t="s">
        <v>1357</v>
      </c>
      <c r="J151" t="s">
        <v>1357</v>
      </c>
      <c r="K151" t="s">
        <v>1357</v>
      </c>
      <c r="L151" t="s">
        <v>1357</v>
      </c>
    </row>
    <row r="152" spans="8:12">
      <c r="H152" t="s">
        <v>5695</v>
      </c>
      <c r="I152" t="s">
        <v>1357</v>
      </c>
      <c r="J152" t="s">
        <v>1357</v>
      </c>
      <c r="K152" t="s">
        <v>1357</v>
      </c>
      <c r="L152" t="s">
        <v>1357</v>
      </c>
    </row>
    <row r="153" spans="8:12">
      <c r="H153" t="s">
        <v>5696</v>
      </c>
      <c r="I153" t="s">
        <v>1357</v>
      </c>
      <c r="J153" t="s">
        <v>1357</v>
      </c>
      <c r="K153" t="s">
        <v>1357</v>
      </c>
      <c r="L153" t="s">
        <v>1357</v>
      </c>
    </row>
    <row r="154" spans="8:12">
      <c r="H154" t="s">
        <v>5697</v>
      </c>
      <c r="I154" t="s">
        <v>1357</v>
      </c>
      <c r="J154" t="s">
        <v>1357</v>
      </c>
      <c r="K154" t="s">
        <v>1357</v>
      </c>
      <c r="L154" t="s">
        <v>1357</v>
      </c>
    </row>
    <row r="155" spans="8:12">
      <c r="H155" t="s">
        <v>5698</v>
      </c>
      <c r="I155" t="s">
        <v>1357</v>
      </c>
      <c r="J155" t="s">
        <v>1357</v>
      </c>
      <c r="K155" t="s">
        <v>1357</v>
      </c>
      <c r="L155" t="s">
        <v>1357</v>
      </c>
    </row>
    <row r="156" spans="8:12">
      <c r="H156" t="s">
        <v>5699</v>
      </c>
      <c r="I156" t="s">
        <v>1357</v>
      </c>
      <c r="J156" t="s">
        <v>1357</v>
      </c>
      <c r="K156" t="s">
        <v>1357</v>
      </c>
      <c r="L156" t="s">
        <v>1357</v>
      </c>
    </row>
    <row r="157" spans="8:12">
      <c r="H157" t="s">
        <v>5700</v>
      </c>
      <c r="I157" t="s">
        <v>1357</v>
      </c>
      <c r="J157" t="s">
        <v>1357</v>
      </c>
      <c r="K157" t="s">
        <v>1357</v>
      </c>
      <c r="L157" t="s">
        <v>1357</v>
      </c>
    </row>
    <row r="158" spans="8:12">
      <c r="H158" t="s">
        <v>5701</v>
      </c>
      <c r="I158" t="s">
        <v>1357</v>
      </c>
      <c r="J158" t="s">
        <v>1357</v>
      </c>
      <c r="K158" t="s">
        <v>1357</v>
      </c>
      <c r="L158" t="s">
        <v>1357</v>
      </c>
    </row>
    <row r="159" spans="8:12">
      <c r="H159" t="s">
        <v>5702</v>
      </c>
      <c r="I159" t="s">
        <v>1357</v>
      </c>
      <c r="J159" t="s">
        <v>1357</v>
      </c>
      <c r="K159" t="s">
        <v>1357</v>
      </c>
      <c r="L159" t="s">
        <v>1357</v>
      </c>
    </row>
    <row r="160" spans="8:12">
      <c r="H160" t="s">
        <v>5703</v>
      </c>
      <c r="I160" t="s">
        <v>1357</v>
      </c>
      <c r="J160" t="s">
        <v>1357</v>
      </c>
      <c r="K160" t="s">
        <v>1357</v>
      </c>
      <c r="L160" t="s">
        <v>1357</v>
      </c>
    </row>
    <row r="161" spans="6:12">
      <c r="H161" t="s">
        <v>5704</v>
      </c>
      <c r="I161" t="s">
        <v>1357</v>
      </c>
      <c r="J161" t="s">
        <v>1357</v>
      </c>
      <c r="K161" t="s">
        <v>1357</v>
      </c>
      <c r="L161" t="s">
        <v>1357</v>
      </c>
    </row>
    <row r="162" spans="6:12">
      <c r="H162" t="s">
        <v>5705</v>
      </c>
      <c r="I162" t="s">
        <v>1357</v>
      </c>
      <c r="J162" t="s">
        <v>1357</v>
      </c>
      <c r="K162" t="s">
        <v>1357</v>
      </c>
      <c r="L162" t="s">
        <v>1357</v>
      </c>
    </row>
    <row r="163" spans="6:12">
      <c r="H163" t="s">
        <v>901</v>
      </c>
      <c r="I163" t="s">
        <v>1357</v>
      </c>
      <c r="J163" t="s">
        <v>1357</v>
      </c>
      <c r="K163" t="s">
        <v>1357</v>
      </c>
      <c r="L163" t="s">
        <v>1357</v>
      </c>
    </row>
    <row r="164" spans="6:12">
      <c r="H164" t="s">
        <v>5676</v>
      </c>
      <c r="I164" t="s">
        <v>1357</v>
      </c>
      <c r="J164" t="s">
        <v>1357</v>
      </c>
      <c r="K164" t="s">
        <v>1357</v>
      </c>
      <c r="L164" t="s">
        <v>1357</v>
      </c>
    </row>
    <row r="165" spans="6:12">
      <c r="F165" t="s">
        <v>5377</v>
      </c>
      <c r="G165" t="s">
        <v>5484</v>
      </c>
      <c r="H165" t="s">
        <v>5706</v>
      </c>
      <c r="I165" t="s">
        <v>1357</v>
      </c>
      <c r="J165" t="s">
        <v>1357</v>
      </c>
      <c r="K165" t="s">
        <v>1357</v>
      </c>
      <c r="L165" t="s">
        <v>1357</v>
      </c>
    </row>
    <row r="166" spans="6:12">
      <c r="H166" t="s">
        <v>5707</v>
      </c>
      <c r="I166" t="s">
        <v>1357</v>
      </c>
      <c r="J166" t="s">
        <v>1357</v>
      </c>
      <c r="K166" t="s">
        <v>1357</v>
      </c>
      <c r="L166" t="s">
        <v>1357</v>
      </c>
    </row>
    <row r="167" spans="6:12">
      <c r="H167" t="s">
        <v>5708</v>
      </c>
      <c r="I167" t="s">
        <v>1357</v>
      </c>
      <c r="J167" t="s">
        <v>1357</v>
      </c>
      <c r="K167" t="s">
        <v>1357</v>
      </c>
      <c r="L167" t="s">
        <v>1357</v>
      </c>
    </row>
    <row r="168" spans="6:12">
      <c r="H168" t="s">
        <v>5709</v>
      </c>
      <c r="I168" t="s">
        <v>1357</v>
      </c>
      <c r="J168" t="s">
        <v>1357</v>
      </c>
      <c r="K168" t="s">
        <v>1357</v>
      </c>
      <c r="L168" t="s">
        <v>1357</v>
      </c>
    </row>
    <row r="169" spans="6:12">
      <c r="H169" t="s">
        <v>5710</v>
      </c>
      <c r="I169" t="s">
        <v>1357</v>
      </c>
      <c r="J169" t="s">
        <v>1357</v>
      </c>
      <c r="K169" t="s">
        <v>1357</v>
      </c>
      <c r="L169" t="s">
        <v>1357</v>
      </c>
    </row>
    <row r="170" spans="6:12">
      <c r="H170" t="s">
        <v>5711</v>
      </c>
      <c r="I170" t="s">
        <v>1357</v>
      </c>
      <c r="J170" t="s">
        <v>1357</v>
      </c>
      <c r="K170" t="s">
        <v>1357</v>
      </c>
      <c r="L170" t="s">
        <v>1357</v>
      </c>
    </row>
    <row r="171" spans="6:12">
      <c r="H171" t="s">
        <v>5712</v>
      </c>
      <c r="I171" t="s">
        <v>1357</v>
      </c>
      <c r="J171" t="s">
        <v>1357</v>
      </c>
      <c r="K171" t="s">
        <v>1357</v>
      </c>
      <c r="L171" t="s">
        <v>1357</v>
      </c>
    </row>
    <row r="172" spans="6:12">
      <c r="H172" t="s">
        <v>5713</v>
      </c>
      <c r="I172" t="s">
        <v>1357</v>
      </c>
      <c r="J172" t="s">
        <v>1357</v>
      </c>
      <c r="K172" t="s">
        <v>1357</v>
      </c>
      <c r="L172" t="s">
        <v>1357</v>
      </c>
    </row>
    <row r="173" spans="6:12">
      <c r="H173" t="s">
        <v>5714</v>
      </c>
      <c r="I173" t="s">
        <v>1357</v>
      </c>
      <c r="J173" t="s">
        <v>1357</v>
      </c>
      <c r="K173" t="s">
        <v>1357</v>
      </c>
      <c r="L173" t="s">
        <v>1357</v>
      </c>
    </row>
    <row r="174" spans="6:12">
      <c r="H174" t="s">
        <v>5715</v>
      </c>
      <c r="I174" t="s">
        <v>1357</v>
      </c>
      <c r="J174" t="s">
        <v>1357</v>
      </c>
      <c r="K174" t="s">
        <v>1357</v>
      </c>
      <c r="L174" t="s">
        <v>1357</v>
      </c>
    </row>
    <row r="175" spans="6:12">
      <c r="H175" t="s">
        <v>5716</v>
      </c>
      <c r="I175" t="s">
        <v>1357</v>
      </c>
      <c r="J175" t="s">
        <v>1357</v>
      </c>
      <c r="K175" t="s">
        <v>1357</v>
      </c>
      <c r="L175" t="s">
        <v>1357</v>
      </c>
    </row>
    <row r="176" spans="6:12">
      <c r="H176" t="s">
        <v>5717</v>
      </c>
      <c r="I176" t="s">
        <v>1357</v>
      </c>
      <c r="J176" t="s">
        <v>1357</v>
      </c>
      <c r="K176" t="s">
        <v>1357</v>
      </c>
      <c r="L176" t="s">
        <v>1357</v>
      </c>
    </row>
    <row r="177" spans="1:13">
      <c r="H177" t="s">
        <v>5718</v>
      </c>
      <c r="I177" t="s">
        <v>1357</v>
      </c>
      <c r="J177" t="s">
        <v>1357</v>
      </c>
      <c r="K177" t="s">
        <v>1357</v>
      </c>
      <c r="L177" t="s">
        <v>1357</v>
      </c>
    </row>
    <row r="178" spans="1:13">
      <c r="H178" t="s">
        <v>5719</v>
      </c>
      <c r="I178" t="s">
        <v>1357</v>
      </c>
      <c r="J178" t="s">
        <v>1357</v>
      </c>
      <c r="K178" t="s">
        <v>1357</v>
      </c>
      <c r="L178" t="s">
        <v>1357</v>
      </c>
    </row>
    <row r="179" spans="1:13">
      <c r="H179" t="s">
        <v>5720</v>
      </c>
      <c r="I179" t="s">
        <v>1357</v>
      </c>
      <c r="J179" t="s">
        <v>1357</v>
      </c>
      <c r="K179" t="s">
        <v>1357</v>
      </c>
      <c r="L179" t="s">
        <v>1357</v>
      </c>
    </row>
    <row r="180" spans="1:13">
      <c r="H180" t="s">
        <v>5721</v>
      </c>
      <c r="I180" t="s">
        <v>1357</v>
      </c>
      <c r="J180" t="s">
        <v>1357</v>
      </c>
      <c r="K180" t="s">
        <v>1357</v>
      </c>
      <c r="L180" t="s">
        <v>1357</v>
      </c>
    </row>
    <row r="181" spans="1:13">
      <c r="H181" t="s">
        <v>5722</v>
      </c>
      <c r="I181" t="s">
        <v>1357</v>
      </c>
      <c r="J181" t="s">
        <v>1357</v>
      </c>
      <c r="K181" t="s">
        <v>1357</v>
      </c>
      <c r="L181" t="s">
        <v>1357</v>
      </c>
    </row>
    <row r="182" spans="1:13">
      <c r="H182" t="s">
        <v>5723</v>
      </c>
      <c r="I182" t="s">
        <v>1357</v>
      </c>
      <c r="J182" t="s">
        <v>1357</v>
      </c>
      <c r="K182" t="s">
        <v>1357</v>
      </c>
      <c r="L182" t="s">
        <v>1357</v>
      </c>
    </row>
    <row r="183" spans="1:13">
      <c r="H183" t="s">
        <v>5724</v>
      </c>
      <c r="I183" t="s">
        <v>1357</v>
      </c>
      <c r="J183" t="s">
        <v>1357</v>
      </c>
      <c r="K183" t="s">
        <v>1357</v>
      </c>
      <c r="L183" t="s">
        <v>1357</v>
      </c>
    </row>
    <row r="184" spans="1:13">
      <c r="H184" t="s">
        <v>5725</v>
      </c>
      <c r="I184" t="s">
        <v>1357</v>
      </c>
      <c r="J184" t="s">
        <v>1357</v>
      </c>
      <c r="K184" t="s">
        <v>1357</v>
      </c>
      <c r="L184" t="s">
        <v>1357</v>
      </c>
    </row>
    <row r="185" spans="1:13">
      <c r="H185" t="s">
        <v>5726</v>
      </c>
      <c r="I185" t="s">
        <v>1357</v>
      </c>
      <c r="J185" t="s">
        <v>1357</v>
      </c>
      <c r="K185" t="s">
        <v>1357</v>
      </c>
      <c r="L185" t="s">
        <v>1357</v>
      </c>
    </row>
    <row r="186" spans="1:13">
      <c r="H186" t="s">
        <v>5727</v>
      </c>
      <c r="I186" t="s">
        <v>1357</v>
      </c>
      <c r="J186" t="s">
        <v>1357</v>
      </c>
      <c r="K186" t="s">
        <v>1357</v>
      </c>
      <c r="L186" t="s">
        <v>1357</v>
      </c>
    </row>
    <row r="187" spans="1:13">
      <c r="H187" t="s">
        <v>5676</v>
      </c>
      <c r="I187" t="s">
        <v>1357</v>
      </c>
      <c r="J187" t="s">
        <v>1357</v>
      </c>
      <c r="K187" t="s">
        <v>1357</v>
      </c>
      <c r="L187" t="s">
        <v>1357</v>
      </c>
    </row>
    <row r="188" spans="1:13">
      <c r="A188" t="s">
        <v>5293</v>
      </c>
      <c r="B188">
        <f>HYPERLINK("https://github.com/JodaOrg/joda-time/commit/7b179791d98f66990aa09a5a9fdc237d520ef1f0", "7b179791d98f66990aa09a5a9fdc237d520ef1f0")</f>
        <v>0</v>
      </c>
      <c r="C188">
        <f>HYPERLINK("https://github.com/JodaOrg/joda-time/commit/7f03615bbb526d5030926e0446ebca21ad6931e6", "7f03615bbb526d5030926e0446ebca21ad6931e6")</f>
        <v>0</v>
      </c>
      <c r="D188" t="s">
        <v>5327</v>
      </c>
      <c r="E188" t="s">
        <v>5333</v>
      </c>
      <c r="F188" t="s">
        <v>5378</v>
      </c>
      <c r="G188" t="s">
        <v>5485</v>
      </c>
      <c r="H188" t="s">
        <v>5728</v>
      </c>
      <c r="I188" t="s">
        <v>1357</v>
      </c>
      <c r="J188" t="s">
        <v>1357</v>
      </c>
      <c r="K188" t="s">
        <v>1357</v>
      </c>
      <c r="L188" t="s">
        <v>1357</v>
      </c>
    </row>
    <row r="189" spans="1:13">
      <c r="H189" t="s">
        <v>5729</v>
      </c>
      <c r="I189" t="s">
        <v>1357</v>
      </c>
      <c r="J189" t="s">
        <v>1357</v>
      </c>
      <c r="K189" t="s">
        <v>1357</v>
      </c>
      <c r="L189" t="s">
        <v>1357</v>
      </c>
    </row>
    <row r="190" spans="1:13">
      <c r="A190" t="s">
        <v>5294</v>
      </c>
      <c r="B190">
        <f>HYPERLINK("https://github.com/JodaOrg/joda-time/commit/226fd68cc77369f5c7cec5195e32c41229a7cac1", "226fd68cc77369f5c7cec5195e32c41229a7cac1")</f>
        <v>0</v>
      </c>
      <c r="C190">
        <f>HYPERLINK("https://github.com/JodaOrg/joda-time/commit/87acf8d63689779e7eaec3e9801046977c0dd696", "87acf8d63689779e7eaec3e9801046977c0dd696")</f>
        <v>0</v>
      </c>
      <c r="D190" t="s">
        <v>5327</v>
      </c>
      <c r="E190" t="s">
        <v>5334</v>
      </c>
      <c r="F190" t="s">
        <v>5379</v>
      </c>
      <c r="G190" t="s">
        <v>5486</v>
      </c>
      <c r="H190" t="s">
        <v>5730</v>
      </c>
      <c r="I190" t="s">
        <v>1357</v>
      </c>
      <c r="J190" t="s">
        <v>1357</v>
      </c>
      <c r="K190" t="s">
        <v>1357</v>
      </c>
      <c r="L190" t="s">
        <v>1357</v>
      </c>
      <c r="M190" t="s">
        <v>6055</v>
      </c>
    </row>
    <row r="191" spans="1:13">
      <c r="F191" t="s">
        <v>5380</v>
      </c>
      <c r="G191" t="s">
        <v>5487</v>
      </c>
      <c r="H191" t="s">
        <v>5731</v>
      </c>
      <c r="I191" t="s">
        <v>1357</v>
      </c>
      <c r="J191" t="s">
        <v>1357</v>
      </c>
      <c r="K191" t="s">
        <v>1357</v>
      </c>
      <c r="L191" t="s">
        <v>1357</v>
      </c>
    </row>
    <row r="192" spans="1:13">
      <c r="F192" t="s">
        <v>5381</v>
      </c>
      <c r="G192" t="s">
        <v>5488</v>
      </c>
      <c r="H192" t="s">
        <v>5731</v>
      </c>
      <c r="I192" t="s">
        <v>1357</v>
      </c>
      <c r="J192" t="s">
        <v>1357</v>
      </c>
      <c r="K192" t="s">
        <v>1357</v>
      </c>
      <c r="L192" t="s">
        <v>1357</v>
      </c>
    </row>
    <row r="193" spans="1:12">
      <c r="F193" t="s">
        <v>5382</v>
      </c>
      <c r="G193" t="s">
        <v>5489</v>
      </c>
      <c r="H193" t="s">
        <v>5731</v>
      </c>
      <c r="I193" t="s">
        <v>1357</v>
      </c>
      <c r="J193" t="s">
        <v>1357</v>
      </c>
      <c r="K193" t="s">
        <v>1357</v>
      </c>
      <c r="L193" t="s">
        <v>1357</v>
      </c>
    </row>
    <row r="194" spans="1:12">
      <c r="F194" t="s">
        <v>5383</v>
      </c>
      <c r="G194" t="s">
        <v>5490</v>
      </c>
      <c r="H194" t="s">
        <v>5731</v>
      </c>
      <c r="I194" t="s">
        <v>1357</v>
      </c>
      <c r="J194" t="s">
        <v>1357</v>
      </c>
      <c r="K194" t="s">
        <v>1357</v>
      </c>
      <c r="L194" t="s">
        <v>1357</v>
      </c>
    </row>
    <row r="195" spans="1:12">
      <c r="F195" t="s">
        <v>5384</v>
      </c>
      <c r="G195" t="s">
        <v>5491</v>
      </c>
      <c r="H195" t="s">
        <v>5731</v>
      </c>
      <c r="I195" t="s">
        <v>1357</v>
      </c>
      <c r="J195" t="s">
        <v>1357</v>
      </c>
      <c r="K195" t="s">
        <v>1357</v>
      </c>
      <c r="L195" t="s">
        <v>1357</v>
      </c>
    </row>
    <row r="196" spans="1:12">
      <c r="A196" t="s">
        <v>5295</v>
      </c>
      <c r="B196">
        <f>HYPERLINK("https://github.com/JodaOrg/joda-time/commit/3f62b3a3ef59f954a14f09aeee97053618da1c74", "3f62b3a3ef59f954a14f09aeee97053618da1c74")</f>
        <v>0</v>
      </c>
      <c r="C196">
        <f>HYPERLINK("https://github.com/JodaOrg/joda-time/commit/c19bfe0c328518cb9d9734e8e15c174c150b86c0", "c19bfe0c328518cb9d9734e8e15c174c150b86c0")</f>
        <v>0</v>
      </c>
      <c r="D196" t="s">
        <v>5327</v>
      </c>
      <c r="E196" t="s">
        <v>5335</v>
      </c>
      <c r="F196" t="s">
        <v>5379</v>
      </c>
      <c r="G196" t="s">
        <v>5486</v>
      </c>
      <c r="H196" t="s">
        <v>5732</v>
      </c>
      <c r="I196" t="s">
        <v>1357</v>
      </c>
      <c r="J196" t="s">
        <v>1357</v>
      </c>
      <c r="K196" t="s">
        <v>1357</v>
      </c>
      <c r="L196" t="s">
        <v>1357</v>
      </c>
    </row>
    <row r="197" spans="1:12">
      <c r="H197" t="s">
        <v>5733</v>
      </c>
      <c r="I197" t="s">
        <v>1357</v>
      </c>
      <c r="J197" t="s">
        <v>1357</v>
      </c>
      <c r="K197" t="s">
        <v>1357</v>
      </c>
      <c r="L197" t="s">
        <v>1357</v>
      </c>
    </row>
    <row r="198" spans="1:12">
      <c r="H198" t="s">
        <v>5734</v>
      </c>
      <c r="I198" t="s">
        <v>1357</v>
      </c>
      <c r="J198" t="s">
        <v>1357</v>
      </c>
      <c r="K198" t="s">
        <v>1357</v>
      </c>
      <c r="L198" t="s">
        <v>1357</v>
      </c>
    </row>
    <row r="199" spans="1:12">
      <c r="H199" t="s">
        <v>5735</v>
      </c>
      <c r="I199" t="s">
        <v>1357</v>
      </c>
      <c r="J199" t="s">
        <v>1357</v>
      </c>
      <c r="K199" t="s">
        <v>1357</v>
      </c>
      <c r="L199" t="s">
        <v>1357</v>
      </c>
    </row>
    <row r="200" spans="1:12">
      <c r="H200" t="s">
        <v>5736</v>
      </c>
      <c r="I200" t="s">
        <v>1357</v>
      </c>
      <c r="J200" t="s">
        <v>1357</v>
      </c>
      <c r="K200" t="s">
        <v>1357</v>
      </c>
      <c r="L200" t="s">
        <v>1357</v>
      </c>
    </row>
    <row r="201" spans="1:12">
      <c r="H201" t="s">
        <v>5737</v>
      </c>
      <c r="I201" t="s">
        <v>1357</v>
      </c>
      <c r="J201" t="s">
        <v>1357</v>
      </c>
      <c r="K201" t="s">
        <v>1357</v>
      </c>
      <c r="L201" t="s">
        <v>1357</v>
      </c>
    </row>
    <row r="202" spans="1:12">
      <c r="H202" t="s">
        <v>5738</v>
      </c>
      <c r="I202" t="s">
        <v>1357</v>
      </c>
      <c r="J202" t="s">
        <v>1357</v>
      </c>
      <c r="K202" t="s">
        <v>1357</v>
      </c>
      <c r="L202" t="s">
        <v>1357</v>
      </c>
    </row>
    <row r="203" spans="1:12">
      <c r="H203" t="s">
        <v>5739</v>
      </c>
      <c r="I203" t="s">
        <v>1357</v>
      </c>
      <c r="J203" t="s">
        <v>1357</v>
      </c>
      <c r="K203" t="s">
        <v>1357</v>
      </c>
      <c r="L203" t="s">
        <v>1357</v>
      </c>
    </row>
    <row r="204" spans="1:12">
      <c r="H204" t="s">
        <v>5740</v>
      </c>
      <c r="I204" t="s">
        <v>1357</v>
      </c>
      <c r="J204" t="s">
        <v>1357</v>
      </c>
      <c r="K204" t="s">
        <v>1357</v>
      </c>
      <c r="L204" t="s">
        <v>1357</v>
      </c>
    </row>
    <row r="205" spans="1:12">
      <c r="H205" t="s">
        <v>5741</v>
      </c>
      <c r="I205" t="s">
        <v>1357</v>
      </c>
      <c r="J205" t="s">
        <v>1357</v>
      </c>
      <c r="K205" t="s">
        <v>1357</v>
      </c>
      <c r="L205" t="s">
        <v>1357</v>
      </c>
    </row>
    <row r="206" spans="1:12">
      <c r="H206" t="s">
        <v>5742</v>
      </c>
      <c r="I206" t="s">
        <v>1357</v>
      </c>
      <c r="J206" t="s">
        <v>1357</v>
      </c>
      <c r="K206" t="s">
        <v>1357</v>
      </c>
      <c r="L206" t="s">
        <v>1357</v>
      </c>
    </row>
    <row r="207" spans="1:12">
      <c r="H207" t="s">
        <v>5743</v>
      </c>
      <c r="I207" t="s">
        <v>1357</v>
      </c>
      <c r="J207" t="s">
        <v>1357</v>
      </c>
      <c r="K207" t="s">
        <v>1357</v>
      </c>
      <c r="L207" t="s">
        <v>1357</v>
      </c>
    </row>
    <row r="208" spans="1:12">
      <c r="H208" t="s">
        <v>5744</v>
      </c>
      <c r="I208" t="s">
        <v>1357</v>
      </c>
      <c r="J208" t="s">
        <v>1357</v>
      </c>
      <c r="K208" t="s">
        <v>1357</v>
      </c>
      <c r="L208" t="s">
        <v>1357</v>
      </c>
    </row>
    <row r="209" spans="8:13">
      <c r="H209" t="s">
        <v>5745</v>
      </c>
      <c r="I209" t="s">
        <v>1357</v>
      </c>
      <c r="J209" t="s">
        <v>1357</v>
      </c>
      <c r="K209" t="s">
        <v>1357</v>
      </c>
      <c r="L209" t="s">
        <v>1357</v>
      </c>
    </row>
    <row r="210" spans="8:13">
      <c r="H210" t="s">
        <v>5746</v>
      </c>
      <c r="I210" t="s">
        <v>1357</v>
      </c>
      <c r="J210" t="s">
        <v>1357</v>
      </c>
      <c r="K210" t="s">
        <v>1357</v>
      </c>
      <c r="L210" t="s">
        <v>1357</v>
      </c>
    </row>
    <row r="211" spans="8:13">
      <c r="H211" t="s">
        <v>5747</v>
      </c>
      <c r="I211" t="s">
        <v>1357</v>
      </c>
      <c r="J211" t="s">
        <v>1357</v>
      </c>
      <c r="K211" t="s">
        <v>1357</v>
      </c>
      <c r="L211" t="s">
        <v>1357</v>
      </c>
    </row>
    <row r="212" spans="8:13">
      <c r="H212" t="s">
        <v>5748</v>
      </c>
      <c r="I212" t="s">
        <v>1357</v>
      </c>
      <c r="J212" t="s">
        <v>1357</v>
      </c>
      <c r="K212" t="s">
        <v>1357</v>
      </c>
      <c r="L212" t="s">
        <v>1357</v>
      </c>
    </row>
    <row r="213" spans="8:13">
      <c r="H213" t="s">
        <v>5749</v>
      </c>
      <c r="I213" t="s">
        <v>1357</v>
      </c>
      <c r="J213" t="s">
        <v>1357</v>
      </c>
      <c r="K213" t="s">
        <v>1357</v>
      </c>
      <c r="L213" t="s">
        <v>1357</v>
      </c>
    </row>
    <row r="214" spans="8:13">
      <c r="H214" t="s">
        <v>5750</v>
      </c>
      <c r="I214" t="s">
        <v>1357</v>
      </c>
      <c r="J214" t="s">
        <v>1357</v>
      </c>
      <c r="K214" t="s">
        <v>1357</v>
      </c>
      <c r="L214" t="s">
        <v>1357</v>
      </c>
    </row>
    <row r="215" spans="8:13">
      <c r="H215" t="s">
        <v>5751</v>
      </c>
      <c r="I215" t="s">
        <v>1357</v>
      </c>
      <c r="J215" t="s">
        <v>1357</v>
      </c>
      <c r="K215" t="s">
        <v>1357</v>
      </c>
      <c r="L215" t="s">
        <v>1357</v>
      </c>
    </row>
    <row r="216" spans="8:13">
      <c r="H216" t="s">
        <v>5752</v>
      </c>
      <c r="I216" t="s">
        <v>1357</v>
      </c>
      <c r="J216" t="s">
        <v>1357</v>
      </c>
      <c r="K216" t="s">
        <v>1357</v>
      </c>
      <c r="L216" t="s">
        <v>1357</v>
      </c>
    </row>
    <row r="217" spans="8:13">
      <c r="H217" t="s">
        <v>5753</v>
      </c>
      <c r="I217" t="s">
        <v>1357</v>
      </c>
      <c r="J217" t="s">
        <v>1357</v>
      </c>
      <c r="K217" t="s">
        <v>1357</v>
      </c>
      <c r="L217" t="s">
        <v>1357</v>
      </c>
    </row>
    <row r="218" spans="8:13">
      <c r="H218" t="s">
        <v>5754</v>
      </c>
      <c r="I218" t="s">
        <v>1357</v>
      </c>
      <c r="J218" t="s">
        <v>1357</v>
      </c>
      <c r="K218" t="s">
        <v>1357</v>
      </c>
      <c r="L218" t="s">
        <v>1357</v>
      </c>
    </row>
    <row r="219" spans="8:13">
      <c r="H219" t="s">
        <v>5755</v>
      </c>
      <c r="I219" t="s">
        <v>1357</v>
      </c>
      <c r="J219" t="s">
        <v>1357</v>
      </c>
      <c r="K219" t="s">
        <v>1357</v>
      </c>
      <c r="L219" t="s">
        <v>1357</v>
      </c>
    </row>
    <row r="220" spans="8:13">
      <c r="H220" t="s">
        <v>5756</v>
      </c>
      <c r="I220" t="s">
        <v>1357</v>
      </c>
      <c r="J220" t="s">
        <v>1357</v>
      </c>
      <c r="K220" t="s">
        <v>1357</v>
      </c>
      <c r="L220" t="s">
        <v>1357</v>
      </c>
    </row>
    <row r="221" spans="8:13">
      <c r="H221" t="s">
        <v>5757</v>
      </c>
      <c r="I221" t="s">
        <v>1357</v>
      </c>
      <c r="J221" t="s">
        <v>1357</v>
      </c>
      <c r="K221" t="s">
        <v>1357</v>
      </c>
      <c r="L221" t="s">
        <v>1357</v>
      </c>
    </row>
    <row r="222" spans="8:13">
      <c r="H222" t="s">
        <v>5758</v>
      </c>
      <c r="I222" t="s">
        <v>1357</v>
      </c>
      <c r="J222" t="s">
        <v>1357</v>
      </c>
      <c r="K222" t="s">
        <v>1357</v>
      </c>
      <c r="L222" t="s">
        <v>1357</v>
      </c>
      <c r="M222" t="s">
        <v>6054</v>
      </c>
    </row>
    <row r="223" spans="8:13">
      <c r="H223" t="s">
        <v>5759</v>
      </c>
      <c r="I223" t="s">
        <v>1357</v>
      </c>
      <c r="J223" t="s">
        <v>1357</v>
      </c>
      <c r="K223" t="s">
        <v>1357</v>
      </c>
      <c r="L223" t="s">
        <v>1357</v>
      </c>
      <c r="M223" t="s">
        <v>6054</v>
      </c>
    </row>
    <row r="224" spans="8:13">
      <c r="H224" t="s">
        <v>5760</v>
      </c>
      <c r="I224" t="s">
        <v>1357</v>
      </c>
      <c r="J224" t="s">
        <v>1357</v>
      </c>
      <c r="K224" t="s">
        <v>1357</v>
      </c>
      <c r="L224" t="s">
        <v>1357</v>
      </c>
      <c r="M224" t="s">
        <v>6054</v>
      </c>
    </row>
    <row r="225" spans="6:13">
      <c r="H225" t="s">
        <v>5761</v>
      </c>
      <c r="I225" t="s">
        <v>1357</v>
      </c>
      <c r="J225" t="s">
        <v>1357</v>
      </c>
      <c r="K225" t="s">
        <v>1357</v>
      </c>
      <c r="L225" t="s">
        <v>1357</v>
      </c>
      <c r="M225" t="s">
        <v>6054</v>
      </c>
    </row>
    <row r="226" spans="6:13">
      <c r="H226" t="s">
        <v>5762</v>
      </c>
      <c r="I226" t="s">
        <v>1357</v>
      </c>
      <c r="J226" t="s">
        <v>1357</v>
      </c>
      <c r="K226" t="s">
        <v>1357</v>
      </c>
      <c r="L226" t="s">
        <v>1357</v>
      </c>
      <c r="M226" t="s">
        <v>6054</v>
      </c>
    </row>
    <row r="227" spans="6:13">
      <c r="H227" t="s">
        <v>5763</v>
      </c>
      <c r="I227" t="s">
        <v>1357</v>
      </c>
      <c r="J227" t="s">
        <v>1357</v>
      </c>
      <c r="K227" t="s">
        <v>1357</v>
      </c>
      <c r="L227" t="s">
        <v>1357</v>
      </c>
      <c r="M227" t="s">
        <v>6054</v>
      </c>
    </row>
    <row r="228" spans="6:13">
      <c r="H228" t="s">
        <v>5764</v>
      </c>
      <c r="I228" t="s">
        <v>1357</v>
      </c>
      <c r="J228" t="s">
        <v>1357</v>
      </c>
      <c r="K228" t="s">
        <v>1357</v>
      </c>
      <c r="L228" t="s">
        <v>1357</v>
      </c>
      <c r="M228" t="s">
        <v>6054</v>
      </c>
    </row>
    <row r="229" spans="6:13">
      <c r="H229" t="s">
        <v>5765</v>
      </c>
      <c r="I229" t="s">
        <v>1357</v>
      </c>
      <c r="J229" t="s">
        <v>1357</v>
      </c>
      <c r="K229" t="s">
        <v>1357</v>
      </c>
      <c r="L229" t="s">
        <v>1357</v>
      </c>
      <c r="M229" t="s">
        <v>6054</v>
      </c>
    </row>
    <row r="230" spans="6:13">
      <c r="H230" t="s">
        <v>5766</v>
      </c>
      <c r="I230" t="s">
        <v>1357</v>
      </c>
      <c r="J230" t="s">
        <v>1357</v>
      </c>
      <c r="K230" t="s">
        <v>1357</v>
      </c>
      <c r="L230" t="s">
        <v>1357</v>
      </c>
      <c r="M230" t="s">
        <v>6054</v>
      </c>
    </row>
    <row r="231" spans="6:13">
      <c r="H231" t="s">
        <v>5767</v>
      </c>
      <c r="I231" t="s">
        <v>1357</v>
      </c>
      <c r="J231" t="s">
        <v>1357</v>
      </c>
      <c r="K231" t="s">
        <v>1357</v>
      </c>
      <c r="L231" t="s">
        <v>1357</v>
      </c>
      <c r="M231" t="s">
        <v>6054</v>
      </c>
    </row>
    <row r="232" spans="6:13">
      <c r="H232" t="s">
        <v>4523</v>
      </c>
      <c r="I232" t="s">
        <v>1357</v>
      </c>
      <c r="J232" t="s">
        <v>1357</v>
      </c>
      <c r="K232" t="s">
        <v>1357</v>
      </c>
      <c r="L232" t="s">
        <v>1357</v>
      </c>
      <c r="M232" t="s">
        <v>6054</v>
      </c>
    </row>
    <row r="233" spans="6:13">
      <c r="F233" t="s">
        <v>5385</v>
      </c>
      <c r="G233" t="s">
        <v>5492</v>
      </c>
      <c r="H233" t="s">
        <v>5768</v>
      </c>
      <c r="I233" t="s">
        <v>1357</v>
      </c>
      <c r="J233" t="s">
        <v>1357</v>
      </c>
      <c r="K233" t="s">
        <v>1357</v>
      </c>
      <c r="L233" t="s">
        <v>1357</v>
      </c>
    </row>
    <row r="234" spans="6:13">
      <c r="H234" t="s">
        <v>5769</v>
      </c>
      <c r="I234" t="s">
        <v>1357</v>
      </c>
      <c r="J234" t="s">
        <v>1357</v>
      </c>
      <c r="K234" t="s">
        <v>1357</v>
      </c>
      <c r="L234" t="s">
        <v>1357</v>
      </c>
    </row>
    <row r="235" spans="6:13">
      <c r="H235" t="s">
        <v>5770</v>
      </c>
      <c r="I235" t="s">
        <v>1357</v>
      </c>
      <c r="J235" t="s">
        <v>1357</v>
      </c>
      <c r="K235" t="s">
        <v>1357</v>
      </c>
      <c r="L235" t="s">
        <v>1357</v>
      </c>
    </row>
    <row r="236" spans="6:13">
      <c r="H236" t="s">
        <v>5771</v>
      </c>
      <c r="I236" t="s">
        <v>1357</v>
      </c>
      <c r="J236" t="s">
        <v>1357</v>
      </c>
      <c r="K236" t="s">
        <v>1357</v>
      </c>
      <c r="L236" t="s">
        <v>1357</v>
      </c>
    </row>
    <row r="237" spans="6:13">
      <c r="H237" t="s">
        <v>5772</v>
      </c>
      <c r="I237" t="s">
        <v>1357</v>
      </c>
      <c r="J237" t="s">
        <v>1357</v>
      </c>
      <c r="K237" t="s">
        <v>1357</v>
      </c>
      <c r="L237" t="s">
        <v>1357</v>
      </c>
    </row>
    <row r="238" spans="6:13">
      <c r="H238" t="s">
        <v>5773</v>
      </c>
      <c r="I238" t="s">
        <v>1357</v>
      </c>
      <c r="J238" t="s">
        <v>1357</v>
      </c>
      <c r="K238" t="s">
        <v>1357</v>
      </c>
      <c r="L238" t="s">
        <v>1357</v>
      </c>
    </row>
    <row r="239" spans="6:13">
      <c r="H239" t="s">
        <v>5774</v>
      </c>
      <c r="I239" t="s">
        <v>1357</v>
      </c>
      <c r="J239" t="s">
        <v>1357</v>
      </c>
      <c r="K239" t="s">
        <v>1357</v>
      </c>
      <c r="L239" t="s">
        <v>1357</v>
      </c>
    </row>
    <row r="240" spans="6:13">
      <c r="H240" t="s">
        <v>5775</v>
      </c>
      <c r="I240" t="s">
        <v>1357</v>
      </c>
      <c r="J240" t="s">
        <v>1357</v>
      </c>
      <c r="K240" t="s">
        <v>1357</v>
      </c>
      <c r="L240" t="s">
        <v>1357</v>
      </c>
    </row>
    <row r="241" spans="1:14">
      <c r="H241" t="s">
        <v>5776</v>
      </c>
      <c r="I241" t="s">
        <v>1357</v>
      </c>
      <c r="J241" t="s">
        <v>1357</v>
      </c>
      <c r="K241" t="s">
        <v>1357</v>
      </c>
      <c r="L241" t="s">
        <v>1357</v>
      </c>
    </row>
    <row r="242" spans="1:14">
      <c r="H242" t="s">
        <v>5777</v>
      </c>
      <c r="I242" t="s">
        <v>1357</v>
      </c>
      <c r="J242" t="s">
        <v>1357</v>
      </c>
      <c r="K242" t="s">
        <v>1357</v>
      </c>
      <c r="L242" t="s">
        <v>1357</v>
      </c>
    </row>
    <row r="243" spans="1:14">
      <c r="H243" t="s">
        <v>5778</v>
      </c>
      <c r="I243" t="s">
        <v>1357</v>
      </c>
      <c r="J243" t="s">
        <v>1357</v>
      </c>
      <c r="K243" t="s">
        <v>1357</v>
      </c>
      <c r="L243" t="s">
        <v>1357</v>
      </c>
    </row>
    <row r="244" spans="1:14">
      <c r="H244" t="s">
        <v>5779</v>
      </c>
      <c r="I244" t="s">
        <v>1357</v>
      </c>
      <c r="J244" t="s">
        <v>1357</v>
      </c>
      <c r="K244" t="s">
        <v>1357</v>
      </c>
      <c r="L244" t="s">
        <v>1357</v>
      </c>
    </row>
    <row r="245" spans="1:14">
      <c r="H245" t="s">
        <v>5780</v>
      </c>
      <c r="I245" t="s">
        <v>1357</v>
      </c>
      <c r="J245" t="s">
        <v>1357</v>
      </c>
      <c r="K245" t="s">
        <v>1357</v>
      </c>
      <c r="L245" t="s">
        <v>1357</v>
      </c>
    </row>
    <row r="246" spans="1:14">
      <c r="H246" t="s">
        <v>5781</v>
      </c>
      <c r="I246" t="s">
        <v>1357</v>
      </c>
      <c r="J246" t="s">
        <v>1357</v>
      </c>
      <c r="K246" t="s">
        <v>1357</v>
      </c>
      <c r="L246" t="s">
        <v>1357</v>
      </c>
    </row>
    <row r="247" spans="1:14">
      <c r="H247" t="s">
        <v>5782</v>
      </c>
      <c r="I247" t="s">
        <v>1357</v>
      </c>
      <c r="J247" t="s">
        <v>1357</v>
      </c>
      <c r="K247" t="s">
        <v>1357</v>
      </c>
      <c r="L247" t="s">
        <v>1357</v>
      </c>
    </row>
    <row r="248" spans="1:14">
      <c r="H248" t="s">
        <v>5783</v>
      </c>
      <c r="I248" t="s">
        <v>1357</v>
      </c>
      <c r="J248" t="s">
        <v>1357</v>
      </c>
      <c r="K248" t="s">
        <v>1357</v>
      </c>
      <c r="L248" t="s">
        <v>1357</v>
      </c>
    </row>
    <row r="249" spans="1:14">
      <c r="H249" t="s">
        <v>5784</v>
      </c>
      <c r="I249" t="s">
        <v>1357</v>
      </c>
      <c r="J249" t="s">
        <v>1357</v>
      </c>
      <c r="K249" t="s">
        <v>1357</v>
      </c>
      <c r="L249" t="s">
        <v>1357</v>
      </c>
    </row>
    <row r="250" spans="1:14">
      <c r="H250" t="s">
        <v>5785</v>
      </c>
      <c r="I250" t="s">
        <v>1357</v>
      </c>
      <c r="J250" t="s">
        <v>1357</v>
      </c>
      <c r="K250" t="s">
        <v>1357</v>
      </c>
      <c r="L250" t="s">
        <v>1357</v>
      </c>
    </row>
    <row r="251" spans="1:14">
      <c r="H251" t="s">
        <v>5786</v>
      </c>
      <c r="I251" t="s">
        <v>1357</v>
      </c>
      <c r="J251" t="s">
        <v>1357</v>
      </c>
      <c r="K251" t="s">
        <v>1357</v>
      </c>
      <c r="L251" t="s">
        <v>1357</v>
      </c>
    </row>
    <row r="252" spans="1:14">
      <c r="H252" t="s">
        <v>5787</v>
      </c>
      <c r="I252" t="s">
        <v>1357</v>
      </c>
      <c r="J252" t="s">
        <v>1357</v>
      </c>
      <c r="K252" t="s">
        <v>1357</v>
      </c>
      <c r="L252" t="s">
        <v>1357</v>
      </c>
    </row>
    <row r="253" spans="1:14">
      <c r="H253" t="s">
        <v>5788</v>
      </c>
      <c r="I253" t="s">
        <v>1357</v>
      </c>
      <c r="J253" t="s">
        <v>1357</v>
      </c>
      <c r="K253" t="s">
        <v>1357</v>
      </c>
      <c r="L253" t="s">
        <v>1357</v>
      </c>
    </row>
    <row r="254" spans="1:14">
      <c r="H254" t="s">
        <v>5789</v>
      </c>
      <c r="I254" t="s">
        <v>1357</v>
      </c>
      <c r="J254" t="s">
        <v>1357</v>
      </c>
      <c r="K254" t="s">
        <v>1357</v>
      </c>
      <c r="L254" t="s">
        <v>1357</v>
      </c>
    </row>
    <row r="255" spans="1:14">
      <c r="H255" t="s">
        <v>5790</v>
      </c>
      <c r="I255" t="s">
        <v>1357</v>
      </c>
      <c r="J255" t="s">
        <v>1357</v>
      </c>
      <c r="K255" t="s">
        <v>1357</v>
      </c>
      <c r="L255" t="s">
        <v>1357</v>
      </c>
    </row>
    <row r="256" spans="1:14">
      <c r="A256" t="s">
        <v>5296</v>
      </c>
      <c r="B256">
        <f>HYPERLINK("https://github.com/JodaOrg/joda-time/commit/d9b72f091c8a157695bed7db408e36e839d95430", "d9b72f091c8a157695bed7db408e36e839d95430")</f>
        <v>0</v>
      </c>
      <c r="C256">
        <f>HYPERLINK("https://github.com/JodaOrg/joda-time/commit/6613fa3057c3bac0f93de8586cd3ab08680fe078", "6613fa3057c3bac0f93de8586cd3ab08680fe078")</f>
        <v>0</v>
      </c>
      <c r="D256" t="s">
        <v>5327</v>
      </c>
      <c r="E256" t="s">
        <v>5336</v>
      </c>
      <c r="F256" t="s">
        <v>5384</v>
      </c>
      <c r="G256" t="s">
        <v>5491</v>
      </c>
      <c r="H256" t="s">
        <v>5791</v>
      </c>
      <c r="I256" t="s">
        <v>1358</v>
      </c>
      <c r="J256" t="s">
        <v>1358</v>
      </c>
      <c r="K256" t="s">
        <v>1358</v>
      </c>
      <c r="L256" t="s">
        <v>1358</v>
      </c>
      <c r="N256" t="s">
        <v>6059</v>
      </c>
    </row>
    <row r="257" spans="1:13">
      <c r="A257" t="s">
        <v>5297</v>
      </c>
      <c r="B257">
        <f>HYPERLINK("https://github.com/JodaOrg/joda-time/commit/12c05dd8bccbefa84472abb08c10feca97a07bb8", "12c05dd8bccbefa84472abb08c10feca97a07bb8")</f>
        <v>0</v>
      </c>
      <c r="C257">
        <f>HYPERLINK("https://github.com/JodaOrg/joda-time/commit/4ac994b573b8d051a36e00ebd98f0c8dc68eec6f", "4ac994b573b8d051a36e00ebd98f0c8dc68eec6f")</f>
        <v>0</v>
      </c>
      <c r="D257" t="s">
        <v>5327</v>
      </c>
      <c r="E257" t="s">
        <v>5337</v>
      </c>
      <c r="F257" t="s">
        <v>5379</v>
      </c>
      <c r="G257" t="s">
        <v>5486</v>
      </c>
      <c r="H257" t="s">
        <v>5792</v>
      </c>
      <c r="I257" t="s">
        <v>1357</v>
      </c>
      <c r="J257" t="s">
        <v>1357</v>
      </c>
      <c r="K257" t="s">
        <v>1357</v>
      </c>
      <c r="L257" t="s">
        <v>1357</v>
      </c>
    </row>
    <row r="258" spans="1:13">
      <c r="H258" t="s">
        <v>5793</v>
      </c>
      <c r="I258" t="s">
        <v>1357</v>
      </c>
      <c r="J258" t="s">
        <v>1357</v>
      </c>
      <c r="K258" t="s">
        <v>1357</v>
      </c>
      <c r="L258" t="s">
        <v>1357</v>
      </c>
      <c r="M258" t="s">
        <v>6054</v>
      </c>
    </row>
    <row r="259" spans="1:13">
      <c r="H259" t="s">
        <v>5794</v>
      </c>
      <c r="I259" t="s">
        <v>1357</v>
      </c>
      <c r="J259" t="s">
        <v>1357</v>
      </c>
      <c r="K259" t="s">
        <v>1357</v>
      </c>
      <c r="L259" t="s">
        <v>1357</v>
      </c>
      <c r="M259" t="s">
        <v>6054</v>
      </c>
    </row>
    <row r="260" spans="1:13">
      <c r="H260" t="s">
        <v>5636</v>
      </c>
      <c r="I260" t="s">
        <v>1357</v>
      </c>
      <c r="J260" t="s">
        <v>1357</v>
      </c>
      <c r="K260" t="s">
        <v>1357</v>
      </c>
      <c r="L260" t="s">
        <v>1357</v>
      </c>
      <c r="M260" t="s">
        <v>6054</v>
      </c>
    </row>
    <row r="261" spans="1:13">
      <c r="H261" t="s">
        <v>5795</v>
      </c>
      <c r="I261" t="s">
        <v>1357</v>
      </c>
      <c r="J261" t="s">
        <v>1357</v>
      </c>
      <c r="K261" t="s">
        <v>1357</v>
      </c>
      <c r="L261" t="s">
        <v>1357</v>
      </c>
    </row>
    <row r="262" spans="1:13">
      <c r="A262" t="s">
        <v>5298</v>
      </c>
      <c r="B262">
        <f>HYPERLINK("https://github.com/JodaOrg/joda-time/commit/7fd2cb9ad007d3016734fc50a1ad206b6a3b1b6c", "7fd2cb9ad007d3016734fc50a1ad206b6a3b1b6c")</f>
        <v>0</v>
      </c>
      <c r="C262">
        <f>HYPERLINK("https://github.com/JodaOrg/joda-time/commit/fa25072e5fa20a16115465408051f5fb0ad817c8", "fa25072e5fa20a16115465408051f5fb0ad817c8")</f>
        <v>0</v>
      </c>
      <c r="D262" t="s">
        <v>5327</v>
      </c>
      <c r="E262" t="s">
        <v>5338</v>
      </c>
      <c r="F262" t="s">
        <v>5386</v>
      </c>
      <c r="G262" t="s">
        <v>5493</v>
      </c>
      <c r="H262" t="s">
        <v>5796</v>
      </c>
      <c r="I262" t="s">
        <v>1357</v>
      </c>
      <c r="J262" t="s">
        <v>1357</v>
      </c>
      <c r="K262" t="s">
        <v>1357</v>
      </c>
      <c r="L262" t="s">
        <v>1357</v>
      </c>
    </row>
    <row r="263" spans="1:13">
      <c r="H263" t="s">
        <v>5797</v>
      </c>
      <c r="I263" t="s">
        <v>1357</v>
      </c>
      <c r="J263" t="s">
        <v>1357</v>
      </c>
      <c r="K263" t="s">
        <v>1357</v>
      </c>
      <c r="L263" t="s">
        <v>1357</v>
      </c>
    </row>
    <row r="264" spans="1:13">
      <c r="F264" t="s">
        <v>5387</v>
      </c>
      <c r="G264" t="s">
        <v>5494</v>
      </c>
      <c r="H264" t="s">
        <v>5796</v>
      </c>
      <c r="I264" t="s">
        <v>1359</v>
      </c>
      <c r="J264" t="s">
        <v>1358</v>
      </c>
      <c r="K264" t="s">
        <v>1358</v>
      </c>
      <c r="L264" t="s">
        <v>1357</v>
      </c>
      <c r="M264" t="s">
        <v>6056</v>
      </c>
    </row>
    <row r="265" spans="1:13">
      <c r="H265" t="s">
        <v>5797</v>
      </c>
      <c r="I265" t="s">
        <v>1358</v>
      </c>
      <c r="J265" t="s">
        <v>1358</v>
      </c>
      <c r="K265" t="s">
        <v>1358</v>
      </c>
      <c r="L265" t="s">
        <v>1358</v>
      </c>
      <c r="M265" t="s">
        <v>6057</v>
      </c>
    </row>
    <row r="266" spans="1:13">
      <c r="A266" t="s">
        <v>5299</v>
      </c>
      <c r="B266">
        <f>HYPERLINK("https://github.com/JodaOrg/joda-time/commit/99af0da006022513fbb260c2c3a8648eb3059406", "99af0da006022513fbb260c2c3a8648eb3059406")</f>
        <v>0</v>
      </c>
      <c r="C266">
        <f>HYPERLINK("https://github.com/JodaOrg/joda-time/commit/1a3e1f54707620cb60a0fdb950c8c84f59f30fc2", "1a3e1f54707620cb60a0fdb950c8c84f59f30fc2")</f>
        <v>0</v>
      </c>
      <c r="D266" t="s">
        <v>5327</v>
      </c>
      <c r="E266" t="s">
        <v>5339</v>
      </c>
      <c r="F266" t="s">
        <v>5388</v>
      </c>
      <c r="G266" t="s">
        <v>5495</v>
      </c>
      <c r="H266" t="s">
        <v>5792</v>
      </c>
      <c r="I266" t="s">
        <v>1357</v>
      </c>
      <c r="J266" t="s">
        <v>1357</v>
      </c>
      <c r="K266" t="s">
        <v>1357</v>
      </c>
      <c r="L266" t="s">
        <v>1357</v>
      </c>
    </row>
    <row r="267" spans="1:13">
      <c r="H267" t="s">
        <v>5636</v>
      </c>
      <c r="I267" t="s">
        <v>1357</v>
      </c>
      <c r="J267" t="s">
        <v>1357</v>
      </c>
      <c r="K267" t="s">
        <v>1357</v>
      </c>
      <c r="L267" t="s">
        <v>1357</v>
      </c>
      <c r="M267" t="s">
        <v>6054</v>
      </c>
    </row>
    <row r="268" spans="1:13">
      <c r="H268" t="s">
        <v>5798</v>
      </c>
      <c r="I268" t="s">
        <v>1357</v>
      </c>
      <c r="J268" t="s">
        <v>1357</v>
      </c>
      <c r="K268" t="s">
        <v>1357</v>
      </c>
      <c r="L268" t="s">
        <v>1357</v>
      </c>
      <c r="M268" t="s">
        <v>6054</v>
      </c>
    </row>
    <row r="269" spans="1:13">
      <c r="H269" t="s">
        <v>5799</v>
      </c>
      <c r="I269" t="s">
        <v>1357</v>
      </c>
      <c r="J269" t="s">
        <v>1357</v>
      </c>
      <c r="K269" t="s">
        <v>1357</v>
      </c>
      <c r="L269" t="s">
        <v>1357</v>
      </c>
      <c r="M269" t="s">
        <v>6054</v>
      </c>
    </row>
    <row r="270" spans="1:13">
      <c r="H270" t="s">
        <v>5800</v>
      </c>
      <c r="I270" t="s">
        <v>1357</v>
      </c>
      <c r="J270" t="s">
        <v>1357</v>
      </c>
      <c r="K270" t="s">
        <v>1357</v>
      </c>
      <c r="L270" t="s">
        <v>1357</v>
      </c>
      <c r="M270" t="s">
        <v>6054</v>
      </c>
    </row>
    <row r="271" spans="1:13">
      <c r="H271" t="s">
        <v>5801</v>
      </c>
      <c r="I271" t="s">
        <v>1357</v>
      </c>
      <c r="J271" t="s">
        <v>1357</v>
      </c>
      <c r="K271" t="s">
        <v>1357</v>
      </c>
      <c r="L271" t="s">
        <v>1357</v>
      </c>
      <c r="M271" t="s">
        <v>6054</v>
      </c>
    </row>
    <row r="272" spans="1:13">
      <c r="F272" t="s">
        <v>5389</v>
      </c>
      <c r="G272" t="s">
        <v>5496</v>
      </c>
      <c r="H272" t="s">
        <v>5792</v>
      </c>
      <c r="I272" t="s">
        <v>1357</v>
      </c>
      <c r="J272" t="s">
        <v>1357</v>
      </c>
      <c r="K272" t="s">
        <v>1357</v>
      </c>
      <c r="L272" t="s">
        <v>1357</v>
      </c>
    </row>
    <row r="273" spans="1:13">
      <c r="H273" t="s">
        <v>5636</v>
      </c>
      <c r="I273" t="s">
        <v>1357</v>
      </c>
      <c r="J273" t="s">
        <v>1357</v>
      </c>
      <c r="K273" t="s">
        <v>1357</v>
      </c>
      <c r="L273" t="s">
        <v>1357</v>
      </c>
      <c r="M273" t="s">
        <v>6054</v>
      </c>
    </row>
    <row r="274" spans="1:13">
      <c r="H274" t="s">
        <v>5798</v>
      </c>
      <c r="I274" t="s">
        <v>1357</v>
      </c>
      <c r="J274" t="s">
        <v>1357</v>
      </c>
      <c r="K274" t="s">
        <v>1357</v>
      </c>
      <c r="L274" t="s">
        <v>1357</v>
      </c>
      <c r="M274" t="s">
        <v>6054</v>
      </c>
    </row>
    <row r="275" spans="1:13">
      <c r="H275" t="s">
        <v>5799</v>
      </c>
      <c r="I275" t="s">
        <v>1357</v>
      </c>
      <c r="J275" t="s">
        <v>1357</v>
      </c>
      <c r="K275" t="s">
        <v>1357</v>
      </c>
      <c r="L275" t="s">
        <v>1357</v>
      </c>
      <c r="M275" t="s">
        <v>6054</v>
      </c>
    </row>
    <row r="276" spans="1:13">
      <c r="H276" t="s">
        <v>5800</v>
      </c>
      <c r="I276" t="s">
        <v>1357</v>
      </c>
      <c r="J276" t="s">
        <v>1357</v>
      </c>
      <c r="K276" t="s">
        <v>1357</v>
      </c>
      <c r="L276" t="s">
        <v>1357</v>
      </c>
      <c r="M276" t="s">
        <v>6054</v>
      </c>
    </row>
    <row r="277" spans="1:13">
      <c r="H277" t="s">
        <v>5801</v>
      </c>
      <c r="I277" t="s">
        <v>1357</v>
      </c>
      <c r="J277" t="s">
        <v>1357</v>
      </c>
      <c r="K277" t="s">
        <v>1357</v>
      </c>
      <c r="L277" t="s">
        <v>1357</v>
      </c>
      <c r="M277" t="s">
        <v>6054</v>
      </c>
    </row>
    <row r="278" spans="1:13">
      <c r="A278" t="s">
        <v>5300</v>
      </c>
      <c r="B278">
        <f>HYPERLINK("https://github.com/JodaOrg/joda-time/commit/5f2aa4794e8094eb6b3018589c3a751f61bd2fa6", "5f2aa4794e8094eb6b3018589c3a751f61bd2fa6")</f>
        <v>0</v>
      </c>
      <c r="C278">
        <f>HYPERLINK("https://github.com/JodaOrg/joda-time/commit/7c064bbf222d8abec91abb9a0790014ff6f06cea", "7c064bbf222d8abec91abb9a0790014ff6f06cea")</f>
        <v>0</v>
      </c>
      <c r="D278" t="s">
        <v>5327</v>
      </c>
      <c r="E278" t="s">
        <v>5340</v>
      </c>
      <c r="F278" t="s">
        <v>5390</v>
      </c>
      <c r="G278" t="s">
        <v>5497</v>
      </c>
      <c r="H278" t="s">
        <v>5792</v>
      </c>
      <c r="I278" t="s">
        <v>1357</v>
      </c>
      <c r="J278" t="s">
        <v>1357</v>
      </c>
      <c r="K278" t="s">
        <v>1357</v>
      </c>
      <c r="L278" t="s">
        <v>1357</v>
      </c>
    </row>
    <row r="279" spans="1:13">
      <c r="H279" t="s">
        <v>5802</v>
      </c>
      <c r="I279" t="s">
        <v>1357</v>
      </c>
      <c r="J279" t="s">
        <v>1357</v>
      </c>
      <c r="K279" t="s">
        <v>1357</v>
      </c>
      <c r="L279" t="s">
        <v>1357</v>
      </c>
      <c r="M279" t="s">
        <v>6054</v>
      </c>
    </row>
    <row r="280" spans="1:13">
      <c r="H280" t="s">
        <v>5803</v>
      </c>
      <c r="I280" t="s">
        <v>1357</v>
      </c>
      <c r="J280" t="s">
        <v>1357</v>
      </c>
      <c r="K280" t="s">
        <v>1357</v>
      </c>
      <c r="L280" t="s">
        <v>1357</v>
      </c>
      <c r="M280" t="s">
        <v>6054</v>
      </c>
    </row>
    <row r="281" spans="1:13">
      <c r="H281" t="s">
        <v>5804</v>
      </c>
      <c r="I281" t="s">
        <v>1357</v>
      </c>
      <c r="J281" t="s">
        <v>1357</v>
      </c>
      <c r="K281" t="s">
        <v>1357</v>
      </c>
      <c r="L281" t="s">
        <v>1357</v>
      </c>
      <c r="M281" t="s">
        <v>6054</v>
      </c>
    </row>
    <row r="282" spans="1:13">
      <c r="H282" t="s">
        <v>5805</v>
      </c>
      <c r="I282" t="s">
        <v>1357</v>
      </c>
      <c r="J282" t="s">
        <v>1357</v>
      </c>
      <c r="K282" t="s">
        <v>1357</v>
      </c>
      <c r="L282" t="s">
        <v>1357</v>
      </c>
      <c r="M282" t="s">
        <v>6054</v>
      </c>
    </row>
    <row r="283" spans="1:13">
      <c r="H283" t="s">
        <v>5806</v>
      </c>
      <c r="I283" t="s">
        <v>1357</v>
      </c>
      <c r="J283" t="s">
        <v>1357</v>
      </c>
      <c r="K283" t="s">
        <v>1357</v>
      </c>
      <c r="L283" t="s">
        <v>1357</v>
      </c>
      <c r="M283" t="s">
        <v>6054</v>
      </c>
    </row>
    <row r="284" spans="1:13">
      <c r="H284" t="s">
        <v>5761</v>
      </c>
      <c r="I284" t="s">
        <v>1357</v>
      </c>
      <c r="J284" t="s">
        <v>1357</v>
      </c>
      <c r="K284" t="s">
        <v>1357</v>
      </c>
      <c r="L284" t="s">
        <v>1357</v>
      </c>
      <c r="M284" t="s">
        <v>6054</v>
      </c>
    </row>
    <row r="285" spans="1:13">
      <c r="H285" t="s">
        <v>5762</v>
      </c>
      <c r="I285" t="s">
        <v>1357</v>
      </c>
      <c r="J285" t="s">
        <v>1357</v>
      </c>
      <c r="K285" t="s">
        <v>1357</v>
      </c>
      <c r="L285" t="s">
        <v>1357</v>
      </c>
      <c r="M285" t="s">
        <v>6054</v>
      </c>
    </row>
    <row r="286" spans="1:13">
      <c r="H286" t="s">
        <v>5763</v>
      </c>
      <c r="I286" t="s">
        <v>1357</v>
      </c>
      <c r="J286" t="s">
        <v>1357</v>
      </c>
      <c r="K286" t="s">
        <v>1357</v>
      </c>
      <c r="L286" t="s">
        <v>1357</v>
      </c>
      <c r="M286" t="s">
        <v>6054</v>
      </c>
    </row>
    <row r="287" spans="1:13">
      <c r="H287" t="s">
        <v>5764</v>
      </c>
      <c r="I287" t="s">
        <v>1357</v>
      </c>
      <c r="J287" t="s">
        <v>1357</v>
      </c>
      <c r="K287" t="s">
        <v>1357</v>
      </c>
      <c r="L287" t="s">
        <v>1357</v>
      </c>
      <c r="M287" t="s">
        <v>6054</v>
      </c>
    </row>
    <row r="288" spans="1:13">
      <c r="H288" t="s">
        <v>5765</v>
      </c>
      <c r="I288" t="s">
        <v>1357</v>
      </c>
      <c r="J288" t="s">
        <v>1357</v>
      </c>
      <c r="K288" t="s">
        <v>1357</v>
      </c>
      <c r="L288" t="s">
        <v>1357</v>
      </c>
      <c r="M288" t="s">
        <v>6054</v>
      </c>
    </row>
    <row r="289" spans="1:14">
      <c r="H289" t="s">
        <v>5766</v>
      </c>
      <c r="I289" t="s">
        <v>1357</v>
      </c>
      <c r="J289" t="s">
        <v>1357</v>
      </c>
      <c r="K289" t="s">
        <v>1357</v>
      </c>
      <c r="L289" t="s">
        <v>1357</v>
      </c>
      <c r="M289" t="s">
        <v>6054</v>
      </c>
    </row>
    <row r="290" spans="1:14">
      <c r="H290" t="s">
        <v>5767</v>
      </c>
      <c r="I290" t="s">
        <v>1357</v>
      </c>
      <c r="J290" t="s">
        <v>1357</v>
      </c>
      <c r="K290" t="s">
        <v>1357</v>
      </c>
      <c r="L290" t="s">
        <v>1357</v>
      </c>
      <c r="M290" t="s">
        <v>6054</v>
      </c>
    </row>
    <row r="291" spans="1:14">
      <c r="H291" t="s">
        <v>5636</v>
      </c>
      <c r="I291" t="s">
        <v>1357</v>
      </c>
      <c r="J291" t="s">
        <v>1357</v>
      </c>
      <c r="K291" t="s">
        <v>1357</v>
      </c>
      <c r="L291" t="s">
        <v>1357</v>
      </c>
      <c r="M291" t="s">
        <v>6054</v>
      </c>
    </row>
    <row r="292" spans="1:14">
      <c r="H292" t="s">
        <v>4523</v>
      </c>
      <c r="I292" t="s">
        <v>1357</v>
      </c>
      <c r="J292" t="s">
        <v>1357</v>
      </c>
      <c r="K292" t="s">
        <v>1357</v>
      </c>
      <c r="L292" t="s">
        <v>1357</v>
      </c>
      <c r="M292" t="s">
        <v>6054</v>
      </c>
    </row>
    <row r="293" spans="1:14">
      <c r="A293" t="s">
        <v>5301</v>
      </c>
      <c r="B293">
        <f>HYPERLINK("https://github.com/JodaOrg/joda-time/commit/becd808db463a8a568b4372ce646265a4e6b55ec", "becd808db463a8a568b4372ce646265a4e6b55ec")</f>
        <v>0</v>
      </c>
      <c r="C293">
        <f>HYPERLINK("https://github.com/JodaOrg/joda-time/commit/d1adaf7d96fde1ea29e36d3d0e98d1aa7a01ca28", "d1adaf7d96fde1ea29e36d3d0e98d1aa7a01ca28")</f>
        <v>0</v>
      </c>
      <c r="D293" t="s">
        <v>5327</v>
      </c>
      <c r="E293" t="s">
        <v>5341</v>
      </c>
      <c r="F293" t="s">
        <v>5391</v>
      </c>
      <c r="G293" t="s">
        <v>5498</v>
      </c>
      <c r="H293" t="s">
        <v>5807</v>
      </c>
      <c r="I293" t="s">
        <v>1358</v>
      </c>
      <c r="J293" t="s">
        <v>1358</v>
      </c>
      <c r="K293" t="s">
        <v>1358</v>
      </c>
      <c r="L293" t="s">
        <v>1358</v>
      </c>
    </row>
    <row r="294" spans="1:14">
      <c r="H294" t="s">
        <v>5808</v>
      </c>
      <c r="I294" t="s">
        <v>1359</v>
      </c>
      <c r="J294" t="s">
        <v>1358</v>
      </c>
      <c r="K294" t="s">
        <v>1357</v>
      </c>
      <c r="L294" t="s">
        <v>1358</v>
      </c>
      <c r="N294" t="s">
        <v>6060</v>
      </c>
    </row>
    <row r="295" spans="1:14">
      <c r="H295" t="s">
        <v>5809</v>
      </c>
      <c r="I295" t="s">
        <v>1357</v>
      </c>
      <c r="J295" t="s">
        <v>1357</v>
      </c>
      <c r="K295" t="s">
        <v>1357</v>
      </c>
      <c r="L295" t="s">
        <v>1357</v>
      </c>
    </row>
    <row r="296" spans="1:14">
      <c r="F296" t="s">
        <v>5392</v>
      </c>
      <c r="G296" t="s">
        <v>5499</v>
      </c>
      <c r="H296" t="s">
        <v>5810</v>
      </c>
      <c r="I296" t="s">
        <v>1357</v>
      </c>
      <c r="J296" t="s">
        <v>1357</v>
      </c>
      <c r="K296" t="s">
        <v>1357</v>
      </c>
      <c r="L296" t="s">
        <v>1357</v>
      </c>
    </row>
    <row r="297" spans="1:14">
      <c r="H297" t="s">
        <v>5811</v>
      </c>
      <c r="I297" t="s">
        <v>1357</v>
      </c>
      <c r="J297" t="s">
        <v>1357</v>
      </c>
      <c r="K297" t="s">
        <v>1357</v>
      </c>
      <c r="L297" t="s">
        <v>1357</v>
      </c>
    </row>
    <row r="298" spans="1:14">
      <c r="H298" t="s">
        <v>5812</v>
      </c>
      <c r="I298" t="s">
        <v>1357</v>
      </c>
      <c r="J298" t="s">
        <v>1357</v>
      </c>
      <c r="K298" t="s">
        <v>1357</v>
      </c>
      <c r="L298" t="s">
        <v>1357</v>
      </c>
    </row>
    <row r="299" spans="1:14">
      <c r="A299" t="s">
        <v>5302</v>
      </c>
      <c r="B299">
        <f>HYPERLINK("https://github.com/JodaOrg/joda-time/commit/dfe9eff2ee221da405405fc3e001837260c8a443", "dfe9eff2ee221da405405fc3e001837260c8a443")</f>
        <v>0</v>
      </c>
      <c r="C299">
        <f>HYPERLINK("https://github.com/JodaOrg/joda-time/commit/274097cf4c627cb5ad180a06fb5a8d5533ecbda6", "274097cf4c627cb5ad180a06fb5a8d5533ecbda6")</f>
        <v>0</v>
      </c>
      <c r="D299" t="s">
        <v>5327</v>
      </c>
      <c r="E299" t="s">
        <v>5342</v>
      </c>
      <c r="F299" t="s">
        <v>5393</v>
      </c>
      <c r="G299" t="s">
        <v>5500</v>
      </c>
      <c r="H299" t="s">
        <v>5813</v>
      </c>
      <c r="I299" t="s">
        <v>1358</v>
      </c>
      <c r="J299" t="s">
        <v>1358</v>
      </c>
      <c r="K299" t="s">
        <v>1357</v>
      </c>
      <c r="L299" t="s">
        <v>1358</v>
      </c>
    </row>
    <row r="300" spans="1:14">
      <c r="A300" t="s">
        <v>5303</v>
      </c>
      <c r="B300">
        <f>HYPERLINK("https://github.com/JodaOrg/joda-time/commit/3877455129a7ee0c1c50ff3a4cf9116732a26862", "3877455129a7ee0c1c50ff3a4cf9116732a26862")</f>
        <v>0</v>
      </c>
      <c r="C300">
        <f>HYPERLINK("https://github.com/JodaOrg/joda-time/commit/6bdd176eed470329a73d7ee08498183e579cea60", "6bdd176eed470329a73d7ee08498183e579cea60")</f>
        <v>0</v>
      </c>
      <c r="D300" t="s">
        <v>5327</v>
      </c>
      <c r="E300" t="s">
        <v>5343</v>
      </c>
      <c r="F300" t="s">
        <v>5394</v>
      </c>
      <c r="G300" t="s">
        <v>5501</v>
      </c>
      <c r="H300" t="s">
        <v>5814</v>
      </c>
      <c r="I300" t="s">
        <v>1357</v>
      </c>
      <c r="J300" t="s">
        <v>1357</v>
      </c>
      <c r="K300" t="s">
        <v>1357</v>
      </c>
      <c r="L300" t="s">
        <v>1357</v>
      </c>
    </row>
    <row r="301" spans="1:14">
      <c r="H301" t="s">
        <v>5815</v>
      </c>
      <c r="I301" t="s">
        <v>1357</v>
      </c>
      <c r="J301" t="s">
        <v>1357</v>
      </c>
      <c r="K301" t="s">
        <v>1357</v>
      </c>
      <c r="L301" t="s">
        <v>1357</v>
      </c>
    </row>
    <row r="302" spans="1:14">
      <c r="H302" t="s">
        <v>5816</v>
      </c>
      <c r="I302" t="s">
        <v>1357</v>
      </c>
      <c r="J302" t="s">
        <v>1357</v>
      </c>
      <c r="K302" t="s">
        <v>1357</v>
      </c>
      <c r="L302" t="s">
        <v>1357</v>
      </c>
    </row>
    <row r="303" spans="1:14">
      <c r="H303" t="s">
        <v>5817</v>
      </c>
      <c r="I303" t="s">
        <v>1357</v>
      </c>
      <c r="J303" t="s">
        <v>1357</v>
      </c>
      <c r="K303" t="s">
        <v>1357</v>
      </c>
      <c r="L303" t="s">
        <v>1357</v>
      </c>
      <c r="M303" t="s">
        <v>1360</v>
      </c>
    </row>
    <row r="304" spans="1:14">
      <c r="H304" t="s">
        <v>5818</v>
      </c>
      <c r="I304" t="s">
        <v>1357</v>
      </c>
      <c r="J304" t="s">
        <v>1357</v>
      </c>
      <c r="K304" t="s">
        <v>1357</v>
      </c>
      <c r="L304" t="s">
        <v>1357</v>
      </c>
    </row>
    <row r="305" spans="8:13">
      <c r="H305" t="s">
        <v>5699</v>
      </c>
      <c r="I305" t="s">
        <v>1357</v>
      </c>
      <c r="J305" t="s">
        <v>1357</v>
      </c>
      <c r="K305" t="s">
        <v>1357</v>
      </c>
      <c r="L305" t="s">
        <v>1357</v>
      </c>
      <c r="M305" t="s">
        <v>1360</v>
      </c>
    </row>
    <row r="306" spans="8:13">
      <c r="H306" t="s">
        <v>5700</v>
      </c>
      <c r="I306" t="s">
        <v>1357</v>
      </c>
      <c r="J306" t="s">
        <v>1357</v>
      </c>
      <c r="K306" t="s">
        <v>1357</v>
      </c>
      <c r="L306" t="s">
        <v>1357</v>
      </c>
      <c r="M306" t="s">
        <v>1360</v>
      </c>
    </row>
    <row r="307" spans="8:13">
      <c r="H307" t="s">
        <v>5701</v>
      </c>
      <c r="I307" t="s">
        <v>1357</v>
      </c>
      <c r="J307" t="s">
        <v>1357</v>
      </c>
      <c r="K307" t="s">
        <v>1357</v>
      </c>
      <c r="L307" t="s">
        <v>1357</v>
      </c>
      <c r="M307" t="s">
        <v>1360</v>
      </c>
    </row>
    <row r="308" spans="8:13">
      <c r="H308" t="s">
        <v>5702</v>
      </c>
      <c r="I308" t="s">
        <v>1357</v>
      </c>
      <c r="J308" t="s">
        <v>1357</v>
      </c>
      <c r="K308" t="s">
        <v>1357</v>
      </c>
      <c r="L308" t="s">
        <v>1357</v>
      </c>
      <c r="M308" t="s">
        <v>1360</v>
      </c>
    </row>
    <row r="309" spans="8:13">
      <c r="H309" t="s">
        <v>5703</v>
      </c>
      <c r="I309" t="s">
        <v>1357</v>
      </c>
      <c r="J309" t="s">
        <v>1357</v>
      </c>
      <c r="K309" t="s">
        <v>1357</v>
      </c>
      <c r="L309" t="s">
        <v>1357</v>
      </c>
      <c r="M309" t="s">
        <v>1360</v>
      </c>
    </row>
    <row r="310" spans="8:13">
      <c r="H310" t="s">
        <v>5704</v>
      </c>
      <c r="I310" t="s">
        <v>1357</v>
      </c>
      <c r="J310" t="s">
        <v>1357</v>
      </c>
      <c r="K310" t="s">
        <v>1357</v>
      </c>
      <c r="L310" t="s">
        <v>1357</v>
      </c>
      <c r="M310" t="s">
        <v>1360</v>
      </c>
    </row>
    <row r="311" spans="8:13">
      <c r="H311" t="s">
        <v>5705</v>
      </c>
      <c r="I311" t="s">
        <v>1357</v>
      </c>
      <c r="J311" t="s">
        <v>1357</v>
      </c>
      <c r="K311" t="s">
        <v>1357</v>
      </c>
      <c r="L311" t="s">
        <v>1357</v>
      </c>
      <c r="M311" t="s">
        <v>1360</v>
      </c>
    </row>
    <row r="312" spans="8:13">
      <c r="H312" t="s">
        <v>5819</v>
      </c>
      <c r="I312" t="s">
        <v>1357</v>
      </c>
      <c r="J312" t="s">
        <v>1357</v>
      </c>
      <c r="K312" t="s">
        <v>1357</v>
      </c>
      <c r="L312" t="s">
        <v>1357</v>
      </c>
      <c r="M312" t="s">
        <v>1360</v>
      </c>
    </row>
    <row r="313" spans="8:13">
      <c r="H313" t="s">
        <v>5820</v>
      </c>
      <c r="I313" t="s">
        <v>1357</v>
      </c>
      <c r="J313" t="s">
        <v>1357</v>
      </c>
      <c r="K313" t="s">
        <v>1357</v>
      </c>
      <c r="L313" t="s">
        <v>1357</v>
      </c>
      <c r="M313" t="s">
        <v>1360</v>
      </c>
    </row>
    <row r="314" spans="8:13">
      <c r="H314" t="s">
        <v>5821</v>
      </c>
      <c r="I314" t="s">
        <v>1357</v>
      </c>
      <c r="J314" t="s">
        <v>1357</v>
      </c>
      <c r="K314" t="s">
        <v>1357</v>
      </c>
      <c r="L314" t="s">
        <v>1357</v>
      </c>
      <c r="M314" t="s">
        <v>1360</v>
      </c>
    </row>
    <row r="315" spans="8:13">
      <c r="H315" t="s">
        <v>5822</v>
      </c>
      <c r="I315" t="s">
        <v>1357</v>
      </c>
      <c r="J315" t="s">
        <v>1357</v>
      </c>
      <c r="K315" t="s">
        <v>1357</v>
      </c>
      <c r="L315" t="s">
        <v>1357</v>
      </c>
      <c r="M315" t="s">
        <v>1360</v>
      </c>
    </row>
    <row r="316" spans="8:13">
      <c r="H316" t="s">
        <v>5692</v>
      </c>
      <c r="I316" t="s">
        <v>1357</v>
      </c>
      <c r="J316" t="s">
        <v>1357</v>
      </c>
      <c r="K316" t="s">
        <v>1357</v>
      </c>
      <c r="L316" t="s">
        <v>1357</v>
      </c>
      <c r="M316" t="s">
        <v>1360</v>
      </c>
    </row>
    <row r="317" spans="8:13">
      <c r="H317" t="s">
        <v>5693</v>
      </c>
      <c r="I317" t="s">
        <v>1357</v>
      </c>
      <c r="J317" t="s">
        <v>1357</v>
      </c>
      <c r="K317" t="s">
        <v>1357</v>
      </c>
      <c r="L317" t="s">
        <v>1357</v>
      </c>
      <c r="M317" t="s">
        <v>1360</v>
      </c>
    </row>
    <row r="318" spans="8:13">
      <c r="H318" t="s">
        <v>5694</v>
      </c>
      <c r="I318" t="s">
        <v>1357</v>
      </c>
      <c r="J318" t="s">
        <v>1357</v>
      </c>
      <c r="K318" t="s">
        <v>1357</v>
      </c>
      <c r="L318" t="s">
        <v>1357</v>
      </c>
      <c r="M318" t="s">
        <v>1360</v>
      </c>
    </row>
    <row r="319" spans="8:13">
      <c r="H319" t="s">
        <v>5823</v>
      </c>
      <c r="I319" t="s">
        <v>1357</v>
      </c>
      <c r="J319" t="s">
        <v>1357</v>
      </c>
      <c r="K319" t="s">
        <v>1357</v>
      </c>
      <c r="L319" t="s">
        <v>1357</v>
      </c>
      <c r="M319" t="s">
        <v>1360</v>
      </c>
    </row>
    <row r="320" spans="8:13">
      <c r="H320" t="s">
        <v>5697</v>
      </c>
      <c r="I320" t="s">
        <v>1357</v>
      </c>
      <c r="J320" t="s">
        <v>1357</v>
      </c>
      <c r="K320" t="s">
        <v>1357</v>
      </c>
      <c r="L320" t="s">
        <v>1357</v>
      </c>
      <c r="M320" t="s">
        <v>1360</v>
      </c>
    </row>
    <row r="321" spans="1:13">
      <c r="H321" t="s">
        <v>5824</v>
      </c>
      <c r="I321" t="s">
        <v>1357</v>
      </c>
      <c r="J321" t="s">
        <v>1357</v>
      </c>
      <c r="K321" t="s">
        <v>1357</v>
      </c>
      <c r="L321" t="s">
        <v>1357</v>
      </c>
      <c r="M321" t="s">
        <v>1360</v>
      </c>
    </row>
    <row r="322" spans="1:13">
      <c r="H322" t="s">
        <v>5825</v>
      </c>
      <c r="I322" t="s">
        <v>1357</v>
      </c>
      <c r="J322" t="s">
        <v>1357</v>
      </c>
      <c r="K322" t="s">
        <v>1357</v>
      </c>
      <c r="L322" t="s">
        <v>1357</v>
      </c>
      <c r="M322" t="s">
        <v>6054</v>
      </c>
    </row>
    <row r="323" spans="1:13">
      <c r="H323" t="s">
        <v>5698</v>
      </c>
      <c r="I323" t="s">
        <v>1357</v>
      </c>
      <c r="J323" t="s">
        <v>1357</v>
      </c>
      <c r="K323" t="s">
        <v>1357</v>
      </c>
      <c r="L323" t="s">
        <v>1357</v>
      </c>
    </row>
    <row r="324" spans="1:13">
      <c r="H324" t="s">
        <v>5826</v>
      </c>
      <c r="I324" t="s">
        <v>1357</v>
      </c>
      <c r="J324" t="s">
        <v>1357</v>
      </c>
      <c r="K324" t="s">
        <v>1357</v>
      </c>
      <c r="L324" t="s">
        <v>1357</v>
      </c>
    </row>
    <row r="325" spans="1:13">
      <c r="H325" t="s">
        <v>5827</v>
      </c>
      <c r="I325" t="s">
        <v>1357</v>
      </c>
      <c r="J325" t="s">
        <v>1357</v>
      </c>
      <c r="K325" t="s">
        <v>1357</v>
      </c>
      <c r="L325" t="s">
        <v>1357</v>
      </c>
    </row>
    <row r="326" spans="1:13">
      <c r="H326" t="s">
        <v>5828</v>
      </c>
      <c r="I326" t="s">
        <v>1357</v>
      </c>
      <c r="J326" t="s">
        <v>1357</v>
      </c>
      <c r="K326" t="s">
        <v>1357</v>
      </c>
      <c r="L326" t="s">
        <v>1357</v>
      </c>
    </row>
    <row r="327" spans="1:13">
      <c r="F327" t="s">
        <v>5395</v>
      </c>
      <c r="G327" t="s">
        <v>5502</v>
      </c>
      <c r="H327" t="s">
        <v>5829</v>
      </c>
      <c r="I327" t="s">
        <v>1357</v>
      </c>
      <c r="J327" t="s">
        <v>1357</v>
      </c>
      <c r="K327" t="s">
        <v>1357</v>
      </c>
      <c r="L327" t="s">
        <v>1357</v>
      </c>
    </row>
    <row r="328" spans="1:13">
      <c r="H328" t="s">
        <v>5830</v>
      </c>
      <c r="I328" t="s">
        <v>1357</v>
      </c>
      <c r="J328" t="s">
        <v>1357</v>
      </c>
      <c r="K328" t="s">
        <v>1357</v>
      </c>
      <c r="L328" t="s">
        <v>1357</v>
      </c>
    </row>
    <row r="329" spans="1:13">
      <c r="H329" t="s">
        <v>5831</v>
      </c>
      <c r="I329" t="s">
        <v>1357</v>
      </c>
      <c r="J329" t="s">
        <v>1357</v>
      </c>
      <c r="K329" t="s">
        <v>1357</v>
      </c>
      <c r="L329" t="s">
        <v>1357</v>
      </c>
    </row>
    <row r="330" spans="1:13">
      <c r="H330" t="s">
        <v>5832</v>
      </c>
      <c r="I330" t="s">
        <v>1357</v>
      </c>
      <c r="J330" t="s">
        <v>1357</v>
      </c>
      <c r="K330" t="s">
        <v>1357</v>
      </c>
      <c r="L330" t="s">
        <v>1357</v>
      </c>
    </row>
    <row r="331" spans="1:13">
      <c r="F331" t="s">
        <v>5396</v>
      </c>
      <c r="G331" t="s">
        <v>5503</v>
      </c>
      <c r="H331" t="s">
        <v>5833</v>
      </c>
      <c r="I331" t="s">
        <v>1357</v>
      </c>
      <c r="J331" t="s">
        <v>1357</v>
      </c>
      <c r="K331" t="s">
        <v>1357</v>
      </c>
      <c r="L331" t="s">
        <v>1357</v>
      </c>
    </row>
    <row r="332" spans="1:13">
      <c r="H332" t="s">
        <v>5834</v>
      </c>
      <c r="I332" t="s">
        <v>1357</v>
      </c>
      <c r="J332" t="s">
        <v>1357</v>
      </c>
      <c r="K332" t="s">
        <v>1357</v>
      </c>
      <c r="L332" t="s">
        <v>1357</v>
      </c>
    </row>
    <row r="333" spans="1:13">
      <c r="A333" t="s">
        <v>5304</v>
      </c>
      <c r="B333">
        <f>HYPERLINK("https://github.com/JodaOrg/joda-time/commit/82e420bb78bebf465f3cc54e3ee2a631f87fe7b2", "82e420bb78bebf465f3cc54e3ee2a631f87fe7b2")</f>
        <v>0</v>
      </c>
      <c r="C333">
        <f>HYPERLINK("https://github.com/JodaOrg/joda-time/commit/65e7ca2ded288178ba13fa552ae61fd226cae8d0", "65e7ca2ded288178ba13fa552ae61fd226cae8d0")</f>
        <v>0</v>
      </c>
      <c r="D333" t="s">
        <v>5327</v>
      </c>
      <c r="E333" t="s">
        <v>5344</v>
      </c>
      <c r="F333" t="s">
        <v>5397</v>
      </c>
      <c r="G333" t="s">
        <v>5504</v>
      </c>
      <c r="H333" t="s">
        <v>5835</v>
      </c>
      <c r="I333" t="s">
        <v>1357</v>
      </c>
      <c r="J333" t="s">
        <v>1357</v>
      </c>
      <c r="K333" t="s">
        <v>1357</v>
      </c>
      <c r="L333" t="s">
        <v>1357</v>
      </c>
    </row>
    <row r="334" spans="1:13">
      <c r="H334" t="s">
        <v>5836</v>
      </c>
      <c r="I334" t="s">
        <v>1357</v>
      </c>
      <c r="J334" t="s">
        <v>1357</v>
      </c>
      <c r="K334" t="s">
        <v>1357</v>
      </c>
      <c r="L334" t="s">
        <v>1357</v>
      </c>
    </row>
    <row r="335" spans="1:13">
      <c r="H335" t="s">
        <v>5837</v>
      </c>
      <c r="I335" t="s">
        <v>1357</v>
      </c>
      <c r="J335" t="s">
        <v>1357</v>
      </c>
      <c r="K335" t="s">
        <v>1357</v>
      </c>
      <c r="L335" t="s">
        <v>1357</v>
      </c>
    </row>
    <row r="336" spans="1:13">
      <c r="H336" t="s">
        <v>5838</v>
      </c>
      <c r="I336" t="s">
        <v>1357</v>
      </c>
      <c r="J336" t="s">
        <v>1357</v>
      </c>
      <c r="K336" t="s">
        <v>1357</v>
      </c>
      <c r="L336" t="s">
        <v>1357</v>
      </c>
    </row>
    <row r="337" spans="1:13">
      <c r="H337" t="s">
        <v>5839</v>
      </c>
      <c r="I337" t="s">
        <v>1357</v>
      </c>
      <c r="J337" t="s">
        <v>1357</v>
      </c>
      <c r="K337" t="s">
        <v>1357</v>
      </c>
      <c r="L337" t="s">
        <v>1357</v>
      </c>
    </row>
    <row r="338" spans="1:13">
      <c r="H338" t="s">
        <v>5840</v>
      </c>
      <c r="I338" t="s">
        <v>1357</v>
      </c>
      <c r="J338" t="s">
        <v>1357</v>
      </c>
      <c r="K338" t="s">
        <v>1357</v>
      </c>
      <c r="L338" t="s">
        <v>1357</v>
      </c>
    </row>
    <row r="339" spans="1:13">
      <c r="A339" t="s">
        <v>5305</v>
      </c>
      <c r="B339">
        <f>HYPERLINK("https://github.com/JodaOrg/joda-time/commit/5fd28fcd3425461dfcff1800753513f94807f652", "5fd28fcd3425461dfcff1800753513f94807f652")</f>
        <v>0</v>
      </c>
      <c r="C339">
        <f>HYPERLINK("https://github.com/JodaOrg/joda-time/commit/65a750a91860fe497c11717f102eab05f9a6910d", "65a750a91860fe497c11717f102eab05f9a6910d")</f>
        <v>0</v>
      </c>
      <c r="D339" t="s">
        <v>5327</v>
      </c>
      <c r="E339" t="s">
        <v>5345</v>
      </c>
      <c r="F339" t="s">
        <v>5398</v>
      </c>
      <c r="G339" t="s">
        <v>5505</v>
      </c>
      <c r="H339" t="s">
        <v>5841</v>
      </c>
      <c r="I339" t="s">
        <v>1358</v>
      </c>
      <c r="J339" t="s">
        <v>1358</v>
      </c>
      <c r="K339" t="s">
        <v>1358</v>
      </c>
      <c r="L339" t="s">
        <v>1358</v>
      </c>
    </row>
    <row r="340" spans="1:13">
      <c r="A340" t="s">
        <v>5306</v>
      </c>
      <c r="B340">
        <f>HYPERLINK("https://github.com/JodaOrg/joda-time/commit/73c467922eaf2579fa5c24e5aa2c8e5ffdc50aeb", "73c467922eaf2579fa5c24e5aa2c8e5ffdc50aeb")</f>
        <v>0</v>
      </c>
      <c r="C340">
        <f>HYPERLINK("https://github.com/JodaOrg/joda-time/commit/2180a3feef563af3ae3c440f0c3b85d9db5e7b9a", "2180a3feef563af3ae3c440f0c3b85d9db5e7b9a")</f>
        <v>0</v>
      </c>
      <c r="D340" t="s">
        <v>5327</v>
      </c>
      <c r="E340" t="s">
        <v>5346</v>
      </c>
      <c r="F340" t="s">
        <v>5379</v>
      </c>
      <c r="G340" t="s">
        <v>5486</v>
      </c>
      <c r="H340" t="s">
        <v>5842</v>
      </c>
      <c r="I340" t="s">
        <v>1357</v>
      </c>
      <c r="J340" t="s">
        <v>1357</v>
      </c>
      <c r="K340" t="s">
        <v>1357</v>
      </c>
      <c r="L340" t="s">
        <v>1357</v>
      </c>
    </row>
    <row r="341" spans="1:13">
      <c r="F341" t="s">
        <v>5385</v>
      </c>
      <c r="G341" t="s">
        <v>5492</v>
      </c>
      <c r="H341" t="s">
        <v>5843</v>
      </c>
      <c r="I341" t="s">
        <v>1357</v>
      </c>
      <c r="J341" t="s">
        <v>1357</v>
      </c>
      <c r="K341" t="s">
        <v>1357</v>
      </c>
      <c r="L341" t="s">
        <v>1357</v>
      </c>
    </row>
    <row r="342" spans="1:13">
      <c r="F342" t="s">
        <v>5399</v>
      </c>
      <c r="G342" t="s">
        <v>5506</v>
      </c>
      <c r="H342" t="s">
        <v>5733</v>
      </c>
      <c r="I342" t="s">
        <v>1357</v>
      </c>
      <c r="J342" t="s">
        <v>1357</v>
      </c>
      <c r="K342" t="s">
        <v>1357</v>
      </c>
      <c r="L342" t="s">
        <v>1357</v>
      </c>
    </row>
    <row r="343" spans="1:13">
      <c r="H343" t="s">
        <v>5738</v>
      </c>
      <c r="I343" t="s">
        <v>1358</v>
      </c>
      <c r="J343" t="s">
        <v>1358</v>
      </c>
      <c r="K343" t="s">
        <v>1358</v>
      </c>
      <c r="L343" t="s">
        <v>1358</v>
      </c>
    </row>
    <row r="344" spans="1:13">
      <c r="H344" t="s">
        <v>5844</v>
      </c>
      <c r="I344" t="s">
        <v>1359</v>
      </c>
      <c r="J344" t="s">
        <v>1358</v>
      </c>
      <c r="K344" t="s">
        <v>1357</v>
      </c>
      <c r="L344" t="s">
        <v>1358</v>
      </c>
    </row>
    <row r="345" spans="1:13">
      <c r="H345" t="s">
        <v>5845</v>
      </c>
      <c r="I345" t="s">
        <v>1359</v>
      </c>
      <c r="J345" t="s">
        <v>1358</v>
      </c>
      <c r="K345" t="s">
        <v>1357</v>
      </c>
      <c r="L345" t="s">
        <v>1358</v>
      </c>
    </row>
    <row r="346" spans="1:13">
      <c r="F346" t="s">
        <v>5400</v>
      </c>
      <c r="G346" t="s">
        <v>5507</v>
      </c>
      <c r="H346" t="s">
        <v>5846</v>
      </c>
      <c r="I346" t="s">
        <v>1357</v>
      </c>
      <c r="J346" t="s">
        <v>1357</v>
      </c>
      <c r="K346" t="s">
        <v>1357</v>
      </c>
      <c r="L346" t="s">
        <v>1357</v>
      </c>
    </row>
    <row r="347" spans="1:13">
      <c r="H347" t="s">
        <v>5847</v>
      </c>
      <c r="I347" t="s">
        <v>1357</v>
      </c>
      <c r="J347" t="s">
        <v>1357</v>
      </c>
      <c r="K347" t="s">
        <v>1357</v>
      </c>
      <c r="L347" t="s">
        <v>1357</v>
      </c>
    </row>
    <row r="348" spans="1:13">
      <c r="H348" t="s">
        <v>5848</v>
      </c>
      <c r="I348" t="s">
        <v>1357</v>
      </c>
      <c r="J348" t="s">
        <v>1357</v>
      </c>
      <c r="K348" t="s">
        <v>1357</v>
      </c>
      <c r="L348" t="s">
        <v>1357</v>
      </c>
    </row>
    <row r="349" spans="1:13">
      <c r="H349" t="s">
        <v>5849</v>
      </c>
      <c r="I349" t="s">
        <v>1357</v>
      </c>
      <c r="J349" t="s">
        <v>1357</v>
      </c>
      <c r="K349" t="s">
        <v>1357</v>
      </c>
      <c r="L349" t="s">
        <v>1357</v>
      </c>
    </row>
    <row r="350" spans="1:13">
      <c r="H350" t="s">
        <v>5850</v>
      </c>
      <c r="I350" t="s">
        <v>1357</v>
      </c>
      <c r="J350" t="s">
        <v>1357</v>
      </c>
      <c r="K350" t="s">
        <v>1357</v>
      </c>
      <c r="L350" t="s">
        <v>1357</v>
      </c>
    </row>
    <row r="351" spans="1:13">
      <c r="H351" t="s">
        <v>5851</v>
      </c>
      <c r="I351" t="s">
        <v>1357</v>
      </c>
      <c r="J351" t="s">
        <v>1357</v>
      </c>
      <c r="K351" t="s">
        <v>1357</v>
      </c>
      <c r="L351" t="s">
        <v>1357</v>
      </c>
      <c r="M351" t="s">
        <v>6058</v>
      </c>
    </row>
    <row r="352" spans="1:13">
      <c r="H352" t="s">
        <v>5852</v>
      </c>
      <c r="I352" t="s">
        <v>1357</v>
      </c>
      <c r="J352" t="s">
        <v>1357</v>
      </c>
      <c r="K352" t="s">
        <v>1357</v>
      </c>
      <c r="L352" t="s">
        <v>1357</v>
      </c>
    </row>
    <row r="353" spans="6:12">
      <c r="H353" t="s">
        <v>5853</v>
      </c>
      <c r="I353" t="s">
        <v>1357</v>
      </c>
      <c r="J353" t="s">
        <v>1357</v>
      </c>
      <c r="K353" t="s">
        <v>1357</v>
      </c>
      <c r="L353" t="s">
        <v>1357</v>
      </c>
    </row>
    <row r="354" spans="6:12">
      <c r="H354" t="s">
        <v>5854</v>
      </c>
      <c r="I354" t="s">
        <v>1357</v>
      </c>
      <c r="J354" t="s">
        <v>1357</v>
      </c>
      <c r="K354" t="s">
        <v>1357</v>
      </c>
      <c r="L354" t="s">
        <v>1357</v>
      </c>
    </row>
    <row r="355" spans="6:12">
      <c r="F355" t="s">
        <v>5401</v>
      </c>
      <c r="G355" t="s">
        <v>5508</v>
      </c>
      <c r="H355" t="s">
        <v>5855</v>
      </c>
      <c r="I355" t="s">
        <v>1357</v>
      </c>
      <c r="J355" t="s">
        <v>1357</v>
      </c>
      <c r="K355" t="s">
        <v>1357</v>
      </c>
      <c r="L355" t="s">
        <v>1357</v>
      </c>
    </row>
    <row r="356" spans="6:12">
      <c r="H356" t="s">
        <v>5856</v>
      </c>
      <c r="I356" t="s">
        <v>1357</v>
      </c>
      <c r="J356" t="s">
        <v>1357</v>
      </c>
      <c r="K356" t="s">
        <v>1357</v>
      </c>
      <c r="L356" t="s">
        <v>1357</v>
      </c>
    </row>
    <row r="357" spans="6:12">
      <c r="H357" t="s">
        <v>5857</v>
      </c>
      <c r="I357" t="s">
        <v>1357</v>
      </c>
      <c r="J357" t="s">
        <v>1357</v>
      </c>
      <c r="K357" t="s">
        <v>1357</v>
      </c>
      <c r="L357" t="s">
        <v>1357</v>
      </c>
    </row>
    <row r="358" spans="6:12">
      <c r="H358" t="s">
        <v>5858</v>
      </c>
      <c r="I358" t="s">
        <v>1357</v>
      </c>
      <c r="J358" t="s">
        <v>1357</v>
      </c>
      <c r="K358" t="s">
        <v>1357</v>
      </c>
      <c r="L358" t="s">
        <v>1357</v>
      </c>
    </row>
    <row r="359" spans="6:12">
      <c r="H359" t="s">
        <v>5859</v>
      </c>
      <c r="I359" t="s">
        <v>1357</v>
      </c>
      <c r="J359" t="s">
        <v>1357</v>
      </c>
      <c r="K359" t="s">
        <v>1357</v>
      </c>
      <c r="L359" t="s">
        <v>1357</v>
      </c>
    </row>
    <row r="360" spans="6:12">
      <c r="H360" t="s">
        <v>5860</v>
      </c>
      <c r="I360" t="s">
        <v>1357</v>
      </c>
      <c r="J360" t="s">
        <v>1357</v>
      </c>
      <c r="K360" t="s">
        <v>1357</v>
      </c>
      <c r="L360" t="s">
        <v>1357</v>
      </c>
    </row>
    <row r="361" spans="6:12">
      <c r="H361" t="s">
        <v>5861</v>
      </c>
      <c r="I361" t="s">
        <v>1357</v>
      </c>
      <c r="J361" t="s">
        <v>1357</v>
      </c>
      <c r="K361" t="s">
        <v>1357</v>
      </c>
      <c r="L361" t="s">
        <v>1357</v>
      </c>
    </row>
    <row r="362" spans="6:12">
      <c r="H362" t="s">
        <v>5862</v>
      </c>
      <c r="I362" t="s">
        <v>1357</v>
      </c>
      <c r="J362" t="s">
        <v>1357</v>
      </c>
      <c r="K362" t="s">
        <v>1357</v>
      </c>
      <c r="L362" t="s">
        <v>1357</v>
      </c>
    </row>
    <row r="363" spans="6:12">
      <c r="H363" t="s">
        <v>5863</v>
      </c>
      <c r="I363" t="s">
        <v>1357</v>
      </c>
      <c r="J363" t="s">
        <v>1357</v>
      </c>
      <c r="K363" t="s">
        <v>1357</v>
      </c>
      <c r="L363" t="s">
        <v>1357</v>
      </c>
    </row>
    <row r="364" spans="6:12">
      <c r="H364" t="s">
        <v>5864</v>
      </c>
      <c r="I364" t="s">
        <v>1357</v>
      </c>
      <c r="J364" t="s">
        <v>1357</v>
      </c>
      <c r="K364" t="s">
        <v>1357</v>
      </c>
      <c r="L364" t="s">
        <v>1357</v>
      </c>
    </row>
    <row r="365" spans="6:12">
      <c r="H365" t="s">
        <v>5865</v>
      </c>
      <c r="I365" t="s">
        <v>1357</v>
      </c>
      <c r="J365" t="s">
        <v>1357</v>
      </c>
      <c r="K365" t="s">
        <v>1357</v>
      </c>
      <c r="L365" t="s">
        <v>1357</v>
      </c>
    </row>
    <row r="366" spans="6:12">
      <c r="H366" t="s">
        <v>5866</v>
      </c>
      <c r="I366" t="s">
        <v>1357</v>
      </c>
      <c r="J366" t="s">
        <v>1357</v>
      </c>
      <c r="K366" t="s">
        <v>1357</v>
      </c>
      <c r="L366" t="s">
        <v>1357</v>
      </c>
    </row>
    <row r="367" spans="6:12">
      <c r="H367" t="s">
        <v>5867</v>
      </c>
      <c r="I367" t="s">
        <v>1357</v>
      </c>
      <c r="J367" t="s">
        <v>1357</v>
      </c>
      <c r="K367" t="s">
        <v>1357</v>
      </c>
      <c r="L367" t="s">
        <v>1357</v>
      </c>
    </row>
    <row r="368" spans="6:12">
      <c r="H368" t="s">
        <v>5868</v>
      </c>
      <c r="I368" t="s">
        <v>1357</v>
      </c>
      <c r="J368" t="s">
        <v>1357</v>
      </c>
      <c r="K368" t="s">
        <v>1357</v>
      </c>
      <c r="L368" t="s">
        <v>1357</v>
      </c>
    </row>
    <row r="369" spans="1:12">
      <c r="F369" t="s">
        <v>5390</v>
      </c>
      <c r="G369" t="s">
        <v>5497</v>
      </c>
      <c r="H369" t="s">
        <v>5738</v>
      </c>
      <c r="I369" t="s">
        <v>1359</v>
      </c>
      <c r="J369" t="s">
        <v>1358</v>
      </c>
      <c r="K369" t="s">
        <v>1358</v>
      </c>
      <c r="L369" t="s">
        <v>1357</v>
      </c>
    </row>
    <row r="370" spans="1:12">
      <c r="H370" t="s">
        <v>5844</v>
      </c>
      <c r="I370" t="s">
        <v>1357</v>
      </c>
      <c r="J370" t="s">
        <v>1357</v>
      </c>
      <c r="K370" t="s">
        <v>1357</v>
      </c>
      <c r="L370" t="s">
        <v>1357</v>
      </c>
    </row>
    <row r="371" spans="1:12">
      <c r="H371" t="s">
        <v>5869</v>
      </c>
      <c r="I371" t="s">
        <v>1357</v>
      </c>
      <c r="J371" t="s">
        <v>1357</v>
      </c>
      <c r="K371" t="s">
        <v>1357</v>
      </c>
      <c r="L371" t="s">
        <v>1357</v>
      </c>
    </row>
    <row r="372" spans="1:12">
      <c r="H372" t="s">
        <v>5870</v>
      </c>
      <c r="I372" t="s">
        <v>1357</v>
      </c>
      <c r="J372" t="s">
        <v>1357</v>
      </c>
      <c r="K372" t="s">
        <v>1357</v>
      </c>
      <c r="L372" t="s">
        <v>1357</v>
      </c>
    </row>
    <row r="373" spans="1:12">
      <c r="H373" t="s">
        <v>5871</v>
      </c>
      <c r="I373" t="s">
        <v>1357</v>
      </c>
      <c r="J373" t="s">
        <v>1357</v>
      </c>
      <c r="K373" t="s">
        <v>1357</v>
      </c>
      <c r="L373" t="s">
        <v>1357</v>
      </c>
    </row>
    <row r="374" spans="1:12">
      <c r="H374" t="s">
        <v>5872</v>
      </c>
      <c r="I374" t="s">
        <v>1357</v>
      </c>
      <c r="J374" t="s">
        <v>1357</v>
      </c>
      <c r="K374" t="s">
        <v>1357</v>
      </c>
      <c r="L374" t="s">
        <v>1357</v>
      </c>
    </row>
    <row r="375" spans="1:12">
      <c r="H375" t="s">
        <v>5873</v>
      </c>
      <c r="I375" t="s">
        <v>1357</v>
      </c>
      <c r="J375" t="s">
        <v>1357</v>
      </c>
      <c r="K375" t="s">
        <v>1357</v>
      </c>
      <c r="L375" t="s">
        <v>1357</v>
      </c>
    </row>
    <row r="376" spans="1:12">
      <c r="H376" t="s">
        <v>5757</v>
      </c>
      <c r="I376" t="s">
        <v>1357</v>
      </c>
      <c r="J376" t="s">
        <v>1357</v>
      </c>
      <c r="K376" t="s">
        <v>1357</v>
      </c>
      <c r="L376" t="s">
        <v>1357</v>
      </c>
    </row>
    <row r="377" spans="1:12">
      <c r="F377" t="s">
        <v>5380</v>
      </c>
      <c r="G377" t="s">
        <v>5487</v>
      </c>
      <c r="H377" t="s">
        <v>5874</v>
      </c>
      <c r="I377" t="s">
        <v>1357</v>
      </c>
      <c r="J377" t="s">
        <v>1357</v>
      </c>
      <c r="K377" t="s">
        <v>1357</v>
      </c>
      <c r="L377" t="s">
        <v>1357</v>
      </c>
    </row>
    <row r="378" spans="1:12">
      <c r="H378" t="s">
        <v>5791</v>
      </c>
      <c r="I378" t="s">
        <v>1357</v>
      </c>
      <c r="J378" t="s">
        <v>1357</v>
      </c>
      <c r="K378" t="s">
        <v>1357</v>
      </c>
      <c r="L378" t="s">
        <v>1357</v>
      </c>
    </row>
    <row r="379" spans="1:12">
      <c r="F379" t="s">
        <v>5402</v>
      </c>
      <c r="G379" t="s">
        <v>5509</v>
      </c>
      <c r="H379" t="s">
        <v>5875</v>
      </c>
      <c r="I379" t="s">
        <v>1357</v>
      </c>
      <c r="J379" t="s">
        <v>1357</v>
      </c>
      <c r="K379" t="s">
        <v>1357</v>
      </c>
      <c r="L379" t="s">
        <v>1357</v>
      </c>
    </row>
    <row r="380" spans="1:12">
      <c r="A380" t="s">
        <v>5307</v>
      </c>
      <c r="B380">
        <f>HYPERLINK("https://github.com/JodaOrg/joda-time/commit/35e25b7acfd8df8b38e7f6ea0a4bce880f6823ff", "35e25b7acfd8df8b38e7f6ea0a4bce880f6823ff")</f>
        <v>0</v>
      </c>
      <c r="C380">
        <f>HYPERLINK("https://github.com/JodaOrg/joda-time/commit/c4712e0e30d931ebe6cd47c299bce339c39e10a2", "c4712e0e30d931ebe6cd47c299bce339c39e10a2")</f>
        <v>0</v>
      </c>
      <c r="D380" t="s">
        <v>5327</v>
      </c>
      <c r="E380" t="s">
        <v>5347</v>
      </c>
      <c r="F380" t="s">
        <v>5403</v>
      </c>
      <c r="G380" t="s">
        <v>5510</v>
      </c>
      <c r="H380" t="s">
        <v>5876</v>
      </c>
      <c r="I380" t="s">
        <v>1357</v>
      </c>
      <c r="J380" t="s">
        <v>1357</v>
      </c>
      <c r="K380" t="s">
        <v>1357</v>
      </c>
      <c r="L380" t="s">
        <v>1357</v>
      </c>
    </row>
    <row r="381" spans="1:12">
      <c r="F381" t="s">
        <v>5399</v>
      </c>
      <c r="G381" t="s">
        <v>5506</v>
      </c>
      <c r="H381" t="s">
        <v>5734</v>
      </c>
      <c r="I381" t="s">
        <v>1357</v>
      </c>
      <c r="J381" t="s">
        <v>1357</v>
      </c>
      <c r="K381" t="s">
        <v>1357</v>
      </c>
      <c r="L381" t="s">
        <v>1357</v>
      </c>
    </row>
    <row r="382" spans="1:12">
      <c r="H382" t="s">
        <v>5735</v>
      </c>
      <c r="I382" t="s">
        <v>1357</v>
      </c>
      <c r="J382" t="s">
        <v>1357</v>
      </c>
      <c r="K382" t="s">
        <v>1357</v>
      </c>
      <c r="L382" t="s">
        <v>1357</v>
      </c>
    </row>
    <row r="383" spans="1:12">
      <c r="H383" t="s">
        <v>5736</v>
      </c>
      <c r="I383" t="s">
        <v>1357</v>
      </c>
      <c r="J383" t="s">
        <v>1357</v>
      </c>
      <c r="K383" t="s">
        <v>1357</v>
      </c>
      <c r="L383" t="s">
        <v>1357</v>
      </c>
    </row>
    <row r="384" spans="1:12">
      <c r="H384" t="s">
        <v>5737</v>
      </c>
      <c r="I384" t="s">
        <v>1357</v>
      </c>
      <c r="J384" t="s">
        <v>1357</v>
      </c>
      <c r="K384" t="s">
        <v>1357</v>
      </c>
      <c r="L384" t="s">
        <v>1357</v>
      </c>
    </row>
    <row r="385" spans="6:12">
      <c r="H385" t="s">
        <v>5739</v>
      </c>
      <c r="I385" t="s">
        <v>1357</v>
      </c>
      <c r="J385" t="s">
        <v>1357</v>
      </c>
      <c r="K385" t="s">
        <v>1357</v>
      </c>
      <c r="L385" t="s">
        <v>1357</v>
      </c>
    </row>
    <row r="386" spans="6:12">
      <c r="H386" t="s">
        <v>5740</v>
      </c>
      <c r="I386" t="s">
        <v>1357</v>
      </c>
      <c r="J386" t="s">
        <v>1357</v>
      </c>
      <c r="K386" t="s">
        <v>1357</v>
      </c>
      <c r="L386" t="s">
        <v>1357</v>
      </c>
    </row>
    <row r="387" spans="6:12">
      <c r="H387" t="s">
        <v>5741</v>
      </c>
      <c r="I387" t="s">
        <v>1357</v>
      </c>
      <c r="J387" t="s">
        <v>1357</v>
      </c>
      <c r="K387" t="s">
        <v>1357</v>
      </c>
      <c r="L387" t="s">
        <v>1357</v>
      </c>
    </row>
    <row r="388" spans="6:12">
      <c r="H388" t="s">
        <v>5742</v>
      </c>
      <c r="I388" t="s">
        <v>1357</v>
      </c>
      <c r="J388" t="s">
        <v>1357</v>
      </c>
      <c r="K388" t="s">
        <v>1357</v>
      </c>
      <c r="L388" t="s">
        <v>1357</v>
      </c>
    </row>
    <row r="389" spans="6:12">
      <c r="H389" t="s">
        <v>5743</v>
      </c>
      <c r="I389" t="s">
        <v>1357</v>
      </c>
      <c r="J389" t="s">
        <v>1357</v>
      </c>
      <c r="K389" t="s">
        <v>1357</v>
      </c>
      <c r="L389" t="s">
        <v>1357</v>
      </c>
    </row>
    <row r="390" spans="6:12">
      <c r="H390" t="s">
        <v>5744</v>
      </c>
      <c r="I390" t="s">
        <v>1357</v>
      </c>
      <c r="J390" t="s">
        <v>1357</v>
      </c>
      <c r="K390" t="s">
        <v>1357</v>
      </c>
      <c r="L390" t="s">
        <v>1357</v>
      </c>
    </row>
    <row r="391" spans="6:12">
      <c r="H391" t="s">
        <v>5745</v>
      </c>
      <c r="I391" t="s">
        <v>1357</v>
      </c>
      <c r="J391" t="s">
        <v>1357</v>
      </c>
      <c r="K391" t="s">
        <v>1357</v>
      </c>
      <c r="L391" t="s">
        <v>1357</v>
      </c>
    </row>
    <row r="392" spans="6:12">
      <c r="H392" t="s">
        <v>5877</v>
      </c>
      <c r="I392" t="s">
        <v>1357</v>
      </c>
      <c r="J392" t="s">
        <v>1357</v>
      </c>
      <c r="K392" t="s">
        <v>1357</v>
      </c>
      <c r="L392" t="s">
        <v>1357</v>
      </c>
    </row>
    <row r="393" spans="6:12">
      <c r="H393" t="s">
        <v>5746</v>
      </c>
      <c r="I393" t="s">
        <v>1357</v>
      </c>
      <c r="J393" t="s">
        <v>1357</v>
      </c>
      <c r="K393" t="s">
        <v>1357</v>
      </c>
      <c r="L393" t="s">
        <v>1357</v>
      </c>
    </row>
    <row r="394" spans="6:12">
      <c r="H394" t="s">
        <v>5747</v>
      </c>
      <c r="I394" t="s">
        <v>1357</v>
      </c>
      <c r="J394" t="s">
        <v>1357</v>
      </c>
      <c r="K394" t="s">
        <v>1357</v>
      </c>
      <c r="L394" t="s">
        <v>1357</v>
      </c>
    </row>
    <row r="395" spans="6:12">
      <c r="H395" t="s">
        <v>5748</v>
      </c>
      <c r="I395" t="s">
        <v>1357</v>
      </c>
      <c r="J395" t="s">
        <v>1357</v>
      </c>
      <c r="K395" t="s">
        <v>1357</v>
      </c>
      <c r="L395" t="s">
        <v>1357</v>
      </c>
    </row>
    <row r="396" spans="6:12">
      <c r="H396" t="s">
        <v>5878</v>
      </c>
      <c r="I396" t="s">
        <v>1357</v>
      </c>
      <c r="J396" t="s">
        <v>1357</v>
      </c>
      <c r="K396" t="s">
        <v>1357</v>
      </c>
      <c r="L396" t="s">
        <v>1357</v>
      </c>
    </row>
    <row r="397" spans="6:12">
      <c r="F397" t="s">
        <v>5390</v>
      </c>
      <c r="G397" t="s">
        <v>5497</v>
      </c>
      <c r="H397" t="s">
        <v>5734</v>
      </c>
      <c r="I397" t="s">
        <v>1357</v>
      </c>
      <c r="J397" t="s">
        <v>1357</v>
      </c>
      <c r="K397" t="s">
        <v>1357</v>
      </c>
      <c r="L397" t="s">
        <v>1357</v>
      </c>
    </row>
    <row r="398" spans="6:12">
      <c r="H398" t="s">
        <v>5735</v>
      </c>
      <c r="I398" t="s">
        <v>1357</v>
      </c>
      <c r="J398" t="s">
        <v>1357</v>
      </c>
      <c r="K398" t="s">
        <v>1357</v>
      </c>
      <c r="L398" t="s">
        <v>1357</v>
      </c>
    </row>
    <row r="399" spans="6:12">
      <c r="H399" t="s">
        <v>5736</v>
      </c>
      <c r="I399" t="s">
        <v>1357</v>
      </c>
      <c r="J399" t="s">
        <v>1357</v>
      </c>
      <c r="K399" t="s">
        <v>1357</v>
      </c>
      <c r="L399" t="s">
        <v>1357</v>
      </c>
    </row>
    <row r="400" spans="6:12">
      <c r="H400" t="s">
        <v>5737</v>
      </c>
      <c r="I400" t="s">
        <v>1357</v>
      </c>
      <c r="J400" t="s">
        <v>1357</v>
      </c>
      <c r="K400" t="s">
        <v>1357</v>
      </c>
      <c r="L400" t="s">
        <v>1357</v>
      </c>
    </row>
    <row r="401" spans="1:14">
      <c r="H401" t="s">
        <v>5739</v>
      </c>
      <c r="I401" t="s">
        <v>1357</v>
      </c>
      <c r="J401" t="s">
        <v>1357</v>
      </c>
      <c r="K401" t="s">
        <v>1357</v>
      </c>
      <c r="L401" t="s">
        <v>1357</v>
      </c>
    </row>
    <row r="402" spans="1:14">
      <c r="H402" t="s">
        <v>5740</v>
      </c>
      <c r="I402" t="s">
        <v>1357</v>
      </c>
      <c r="J402" t="s">
        <v>1357</v>
      </c>
      <c r="K402" t="s">
        <v>1357</v>
      </c>
      <c r="L402" t="s">
        <v>1357</v>
      </c>
    </row>
    <row r="403" spans="1:14">
      <c r="H403" t="s">
        <v>5741</v>
      </c>
      <c r="I403" t="s">
        <v>1357</v>
      </c>
      <c r="J403" t="s">
        <v>1357</v>
      </c>
      <c r="K403" t="s">
        <v>1357</v>
      </c>
      <c r="L403" t="s">
        <v>1357</v>
      </c>
    </row>
    <row r="404" spans="1:14">
      <c r="H404" t="s">
        <v>5742</v>
      </c>
      <c r="I404" t="s">
        <v>1357</v>
      </c>
      <c r="J404" t="s">
        <v>1357</v>
      </c>
      <c r="K404" t="s">
        <v>1357</v>
      </c>
      <c r="L404" t="s">
        <v>1357</v>
      </c>
    </row>
    <row r="405" spans="1:14">
      <c r="H405" t="s">
        <v>5743</v>
      </c>
      <c r="I405" t="s">
        <v>1357</v>
      </c>
      <c r="J405" t="s">
        <v>1357</v>
      </c>
      <c r="K405" t="s">
        <v>1357</v>
      </c>
      <c r="L405" t="s">
        <v>1357</v>
      </c>
    </row>
    <row r="406" spans="1:14">
      <c r="H406" t="s">
        <v>5744</v>
      </c>
      <c r="I406" t="s">
        <v>1357</v>
      </c>
      <c r="J406" t="s">
        <v>1357</v>
      </c>
      <c r="K406" t="s">
        <v>1357</v>
      </c>
      <c r="L406" t="s">
        <v>1357</v>
      </c>
    </row>
    <row r="407" spans="1:14">
      <c r="H407" t="s">
        <v>5745</v>
      </c>
      <c r="I407" t="s">
        <v>1357</v>
      </c>
      <c r="J407" t="s">
        <v>1357</v>
      </c>
      <c r="K407" t="s">
        <v>1357</v>
      </c>
      <c r="L407" t="s">
        <v>1357</v>
      </c>
    </row>
    <row r="408" spans="1:14">
      <c r="H408" t="s">
        <v>5877</v>
      </c>
      <c r="I408" t="s">
        <v>1357</v>
      </c>
      <c r="J408" t="s">
        <v>1357</v>
      </c>
      <c r="K408" t="s">
        <v>1357</v>
      </c>
      <c r="L408" t="s">
        <v>1357</v>
      </c>
    </row>
    <row r="409" spans="1:14">
      <c r="H409" t="s">
        <v>5746</v>
      </c>
      <c r="I409" t="s">
        <v>1357</v>
      </c>
      <c r="J409" t="s">
        <v>1357</v>
      </c>
      <c r="K409" t="s">
        <v>1357</v>
      </c>
      <c r="L409" t="s">
        <v>1357</v>
      </c>
    </row>
    <row r="410" spans="1:14">
      <c r="H410" t="s">
        <v>5747</v>
      </c>
      <c r="I410" t="s">
        <v>1357</v>
      </c>
      <c r="J410" t="s">
        <v>1357</v>
      </c>
      <c r="K410" t="s">
        <v>1357</v>
      </c>
      <c r="L410" t="s">
        <v>1357</v>
      </c>
    </row>
    <row r="411" spans="1:14">
      <c r="H411" t="s">
        <v>5748</v>
      </c>
      <c r="I411" t="s">
        <v>1357</v>
      </c>
      <c r="J411" t="s">
        <v>1357</v>
      </c>
      <c r="K411" t="s">
        <v>1357</v>
      </c>
      <c r="L411" t="s">
        <v>1357</v>
      </c>
    </row>
    <row r="412" spans="1:14">
      <c r="H412" t="s">
        <v>5878</v>
      </c>
      <c r="I412" t="s">
        <v>1357</v>
      </c>
      <c r="J412" t="s">
        <v>1357</v>
      </c>
      <c r="K412" t="s">
        <v>1357</v>
      </c>
      <c r="L412" t="s">
        <v>1357</v>
      </c>
    </row>
    <row r="413" spans="1:14">
      <c r="A413" t="s">
        <v>5308</v>
      </c>
      <c r="B413">
        <f>HYPERLINK("https://github.com/JodaOrg/joda-time/commit/119f68ba20f38f7b4b9d676d4a7b787e5e005b89", "119f68ba20f38f7b4b9d676d4a7b787e5e005b89")</f>
        <v>0</v>
      </c>
      <c r="C413">
        <f>HYPERLINK("https://github.com/JodaOrg/joda-time/commit/55284cec591f9fc927c99ced4c1dc991485d6a37", "55284cec591f9fc927c99ced4c1dc991485d6a37")</f>
        <v>0</v>
      </c>
      <c r="D413" t="s">
        <v>5327</v>
      </c>
      <c r="E413" t="s">
        <v>5348</v>
      </c>
      <c r="F413" t="s">
        <v>5379</v>
      </c>
      <c r="G413" t="s">
        <v>5486</v>
      </c>
      <c r="H413" t="s">
        <v>5879</v>
      </c>
      <c r="I413" t="s">
        <v>1358</v>
      </c>
      <c r="J413" t="s">
        <v>1358</v>
      </c>
      <c r="K413" t="s">
        <v>1358</v>
      </c>
      <c r="L413" t="s">
        <v>1358</v>
      </c>
      <c r="N413" t="s">
        <v>6060</v>
      </c>
    </row>
    <row r="414" spans="1:14">
      <c r="H414" t="s">
        <v>5880</v>
      </c>
      <c r="I414" t="s">
        <v>1358</v>
      </c>
      <c r="J414" t="s">
        <v>1358</v>
      </c>
      <c r="K414" t="s">
        <v>1358</v>
      </c>
      <c r="L414" t="s">
        <v>1358</v>
      </c>
      <c r="N414" t="s">
        <v>1369</v>
      </c>
    </row>
    <row r="415" spans="1:14">
      <c r="A415" t="s">
        <v>5309</v>
      </c>
      <c r="B415">
        <f>HYPERLINK("https://github.com/JodaOrg/joda-time/commit/233ac67186840969dadbc86b371ad15c673ed0ca", "233ac67186840969dadbc86b371ad15c673ed0ca")</f>
        <v>0</v>
      </c>
      <c r="C415">
        <f>HYPERLINK("https://github.com/JodaOrg/joda-time/commit/ac1166080c7fd2adca30d80342600cfb8b568788", "ac1166080c7fd2adca30d80342600cfb8b568788")</f>
        <v>0</v>
      </c>
      <c r="D415" t="s">
        <v>5327</v>
      </c>
      <c r="E415" t="s">
        <v>5349</v>
      </c>
      <c r="F415" t="s">
        <v>5383</v>
      </c>
      <c r="G415" t="s">
        <v>5490</v>
      </c>
      <c r="H415" t="s">
        <v>5881</v>
      </c>
      <c r="I415" t="s">
        <v>1357</v>
      </c>
      <c r="J415" t="s">
        <v>1357</v>
      </c>
      <c r="K415" t="s">
        <v>1357</v>
      </c>
      <c r="L415" t="s">
        <v>1357</v>
      </c>
    </row>
    <row r="416" spans="1:14">
      <c r="A416" t="s">
        <v>5310</v>
      </c>
      <c r="B416">
        <f>HYPERLINK("https://github.com/JodaOrg/joda-time/commit/8ef60672c1dd5407b0761b81408857be44562ecf", "8ef60672c1dd5407b0761b81408857be44562ecf")</f>
        <v>0</v>
      </c>
      <c r="C416">
        <f>HYPERLINK("https://github.com/JodaOrg/joda-time/commit/1c5dbbb0303fe2536a54c58e5bf56d76523a2e33", "1c5dbbb0303fe2536a54c58e5bf56d76523a2e33")</f>
        <v>0</v>
      </c>
      <c r="D416" t="s">
        <v>5327</v>
      </c>
      <c r="E416" t="s">
        <v>5350</v>
      </c>
      <c r="F416" t="s">
        <v>5404</v>
      </c>
      <c r="G416" t="s">
        <v>5511</v>
      </c>
      <c r="H416" t="s">
        <v>5882</v>
      </c>
      <c r="I416" t="s">
        <v>1357</v>
      </c>
      <c r="J416" t="s">
        <v>1357</v>
      </c>
      <c r="K416" t="s">
        <v>1357</v>
      </c>
      <c r="L416" t="s">
        <v>1357</v>
      </c>
    </row>
    <row r="417" spans="1:12">
      <c r="H417" t="s">
        <v>5883</v>
      </c>
      <c r="I417" t="s">
        <v>1357</v>
      </c>
      <c r="J417" t="s">
        <v>1357</v>
      </c>
      <c r="K417" t="s">
        <v>1357</v>
      </c>
      <c r="L417" t="s">
        <v>1357</v>
      </c>
    </row>
    <row r="418" spans="1:12">
      <c r="F418" t="s">
        <v>5405</v>
      </c>
      <c r="G418" t="s">
        <v>5512</v>
      </c>
      <c r="H418" t="s">
        <v>5884</v>
      </c>
      <c r="I418" t="s">
        <v>1357</v>
      </c>
      <c r="J418" t="s">
        <v>1357</v>
      </c>
      <c r="K418" t="s">
        <v>1357</v>
      </c>
      <c r="L418" t="s">
        <v>1357</v>
      </c>
    </row>
    <row r="419" spans="1:12">
      <c r="H419" t="s">
        <v>5885</v>
      </c>
      <c r="I419" t="s">
        <v>1357</v>
      </c>
      <c r="J419" t="s">
        <v>1357</v>
      </c>
      <c r="K419" t="s">
        <v>1357</v>
      </c>
      <c r="L419" t="s">
        <v>1357</v>
      </c>
    </row>
    <row r="420" spans="1:12">
      <c r="H420" t="s">
        <v>5886</v>
      </c>
      <c r="I420" t="s">
        <v>1357</v>
      </c>
      <c r="J420" t="s">
        <v>1357</v>
      </c>
      <c r="K420" t="s">
        <v>1357</v>
      </c>
      <c r="L420" t="s">
        <v>1357</v>
      </c>
    </row>
    <row r="421" spans="1:12">
      <c r="F421" t="s">
        <v>5406</v>
      </c>
      <c r="G421" t="s">
        <v>5513</v>
      </c>
      <c r="H421" t="s">
        <v>5884</v>
      </c>
      <c r="I421" t="s">
        <v>1357</v>
      </c>
      <c r="J421" t="s">
        <v>1357</v>
      </c>
      <c r="K421" t="s">
        <v>1357</v>
      </c>
      <c r="L421" t="s">
        <v>1357</v>
      </c>
    </row>
    <row r="422" spans="1:12">
      <c r="H422" t="s">
        <v>5885</v>
      </c>
      <c r="I422" t="s">
        <v>1357</v>
      </c>
      <c r="J422" t="s">
        <v>1357</v>
      </c>
      <c r="K422" t="s">
        <v>1357</v>
      </c>
      <c r="L422" t="s">
        <v>1357</v>
      </c>
    </row>
    <row r="423" spans="1:12">
      <c r="H423" t="s">
        <v>5886</v>
      </c>
      <c r="I423" t="s">
        <v>1357</v>
      </c>
      <c r="J423" t="s">
        <v>1357</v>
      </c>
      <c r="K423" t="s">
        <v>1357</v>
      </c>
      <c r="L423" t="s">
        <v>1357</v>
      </c>
    </row>
    <row r="424" spans="1:12">
      <c r="A424" t="s">
        <v>5311</v>
      </c>
      <c r="B424">
        <f>HYPERLINK("https://github.com/JodaOrg/joda-time/commit/ae46a513a314dc36f12346b57ccacacf7ffb303a", "ae46a513a314dc36f12346b57ccacacf7ffb303a")</f>
        <v>0</v>
      </c>
      <c r="C424">
        <f>HYPERLINK("https://github.com/JodaOrg/joda-time/commit/8ef60672c1dd5407b0761b81408857be44562ecf", "8ef60672c1dd5407b0761b81408857be44562ecf")</f>
        <v>0</v>
      </c>
      <c r="D424" t="s">
        <v>5327</v>
      </c>
      <c r="E424" t="s">
        <v>5351</v>
      </c>
      <c r="F424" t="s">
        <v>5386</v>
      </c>
      <c r="G424" t="s">
        <v>5493</v>
      </c>
      <c r="H424" t="s">
        <v>5887</v>
      </c>
      <c r="I424" t="s">
        <v>1359</v>
      </c>
      <c r="J424" t="s">
        <v>1357</v>
      </c>
      <c r="K424" t="s">
        <v>1357</v>
      </c>
      <c r="L424" t="s">
        <v>1358</v>
      </c>
    </row>
    <row r="425" spans="1:12">
      <c r="H425" t="s">
        <v>5888</v>
      </c>
      <c r="I425" t="s">
        <v>1359</v>
      </c>
      <c r="J425" t="s">
        <v>1357</v>
      </c>
      <c r="K425" t="s">
        <v>1357</v>
      </c>
      <c r="L425" t="s">
        <v>1358</v>
      </c>
    </row>
    <row r="426" spans="1:12">
      <c r="F426" t="s">
        <v>5387</v>
      </c>
      <c r="G426" t="s">
        <v>5494</v>
      </c>
      <c r="H426" t="s">
        <v>5887</v>
      </c>
      <c r="I426" t="s">
        <v>1359</v>
      </c>
      <c r="J426" t="s">
        <v>1357</v>
      </c>
      <c r="K426" t="s">
        <v>1357</v>
      </c>
      <c r="L426" t="s">
        <v>1358</v>
      </c>
    </row>
    <row r="427" spans="1:12">
      <c r="A427" t="s">
        <v>5312</v>
      </c>
      <c r="B427">
        <f>HYPERLINK("https://github.com/JodaOrg/joda-time/commit/d7ca0e33ec72b0e4557bdd9c31bb3142765a28ee", "d7ca0e33ec72b0e4557bdd9c31bb3142765a28ee")</f>
        <v>0</v>
      </c>
      <c r="C427">
        <f>HYPERLINK("https://github.com/JodaOrg/joda-time/commit/9316fce1b432caa8b56ff6056d916f0a0aaefc1a", "9316fce1b432caa8b56ff6056d916f0a0aaefc1a")</f>
        <v>0</v>
      </c>
      <c r="D427" t="s">
        <v>5327</v>
      </c>
      <c r="E427" t="s">
        <v>5352</v>
      </c>
      <c r="F427" t="s">
        <v>5407</v>
      </c>
      <c r="G427" t="s">
        <v>5514</v>
      </c>
      <c r="H427" t="s">
        <v>5889</v>
      </c>
      <c r="I427" t="s">
        <v>1357</v>
      </c>
      <c r="J427" t="s">
        <v>1357</v>
      </c>
      <c r="K427" t="s">
        <v>1357</v>
      </c>
      <c r="L427" t="s">
        <v>1357</v>
      </c>
    </row>
    <row r="428" spans="1:12">
      <c r="H428" t="s">
        <v>5890</v>
      </c>
      <c r="I428" t="s">
        <v>1357</v>
      </c>
      <c r="J428" t="s">
        <v>1357</v>
      </c>
      <c r="K428" t="s">
        <v>1357</v>
      </c>
      <c r="L428" t="s">
        <v>1357</v>
      </c>
    </row>
    <row r="429" spans="1:12">
      <c r="F429" t="s">
        <v>5408</v>
      </c>
      <c r="G429" t="s">
        <v>5515</v>
      </c>
      <c r="H429" t="s">
        <v>5889</v>
      </c>
      <c r="I429" t="s">
        <v>1357</v>
      </c>
      <c r="J429" t="s">
        <v>1357</v>
      </c>
      <c r="K429" t="s">
        <v>1357</v>
      </c>
      <c r="L429" t="s">
        <v>1357</v>
      </c>
    </row>
    <row r="430" spans="1:12">
      <c r="H430" t="s">
        <v>5890</v>
      </c>
      <c r="I430" t="s">
        <v>1357</v>
      </c>
      <c r="J430" t="s">
        <v>1357</v>
      </c>
      <c r="K430" t="s">
        <v>1357</v>
      </c>
      <c r="L430" t="s">
        <v>1357</v>
      </c>
    </row>
    <row r="431" spans="1:12">
      <c r="A431" t="s">
        <v>5313</v>
      </c>
      <c r="B431">
        <f>HYPERLINK("https://github.com/JodaOrg/joda-time/commit/9566157414404c5ea9b4003e4c3bdf334abcd67f", "9566157414404c5ea9b4003e4c3bdf334abcd67f")</f>
        <v>0</v>
      </c>
      <c r="C431">
        <f>HYPERLINK("https://github.com/JodaOrg/joda-time/commit/f560648277f9d2287862698e865bfd41b77d1fa4", "f560648277f9d2287862698e865bfd41b77d1fa4")</f>
        <v>0</v>
      </c>
      <c r="D431" t="s">
        <v>5327</v>
      </c>
      <c r="E431" t="s">
        <v>5353</v>
      </c>
      <c r="F431" t="s">
        <v>5409</v>
      </c>
      <c r="G431" t="s">
        <v>5516</v>
      </c>
      <c r="H431" t="s">
        <v>5891</v>
      </c>
      <c r="I431" t="s">
        <v>1357</v>
      </c>
      <c r="J431" t="s">
        <v>1357</v>
      </c>
      <c r="K431" t="s">
        <v>1357</v>
      </c>
      <c r="L431" t="s">
        <v>1357</v>
      </c>
    </row>
    <row r="432" spans="1:12">
      <c r="H432" t="s">
        <v>5892</v>
      </c>
      <c r="I432" t="s">
        <v>1357</v>
      </c>
      <c r="J432" t="s">
        <v>1357</v>
      </c>
      <c r="K432" t="s">
        <v>1357</v>
      </c>
      <c r="L432" t="s">
        <v>1357</v>
      </c>
    </row>
    <row r="433" spans="1:14">
      <c r="F433" t="s">
        <v>5410</v>
      </c>
      <c r="G433" t="s">
        <v>5517</v>
      </c>
      <c r="H433" t="s">
        <v>5891</v>
      </c>
      <c r="I433" t="s">
        <v>1357</v>
      </c>
      <c r="J433" t="s">
        <v>1357</v>
      </c>
      <c r="K433" t="s">
        <v>1357</v>
      </c>
      <c r="L433" t="s">
        <v>1357</v>
      </c>
    </row>
    <row r="434" spans="1:14">
      <c r="H434" t="s">
        <v>5892</v>
      </c>
      <c r="I434" t="s">
        <v>1357</v>
      </c>
      <c r="J434" t="s">
        <v>1357</v>
      </c>
      <c r="K434" t="s">
        <v>1357</v>
      </c>
      <c r="L434" t="s">
        <v>1357</v>
      </c>
    </row>
    <row r="435" spans="1:14">
      <c r="H435" t="s">
        <v>5893</v>
      </c>
      <c r="I435" t="s">
        <v>1357</v>
      </c>
      <c r="J435" t="s">
        <v>1357</v>
      </c>
      <c r="K435" t="s">
        <v>1357</v>
      </c>
      <c r="L435" t="s">
        <v>1357</v>
      </c>
    </row>
    <row r="436" spans="1:14">
      <c r="F436" t="s">
        <v>5380</v>
      </c>
      <c r="G436" t="s">
        <v>5487</v>
      </c>
      <c r="H436" t="s">
        <v>5891</v>
      </c>
      <c r="I436" t="s">
        <v>1357</v>
      </c>
      <c r="J436" t="s">
        <v>1357</v>
      </c>
      <c r="K436" t="s">
        <v>1357</v>
      </c>
      <c r="L436" t="s">
        <v>1357</v>
      </c>
    </row>
    <row r="437" spans="1:14">
      <c r="H437" t="s">
        <v>5892</v>
      </c>
      <c r="I437" t="s">
        <v>1357</v>
      </c>
      <c r="J437" t="s">
        <v>1357</v>
      </c>
      <c r="K437" t="s">
        <v>1357</v>
      </c>
      <c r="L437" t="s">
        <v>1357</v>
      </c>
    </row>
    <row r="438" spans="1:14">
      <c r="H438" t="s">
        <v>5893</v>
      </c>
      <c r="I438" t="s">
        <v>1357</v>
      </c>
      <c r="J438" t="s">
        <v>1357</v>
      </c>
      <c r="K438" t="s">
        <v>1357</v>
      </c>
      <c r="L438" t="s">
        <v>1357</v>
      </c>
    </row>
    <row r="439" spans="1:14">
      <c r="F439" t="s">
        <v>5381</v>
      </c>
      <c r="G439" t="s">
        <v>5488</v>
      </c>
      <c r="H439" t="s">
        <v>5891</v>
      </c>
      <c r="I439" t="s">
        <v>1357</v>
      </c>
      <c r="J439" t="s">
        <v>1357</v>
      </c>
      <c r="K439" t="s">
        <v>1357</v>
      </c>
      <c r="L439" t="s">
        <v>1357</v>
      </c>
    </row>
    <row r="440" spans="1:14">
      <c r="H440" t="s">
        <v>5892</v>
      </c>
      <c r="I440" t="s">
        <v>1357</v>
      </c>
      <c r="J440" t="s">
        <v>1357</v>
      </c>
      <c r="K440" t="s">
        <v>1357</v>
      </c>
      <c r="L440" t="s">
        <v>1357</v>
      </c>
    </row>
    <row r="441" spans="1:14">
      <c r="H441" t="s">
        <v>5893</v>
      </c>
      <c r="I441" t="s">
        <v>1357</v>
      </c>
      <c r="J441" t="s">
        <v>1357</v>
      </c>
      <c r="K441" t="s">
        <v>1357</v>
      </c>
      <c r="L441" t="s">
        <v>1357</v>
      </c>
    </row>
    <row r="442" spans="1:14">
      <c r="F442" t="s">
        <v>5411</v>
      </c>
      <c r="G442" t="s">
        <v>5518</v>
      </c>
      <c r="H442" t="s">
        <v>5891</v>
      </c>
      <c r="I442" t="s">
        <v>1357</v>
      </c>
      <c r="J442" t="s">
        <v>1357</v>
      </c>
      <c r="K442" t="s">
        <v>1357</v>
      </c>
      <c r="L442" t="s">
        <v>1357</v>
      </c>
    </row>
    <row r="443" spans="1:14">
      <c r="H443" t="s">
        <v>5892</v>
      </c>
      <c r="I443" t="s">
        <v>1357</v>
      </c>
      <c r="J443" t="s">
        <v>1357</v>
      </c>
      <c r="K443" t="s">
        <v>1357</v>
      </c>
      <c r="L443" t="s">
        <v>1357</v>
      </c>
    </row>
    <row r="444" spans="1:14">
      <c r="F444" t="s">
        <v>5384</v>
      </c>
      <c r="G444" t="s">
        <v>5491</v>
      </c>
      <c r="H444" t="s">
        <v>5893</v>
      </c>
      <c r="I444" t="s">
        <v>1357</v>
      </c>
      <c r="J444" t="s">
        <v>1357</v>
      </c>
      <c r="K444" t="s">
        <v>1357</v>
      </c>
      <c r="L444" t="s">
        <v>1357</v>
      </c>
    </row>
    <row r="445" spans="1:14">
      <c r="A445" t="s">
        <v>5314</v>
      </c>
      <c r="B445">
        <f>HYPERLINK("https://github.com/JodaOrg/joda-time/commit/b9e9ad74618b8922a061c3dcea2569891404eacd", "b9e9ad74618b8922a061c3dcea2569891404eacd")</f>
        <v>0</v>
      </c>
      <c r="C445">
        <f>HYPERLINK("https://github.com/JodaOrg/joda-time/commit/6a5b8bd64e0cc18555c4cfe791f853278e3f24e7", "6a5b8bd64e0cc18555c4cfe791f853278e3f24e7")</f>
        <v>0</v>
      </c>
      <c r="D445" t="s">
        <v>5327</v>
      </c>
      <c r="E445" t="s">
        <v>5354</v>
      </c>
      <c r="F445" t="s">
        <v>5412</v>
      </c>
      <c r="G445" t="s">
        <v>5519</v>
      </c>
      <c r="H445" t="s">
        <v>5894</v>
      </c>
      <c r="I445" t="s">
        <v>1357</v>
      </c>
      <c r="J445" t="s">
        <v>1357</v>
      </c>
      <c r="K445" t="s">
        <v>1357</v>
      </c>
      <c r="L445" t="s">
        <v>1357</v>
      </c>
    </row>
    <row r="446" spans="1:14">
      <c r="A446" t="s">
        <v>5315</v>
      </c>
      <c r="B446">
        <f>HYPERLINK("https://github.com/JodaOrg/joda-time/commit/df16fe1bb49ac761bed5f46e081bf2166428dd7d", "df16fe1bb49ac761bed5f46e081bf2166428dd7d")</f>
        <v>0</v>
      </c>
      <c r="C446">
        <f>HYPERLINK("https://github.com/JodaOrg/joda-time/commit/467cf820dd5af0aa6480d903c19ec8651fc22674", "467cf820dd5af0aa6480d903c19ec8651fc22674")</f>
        <v>0</v>
      </c>
      <c r="D446" t="s">
        <v>5327</v>
      </c>
      <c r="E446" t="s">
        <v>5355</v>
      </c>
      <c r="F446" t="s">
        <v>5413</v>
      </c>
      <c r="G446" t="s">
        <v>5520</v>
      </c>
      <c r="H446" t="s">
        <v>5895</v>
      </c>
      <c r="I446" t="s">
        <v>1358</v>
      </c>
      <c r="J446" t="s">
        <v>1358</v>
      </c>
      <c r="K446" t="s">
        <v>1358</v>
      </c>
      <c r="L446" t="s">
        <v>1358</v>
      </c>
      <c r="N446" t="s">
        <v>1374</v>
      </c>
    </row>
    <row r="447" spans="1:14">
      <c r="A447" t="s">
        <v>5316</v>
      </c>
      <c r="B447">
        <f>HYPERLINK("https://github.com/JodaOrg/joda-time/commit/beec594614e14f83c57ca24414179de8f9b564ea", "beec594614e14f83c57ca24414179de8f9b564ea")</f>
        <v>0</v>
      </c>
      <c r="C447">
        <f>HYPERLINK("https://github.com/JodaOrg/joda-time/commit/c196026b6845b678d16b5b84a2efc979391907f3", "c196026b6845b678d16b5b84a2efc979391907f3")</f>
        <v>0</v>
      </c>
      <c r="D447" t="s">
        <v>5327</v>
      </c>
      <c r="E447" t="s">
        <v>5356</v>
      </c>
      <c r="F447" t="s">
        <v>5414</v>
      </c>
      <c r="G447" t="s">
        <v>5521</v>
      </c>
      <c r="H447" t="s">
        <v>5896</v>
      </c>
      <c r="I447" t="s">
        <v>1357</v>
      </c>
      <c r="J447" t="s">
        <v>1357</v>
      </c>
      <c r="K447" t="s">
        <v>1357</v>
      </c>
      <c r="L447" t="s">
        <v>1357</v>
      </c>
    </row>
    <row r="448" spans="1:14">
      <c r="H448" t="s">
        <v>5897</v>
      </c>
      <c r="I448" t="s">
        <v>1357</v>
      </c>
      <c r="J448" t="s">
        <v>1357</v>
      </c>
      <c r="K448" t="s">
        <v>1357</v>
      </c>
      <c r="L448" t="s">
        <v>1357</v>
      </c>
    </row>
    <row r="449" spans="1:12">
      <c r="H449" t="s">
        <v>5898</v>
      </c>
      <c r="I449" t="s">
        <v>1357</v>
      </c>
      <c r="J449" t="s">
        <v>1357</v>
      </c>
      <c r="K449" t="s">
        <v>1357</v>
      </c>
      <c r="L449" t="s">
        <v>1357</v>
      </c>
    </row>
    <row r="450" spans="1:12">
      <c r="H450" t="s">
        <v>5899</v>
      </c>
      <c r="I450" t="s">
        <v>1357</v>
      </c>
      <c r="J450" t="s">
        <v>1357</v>
      </c>
      <c r="K450" t="s">
        <v>1357</v>
      </c>
      <c r="L450" t="s">
        <v>1357</v>
      </c>
    </row>
    <row r="451" spans="1:12">
      <c r="H451" t="s">
        <v>5900</v>
      </c>
      <c r="I451" t="s">
        <v>1357</v>
      </c>
      <c r="J451" t="s">
        <v>1357</v>
      </c>
      <c r="K451" t="s">
        <v>1357</v>
      </c>
      <c r="L451" t="s">
        <v>1357</v>
      </c>
    </row>
    <row r="452" spans="1:12">
      <c r="H452" t="s">
        <v>5901</v>
      </c>
      <c r="I452" t="s">
        <v>1357</v>
      </c>
      <c r="J452" t="s">
        <v>1357</v>
      </c>
      <c r="K452" t="s">
        <v>1357</v>
      </c>
      <c r="L452" t="s">
        <v>1357</v>
      </c>
    </row>
    <row r="453" spans="1:12">
      <c r="H453" t="s">
        <v>5902</v>
      </c>
      <c r="I453" t="s">
        <v>1357</v>
      </c>
      <c r="J453" t="s">
        <v>1357</v>
      </c>
      <c r="K453" t="s">
        <v>1357</v>
      </c>
      <c r="L453" t="s">
        <v>1357</v>
      </c>
    </row>
    <row r="454" spans="1:12">
      <c r="H454" t="s">
        <v>5903</v>
      </c>
      <c r="I454" t="s">
        <v>1357</v>
      </c>
      <c r="J454" t="s">
        <v>1357</v>
      </c>
      <c r="K454" t="s">
        <v>1357</v>
      </c>
      <c r="L454" t="s">
        <v>1357</v>
      </c>
    </row>
    <row r="455" spans="1:12">
      <c r="H455" t="s">
        <v>5904</v>
      </c>
      <c r="I455" t="s">
        <v>1357</v>
      </c>
      <c r="J455" t="s">
        <v>1357</v>
      </c>
      <c r="K455" t="s">
        <v>1357</v>
      </c>
      <c r="L455" t="s">
        <v>1357</v>
      </c>
    </row>
    <row r="456" spans="1:12">
      <c r="H456" t="s">
        <v>5905</v>
      </c>
      <c r="I456" t="s">
        <v>1357</v>
      </c>
      <c r="J456" t="s">
        <v>1357</v>
      </c>
      <c r="K456" t="s">
        <v>1357</v>
      </c>
      <c r="L456" t="s">
        <v>1357</v>
      </c>
    </row>
    <row r="457" spans="1:12">
      <c r="F457" t="s">
        <v>5388</v>
      </c>
      <c r="G457" t="s">
        <v>5495</v>
      </c>
      <c r="H457" t="s">
        <v>5906</v>
      </c>
      <c r="I457" t="s">
        <v>1357</v>
      </c>
      <c r="J457" t="s">
        <v>1357</v>
      </c>
      <c r="K457" t="s">
        <v>1357</v>
      </c>
      <c r="L457" t="s">
        <v>1357</v>
      </c>
    </row>
    <row r="458" spans="1:12">
      <c r="F458" t="s">
        <v>5403</v>
      </c>
      <c r="G458" t="s">
        <v>5510</v>
      </c>
      <c r="H458" t="s">
        <v>5907</v>
      </c>
      <c r="I458" t="s">
        <v>1357</v>
      </c>
      <c r="J458" t="s">
        <v>1357</v>
      </c>
      <c r="K458" t="s">
        <v>1357</v>
      </c>
      <c r="L458" t="s">
        <v>1357</v>
      </c>
    </row>
    <row r="459" spans="1:12">
      <c r="F459" t="s">
        <v>5389</v>
      </c>
      <c r="G459" t="s">
        <v>5496</v>
      </c>
      <c r="H459" t="s">
        <v>5906</v>
      </c>
      <c r="I459" t="s">
        <v>1357</v>
      </c>
      <c r="J459" t="s">
        <v>1357</v>
      </c>
      <c r="K459" t="s">
        <v>1357</v>
      </c>
      <c r="L459" t="s">
        <v>1357</v>
      </c>
    </row>
    <row r="460" spans="1:12">
      <c r="F460" t="s">
        <v>5392</v>
      </c>
      <c r="G460" t="s">
        <v>5499</v>
      </c>
      <c r="H460" t="s">
        <v>5908</v>
      </c>
      <c r="I460" t="s">
        <v>1357</v>
      </c>
      <c r="J460" t="s">
        <v>1357</v>
      </c>
      <c r="K460" t="s">
        <v>1357</v>
      </c>
      <c r="L460" t="s">
        <v>1357</v>
      </c>
    </row>
    <row r="461" spans="1:12">
      <c r="H461" t="s">
        <v>5909</v>
      </c>
      <c r="I461" t="s">
        <v>1357</v>
      </c>
      <c r="J461" t="s">
        <v>1357</v>
      </c>
      <c r="K461" t="s">
        <v>1357</v>
      </c>
      <c r="L461" t="s">
        <v>1357</v>
      </c>
    </row>
    <row r="462" spans="1:12">
      <c r="A462" t="s">
        <v>5317</v>
      </c>
      <c r="B462">
        <f>HYPERLINK("https://github.com/JodaOrg/joda-time/commit/8c5d6902ca81488fc8c9ffce33bfc0774afc2194", "8c5d6902ca81488fc8c9ffce33bfc0774afc2194")</f>
        <v>0</v>
      </c>
      <c r="C462">
        <f>HYPERLINK("https://github.com/JodaOrg/joda-time/commit/ee0a30f6db2d9d1b0b34294990f7f6a01e6352c1", "ee0a30f6db2d9d1b0b34294990f7f6a01e6352c1")</f>
        <v>0</v>
      </c>
      <c r="D462" t="s">
        <v>5327</v>
      </c>
      <c r="E462" t="s">
        <v>5357</v>
      </c>
      <c r="F462" t="s">
        <v>5403</v>
      </c>
      <c r="G462" t="s">
        <v>5510</v>
      </c>
      <c r="H462" t="s">
        <v>5883</v>
      </c>
      <c r="I462" t="s">
        <v>1357</v>
      </c>
      <c r="J462" t="s">
        <v>1357</v>
      </c>
      <c r="K462" t="s">
        <v>1357</v>
      </c>
      <c r="L462" t="s">
        <v>1357</v>
      </c>
    </row>
    <row r="463" spans="1:12">
      <c r="H463" t="s">
        <v>5910</v>
      </c>
      <c r="I463" t="s">
        <v>1357</v>
      </c>
      <c r="J463" t="s">
        <v>1357</v>
      </c>
      <c r="K463" t="s">
        <v>1357</v>
      </c>
      <c r="L463" t="s">
        <v>1357</v>
      </c>
    </row>
    <row r="464" spans="1:12">
      <c r="F464" t="s">
        <v>5415</v>
      </c>
      <c r="G464" t="s">
        <v>5522</v>
      </c>
      <c r="H464" t="s">
        <v>5911</v>
      </c>
      <c r="I464" t="s">
        <v>1357</v>
      </c>
      <c r="J464" t="s">
        <v>1357</v>
      </c>
      <c r="K464" t="s">
        <v>1357</v>
      </c>
      <c r="L464" t="s">
        <v>1357</v>
      </c>
    </row>
    <row r="465" spans="1:12">
      <c r="A465" t="s">
        <v>5318</v>
      </c>
      <c r="B465">
        <f>HYPERLINK("https://github.com/JodaOrg/joda-time/commit/1710dc4fb6974e6d9e37752f2572f625ce79a52d", "1710dc4fb6974e6d9e37752f2572f625ce79a52d")</f>
        <v>0</v>
      </c>
      <c r="C465">
        <f>HYPERLINK("https://github.com/JodaOrg/joda-time/commit/6b0549a63ebc3da9dc133f8b9b240218e6ce5101", "6b0549a63ebc3da9dc133f8b9b240218e6ce5101")</f>
        <v>0</v>
      </c>
      <c r="D465" t="s">
        <v>5327</v>
      </c>
      <c r="E465" t="s">
        <v>5358</v>
      </c>
      <c r="F465" t="s">
        <v>5416</v>
      </c>
      <c r="G465" t="s">
        <v>5523</v>
      </c>
      <c r="H465" t="s">
        <v>5912</v>
      </c>
      <c r="I465" t="s">
        <v>1359</v>
      </c>
      <c r="J465" t="s">
        <v>1357</v>
      </c>
      <c r="K465" t="s">
        <v>1357</v>
      </c>
      <c r="L465" t="s">
        <v>1358</v>
      </c>
    </row>
    <row r="466" spans="1:12">
      <c r="A466" t="s">
        <v>5319</v>
      </c>
      <c r="B466">
        <f>HYPERLINK("https://github.com/JodaOrg/joda-time/commit/1cbee321d8b98ef84af8346d7270ed726c95176c", "1cbee321d8b98ef84af8346d7270ed726c95176c")</f>
        <v>0</v>
      </c>
      <c r="C466">
        <f>HYPERLINK("https://github.com/JodaOrg/joda-time/commit/e1b20335ff8c90189a7dce4b43107edc0313eb71", "e1b20335ff8c90189a7dce4b43107edc0313eb71")</f>
        <v>0</v>
      </c>
      <c r="D466" t="s">
        <v>5327</v>
      </c>
      <c r="E466" t="s">
        <v>5359</v>
      </c>
      <c r="F466" t="s">
        <v>5397</v>
      </c>
      <c r="G466" t="s">
        <v>5504</v>
      </c>
      <c r="H466" t="s">
        <v>5835</v>
      </c>
      <c r="I466" t="s">
        <v>1357</v>
      </c>
      <c r="J466" t="s">
        <v>1357</v>
      </c>
      <c r="K466" t="s">
        <v>1357</v>
      </c>
      <c r="L466" t="s">
        <v>1357</v>
      </c>
    </row>
    <row r="467" spans="1:12">
      <c r="H467" t="s">
        <v>5836</v>
      </c>
      <c r="I467" t="s">
        <v>1357</v>
      </c>
      <c r="J467" t="s">
        <v>1357</v>
      </c>
      <c r="K467" t="s">
        <v>1357</v>
      </c>
      <c r="L467" t="s">
        <v>1357</v>
      </c>
    </row>
    <row r="468" spans="1:12">
      <c r="H468" t="s">
        <v>5837</v>
      </c>
      <c r="I468" t="s">
        <v>1357</v>
      </c>
      <c r="J468" t="s">
        <v>1357</v>
      </c>
      <c r="K468" t="s">
        <v>1357</v>
      </c>
      <c r="L468" t="s">
        <v>1357</v>
      </c>
    </row>
    <row r="469" spans="1:12">
      <c r="H469" t="s">
        <v>5838</v>
      </c>
      <c r="I469" t="s">
        <v>1357</v>
      </c>
      <c r="J469" t="s">
        <v>1357</v>
      </c>
      <c r="K469" t="s">
        <v>1357</v>
      </c>
      <c r="L469" t="s">
        <v>1357</v>
      </c>
    </row>
    <row r="470" spans="1:12">
      <c r="H470" t="s">
        <v>5839</v>
      </c>
      <c r="I470" t="s">
        <v>1357</v>
      </c>
      <c r="J470" t="s">
        <v>1357</v>
      </c>
      <c r="K470" t="s">
        <v>1357</v>
      </c>
      <c r="L470" t="s">
        <v>1357</v>
      </c>
    </row>
    <row r="471" spans="1:12">
      <c r="H471" t="s">
        <v>5840</v>
      </c>
      <c r="I471" t="s">
        <v>1357</v>
      </c>
      <c r="J471" t="s">
        <v>1357</v>
      </c>
      <c r="K471" t="s">
        <v>1357</v>
      </c>
      <c r="L471" t="s">
        <v>1357</v>
      </c>
    </row>
    <row r="472" spans="1:12">
      <c r="H472" t="s">
        <v>5913</v>
      </c>
      <c r="I472" t="s">
        <v>1357</v>
      </c>
      <c r="J472" t="s">
        <v>1357</v>
      </c>
      <c r="K472" t="s">
        <v>1357</v>
      </c>
      <c r="L472" t="s">
        <v>1357</v>
      </c>
    </row>
    <row r="473" spans="1:12">
      <c r="H473" t="s">
        <v>5914</v>
      </c>
      <c r="I473" t="s">
        <v>1357</v>
      </c>
      <c r="J473" t="s">
        <v>1357</v>
      </c>
      <c r="K473" t="s">
        <v>1357</v>
      </c>
      <c r="L473" t="s">
        <v>1357</v>
      </c>
    </row>
    <row r="474" spans="1:12">
      <c r="H474" t="s">
        <v>5915</v>
      </c>
      <c r="I474" t="s">
        <v>1357</v>
      </c>
      <c r="J474" t="s">
        <v>1357</v>
      </c>
      <c r="K474" t="s">
        <v>1357</v>
      </c>
      <c r="L474" t="s">
        <v>1357</v>
      </c>
    </row>
    <row r="475" spans="1:12">
      <c r="H475" t="s">
        <v>5916</v>
      </c>
      <c r="I475" t="s">
        <v>1357</v>
      </c>
      <c r="J475" t="s">
        <v>1357</v>
      </c>
      <c r="K475" t="s">
        <v>1357</v>
      </c>
      <c r="L475" t="s">
        <v>1357</v>
      </c>
    </row>
    <row r="476" spans="1:12">
      <c r="H476" t="s">
        <v>5917</v>
      </c>
      <c r="I476" t="s">
        <v>1357</v>
      </c>
      <c r="J476" t="s">
        <v>1357</v>
      </c>
      <c r="K476" t="s">
        <v>1357</v>
      </c>
      <c r="L476" t="s">
        <v>1357</v>
      </c>
    </row>
    <row r="477" spans="1:12">
      <c r="H477" t="s">
        <v>5918</v>
      </c>
      <c r="I477" t="s">
        <v>1357</v>
      </c>
      <c r="J477" t="s">
        <v>1357</v>
      </c>
      <c r="K477" t="s">
        <v>1357</v>
      </c>
      <c r="L477" t="s">
        <v>1357</v>
      </c>
    </row>
    <row r="478" spans="1:12">
      <c r="H478" t="s">
        <v>5919</v>
      </c>
      <c r="I478" t="s">
        <v>1357</v>
      </c>
      <c r="J478" t="s">
        <v>1357</v>
      </c>
      <c r="K478" t="s">
        <v>1357</v>
      </c>
      <c r="L478" t="s">
        <v>1357</v>
      </c>
    </row>
    <row r="479" spans="1:12">
      <c r="H479" t="s">
        <v>5920</v>
      </c>
      <c r="I479" t="s">
        <v>1357</v>
      </c>
      <c r="J479" t="s">
        <v>1357</v>
      </c>
      <c r="K479" t="s">
        <v>1357</v>
      </c>
      <c r="L479" t="s">
        <v>1357</v>
      </c>
    </row>
    <row r="480" spans="1:12">
      <c r="H480" t="s">
        <v>5921</v>
      </c>
      <c r="I480" t="s">
        <v>1357</v>
      </c>
      <c r="J480" t="s">
        <v>1357</v>
      </c>
      <c r="K480" t="s">
        <v>1357</v>
      </c>
      <c r="L480" t="s">
        <v>1357</v>
      </c>
    </row>
    <row r="481" spans="1:12">
      <c r="H481" t="s">
        <v>5922</v>
      </c>
      <c r="I481" t="s">
        <v>1357</v>
      </c>
      <c r="J481" t="s">
        <v>1357</v>
      </c>
      <c r="K481" t="s">
        <v>1357</v>
      </c>
      <c r="L481" t="s">
        <v>1357</v>
      </c>
    </row>
    <row r="482" spans="1:12">
      <c r="H482" t="s">
        <v>5923</v>
      </c>
      <c r="I482" t="s">
        <v>1357</v>
      </c>
      <c r="J482" t="s">
        <v>1357</v>
      </c>
      <c r="K482" t="s">
        <v>1357</v>
      </c>
      <c r="L482" t="s">
        <v>1357</v>
      </c>
    </row>
    <row r="483" spans="1:12">
      <c r="H483" t="s">
        <v>5924</v>
      </c>
      <c r="I483" t="s">
        <v>1357</v>
      </c>
      <c r="J483" t="s">
        <v>1357</v>
      </c>
      <c r="K483" t="s">
        <v>1357</v>
      </c>
      <c r="L483" t="s">
        <v>1357</v>
      </c>
    </row>
    <row r="484" spans="1:12">
      <c r="F484" t="s">
        <v>5417</v>
      </c>
      <c r="G484" t="s">
        <v>5524</v>
      </c>
      <c r="H484" t="s">
        <v>5925</v>
      </c>
      <c r="I484" t="s">
        <v>1357</v>
      </c>
      <c r="J484" t="s">
        <v>1357</v>
      </c>
      <c r="K484" t="s">
        <v>1357</v>
      </c>
      <c r="L484" t="s">
        <v>1357</v>
      </c>
    </row>
    <row r="485" spans="1:12">
      <c r="H485" t="s">
        <v>5926</v>
      </c>
      <c r="I485" t="s">
        <v>1357</v>
      </c>
      <c r="J485" t="s">
        <v>1357</v>
      </c>
      <c r="K485" t="s">
        <v>1357</v>
      </c>
      <c r="L485" t="s">
        <v>1357</v>
      </c>
    </row>
    <row r="486" spans="1:12">
      <c r="F486" t="s">
        <v>5418</v>
      </c>
      <c r="G486" t="s">
        <v>5525</v>
      </c>
      <c r="H486" t="s">
        <v>5927</v>
      </c>
      <c r="I486" t="s">
        <v>1357</v>
      </c>
      <c r="J486" t="s">
        <v>1357</v>
      </c>
      <c r="K486" t="s">
        <v>1357</v>
      </c>
      <c r="L486" t="s">
        <v>1357</v>
      </c>
    </row>
    <row r="487" spans="1:12">
      <c r="H487" t="s">
        <v>5928</v>
      </c>
      <c r="I487" t="s">
        <v>1357</v>
      </c>
      <c r="J487" t="s">
        <v>1357</v>
      </c>
      <c r="K487" t="s">
        <v>1357</v>
      </c>
      <c r="L487" t="s">
        <v>1357</v>
      </c>
    </row>
    <row r="488" spans="1:12">
      <c r="H488" t="s">
        <v>5929</v>
      </c>
      <c r="I488" t="s">
        <v>1357</v>
      </c>
      <c r="J488" t="s">
        <v>1357</v>
      </c>
      <c r="K488" t="s">
        <v>1357</v>
      </c>
      <c r="L488" t="s">
        <v>1357</v>
      </c>
    </row>
    <row r="489" spans="1:12">
      <c r="A489" t="s">
        <v>5320</v>
      </c>
      <c r="B489">
        <f>HYPERLINK("https://github.com/JodaOrg/joda-time/commit/77dde7d755f9d79c737b6d5cdf4c547664dd16be", "77dde7d755f9d79c737b6d5cdf4c547664dd16be")</f>
        <v>0</v>
      </c>
      <c r="C489">
        <f>HYPERLINK("https://github.com/JodaOrg/joda-time/commit/028e01cbba9c1c7824f6c5a576a96fcacad81b61", "028e01cbba9c1c7824f6c5a576a96fcacad81b61")</f>
        <v>0</v>
      </c>
      <c r="D489" t="s">
        <v>5328</v>
      </c>
      <c r="E489" t="s">
        <v>5360</v>
      </c>
      <c r="F489" t="s">
        <v>5419</v>
      </c>
      <c r="G489" t="s">
        <v>5495</v>
      </c>
      <c r="H489" t="s">
        <v>906</v>
      </c>
      <c r="I489" t="s">
        <v>1357</v>
      </c>
      <c r="J489" t="s">
        <v>1357</v>
      </c>
      <c r="K489" t="s">
        <v>1357</v>
      </c>
      <c r="L489" t="s">
        <v>1357</v>
      </c>
    </row>
    <row r="490" spans="1:12">
      <c r="F490" t="s">
        <v>5420</v>
      </c>
      <c r="G490" t="s">
        <v>5526</v>
      </c>
      <c r="H490" t="s">
        <v>5930</v>
      </c>
      <c r="I490" t="s">
        <v>1357</v>
      </c>
      <c r="J490" t="s">
        <v>1357</v>
      </c>
      <c r="K490" t="s">
        <v>1357</v>
      </c>
      <c r="L490" t="s">
        <v>1357</v>
      </c>
    </row>
    <row r="491" spans="1:12">
      <c r="H491" t="s">
        <v>5280</v>
      </c>
      <c r="I491" t="s">
        <v>1357</v>
      </c>
      <c r="J491" t="s">
        <v>1357</v>
      </c>
      <c r="K491" t="s">
        <v>1357</v>
      </c>
      <c r="L491" t="s">
        <v>1357</v>
      </c>
    </row>
    <row r="492" spans="1:12">
      <c r="H492" t="s">
        <v>5271</v>
      </c>
      <c r="I492" t="s">
        <v>1357</v>
      </c>
      <c r="J492" t="s">
        <v>1357</v>
      </c>
      <c r="K492" t="s">
        <v>1357</v>
      </c>
      <c r="L492" t="s">
        <v>1357</v>
      </c>
    </row>
    <row r="493" spans="1:12">
      <c r="F493" t="s">
        <v>5421</v>
      </c>
      <c r="G493" t="s">
        <v>5527</v>
      </c>
      <c r="H493" t="s">
        <v>795</v>
      </c>
      <c r="I493" t="s">
        <v>1357</v>
      </c>
      <c r="J493" t="s">
        <v>1357</v>
      </c>
      <c r="K493" t="s">
        <v>1357</v>
      </c>
      <c r="L493" t="s">
        <v>1357</v>
      </c>
    </row>
    <row r="494" spans="1:12">
      <c r="F494" t="s">
        <v>5422</v>
      </c>
      <c r="G494" t="s">
        <v>5519</v>
      </c>
      <c r="H494" t="s">
        <v>5905</v>
      </c>
      <c r="I494" t="s">
        <v>1357</v>
      </c>
      <c r="J494" t="s">
        <v>1357</v>
      </c>
      <c r="K494" t="s">
        <v>1357</v>
      </c>
      <c r="L494" t="s">
        <v>1357</v>
      </c>
    </row>
    <row r="495" spans="1:12">
      <c r="F495" t="s">
        <v>5423</v>
      </c>
      <c r="G495" t="s">
        <v>5510</v>
      </c>
      <c r="H495" t="s">
        <v>5930</v>
      </c>
      <c r="I495" t="s">
        <v>1357</v>
      </c>
      <c r="J495" t="s">
        <v>1357</v>
      </c>
      <c r="K495" t="s">
        <v>1357</v>
      </c>
      <c r="L495" t="s">
        <v>1357</v>
      </c>
    </row>
    <row r="496" spans="1:12">
      <c r="H496" t="s">
        <v>5931</v>
      </c>
      <c r="I496" t="s">
        <v>1357</v>
      </c>
      <c r="J496" t="s">
        <v>1357</v>
      </c>
      <c r="K496" t="s">
        <v>1357</v>
      </c>
      <c r="L496" t="s">
        <v>1357</v>
      </c>
    </row>
    <row r="497" spans="6:12">
      <c r="H497" t="s">
        <v>5932</v>
      </c>
      <c r="I497" t="s">
        <v>1357</v>
      </c>
      <c r="J497" t="s">
        <v>1357</v>
      </c>
      <c r="K497" t="s">
        <v>1357</v>
      </c>
      <c r="L497" t="s">
        <v>1357</v>
      </c>
    </row>
    <row r="498" spans="6:12">
      <c r="H498" t="s">
        <v>5933</v>
      </c>
      <c r="I498" t="s">
        <v>1357</v>
      </c>
      <c r="J498" t="s">
        <v>1357</v>
      </c>
      <c r="K498" t="s">
        <v>1357</v>
      </c>
      <c r="L498" t="s">
        <v>1357</v>
      </c>
    </row>
    <row r="499" spans="6:12">
      <c r="F499" t="s">
        <v>5424</v>
      </c>
      <c r="G499" t="s">
        <v>5522</v>
      </c>
      <c r="H499" t="s">
        <v>5934</v>
      </c>
      <c r="I499" t="s">
        <v>1357</v>
      </c>
      <c r="J499" t="s">
        <v>1357</v>
      </c>
      <c r="K499" t="s">
        <v>1357</v>
      </c>
      <c r="L499" t="s">
        <v>1357</v>
      </c>
    </row>
    <row r="500" spans="6:12">
      <c r="H500" t="s">
        <v>5935</v>
      </c>
      <c r="I500" t="s">
        <v>1357</v>
      </c>
      <c r="J500" t="s">
        <v>1357</v>
      </c>
      <c r="K500" t="s">
        <v>1357</v>
      </c>
      <c r="L500" t="s">
        <v>1357</v>
      </c>
    </row>
    <row r="501" spans="6:12">
      <c r="H501" t="s">
        <v>5936</v>
      </c>
      <c r="I501" t="s">
        <v>1357</v>
      </c>
      <c r="J501" t="s">
        <v>1357</v>
      </c>
      <c r="K501" t="s">
        <v>1357</v>
      </c>
      <c r="L501" t="s">
        <v>1357</v>
      </c>
    </row>
    <row r="502" spans="6:12">
      <c r="H502" t="s">
        <v>5937</v>
      </c>
      <c r="I502" t="s">
        <v>1357</v>
      </c>
      <c r="J502" t="s">
        <v>1357</v>
      </c>
      <c r="K502" t="s">
        <v>1357</v>
      </c>
      <c r="L502" t="s">
        <v>1357</v>
      </c>
    </row>
    <row r="503" spans="6:12">
      <c r="H503" t="s">
        <v>5938</v>
      </c>
      <c r="I503" t="s">
        <v>1357</v>
      </c>
      <c r="J503" t="s">
        <v>1357</v>
      </c>
      <c r="K503" t="s">
        <v>1357</v>
      </c>
      <c r="L503" t="s">
        <v>1357</v>
      </c>
    </row>
    <row r="504" spans="6:12">
      <c r="H504" t="s">
        <v>795</v>
      </c>
      <c r="I504" t="s">
        <v>1357</v>
      </c>
      <c r="J504" t="s">
        <v>1357</v>
      </c>
      <c r="K504" t="s">
        <v>1357</v>
      </c>
      <c r="L504" t="s">
        <v>1357</v>
      </c>
    </row>
    <row r="505" spans="6:12">
      <c r="H505" t="s">
        <v>5280</v>
      </c>
      <c r="I505" t="s">
        <v>1357</v>
      </c>
      <c r="J505" t="s">
        <v>1357</v>
      </c>
      <c r="K505" t="s">
        <v>1357</v>
      </c>
      <c r="L505" t="s">
        <v>1357</v>
      </c>
    </row>
    <row r="506" spans="6:12">
      <c r="H506" t="s">
        <v>5271</v>
      </c>
      <c r="I506" t="s">
        <v>1357</v>
      </c>
      <c r="J506" t="s">
        <v>1357</v>
      </c>
      <c r="K506" t="s">
        <v>1357</v>
      </c>
      <c r="L506" t="s">
        <v>1357</v>
      </c>
    </row>
    <row r="507" spans="6:12">
      <c r="F507" t="s">
        <v>5425</v>
      </c>
      <c r="G507" t="s">
        <v>5496</v>
      </c>
      <c r="H507" t="s">
        <v>906</v>
      </c>
      <c r="I507" t="s">
        <v>1357</v>
      </c>
      <c r="J507" t="s">
        <v>1357</v>
      </c>
      <c r="K507" t="s">
        <v>1357</v>
      </c>
      <c r="L507" t="s">
        <v>1357</v>
      </c>
    </row>
    <row r="508" spans="6:12">
      <c r="F508" t="s">
        <v>5426</v>
      </c>
      <c r="G508" t="s">
        <v>5528</v>
      </c>
      <c r="H508" t="s">
        <v>906</v>
      </c>
      <c r="I508" t="s">
        <v>1357</v>
      </c>
      <c r="J508" t="s">
        <v>1357</v>
      </c>
      <c r="K508" t="s">
        <v>1357</v>
      </c>
      <c r="L508" t="s">
        <v>1357</v>
      </c>
    </row>
    <row r="509" spans="6:12">
      <c r="H509" t="s">
        <v>5939</v>
      </c>
      <c r="I509" t="s">
        <v>1357</v>
      </c>
      <c r="J509" t="s">
        <v>1357</v>
      </c>
      <c r="K509" t="s">
        <v>1357</v>
      </c>
      <c r="L509" t="s">
        <v>1357</v>
      </c>
    </row>
    <row r="510" spans="6:12">
      <c r="H510" t="s">
        <v>5940</v>
      </c>
      <c r="I510" t="s">
        <v>1357</v>
      </c>
      <c r="J510" t="s">
        <v>1357</v>
      </c>
      <c r="K510" t="s">
        <v>1357</v>
      </c>
      <c r="L510" t="s">
        <v>1357</v>
      </c>
    </row>
    <row r="511" spans="6:12">
      <c r="H511" t="s">
        <v>5941</v>
      </c>
      <c r="I511" t="s">
        <v>1357</v>
      </c>
      <c r="J511" t="s">
        <v>1357</v>
      </c>
      <c r="K511" t="s">
        <v>1357</v>
      </c>
      <c r="L511" t="s">
        <v>1357</v>
      </c>
    </row>
    <row r="512" spans="6:12">
      <c r="H512" t="s">
        <v>5942</v>
      </c>
      <c r="I512" t="s">
        <v>1357</v>
      </c>
      <c r="J512" t="s">
        <v>1357</v>
      </c>
      <c r="K512" t="s">
        <v>1357</v>
      </c>
      <c r="L512" t="s">
        <v>1357</v>
      </c>
    </row>
    <row r="513" spans="6:12">
      <c r="F513" t="s">
        <v>5427</v>
      </c>
      <c r="G513" t="s">
        <v>5529</v>
      </c>
      <c r="H513" t="s">
        <v>5905</v>
      </c>
      <c r="I513" t="s">
        <v>1357</v>
      </c>
      <c r="J513" t="s">
        <v>1357</v>
      </c>
      <c r="K513" t="s">
        <v>1357</v>
      </c>
      <c r="L513" t="s">
        <v>1357</v>
      </c>
    </row>
    <row r="514" spans="6:12">
      <c r="F514" t="s">
        <v>5428</v>
      </c>
      <c r="G514" t="s">
        <v>5486</v>
      </c>
      <c r="H514" t="s">
        <v>906</v>
      </c>
      <c r="I514" t="s">
        <v>1357</v>
      </c>
      <c r="J514" t="s">
        <v>1357</v>
      </c>
      <c r="K514" t="s">
        <v>1357</v>
      </c>
      <c r="L514" t="s">
        <v>1357</v>
      </c>
    </row>
    <row r="515" spans="6:12">
      <c r="F515" t="s">
        <v>5429</v>
      </c>
      <c r="G515" t="s">
        <v>5530</v>
      </c>
      <c r="H515" t="s">
        <v>906</v>
      </c>
      <c r="I515" t="s">
        <v>1357</v>
      </c>
      <c r="J515" t="s">
        <v>1357</v>
      </c>
      <c r="K515" t="s">
        <v>1357</v>
      </c>
      <c r="L515" t="s">
        <v>1357</v>
      </c>
    </row>
    <row r="516" spans="6:12">
      <c r="H516" t="s">
        <v>5939</v>
      </c>
      <c r="I516" t="s">
        <v>1357</v>
      </c>
      <c r="J516" t="s">
        <v>1357</v>
      </c>
      <c r="K516" t="s">
        <v>1357</v>
      </c>
      <c r="L516" t="s">
        <v>1357</v>
      </c>
    </row>
    <row r="517" spans="6:12">
      <c r="H517" t="s">
        <v>5943</v>
      </c>
      <c r="I517" t="s">
        <v>1357</v>
      </c>
      <c r="J517" t="s">
        <v>1357</v>
      </c>
      <c r="K517" t="s">
        <v>1357</v>
      </c>
      <c r="L517" t="s">
        <v>1357</v>
      </c>
    </row>
    <row r="518" spans="6:12">
      <c r="H518" t="s">
        <v>5941</v>
      </c>
      <c r="I518" t="s">
        <v>1357</v>
      </c>
      <c r="J518" t="s">
        <v>1357</v>
      </c>
      <c r="K518" t="s">
        <v>1357</v>
      </c>
      <c r="L518" t="s">
        <v>1357</v>
      </c>
    </row>
    <row r="519" spans="6:12">
      <c r="H519" t="s">
        <v>5942</v>
      </c>
      <c r="I519" t="s">
        <v>1357</v>
      </c>
      <c r="J519" t="s">
        <v>1357</v>
      </c>
      <c r="K519" t="s">
        <v>1357</v>
      </c>
      <c r="L519" t="s">
        <v>1357</v>
      </c>
    </row>
    <row r="520" spans="6:12">
      <c r="F520" t="s">
        <v>5430</v>
      </c>
      <c r="G520" t="s">
        <v>5511</v>
      </c>
      <c r="H520" t="s">
        <v>906</v>
      </c>
      <c r="I520" t="s">
        <v>1357</v>
      </c>
      <c r="J520" t="s">
        <v>1357</v>
      </c>
      <c r="K520" t="s">
        <v>1357</v>
      </c>
      <c r="L520" t="s">
        <v>1357</v>
      </c>
    </row>
    <row r="521" spans="6:12">
      <c r="H521" t="s">
        <v>5792</v>
      </c>
      <c r="I521" t="s">
        <v>1357</v>
      </c>
      <c r="J521" t="s">
        <v>1357</v>
      </c>
      <c r="K521" t="s">
        <v>1357</v>
      </c>
      <c r="L521" t="s">
        <v>1357</v>
      </c>
    </row>
    <row r="522" spans="6:12">
      <c r="F522" t="s">
        <v>5431</v>
      </c>
      <c r="G522" t="s">
        <v>5493</v>
      </c>
      <c r="H522" t="s">
        <v>906</v>
      </c>
      <c r="I522" t="s">
        <v>1357</v>
      </c>
      <c r="J522" t="s">
        <v>1357</v>
      </c>
      <c r="K522" t="s">
        <v>1357</v>
      </c>
      <c r="L522" t="s">
        <v>1357</v>
      </c>
    </row>
    <row r="523" spans="6:12">
      <c r="F523" t="s">
        <v>5432</v>
      </c>
      <c r="G523" t="s">
        <v>5531</v>
      </c>
      <c r="H523" t="s">
        <v>906</v>
      </c>
      <c r="I523" t="s">
        <v>1357</v>
      </c>
      <c r="J523" t="s">
        <v>1357</v>
      </c>
      <c r="K523" t="s">
        <v>1357</v>
      </c>
      <c r="L523" t="s">
        <v>1357</v>
      </c>
    </row>
    <row r="524" spans="6:12">
      <c r="F524" t="s">
        <v>5433</v>
      </c>
      <c r="G524" t="s">
        <v>5525</v>
      </c>
      <c r="H524" t="s">
        <v>906</v>
      </c>
      <c r="I524" t="s">
        <v>1357</v>
      </c>
      <c r="J524" t="s">
        <v>1357</v>
      </c>
      <c r="K524" t="s">
        <v>1357</v>
      </c>
      <c r="L524" t="s">
        <v>1357</v>
      </c>
    </row>
    <row r="525" spans="6:12">
      <c r="F525" t="s">
        <v>5434</v>
      </c>
      <c r="G525" t="s">
        <v>5532</v>
      </c>
      <c r="H525" t="s">
        <v>906</v>
      </c>
      <c r="I525" t="s">
        <v>1357</v>
      </c>
      <c r="J525" t="s">
        <v>1357</v>
      </c>
      <c r="K525" t="s">
        <v>1357</v>
      </c>
      <c r="L525" t="s">
        <v>1357</v>
      </c>
    </row>
    <row r="526" spans="6:12">
      <c r="F526" t="s">
        <v>5435</v>
      </c>
      <c r="G526" t="s">
        <v>5533</v>
      </c>
      <c r="H526" t="s">
        <v>906</v>
      </c>
      <c r="I526" t="s">
        <v>1357</v>
      </c>
      <c r="J526" t="s">
        <v>1357</v>
      </c>
      <c r="K526" t="s">
        <v>1357</v>
      </c>
      <c r="L526" t="s">
        <v>1357</v>
      </c>
    </row>
    <row r="527" spans="6:12">
      <c r="H527" t="s">
        <v>5939</v>
      </c>
      <c r="I527" t="s">
        <v>1357</v>
      </c>
      <c r="J527" t="s">
        <v>1357</v>
      </c>
      <c r="K527" t="s">
        <v>1357</v>
      </c>
      <c r="L527" t="s">
        <v>1357</v>
      </c>
    </row>
    <row r="528" spans="6:12">
      <c r="H528" t="s">
        <v>5943</v>
      </c>
      <c r="I528" t="s">
        <v>1357</v>
      </c>
      <c r="J528" t="s">
        <v>1357</v>
      </c>
      <c r="K528" t="s">
        <v>1357</v>
      </c>
      <c r="L528" t="s">
        <v>1357</v>
      </c>
    </row>
    <row r="529" spans="6:12">
      <c r="H529" t="s">
        <v>5940</v>
      </c>
      <c r="I529" t="s">
        <v>1357</v>
      </c>
      <c r="J529" t="s">
        <v>1357</v>
      </c>
      <c r="K529" t="s">
        <v>1357</v>
      </c>
      <c r="L529" t="s">
        <v>1357</v>
      </c>
    </row>
    <row r="530" spans="6:12">
      <c r="H530" t="s">
        <v>5942</v>
      </c>
      <c r="I530" t="s">
        <v>1357</v>
      </c>
      <c r="J530" t="s">
        <v>1357</v>
      </c>
      <c r="K530" t="s">
        <v>1357</v>
      </c>
      <c r="L530" t="s">
        <v>1357</v>
      </c>
    </row>
    <row r="531" spans="6:12">
      <c r="F531" t="s">
        <v>5436</v>
      </c>
      <c r="G531" t="s">
        <v>5534</v>
      </c>
      <c r="H531" t="s">
        <v>906</v>
      </c>
      <c r="I531" t="s">
        <v>1357</v>
      </c>
      <c r="J531" t="s">
        <v>1357</v>
      </c>
      <c r="K531" t="s">
        <v>1357</v>
      </c>
      <c r="L531" t="s">
        <v>1357</v>
      </c>
    </row>
    <row r="532" spans="6:12">
      <c r="F532" t="s">
        <v>5437</v>
      </c>
      <c r="G532" t="s">
        <v>5500</v>
      </c>
      <c r="H532" t="s">
        <v>906</v>
      </c>
      <c r="I532" t="s">
        <v>1357</v>
      </c>
      <c r="J532" t="s">
        <v>1357</v>
      </c>
      <c r="K532" t="s">
        <v>1357</v>
      </c>
      <c r="L532" t="s">
        <v>1357</v>
      </c>
    </row>
    <row r="533" spans="6:12">
      <c r="F533" t="s">
        <v>5438</v>
      </c>
      <c r="G533" t="s">
        <v>5494</v>
      </c>
      <c r="H533" t="s">
        <v>906</v>
      </c>
      <c r="I533" t="s">
        <v>1357</v>
      </c>
      <c r="J533" t="s">
        <v>1357</v>
      </c>
      <c r="K533" t="s">
        <v>1357</v>
      </c>
      <c r="L533" t="s">
        <v>1357</v>
      </c>
    </row>
    <row r="534" spans="6:12">
      <c r="F534" t="s">
        <v>5439</v>
      </c>
      <c r="G534" t="s">
        <v>5506</v>
      </c>
      <c r="H534" t="s">
        <v>906</v>
      </c>
      <c r="I534" t="s">
        <v>1357</v>
      </c>
      <c r="J534" t="s">
        <v>1357</v>
      </c>
      <c r="K534" t="s">
        <v>1357</v>
      </c>
      <c r="L534" t="s">
        <v>1357</v>
      </c>
    </row>
    <row r="535" spans="6:12">
      <c r="F535" t="s">
        <v>5440</v>
      </c>
      <c r="G535" t="s">
        <v>5535</v>
      </c>
      <c r="H535" t="s">
        <v>906</v>
      </c>
      <c r="I535" t="s">
        <v>1357</v>
      </c>
      <c r="J535" t="s">
        <v>1357</v>
      </c>
      <c r="K535" t="s">
        <v>1357</v>
      </c>
      <c r="L535" t="s">
        <v>1357</v>
      </c>
    </row>
    <row r="536" spans="6:12">
      <c r="F536" t="s">
        <v>5441</v>
      </c>
      <c r="G536" t="s">
        <v>5497</v>
      </c>
      <c r="H536" t="s">
        <v>906</v>
      </c>
      <c r="I536" t="s">
        <v>1357</v>
      </c>
      <c r="J536" t="s">
        <v>1357</v>
      </c>
      <c r="K536" t="s">
        <v>1357</v>
      </c>
      <c r="L536" t="s">
        <v>1357</v>
      </c>
    </row>
    <row r="537" spans="6:12">
      <c r="H537" t="s">
        <v>5939</v>
      </c>
      <c r="I537" t="s">
        <v>1357</v>
      </c>
      <c r="J537" t="s">
        <v>1357</v>
      </c>
      <c r="K537" t="s">
        <v>1357</v>
      </c>
      <c r="L537" t="s">
        <v>1357</v>
      </c>
    </row>
    <row r="538" spans="6:12">
      <c r="H538" t="s">
        <v>5943</v>
      </c>
      <c r="I538" t="s">
        <v>1357</v>
      </c>
      <c r="J538" t="s">
        <v>1357</v>
      </c>
      <c r="K538" t="s">
        <v>1357</v>
      </c>
      <c r="L538" t="s">
        <v>1357</v>
      </c>
    </row>
    <row r="539" spans="6:12">
      <c r="H539" t="s">
        <v>5940</v>
      </c>
      <c r="I539" t="s">
        <v>1357</v>
      </c>
      <c r="J539" t="s">
        <v>1357</v>
      </c>
      <c r="K539" t="s">
        <v>1357</v>
      </c>
      <c r="L539" t="s">
        <v>1357</v>
      </c>
    </row>
    <row r="540" spans="6:12">
      <c r="H540" t="s">
        <v>5941</v>
      </c>
      <c r="I540" t="s">
        <v>1357</v>
      </c>
      <c r="J540" t="s">
        <v>1357</v>
      </c>
      <c r="K540" t="s">
        <v>1357</v>
      </c>
      <c r="L540" t="s">
        <v>1357</v>
      </c>
    </row>
    <row r="541" spans="6:12">
      <c r="H541" t="s">
        <v>5942</v>
      </c>
      <c r="I541" t="s">
        <v>1357</v>
      </c>
      <c r="J541" t="s">
        <v>1357</v>
      </c>
      <c r="K541" t="s">
        <v>1357</v>
      </c>
      <c r="L541" t="s">
        <v>1357</v>
      </c>
    </row>
    <row r="542" spans="6:12">
      <c r="F542" t="s">
        <v>5442</v>
      </c>
      <c r="G542" t="s">
        <v>5536</v>
      </c>
      <c r="H542" t="s">
        <v>906</v>
      </c>
      <c r="I542" t="s">
        <v>1357</v>
      </c>
      <c r="J542" t="s">
        <v>1357</v>
      </c>
      <c r="K542" t="s">
        <v>1357</v>
      </c>
      <c r="L542" t="s">
        <v>1357</v>
      </c>
    </row>
    <row r="543" spans="6:12">
      <c r="H543" t="s">
        <v>5939</v>
      </c>
      <c r="I543" t="s">
        <v>1357</v>
      </c>
      <c r="J543" t="s">
        <v>1357</v>
      </c>
      <c r="K543" t="s">
        <v>1357</v>
      </c>
      <c r="L543" t="s">
        <v>1357</v>
      </c>
    </row>
    <row r="544" spans="6:12">
      <c r="H544" t="s">
        <v>5943</v>
      </c>
      <c r="I544" t="s">
        <v>1357</v>
      </c>
      <c r="J544" t="s">
        <v>1357</v>
      </c>
      <c r="K544" t="s">
        <v>1357</v>
      </c>
      <c r="L544" t="s">
        <v>1357</v>
      </c>
    </row>
    <row r="545" spans="6:12">
      <c r="H545" t="s">
        <v>5940</v>
      </c>
      <c r="I545" t="s">
        <v>1357</v>
      </c>
      <c r="J545" t="s">
        <v>1357</v>
      </c>
      <c r="K545" t="s">
        <v>1357</v>
      </c>
      <c r="L545" t="s">
        <v>1357</v>
      </c>
    </row>
    <row r="546" spans="6:12">
      <c r="H546" t="s">
        <v>5941</v>
      </c>
      <c r="I546" t="s">
        <v>1357</v>
      </c>
      <c r="J546" t="s">
        <v>1357</v>
      </c>
      <c r="K546" t="s">
        <v>1357</v>
      </c>
      <c r="L546" t="s">
        <v>1357</v>
      </c>
    </row>
    <row r="547" spans="6:12">
      <c r="H547" t="s">
        <v>5942</v>
      </c>
      <c r="I547" t="s">
        <v>1357</v>
      </c>
      <c r="J547" t="s">
        <v>1357</v>
      </c>
      <c r="K547" t="s">
        <v>1357</v>
      </c>
      <c r="L547" t="s">
        <v>1357</v>
      </c>
    </row>
    <row r="548" spans="6:12">
      <c r="F548" t="s">
        <v>5443</v>
      </c>
      <c r="G548" t="s">
        <v>5537</v>
      </c>
      <c r="H548" t="s">
        <v>5894</v>
      </c>
      <c r="I548" t="s">
        <v>1357</v>
      </c>
      <c r="J548" t="s">
        <v>1357</v>
      </c>
      <c r="K548" t="s">
        <v>1357</v>
      </c>
      <c r="L548" t="s">
        <v>1357</v>
      </c>
    </row>
    <row r="549" spans="6:12">
      <c r="H549" t="s">
        <v>5944</v>
      </c>
      <c r="I549" t="s">
        <v>1357</v>
      </c>
      <c r="J549" t="s">
        <v>1357</v>
      </c>
      <c r="K549" t="s">
        <v>1357</v>
      </c>
      <c r="L549" t="s">
        <v>1357</v>
      </c>
    </row>
    <row r="550" spans="6:12">
      <c r="H550" t="s">
        <v>5945</v>
      </c>
      <c r="I550" t="s">
        <v>1357</v>
      </c>
      <c r="J550" t="s">
        <v>1357</v>
      </c>
      <c r="K550" t="s">
        <v>1357</v>
      </c>
      <c r="L550" t="s">
        <v>1357</v>
      </c>
    </row>
    <row r="551" spans="6:12">
      <c r="H551" t="s">
        <v>5946</v>
      </c>
      <c r="I551" t="s">
        <v>1357</v>
      </c>
      <c r="J551" t="s">
        <v>1357</v>
      </c>
      <c r="K551" t="s">
        <v>1357</v>
      </c>
      <c r="L551" t="s">
        <v>1357</v>
      </c>
    </row>
    <row r="552" spans="6:12">
      <c r="H552" t="s">
        <v>5947</v>
      </c>
      <c r="I552" t="s">
        <v>1357</v>
      </c>
      <c r="J552" t="s">
        <v>1357</v>
      </c>
      <c r="K552" t="s">
        <v>1357</v>
      </c>
      <c r="L552" t="s">
        <v>1357</v>
      </c>
    </row>
    <row r="553" spans="6:12">
      <c r="H553" t="s">
        <v>5948</v>
      </c>
      <c r="I553" t="s">
        <v>1357</v>
      </c>
      <c r="J553" t="s">
        <v>1357</v>
      </c>
      <c r="K553" t="s">
        <v>1357</v>
      </c>
      <c r="L553" t="s">
        <v>1357</v>
      </c>
    </row>
    <row r="554" spans="6:12">
      <c r="H554" t="s">
        <v>5949</v>
      </c>
      <c r="I554" t="s">
        <v>1357</v>
      </c>
      <c r="J554" t="s">
        <v>1357</v>
      </c>
      <c r="K554" t="s">
        <v>1357</v>
      </c>
      <c r="L554" t="s">
        <v>1357</v>
      </c>
    </row>
    <row r="555" spans="6:12">
      <c r="H555" t="s">
        <v>5950</v>
      </c>
      <c r="I555" t="s">
        <v>1357</v>
      </c>
      <c r="J555" t="s">
        <v>1357</v>
      </c>
      <c r="K555" t="s">
        <v>1357</v>
      </c>
      <c r="L555" t="s">
        <v>1357</v>
      </c>
    </row>
    <row r="556" spans="6:12">
      <c r="H556" t="s">
        <v>5951</v>
      </c>
      <c r="I556" t="s">
        <v>1357</v>
      </c>
      <c r="J556" t="s">
        <v>1357</v>
      </c>
      <c r="K556" t="s">
        <v>1357</v>
      </c>
      <c r="L556" t="s">
        <v>1357</v>
      </c>
    </row>
    <row r="557" spans="6:12">
      <c r="H557" t="s">
        <v>5952</v>
      </c>
      <c r="I557" t="s">
        <v>1357</v>
      </c>
      <c r="J557" t="s">
        <v>1357</v>
      </c>
      <c r="K557" t="s">
        <v>1357</v>
      </c>
      <c r="L557" t="s">
        <v>1357</v>
      </c>
    </row>
    <row r="558" spans="6:12">
      <c r="H558" t="s">
        <v>5953</v>
      </c>
      <c r="I558" t="s">
        <v>1357</v>
      </c>
      <c r="J558" t="s">
        <v>1357</v>
      </c>
      <c r="K558" t="s">
        <v>1357</v>
      </c>
      <c r="L558" t="s">
        <v>1357</v>
      </c>
    </row>
    <row r="559" spans="6:12">
      <c r="H559" t="s">
        <v>5954</v>
      </c>
      <c r="I559" t="s">
        <v>1357</v>
      </c>
      <c r="J559" t="s">
        <v>1357</v>
      </c>
      <c r="K559" t="s">
        <v>1357</v>
      </c>
      <c r="L559" t="s">
        <v>1357</v>
      </c>
    </row>
    <row r="560" spans="6:12">
      <c r="H560" t="s">
        <v>5955</v>
      </c>
      <c r="I560" t="s">
        <v>1357</v>
      </c>
      <c r="J560" t="s">
        <v>1357</v>
      </c>
      <c r="K560" t="s">
        <v>1357</v>
      </c>
      <c r="L560" t="s">
        <v>1357</v>
      </c>
    </row>
    <row r="561" spans="6:12">
      <c r="H561" t="s">
        <v>5956</v>
      </c>
      <c r="I561" t="s">
        <v>1357</v>
      </c>
      <c r="J561" t="s">
        <v>1357</v>
      </c>
      <c r="K561" t="s">
        <v>1357</v>
      </c>
      <c r="L561" t="s">
        <v>1357</v>
      </c>
    </row>
    <row r="562" spans="6:12">
      <c r="H562" t="s">
        <v>5957</v>
      </c>
      <c r="I562" t="s">
        <v>1357</v>
      </c>
      <c r="J562" t="s">
        <v>1357</v>
      </c>
      <c r="K562" t="s">
        <v>1357</v>
      </c>
      <c r="L562" t="s">
        <v>1357</v>
      </c>
    </row>
    <row r="563" spans="6:12">
      <c r="H563" t="s">
        <v>5958</v>
      </c>
      <c r="I563" t="s">
        <v>1357</v>
      </c>
      <c r="J563" t="s">
        <v>1357</v>
      </c>
      <c r="K563" t="s">
        <v>1357</v>
      </c>
      <c r="L563" t="s">
        <v>1357</v>
      </c>
    </row>
    <row r="564" spans="6:12">
      <c r="H564" t="s">
        <v>5959</v>
      </c>
      <c r="I564" t="s">
        <v>1357</v>
      </c>
      <c r="J564" t="s">
        <v>1357</v>
      </c>
      <c r="K564" t="s">
        <v>1357</v>
      </c>
      <c r="L564" t="s">
        <v>1357</v>
      </c>
    </row>
    <row r="565" spans="6:12">
      <c r="H565" t="s">
        <v>5960</v>
      </c>
      <c r="I565" t="s">
        <v>1357</v>
      </c>
      <c r="J565" t="s">
        <v>1357</v>
      </c>
      <c r="K565" t="s">
        <v>1357</v>
      </c>
      <c r="L565" t="s">
        <v>1357</v>
      </c>
    </row>
    <row r="566" spans="6:12">
      <c r="H566" t="s">
        <v>5961</v>
      </c>
      <c r="I566" t="s">
        <v>1357</v>
      </c>
      <c r="J566" t="s">
        <v>1357</v>
      </c>
      <c r="K566" t="s">
        <v>1357</v>
      </c>
      <c r="L566" t="s">
        <v>1357</v>
      </c>
    </row>
    <row r="567" spans="6:12">
      <c r="H567" t="s">
        <v>5962</v>
      </c>
      <c r="I567" t="s">
        <v>1357</v>
      </c>
      <c r="J567" t="s">
        <v>1357</v>
      </c>
      <c r="K567" t="s">
        <v>1357</v>
      </c>
      <c r="L567" t="s">
        <v>1357</v>
      </c>
    </row>
    <row r="568" spans="6:12">
      <c r="H568" t="s">
        <v>5963</v>
      </c>
      <c r="I568" t="s">
        <v>1357</v>
      </c>
      <c r="J568" t="s">
        <v>1357</v>
      </c>
      <c r="K568" t="s">
        <v>1357</v>
      </c>
      <c r="L568" t="s">
        <v>1357</v>
      </c>
    </row>
    <row r="569" spans="6:12">
      <c r="H569" t="s">
        <v>5964</v>
      </c>
      <c r="I569" t="s">
        <v>1357</v>
      </c>
      <c r="J569" t="s">
        <v>1357</v>
      </c>
      <c r="K569" t="s">
        <v>1357</v>
      </c>
      <c r="L569" t="s">
        <v>1357</v>
      </c>
    </row>
    <row r="570" spans="6:12">
      <c r="F570" t="s">
        <v>5444</v>
      </c>
      <c r="G570" t="s">
        <v>5538</v>
      </c>
      <c r="H570" t="s">
        <v>906</v>
      </c>
      <c r="I570" t="s">
        <v>1357</v>
      </c>
      <c r="J570" t="s">
        <v>1357</v>
      </c>
      <c r="K570" t="s">
        <v>1357</v>
      </c>
      <c r="L570" t="s">
        <v>1357</v>
      </c>
    </row>
    <row r="571" spans="6:12">
      <c r="F571" t="s">
        <v>5445</v>
      </c>
      <c r="G571" t="s">
        <v>5539</v>
      </c>
      <c r="H571" t="s">
        <v>906</v>
      </c>
      <c r="I571" t="s">
        <v>1357</v>
      </c>
      <c r="J571" t="s">
        <v>1357</v>
      </c>
      <c r="K571" t="s">
        <v>1357</v>
      </c>
      <c r="L571" t="s">
        <v>1357</v>
      </c>
    </row>
    <row r="572" spans="6:12">
      <c r="H572" t="s">
        <v>5943</v>
      </c>
      <c r="I572" t="s">
        <v>1357</v>
      </c>
      <c r="J572" t="s">
        <v>1357</v>
      </c>
      <c r="K572" t="s">
        <v>1357</v>
      </c>
      <c r="L572" t="s">
        <v>1357</v>
      </c>
    </row>
    <row r="573" spans="6:12">
      <c r="H573" t="s">
        <v>5940</v>
      </c>
      <c r="I573" t="s">
        <v>1357</v>
      </c>
      <c r="J573" t="s">
        <v>1357</v>
      </c>
      <c r="K573" t="s">
        <v>1357</v>
      </c>
      <c r="L573" t="s">
        <v>1357</v>
      </c>
    </row>
    <row r="574" spans="6:12">
      <c r="H574" t="s">
        <v>5941</v>
      </c>
      <c r="I574" t="s">
        <v>1357</v>
      </c>
      <c r="J574" t="s">
        <v>1357</v>
      </c>
      <c r="K574" t="s">
        <v>1357</v>
      </c>
      <c r="L574" t="s">
        <v>1357</v>
      </c>
    </row>
    <row r="575" spans="6:12">
      <c r="H575" t="s">
        <v>5942</v>
      </c>
      <c r="I575" t="s">
        <v>1357</v>
      </c>
      <c r="J575" t="s">
        <v>1357</v>
      </c>
      <c r="K575" t="s">
        <v>1357</v>
      </c>
      <c r="L575" t="s">
        <v>1357</v>
      </c>
    </row>
    <row r="576" spans="6:12">
      <c r="F576" t="s">
        <v>5446</v>
      </c>
      <c r="G576" t="s">
        <v>5540</v>
      </c>
      <c r="H576" t="s">
        <v>906</v>
      </c>
      <c r="I576" t="s">
        <v>1357</v>
      </c>
      <c r="J576" t="s">
        <v>1357</v>
      </c>
      <c r="K576" t="s">
        <v>1357</v>
      </c>
      <c r="L576" t="s">
        <v>1357</v>
      </c>
    </row>
    <row r="577" spans="6:12">
      <c r="F577" t="s">
        <v>5447</v>
      </c>
      <c r="G577" t="s">
        <v>5541</v>
      </c>
      <c r="H577" t="s">
        <v>906</v>
      </c>
      <c r="I577" t="s">
        <v>1357</v>
      </c>
      <c r="J577" t="s">
        <v>1357</v>
      </c>
      <c r="K577" t="s">
        <v>1357</v>
      </c>
      <c r="L577" t="s">
        <v>1357</v>
      </c>
    </row>
    <row r="578" spans="6:12">
      <c r="F578" t="s">
        <v>5448</v>
      </c>
      <c r="G578" t="s">
        <v>5516</v>
      </c>
      <c r="H578" t="s">
        <v>5965</v>
      </c>
      <c r="I578" t="s">
        <v>1357</v>
      </c>
      <c r="J578" t="s">
        <v>1357</v>
      </c>
      <c r="K578" t="s">
        <v>1357</v>
      </c>
      <c r="L578" t="s">
        <v>1357</v>
      </c>
    </row>
    <row r="579" spans="6:12">
      <c r="F579" t="s">
        <v>5449</v>
      </c>
      <c r="G579" t="s">
        <v>5542</v>
      </c>
      <c r="H579" t="s">
        <v>5965</v>
      </c>
      <c r="I579" t="s">
        <v>1357</v>
      </c>
      <c r="J579" t="s">
        <v>1357</v>
      </c>
      <c r="K579" t="s">
        <v>1357</v>
      </c>
      <c r="L579" t="s">
        <v>1357</v>
      </c>
    </row>
    <row r="580" spans="6:12">
      <c r="H580" t="s">
        <v>5966</v>
      </c>
      <c r="I580" t="s">
        <v>1357</v>
      </c>
      <c r="J580" t="s">
        <v>1357</v>
      </c>
      <c r="K580" t="s">
        <v>1357</v>
      </c>
      <c r="L580" t="s">
        <v>1357</v>
      </c>
    </row>
    <row r="581" spans="6:12">
      <c r="H581" t="s">
        <v>5967</v>
      </c>
      <c r="I581" t="s">
        <v>1357</v>
      </c>
      <c r="J581" t="s">
        <v>1357</v>
      </c>
      <c r="K581" t="s">
        <v>1357</v>
      </c>
      <c r="L581" t="s">
        <v>1357</v>
      </c>
    </row>
    <row r="582" spans="6:12">
      <c r="H582" t="s">
        <v>5968</v>
      </c>
      <c r="I582" t="s">
        <v>1357</v>
      </c>
      <c r="J582" t="s">
        <v>1357</v>
      </c>
      <c r="K582" t="s">
        <v>1357</v>
      </c>
      <c r="L582" t="s">
        <v>1357</v>
      </c>
    </row>
    <row r="583" spans="6:12">
      <c r="H583" t="s">
        <v>5969</v>
      </c>
      <c r="I583" t="s">
        <v>1357</v>
      </c>
      <c r="J583" t="s">
        <v>1357</v>
      </c>
      <c r="K583" t="s">
        <v>1357</v>
      </c>
      <c r="L583" t="s">
        <v>1357</v>
      </c>
    </row>
    <row r="584" spans="6:12">
      <c r="H584" t="s">
        <v>5970</v>
      </c>
      <c r="I584" t="s">
        <v>1357</v>
      </c>
      <c r="J584" t="s">
        <v>1357</v>
      </c>
      <c r="K584" t="s">
        <v>1357</v>
      </c>
      <c r="L584" t="s">
        <v>1357</v>
      </c>
    </row>
    <row r="585" spans="6:12">
      <c r="H585" t="s">
        <v>5971</v>
      </c>
      <c r="I585" t="s">
        <v>1357</v>
      </c>
      <c r="J585" t="s">
        <v>1357</v>
      </c>
      <c r="K585" t="s">
        <v>1357</v>
      </c>
      <c r="L585" t="s">
        <v>1357</v>
      </c>
    </row>
    <row r="586" spans="6:12">
      <c r="H586" t="s">
        <v>5972</v>
      </c>
      <c r="I586" t="s">
        <v>1357</v>
      </c>
      <c r="J586" t="s">
        <v>1357</v>
      </c>
      <c r="K586" t="s">
        <v>1357</v>
      </c>
      <c r="L586" t="s">
        <v>1357</v>
      </c>
    </row>
    <row r="587" spans="6:12">
      <c r="H587" t="s">
        <v>5973</v>
      </c>
      <c r="I587" t="s">
        <v>1357</v>
      </c>
      <c r="J587" t="s">
        <v>1357</v>
      </c>
      <c r="K587" t="s">
        <v>1357</v>
      </c>
      <c r="L587" t="s">
        <v>1357</v>
      </c>
    </row>
    <row r="588" spans="6:12">
      <c r="H588" t="s">
        <v>5974</v>
      </c>
      <c r="I588" t="s">
        <v>1357</v>
      </c>
      <c r="J588" t="s">
        <v>1357</v>
      </c>
      <c r="K588" t="s">
        <v>1357</v>
      </c>
      <c r="L588" t="s">
        <v>1357</v>
      </c>
    </row>
    <row r="589" spans="6:12">
      <c r="H589" t="s">
        <v>5975</v>
      </c>
      <c r="I589" t="s">
        <v>1357</v>
      </c>
      <c r="J589" t="s">
        <v>1357</v>
      </c>
      <c r="K589" t="s">
        <v>1357</v>
      </c>
      <c r="L589" t="s">
        <v>1357</v>
      </c>
    </row>
    <row r="590" spans="6:12">
      <c r="F590" t="s">
        <v>5450</v>
      </c>
      <c r="G590" t="s">
        <v>5543</v>
      </c>
      <c r="H590" t="s">
        <v>5930</v>
      </c>
      <c r="I590" t="s">
        <v>1357</v>
      </c>
      <c r="J590" t="s">
        <v>1357</v>
      </c>
      <c r="K590" t="s">
        <v>1357</v>
      </c>
      <c r="L590" t="s">
        <v>1357</v>
      </c>
    </row>
    <row r="591" spans="6:12">
      <c r="F591" t="s">
        <v>5451</v>
      </c>
      <c r="G591" t="s">
        <v>5517</v>
      </c>
      <c r="H591" t="s">
        <v>5965</v>
      </c>
      <c r="I591" t="s">
        <v>1357</v>
      </c>
      <c r="J591" t="s">
        <v>1357</v>
      </c>
      <c r="K591" t="s">
        <v>1357</v>
      </c>
      <c r="L591" t="s">
        <v>1357</v>
      </c>
    </row>
    <row r="592" spans="6:12">
      <c r="F592" t="s">
        <v>5452</v>
      </c>
      <c r="G592" t="s">
        <v>5487</v>
      </c>
      <c r="H592" t="s">
        <v>5965</v>
      </c>
      <c r="I592" t="s">
        <v>1357</v>
      </c>
      <c r="J592" t="s">
        <v>1357</v>
      </c>
      <c r="K592" t="s">
        <v>1357</v>
      </c>
      <c r="L592" t="s">
        <v>1357</v>
      </c>
    </row>
    <row r="593" spans="6:12">
      <c r="F593" t="s">
        <v>5453</v>
      </c>
      <c r="G593" t="s">
        <v>5488</v>
      </c>
      <c r="H593" t="s">
        <v>5965</v>
      </c>
      <c r="I593" t="s">
        <v>1357</v>
      </c>
      <c r="J593" t="s">
        <v>1357</v>
      </c>
      <c r="K593" t="s">
        <v>1357</v>
      </c>
      <c r="L593" t="s">
        <v>1357</v>
      </c>
    </row>
    <row r="594" spans="6:12">
      <c r="F594" t="s">
        <v>5454</v>
      </c>
      <c r="G594" t="s">
        <v>5489</v>
      </c>
      <c r="H594" t="s">
        <v>5965</v>
      </c>
      <c r="I594" t="s">
        <v>1357</v>
      </c>
      <c r="J594" t="s">
        <v>1357</v>
      </c>
      <c r="K594" t="s">
        <v>1357</v>
      </c>
      <c r="L594" t="s">
        <v>1357</v>
      </c>
    </row>
    <row r="595" spans="6:12">
      <c r="F595" t="s">
        <v>5455</v>
      </c>
      <c r="G595" t="s">
        <v>5518</v>
      </c>
      <c r="H595" t="s">
        <v>5965</v>
      </c>
      <c r="I595" t="s">
        <v>1357</v>
      </c>
      <c r="J595" t="s">
        <v>1357</v>
      </c>
      <c r="K595" t="s">
        <v>1357</v>
      </c>
      <c r="L595" t="s">
        <v>1357</v>
      </c>
    </row>
    <row r="596" spans="6:12">
      <c r="F596" t="s">
        <v>5456</v>
      </c>
      <c r="G596" t="s">
        <v>5490</v>
      </c>
      <c r="H596" t="s">
        <v>5965</v>
      </c>
      <c r="I596" t="s">
        <v>1357</v>
      </c>
      <c r="J596" t="s">
        <v>1357</v>
      </c>
      <c r="K596" t="s">
        <v>1357</v>
      </c>
      <c r="L596" t="s">
        <v>1357</v>
      </c>
    </row>
    <row r="597" spans="6:12">
      <c r="F597" t="s">
        <v>5457</v>
      </c>
      <c r="G597" t="s">
        <v>5544</v>
      </c>
      <c r="H597" t="s">
        <v>5965</v>
      </c>
      <c r="I597" t="s">
        <v>1357</v>
      </c>
      <c r="J597" t="s">
        <v>1357</v>
      </c>
      <c r="K597" t="s">
        <v>1357</v>
      </c>
      <c r="L597" t="s">
        <v>1357</v>
      </c>
    </row>
    <row r="598" spans="6:12">
      <c r="F598" t="s">
        <v>5458</v>
      </c>
      <c r="G598" t="s">
        <v>5509</v>
      </c>
      <c r="H598" t="s">
        <v>5965</v>
      </c>
      <c r="I598" t="s">
        <v>1357</v>
      </c>
      <c r="J598" t="s">
        <v>1357</v>
      </c>
      <c r="K598" t="s">
        <v>1357</v>
      </c>
      <c r="L598" t="s">
        <v>1357</v>
      </c>
    </row>
    <row r="599" spans="6:12">
      <c r="F599" t="s">
        <v>5459</v>
      </c>
      <c r="G599" t="s">
        <v>5491</v>
      </c>
      <c r="H599" t="s">
        <v>5965</v>
      </c>
      <c r="I599" t="s">
        <v>1357</v>
      </c>
      <c r="J599" t="s">
        <v>1357</v>
      </c>
      <c r="K599" t="s">
        <v>1357</v>
      </c>
      <c r="L599" t="s">
        <v>1357</v>
      </c>
    </row>
    <row r="600" spans="6:12">
      <c r="F600" t="s">
        <v>5460</v>
      </c>
      <c r="G600" t="s">
        <v>5545</v>
      </c>
      <c r="H600" t="s">
        <v>906</v>
      </c>
      <c r="I600" t="s">
        <v>1357</v>
      </c>
      <c r="J600" t="s">
        <v>1357</v>
      </c>
      <c r="K600" t="s">
        <v>1357</v>
      </c>
      <c r="L600" t="s">
        <v>1357</v>
      </c>
    </row>
    <row r="601" spans="6:12">
      <c r="F601" t="s">
        <v>5461</v>
      </c>
      <c r="G601" t="s">
        <v>5546</v>
      </c>
      <c r="H601" t="s">
        <v>906</v>
      </c>
      <c r="I601" t="s">
        <v>1357</v>
      </c>
      <c r="J601" t="s">
        <v>1357</v>
      </c>
      <c r="K601" t="s">
        <v>1357</v>
      </c>
      <c r="L601" t="s">
        <v>1357</v>
      </c>
    </row>
    <row r="602" spans="6:12">
      <c r="F602" t="s">
        <v>5462</v>
      </c>
      <c r="G602" t="s">
        <v>5547</v>
      </c>
      <c r="H602" t="s">
        <v>906</v>
      </c>
      <c r="I602" t="s">
        <v>1357</v>
      </c>
      <c r="J602" t="s">
        <v>1357</v>
      </c>
      <c r="K602" t="s">
        <v>1357</v>
      </c>
      <c r="L602" t="s">
        <v>1357</v>
      </c>
    </row>
    <row r="603" spans="6:12">
      <c r="F603" t="s">
        <v>5463</v>
      </c>
      <c r="G603" t="s">
        <v>5548</v>
      </c>
      <c r="H603" t="s">
        <v>5976</v>
      </c>
      <c r="I603" t="s">
        <v>1357</v>
      </c>
      <c r="J603" t="s">
        <v>1357</v>
      </c>
      <c r="K603" t="s">
        <v>1357</v>
      </c>
      <c r="L603" t="s">
        <v>1357</v>
      </c>
    </row>
    <row r="604" spans="6:12">
      <c r="H604" t="s">
        <v>5977</v>
      </c>
      <c r="I604" t="s">
        <v>1357</v>
      </c>
      <c r="J604" t="s">
        <v>1357</v>
      </c>
      <c r="K604" t="s">
        <v>1357</v>
      </c>
      <c r="L604" t="s">
        <v>1357</v>
      </c>
    </row>
    <row r="605" spans="6:12">
      <c r="H605" t="s">
        <v>5978</v>
      </c>
      <c r="I605" t="s">
        <v>1357</v>
      </c>
      <c r="J605" t="s">
        <v>1357</v>
      </c>
      <c r="K605" t="s">
        <v>1357</v>
      </c>
      <c r="L605" t="s">
        <v>1357</v>
      </c>
    </row>
    <row r="606" spans="6:12">
      <c r="H606" t="s">
        <v>5979</v>
      </c>
      <c r="I606" t="s">
        <v>1357</v>
      </c>
      <c r="J606" t="s">
        <v>1357</v>
      </c>
      <c r="K606" t="s">
        <v>1357</v>
      </c>
      <c r="L606" t="s">
        <v>1357</v>
      </c>
    </row>
    <row r="607" spans="6:12">
      <c r="H607" t="s">
        <v>5980</v>
      </c>
      <c r="I607" t="s">
        <v>1357</v>
      </c>
      <c r="J607" t="s">
        <v>1357</v>
      </c>
      <c r="K607" t="s">
        <v>1357</v>
      </c>
      <c r="L607" t="s">
        <v>1357</v>
      </c>
    </row>
    <row r="608" spans="6:12">
      <c r="H608" t="s">
        <v>5981</v>
      </c>
      <c r="I608" t="s">
        <v>1357</v>
      </c>
      <c r="J608" t="s">
        <v>1357</v>
      </c>
      <c r="K608" t="s">
        <v>1357</v>
      </c>
      <c r="L608" t="s">
        <v>1357</v>
      </c>
    </row>
    <row r="609" spans="6:12">
      <c r="H609" t="s">
        <v>5982</v>
      </c>
      <c r="I609" t="s">
        <v>1357</v>
      </c>
      <c r="J609" t="s">
        <v>1357</v>
      </c>
      <c r="K609" t="s">
        <v>1357</v>
      </c>
      <c r="L609" t="s">
        <v>1357</v>
      </c>
    </row>
    <row r="610" spans="6:12">
      <c r="H610" t="s">
        <v>5983</v>
      </c>
      <c r="I610" t="s">
        <v>1357</v>
      </c>
      <c r="J610" t="s">
        <v>1357</v>
      </c>
      <c r="K610" t="s">
        <v>1357</v>
      </c>
      <c r="L610" t="s">
        <v>1357</v>
      </c>
    </row>
    <row r="611" spans="6:12">
      <c r="H611" t="s">
        <v>5984</v>
      </c>
      <c r="I611" t="s">
        <v>1357</v>
      </c>
      <c r="J611" t="s">
        <v>1357</v>
      </c>
      <c r="K611" t="s">
        <v>1357</v>
      </c>
      <c r="L611" t="s">
        <v>1357</v>
      </c>
    </row>
    <row r="612" spans="6:12">
      <c r="H612" t="s">
        <v>5985</v>
      </c>
      <c r="I612" t="s">
        <v>1357</v>
      </c>
      <c r="J612" t="s">
        <v>1357</v>
      </c>
      <c r="K612" t="s">
        <v>1357</v>
      </c>
      <c r="L612" t="s">
        <v>1357</v>
      </c>
    </row>
    <row r="613" spans="6:12">
      <c r="H613" t="s">
        <v>5986</v>
      </c>
      <c r="I613" t="s">
        <v>1357</v>
      </c>
      <c r="J613" t="s">
        <v>1357</v>
      </c>
      <c r="K613" t="s">
        <v>1357</v>
      </c>
      <c r="L613" t="s">
        <v>1357</v>
      </c>
    </row>
    <row r="614" spans="6:12">
      <c r="H614" t="s">
        <v>5987</v>
      </c>
      <c r="I614" t="s">
        <v>1357</v>
      </c>
      <c r="J614" t="s">
        <v>1357</v>
      </c>
      <c r="K614" t="s">
        <v>1357</v>
      </c>
      <c r="L614" t="s">
        <v>1357</v>
      </c>
    </row>
    <row r="615" spans="6:12">
      <c r="H615" t="s">
        <v>5988</v>
      </c>
      <c r="I615" t="s">
        <v>1357</v>
      </c>
      <c r="J615" t="s">
        <v>1357</v>
      </c>
      <c r="K615" t="s">
        <v>1357</v>
      </c>
      <c r="L615" t="s">
        <v>1357</v>
      </c>
    </row>
    <row r="616" spans="6:12">
      <c r="H616" t="s">
        <v>5989</v>
      </c>
      <c r="I616" t="s">
        <v>1357</v>
      </c>
      <c r="J616" t="s">
        <v>1357</v>
      </c>
      <c r="K616" t="s">
        <v>1357</v>
      </c>
      <c r="L616" t="s">
        <v>1357</v>
      </c>
    </row>
    <row r="617" spans="6:12">
      <c r="H617" t="s">
        <v>5990</v>
      </c>
      <c r="I617" t="s">
        <v>1357</v>
      </c>
      <c r="J617" t="s">
        <v>1357</v>
      </c>
      <c r="K617" t="s">
        <v>1357</v>
      </c>
      <c r="L617" t="s">
        <v>1357</v>
      </c>
    </row>
    <row r="618" spans="6:12">
      <c r="H618" t="s">
        <v>5991</v>
      </c>
      <c r="I618" t="s">
        <v>1357</v>
      </c>
      <c r="J618" t="s">
        <v>1357</v>
      </c>
      <c r="K618" t="s">
        <v>1357</v>
      </c>
      <c r="L618" t="s">
        <v>1357</v>
      </c>
    </row>
    <row r="619" spans="6:12">
      <c r="H619" t="s">
        <v>5992</v>
      </c>
      <c r="I619" t="s">
        <v>1357</v>
      </c>
      <c r="J619" t="s">
        <v>1357</v>
      </c>
      <c r="K619" t="s">
        <v>1357</v>
      </c>
      <c r="L619" t="s">
        <v>1357</v>
      </c>
    </row>
    <row r="620" spans="6:12">
      <c r="H620" t="s">
        <v>5993</v>
      </c>
      <c r="I620" t="s">
        <v>1357</v>
      </c>
      <c r="J620" t="s">
        <v>1357</v>
      </c>
      <c r="K620" t="s">
        <v>1357</v>
      </c>
      <c r="L620" t="s">
        <v>1357</v>
      </c>
    </row>
    <row r="621" spans="6:12">
      <c r="H621" t="s">
        <v>5994</v>
      </c>
      <c r="I621" t="s">
        <v>1357</v>
      </c>
      <c r="J621" t="s">
        <v>1357</v>
      </c>
      <c r="K621" t="s">
        <v>1357</v>
      </c>
      <c r="L621" t="s">
        <v>1357</v>
      </c>
    </row>
    <row r="622" spans="6:12">
      <c r="H622" t="s">
        <v>5995</v>
      </c>
      <c r="I622" t="s">
        <v>1357</v>
      </c>
      <c r="J622" t="s">
        <v>1357</v>
      </c>
      <c r="K622" t="s">
        <v>1357</v>
      </c>
      <c r="L622" t="s">
        <v>1357</v>
      </c>
    </row>
    <row r="623" spans="6:12">
      <c r="F623" t="s">
        <v>5464</v>
      </c>
      <c r="G623" t="s">
        <v>5549</v>
      </c>
      <c r="H623" t="s">
        <v>5996</v>
      </c>
      <c r="I623" t="s">
        <v>1357</v>
      </c>
      <c r="J623" t="s">
        <v>1357</v>
      </c>
      <c r="K623" t="s">
        <v>1357</v>
      </c>
      <c r="L623" t="s">
        <v>1357</v>
      </c>
    </row>
    <row r="624" spans="6:12">
      <c r="F624" t="s">
        <v>5465</v>
      </c>
      <c r="G624" t="s">
        <v>5550</v>
      </c>
      <c r="H624" t="s">
        <v>5997</v>
      </c>
      <c r="I624" t="s">
        <v>1357</v>
      </c>
      <c r="J624" t="s">
        <v>1357</v>
      </c>
      <c r="K624" t="s">
        <v>1357</v>
      </c>
      <c r="L624" t="s">
        <v>1357</v>
      </c>
    </row>
    <row r="625" spans="1:12">
      <c r="F625" t="s">
        <v>5466</v>
      </c>
      <c r="G625" t="s">
        <v>5551</v>
      </c>
      <c r="H625" t="s">
        <v>5930</v>
      </c>
      <c r="I625" t="s">
        <v>1357</v>
      </c>
      <c r="J625" t="s">
        <v>1357</v>
      </c>
      <c r="K625" t="s">
        <v>1357</v>
      </c>
      <c r="L625" t="s">
        <v>1357</v>
      </c>
    </row>
    <row r="626" spans="1:12">
      <c r="A626" t="s">
        <v>5321</v>
      </c>
      <c r="B626">
        <f>HYPERLINK("https://github.com/JodaOrg/joda-time/commit/3c026b7c6af49dab12d28554dd2b55edc4fd8ced", "3c026b7c6af49dab12d28554dd2b55edc4fd8ced")</f>
        <v>0</v>
      </c>
      <c r="C626">
        <f>HYPERLINK("https://github.com/JodaOrg/joda-time/commit/8fb9bae65a1ad986cec1a01a90cbbceebc4a5d6e", "8fb9bae65a1ad986cec1a01a90cbbceebc4a5d6e")</f>
        <v>0</v>
      </c>
      <c r="D626" t="s">
        <v>5328</v>
      </c>
      <c r="E626" t="s">
        <v>5361</v>
      </c>
      <c r="F626" t="s">
        <v>5467</v>
      </c>
      <c r="G626" t="s">
        <v>5552</v>
      </c>
      <c r="H626" t="s">
        <v>5998</v>
      </c>
      <c r="I626" t="s">
        <v>1357</v>
      </c>
      <c r="J626" t="s">
        <v>1357</v>
      </c>
      <c r="K626" t="s">
        <v>1357</v>
      </c>
      <c r="L626" t="s">
        <v>1357</v>
      </c>
    </row>
    <row r="627" spans="1:12">
      <c r="A627" t="s">
        <v>5322</v>
      </c>
      <c r="B627">
        <f>HYPERLINK("https://github.com/JodaOrg/joda-time/commit/8672850dbabfddc9f38ee899a259b1dce992794a", "8672850dbabfddc9f38ee899a259b1dce992794a")</f>
        <v>0</v>
      </c>
      <c r="C627">
        <f>HYPERLINK("https://github.com/JodaOrg/joda-time/commit/73cf859dd13b3fc550569e2dff75da8cca8ddbfa", "73cf859dd13b3fc550569e2dff75da8cca8ddbfa")</f>
        <v>0</v>
      </c>
      <c r="D627" t="s">
        <v>5327</v>
      </c>
      <c r="E627" t="s">
        <v>5362</v>
      </c>
      <c r="F627" t="s">
        <v>5468</v>
      </c>
      <c r="G627" t="s">
        <v>5553</v>
      </c>
      <c r="H627" t="s">
        <v>5999</v>
      </c>
      <c r="I627" t="s">
        <v>1357</v>
      </c>
      <c r="J627" t="s">
        <v>1357</v>
      </c>
      <c r="K627" t="s">
        <v>1357</v>
      </c>
      <c r="L627" t="s">
        <v>1357</v>
      </c>
    </row>
    <row r="628" spans="1:12">
      <c r="H628" t="s">
        <v>6000</v>
      </c>
      <c r="I628" t="s">
        <v>1357</v>
      </c>
      <c r="J628" t="s">
        <v>1357</v>
      </c>
      <c r="K628" t="s">
        <v>1357</v>
      </c>
      <c r="L628" t="s">
        <v>1357</v>
      </c>
    </row>
    <row r="629" spans="1:12">
      <c r="H629" t="s">
        <v>6001</v>
      </c>
      <c r="I629" t="s">
        <v>1357</v>
      </c>
      <c r="J629" t="s">
        <v>1357</v>
      </c>
      <c r="K629" t="s">
        <v>1357</v>
      </c>
      <c r="L629" t="s">
        <v>1357</v>
      </c>
    </row>
    <row r="630" spans="1:12">
      <c r="F630" t="s">
        <v>5469</v>
      </c>
      <c r="G630" t="s">
        <v>5554</v>
      </c>
      <c r="H630" t="s">
        <v>5999</v>
      </c>
      <c r="I630" t="s">
        <v>1357</v>
      </c>
      <c r="J630" t="s">
        <v>1357</v>
      </c>
      <c r="K630" t="s">
        <v>1357</v>
      </c>
      <c r="L630" t="s">
        <v>1357</v>
      </c>
    </row>
    <row r="631" spans="1:12">
      <c r="H631" t="s">
        <v>6000</v>
      </c>
      <c r="I631" t="s">
        <v>1357</v>
      </c>
      <c r="J631" t="s">
        <v>1357</v>
      </c>
      <c r="K631" t="s">
        <v>1357</v>
      </c>
      <c r="L631" t="s">
        <v>1357</v>
      </c>
    </row>
    <row r="632" spans="1:12">
      <c r="H632" t="s">
        <v>6001</v>
      </c>
      <c r="I632" t="s">
        <v>1357</v>
      </c>
      <c r="J632" t="s">
        <v>1357</v>
      </c>
      <c r="K632" t="s">
        <v>1357</v>
      </c>
      <c r="L632" t="s">
        <v>1357</v>
      </c>
    </row>
    <row r="633" spans="1:12">
      <c r="A633" t="s">
        <v>5323</v>
      </c>
      <c r="B633">
        <f>HYPERLINK("https://github.com/JodaOrg/joda-time/commit/c5a5190e19c062405ae4825c36e2172ae64202fb", "c5a5190e19c062405ae4825c36e2172ae64202fb")</f>
        <v>0</v>
      </c>
      <c r="C633">
        <f>HYPERLINK("https://github.com/JodaOrg/joda-time/commit/49558a5286c3b7eb6c85d5f26e5ae94f11f7a892", "49558a5286c3b7eb6c85d5f26e5ae94f11f7a892")</f>
        <v>0</v>
      </c>
      <c r="D633" t="s">
        <v>5327</v>
      </c>
      <c r="E633" t="s">
        <v>5363</v>
      </c>
      <c r="F633" t="s">
        <v>5470</v>
      </c>
      <c r="G633" t="s">
        <v>5555</v>
      </c>
      <c r="H633" t="s">
        <v>6002</v>
      </c>
      <c r="I633" t="s">
        <v>1357</v>
      </c>
      <c r="J633" t="s">
        <v>1357</v>
      </c>
      <c r="K633" t="s">
        <v>1357</v>
      </c>
      <c r="L633" t="s">
        <v>1357</v>
      </c>
    </row>
    <row r="634" spans="1:12">
      <c r="H634" t="s">
        <v>6003</v>
      </c>
      <c r="I634" t="s">
        <v>1357</v>
      </c>
      <c r="J634" t="s">
        <v>1357</v>
      </c>
      <c r="K634" t="s">
        <v>1357</v>
      </c>
      <c r="L634" t="s">
        <v>1357</v>
      </c>
    </row>
    <row r="635" spans="1:12">
      <c r="H635" t="s">
        <v>6004</v>
      </c>
      <c r="I635" t="s">
        <v>1357</v>
      </c>
      <c r="J635" t="s">
        <v>1357</v>
      </c>
      <c r="K635" t="s">
        <v>1357</v>
      </c>
      <c r="L635" t="s">
        <v>1357</v>
      </c>
    </row>
    <row r="636" spans="1:12">
      <c r="H636" t="s">
        <v>6005</v>
      </c>
      <c r="I636" t="s">
        <v>1357</v>
      </c>
      <c r="J636" t="s">
        <v>1357</v>
      </c>
      <c r="K636" t="s">
        <v>1357</v>
      </c>
      <c r="L636" t="s">
        <v>1357</v>
      </c>
    </row>
    <row r="637" spans="1:12">
      <c r="H637" t="s">
        <v>6006</v>
      </c>
      <c r="I637" t="s">
        <v>1357</v>
      </c>
      <c r="J637" t="s">
        <v>1357</v>
      </c>
      <c r="K637" t="s">
        <v>1357</v>
      </c>
      <c r="L637" t="s">
        <v>1357</v>
      </c>
    </row>
    <row r="638" spans="1:12">
      <c r="H638" t="s">
        <v>6007</v>
      </c>
      <c r="I638" t="s">
        <v>1357</v>
      </c>
      <c r="J638" t="s">
        <v>1357</v>
      </c>
      <c r="K638" t="s">
        <v>1357</v>
      </c>
      <c r="L638" t="s">
        <v>1357</v>
      </c>
    </row>
    <row r="639" spans="1:12">
      <c r="H639" t="s">
        <v>6008</v>
      </c>
      <c r="I639" t="s">
        <v>1357</v>
      </c>
      <c r="J639" t="s">
        <v>1357</v>
      </c>
      <c r="K639" t="s">
        <v>1357</v>
      </c>
      <c r="L639" t="s">
        <v>1357</v>
      </c>
    </row>
    <row r="640" spans="1:12">
      <c r="H640" t="s">
        <v>6009</v>
      </c>
      <c r="I640" t="s">
        <v>1357</v>
      </c>
      <c r="J640" t="s">
        <v>1357</v>
      </c>
      <c r="K640" t="s">
        <v>1357</v>
      </c>
      <c r="L640" t="s">
        <v>1357</v>
      </c>
    </row>
    <row r="641" spans="8:12">
      <c r="H641" t="s">
        <v>6010</v>
      </c>
      <c r="I641" t="s">
        <v>1357</v>
      </c>
      <c r="J641" t="s">
        <v>1357</v>
      </c>
      <c r="K641" t="s">
        <v>1357</v>
      </c>
      <c r="L641" t="s">
        <v>1357</v>
      </c>
    </row>
    <row r="642" spans="8:12">
      <c r="H642" t="s">
        <v>6011</v>
      </c>
      <c r="I642" t="s">
        <v>1357</v>
      </c>
      <c r="J642" t="s">
        <v>1357</v>
      </c>
      <c r="K642" t="s">
        <v>1357</v>
      </c>
      <c r="L642" t="s">
        <v>1357</v>
      </c>
    </row>
    <row r="643" spans="8:12">
      <c r="H643" t="s">
        <v>6012</v>
      </c>
      <c r="I643" t="s">
        <v>1357</v>
      </c>
      <c r="J643" t="s">
        <v>1357</v>
      </c>
      <c r="K643" t="s">
        <v>1357</v>
      </c>
      <c r="L643" t="s">
        <v>1357</v>
      </c>
    </row>
    <row r="644" spans="8:12">
      <c r="H644" t="s">
        <v>6013</v>
      </c>
      <c r="I644" t="s">
        <v>1357</v>
      </c>
      <c r="J644" t="s">
        <v>1357</v>
      </c>
      <c r="K644" t="s">
        <v>1357</v>
      </c>
      <c r="L644" t="s">
        <v>1357</v>
      </c>
    </row>
    <row r="645" spans="8:12">
      <c r="H645" t="s">
        <v>6014</v>
      </c>
      <c r="I645" t="s">
        <v>1357</v>
      </c>
      <c r="J645" t="s">
        <v>1357</v>
      </c>
      <c r="K645" t="s">
        <v>1357</v>
      </c>
      <c r="L645" t="s">
        <v>1357</v>
      </c>
    </row>
    <row r="646" spans="8:12">
      <c r="H646" t="s">
        <v>6015</v>
      </c>
      <c r="I646" t="s">
        <v>1357</v>
      </c>
      <c r="J646" t="s">
        <v>1357</v>
      </c>
      <c r="K646" t="s">
        <v>1357</v>
      </c>
      <c r="L646" t="s">
        <v>1357</v>
      </c>
    </row>
    <row r="647" spans="8:12">
      <c r="H647" t="s">
        <v>6016</v>
      </c>
      <c r="I647" t="s">
        <v>1357</v>
      </c>
      <c r="J647" t="s">
        <v>1357</v>
      </c>
      <c r="K647" t="s">
        <v>1357</v>
      </c>
      <c r="L647" t="s">
        <v>1357</v>
      </c>
    </row>
    <row r="648" spans="8:12">
      <c r="H648" t="s">
        <v>6017</v>
      </c>
      <c r="I648" t="s">
        <v>1357</v>
      </c>
      <c r="J648" t="s">
        <v>1357</v>
      </c>
      <c r="K648" t="s">
        <v>1357</v>
      </c>
      <c r="L648" t="s">
        <v>1357</v>
      </c>
    </row>
    <row r="649" spans="8:12">
      <c r="H649" t="s">
        <v>6018</v>
      </c>
      <c r="I649" t="s">
        <v>1357</v>
      </c>
      <c r="J649" t="s">
        <v>1357</v>
      </c>
      <c r="K649" t="s">
        <v>1357</v>
      </c>
      <c r="L649" t="s">
        <v>1357</v>
      </c>
    </row>
    <row r="650" spans="8:12">
      <c r="H650" t="s">
        <v>6019</v>
      </c>
      <c r="I650" t="s">
        <v>1357</v>
      </c>
      <c r="J650" t="s">
        <v>1357</v>
      </c>
      <c r="K650" t="s">
        <v>1357</v>
      </c>
      <c r="L650" t="s">
        <v>1357</v>
      </c>
    </row>
    <row r="651" spans="8:12">
      <c r="H651" t="s">
        <v>6020</v>
      </c>
      <c r="I651" t="s">
        <v>1357</v>
      </c>
      <c r="J651" t="s">
        <v>1357</v>
      </c>
      <c r="K651" t="s">
        <v>1357</v>
      </c>
      <c r="L651" t="s">
        <v>1357</v>
      </c>
    </row>
    <row r="652" spans="8:12">
      <c r="H652" t="s">
        <v>6021</v>
      </c>
      <c r="I652" t="s">
        <v>1357</v>
      </c>
      <c r="J652" t="s">
        <v>1357</v>
      </c>
      <c r="K652" t="s">
        <v>1357</v>
      </c>
      <c r="L652" t="s">
        <v>1357</v>
      </c>
    </row>
    <row r="653" spans="8:12">
      <c r="H653" t="s">
        <v>6022</v>
      </c>
      <c r="I653" t="s">
        <v>1357</v>
      </c>
      <c r="J653" t="s">
        <v>1357</v>
      </c>
      <c r="K653" t="s">
        <v>1357</v>
      </c>
      <c r="L653" t="s">
        <v>1357</v>
      </c>
    </row>
    <row r="654" spans="8:12">
      <c r="H654" t="s">
        <v>6023</v>
      </c>
      <c r="I654" t="s">
        <v>1357</v>
      </c>
      <c r="J654" t="s">
        <v>1357</v>
      </c>
      <c r="K654" t="s">
        <v>1357</v>
      </c>
      <c r="L654" t="s">
        <v>1357</v>
      </c>
    </row>
    <row r="655" spans="8:12">
      <c r="H655" t="s">
        <v>6024</v>
      </c>
      <c r="I655" t="s">
        <v>1357</v>
      </c>
      <c r="J655" t="s">
        <v>1357</v>
      </c>
      <c r="K655" t="s">
        <v>1357</v>
      </c>
      <c r="L655" t="s">
        <v>1357</v>
      </c>
    </row>
    <row r="656" spans="8:12">
      <c r="H656" t="s">
        <v>6025</v>
      </c>
      <c r="I656" t="s">
        <v>1357</v>
      </c>
      <c r="J656" t="s">
        <v>1357</v>
      </c>
      <c r="K656" t="s">
        <v>1357</v>
      </c>
      <c r="L656" t="s">
        <v>1357</v>
      </c>
    </row>
    <row r="657" spans="8:12">
      <c r="H657" t="s">
        <v>6026</v>
      </c>
      <c r="I657" t="s">
        <v>1357</v>
      </c>
      <c r="J657" t="s">
        <v>1357</v>
      </c>
      <c r="K657" t="s">
        <v>1357</v>
      </c>
      <c r="L657" t="s">
        <v>1357</v>
      </c>
    </row>
    <row r="658" spans="8:12">
      <c r="H658" t="s">
        <v>6027</v>
      </c>
      <c r="I658" t="s">
        <v>1357</v>
      </c>
      <c r="J658" t="s">
        <v>1357</v>
      </c>
      <c r="K658" t="s">
        <v>1357</v>
      </c>
      <c r="L658" t="s">
        <v>1357</v>
      </c>
    </row>
    <row r="659" spans="8:12">
      <c r="H659" t="s">
        <v>6028</v>
      </c>
      <c r="I659" t="s">
        <v>1357</v>
      </c>
      <c r="J659" t="s">
        <v>1357</v>
      </c>
      <c r="K659" t="s">
        <v>1357</v>
      </c>
      <c r="L659" t="s">
        <v>1357</v>
      </c>
    </row>
    <row r="660" spans="8:12">
      <c r="H660" t="s">
        <v>6029</v>
      </c>
      <c r="I660" t="s">
        <v>1357</v>
      </c>
      <c r="J660" t="s">
        <v>1357</v>
      </c>
      <c r="K660" t="s">
        <v>1357</v>
      </c>
      <c r="L660" t="s">
        <v>1357</v>
      </c>
    </row>
    <row r="661" spans="8:12">
      <c r="H661" t="s">
        <v>6030</v>
      </c>
      <c r="I661" t="s">
        <v>1357</v>
      </c>
      <c r="J661" t="s">
        <v>1357</v>
      </c>
      <c r="K661" t="s">
        <v>1357</v>
      </c>
      <c r="L661" t="s">
        <v>1357</v>
      </c>
    </row>
    <row r="662" spans="8:12">
      <c r="H662" t="s">
        <v>6031</v>
      </c>
      <c r="I662" t="s">
        <v>1357</v>
      </c>
      <c r="J662" t="s">
        <v>1357</v>
      </c>
      <c r="K662" t="s">
        <v>1357</v>
      </c>
      <c r="L662" t="s">
        <v>1357</v>
      </c>
    </row>
    <row r="663" spans="8:12">
      <c r="H663" t="s">
        <v>6032</v>
      </c>
      <c r="I663" t="s">
        <v>1357</v>
      </c>
      <c r="J663" t="s">
        <v>1357</v>
      </c>
      <c r="K663" t="s">
        <v>1357</v>
      </c>
      <c r="L663" t="s">
        <v>1357</v>
      </c>
    </row>
    <row r="664" spans="8:12">
      <c r="H664" t="s">
        <v>6033</v>
      </c>
      <c r="I664" t="s">
        <v>1357</v>
      </c>
      <c r="J664" t="s">
        <v>1357</v>
      </c>
      <c r="K664" t="s">
        <v>1357</v>
      </c>
      <c r="L664" t="s">
        <v>1357</v>
      </c>
    </row>
    <row r="665" spans="8:12">
      <c r="H665" t="s">
        <v>6034</v>
      </c>
      <c r="I665" t="s">
        <v>1357</v>
      </c>
      <c r="J665" t="s">
        <v>1357</v>
      </c>
      <c r="K665" t="s">
        <v>1357</v>
      </c>
      <c r="L665" t="s">
        <v>1357</v>
      </c>
    </row>
    <row r="666" spans="8:12">
      <c r="H666" t="s">
        <v>6035</v>
      </c>
      <c r="I666" t="s">
        <v>1357</v>
      </c>
      <c r="J666" t="s">
        <v>1357</v>
      </c>
      <c r="K666" t="s">
        <v>1357</v>
      </c>
      <c r="L666" t="s">
        <v>1357</v>
      </c>
    </row>
    <row r="667" spans="8:12">
      <c r="H667" t="s">
        <v>6036</v>
      </c>
      <c r="I667" t="s">
        <v>1357</v>
      </c>
      <c r="J667" t="s">
        <v>1357</v>
      </c>
      <c r="K667" t="s">
        <v>1357</v>
      </c>
      <c r="L667" t="s">
        <v>1357</v>
      </c>
    </row>
    <row r="668" spans="8:12">
      <c r="H668" t="s">
        <v>6037</v>
      </c>
      <c r="I668" t="s">
        <v>1357</v>
      </c>
      <c r="J668" t="s">
        <v>1357</v>
      </c>
      <c r="K668" t="s">
        <v>1357</v>
      </c>
      <c r="L668" t="s">
        <v>1357</v>
      </c>
    </row>
    <row r="669" spans="8:12">
      <c r="H669" t="s">
        <v>6038</v>
      </c>
      <c r="I669" t="s">
        <v>1357</v>
      </c>
      <c r="J669" t="s">
        <v>1357</v>
      </c>
      <c r="K669" t="s">
        <v>1357</v>
      </c>
      <c r="L669" t="s">
        <v>1357</v>
      </c>
    </row>
    <row r="670" spans="8:12">
      <c r="H670" t="s">
        <v>6039</v>
      </c>
      <c r="I670" t="s">
        <v>1357</v>
      </c>
      <c r="J670" t="s">
        <v>1357</v>
      </c>
      <c r="K670" t="s">
        <v>1357</v>
      </c>
      <c r="L670" t="s">
        <v>1357</v>
      </c>
    </row>
    <row r="671" spans="8:12">
      <c r="H671" t="s">
        <v>6040</v>
      </c>
      <c r="I671" t="s">
        <v>1357</v>
      </c>
      <c r="J671" t="s">
        <v>1357</v>
      </c>
      <c r="K671" t="s">
        <v>1357</v>
      </c>
      <c r="L671" t="s">
        <v>1357</v>
      </c>
    </row>
    <row r="672" spans="8:12">
      <c r="H672" t="s">
        <v>6041</v>
      </c>
      <c r="I672" t="s">
        <v>1357</v>
      </c>
      <c r="J672" t="s">
        <v>1357</v>
      </c>
      <c r="K672" t="s">
        <v>1357</v>
      </c>
      <c r="L672" t="s">
        <v>1357</v>
      </c>
    </row>
    <row r="673" spans="1:12">
      <c r="A673" t="s">
        <v>5324</v>
      </c>
      <c r="B673">
        <f>HYPERLINK("https://github.com/JodaOrg/joda-time/commit/d7774f13ad2dc7cf7295bb8376c21bbf5c662fc4", "d7774f13ad2dc7cf7295bb8376c21bbf5c662fc4")</f>
        <v>0</v>
      </c>
      <c r="C673">
        <f>HYPERLINK("https://github.com/JodaOrg/joda-time/commit/0a357a84750ac43ca0d1a068099390eadbfc0f8a", "0a357a84750ac43ca0d1a068099390eadbfc0f8a")</f>
        <v>0</v>
      </c>
      <c r="D673" t="s">
        <v>5327</v>
      </c>
      <c r="E673" t="s">
        <v>5364</v>
      </c>
      <c r="F673" t="s">
        <v>5471</v>
      </c>
      <c r="G673" t="s">
        <v>5556</v>
      </c>
      <c r="H673" t="s">
        <v>6042</v>
      </c>
      <c r="I673" t="s">
        <v>1359</v>
      </c>
      <c r="J673" t="s">
        <v>1357</v>
      </c>
      <c r="K673" t="s">
        <v>1357</v>
      </c>
      <c r="L673" t="s">
        <v>1358</v>
      </c>
    </row>
    <row r="674" spans="1:12">
      <c r="H674" t="s">
        <v>6043</v>
      </c>
      <c r="I674" t="s">
        <v>1359</v>
      </c>
      <c r="J674" t="s">
        <v>1357</v>
      </c>
      <c r="K674" t="s">
        <v>1357</v>
      </c>
      <c r="L674" t="s">
        <v>1358</v>
      </c>
    </row>
    <row r="675" spans="1:12">
      <c r="A675" t="s">
        <v>5325</v>
      </c>
      <c r="B675">
        <f>HYPERLINK("https://github.com/JodaOrg/joda-time/commit/8b0c67dc82a95133639faa3fa784419271172520", "8b0c67dc82a95133639faa3fa784419271172520")</f>
        <v>0</v>
      </c>
      <c r="C675">
        <f>HYPERLINK("https://github.com/JodaOrg/joda-time/commit/a37cfecf07984e7fd88705bf85573cb71ad99632", "a37cfecf07984e7fd88705bf85573cb71ad99632")</f>
        <v>0</v>
      </c>
      <c r="D675" t="s">
        <v>5329</v>
      </c>
      <c r="E675" t="s">
        <v>5365</v>
      </c>
      <c r="F675" t="s">
        <v>5472</v>
      </c>
      <c r="G675" t="s">
        <v>5557</v>
      </c>
      <c r="H675" t="s">
        <v>6044</v>
      </c>
      <c r="I675" t="s">
        <v>1357</v>
      </c>
      <c r="J675" t="s">
        <v>1357</v>
      </c>
      <c r="K675" t="s">
        <v>1357</v>
      </c>
      <c r="L675" t="s">
        <v>1357</v>
      </c>
    </row>
    <row r="676" spans="1:12">
      <c r="A676" t="s">
        <v>5326</v>
      </c>
      <c r="B676">
        <f>HYPERLINK("https://github.com/JodaOrg/joda-time/commit/bdcb7095e127d858b82b3cbd5325f5725b9dbb47", "bdcb7095e127d858b82b3cbd5325f5725b9dbb47")</f>
        <v>0</v>
      </c>
      <c r="C676">
        <f>HYPERLINK("https://github.com/JodaOrg/joda-time/commit/0c159b431dcc3c12b25da60dfff880227887df0a", "0c159b431dcc3c12b25da60dfff880227887df0a")</f>
        <v>0</v>
      </c>
      <c r="D676" t="s">
        <v>1431</v>
      </c>
      <c r="E676" t="s">
        <v>5366</v>
      </c>
      <c r="F676" t="s">
        <v>5473</v>
      </c>
      <c r="G676" t="s">
        <v>5558</v>
      </c>
      <c r="H676" t="s">
        <v>6045</v>
      </c>
      <c r="I676" t="s">
        <v>1358</v>
      </c>
      <c r="J676" t="s">
        <v>1358</v>
      </c>
      <c r="K676" t="s">
        <v>1358</v>
      </c>
      <c r="L676" t="s">
        <v>1358</v>
      </c>
    </row>
    <row r="677" spans="1:12">
      <c r="H677" t="s">
        <v>6046</v>
      </c>
      <c r="I677" t="s">
        <v>1358</v>
      </c>
      <c r="J677" t="s">
        <v>1358</v>
      </c>
      <c r="K677" t="s">
        <v>1358</v>
      </c>
      <c r="L677" t="s">
        <v>1358</v>
      </c>
    </row>
    <row r="678" spans="1:12">
      <c r="H678" t="s">
        <v>6047</v>
      </c>
      <c r="I678" t="s">
        <v>1358</v>
      </c>
      <c r="J678" t="s">
        <v>1358</v>
      </c>
      <c r="K678" t="s">
        <v>1358</v>
      </c>
      <c r="L678" t="s">
        <v>1358</v>
      </c>
    </row>
    <row r="679" spans="1:12">
      <c r="H679" t="s">
        <v>6048</v>
      </c>
      <c r="I679" t="s">
        <v>1358</v>
      </c>
      <c r="J679" t="s">
        <v>1358</v>
      </c>
      <c r="K679" t="s">
        <v>1358</v>
      </c>
      <c r="L679" t="s">
        <v>1358</v>
      </c>
    </row>
    <row r="680" spans="1:12">
      <c r="H680" t="s">
        <v>6049</v>
      </c>
      <c r="I680" t="s">
        <v>1358</v>
      </c>
      <c r="J680" t="s">
        <v>1358</v>
      </c>
      <c r="K680" t="s">
        <v>1358</v>
      </c>
      <c r="L680" t="s">
        <v>1358</v>
      </c>
    </row>
    <row r="681" spans="1:12">
      <c r="H681" t="s">
        <v>6050</v>
      </c>
      <c r="I681" t="s">
        <v>1358</v>
      </c>
      <c r="J681" t="s">
        <v>1358</v>
      </c>
      <c r="K681" t="s">
        <v>1358</v>
      </c>
      <c r="L681" t="s">
        <v>1358</v>
      </c>
    </row>
    <row r="682" spans="1:12">
      <c r="H682" t="s">
        <v>6051</v>
      </c>
      <c r="I682" t="s">
        <v>1358</v>
      </c>
      <c r="J682" t="s">
        <v>1358</v>
      </c>
      <c r="K682" t="s">
        <v>1358</v>
      </c>
      <c r="L682" t="s">
        <v>1358</v>
      </c>
    </row>
    <row r="683" spans="1:12">
      <c r="H683" t="s">
        <v>6052</v>
      </c>
      <c r="I683" t="s">
        <v>1358</v>
      </c>
      <c r="J683" t="s">
        <v>1358</v>
      </c>
      <c r="K683" t="s">
        <v>1358</v>
      </c>
      <c r="L683" t="s">
        <v>1358</v>
      </c>
    </row>
    <row r="684" spans="1:12">
      <c r="H684" t="s">
        <v>6053</v>
      </c>
      <c r="I684" t="s">
        <v>1358</v>
      </c>
      <c r="J684" t="s">
        <v>1358</v>
      </c>
      <c r="K684" t="s">
        <v>1358</v>
      </c>
      <c r="L684" t="s">
        <v>1358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2653"/>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6061</v>
      </c>
      <c r="B2">
        <f>HYPERLINK("https://github.com/pmd/pmd/commit/73aea602939e67dca909ac28bd443301fe351952", "73aea602939e67dca909ac28bd443301fe351952")</f>
        <v>0</v>
      </c>
      <c r="C2">
        <f>HYPERLINK("https://github.com/pmd/pmd/commit/3760a50c7b342be2f1b7ecfa085f73c639fd118a", "3760a50c7b342be2f1b7ecfa085f73c639fd118a")</f>
        <v>0</v>
      </c>
      <c r="D2" t="s">
        <v>6492</v>
      </c>
      <c r="E2" t="s">
        <v>6517</v>
      </c>
      <c r="F2" t="s">
        <v>6953</v>
      </c>
      <c r="G2" t="s">
        <v>7700</v>
      </c>
      <c r="H2" t="s">
        <v>8335</v>
      </c>
      <c r="I2" t="s">
        <v>1358</v>
      </c>
      <c r="J2" t="s">
        <v>1358</v>
      </c>
      <c r="K2" t="s">
        <v>1358</v>
      </c>
      <c r="L2" t="s">
        <v>1358</v>
      </c>
    </row>
    <row r="3" spans="1:14">
      <c r="A3" t="s">
        <v>6062</v>
      </c>
      <c r="B3">
        <f>HYPERLINK("https://github.com/pmd/pmd/commit/e0f1a8d7c579c778f3cde99389277863a475c98a", "e0f1a8d7c579c778f3cde99389277863a475c98a")</f>
        <v>0</v>
      </c>
      <c r="C3">
        <f>HYPERLINK("https://github.com/pmd/pmd/commit/063a4fadc2b216f2690157ab18e84d54b261aee7", "063a4fadc2b216f2690157ab18e84d54b261aee7")</f>
        <v>0</v>
      </c>
      <c r="D3" t="s">
        <v>6492</v>
      </c>
      <c r="E3" t="s">
        <v>6518</v>
      </c>
      <c r="F3" t="s">
        <v>6954</v>
      </c>
      <c r="G3" t="s">
        <v>7701</v>
      </c>
      <c r="H3" t="s">
        <v>8336</v>
      </c>
      <c r="I3" t="s">
        <v>1358</v>
      </c>
      <c r="J3" t="s">
        <v>1358</v>
      </c>
      <c r="K3" t="s">
        <v>1358</v>
      </c>
      <c r="L3" t="s">
        <v>1358</v>
      </c>
      <c r="N3" t="s">
        <v>1374</v>
      </c>
    </row>
    <row r="4" spans="1:14">
      <c r="A4" t="s">
        <v>6063</v>
      </c>
      <c r="B4">
        <f>HYPERLINK("https://github.com/pmd/pmd/commit/a6df4604393f2fcb573cffc8c3840dbe79ff1c5d", "a6df4604393f2fcb573cffc8c3840dbe79ff1c5d")</f>
        <v>0</v>
      </c>
      <c r="C4">
        <f>HYPERLINK("https://github.com/pmd/pmd/commit/4b57f1b3ae4d45e9110f3c931a698c0f95fa7747", "4b57f1b3ae4d45e9110f3c931a698c0f95fa7747")</f>
        <v>0</v>
      </c>
      <c r="D4" t="s">
        <v>6492</v>
      </c>
      <c r="E4" t="s">
        <v>6519</v>
      </c>
      <c r="F4" t="s">
        <v>6953</v>
      </c>
      <c r="G4" t="s">
        <v>7700</v>
      </c>
      <c r="H4" t="s">
        <v>8337</v>
      </c>
      <c r="I4" t="s">
        <v>1357</v>
      </c>
      <c r="J4" t="s">
        <v>1357</v>
      </c>
      <c r="K4" t="s">
        <v>1357</v>
      </c>
      <c r="L4" t="s">
        <v>1357</v>
      </c>
      <c r="N4" t="s">
        <v>1364</v>
      </c>
    </row>
    <row r="5" spans="1:14">
      <c r="H5" t="s">
        <v>8338</v>
      </c>
      <c r="I5" t="s">
        <v>1357</v>
      </c>
      <c r="J5" t="s">
        <v>1357</v>
      </c>
      <c r="K5" t="s">
        <v>1357</v>
      </c>
      <c r="L5" t="s">
        <v>1357</v>
      </c>
      <c r="N5" t="s">
        <v>1364</v>
      </c>
    </row>
    <row r="6" spans="1:14">
      <c r="H6" t="s">
        <v>8339</v>
      </c>
      <c r="I6" t="s">
        <v>1357</v>
      </c>
      <c r="J6" t="s">
        <v>1357</v>
      </c>
      <c r="K6" t="s">
        <v>1357</v>
      </c>
      <c r="L6" t="s">
        <v>1357</v>
      </c>
      <c r="N6" t="s">
        <v>1364</v>
      </c>
    </row>
    <row r="7" spans="1:14">
      <c r="A7" t="s">
        <v>6064</v>
      </c>
      <c r="B7">
        <f>HYPERLINK("https://github.com/pmd/pmd/commit/73b9f6efe33651347441d0f52ec919335b4a37a0", "73b9f6efe33651347441d0f52ec919335b4a37a0")</f>
        <v>0</v>
      </c>
      <c r="C7">
        <f>HYPERLINK("https://github.com/pmd/pmd/commit/8770d580c48300322744e2cba18ce0628f6cf830", "8770d580c48300322744e2cba18ce0628f6cf830")</f>
        <v>0</v>
      </c>
      <c r="D7" t="s">
        <v>6492</v>
      </c>
      <c r="E7" t="s">
        <v>6520</v>
      </c>
      <c r="F7" t="s">
        <v>6953</v>
      </c>
      <c r="G7" t="s">
        <v>7700</v>
      </c>
      <c r="H7" t="s">
        <v>8340</v>
      </c>
      <c r="I7" t="s">
        <v>1359</v>
      </c>
      <c r="J7" t="s">
        <v>1357</v>
      </c>
      <c r="K7" t="s">
        <v>1358</v>
      </c>
      <c r="L7" t="s">
        <v>1357</v>
      </c>
      <c r="N7" t="s">
        <v>1360</v>
      </c>
    </row>
    <row r="8" spans="1:14">
      <c r="A8" t="s">
        <v>6065</v>
      </c>
      <c r="B8">
        <f>HYPERLINK("https://github.com/pmd/pmd/commit/213e37f2a4b1ac04c138b01de54b933a45086967", "213e37f2a4b1ac04c138b01de54b933a45086967")</f>
        <v>0</v>
      </c>
      <c r="C8">
        <f>HYPERLINK("https://github.com/pmd/pmd/commit/225ccd005a9f3aedc8138c298cd467fbe0bd8535", "225ccd005a9f3aedc8138c298cd467fbe0bd8535")</f>
        <v>0</v>
      </c>
      <c r="D8" t="s">
        <v>6492</v>
      </c>
      <c r="E8" t="s">
        <v>6521</v>
      </c>
      <c r="F8" t="s">
        <v>6955</v>
      </c>
      <c r="G8" t="s">
        <v>7702</v>
      </c>
      <c r="H8" t="s">
        <v>8341</v>
      </c>
      <c r="I8" t="s">
        <v>1358</v>
      </c>
      <c r="J8" t="s">
        <v>1358</v>
      </c>
      <c r="K8" t="s">
        <v>1358</v>
      </c>
      <c r="L8" t="s">
        <v>1358</v>
      </c>
    </row>
    <row r="9" spans="1:14">
      <c r="H9" t="s">
        <v>8342</v>
      </c>
      <c r="I9" t="s">
        <v>1358</v>
      </c>
      <c r="J9" t="s">
        <v>1358</v>
      </c>
      <c r="K9" t="s">
        <v>1358</v>
      </c>
      <c r="L9" t="s">
        <v>1358</v>
      </c>
    </row>
    <row r="10" spans="1:14">
      <c r="H10" t="s">
        <v>8343</v>
      </c>
      <c r="I10" t="s">
        <v>1358</v>
      </c>
      <c r="J10" t="s">
        <v>1358</v>
      </c>
      <c r="K10" t="s">
        <v>1358</v>
      </c>
      <c r="L10" t="s">
        <v>1358</v>
      </c>
    </row>
    <row r="11" spans="1:14">
      <c r="H11" t="s">
        <v>8344</v>
      </c>
      <c r="I11" t="s">
        <v>1358</v>
      </c>
      <c r="J11" t="s">
        <v>1358</v>
      </c>
      <c r="K11" t="s">
        <v>1358</v>
      </c>
      <c r="L11" t="s">
        <v>1358</v>
      </c>
    </row>
    <row r="12" spans="1:14">
      <c r="H12" t="s">
        <v>8345</v>
      </c>
      <c r="I12" t="s">
        <v>1358</v>
      </c>
      <c r="J12" t="s">
        <v>1358</v>
      </c>
      <c r="K12" t="s">
        <v>1358</v>
      </c>
      <c r="L12" t="s">
        <v>1358</v>
      </c>
    </row>
    <row r="13" spans="1:14">
      <c r="H13" t="s">
        <v>8346</v>
      </c>
      <c r="I13" t="s">
        <v>1358</v>
      </c>
      <c r="J13" t="s">
        <v>1358</v>
      </c>
      <c r="K13" t="s">
        <v>1358</v>
      </c>
      <c r="L13" t="s">
        <v>1358</v>
      </c>
    </row>
    <row r="14" spans="1:14">
      <c r="H14" t="s">
        <v>8347</v>
      </c>
      <c r="I14" t="s">
        <v>1358</v>
      </c>
      <c r="J14" t="s">
        <v>1358</v>
      </c>
      <c r="K14" t="s">
        <v>1358</v>
      </c>
      <c r="L14" t="s">
        <v>1358</v>
      </c>
    </row>
    <row r="15" spans="1:14">
      <c r="H15" t="s">
        <v>8348</v>
      </c>
      <c r="I15" t="s">
        <v>1358</v>
      </c>
      <c r="J15" t="s">
        <v>1358</v>
      </c>
      <c r="K15" t="s">
        <v>1358</v>
      </c>
      <c r="L15" t="s">
        <v>1358</v>
      </c>
    </row>
    <row r="16" spans="1:14">
      <c r="H16" t="s">
        <v>8349</v>
      </c>
      <c r="I16" t="s">
        <v>1358</v>
      </c>
      <c r="J16" t="s">
        <v>1358</v>
      </c>
      <c r="K16" t="s">
        <v>1358</v>
      </c>
      <c r="L16" t="s">
        <v>1358</v>
      </c>
    </row>
    <row r="17" spans="8:14">
      <c r="H17" t="s">
        <v>8350</v>
      </c>
      <c r="I17" t="s">
        <v>1358</v>
      </c>
      <c r="J17" t="s">
        <v>1358</v>
      </c>
      <c r="K17" t="s">
        <v>1358</v>
      </c>
      <c r="L17" t="s">
        <v>1358</v>
      </c>
    </row>
    <row r="18" spans="8:14">
      <c r="H18" t="s">
        <v>8351</v>
      </c>
      <c r="I18" t="s">
        <v>1357</v>
      </c>
      <c r="J18" t="s">
        <v>1357</v>
      </c>
      <c r="K18" t="s">
        <v>1357</v>
      </c>
      <c r="L18" t="s">
        <v>1357</v>
      </c>
      <c r="N18" t="s">
        <v>1364</v>
      </c>
    </row>
    <row r="19" spans="8:14">
      <c r="H19" t="s">
        <v>8352</v>
      </c>
      <c r="I19" t="s">
        <v>1357</v>
      </c>
      <c r="J19" t="s">
        <v>1357</v>
      </c>
      <c r="K19" t="s">
        <v>1357</v>
      </c>
      <c r="L19" t="s">
        <v>1357</v>
      </c>
      <c r="N19" t="s">
        <v>1364</v>
      </c>
    </row>
    <row r="20" spans="8:14">
      <c r="H20" t="s">
        <v>8353</v>
      </c>
      <c r="I20" t="s">
        <v>1357</v>
      </c>
      <c r="J20" t="s">
        <v>1357</v>
      </c>
      <c r="K20" t="s">
        <v>1357</v>
      </c>
      <c r="L20" t="s">
        <v>1357</v>
      </c>
      <c r="N20" t="s">
        <v>1364</v>
      </c>
    </row>
    <row r="21" spans="8:14">
      <c r="H21" t="s">
        <v>8354</v>
      </c>
      <c r="I21" t="s">
        <v>1357</v>
      </c>
      <c r="J21" t="s">
        <v>1357</v>
      </c>
      <c r="K21" t="s">
        <v>1357</v>
      </c>
      <c r="L21" t="s">
        <v>1357</v>
      </c>
      <c r="N21" t="s">
        <v>1364</v>
      </c>
    </row>
    <row r="22" spans="8:14">
      <c r="H22" t="s">
        <v>8355</v>
      </c>
      <c r="I22" t="s">
        <v>1357</v>
      </c>
      <c r="J22" t="s">
        <v>1357</v>
      </c>
      <c r="K22" t="s">
        <v>1357</v>
      </c>
      <c r="L22" t="s">
        <v>1357</v>
      </c>
      <c r="N22" t="s">
        <v>1364</v>
      </c>
    </row>
    <row r="23" spans="8:14">
      <c r="H23" t="s">
        <v>8356</v>
      </c>
      <c r="I23" t="s">
        <v>1357</v>
      </c>
      <c r="J23" t="s">
        <v>1357</v>
      </c>
      <c r="K23" t="s">
        <v>1357</v>
      </c>
      <c r="L23" t="s">
        <v>1357</v>
      </c>
      <c r="N23" t="s">
        <v>1364</v>
      </c>
    </row>
    <row r="24" spans="8:14">
      <c r="H24" t="s">
        <v>8357</v>
      </c>
      <c r="I24" t="s">
        <v>1357</v>
      </c>
      <c r="J24" t="s">
        <v>1357</v>
      </c>
      <c r="K24" t="s">
        <v>1357</v>
      </c>
      <c r="L24" t="s">
        <v>1357</v>
      </c>
      <c r="N24" t="s">
        <v>1364</v>
      </c>
    </row>
    <row r="25" spans="8:14">
      <c r="H25" t="s">
        <v>8358</v>
      </c>
      <c r="I25" t="s">
        <v>1357</v>
      </c>
      <c r="J25" t="s">
        <v>1357</v>
      </c>
      <c r="K25" t="s">
        <v>1357</v>
      </c>
      <c r="L25" t="s">
        <v>1357</v>
      </c>
      <c r="N25" t="s">
        <v>1364</v>
      </c>
    </row>
    <row r="26" spans="8:14">
      <c r="H26" t="s">
        <v>8359</v>
      </c>
      <c r="I26" t="s">
        <v>1357</v>
      </c>
      <c r="J26" t="s">
        <v>1357</v>
      </c>
      <c r="K26" t="s">
        <v>1357</v>
      </c>
      <c r="L26" t="s">
        <v>1357</v>
      </c>
      <c r="N26" t="s">
        <v>1364</v>
      </c>
    </row>
    <row r="27" spans="8:14">
      <c r="H27" t="s">
        <v>8360</v>
      </c>
      <c r="I27" t="s">
        <v>1357</v>
      </c>
      <c r="J27" t="s">
        <v>1357</v>
      </c>
      <c r="K27" t="s">
        <v>1357</v>
      </c>
      <c r="L27" t="s">
        <v>1357</v>
      </c>
      <c r="N27" t="s">
        <v>1364</v>
      </c>
    </row>
    <row r="28" spans="8:14">
      <c r="H28" t="s">
        <v>8361</v>
      </c>
      <c r="I28" t="s">
        <v>1357</v>
      </c>
      <c r="J28" t="s">
        <v>1357</v>
      </c>
      <c r="K28" t="s">
        <v>1357</v>
      </c>
      <c r="L28" t="s">
        <v>1357</v>
      </c>
      <c r="N28" t="s">
        <v>1364</v>
      </c>
    </row>
    <row r="29" spans="8:14">
      <c r="H29" t="s">
        <v>8362</v>
      </c>
      <c r="I29" t="s">
        <v>1357</v>
      </c>
      <c r="J29" t="s">
        <v>1357</v>
      </c>
      <c r="K29" t="s">
        <v>1357</v>
      </c>
      <c r="L29" t="s">
        <v>1357</v>
      </c>
      <c r="N29" t="s">
        <v>1364</v>
      </c>
    </row>
    <row r="30" spans="8:14">
      <c r="H30" t="s">
        <v>8363</v>
      </c>
      <c r="I30" t="s">
        <v>1357</v>
      </c>
      <c r="J30" t="s">
        <v>1357</v>
      </c>
      <c r="K30" t="s">
        <v>1357</v>
      </c>
      <c r="L30" t="s">
        <v>1357</v>
      </c>
      <c r="N30" t="s">
        <v>1364</v>
      </c>
    </row>
    <row r="31" spans="8:14">
      <c r="H31" t="s">
        <v>8364</v>
      </c>
      <c r="I31" t="s">
        <v>1357</v>
      </c>
      <c r="J31" t="s">
        <v>1357</v>
      </c>
      <c r="K31" t="s">
        <v>1357</v>
      </c>
      <c r="L31" t="s">
        <v>1357</v>
      </c>
      <c r="N31" t="s">
        <v>1364</v>
      </c>
    </row>
    <row r="32" spans="8:14">
      <c r="H32" t="s">
        <v>8365</v>
      </c>
      <c r="I32" t="s">
        <v>1357</v>
      </c>
      <c r="J32" t="s">
        <v>1357</v>
      </c>
      <c r="K32" t="s">
        <v>1357</v>
      </c>
      <c r="L32" t="s">
        <v>1357</v>
      </c>
      <c r="N32" t="s">
        <v>1364</v>
      </c>
    </row>
    <row r="33" spans="1:14">
      <c r="H33" t="s">
        <v>8366</v>
      </c>
      <c r="I33" t="s">
        <v>1357</v>
      </c>
      <c r="J33" t="s">
        <v>1357</v>
      </c>
      <c r="K33" t="s">
        <v>1357</v>
      </c>
      <c r="L33" t="s">
        <v>1357</v>
      </c>
      <c r="N33" t="s">
        <v>1364</v>
      </c>
    </row>
    <row r="34" spans="1:14">
      <c r="H34" t="s">
        <v>8367</v>
      </c>
      <c r="I34" t="s">
        <v>1357</v>
      </c>
      <c r="J34" t="s">
        <v>1357</v>
      </c>
      <c r="K34" t="s">
        <v>1357</v>
      </c>
      <c r="L34" t="s">
        <v>1357</v>
      </c>
      <c r="N34" t="s">
        <v>1364</v>
      </c>
    </row>
    <row r="35" spans="1:14">
      <c r="H35" t="s">
        <v>8368</v>
      </c>
      <c r="I35" t="s">
        <v>1357</v>
      </c>
      <c r="J35" t="s">
        <v>1357</v>
      </c>
      <c r="K35" t="s">
        <v>1357</v>
      </c>
      <c r="L35" t="s">
        <v>1357</v>
      </c>
      <c r="N35" t="s">
        <v>1364</v>
      </c>
    </row>
    <row r="36" spans="1:14">
      <c r="H36" t="s">
        <v>8369</v>
      </c>
      <c r="I36" t="s">
        <v>1357</v>
      </c>
      <c r="J36" t="s">
        <v>1357</v>
      </c>
      <c r="K36" t="s">
        <v>1357</v>
      </c>
      <c r="L36" t="s">
        <v>1357</v>
      </c>
      <c r="N36" t="s">
        <v>1364</v>
      </c>
    </row>
    <row r="37" spans="1:14">
      <c r="A37" t="s">
        <v>6066</v>
      </c>
      <c r="B37">
        <f>HYPERLINK("https://github.com/pmd/pmd/commit/8caf5aafb75cac577ff170eb3c87d5ec49f5671d", "8caf5aafb75cac577ff170eb3c87d5ec49f5671d")</f>
        <v>0</v>
      </c>
      <c r="C37">
        <f>HYPERLINK("https://github.com/pmd/pmd/commit/503b6347640cd0aed4a8223a73afdd89c158e9ee", "503b6347640cd0aed4a8223a73afdd89c158e9ee")</f>
        <v>0</v>
      </c>
      <c r="D37" t="s">
        <v>6492</v>
      </c>
      <c r="E37" t="s">
        <v>6522</v>
      </c>
      <c r="F37" t="s">
        <v>6955</v>
      </c>
      <c r="G37" t="s">
        <v>7702</v>
      </c>
      <c r="H37" t="s">
        <v>8370</v>
      </c>
      <c r="I37" t="s">
        <v>1358</v>
      </c>
      <c r="J37" t="s">
        <v>1358</v>
      </c>
      <c r="K37" t="s">
        <v>1358</v>
      </c>
      <c r="L37" t="s">
        <v>1358</v>
      </c>
    </row>
    <row r="38" spans="1:14">
      <c r="A38" t="s">
        <v>6067</v>
      </c>
      <c r="B38">
        <f>HYPERLINK("https://github.com/pmd/pmd/commit/f6af917772d70abdf28cfd9e5c7b4fed4c32365e", "f6af917772d70abdf28cfd9e5c7b4fed4c32365e")</f>
        <v>0</v>
      </c>
      <c r="C38">
        <f>HYPERLINK("https://github.com/pmd/pmd/commit/176ff26a274feae15e9419e62b18978f3c2d7d0f", "176ff26a274feae15e9419e62b18978f3c2d7d0f")</f>
        <v>0</v>
      </c>
      <c r="D38" t="s">
        <v>6492</v>
      </c>
      <c r="E38" t="s">
        <v>6523</v>
      </c>
      <c r="F38" t="s">
        <v>6954</v>
      </c>
      <c r="G38" t="s">
        <v>7701</v>
      </c>
      <c r="H38" t="s">
        <v>8371</v>
      </c>
      <c r="I38" t="s">
        <v>1357</v>
      </c>
      <c r="J38" t="s">
        <v>1357</v>
      </c>
      <c r="K38" t="s">
        <v>1357</v>
      </c>
      <c r="L38" t="s">
        <v>1357</v>
      </c>
    </row>
    <row r="39" spans="1:14">
      <c r="A39" t="s">
        <v>6068</v>
      </c>
      <c r="B39">
        <f>HYPERLINK("https://github.com/pmd/pmd/commit/ea4f9c8903161509c633b5d91bd257062110d399", "ea4f9c8903161509c633b5d91bd257062110d399")</f>
        <v>0</v>
      </c>
      <c r="C39">
        <f>HYPERLINK("https://github.com/pmd/pmd/commit/f6af917772d70abdf28cfd9e5c7b4fed4c32365e", "f6af917772d70abdf28cfd9e5c7b4fed4c32365e")</f>
        <v>0</v>
      </c>
      <c r="D39" t="s">
        <v>6492</v>
      </c>
      <c r="E39" t="s">
        <v>6524</v>
      </c>
      <c r="F39" t="s">
        <v>6956</v>
      </c>
      <c r="G39" t="s">
        <v>7703</v>
      </c>
      <c r="H39" t="s">
        <v>8372</v>
      </c>
      <c r="I39" t="s">
        <v>1357</v>
      </c>
      <c r="J39" t="s">
        <v>1357</v>
      </c>
      <c r="K39" t="s">
        <v>1357</v>
      </c>
      <c r="L39" t="s">
        <v>1357</v>
      </c>
      <c r="N39" t="s">
        <v>1364</v>
      </c>
    </row>
    <row r="40" spans="1:14">
      <c r="H40" t="s">
        <v>8373</v>
      </c>
      <c r="I40" t="s">
        <v>1357</v>
      </c>
      <c r="J40" t="s">
        <v>1357</v>
      </c>
      <c r="K40" t="s">
        <v>1357</v>
      </c>
      <c r="L40" t="s">
        <v>1357</v>
      </c>
      <c r="N40" t="s">
        <v>1364</v>
      </c>
    </row>
    <row r="41" spans="1:14">
      <c r="H41" t="s">
        <v>8374</v>
      </c>
      <c r="I41" t="s">
        <v>1357</v>
      </c>
      <c r="J41" t="s">
        <v>1357</v>
      </c>
      <c r="K41" t="s">
        <v>1357</v>
      </c>
      <c r="L41" t="s">
        <v>1357</v>
      </c>
      <c r="N41" t="s">
        <v>1364</v>
      </c>
    </row>
    <row r="42" spans="1:14">
      <c r="A42" t="s">
        <v>6069</v>
      </c>
      <c r="B42">
        <f>HYPERLINK("https://github.com/pmd/pmd/commit/c608b10430729f8745dd5688b3148e7cd045bfa6", "c608b10430729f8745dd5688b3148e7cd045bfa6")</f>
        <v>0</v>
      </c>
      <c r="C42">
        <f>HYPERLINK("https://github.com/pmd/pmd/commit/ea4f9c8903161509c633b5d91bd257062110d399", "ea4f9c8903161509c633b5d91bd257062110d399")</f>
        <v>0</v>
      </c>
      <c r="D42" t="s">
        <v>6492</v>
      </c>
      <c r="E42" t="s">
        <v>6525</v>
      </c>
      <c r="F42" t="s">
        <v>6954</v>
      </c>
      <c r="G42" t="s">
        <v>7701</v>
      </c>
      <c r="H42" t="s">
        <v>8375</v>
      </c>
      <c r="I42" t="s">
        <v>1357</v>
      </c>
      <c r="J42" t="s">
        <v>1357</v>
      </c>
      <c r="K42" t="s">
        <v>1357</v>
      </c>
      <c r="L42" t="s">
        <v>1357</v>
      </c>
      <c r="N42" t="s">
        <v>1364</v>
      </c>
    </row>
    <row r="43" spans="1:14">
      <c r="H43" t="s">
        <v>8376</v>
      </c>
      <c r="I43" t="s">
        <v>1357</v>
      </c>
      <c r="J43" t="s">
        <v>1357</v>
      </c>
      <c r="K43" t="s">
        <v>1357</v>
      </c>
      <c r="L43" t="s">
        <v>1357</v>
      </c>
      <c r="N43" t="s">
        <v>1364</v>
      </c>
    </row>
    <row r="44" spans="1:14">
      <c r="F44" t="s">
        <v>6953</v>
      </c>
      <c r="G44" t="s">
        <v>7700</v>
      </c>
      <c r="H44" t="s">
        <v>8337</v>
      </c>
      <c r="I44" t="s">
        <v>1358</v>
      </c>
      <c r="J44" t="s">
        <v>1358</v>
      </c>
      <c r="K44" t="s">
        <v>1358</v>
      </c>
      <c r="L44" t="s">
        <v>1358</v>
      </c>
    </row>
    <row r="45" spans="1:14">
      <c r="A45" t="s">
        <v>6070</v>
      </c>
      <c r="B45">
        <f>HYPERLINK("https://github.com/pmd/pmd/commit/7e198b29d84b2de26598c639f9d49eeb216df681", "7e198b29d84b2de26598c639f9d49eeb216df681")</f>
        <v>0</v>
      </c>
      <c r="C45">
        <f>HYPERLINK("https://github.com/pmd/pmd/commit/ae464bdb6f7ca19306fe23ff267bf7f8bb17e962", "ae464bdb6f7ca19306fe23ff267bf7f8bb17e962")</f>
        <v>0</v>
      </c>
      <c r="D45" t="s">
        <v>6492</v>
      </c>
      <c r="E45" t="s">
        <v>6526</v>
      </c>
      <c r="F45" t="s">
        <v>6957</v>
      </c>
      <c r="G45" t="s">
        <v>7704</v>
      </c>
      <c r="H45" t="s">
        <v>8377</v>
      </c>
      <c r="I45" t="s">
        <v>1357</v>
      </c>
      <c r="J45" t="s">
        <v>1357</v>
      </c>
      <c r="K45" t="s">
        <v>1357</v>
      </c>
      <c r="L45" t="s">
        <v>1357</v>
      </c>
    </row>
    <row r="46" spans="1:14">
      <c r="H46" t="s">
        <v>8378</v>
      </c>
      <c r="I46" t="s">
        <v>1357</v>
      </c>
      <c r="J46" t="s">
        <v>1357</v>
      </c>
      <c r="K46" t="s">
        <v>1357</v>
      </c>
      <c r="L46" t="s">
        <v>1357</v>
      </c>
    </row>
    <row r="47" spans="1:14">
      <c r="H47" t="s">
        <v>3821</v>
      </c>
      <c r="I47" t="s">
        <v>1357</v>
      </c>
      <c r="J47" t="s">
        <v>1357</v>
      </c>
      <c r="K47" t="s">
        <v>1357</v>
      </c>
      <c r="L47" t="s">
        <v>1357</v>
      </c>
    </row>
    <row r="48" spans="1:14">
      <c r="H48" t="s">
        <v>8379</v>
      </c>
      <c r="I48" t="s">
        <v>1357</v>
      </c>
      <c r="J48" t="s">
        <v>1357</v>
      </c>
      <c r="K48" t="s">
        <v>1357</v>
      </c>
      <c r="L48" t="s">
        <v>1357</v>
      </c>
    </row>
    <row r="49" spans="1:14">
      <c r="H49" t="s">
        <v>8380</v>
      </c>
      <c r="I49" t="s">
        <v>1357</v>
      </c>
      <c r="J49" t="s">
        <v>1357</v>
      </c>
      <c r="K49" t="s">
        <v>1357</v>
      </c>
      <c r="L49" t="s">
        <v>1357</v>
      </c>
    </row>
    <row r="50" spans="1:14">
      <c r="H50" t="s">
        <v>1079</v>
      </c>
      <c r="I50" t="s">
        <v>1357</v>
      </c>
      <c r="J50" t="s">
        <v>1357</v>
      </c>
      <c r="K50" t="s">
        <v>1357</v>
      </c>
      <c r="L50" t="s">
        <v>1357</v>
      </c>
    </row>
    <row r="51" spans="1:14">
      <c r="A51" t="s">
        <v>6071</v>
      </c>
      <c r="B51">
        <f>HYPERLINK("https://github.com/pmd/pmd/commit/6a96a5ba113e9a31c338bef1133ab4a21b875094", "6a96a5ba113e9a31c338bef1133ab4a21b875094")</f>
        <v>0</v>
      </c>
      <c r="C51">
        <f>HYPERLINK("https://github.com/pmd/pmd/commit/e115567351dc4de84df8212d5c5b18775c72369d", "e115567351dc4de84df8212d5c5b18775c72369d")</f>
        <v>0</v>
      </c>
      <c r="D51" t="s">
        <v>6492</v>
      </c>
      <c r="E51" t="s">
        <v>6527</v>
      </c>
      <c r="F51" t="s">
        <v>6955</v>
      </c>
      <c r="G51" t="s">
        <v>7702</v>
      </c>
      <c r="H51" t="s">
        <v>8381</v>
      </c>
      <c r="I51" t="s">
        <v>1357</v>
      </c>
      <c r="J51" t="s">
        <v>1357</v>
      </c>
      <c r="K51" t="s">
        <v>1357</v>
      </c>
      <c r="L51" t="s">
        <v>1357</v>
      </c>
      <c r="M51" t="s">
        <v>1360</v>
      </c>
      <c r="N51" t="s">
        <v>1360</v>
      </c>
    </row>
    <row r="52" spans="1:14">
      <c r="A52" t="s">
        <v>6072</v>
      </c>
      <c r="B52">
        <f>HYPERLINK("https://github.com/pmd/pmd/commit/9f85ecdd79aff0a484f0668338574b07cc4d933d", "9f85ecdd79aff0a484f0668338574b07cc4d933d")</f>
        <v>0</v>
      </c>
      <c r="C52">
        <f>HYPERLINK("https://github.com/pmd/pmd/commit/ff1ced2f6cebe11df5cb8b34d7030398cdda3b64", "ff1ced2f6cebe11df5cb8b34d7030398cdda3b64")</f>
        <v>0</v>
      </c>
      <c r="D52" t="s">
        <v>6492</v>
      </c>
      <c r="E52" t="s">
        <v>6528</v>
      </c>
      <c r="F52" t="s">
        <v>6958</v>
      </c>
      <c r="G52" t="s">
        <v>7705</v>
      </c>
      <c r="H52" t="s">
        <v>8339</v>
      </c>
      <c r="I52" t="s">
        <v>1357</v>
      </c>
      <c r="J52" t="s">
        <v>1357</v>
      </c>
      <c r="K52" t="s">
        <v>1357</v>
      </c>
      <c r="L52" t="s">
        <v>1357</v>
      </c>
    </row>
    <row r="53" spans="1:14">
      <c r="H53" t="s">
        <v>8382</v>
      </c>
      <c r="I53" t="s">
        <v>1357</v>
      </c>
      <c r="J53" t="s">
        <v>1357</v>
      </c>
      <c r="K53" t="s">
        <v>1357</v>
      </c>
      <c r="L53" t="s">
        <v>1357</v>
      </c>
    </row>
    <row r="54" spans="1:14">
      <c r="H54" t="s">
        <v>8383</v>
      </c>
      <c r="I54" t="s">
        <v>1357</v>
      </c>
      <c r="J54" t="s">
        <v>1357</v>
      </c>
      <c r="K54" t="s">
        <v>1357</v>
      </c>
      <c r="L54" t="s">
        <v>1357</v>
      </c>
    </row>
    <row r="55" spans="1:14">
      <c r="A55" t="s">
        <v>6073</v>
      </c>
      <c r="B55">
        <f>HYPERLINK("https://github.com/pmd/pmd/commit/38b2b884c14b2a824c8f1d5f19a363324559fbc5", "38b2b884c14b2a824c8f1d5f19a363324559fbc5")</f>
        <v>0</v>
      </c>
      <c r="C55">
        <f>HYPERLINK("https://github.com/pmd/pmd/commit/31540e3553e8c1bc8a84f749b832f80ada287b83", "31540e3553e8c1bc8a84f749b832f80ada287b83")</f>
        <v>0</v>
      </c>
      <c r="D55" t="s">
        <v>6493</v>
      </c>
      <c r="E55" t="s">
        <v>6529</v>
      </c>
      <c r="F55" t="s">
        <v>6954</v>
      </c>
      <c r="G55" t="s">
        <v>7701</v>
      </c>
      <c r="H55" t="s">
        <v>8384</v>
      </c>
      <c r="I55" t="s">
        <v>1358</v>
      </c>
      <c r="J55" t="s">
        <v>1358</v>
      </c>
      <c r="K55" t="s">
        <v>1358</v>
      </c>
      <c r="L55" t="s">
        <v>1358</v>
      </c>
    </row>
    <row r="56" spans="1:14">
      <c r="A56" t="s">
        <v>6074</v>
      </c>
      <c r="B56">
        <f>HYPERLINK("https://github.com/pmd/pmd/commit/74aa0f63637675d5bea652f72910eb599d090eba", "74aa0f63637675d5bea652f72910eb599d090eba")</f>
        <v>0</v>
      </c>
      <c r="C56">
        <f>HYPERLINK("https://github.com/pmd/pmd/commit/5e634bfa07e1b99bf9152350c4dffa2da19ac654", "5e634bfa07e1b99bf9152350c4dffa2da19ac654")</f>
        <v>0</v>
      </c>
      <c r="D56" t="s">
        <v>6492</v>
      </c>
      <c r="E56" t="s">
        <v>6530</v>
      </c>
      <c r="F56" t="s">
        <v>6959</v>
      </c>
      <c r="G56" t="s">
        <v>7706</v>
      </c>
      <c r="H56" t="s">
        <v>8350</v>
      </c>
      <c r="I56" t="s">
        <v>1357</v>
      </c>
      <c r="J56" t="s">
        <v>1357</v>
      </c>
      <c r="K56" t="s">
        <v>1357</v>
      </c>
      <c r="L56" t="s">
        <v>1357</v>
      </c>
      <c r="N56" t="s">
        <v>1364</v>
      </c>
    </row>
    <row r="57" spans="1:14">
      <c r="A57" t="s">
        <v>6075</v>
      </c>
      <c r="B57">
        <f>HYPERLINK("https://github.com/pmd/pmd/commit/d702bad87e60b831a5297b3fbe945f5a1f89d7eb", "d702bad87e60b831a5297b3fbe945f5a1f89d7eb")</f>
        <v>0</v>
      </c>
      <c r="C57">
        <f>HYPERLINK("https://github.com/pmd/pmd/commit/06862eaa4f3e3ad33bc8f09f04fdb8503477f29a", "06862eaa4f3e3ad33bc8f09f04fdb8503477f29a")</f>
        <v>0</v>
      </c>
      <c r="D57" t="s">
        <v>6492</v>
      </c>
      <c r="E57" t="s">
        <v>6531</v>
      </c>
      <c r="F57" t="s">
        <v>6960</v>
      </c>
      <c r="G57" t="s">
        <v>7707</v>
      </c>
      <c r="H57" t="s">
        <v>8385</v>
      </c>
      <c r="I57" t="s">
        <v>1358</v>
      </c>
      <c r="J57" t="s">
        <v>1358</v>
      </c>
      <c r="K57" t="s">
        <v>1358</v>
      </c>
      <c r="L57" t="s">
        <v>1358</v>
      </c>
    </row>
    <row r="58" spans="1:14">
      <c r="A58" t="s">
        <v>6076</v>
      </c>
      <c r="B58">
        <f>HYPERLINK("https://github.com/pmd/pmd/commit/9992d0f51104ce8fec3d5a96c58e8080ac7120ef", "9992d0f51104ce8fec3d5a96c58e8080ac7120ef")</f>
        <v>0</v>
      </c>
      <c r="C58">
        <f>HYPERLINK("https://github.com/pmd/pmd/commit/d702bad87e60b831a5297b3fbe945f5a1f89d7eb", "d702bad87e60b831a5297b3fbe945f5a1f89d7eb")</f>
        <v>0</v>
      </c>
      <c r="D58" t="s">
        <v>6492</v>
      </c>
      <c r="E58" t="s">
        <v>6532</v>
      </c>
      <c r="F58" t="s">
        <v>6960</v>
      </c>
      <c r="G58" t="s">
        <v>7707</v>
      </c>
      <c r="H58" t="s">
        <v>8386</v>
      </c>
      <c r="I58" t="s">
        <v>1358</v>
      </c>
      <c r="J58" t="s">
        <v>1358</v>
      </c>
      <c r="K58" t="s">
        <v>1358</v>
      </c>
      <c r="L58" t="s">
        <v>1358</v>
      </c>
    </row>
    <row r="59" spans="1:14">
      <c r="H59" t="s">
        <v>8387</v>
      </c>
      <c r="I59" t="s">
        <v>1358</v>
      </c>
      <c r="J59" t="s">
        <v>1358</v>
      </c>
      <c r="K59" t="s">
        <v>1358</v>
      </c>
      <c r="L59" t="s">
        <v>1358</v>
      </c>
    </row>
    <row r="60" spans="1:14">
      <c r="A60" t="s">
        <v>6077</v>
      </c>
      <c r="B60">
        <f>HYPERLINK("https://github.com/pmd/pmd/commit/b17e43333b574d109f8487a35b07f311cbfe9a2e", "b17e43333b574d109f8487a35b07f311cbfe9a2e")</f>
        <v>0</v>
      </c>
      <c r="C60">
        <f>HYPERLINK("https://github.com/pmd/pmd/commit/974c6c9f210e38267be6fa6d81de3ddf3a654334", "974c6c9f210e38267be6fa6d81de3ddf3a654334")</f>
        <v>0</v>
      </c>
      <c r="D60" t="s">
        <v>6492</v>
      </c>
      <c r="E60" t="s">
        <v>6533</v>
      </c>
      <c r="F60" t="s">
        <v>6961</v>
      </c>
      <c r="G60" t="s">
        <v>7708</v>
      </c>
      <c r="H60" t="s">
        <v>8388</v>
      </c>
      <c r="I60" t="s">
        <v>1357</v>
      </c>
      <c r="J60" t="s">
        <v>1357</v>
      </c>
      <c r="K60" t="s">
        <v>1357</v>
      </c>
      <c r="L60" t="s">
        <v>1357</v>
      </c>
    </row>
    <row r="61" spans="1:14">
      <c r="A61" t="s">
        <v>6078</v>
      </c>
      <c r="B61">
        <f>HYPERLINK("https://github.com/pmd/pmd/commit/dfe94cf86887a0620560392c918be672d64d709f", "dfe94cf86887a0620560392c918be672d64d709f")</f>
        <v>0</v>
      </c>
      <c r="C61">
        <f>HYPERLINK("https://github.com/pmd/pmd/commit/4dc2bcbac3587ce9ee429bc5e37308febae35241", "4dc2bcbac3587ce9ee429bc5e37308febae35241")</f>
        <v>0</v>
      </c>
      <c r="D61" t="s">
        <v>6492</v>
      </c>
      <c r="E61" t="s">
        <v>6534</v>
      </c>
      <c r="F61" t="s">
        <v>6962</v>
      </c>
      <c r="G61" t="s">
        <v>7709</v>
      </c>
      <c r="H61" t="s">
        <v>8358</v>
      </c>
      <c r="I61" t="s">
        <v>1357</v>
      </c>
      <c r="J61" t="s">
        <v>1357</v>
      </c>
      <c r="K61" t="s">
        <v>1357</v>
      </c>
      <c r="L61" t="s">
        <v>1357</v>
      </c>
    </row>
    <row r="62" spans="1:14">
      <c r="F62" t="s">
        <v>6963</v>
      </c>
      <c r="G62" t="s">
        <v>7710</v>
      </c>
      <c r="H62" t="s">
        <v>8359</v>
      </c>
      <c r="I62" t="s">
        <v>1357</v>
      </c>
      <c r="J62" t="s">
        <v>1357</v>
      </c>
      <c r="K62" t="s">
        <v>1357</v>
      </c>
      <c r="L62" t="s">
        <v>1357</v>
      </c>
    </row>
    <row r="63" spans="1:14">
      <c r="F63" t="s">
        <v>6964</v>
      </c>
      <c r="G63" t="s">
        <v>7711</v>
      </c>
      <c r="H63" t="s">
        <v>8356</v>
      </c>
      <c r="I63" t="s">
        <v>1357</v>
      </c>
      <c r="J63" t="s">
        <v>1357</v>
      </c>
      <c r="K63" t="s">
        <v>1357</v>
      </c>
      <c r="L63" t="s">
        <v>1357</v>
      </c>
    </row>
    <row r="64" spans="1:14">
      <c r="F64" t="s">
        <v>6965</v>
      </c>
      <c r="G64" t="s">
        <v>7712</v>
      </c>
      <c r="H64" t="s">
        <v>8357</v>
      </c>
      <c r="I64" t="s">
        <v>1357</v>
      </c>
      <c r="J64" t="s">
        <v>1357</v>
      </c>
      <c r="K64" t="s">
        <v>1357</v>
      </c>
      <c r="L64" t="s">
        <v>1357</v>
      </c>
    </row>
    <row r="65" spans="1:12">
      <c r="F65" t="s">
        <v>6966</v>
      </c>
      <c r="G65" t="s">
        <v>7713</v>
      </c>
      <c r="H65" t="s">
        <v>8355</v>
      </c>
      <c r="I65" t="s">
        <v>1357</v>
      </c>
      <c r="J65" t="s">
        <v>1357</v>
      </c>
      <c r="K65" t="s">
        <v>1357</v>
      </c>
      <c r="L65" t="s">
        <v>1357</v>
      </c>
    </row>
    <row r="66" spans="1:12">
      <c r="H66" t="s">
        <v>8389</v>
      </c>
      <c r="I66" t="s">
        <v>1357</v>
      </c>
      <c r="J66" t="s">
        <v>1357</v>
      </c>
      <c r="K66" t="s">
        <v>1357</v>
      </c>
      <c r="L66" t="s">
        <v>1357</v>
      </c>
    </row>
    <row r="67" spans="1:12">
      <c r="A67" t="s">
        <v>6079</v>
      </c>
      <c r="B67">
        <f>HYPERLINK("https://github.com/pmd/pmd/commit/ecd8b789224cfab851756eaa128f02692d90260b", "ecd8b789224cfab851756eaa128f02692d90260b")</f>
        <v>0</v>
      </c>
      <c r="C67">
        <f>HYPERLINK("https://github.com/pmd/pmd/commit/dfe94cf86887a0620560392c918be672d64d709f", "dfe94cf86887a0620560392c918be672d64d709f")</f>
        <v>0</v>
      </c>
      <c r="D67" t="s">
        <v>6492</v>
      </c>
      <c r="E67" t="s">
        <v>6535</v>
      </c>
      <c r="F67" t="s">
        <v>6967</v>
      </c>
      <c r="G67" t="s">
        <v>7714</v>
      </c>
      <c r="H67" t="s">
        <v>8362</v>
      </c>
      <c r="I67" t="s">
        <v>1358</v>
      </c>
      <c r="J67" t="s">
        <v>1358</v>
      </c>
      <c r="K67" t="s">
        <v>1358</v>
      </c>
      <c r="L67" t="s">
        <v>1358</v>
      </c>
    </row>
    <row r="68" spans="1:12">
      <c r="H68" t="s">
        <v>8363</v>
      </c>
      <c r="I68" t="s">
        <v>1358</v>
      </c>
      <c r="J68" t="s">
        <v>1358</v>
      </c>
      <c r="K68" t="s">
        <v>1358</v>
      </c>
      <c r="L68" t="s">
        <v>1358</v>
      </c>
    </row>
    <row r="69" spans="1:12">
      <c r="H69" t="s">
        <v>8364</v>
      </c>
      <c r="I69" t="s">
        <v>1358</v>
      </c>
      <c r="J69" t="s">
        <v>1358</v>
      </c>
      <c r="K69" t="s">
        <v>1358</v>
      </c>
      <c r="L69" t="s">
        <v>1358</v>
      </c>
    </row>
    <row r="70" spans="1:12">
      <c r="H70" t="s">
        <v>8365</v>
      </c>
      <c r="I70" t="s">
        <v>1358</v>
      </c>
      <c r="J70" t="s">
        <v>1358</v>
      </c>
      <c r="K70" t="s">
        <v>1358</v>
      </c>
      <c r="L70" t="s">
        <v>1358</v>
      </c>
    </row>
    <row r="71" spans="1:12">
      <c r="H71" t="s">
        <v>8366</v>
      </c>
      <c r="I71" t="s">
        <v>1358</v>
      </c>
      <c r="J71" t="s">
        <v>1358</v>
      </c>
      <c r="K71" t="s">
        <v>1358</v>
      </c>
      <c r="L71" t="s">
        <v>1358</v>
      </c>
    </row>
    <row r="72" spans="1:12">
      <c r="H72" t="s">
        <v>8367</v>
      </c>
      <c r="I72" t="s">
        <v>1358</v>
      </c>
      <c r="J72" t="s">
        <v>1358</v>
      </c>
      <c r="K72" t="s">
        <v>1358</v>
      </c>
      <c r="L72" t="s">
        <v>1358</v>
      </c>
    </row>
    <row r="73" spans="1:12">
      <c r="H73" t="s">
        <v>8368</v>
      </c>
      <c r="I73" t="s">
        <v>1358</v>
      </c>
      <c r="J73" t="s">
        <v>1358</v>
      </c>
      <c r="K73" t="s">
        <v>1358</v>
      </c>
      <c r="L73" t="s">
        <v>1358</v>
      </c>
    </row>
    <row r="74" spans="1:12">
      <c r="H74" t="s">
        <v>8390</v>
      </c>
      <c r="I74" t="s">
        <v>1358</v>
      </c>
      <c r="J74" t="s">
        <v>1358</v>
      </c>
      <c r="K74" t="s">
        <v>1358</v>
      </c>
      <c r="L74" t="s">
        <v>1358</v>
      </c>
    </row>
    <row r="75" spans="1:12">
      <c r="A75" t="s">
        <v>6080</v>
      </c>
      <c r="B75">
        <f>HYPERLINK("https://github.com/pmd/pmd/commit/002bb4a596fe2a53e079311c72a0a7dcd0286511", "002bb4a596fe2a53e079311c72a0a7dcd0286511")</f>
        <v>0</v>
      </c>
      <c r="C75">
        <f>HYPERLINK("https://github.com/pmd/pmd/commit/dfebabf22061598166948754004f6d2531650e41", "dfebabf22061598166948754004f6d2531650e41")</f>
        <v>0</v>
      </c>
      <c r="D75" t="s">
        <v>6492</v>
      </c>
      <c r="E75" t="s">
        <v>6536</v>
      </c>
      <c r="F75" t="s">
        <v>6959</v>
      </c>
      <c r="G75" t="s">
        <v>7706</v>
      </c>
      <c r="H75" t="s">
        <v>8341</v>
      </c>
      <c r="I75" t="s">
        <v>1358</v>
      </c>
      <c r="J75" t="s">
        <v>1358</v>
      </c>
      <c r="K75" t="s">
        <v>1358</v>
      </c>
      <c r="L75" t="s">
        <v>1358</v>
      </c>
    </row>
    <row r="76" spans="1:12">
      <c r="H76" t="s">
        <v>8342</v>
      </c>
      <c r="I76" t="s">
        <v>1358</v>
      </c>
      <c r="J76" t="s">
        <v>1358</v>
      </c>
      <c r="K76" t="s">
        <v>1358</v>
      </c>
      <c r="L76" t="s">
        <v>1358</v>
      </c>
    </row>
    <row r="77" spans="1:12">
      <c r="H77" t="s">
        <v>8343</v>
      </c>
      <c r="I77" t="s">
        <v>1358</v>
      </c>
      <c r="J77" t="s">
        <v>1358</v>
      </c>
      <c r="K77" t="s">
        <v>1358</v>
      </c>
      <c r="L77" t="s">
        <v>1358</v>
      </c>
    </row>
    <row r="78" spans="1:12">
      <c r="H78" t="s">
        <v>8344</v>
      </c>
      <c r="I78" t="s">
        <v>1358</v>
      </c>
      <c r="J78" t="s">
        <v>1358</v>
      </c>
      <c r="K78" t="s">
        <v>1358</v>
      </c>
      <c r="L78" t="s">
        <v>1358</v>
      </c>
    </row>
    <row r="79" spans="1:12">
      <c r="H79" t="s">
        <v>8345</v>
      </c>
      <c r="I79" t="s">
        <v>1358</v>
      </c>
      <c r="J79" t="s">
        <v>1358</v>
      </c>
      <c r="K79" t="s">
        <v>1358</v>
      </c>
      <c r="L79" t="s">
        <v>1358</v>
      </c>
    </row>
    <row r="80" spans="1:12">
      <c r="H80" t="s">
        <v>8346</v>
      </c>
      <c r="I80" t="s">
        <v>1358</v>
      </c>
      <c r="J80" t="s">
        <v>1358</v>
      </c>
      <c r="K80" t="s">
        <v>1358</v>
      </c>
      <c r="L80" t="s">
        <v>1358</v>
      </c>
    </row>
    <row r="81" spans="1:14">
      <c r="H81" t="s">
        <v>8347</v>
      </c>
      <c r="I81" t="s">
        <v>1358</v>
      </c>
      <c r="J81" t="s">
        <v>1358</v>
      </c>
      <c r="K81" t="s">
        <v>1358</v>
      </c>
      <c r="L81" t="s">
        <v>1358</v>
      </c>
    </row>
    <row r="82" spans="1:14">
      <c r="H82" t="s">
        <v>8348</v>
      </c>
      <c r="I82" t="s">
        <v>1358</v>
      </c>
      <c r="J82" t="s">
        <v>1358</v>
      </c>
      <c r="K82" t="s">
        <v>1358</v>
      </c>
      <c r="L82" t="s">
        <v>1358</v>
      </c>
    </row>
    <row r="83" spans="1:14">
      <c r="H83" t="s">
        <v>8349</v>
      </c>
      <c r="I83" t="s">
        <v>1358</v>
      </c>
      <c r="J83" t="s">
        <v>1358</v>
      </c>
      <c r="K83" t="s">
        <v>1358</v>
      </c>
      <c r="L83" t="s">
        <v>1358</v>
      </c>
    </row>
    <row r="84" spans="1:14">
      <c r="H84" t="s">
        <v>8350</v>
      </c>
      <c r="I84" t="s">
        <v>1358</v>
      </c>
      <c r="J84" t="s">
        <v>1358</v>
      </c>
      <c r="K84" t="s">
        <v>1358</v>
      </c>
      <c r="L84" t="s">
        <v>1358</v>
      </c>
    </row>
    <row r="85" spans="1:14">
      <c r="H85" t="s">
        <v>8391</v>
      </c>
      <c r="I85" t="s">
        <v>1358</v>
      </c>
      <c r="J85" t="s">
        <v>1358</v>
      </c>
      <c r="K85" t="s">
        <v>1358</v>
      </c>
      <c r="L85" t="s">
        <v>1358</v>
      </c>
    </row>
    <row r="86" spans="1:14">
      <c r="H86" t="s">
        <v>8392</v>
      </c>
      <c r="I86" t="s">
        <v>1358</v>
      </c>
      <c r="J86" t="s">
        <v>1358</v>
      </c>
      <c r="K86" t="s">
        <v>1358</v>
      </c>
      <c r="L86" t="s">
        <v>1358</v>
      </c>
    </row>
    <row r="87" spans="1:14">
      <c r="H87" t="s">
        <v>8393</v>
      </c>
      <c r="I87" t="s">
        <v>1358</v>
      </c>
      <c r="J87" t="s">
        <v>1358</v>
      </c>
      <c r="K87" t="s">
        <v>1358</v>
      </c>
      <c r="L87" t="s">
        <v>1358</v>
      </c>
    </row>
    <row r="88" spans="1:14">
      <c r="A88" t="s">
        <v>6081</v>
      </c>
      <c r="B88">
        <f>HYPERLINK("https://github.com/pmd/pmd/commit/86c41378b6f3670cd91cbf4fd10174cd167bb5bb", "86c41378b6f3670cd91cbf4fd10174cd167bb5bb")</f>
        <v>0</v>
      </c>
      <c r="C88">
        <f>HYPERLINK("https://github.com/pmd/pmd/commit/0235967ca525133e3666c4661668f52335c9f0dc", "0235967ca525133e3666c4661668f52335c9f0dc")</f>
        <v>0</v>
      </c>
      <c r="D88" t="s">
        <v>6492</v>
      </c>
      <c r="E88" t="s">
        <v>6537</v>
      </c>
      <c r="F88" t="s">
        <v>6968</v>
      </c>
      <c r="G88" t="s">
        <v>7715</v>
      </c>
      <c r="H88" t="s">
        <v>8394</v>
      </c>
      <c r="I88" t="s">
        <v>1357</v>
      </c>
      <c r="J88" t="s">
        <v>1357</v>
      </c>
      <c r="K88" t="s">
        <v>1357</v>
      </c>
      <c r="L88" t="s">
        <v>1357</v>
      </c>
      <c r="N88" t="s">
        <v>1371</v>
      </c>
    </row>
    <row r="89" spans="1:14">
      <c r="A89" t="s">
        <v>6082</v>
      </c>
      <c r="B89">
        <f>HYPERLINK("https://github.com/pmd/pmd/commit/56279206140494dbfd7039467a94ecf1b9bfd982", "56279206140494dbfd7039467a94ecf1b9bfd982")</f>
        <v>0</v>
      </c>
      <c r="C89">
        <f>HYPERLINK("https://github.com/pmd/pmd/commit/2039c4bd97735e425bee119ae130e97238a47668", "2039c4bd97735e425bee119ae130e97238a47668")</f>
        <v>0</v>
      </c>
      <c r="D89" t="s">
        <v>6492</v>
      </c>
      <c r="E89" t="s">
        <v>6538</v>
      </c>
      <c r="F89" t="s">
        <v>6969</v>
      </c>
      <c r="G89" t="s">
        <v>7716</v>
      </c>
      <c r="H89" t="s">
        <v>8337</v>
      </c>
      <c r="I89" t="s">
        <v>1357</v>
      </c>
      <c r="J89" t="s">
        <v>1357</v>
      </c>
      <c r="K89" t="s">
        <v>1357</v>
      </c>
      <c r="L89" t="s">
        <v>1357</v>
      </c>
      <c r="N89" t="s">
        <v>9926</v>
      </c>
    </row>
    <row r="90" spans="1:14">
      <c r="A90" t="s">
        <v>6083</v>
      </c>
      <c r="B90">
        <f>HYPERLINK("https://github.com/pmd/pmd/commit/9e71af05bc4bc49426aa28e9fc9709e3ae4fa067", "9e71af05bc4bc49426aa28e9fc9709e3ae4fa067")</f>
        <v>0</v>
      </c>
      <c r="C90">
        <f>HYPERLINK("https://github.com/pmd/pmd/commit/c01be1ca027404a883afb302c7993d45668aee5f", "c01be1ca027404a883afb302c7993d45668aee5f")</f>
        <v>0</v>
      </c>
      <c r="D90" t="s">
        <v>6492</v>
      </c>
      <c r="E90" t="s">
        <v>6539</v>
      </c>
      <c r="F90" t="s">
        <v>6970</v>
      </c>
      <c r="G90" t="s">
        <v>7717</v>
      </c>
      <c r="H90" t="s">
        <v>8395</v>
      </c>
      <c r="I90" t="s">
        <v>1357</v>
      </c>
      <c r="J90" t="s">
        <v>1357</v>
      </c>
      <c r="K90" t="s">
        <v>1357</v>
      </c>
      <c r="L90" t="s">
        <v>1357</v>
      </c>
      <c r="N90" t="s">
        <v>1371</v>
      </c>
    </row>
    <row r="91" spans="1:14">
      <c r="A91" t="s">
        <v>6084</v>
      </c>
      <c r="B91">
        <f>HYPERLINK("https://github.com/pmd/pmd/commit/f22958b07f9c6f16c9ad8bcd390bae34a371bfa3", "f22958b07f9c6f16c9ad8bcd390bae34a371bfa3")</f>
        <v>0</v>
      </c>
      <c r="C91">
        <f>HYPERLINK("https://github.com/pmd/pmd/commit/fd9ea76ddc7c932d2deae590d138ebf057cd33e4", "fd9ea76ddc7c932d2deae590d138ebf057cd33e4")</f>
        <v>0</v>
      </c>
      <c r="D91" t="s">
        <v>6492</v>
      </c>
      <c r="E91" t="s">
        <v>6540</v>
      </c>
      <c r="F91" t="s">
        <v>6970</v>
      </c>
      <c r="G91" t="s">
        <v>7717</v>
      </c>
      <c r="H91" t="s">
        <v>8337</v>
      </c>
      <c r="I91" t="s">
        <v>1357</v>
      </c>
      <c r="J91" t="s">
        <v>1357</v>
      </c>
      <c r="K91" t="s">
        <v>1357</v>
      </c>
      <c r="L91" t="s">
        <v>1357</v>
      </c>
    </row>
    <row r="92" spans="1:14">
      <c r="H92" t="s">
        <v>8335</v>
      </c>
      <c r="I92" t="s">
        <v>1357</v>
      </c>
      <c r="J92" t="s">
        <v>1357</v>
      </c>
      <c r="K92" t="s">
        <v>1357</v>
      </c>
      <c r="L92" t="s">
        <v>1357</v>
      </c>
    </row>
    <row r="93" spans="1:14">
      <c r="F93" t="s">
        <v>6971</v>
      </c>
      <c r="G93" t="s">
        <v>7718</v>
      </c>
      <c r="H93" t="s">
        <v>3834</v>
      </c>
      <c r="I93" t="s">
        <v>1357</v>
      </c>
      <c r="J93" t="s">
        <v>1357</v>
      </c>
      <c r="K93" t="s">
        <v>1357</v>
      </c>
      <c r="L93" t="s">
        <v>1357</v>
      </c>
    </row>
    <row r="94" spans="1:14">
      <c r="F94" t="s">
        <v>6968</v>
      </c>
      <c r="G94" t="s">
        <v>7715</v>
      </c>
      <c r="H94" t="s">
        <v>8337</v>
      </c>
      <c r="I94" t="s">
        <v>1357</v>
      </c>
      <c r="J94" t="s">
        <v>1357</v>
      </c>
      <c r="K94" t="s">
        <v>1357</v>
      </c>
      <c r="L94" t="s">
        <v>1357</v>
      </c>
    </row>
    <row r="95" spans="1:14">
      <c r="H95" t="s">
        <v>8396</v>
      </c>
      <c r="I95" t="s">
        <v>1357</v>
      </c>
      <c r="J95" t="s">
        <v>1357</v>
      </c>
      <c r="K95" t="s">
        <v>1357</v>
      </c>
      <c r="L95" t="s">
        <v>1357</v>
      </c>
    </row>
    <row r="96" spans="1:14">
      <c r="H96" t="s">
        <v>1079</v>
      </c>
      <c r="I96" t="s">
        <v>1357</v>
      </c>
      <c r="J96" t="s">
        <v>1357</v>
      </c>
      <c r="K96" t="s">
        <v>1357</v>
      </c>
      <c r="L96" t="s">
        <v>1357</v>
      </c>
    </row>
    <row r="97" spans="1:14">
      <c r="H97" t="s">
        <v>8397</v>
      </c>
      <c r="I97" t="s">
        <v>1357</v>
      </c>
      <c r="J97" t="s">
        <v>1357</v>
      </c>
      <c r="K97" t="s">
        <v>1357</v>
      </c>
      <c r="L97" t="s">
        <v>1357</v>
      </c>
    </row>
    <row r="98" spans="1:14">
      <c r="F98" t="s">
        <v>6972</v>
      </c>
      <c r="G98" t="s">
        <v>7719</v>
      </c>
      <c r="H98" t="s">
        <v>3780</v>
      </c>
      <c r="I98" t="s">
        <v>1357</v>
      </c>
      <c r="J98" t="s">
        <v>1357</v>
      </c>
      <c r="K98" t="s">
        <v>1357</v>
      </c>
      <c r="L98" t="s">
        <v>1357</v>
      </c>
    </row>
    <row r="99" spans="1:14">
      <c r="H99" t="s">
        <v>3802</v>
      </c>
      <c r="I99" t="s">
        <v>1357</v>
      </c>
      <c r="J99" t="s">
        <v>1357</v>
      </c>
      <c r="K99" t="s">
        <v>1357</v>
      </c>
      <c r="L99" t="s">
        <v>1357</v>
      </c>
    </row>
    <row r="100" spans="1:14">
      <c r="H100" t="s">
        <v>1214</v>
      </c>
      <c r="I100" t="s">
        <v>1357</v>
      </c>
      <c r="J100" t="s">
        <v>1357</v>
      </c>
      <c r="K100" t="s">
        <v>1357</v>
      </c>
      <c r="L100" t="s">
        <v>1357</v>
      </c>
    </row>
    <row r="101" spans="1:14">
      <c r="H101" t="s">
        <v>1079</v>
      </c>
      <c r="I101" t="s">
        <v>1357</v>
      </c>
      <c r="J101" t="s">
        <v>1357</v>
      </c>
      <c r="K101" t="s">
        <v>1357</v>
      </c>
      <c r="L101" t="s">
        <v>1357</v>
      </c>
    </row>
    <row r="102" spans="1:14">
      <c r="H102" t="s">
        <v>3303</v>
      </c>
      <c r="I102" t="s">
        <v>1357</v>
      </c>
      <c r="J102" t="s">
        <v>1357</v>
      </c>
      <c r="K102" t="s">
        <v>1357</v>
      </c>
      <c r="L102" t="s">
        <v>1357</v>
      </c>
    </row>
    <row r="103" spans="1:14">
      <c r="F103" t="s">
        <v>6973</v>
      </c>
      <c r="G103" t="s">
        <v>7720</v>
      </c>
      <c r="H103" t="s">
        <v>8337</v>
      </c>
      <c r="I103" t="s">
        <v>1357</v>
      </c>
      <c r="J103" t="s">
        <v>1357</v>
      </c>
      <c r="K103" t="s">
        <v>1357</v>
      </c>
      <c r="L103" t="s">
        <v>1357</v>
      </c>
    </row>
    <row r="104" spans="1:14">
      <c r="H104" t="s">
        <v>3303</v>
      </c>
      <c r="I104" t="s">
        <v>1357</v>
      </c>
      <c r="J104" t="s">
        <v>1357</v>
      </c>
      <c r="K104" t="s">
        <v>1357</v>
      </c>
      <c r="L104" t="s">
        <v>1357</v>
      </c>
    </row>
    <row r="105" spans="1:14">
      <c r="H105" t="s">
        <v>8398</v>
      </c>
      <c r="I105" t="s">
        <v>1357</v>
      </c>
      <c r="J105" t="s">
        <v>1357</v>
      </c>
      <c r="K105" t="s">
        <v>1357</v>
      </c>
      <c r="L105" t="s">
        <v>1357</v>
      </c>
    </row>
    <row r="106" spans="1:14">
      <c r="F106" t="s">
        <v>6974</v>
      </c>
      <c r="G106" t="s">
        <v>7721</v>
      </c>
      <c r="H106" t="s">
        <v>8337</v>
      </c>
      <c r="I106" t="s">
        <v>1357</v>
      </c>
      <c r="J106" t="s">
        <v>1357</v>
      </c>
      <c r="K106" t="s">
        <v>1357</v>
      </c>
      <c r="L106" t="s">
        <v>1357</v>
      </c>
    </row>
    <row r="107" spans="1:14">
      <c r="F107" t="s">
        <v>6975</v>
      </c>
      <c r="G107" t="s">
        <v>7722</v>
      </c>
      <c r="H107" t="s">
        <v>8337</v>
      </c>
      <c r="I107" t="s">
        <v>1357</v>
      </c>
      <c r="J107" t="s">
        <v>1357</v>
      </c>
      <c r="K107" t="s">
        <v>1357</v>
      </c>
      <c r="L107" t="s">
        <v>1357</v>
      </c>
    </row>
    <row r="108" spans="1:14">
      <c r="A108" t="s">
        <v>6085</v>
      </c>
      <c r="B108">
        <f>HYPERLINK("https://github.com/pmd/pmd/commit/79017085fdeb97cf382665d3a18193c4bf235006", "79017085fdeb97cf382665d3a18193c4bf235006")</f>
        <v>0</v>
      </c>
      <c r="C108">
        <f>HYPERLINK("https://github.com/pmd/pmd/commit/f7374507c96a04779e8325552298f19c7145cde6", "f7374507c96a04779e8325552298f19c7145cde6")</f>
        <v>0</v>
      </c>
      <c r="D108" t="s">
        <v>6492</v>
      </c>
      <c r="E108" t="s">
        <v>6541</v>
      </c>
      <c r="F108" t="s">
        <v>6968</v>
      </c>
      <c r="G108" t="s">
        <v>7715</v>
      </c>
      <c r="H108" t="s">
        <v>8337</v>
      </c>
      <c r="I108" t="s">
        <v>1358</v>
      </c>
      <c r="J108" t="s">
        <v>1358</v>
      </c>
      <c r="K108" t="s">
        <v>1358</v>
      </c>
      <c r="L108" t="s">
        <v>1358</v>
      </c>
    </row>
    <row r="109" spans="1:14">
      <c r="A109" t="s">
        <v>6086</v>
      </c>
      <c r="B109">
        <f>HYPERLINK("https://github.com/pmd/pmd/commit/8fa70b58aa054bd6e973398b0c85dd45a2cb4193", "8fa70b58aa054bd6e973398b0c85dd45a2cb4193")</f>
        <v>0</v>
      </c>
      <c r="C109">
        <f>HYPERLINK("https://github.com/pmd/pmd/commit/d045c1792998f2305c41d5b0a3e14a979f4ff86e", "d045c1792998f2305c41d5b0a3e14a979f4ff86e")</f>
        <v>0</v>
      </c>
      <c r="D109" t="s">
        <v>6493</v>
      </c>
      <c r="E109" t="s">
        <v>6542</v>
      </c>
      <c r="F109" t="s">
        <v>6976</v>
      </c>
      <c r="G109" t="s">
        <v>7723</v>
      </c>
      <c r="H109" t="s">
        <v>8399</v>
      </c>
      <c r="I109" t="s">
        <v>1357</v>
      </c>
      <c r="J109" t="s">
        <v>1357</v>
      </c>
      <c r="K109" t="s">
        <v>1357</v>
      </c>
      <c r="L109" t="s">
        <v>1357</v>
      </c>
      <c r="N109" t="s">
        <v>9927</v>
      </c>
    </row>
    <row r="110" spans="1:14">
      <c r="A110" t="s">
        <v>6087</v>
      </c>
      <c r="B110">
        <f>HYPERLINK("https://github.com/pmd/pmd/commit/b719788981f3355e23d67e46952bfdae07e40430", "b719788981f3355e23d67e46952bfdae07e40430")</f>
        <v>0</v>
      </c>
      <c r="C110">
        <f>HYPERLINK("https://github.com/pmd/pmd/commit/e97a7e342e53ad06e83f206fbfbca4f7332de9a5", "e97a7e342e53ad06e83f206fbfbca4f7332de9a5")</f>
        <v>0</v>
      </c>
      <c r="D110" t="s">
        <v>6492</v>
      </c>
      <c r="E110" t="s">
        <v>6543</v>
      </c>
      <c r="F110" t="s">
        <v>6977</v>
      </c>
      <c r="G110" t="s">
        <v>7724</v>
      </c>
      <c r="H110" t="s">
        <v>8400</v>
      </c>
      <c r="I110" t="s">
        <v>1357</v>
      </c>
      <c r="J110" t="s">
        <v>1357</v>
      </c>
      <c r="K110" t="s">
        <v>1357</v>
      </c>
      <c r="L110" t="s">
        <v>1357</v>
      </c>
    </row>
    <row r="111" spans="1:14">
      <c r="H111" t="s">
        <v>8401</v>
      </c>
      <c r="I111" t="s">
        <v>1357</v>
      </c>
      <c r="J111" t="s">
        <v>1357</v>
      </c>
      <c r="K111" t="s">
        <v>1357</v>
      </c>
      <c r="L111" t="s">
        <v>1357</v>
      </c>
    </row>
    <row r="112" spans="1:14">
      <c r="H112" t="s">
        <v>8402</v>
      </c>
      <c r="I112" t="s">
        <v>1358</v>
      </c>
      <c r="J112" t="s">
        <v>1358</v>
      </c>
      <c r="K112" t="s">
        <v>1358</v>
      </c>
      <c r="L112" t="s">
        <v>1358</v>
      </c>
    </row>
    <row r="113" spans="1:14">
      <c r="H113" t="s">
        <v>8403</v>
      </c>
      <c r="I113" t="s">
        <v>1358</v>
      </c>
      <c r="J113" t="s">
        <v>1358</v>
      </c>
      <c r="K113" t="s">
        <v>1358</v>
      </c>
      <c r="L113" t="s">
        <v>1358</v>
      </c>
    </row>
    <row r="114" spans="1:14">
      <c r="A114" t="s">
        <v>6088</v>
      </c>
      <c r="B114">
        <f>HYPERLINK("https://github.com/pmd/pmd/commit/4797bff7f99f6999f444592370732eb5e6b23dda", "4797bff7f99f6999f444592370732eb5e6b23dda")</f>
        <v>0</v>
      </c>
      <c r="C114">
        <f>HYPERLINK("https://github.com/pmd/pmd/commit/7873dd773448f6e8bb491073b810a189af07fca5", "7873dd773448f6e8bb491073b810a189af07fca5")</f>
        <v>0</v>
      </c>
      <c r="D114" t="s">
        <v>6493</v>
      </c>
      <c r="E114" t="s">
        <v>6544</v>
      </c>
      <c r="F114" t="s">
        <v>6978</v>
      </c>
      <c r="G114" t="s">
        <v>7725</v>
      </c>
      <c r="H114" t="s">
        <v>8404</v>
      </c>
      <c r="I114" t="s">
        <v>1359</v>
      </c>
      <c r="J114" t="s">
        <v>1358</v>
      </c>
      <c r="K114" t="s">
        <v>1357</v>
      </c>
      <c r="L114" t="s">
        <v>1358</v>
      </c>
      <c r="N114" t="s">
        <v>1369</v>
      </c>
    </row>
    <row r="115" spans="1:14">
      <c r="H115" t="s">
        <v>8405</v>
      </c>
      <c r="I115" t="s">
        <v>1359</v>
      </c>
      <c r="J115" t="s">
        <v>1358</v>
      </c>
      <c r="K115" t="s">
        <v>1357</v>
      </c>
      <c r="L115" t="s">
        <v>1358</v>
      </c>
      <c r="N115" t="s">
        <v>1369</v>
      </c>
    </row>
    <row r="116" spans="1:14">
      <c r="H116" t="s">
        <v>8406</v>
      </c>
      <c r="I116" t="s">
        <v>1359</v>
      </c>
      <c r="J116" t="s">
        <v>1358</v>
      </c>
      <c r="K116" t="s">
        <v>1357</v>
      </c>
      <c r="L116" t="s">
        <v>1358</v>
      </c>
      <c r="N116" t="s">
        <v>1369</v>
      </c>
    </row>
    <row r="117" spans="1:14">
      <c r="A117" t="s">
        <v>6089</v>
      </c>
      <c r="B117">
        <f>HYPERLINK("https://github.com/pmd/pmd/commit/0a534defd7405b5d5c41e4754c991d83a0c81609", "0a534defd7405b5d5c41e4754c991d83a0c81609")</f>
        <v>0</v>
      </c>
      <c r="C117">
        <f>HYPERLINK("https://github.com/pmd/pmd/commit/c1f1d4c17ccd41575ff6fba53f12b8474ee22742", "c1f1d4c17ccd41575ff6fba53f12b8474ee22742")</f>
        <v>0</v>
      </c>
      <c r="D117" t="s">
        <v>6492</v>
      </c>
      <c r="E117" t="s">
        <v>6545</v>
      </c>
      <c r="F117" t="s">
        <v>6979</v>
      </c>
      <c r="G117" t="s">
        <v>7708</v>
      </c>
      <c r="H117" t="s">
        <v>8407</v>
      </c>
      <c r="I117" t="s">
        <v>1358</v>
      </c>
      <c r="J117" t="s">
        <v>1358</v>
      </c>
      <c r="K117" t="s">
        <v>1358</v>
      </c>
      <c r="L117" t="s">
        <v>1358</v>
      </c>
    </row>
    <row r="118" spans="1:14">
      <c r="A118" t="s">
        <v>6090</v>
      </c>
      <c r="B118">
        <f>HYPERLINK("https://github.com/pmd/pmd/commit/2af02643f2f0ee8acd69d7ffdb90335ef4e5031e", "2af02643f2f0ee8acd69d7ffdb90335ef4e5031e")</f>
        <v>0</v>
      </c>
      <c r="C118">
        <f>HYPERLINK("https://github.com/pmd/pmd/commit/08c6f418188ca77327c0133b6fa4799f0bf68fc7", "08c6f418188ca77327c0133b6fa4799f0bf68fc7")</f>
        <v>0</v>
      </c>
      <c r="D118" t="s">
        <v>6492</v>
      </c>
      <c r="E118" t="s">
        <v>6546</v>
      </c>
      <c r="F118" t="s">
        <v>6979</v>
      </c>
      <c r="G118" t="s">
        <v>7708</v>
      </c>
      <c r="H118" t="s">
        <v>8408</v>
      </c>
      <c r="I118" t="s">
        <v>1357</v>
      </c>
      <c r="J118" t="s">
        <v>1357</v>
      </c>
      <c r="K118" t="s">
        <v>1357</v>
      </c>
      <c r="L118" t="s">
        <v>1357</v>
      </c>
    </row>
    <row r="119" spans="1:14">
      <c r="H119" t="s">
        <v>8409</v>
      </c>
      <c r="I119" t="s">
        <v>1359</v>
      </c>
      <c r="J119" t="s">
        <v>1358</v>
      </c>
      <c r="K119" t="s">
        <v>1357</v>
      </c>
      <c r="L119" t="s">
        <v>1358</v>
      </c>
      <c r="N119" t="s">
        <v>1372</v>
      </c>
    </row>
    <row r="120" spans="1:14">
      <c r="H120" t="s">
        <v>8410</v>
      </c>
      <c r="I120" t="s">
        <v>1357</v>
      </c>
      <c r="J120" t="s">
        <v>1357</v>
      </c>
      <c r="K120" t="s">
        <v>1357</v>
      </c>
      <c r="L120" t="s">
        <v>1357</v>
      </c>
    </row>
    <row r="121" spans="1:14">
      <c r="F121" t="s">
        <v>6980</v>
      </c>
      <c r="G121" t="s">
        <v>7726</v>
      </c>
      <c r="H121" t="s">
        <v>8337</v>
      </c>
      <c r="I121" t="s">
        <v>1358</v>
      </c>
      <c r="J121" t="s">
        <v>1358</v>
      </c>
      <c r="K121" t="s">
        <v>1358</v>
      </c>
      <c r="L121" t="s">
        <v>1358</v>
      </c>
    </row>
    <row r="122" spans="1:14">
      <c r="A122" t="s">
        <v>6091</v>
      </c>
      <c r="B122">
        <f>HYPERLINK("https://github.com/pmd/pmd/commit/85912c0c33cca3501b4746f162f7ebb61f1fe952", "85912c0c33cca3501b4746f162f7ebb61f1fe952")</f>
        <v>0</v>
      </c>
      <c r="C122">
        <f>HYPERLINK("https://github.com/pmd/pmd/commit/228ec52e14c771a2ec971c9667d594efb2909962", "228ec52e14c771a2ec971c9667d594efb2909962")</f>
        <v>0</v>
      </c>
      <c r="D122" t="s">
        <v>6492</v>
      </c>
      <c r="E122" t="s">
        <v>6547</v>
      </c>
      <c r="F122" t="s">
        <v>6981</v>
      </c>
      <c r="G122" t="s">
        <v>7727</v>
      </c>
      <c r="H122" t="s">
        <v>3303</v>
      </c>
      <c r="I122" t="s">
        <v>1357</v>
      </c>
      <c r="J122" t="s">
        <v>1357</v>
      </c>
      <c r="K122" t="s">
        <v>1357</v>
      </c>
      <c r="L122" t="s">
        <v>1357</v>
      </c>
    </row>
    <row r="123" spans="1:14">
      <c r="H123" t="s">
        <v>8411</v>
      </c>
      <c r="I123" t="s">
        <v>1357</v>
      </c>
      <c r="J123" t="s">
        <v>1357</v>
      </c>
      <c r="K123" t="s">
        <v>1357</v>
      </c>
      <c r="L123" t="s">
        <v>1357</v>
      </c>
    </row>
    <row r="124" spans="1:14">
      <c r="H124" t="s">
        <v>8412</v>
      </c>
      <c r="I124" t="s">
        <v>1357</v>
      </c>
      <c r="J124" t="s">
        <v>1357</v>
      </c>
      <c r="K124" t="s">
        <v>1357</v>
      </c>
      <c r="L124" t="s">
        <v>1357</v>
      </c>
    </row>
    <row r="125" spans="1:14">
      <c r="H125" t="s">
        <v>8413</v>
      </c>
      <c r="I125" t="s">
        <v>1357</v>
      </c>
      <c r="J125" t="s">
        <v>1357</v>
      </c>
      <c r="K125" t="s">
        <v>1357</v>
      </c>
      <c r="L125" t="s">
        <v>1357</v>
      </c>
    </row>
    <row r="126" spans="1:14">
      <c r="A126" t="s">
        <v>6092</v>
      </c>
      <c r="B126">
        <f>HYPERLINK("https://github.com/pmd/pmd/commit/8b51e7b5cd9578de40d133e4ea7e2a7d2c70cc72", "8b51e7b5cd9578de40d133e4ea7e2a7d2c70cc72")</f>
        <v>0</v>
      </c>
      <c r="C126">
        <f>HYPERLINK("https://github.com/pmd/pmd/commit/2c81e86a09c23096b8e4d64bfe6d612c21d32e72", "2c81e86a09c23096b8e4d64bfe6d612c21d32e72")</f>
        <v>0</v>
      </c>
      <c r="D126" t="s">
        <v>6492</v>
      </c>
      <c r="E126" t="s">
        <v>6548</v>
      </c>
      <c r="F126" t="s">
        <v>6982</v>
      </c>
      <c r="G126" t="s">
        <v>7728</v>
      </c>
      <c r="H126" t="s">
        <v>8337</v>
      </c>
      <c r="I126" t="s">
        <v>1358</v>
      </c>
      <c r="J126" t="s">
        <v>1358</v>
      </c>
      <c r="K126" t="s">
        <v>1358</v>
      </c>
      <c r="L126" t="s">
        <v>1358</v>
      </c>
    </row>
    <row r="127" spans="1:14">
      <c r="F127" t="s">
        <v>6979</v>
      </c>
      <c r="G127" t="s">
        <v>7708</v>
      </c>
      <c r="H127" t="s">
        <v>8414</v>
      </c>
      <c r="I127" t="s">
        <v>1357</v>
      </c>
      <c r="J127" t="s">
        <v>1357</v>
      </c>
      <c r="K127" t="s">
        <v>1357</v>
      </c>
      <c r="L127" t="s">
        <v>1357</v>
      </c>
      <c r="M127" t="s">
        <v>1365</v>
      </c>
    </row>
    <row r="128" spans="1:14">
      <c r="H128" t="s">
        <v>8415</v>
      </c>
      <c r="I128" t="s">
        <v>1357</v>
      </c>
      <c r="J128" t="s">
        <v>1357</v>
      </c>
      <c r="K128" t="s">
        <v>1357</v>
      </c>
      <c r="L128" t="s">
        <v>1357</v>
      </c>
    </row>
    <row r="129" spans="1:13">
      <c r="H129" t="s">
        <v>8416</v>
      </c>
      <c r="I129" t="s">
        <v>1357</v>
      </c>
      <c r="J129" t="s">
        <v>1357</v>
      </c>
      <c r="K129" t="s">
        <v>1357</v>
      </c>
      <c r="L129" t="s">
        <v>1357</v>
      </c>
    </row>
    <row r="130" spans="1:13">
      <c r="H130" t="s">
        <v>8417</v>
      </c>
      <c r="I130" t="s">
        <v>1357</v>
      </c>
      <c r="J130" t="s">
        <v>1357</v>
      </c>
      <c r="K130" t="s">
        <v>1357</v>
      </c>
      <c r="L130" t="s">
        <v>1357</v>
      </c>
    </row>
    <row r="131" spans="1:13">
      <c r="H131" t="s">
        <v>8418</v>
      </c>
      <c r="I131" t="s">
        <v>1357</v>
      </c>
      <c r="J131" t="s">
        <v>1357</v>
      </c>
      <c r="K131" t="s">
        <v>1357</v>
      </c>
      <c r="L131" t="s">
        <v>1357</v>
      </c>
    </row>
    <row r="132" spans="1:13">
      <c r="H132" t="s">
        <v>8419</v>
      </c>
      <c r="I132" t="s">
        <v>1357</v>
      </c>
      <c r="J132" t="s">
        <v>1357</v>
      </c>
      <c r="K132" t="s">
        <v>1357</v>
      </c>
      <c r="L132" t="s">
        <v>1357</v>
      </c>
    </row>
    <row r="133" spans="1:13">
      <c r="A133" t="s">
        <v>6093</v>
      </c>
      <c r="B133">
        <f>HYPERLINK("https://github.com/pmd/pmd/commit/7684cad4b48b9a2796bfbc90eb32b54296911738", "7684cad4b48b9a2796bfbc90eb32b54296911738")</f>
        <v>0</v>
      </c>
      <c r="C133">
        <f>HYPERLINK("https://github.com/pmd/pmd/commit/248ac9c11125e5de098a2ba775c6eaafbb984f74", "248ac9c11125e5de098a2ba775c6eaafbb984f74")</f>
        <v>0</v>
      </c>
      <c r="D133" t="s">
        <v>6492</v>
      </c>
      <c r="E133" t="s">
        <v>6549</v>
      </c>
      <c r="F133" t="s">
        <v>6979</v>
      </c>
      <c r="G133" t="s">
        <v>7708</v>
      </c>
      <c r="H133" t="s">
        <v>3303</v>
      </c>
      <c r="I133" t="s">
        <v>1358</v>
      </c>
      <c r="J133" t="s">
        <v>1358</v>
      </c>
      <c r="K133" t="s">
        <v>1358</v>
      </c>
      <c r="L133" t="s">
        <v>1358</v>
      </c>
    </row>
    <row r="134" spans="1:13">
      <c r="H134" t="s">
        <v>1083</v>
      </c>
      <c r="I134" t="s">
        <v>1358</v>
      </c>
      <c r="J134" t="s">
        <v>1358</v>
      </c>
      <c r="K134" t="s">
        <v>1358</v>
      </c>
      <c r="L134" t="s">
        <v>1358</v>
      </c>
    </row>
    <row r="135" spans="1:13">
      <c r="H135" t="s">
        <v>905</v>
      </c>
      <c r="I135" t="s">
        <v>1358</v>
      </c>
      <c r="J135" t="s">
        <v>1358</v>
      </c>
      <c r="K135" t="s">
        <v>1358</v>
      </c>
      <c r="L135" t="s">
        <v>1358</v>
      </c>
    </row>
    <row r="136" spans="1:13">
      <c r="A136" t="s">
        <v>6094</v>
      </c>
      <c r="B136">
        <f>HYPERLINK("https://github.com/pmd/pmd/commit/c034f3536adbded3827febd175099fdaf4ed5a06", "c034f3536adbded3827febd175099fdaf4ed5a06")</f>
        <v>0</v>
      </c>
      <c r="C136">
        <f>HYPERLINK("https://github.com/pmd/pmd/commit/3ed605c62b672897be32db455dd5b9aa7071b6d6", "3ed605c62b672897be32db455dd5b9aa7071b6d6")</f>
        <v>0</v>
      </c>
      <c r="D136" t="s">
        <v>6492</v>
      </c>
      <c r="E136" t="s">
        <v>6550</v>
      </c>
      <c r="F136" t="s">
        <v>6983</v>
      </c>
      <c r="G136" t="s">
        <v>7729</v>
      </c>
      <c r="H136" t="s">
        <v>8337</v>
      </c>
      <c r="I136" t="s">
        <v>1357</v>
      </c>
      <c r="J136" t="s">
        <v>1357</v>
      </c>
      <c r="K136" t="s">
        <v>1357</v>
      </c>
      <c r="L136" t="s">
        <v>1357</v>
      </c>
    </row>
    <row r="137" spans="1:13">
      <c r="H137" t="s">
        <v>8408</v>
      </c>
      <c r="I137" t="s">
        <v>1357</v>
      </c>
      <c r="J137" t="s">
        <v>1357</v>
      </c>
      <c r="K137" t="s">
        <v>1357</v>
      </c>
      <c r="L137" t="s">
        <v>1357</v>
      </c>
    </row>
    <row r="138" spans="1:13">
      <c r="A138" t="s">
        <v>6095</v>
      </c>
      <c r="B138">
        <f>HYPERLINK("https://github.com/pmd/pmd/commit/6b0352cdf5591e2cb97176f194fde6035850dfb5", "6b0352cdf5591e2cb97176f194fde6035850dfb5")</f>
        <v>0</v>
      </c>
      <c r="C138">
        <f>HYPERLINK("https://github.com/pmd/pmd/commit/0bf64b571ad52a7d78b90cfc9e51a17e511d3449", "0bf64b571ad52a7d78b90cfc9e51a17e511d3449")</f>
        <v>0</v>
      </c>
      <c r="D138" t="s">
        <v>6492</v>
      </c>
      <c r="E138" t="s">
        <v>6551</v>
      </c>
      <c r="F138" t="s">
        <v>6984</v>
      </c>
      <c r="G138" t="s">
        <v>7730</v>
      </c>
      <c r="H138" t="s">
        <v>8360</v>
      </c>
      <c r="I138" t="s">
        <v>1359</v>
      </c>
      <c r="J138" t="s">
        <v>1358</v>
      </c>
      <c r="K138" t="s">
        <v>1357</v>
      </c>
      <c r="L138" t="s">
        <v>1358</v>
      </c>
    </row>
    <row r="139" spans="1:13">
      <c r="F139" t="s">
        <v>6985</v>
      </c>
      <c r="G139" t="s">
        <v>7731</v>
      </c>
      <c r="H139" t="s">
        <v>8420</v>
      </c>
      <c r="I139" t="s">
        <v>1357</v>
      </c>
      <c r="J139" t="s">
        <v>1357</v>
      </c>
      <c r="K139" t="s">
        <v>1357</v>
      </c>
      <c r="L139" t="s">
        <v>1357</v>
      </c>
    </row>
    <row r="140" spans="1:13">
      <c r="H140" t="s">
        <v>8421</v>
      </c>
      <c r="I140" t="s">
        <v>1357</v>
      </c>
      <c r="J140" t="s">
        <v>1357</v>
      </c>
      <c r="K140" t="s">
        <v>1357</v>
      </c>
      <c r="L140" t="s">
        <v>1357</v>
      </c>
      <c r="M140" t="s">
        <v>1365</v>
      </c>
    </row>
    <row r="141" spans="1:13">
      <c r="H141" t="s">
        <v>1693</v>
      </c>
      <c r="I141" t="s">
        <v>1357</v>
      </c>
      <c r="J141" t="s">
        <v>1357</v>
      </c>
      <c r="K141" t="s">
        <v>1357</v>
      </c>
      <c r="L141" t="s">
        <v>1357</v>
      </c>
    </row>
    <row r="142" spans="1:13">
      <c r="H142" t="s">
        <v>8422</v>
      </c>
      <c r="I142" t="s">
        <v>1357</v>
      </c>
      <c r="J142" t="s">
        <v>1357</v>
      </c>
      <c r="K142" t="s">
        <v>1357</v>
      </c>
      <c r="L142" t="s">
        <v>1357</v>
      </c>
    </row>
    <row r="143" spans="1:13">
      <c r="F143" t="s">
        <v>6986</v>
      </c>
      <c r="G143" t="s">
        <v>7732</v>
      </c>
      <c r="H143" t="s">
        <v>1079</v>
      </c>
      <c r="I143" t="s">
        <v>1357</v>
      </c>
      <c r="J143" t="s">
        <v>1357</v>
      </c>
      <c r="K143" t="s">
        <v>1357</v>
      </c>
      <c r="L143" t="s">
        <v>1357</v>
      </c>
    </row>
    <row r="144" spans="1:13">
      <c r="H144" t="s">
        <v>8423</v>
      </c>
      <c r="I144" t="s">
        <v>1357</v>
      </c>
      <c r="J144" t="s">
        <v>1357</v>
      </c>
      <c r="K144" t="s">
        <v>1357</v>
      </c>
      <c r="L144" t="s">
        <v>1357</v>
      </c>
    </row>
    <row r="145" spans="1:14">
      <c r="F145" t="s">
        <v>6987</v>
      </c>
      <c r="G145" t="s">
        <v>7733</v>
      </c>
      <c r="H145" t="s">
        <v>8424</v>
      </c>
      <c r="I145" t="s">
        <v>1357</v>
      </c>
      <c r="J145" t="s">
        <v>1357</v>
      </c>
      <c r="K145" t="s">
        <v>1357</v>
      </c>
      <c r="L145" t="s">
        <v>1357</v>
      </c>
    </row>
    <row r="146" spans="1:14">
      <c r="F146" t="s">
        <v>6988</v>
      </c>
      <c r="G146" t="s">
        <v>7734</v>
      </c>
      <c r="H146" t="s">
        <v>3303</v>
      </c>
      <c r="I146" t="s">
        <v>1357</v>
      </c>
      <c r="J146" t="s">
        <v>1357</v>
      </c>
      <c r="K146" t="s">
        <v>1357</v>
      </c>
      <c r="L146" t="s">
        <v>1357</v>
      </c>
    </row>
    <row r="147" spans="1:14">
      <c r="H147" t="s">
        <v>8411</v>
      </c>
      <c r="I147" t="s">
        <v>1357</v>
      </c>
      <c r="J147" t="s">
        <v>1357</v>
      </c>
      <c r="K147" t="s">
        <v>1357</v>
      </c>
      <c r="L147" t="s">
        <v>1357</v>
      </c>
    </row>
    <row r="148" spans="1:14">
      <c r="H148" t="s">
        <v>8425</v>
      </c>
      <c r="I148" t="s">
        <v>1357</v>
      </c>
      <c r="J148" t="s">
        <v>1357</v>
      </c>
      <c r="K148" t="s">
        <v>1357</v>
      </c>
      <c r="L148" t="s">
        <v>1357</v>
      </c>
    </row>
    <row r="149" spans="1:14">
      <c r="H149" t="s">
        <v>8412</v>
      </c>
      <c r="I149" t="s">
        <v>1357</v>
      </c>
      <c r="J149" t="s">
        <v>1357</v>
      </c>
      <c r="K149" t="s">
        <v>1357</v>
      </c>
      <c r="L149" t="s">
        <v>1357</v>
      </c>
    </row>
    <row r="150" spans="1:14">
      <c r="H150" t="s">
        <v>8408</v>
      </c>
      <c r="I150" t="s">
        <v>1357</v>
      </c>
      <c r="J150" t="s">
        <v>1357</v>
      </c>
      <c r="K150" t="s">
        <v>1357</v>
      </c>
      <c r="L150" t="s">
        <v>1357</v>
      </c>
    </row>
    <row r="151" spans="1:14">
      <c r="F151" t="s">
        <v>6989</v>
      </c>
      <c r="G151" t="s">
        <v>7735</v>
      </c>
      <c r="H151" t="s">
        <v>8426</v>
      </c>
      <c r="I151" t="s">
        <v>1357</v>
      </c>
      <c r="J151" t="s">
        <v>1357</v>
      </c>
      <c r="K151" t="s">
        <v>1357</v>
      </c>
      <c r="L151" t="s">
        <v>1357</v>
      </c>
    </row>
    <row r="152" spans="1:14">
      <c r="H152" t="s">
        <v>8427</v>
      </c>
      <c r="I152" t="s">
        <v>1357</v>
      </c>
      <c r="J152" t="s">
        <v>1357</v>
      </c>
      <c r="K152" t="s">
        <v>1357</v>
      </c>
      <c r="L152" t="s">
        <v>1357</v>
      </c>
    </row>
    <row r="153" spans="1:14">
      <c r="F153" t="s">
        <v>6990</v>
      </c>
      <c r="G153" t="s">
        <v>7736</v>
      </c>
      <c r="H153" t="s">
        <v>8337</v>
      </c>
      <c r="I153" t="s">
        <v>1357</v>
      </c>
      <c r="J153" t="s">
        <v>1357</v>
      </c>
      <c r="K153" t="s">
        <v>1357</v>
      </c>
      <c r="L153" t="s">
        <v>1357</v>
      </c>
      <c r="M153" t="s">
        <v>1365</v>
      </c>
    </row>
    <row r="154" spans="1:14">
      <c r="F154" t="s">
        <v>6991</v>
      </c>
      <c r="G154" t="s">
        <v>7737</v>
      </c>
      <c r="H154" t="s">
        <v>8428</v>
      </c>
      <c r="I154" t="s">
        <v>1357</v>
      </c>
      <c r="J154" t="s">
        <v>1357</v>
      </c>
      <c r="K154" t="s">
        <v>1357</v>
      </c>
      <c r="L154" t="s">
        <v>1357</v>
      </c>
    </row>
    <row r="155" spans="1:14">
      <c r="H155" t="s">
        <v>8429</v>
      </c>
      <c r="I155" t="s">
        <v>1357</v>
      </c>
      <c r="J155" t="s">
        <v>1357</v>
      </c>
      <c r="K155" t="s">
        <v>1357</v>
      </c>
      <c r="L155" t="s">
        <v>1357</v>
      </c>
    </row>
    <row r="156" spans="1:14">
      <c r="H156" t="s">
        <v>8430</v>
      </c>
      <c r="I156" t="s">
        <v>1357</v>
      </c>
      <c r="J156" t="s">
        <v>1357</v>
      </c>
      <c r="K156" t="s">
        <v>1357</v>
      </c>
      <c r="L156" t="s">
        <v>1357</v>
      </c>
    </row>
    <row r="157" spans="1:14">
      <c r="H157" t="s">
        <v>8431</v>
      </c>
      <c r="I157" t="s">
        <v>1357</v>
      </c>
      <c r="J157" t="s">
        <v>1357</v>
      </c>
      <c r="K157" t="s">
        <v>1357</v>
      </c>
      <c r="L157" t="s">
        <v>1357</v>
      </c>
    </row>
    <row r="158" spans="1:14">
      <c r="H158" t="s">
        <v>8432</v>
      </c>
      <c r="I158" t="s">
        <v>1357</v>
      </c>
      <c r="J158" t="s">
        <v>1357</v>
      </c>
      <c r="K158" t="s">
        <v>1357</v>
      </c>
      <c r="L158" t="s">
        <v>1357</v>
      </c>
    </row>
    <row r="159" spans="1:14">
      <c r="A159" t="s">
        <v>6096</v>
      </c>
      <c r="B159">
        <f>HYPERLINK("https://github.com/pmd/pmd/commit/f72dc2d18446f6e2bbd38b0896ec94c990f40a9f", "f72dc2d18446f6e2bbd38b0896ec94c990f40a9f")</f>
        <v>0</v>
      </c>
      <c r="C159">
        <f>HYPERLINK("https://github.com/pmd/pmd/commit/bdea301921181455cd2bd194d343ae04512b85fd", "bdea301921181455cd2bd194d343ae04512b85fd")</f>
        <v>0</v>
      </c>
      <c r="D159" t="s">
        <v>6492</v>
      </c>
      <c r="E159" t="s">
        <v>6552</v>
      </c>
      <c r="F159" t="s">
        <v>6986</v>
      </c>
      <c r="G159" t="s">
        <v>7732</v>
      </c>
      <c r="H159" t="s">
        <v>3834</v>
      </c>
      <c r="I159" t="s">
        <v>1357</v>
      </c>
      <c r="J159" t="s">
        <v>1357</v>
      </c>
      <c r="K159" t="s">
        <v>1357</v>
      </c>
      <c r="L159" t="s">
        <v>1357</v>
      </c>
      <c r="M159" t="s">
        <v>1360</v>
      </c>
      <c r="N159" t="s">
        <v>1360</v>
      </c>
    </row>
    <row r="160" spans="1:14">
      <c r="A160" t="s">
        <v>6097</v>
      </c>
      <c r="B160">
        <f>HYPERLINK("https://github.com/pmd/pmd/commit/ad6b45592698048183e06e9deb705d77cd1d6a13", "ad6b45592698048183e06e9deb705d77cd1d6a13")</f>
        <v>0</v>
      </c>
      <c r="C160">
        <f>HYPERLINK("https://github.com/pmd/pmd/commit/3208bcdfcdd99f3b6ac4b5eed3e9cfd0da3f0dd3", "3208bcdfcdd99f3b6ac4b5eed3e9cfd0da3f0dd3")</f>
        <v>0</v>
      </c>
      <c r="D160" t="s">
        <v>6492</v>
      </c>
      <c r="E160" t="s">
        <v>6553</v>
      </c>
      <c r="F160" t="s">
        <v>6992</v>
      </c>
      <c r="G160" t="s">
        <v>7738</v>
      </c>
      <c r="H160" t="s">
        <v>3834</v>
      </c>
      <c r="I160" t="s">
        <v>1358</v>
      </c>
      <c r="J160" t="s">
        <v>1358</v>
      </c>
      <c r="K160" t="s">
        <v>1358</v>
      </c>
      <c r="L160" t="s">
        <v>1358</v>
      </c>
      <c r="N160" t="s">
        <v>1374</v>
      </c>
    </row>
    <row r="161" spans="1:14">
      <c r="H161" t="s">
        <v>3835</v>
      </c>
      <c r="I161" t="s">
        <v>1358</v>
      </c>
      <c r="J161" t="s">
        <v>1358</v>
      </c>
      <c r="K161" t="s">
        <v>1358</v>
      </c>
      <c r="L161" t="s">
        <v>1358</v>
      </c>
    </row>
    <row r="162" spans="1:14">
      <c r="A162" t="s">
        <v>6098</v>
      </c>
      <c r="B162">
        <f>HYPERLINK("https://github.com/pmd/pmd/commit/8665d850e7fe7cc630ed69ac5bb1d99a17bc8449", "8665d850e7fe7cc630ed69ac5bb1d99a17bc8449")</f>
        <v>0</v>
      </c>
      <c r="C162">
        <f>HYPERLINK("https://github.com/pmd/pmd/commit/b14aecd654e2d7f159c31ad2b5eb7b557dab39ef", "b14aecd654e2d7f159c31ad2b5eb7b557dab39ef")</f>
        <v>0</v>
      </c>
      <c r="D162" t="s">
        <v>6492</v>
      </c>
      <c r="E162" t="s">
        <v>6554</v>
      </c>
      <c r="F162" t="s">
        <v>6988</v>
      </c>
      <c r="G162" t="s">
        <v>7734</v>
      </c>
      <c r="H162" t="s">
        <v>3834</v>
      </c>
      <c r="I162" t="s">
        <v>1359</v>
      </c>
      <c r="J162" t="s">
        <v>1357</v>
      </c>
      <c r="K162" t="s">
        <v>1358</v>
      </c>
      <c r="L162" t="s">
        <v>1357</v>
      </c>
      <c r="M162" t="s">
        <v>9916</v>
      </c>
      <c r="N162" t="s">
        <v>1360</v>
      </c>
    </row>
    <row r="163" spans="1:14">
      <c r="A163" t="s">
        <v>6099</v>
      </c>
      <c r="B163">
        <f>HYPERLINK("https://github.com/pmd/pmd/commit/3f6a4d670554ebbd6b9232cf5625f31b47cfff8c", "3f6a4d670554ebbd6b9232cf5625f31b47cfff8c")</f>
        <v>0</v>
      </c>
      <c r="C163">
        <f>HYPERLINK("https://github.com/pmd/pmd/commit/8665d850e7fe7cc630ed69ac5bb1d99a17bc8449", "8665d850e7fe7cc630ed69ac5bb1d99a17bc8449")</f>
        <v>0</v>
      </c>
      <c r="D163" t="s">
        <v>6492</v>
      </c>
      <c r="E163" t="s">
        <v>6555</v>
      </c>
      <c r="F163" t="s">
        <v>6989</v>
      </c>
      <c r="G163" t="s">
        <v>7735</v>
      </c>
      <c r="H163" t="s">
        <v>3834</v>
      </c>
      <c r="I163" t="s">
        <v>1357</v>
      </c>
      <c r="J163" t="s">
        <v>1357</v>
      </c>
      <c r="K163" t="s">
        <v>1357</v>
      </c>
      <c r="L163" t="s">
        <v>1357</v>
      </c>
      <c r="M163" t="s">
        <v>1360</v>
      </c>
      <c r="N163" t="s">
        <v>1360</v>
      </c>
    </row>
    <row r="164" spans="1:14">
      <c r="A164" t="s">
        <v>6100</v>
      </c>
      <c r="B164">
        <f>HYPERLINK("https://github.com/pmd/pmd/commit/cdfb78be31b7f45426ee67e8295c1ba0dae306b7", "cdfb78be31b7f45426ee67e8295c1ba0dae306b7")</f>
        <v>0</v>
      </c>
      <c r="C164">
        <f>HYPERLINK("https://github.com/pmd/pmd/commit/d27496d6da7247cce2e00bdeb1e566a02e8159a5", "d27496d6da7247cce2e00bdeb1e566a02e8159a5")</f>
        <v>0</v>
      </c>
      <c r="D164" t="s">
        <v>6492</v>
      </c>
      <c r="E164" t="s">
        <v>6556</v>
      </c>
      <c r="F164" t="s">
        <v>6979</v>
      </c>
      <c r="G164" t="s">
        <v>7708</v>
      </c>
      <c r="H164" t="s">
        <v>8433</v>
      </c>
      <c r="I164" t="s">
        <v>1357</v>
      </c>
      <c r="J164" t="s">
        <v>1357</v>
      </c>
      <c r="K164" t="s">
        <v>1357</v>
      </c>
      <c r="L164" t="s">
        <v>1357</v>
      </c>
    </row>
    <row r="165" spans="1:14">
      <c r="H165" t="s">
        <v>8434</v>
      </c>
      <c r="I165" t="s">
        <v>1357</v>
      </c>
      <c r="J165" t="s">
        <v>1357</v>
      </c>
      <c r="K165" t="s">
        <v>1357</v>
      </c>
      <c r="L165" t="s">
        <v>1357</v>
      </c>
    </row>
    <row r="166" spans="1:14">
      <c r="H166" t="s">
        <v>8435</v>
      </c>
      <c r="I166" t="s">
        <v>1357</v>
      </c>
      <c r="J166" t="s">
        <v>1357</v>
      </c>
      <c r="K166" t="s">
        <v>1357</v>
      </c>
      <c r="L166" t="s">
        <v>1357</v>
      </c>
    </row>
    <row r="167" spans="1:14">
      <c r="H167" t="s">
        <v>8436</v>
      </c>
      <c r="I167" t="s">
        <v>1357</v>
      </c>
      <c r="J167" t="s">
        <v>1357</v>
      </c>
      <c r="K167" t="s">
        <v>1357</v>
      </c>
      <c r="L167" t="s">
        <v>1357</v>
      </c>
    </row>
    <row r="168" spans="1:14">
      <c r="A168" t="s">
        <v>6101</v>
      </c>
      <c r="B168">
        <f>HYPERLINK("https://github.com/pmd/pmd/commit/e8e747ce55b8d7ca5ba6ee8f78e35947667e13de", "e8e747ce55b8d7ca5ba6ee8f78e35947667e13de")</f>
        <v>0</v>
      </c>
      <c r="C168">
        <f>HYPERLINK("https://github.com/pmd/pmd/commit/e0c0d98a70a5cda5863c2bad90ec98edd8b8f709", "e0c0d98a70a5cda5863c2bad90ec98edd8b8f709")</f>
        <v>0</v>
      </c>
      <c r="D168" t="s">
        <v>6492</v>
      </c>
      <c r="E168" t="s">
        <v>6557</v>
      </c>
      <c r="F168" t="s">
        <v>6967</v>
      </c>
      <c r="G168" t="s">
        <v>7714</v>
      </c>
      <c r="H168" t="s">
        <v>3834</v>
      </c>
      <c r="I168" t="s">
        <v>1358</v>
      </c>
      <c r="J168" t="s">
        <v>1358</v>
      </c>
      <c r="K168" t="s">
        <v>1358</v>
      </c>
      <c r="L168" t="s">
        <v>1358</v>
      </c>
    </row>
    <row r="169" spans="1:14">
      <c r="H169" t="s">
        <v>3835</v>
      </c>
      <c r="I169" t="s">
        <v>1358</v>
      </c>
      <c r="J169" t="s">
        <v>1358</v>
      </c>
      <c r="K169" t="s">
        <v>1358</v>
      </c>
      <c r="L169" t="s">
        <v>1358</v>
      </c>
    </row>
    <row r="170" spans="1:14">
      <c r="H170" t="s">
        <v>3836</v>
      </c>
      <c r="I170" t="s">
        <v>1358</v>
      </c>
      <c r="J170" t="s">
        <v>1358</v>
      </c>
      <c r="K170" t="s">
        <v>1358</v>
      </c>
      <c r="L170" t="s">
        <v>1358</v>
      </c>
    </row>
    <row r="171" spans="1:14">
      <c r="H171" t="s">
        <v>3837</v>
      </c>
      <c r="I171" t="s">
        <v>1358</v>
      </c>
      <c r="J171" t="s">
        <v>1358</v>
      </c>
      <c r="K171" t="s">
        <v>1358</v>
      </c>
      <c r="L171" t="s">
        <v>1358</v>
      </c>
    </row>
    <row r="172" spans="1:14">
      <c r="H172" t="s">
        <v>5243</v>
      </c>
      <c r="I172" t="s">
        <v>1358</v>
      </c>
      <c r="J172" t="s">
        <v>1358</v>
      </c>
      <c r="K172" t="s">
        <v>1358</v>
      </c>
      <c r="L172" t="s">
        <v>1358</v>
      </c>
    </row>
    <row r="173" spans="1:14">
      <c r="H173" t="s">
        <v>5244</v>
      </c>
      <c r="I173" t="s">
        <v>1358</v>
      </c>
      <c r="J173" t="s">
        <v>1358</v>
      </c>
      <c r="K173" t="s">
        <v>1358</v>
      </c>
      <c r="L173" t="s">
        <v>1358</v>
      </c>
    </row>
    <row r="174" spans="1:14">
      <c r="H174" t="s">
        <v>5245</v>
      </c>
      <c r="I174" t="s">
        <v>1358</v>
      </c>
      <c r="J174" t="s">
        <v>1358</v>
      </c>
      <c r="K174" t="s">
        <v>1358</v>
      </c>
      <c r="L174" t="s">
        <v>1358</v>
      </c>
    </row>
    <row r="175" spans="1:14">
      <c r="H175" t="s">
        <v>8437</v>
      </c>
      <c r="I175" t="s">
        <v>1358</v>
      </c>
      <c r="J175" t="s">
        <v>1358</v>
      </c>
      <c r="K175" t="s">
        <v>1358</v>
      </c>
      <c r="L175" t="s">
        <v>1358</v>
      </c>
    </row>
    <row r="176" spans="1:14">
      <c r="H176" t="s">
        <v>8438</v>
      </c>
      <c r="I176" t="s">
        <v>1358</v>
      </c>
      <c r="J176" t="s">
        <v>1358</v>
      </c>
      <c r="K176" t="s">
        <v>1358</v>
      </c>
      <c r="L176" t="s">
        <v>1358</v>
      </c>
    </row>
    <row r="177" spans="1:12">
      <c r="H177" t="s">
        <v>8439</v>
      </c>
      <c r="I177" t="s">
        <v>1358</v>
      </c>
      <c r="J177" t="s">
        <v>1358</v>
      </c>
      <c r="K177" t="s">
        <v>1358</v>
      </c>
      <c r="L177" t="s">
        <v>1358</v>
      </c>
    </row>
    <row r="178" spans="1:12">
      <c r="H178" t="s">
        <v>8440</v>
      </c>
      <c r="I178" t="s">
        <v>1358</v>
      </c>
      <c r="J178" t="s">
        <v>1358</v>
      </c>
      <c r="K178" t="s">
        <v>1358</v>
      </c>
      <c r="L178" t="s">
        <v>1358</v>
      </c>
    </row>
    <row r="179" spans="1:12">
      <c r="H179" t="s">
        <v>8441</v>
      </c>
      <c r="I179" t="s">
        <v>1358</v>
      </c>
      <c r="J179" t="s">
        <v>1358</v>
      </c>
      <c r="K179" t="s">
        <v>1358</v>
      </c>
      <c r="L179" t="s">
        <v>1358</v>
      </c>
    </row>
    <row r="180" spans="1:12">
      <c r="H180" t="s">
        <v>8442</v>
      </c>
      <c r="I180" t="s">
        <v>1358</v>
      </c>
      <c r="J180" t="s">
        <v>1358</v>
      </c>
      <c r="K180" t="s">
        <v>1358</v>
      </c>
      <c r="L180" t="s">
        <v>1358</v>
      </c>
    </row>
    <row r="181" spans="1:12">
      <c r="H181" t="s">
        <v>8443</v>
      </c>
      <c r="I181" t="s">
        <v>1358</v>
      </c>
      <c r="J181" t="s">
        <v>1358</v>
      </c>
      <c r="K181" t="s">
        <v>1358</v>
      </c>
      <c r="L181" t="s">
        <v>1358</v>
      </c>
    </row>
    <row r="182" spans="1:12">
      <c r="H182" t="s">
        <v>8444</v>
      </c>
      <c r="I182" t="s">
        <v>1358</v>
      </c>
      <c r="J182" t="s">
        <v>1358</v>
      </c>
      <c r="K182" t="s">
        <v>1358</v>
      </c>
      <c r="L182" t="s">
        <v>1358</v>
      </c>
    </row>
    <row r="183" spans="1:12">
      <c r="H183" t="s">
        <v>8445</v>
      </c>
      <c r="I183" t="s">
        <v>1358</v>
      </c>
      <c r="J183" t="s">
        <v>1358</v>
      </c>
      <c r="K183" t="s">
        <v>1358</v>
      </c>
      <c r="L183" t="s">
        <v>1358</v>
      </c>
    </row>
    <row r="184" spans="1:12">
      <c r="H184" t="s">
        <v>8446</v>
      </c>
      <c r="I184" t="s">
        <v>1358</v>
      </c>
      <c r="J184" t="s">
        <v>1358</v>
      </c>
      <c r="K184" t="s">
        <v>1358</v>
      </c>
      <c r="L184" t="s">
        <v>1358</v>
      </c>
    </row>
    <row r="185" spans="1:12">
      <c r="H185" t="s">
        <v>8447</v>
      </c>
      <c r="I185" t="s">
        <v>1358</v>
      </c>
      <c r="J185" t="s">
        <v>1358</v>
      </c>
      <c r="K185" t="s">
        <v>1358</v>
      </c>
      <c r="L185" t="s">
        <v>1358</v>
      </c>
    </row>
    <row r="186" spans="1:12">
      <c r="H186" t="s">
        <v>8448</v>
      </c>
      <c r="I186" t="s">
        <v>1358</v>
      </c>
      <c r="J186" t="s">
        <v>1358</v>
      </c>
      <c r="K186" t="s">
        <v>1358</v>
      </c>
      <c r="L186" t="s">
        <v>1358</v>
      </c>
    </row>
    <row r="187" spans="1:12">
      <c r="A187" t="s">
        <v>6102</v>
      </c>
      <c r="B187">
        <f>HYPERLINK("https://github.com/pmd/pmd/commit/c77a632c35d0ec9c30a45110bebe9c189b09b9b3", "c77a632c35d0ec9c30a45110bebe9c189b09b9b3")</f>
        <v>0</v>
      </c>
      <c r="C187">
        <f>HYPERLINK("https://github.com/pmd/pmd/commit/1f9aab3a74922ab3cc4c818861458f14831c7209", "1f9aab3a74922ab3cc4c818861458f14831c7209")</f>
        <v>0</v>
      </c>
      <c r="D187" t="s">
        <v>6492</v>
      </c>
      <c r="E187" t="s">
        <v>6558</v>
      </c>
      <c r="F187" t="s">
        <v>6993</v>
      </c>
      <c r="G187" t="s">
        <v>7739</v>
      </c>
      <c r="H187" t="s">
        <v>3834</v>
      </c>
      <c r="I187" t="s">
        <v>1358</v>
      </c>
      <c r="J187" t="s">
        <v>1358</v>
      </c>
      <c r="K187" t="s">
        <v>1358</v>
      </c>
      <c r="L187" t="s">
        <v>1358</v>
      </c>
    </row>
    <row r="188" spans="1:12">
      <c r="H188" t="s">
        <v>3835</v>
      </c>
      <c r="I188" t="s">
        <v>1358</v>
      </c>
      <c r="J188" t="s">
        <v>1358</v>
      </c>
      <c r="K188" t="s">
        <v>1358</v>
      </c>
      <c r="L188" t="s">
        <v>1358</v>
      </c>
    </row>
    <row r="189" spans="1:12">
      <c r="H189" t="s">
        <v>3836</v>
      </c>
      <c r="I189" t="s">
        <v>1358</v>
      </c>
      <c r="J189" t="s">
        <v>1358</v>
      </c>
      <c r="K189" t="s">
        <v>1358</v>
      </c>
      <c r="L189" t="s">
        <v>1358</v>
      </c>
    </row>
    <row r="190" spans="1:12">
      <c r="A190" t="s">
        <v>6103</v>
      </c>
      <c r="B190">
        <f>HYPERLINK("https://github.com/pmd/pmd/commit/b5299c890df4c8fc49835da5fe8a44a7424c150c", "b5299c890df4c8fc49835da5fe8a44a7424c150c")</f>
        <v>0</v>
      </c>
      <c r="C190">
        <f>HYPERLINK("https://github.com/pmd/pmd/commit/e93c90fec3f6d0d53cbab17bfcbed2828f65459e", "e93c90fec3f6d0d53cbab17bfcbed2828f65459e")</f>
        <v>0</v>
      </c>
      <c r="D190" t="s">
        <v>6492</v>
      </c>
      <c r="E190" t="s">
        <v>6559</v>
      </c>
      <c r="F190" t="s">
        <v>6994</v>
      </c>
      <c r="G190" t="s">
        <v>7740</v>
      </c>
      <c r="H190" t="s">
        <v>8351</v>
      </c>
      <c r="I190" t="s">
        <v>1358</v>
      </c>
      <c r="J190" t="s">
        <v>1358</v>
      </c>
      <c r="K190" t="s">
        <v>1358</v>
      </c>
      <c r="L190" t="s">
        <v>1358</v>
      </c>
    </row>
    <row r="191" spans="1:12">
      <c r="H191" t="s">
        <v>8352</v>
      </c>
      <c r="I191" t="s">
        <v>1358</v>
      </c>
      <c r="J191" t="s">
        <v>1358</v>
      </c>
      <c r="K191" t="s">
        <v>1358</v>
      </c>
      <c r="L191" t="s">
        <v>1358</v>
      </c>
    </row>
    <row r="192" spans="1:12">
      <c r="H192" t="s">
        <v>8353</v>
      </c>
      <c r="I192" t="s">
        <v>1358</v>
      </c>
      <c r="J192" t="s">
        <v>1358</v>
      </c>
      <c r="K192" t="s">
        <v>1358</v>
      </c>
      <c r="L192" t="s">
        <v>1358</v>
      </c>
    </row>
    <row r="193" spans="1:13">
      <c r="A193" t="s">
        <v>6104</v>
      </c>
      <c r="B193">
        <f>HYPERLINK("https://github.com/pmd/pmd/commit/f9f35e07020ba50a6d322693b1c037c5abdbbb1d", "f9f35e07020ba50a6d322693b1c037c5abdbbb1d")</f>
        <v>0</v>
      </c>
      <c r="C193">
        <f>HYPERLINK("https://github.com/pmd/pmd/commit/b5299c890df4c8fc49835da5fe8a44a7424c150c", "b5299c890df4c8fc49835da5fe8a44a7424c150c")</f>
        <v>0</v>
      </c>
      <c r="D193" t="s">
        <v>6492</v>
      </c>
      <c r="E193" t="s">
        <v>6560</v>
      </c>
      <c r="F193" t="s">
        <v>6995</v>
      </c>
      <c r="G193" t="s">
        <v>7741</v>
      </c>
      <c r="H193" t="s">
        <v>8449</v>
      </c>
      <c r="I193" t="s">
        <v>1357</v>
      </c>
      <c r="J193" t="s">
        <v>1357</v>
      </c>
      <c r="K193" t="s">
        <v>1357</v>
      </c>
      <c r="L193" t="s">
        <v>1357</v>
      </c>
      <c r="M193" t="s">
        <v>9917</v>
      </c>
    </row>
    <row r="194" spans="1:13">
      <c r="H194" t="s">
        <v>8450</v>
      </c>
      <c r="I194" t="s">
        <v>1358</v>
      </c>
      <c r="J194" t="s">
        <v>1358</v>
      </c>
      <c r="K194" t="s">
        <v>1358</v>
      </c>
      <c r="L194" t="s">
        <v>1358</v>
      </c>
    </row>
    <row r="195" spans="1:13">
      <c r="H195" t="s">
        <v>8451</v>
      </c>
      <c r="I195" t="s">
        <v>1358</v>
      </c>
      <c r="J195" t="s">
        <v>1358</v>
      </c>
      <c r="K195" t="s">
        <v>1358</v>
      </c>
      <c r="L195" t="s">
        <v>1358</v>
      </c>
    </row>
    <row r="196" spans="1:13">
      <c r="A196" t="s">
        <v>6105</v>
      </c>
      <c r="B196">
        <f>HYPERLINK("https://github.com/pmd/pmd/commit/e339b25ef0ff5a30413e878dc38cc09d3565f535", "e339b25ef0ff5a30413e878dc38cc09d3565f535")</f>
        <v>0</v>
      </c>
      <c r="C196">
        <f>HYPERLINK("https://github.com/pmd/pmd/commit/58b823ad3926efb842feffba19b9c1f999b50d32", "58b823ad3926efb842feffba19b9c1f999b50d32")</f>
        <v>0</v>
      </c>
      <c r="D196" t="s">
        <v>6492</v>
      </c>
      <c r="E196" t="s">
        <v>6561</v>
      </c>
      <c r="F196" t="s">
        <v>6993</v>
      </c>
      <c r="G196" t="s">
        <v>7739</v>
      </c>
      <c r="H196" t="s">
        <v>8452</v>
      </c>
      <c r="I196" t="s">
        <v>1357</v>
      </c>
      <c r="J196" t="s">
        <v>1357</v>
      </c>
      <c r="K196" t="s">
        <v>1357</v>
      </c>
      <c r="L196" t="s">
        <v>1357</v>
      </c>
    </row>
    <row r="197" spans="1:13">
      <c r="A197" t="s">
        <v>6106</v>
      </c>
      <c r="B197">
        <f>HYPERLINK("https://github.com/pmd/pmd/commit/97ee3446f0ab55660ad1495abca5f0ca14cb55c2", "97ee3446f0ab55660ad1495abca5f0ca14cb55c2")</f>
        <v>0</v>
      </c>
      <c r="C197">
        <f>HYPERLINK("https://github.com/pmd/pmd/commit/a89d2a10b4337ee73d00980c38c550e4a3be9c44", "a89d2a10b4337ee73d00980c38c550e4a3be9c44")</f>
        <v>0</v>
      </c>
      <c r="D197" t="s">
        <v>6492</v>
      </c>
      <c r="E197" t="s">
        <v>6562</v>
      </c>
      <c r="F197" t="s">
        <v>6996</v>
      </c>
      <c r="G197" t="s">
        <v>7742</v>
      </c>
      <c r="H197" t="s">
        <v>3834</v>
      </c>
      <c r="I197" t="s">
        <v>1358</v>
      </c>
      <c r="J197" t="s">
        <v>1358</v>
      </c>
      <c r="K197" t="s">
        <v>1358</v>
      </c>
      <c r="L197" t="s">
        <v>1358</v>
      </c>
    </row>
    <row r="198" spans="1:13">
      <c r="H198" t="s">
        <v>3835</v>
      </c>
      <c r="I198" t="s">
        <v>1358</v>
      </c>
      <c r="J198" t="s">
        <v>1358</v>
      </c>
      <c r="K198" t="s">
        <v>1358</v>
      </c>
      <c r="L198" t="s">
        <v>1358</v>
      </c>
    </row>
    <row r="199" spans="1:13">
      <c r="H199" t="s">
        <v>3836</v>
      </c>
      <c r="I199" t="s">
        <v>1358</v>
      </c>
      <c r="J199" t="s">
        <v>1358</v>
      </c>
      <c r="K199" t="s">
        <v>1358</v>
      </c>
      <c r="L199" t="s">
        <v>1358</v>
      </c>
    </row>
    <row r="200" spans="1:13">
      <c r="H200" t="s">
        <v>3837</v>
      </c>
      <c r="I200" t="s">
        <v>1358</v>
      </c>
      <c r="J200" t="s">
        <v>1358</v>
      </c>
      <c r="K200" t="s">
        <v>1358</v>
      </c>
      <c r="L200" t="s">
        <v>1358</v>
      </c>
    </row>
    <row r="201" spans="1:13">
      <c r="A201" t="s">
        <v>6107</v>
      </c>
      <c r="B201">
        <f>HYPERLINK("https://github.com/pmd/pmd/commit/9a940e0cc57577c730a54adf2582612581cb05af", "9a940e0cc57577c730a54adf2582612581cb05af")</f>
        <v>0</v>
      </c>
      <c r="C201">
        <f>HYPERLINK("https://github.com/pmd/pmd/commit/852da1f56e4586d297e623e4d8a901e88128f322", "852da1f56e4586d297e623e4d8a901e88128f322")</f>
        <v>0</v>
      </c>
      <c r="D201" t="s">
        <v>6492</v>
      </c>
      <c r="E201" t="s">
        <v>6563</v>
      </c>
      <c r="F201" t="s">
        <v>6997</v>
      </c>
      <c r="G201" t="s">
        <v>7743</v>
      </c>
      <c r="H201" t="s">
        <v>8453</v>
      </c>
      <c r="I201" t="s">
        <v>1358</v>
      </c>
      <c r="J201" t="s">
        <v>1358</v>
      </c>
      <c r="K201" t="s">
        <v>1358</v>
      </c>
      <c r="L201" t="s">
        <v>1358</v>
      </c>
    </row>
    <row r="202" spans="1:13">
      <c r="A202" t="s">
        <v>6108</v>
      </c>
      <c r="B202">
        <f>HYPERLINK("https://github.com/pmd/pmd/commit/318f675d9428facd1e24f431aebb487092a02909", "318f675d9428facd1e24f431aebb487092a02909")</f>
        <v>0</v>
      </c>
      <c r="C202">
        <f>HYPERLINK("https://github.com/pmd/pmd/commit/c2234a5a8be194b27a53082ae89a5aa2304fe3b7", "c2234a5a8be194b27a53082ae89a5aa2304fe3b7")</f>
        <v>0</v>
      </c>
      <c r="D202" t="s">
        <v>6492</v>
      </c>
      <c r="E202" t="s">
        <v>6564</v>
      </c>
      <c r="F202" t="s">
        <v>6998</v>
      </c>
      <c r="G202" t="s">
        <v>7744</v>
      </c>
      <c r="H202" t="s">
        <v>3834</v>
      </c>
      <c r="I202" t="s">
        <v>1358</v>
      </c>
      <c r="J202" t="s">
        <v>1358</v>
      </c>
      <c r="K202" t="s">
        <v>1358</v>
      </c>
      <c r="L202" t="s">
        <v>1358</v>
      </c>
    </row>
    <row r="203" spans="1:13">
      <c r="H203" t="s">
        <v>3835</v>
      </c>
      <c r="I203" t="s">
        <v>1358</v>
      </c>
      <c r="J203" t="s">
        <v>1358</v>
      </c>
      <c r="K203" t="s">
        <v>1358</v>
      </c>
      <c r="L203" t="s">
        <v>1358</v>
      </c>
    </row>
    <row r="204" spans="1:13">
      <c r="H204" t="s">
        <v>3836</v>
      </c>
      <c r="I204" t="s">
        <v>1358</v>
      </c>
      <c r="J204" t="s">
        <v>1358</v>
      </c>
      <c r="K204" t="s">
        <v>1358</v>
      </c>
      <c r="L204" t="s">
        <v>1358</v>
      </c>
    </row>
    <row r="205" spans="1:13">
      <c r="H205" t="s">
        <v>3837</v>
      </c>
      <c r="I205" t="s">
        <v>1358</v>
      </c>
      <c r="J205" t="s">
        <v>1358</v>
      </c>
      <c r="K205" t="s">
        <v>1358</v>
      </c>
      <c r="L205" t="s">
        <v>1358</v>
      </c>
    </row>
    <row r="206" spans="1:13">
      <c r="A206" t="s">
        <v>6109</v>
      </c>
      <c r="B206">
        <f>HYPERLINK("https://github.com/pmd/pmd/commit/97ff599330e71649e5d3573b033e23030a123a8e", "97ff599330e71649e5d3573b033e23030a123a8e")</f>
        <v>0</v>
      </c>
      <c r="C206">
        <f>HYPERLINK("https://github.com/pmd/pmd/commit/8fc93f5e890c5c55819abbc16ab7bbd297dbaf95", "8fc93f5e890c5c55819abbc16ab7bbd297dbaf95")</f>
        <v>0</v>
      </c>
      <c r="D206" t="s">
        <v>6492</v>
      </c>
      <c r="E206" t="s">
        <v>6565</v>
      </c>
      <c r="F206" t="s">
        <v>6999</v>
      </c>
      <c r="G206" t="s">
        <v>7745</v>
      </c>
      <c r="H206" t="s">
        <v>8454</v>
      </c>
      <c r="I206" t="s">
        <v>1357</v>
      </c>
      <c r="J206" t="s">
        <v>1357</v>
      </c>
      <c r="K206" t="s">
        <v>1357</v>
      </c>
      <c r="L206" t="s">
        <v>1357</v>
      </c>
    </row>
    <row r="207" spans="1:13">
      <c r="H207" t="s">
        <v>8455</v>
      </c>
      <c r="I207" t="s">
        <v>1357</v>
      </c>
      <c r="J207" t="s">
        <v>1357</v>
      </c>
      <c r="K207" t="s">
        <v>1357</v>
      </c>
      <c r="L207" t="s">
        <v>1357</v>
      </c>
    </row>
    <row r="208" spans="1:13">
      <c r="H208" t="s">
        <v>8456</v>
      </c>
      <c r="I208" t="s">
        <v>1357</v>
      </c>
      <c r="J208" t="s">
        <v>1357</v>
      </c>
      <c r="K208" t="s">
        <v>1357</v>
      </c>
      <c r="L208" t="s">
        <v>1357</v>
      </c>
    </row>
    <row r="209" spans="1:14">
      <c r="H209" t="s">
        <v>8457</v>
      </c>
      <c r="I209" t="s">
        <v>1357</v>
      </c>
      <c r="J209" t="s">
        <v>1357</v>
      </c>
      <c r="K209" t="s">
        <v>1357</v>
      </c>
      <c r="L209" t="s">
        <v>1357</v>
      </c>
    </row>
    <row r="210" spans="1:14">
      <c r="H210" t="s">
        <v>8458</v>
      </c>
      <c r="I210" t="s">
        <v>1357</v>
      </c>
      <c r="J210" t="s">
        <v>1357</v>
      </c>
      <c r="K210" t="s">
        <v>1357</v>
      </c>
      <c r="L210" t="s">
        <v>1357</v>
      </c>
    </row>
    <row r="211" spans="1:14">
      <c r="H211" t="s">
        <v>8459</v>
      </c>
      <c r="I211" t="s">
        <v>1357</v>
      </c>
      <c r="J211" t="s">
        <v>1357</v>
      </c>
      <c r="K211" t="s">
        <v>1357</v>
      </c>
      <c r="L211" t="s">
        <v>1357</v>
      </c>
    </row>
    <row r="212" spans="1:14">
      <c r="A212" t="s">
        <v>6110</v>
      </c>
      <c r="B212">
        <f>HYPERLINK("https://github.com/pmd/pmd/commit/5c82eb9fa8a09dcb05723162ec55ee1a441148e2", "5c82eb9fa8a09dcb05723162ec55ee1a441148e2")</f>
        <v>0</v>
      </c>
      <c r="C212">
        <f>HYPERLINK("https://github.com/pmd/pmd/commit/d3686791a945c7c989639c6dbd91eae03a3f243c", "d3686791a945c7c989639c6dbd91eae03a3f243c")</f>
        <v>0</v>
      </c>
      <c r="D212" t="s">
        <v>6492</v>
      </c>
      <c r="E212" t="s">
        <v>6566</v>
      </c>
      <c r="F212" t="s">
        <v>7000</v>
      </c>
      <c r="G212" t="s">
        <v>7746</v>
      </c>
      <c r="H212" t="s">
        <v>8460</v>
      </c>
      <c r="I212" t="s">
        <v>1359</v>
      </c>
      <c r="J212" t="s">
        <v>1358</v>
      </c>
      <c r="K212" t="s">
        <v>1357</v>
      </c>
      <c r="L212" t="s">
        <v>1358</v>
      </c>
      <c r="N212" t="s">
        <v>6060</v>
      </c>
    </row>
    <row r="213" spans="1:14">
      <c r="H213" t="s">
        <v>8461</v>
      </c>
      <c r="I213" t="s">
        <v>1359</v>
      </c>
      <c r="J213" t="s">
        <v>1358</v>
      </c>
      <c r="K213" t="s">
        <v>1357</v>
      </c>
      <c r="L213" t="s">
        <v>1358</v>
      </c>
      <c r="N213" t="s">
        <v>6060</v>
      </c>
    </row>
    <row r="214" spans="1:14">
      <c r="H214" t="s">
        <v>8462</v>
      </c>
      <c r="I214" t="s">
        <v>1359</v>
      </c>
      <c r="J214" t="s">
        <v>1358</v>
      </c>
      <c r="K214" t="s">
        <v>1357</v>
      </c>
      <c r="L214" t="s">
        <v>1358</v>
      </c>
      <c r="N214" t="s">
        <v>6060</v>
      </c>
    </row>
    <row r="215" spans="1:14">
      <c r="H215" t="s">
        <v>8463</v>
      </c>
      <c r="I215" t="s">
        <v>1359</v>
      </c>
      <c r="J215" t="s">
        <v>1358</v>
      </c>
      <c r="K215" t="s">
        <v>1357</v>
      </c>
      <c r="L215" t="s">
        <v>1358</v>
      </c>
      <c r="N215" t="s">
        <v>6060</v>
      </c>
    </row>
    <row r="216" spans="1:14">
      <c r="A216" t="s">
        <v>6111</v>
      </c>
      <c r="B216">
        <f>HYPERLINK("https://github.com/pmd/pmd/commit/1d466f0ea08691d749454fe924a81998638e30ab", "1d466f0ea08691d749454fe924a81998638e30ab")</f>
        <v>0</v>
      </c>
      <c r="C216">
        <f>HYPERLINK("https://github.com/pmd/pmd/commit/604a47733a6b2a8361dd38b5bc16b5ac95a82353", "604a47733a6b2a8361dd38b5bc16b5ac95a82353")</f>
        <v>0</v>
      </c>
      <c r="D216" t="s">
        <v>6492</v>
      </c>
      <c r="E216" t="s">
        <v>6567</v>
      </c>
      <c r="F216" t="s">
        <v>7001</v>
      </c>
      <c r="G216" t="s">
        <v>7747</v>
      </c>
      <c r="H216" t="s">
        <v>3834</v>
      </c>
      <c r="I216" t="s">
        <v>1358</v>
      </c>
      <c r="J216" t="s">
        <v>1358</v>
      </c>
      <c r="K216" t="s">
        <v>1358</v>
      </c>
      <c r="L216" t="s">
        <v>1358</v>
      </c>
    </row>
    <row r="217" spans="1:14">
      <c r="H217" t="s">
        <v>3835</v>
      </c>
      <c r="I217" t="s">
        <v>1358</v>
      </c>
      <c r="J217" t="s">
        <v>1358</v>
      </c>
      <c r="K217" t="s">
        <v>1358</v>
      </c>
      <c r="L217" t="s">
        <v>1358</v>
      </c>
    </row>
    <row r="218" spans="1:14">
      <c r="A218" t="s">
        <v>6112</v>
      </c>
      <c r="B218">
        <f>HYPERLINK("https://github.com/pmd/pmd/commit/1e25e87d89b92b55921eafe3805c850ade0cc224", "1e25e87d89b92b55921eafe3805c850ade0cc224")</f>
        <v>0</v>
      </c>
      <c r="C218">
        <f>HYPERLINK("https://github.com/pmd/pmd/commit/00076ab582f60052c3289caf80031002d9ea509d", "00076ab582f60052c3289caf80031002d9ea509d")</f>
        <v>0</v>
      </c>
      <c r="D218" t="s">
        <v>6492</v>
      </c>
      <c r="E218" t="s">
        <v>6568</v>
      </c>
      <c r="F218" t="s">
        <v>7002</v>
      </c>
      <c r="G218" t="s">
        <v>7748</v>
      </c>
      <c r="H218" t="s">
        <v>8464</v>
      </c>
      <c r="I218" t="s">
        <v>1357</v>
      </c>
      <c r="J218" t="s">
        <v>1357</v>
      </c>
      <c r="K218" t="s">
        <v>1357</v>
      </c>
      <c r="L218" t="s">
        <v>1357</v>
      </c>
    </row>
    <row r="219" spans="1:14">
      <c r="A219" t="s">
        <v>6113</v>
      </c>
      <c r="B219">
        <f>HYPERLINK("https://github.com/pmd/pmd/commit/49b351ef2788f1b500c3be85033d35d9dda5ebc2", "49b351ef2788f1b500c3be85033d35d9dda5ebc2")</f>
        <v>0</v>
      </c>
      <c r="C219">
        <f>HYPERLINK("https://github.com/pmd/pmd/commit/76797516495223505a83fbeb0277b3788f9fe37f", "76797516495223505a83fbeb0277b3788f9fe37f")</f>
        <v>0</v>
      </c>
      <c r="D219" t="s">
        <v>6492</v>
      </c>
      <c r="E219" t="s">
        <v>6569</v>
      </c>
      <c r="F219" t="s">
        <v>7003</v>
      </c>
      <c r="G219" t="s">
        <v>7749</v>
      </c>
      <c r="H219" t="s">
        <v>3834</v>
      </c>
      <c r="I219" t="s">
        <v>1358</v>
      </c>
      <c r="J219" t="s">
        <v>1358</v>
      </c>
      <c r="K219" t="s">
        <v>1358</v>
      </c>
      <c r="L219" t="s">
        <v>1358</v>
      </c>
    </row>
    <row r="220" spans="1:14">
      <c r="H220" t="s">
        <v>3835</v>
      </c>
      <c r="I220" t="s">
        <v>1358</v>
      </c>
      <c r="J220" t="s">
        <v>1358</v>
      </c>
      <c r="K220" t="s">
        <v>1358</v>
      </c>
      <c r="L220" t="s">
        <v>1358</v>
      </c>
    </row>
    <row r="221" spans="1:14">
      <c r="A221" t="s">
        <v>6114</v>
      </c>
      <c r="B221">
        <f>HYPERLINK("https://github.com/pmd/pmd/commit/4f30353c160717a878021e1c3d87d20caf93cf4d", "4f30353c160717a878021e1c3d87d20caf93cf4d")</f>
        <v>0</v>
      </c>
      <c r="C221">
        <f>HYPERLINK("https://github.com/pmd/pmd/commit/4b59df746eb2f6393a3c057f2ffab940d295c971", "4b59df746eb2f6393a3c057f2ffab940d295c971")</f>
        <v>0</v>
      </c>
      <c r="D221" t="s">
        <v>6492</v>
      </c>
      <c r="E221" t="s">
        <v>6570</v>
      </c>
      <c r="F221" t="s">
        <v>7004</v>
      </c>
      <c r="G221" t="s">
        <v>7750</v>
      </c>
      <c r="H221" t="s">
        <v>8465</v>
      </c>
      <c r="I221" t="s">
        <v>1357</v>
      </c>
      <c r="J221" t="s">
        <v>1357</v>
      </c>
      <c r="K221" t="s">
        <v>1357</v>
      </c>
      <c r="L221" t="s">
        <v>1357</v>
      </c>
      <c r="N221" t="s">
        <v>1372</v>
      </c>
    </row>
    <row r="222" spans="1:14">
      <c r="H222" t="s">
        <v>8466</v>
      </c>
      <c r="I222" t="s">
        <v>1357</v>
      </c>
      <c r="J222" t="s">
        <v>1357</v>
      </c>
      <c r="K222" t="s">
        <v>1357</v>
      </c>
      <c r="L222" t="s">
        <v>1357</v>
      </c>
      <c r="N222" t="s">
        <v>1372</v>
      </c>
    </row>
    <row r="223" spans="1:14">
      <c r="A223" t="s">
        <v>6115</v>
      </c>
      <c r="B223">
        <f>HYPERLINK("https://github.com/pmd/pmd/commit/e7b7cd65a2cb9d0f4e3a9db60ef86d89c67b0b81", "e7b7cd65a2cb9d0f4e3a9db60ef86d89c67b0b81")</f>
        <v>0</v>
      </c>
      <c r="C223">
        <f>HYPERLINK("https://github.com/pmd/pmd/commit/4f30353c160717a878021e1c3d87d20caf93cf4d", "4f30353c160717a878021e1c3d87d20caf93cf4d")</f>
        <v>0</v>
      </c>
      <c r="D223" t="s">
        <v>6492</v>
      </c>
      <c r="E223" t="s">
        <v>6571</v>
      </c>
      <c r="F223" t="s">
        <v>7004</v>
      </c>
      <c r="G223" t="s">
        <v>7750</v>
      </c>
      <c r="H223" t="s">
        <v>8467</v>
      </c>
      <c r="I223" t="s">
        <v>1357</v>
      </c>
      <c r="J223" t="s">
        <v>1357</v>
      </c>
      <c r="K223" t="s">
        <v>1357</v>
      </c>
      <c r="L223" t="s">
        <v>1357</v>
      </c>
      <c r="M223" t="s">
        <v>9918</v>
      </c>
      <c r="N223" t="s">
        <v>1372</v>
      </c>
    </row>
    <row r="224" spans="1:14">
      <c r="H224" t="s">
        <v>8468</v>
      </c>
      <c r="I224" t="s">
        <v>1357</v>
      </c>
      <c r="J224" t="s">
        <v>1357</v>
      </c>
      <c r="K224" t="s">
        <v>1357</v>
      </c>
      <c r="L224" t="s">
        <v>1357</v>
      </c>
    </row>
    <row r="225" spans="1:14">
      <c r="A225" t="s">
        <v>6116</v>
      </c>
      <c r="B225">
        <f>HYPERLINK("https://github.com/pmd/pmd/commit/e37288fc16edb7964b3d479ac1d058ab21f02c33", "e37288fc16edb7964b3d479ac1d058ab21f02c33")</f>
        <v>0</v>
      </c>
      <c r="C225">
        <f>HYPERLINK("https://github.com/pmd/pmd/commit/e7b7cd65a2cb9d0f4e3a9db60ef86d89c67b0b81", "e7b7cd65a2cb9d0f4e3a9db60ef86d89c67b0b81")</f>
        <v>0</v>
      </c>
      <c r="D225" t="s">
        <v>6492</v>
      </c>
      <c r="E225" t="s">
        <v>6572</v>
      </c>
      <c r="F225" t="s">
        <v>7004</v>
      </c>
      <c r="G225" t="s">
        <v>7750</v>
      </c>
      <c r="H225" t="s">
        <v>8469</v>
      </c>
      <c r="I225" t="s">
        <v>1357</v>
      </c>
      <c r="J225" t="s">
        <v>1357</v>
      </c>
      <c r="K225" t="s">
        <v>1357</v>
      </c>
      <c r="L225" t="s">
        <v>1357</v>
      </c>
      <c r="N225" t="s">
        <v>1372</v>
      </c>
    </row>
    <row r="226" spans="1:14">
      <c r="H226" t="s">
        <v>8470</v>
      </c>
      <c r="I226" t="s">
        <v>1357</v>
      </c>
      <c r="J226" t="s">
        <v>1357</v>
      </c>
      <c r="K226" t="s">
        <v>1357</v>
      </c>
      <c r="L226" t="s">
        <v>1357</v>
      </c>
      <c r="N226" t="s">
        <v>1372</v>
      </c>
    </row>
    <row r="227" spans="1:14">
      <c r="H227" t="s">
        <v>8471</v>
      </c>
      <c r="I227" t="s">
        <v>1357</v>
      </c>
      <c r="J227" t="s">
        <v>1357</v>
      </c>
      <c r="K227" t="s">
        <v>1357</v>
      </c>
      <c r="L227" t="s">
        <v>1357</v>
      </c>
      <c r="N227" t="s">
        <v>1372</v>
      </c>
    </row>
    <row r="228" spans="1:14">
      <c r="H228" t="s">
        <v>8472</v>
      </c>
      <c r="I228" t="s">
        <v>1357</v>
      </c>
      <c r="J228" t="s">
        <v>1357</v>
      </c>
      <c r="K228" t="s">
        <v>1357</v>
      </c>
      <c r="L228" t="s">
        <v>1357</v>
      </c>
      <c r="N228" t="s">
        <v>1372</v>
      </c>
    </row>
    <row r="229" spans="1:14">
      <c r="A229" t="s">
        <v>6117</v>
      </c>
      <c r="B229">
        <f>HYPERLINK("https://github.com/pmd/pmd/commit/b18abcb4963ce92e1f2c6a3576202d36e25c6da6", "b18abcb4963ce92e1f2c6a3576202d36e25c6da6")</f>
        <v>0</v>
      </c>
      <c r="C229">
        <f>HYPERLINK("https://github.com/pmd/pmd/commit/556314cd688e51b1624db5e4bf07eb64adf0ee4b", "556314cd688e51b1624db5e4bf07eb64adf0ee4b")</f>
        <v>0</v>
      </c>
      <c r="D229" t="s">
        <v>6492</v>
      </c>
      <c r="E229" t="s">
        <v>6573</v>
      </c>
      <c r="F229" t="s">
        <v>7004</v>
      </c>
      <c r="G229" t="s">
        <v>7750</v>
      </c>
      <c r="H229" t="s">
        <v>8473</v>
      </c>
      <c r="I229" t="s">
        <v>1357</v>
      </c>
      <c r="J229" t="s">
        <v>1357</v>
      </c>
      <c r="K229" t="s">
        <v>1357</v>
      </c>
      <c r="L229" t="s">
        <v>1357</v>
      </c>
      <c r="N229" t="s">
        <v>1372</v>
      </c>
    </row>
    <row r="230" spans="1:14">
      <c r="A230" t="s">
        <v>6118</v>
      </c>
      <c r="B230">
        <f>HYPERLINK("https://github.com/pmd/pmd/commit/f8b657e54ec5b73294717c127f92a59a18777b74", "f8b657e54ec5b73294717c127f92a59a18777b74")</f>
        <v>0</v>
      </c>
      <c r="C230">
        <f>HYPERLINK("https://github.com/pmd/pmd/commit/b18abcb4963ce92e1f2c6a3576202d36e25c6da6", "b18abcb4963ce92e1f2c6a3576202d36e25c6da6")</f>
        <v>0</v>
      </c>
      <c r="D230" t="s">
        <v>6492</v>
      </c>
      <c r="E230" t="s">
        <v>6574</v>
      </c>
      <c r="F230" t="s">
        <v>7004</v>
      </c>
      <c r="G230" t="s">
        <v>7750</v>
      </c>
      <c r="H230" t="s">
        <v>8474</v>
      </c>
      <c r="I230" t="s">
        <v>1357</v>
      </c>
      <c r="J230" t="s">
        <v>1357</v>
      </c>
      <c r="K230" t="s">
        <v>1357</v>
      </c>
      <c r="L230" t="s">
        <v>1357</v>
      </c>
    </row>
    <row r="231" spans="1:14">
      <c r="A231" t="s">
        <v>6119</v>
      </c>
      <c r="B231">
        <f>HYPERLINK("https://github.com/pmd/pmd/commit/c5a4264e5889602edad8a326aba1cf9a2d012cf8", "c5a4264e5889602edad8a326aba1cf9a2d012cf8")</f>
        <v>0</v>
      </c>
      <c r="C231">
        <f>HYPERLINK("https://github.com/pmd/pmd/commit/1a0c050deceaccd82f5618951d8de04ccf29d4c8", "1a0c050deceaccd82f5618951d8de04ccf29d4c8")</f>
        <v>0</v>
      </c>
      <c r="D231" t="s">
        <v>6492</v>
      </c>
      <c r="E231" t="s">
        <v>6575</v>
      </c>
      <c r="F231" t="s">
        <v>7004</v>
      </c>
      <c r="G231" t="s">
        <v>7750</v>
      </c>
      <c r="H231" t="s">
        <v>8475</v>
      </c>
      <c r="I231" t="s">
        <v>1357</v>
      </c>
      <c r="J231" t="s">
        <v>1357</v>
      </c>
      <c r="K231" t="s">
        <v>1357</v>
      </c>
      <c r="L231" t="s">
        <v>1357</v>
      </c>
    </row>
    <row r="232" spans="1:14">
      <c r="A232" t="s">
        <v>6120</v>
      </c>
      <c r="B232">
        <f>HYPERLINK("https://github.com/pmd/pmd/commit/25dfab0e492f27fd27d3d2a5af0905c8c3f725ce", "25dfab0e492f27fd27d3d2a5af0905c8c3f725ce")</f>
        <v>0</v>
      </c>
      <c r="C232">
        <f>HYPERLINK("https://github.com/pmd/pmd/commit/c5a4264e5889602edad8a326aba1cf9a2d012cf8", "c5a4264e5889602edad8a326aba1cf9a2d012cf8")</f>
        <v>0</v>
      </c>
      <c r="D232" t="s">
        <v>6492</v>
      </c>
      <c r="E232" t="s">
        <v>6576</v>
      </c>
      <c r="F232" t="s">
        <v>7004</v>
      </c>
      <c r="G232" t="s">
        <v>7750</v>
      </c>
      <c r="H232" t="s">
        <v>8476</v>
      </c>
      <c r="I232" t="s">
        <v>1357</v>
      </c>
      <c r="J232" t="s">
        <v>1357</v>
      </c>
      <c r="K232" t="s">
        <v>1357</v>
      </c>
      <c r="L232" t="s">
        <v>1357</v>
      </c>
    </row>
    <row r="233" spans="1:14">
      <c r="A233" t="s">
        <v>6121</v>
      </c>
      <c r="B233">
        <f>HYPERLINK("https://github.com/pmd/pmd/commit/d2e8f058e54caa887f5d00d13a41d66f2fa4e445", "d2e8f058e54caa887f5d00d13a41d66f2fa4e445")</f>
        <v>0</v>
      </c>
      <c r="C233">
        <f>HYPERLINK("https://github.com/pmd/pmd/commit/48f79c0a8ea0cec04d22d5371f82af85cb9e7120", "48f79c0a8ea0cec04d22d5371f82af85cb9e7120")</f>
        <v>0</v>
      </c>
      <c r="D233" t="s">
        <v>6492</v>
      </c>
      <c r="E233" t="s">
        <v>6577</v>
      </c>
      <c r="F233" t="s">
        <v>6970</v>
      </c>
      <c r="G233" t="s">
        <v>7717</v>
      </c>
      <c r="H233" t="s">
        <v>8337</v>
      </c>
      <c r="I233" t="s">
        <v>1357</v>
      </c>
      <c r="J233" t="s">
        <v>1357</v>
      </c>
      <c r="K233" t="s">
        <v>1357</v>
      </c>
      <c r="L233" t="s">
        <v>1357</v>
      </c>
    </row>
    <row r="234" spans="1:14">
      <c r="H234" t="s">
        <v>8335</v>
      </c>
      <c r="I234" t="s">
        <v>1357</v>
      </c>
      <c r="J234" t="s">
        <v>1357</v>
      </c>
      <c r="K234" t="s">
        <v>1357</v>
      </c>
      <c r="L234" t="s">
        <v>1357</v>
      </c>
    </row>
    <row r="235" spans="1:14">
      <c r="F235" t="s">
        <v>6971</v>
      </c>
      <c r="G235" t="s">
        <v>7718</v>
      </c>
      <c r="H235" t="s">
        <v>3834</v>
      </c>
      <c r="I235" t="s">
        <v>1357</v>
      </c>
      <c r="J235" t="s">
        <v>1357</v>
      </c>
      <c r="K235" t="s">
        <v>1357</v>
      </c>
      <c r="L235" t="s">
        <v>1357</v>
      </c>
    </row>
    <row r="236" spans="1:14">
      <c r="F236" t="s">
        <v>6968</v>
      </c>
      <c r="G236" t="s">
        <v>7715</v>
      </c>
      <c r="H236" t="s">
        <v>8477</v>
      </c>
      <c r="I236" t="s">
        <v>1357</v>
      </c>
      <c r="J236" t="s">
        <v>1357</v>
      </c>
      <c r="K236" t="s">
        <v>1357</v>
      </c>
      <c r="L236" t="s">
        <v>1357</v>
      </c>
    </row>
    <row r="237" spans="1:14">
      <c r="H237" t="s">
        <v>8335</v>
      </c>
      <c r="I237" t="s">
        <v>1357</v>
      </c>
      <c r="J237" t="s">
        <v>1357</v>
      </c>
      <c r="K237" t="s">
        <v>1357</v>
      </c>
      <c r="L237" t="s">
        <v>1357</v>
      </c>
    </row>
    <row r="238" spans="1:14">
      <c r="H238" t="s">
        <v>8396</v>
      </c>
      <c r="I238" t="s">
        <v>1357</v>
      </c>
      <c r="J238" t="s">
        <v>1357</v>
      </c>
      <c r="K238" t="s">
        <v>1357</v>
      </c>
      <c r="L238" t="s">
        <v>1357</v>
      </c>
    </row>
    <row r="239" spans="1:14">
      <c r="H239" t="s">
        <v>1079</v>
      </c>
      <c r="I239" t="s">
        <v>1357</v>
      </c>
      <c r="J239" t="s">
        <v>1357</v>
      </c>
      <c r="K239" t="s">
        <v>1357</v>
      </c>
      <c r="L239" t="s">
        <v>1357</v>
      </c>
    </row>
    <row r="240" spans="1:14">
      <c r="H240" t="s">
        <v>8397</v>
      </c>
      <c r="I240" t="s">
        <v>1357</v>
      </c>
      <c r="J240" t="s">
        <v>1357</v>
      </c>
      <c r="K240" t="s">
        <v>1357</v>
      </c>
      <c r="L240" t="s">
        <v>1357</v>
      </c>
    </row>
    <row r="241" spans="1:14">
      <c r="F241" t="s">
        <v>7005</v>
      </c>
      <c r="G241" t="s">
        <v>7751</v>
      </c>
      <c r="H241" t="s">
        <v>8337</v>
      </c>
      <c r="I241" t="s">
        <v>1357</v>
      </c>
      <c r="J241" t="s">
        <v>1357</v>
      </c>
      <c r="K241" t="s">
        <v>1357</v>
      </c>
      <c r="L241" t="s">
        <v>1357</v>
      </c>
    </row>
    <row r="242" spans="1:14">
      <c r="F242" t="s">
        <v>6972</v>
      </c>
      <c r="G242" t="s">
        <v>7719</v>
      </c>
      <c r="H242" t="s">
        <v>3780</v>
      </c>
      <c r="I242" t="s">
        <v>1357</v>
      </c>
      <c r="J242" t="s">
        <v>1357</v>
      </c>
      <c r="K242" t="s">
        <v>1357</v>
      </c>
      <c r="L242" t="s">
        <v>1357</v>
      </c>
    </row>
    <row r="243" spans="1:14">
      <c r="H243" t="s">
        <v>3802</v>
      </c>
      <c r="I243" t="s">
        <v>1357</v>
      </c>
      <c r="J243" t="s">
        <v>1357</v>
      </c>
      <c r="K243" t="s">
        <v>1357</v>
      </c>
      <c r="L243" t="s">
        <v>1357</v>
      </c>
    </row>
    <row r="244" spans="1:14">
      <c r="H244" t="s">
        <v>1214</v>
      </c>
      <c r="I244" t="s">
        <v>1357</v>
      </c>
      <c r="J244" t="s">
        <v>1357</v>
      </c>
      <c r="K244" t="s">
        <v>1357</v>
      </c>
      <c r="L244" t="s">
        <v>1357</v>
      </c>
    </row>
    <row r="245" spans="1:14">
      <c r="H245" t="s">
        <v>1079</v>
      </c>
      <c r="I245" t="s">
        <v>1357</v>
      </c>
      <c r="J245" t="s">
        <v>1357</v>
      </c>
      <c r="K245" t="s">
        <v>1357</v>
      </c>
      <c r="L245" t="s">
        <v>1357</v>
      </c>
    </row>
    <row r="246" spans="1:14">
      <c r="H246" t="s">
        <v>3303</v>
      </c>
      <c r="I246" t="s">
        <v>1357</v>
      </c>
      <c r="J246" t="s">
        <v>1357</v>
      </c>
      <c r="K246" t="s">
        <v>1357</v>
      </c>
      <c r="L246" t="s">
        <v>1357</v>
      </c>
    </row>
    <row r="247" spans="1:14">
      <c r="F247" t="s">
        <v>6973</v>
      </c>
      <c r="G247" t="s">
        <v>7720</v>
      </c>
      <c r="H247" t="s">
        <v>8398</v>
      </c>
      <c r="I247" t="s">
        <v>1357</v>
      </c>
      <c r="J247" t="s">
        <v>1357</v>
      </c>
      <c r="K247" t="s">
        <v>1357</v>
      </c>
      <c r="L247" t="s">
        <v>1357</v>
      </c>
    </row>
    <row r="248" spans="1:14">
      <c r="F248" t="s">
        <v>6974</v>
      </c>
      <c r="G248" t="s">
        <v>7721</v>
      </c>
      <c r="H248" t="s">
        <v>8337</v>
      </c>
      <c r="I248" t="s">
        <v>1357</v>
      </c>
      <c r="J248" t="s">
        <v>1357</v>
      </c>
      <c r="K248" t="s">
        <v>1357</v>
      </c>
      <c r="L248" t="s">
        <v>1357</v>
      </c>
    </row>
    <row r="249" spans="1:14">
      <c r="A249" t="s">
        <v>6122</v>
      </c>
      <c r="B249">
        <f>HYPERLINK("https://github.com/pmd/pmd/commit/5f9f241263f4f601d7cb7dff6e1bbc8ce1011f5e", "5f9f241263f4f601d7cb7dff6e1bbc8ce1011f5e")</f>
        <v>0</v>
      </c>
      <c r="C249">
        <f>HYPERLINK("https://github.com/pmd/pmd/commit/0ddf536491b583b2f62a1ec9b95e1b8678b7fffc", "0ddf536491b583b2f62a1ec9b95e1b8678b7fffc")</f>
        <v>0</v>
      </c>
      <c r="D249" t="s">
        <v>6492</v>
      </c>
      <c r="E249" t="s">
        <v>6578</v>
      </c>
      <c r="F249" t="s">
        <v>7006</v>
      </c>
      <c r="G249" t="s">
        <v>7752</v>
      </c>
      <c r="H249" t="s">
        <v>8337</v>
      </c>
      <c r="I249" t="s">
        <v>1357</v>
      </c>
      <c r="J249" t="s">
        <v>1357</v>
      </c>
      <c r="K249" t="s">
        <v>1357</v>
      </c>
      <c r="L249" t="s">
        <v>1357</v>
      </c>
    </row>
    <row r="250" spans="1:14">
      <c r="F250" t="s">
        <v>6973</v>
      </c>
      <c r="G250" t="s">
        <v>7720</v>
      </c>
      <c r="H250" t="s">
        <v>8337</v>
      </c>
      <c r="I250" t="s">
        <v>1357</v>
      </c>
      <c r="J250" t="s">
        <v>1357</v>
      </c>
      <c r="K250" t="s">
        <v>1357</v>
      </c>
      <c r="L250" t="s">
        <v>1357</v>
      </c>
    </row>
    <row r="251" spans="1:14">
      <c r="H251" t="s">
        <v>3303</v>
      </c>
      <c r="I251" t="s">
        <v>1357</v>
      </c>
      <c r="J251" t="s">
        <v>1357</v>
      </c>
      <c r="K251" t="s">
        <v>1357</v>
      </c>
      <c r="L251" t="s">
        <v>1357</v>
      </c>
    </row>
    <row r="252" spans="1:14">
      <c r="H252" t="s">
        <v>8478</v>
      </c>
      <c r="I252" t="s">
        <v>1357</v>
      </c>
      <c r="J252" t="s">
        <v>1357</v>
      </c>
      <c r="K252" t="s">
        <v>1357</v>
      </c>
      <c r="L252" t="s">
        <v>1357</v>
      </c>
    </row>
    <row r="253" spans="1:14">
      <c r="A253" t="s">
        <v>6123</v>
      </c>
      <c r="B253">
        <f>HYPERLINK("https://github.com/pmd/pmd/commit/b1bd41ebceea5a25badf281a2a8968520527f6b6", "b1bd41ebceea5a25badf281a2a8968520527f6b6")</f>
        <v>0</v>
      </c>
      <c r="C253">
        <f>HYPERLINK("https://github.com/pmd/pmd/commit/950d67c55ef8469da841ae9f1f38c3fa56a9d853", "950d67c55ef8469da841ae9f1f38c3fa56a9d853")</f>
        <v>0</v>
      </c>
      <c r="D253" t="s">
        <v>6492</v>
      </c>
      <c r="E253" t="s">
        <v>6579</v>
      </c>
      <c r="F253" t="s">
        <v>7007</v>
      </c>
      <c r="G253" t="s">
        <v>7753</v>
      </c>
      <c r="H253" t="s">
        <v>8479</v>
      </c>
      <c r="I253" t="s">
        <v>1357</v>
      </c>
      <c r="J253" t="s">
        <v>1357</v>
      </c>
      <c r="K253" t="s">
        <v>1357</v>
      </c>
      <c r="L253" t="s">
        <v>1357</v>
      </c>
    </row>
    <row r="254" spans="1:14">
      <c r="A254" t="s">
        <v>6124</v>
      </c>
      <c r="B254">
        <f>HYPERLINK("https://github.com/pmd/pmd/commit/9caf68e78561ef34bd5967d4723d6fe166c5dca2", "9caf68e78561ef34bd5967d4723d6fe166c5dca2")</f>
        <v>0</v>
      </c>
      <c r="C254">
        <f>HYPERLINK("https://github.com/pmd/pmd/commit/b082a5a82d8d8ca37e485c5cf8389f27a6e88e28", "b082a5a82d8d8ca37e485c5cf8389f27a6e88e28")</f>
        <v>0</v>
      </c>
      <c r="D254" t="s">
        <v>6492</v>
      </c>
      <c r="E254" t="s">
        <v>6580</v>
      </c>
      <c r="F254" t="s">
        <v>7008</v>
      </c>
      <c r="G254" t="s">
        <v>7754</v>
      </c>
      <c r="H254" t="s">
        <v>3834</v>
      </c>
      <c r="I254" t="s">
        <v>1358</v>
      </c>
      <c r="J254" t="s">
        <v>1358</v>
      </c>
      <c r="K254" t="s">
        <v>1358</v>
      </c>
      <c r="L254" t="s">
        <v>1358</v>
      </c>
    </row>
    <row r="255" spans="1:14">
      <c r="A255" t="s">
        <v>6125</v>
      </c>
      <c r="B255">
        <f>HYPERLINK("https://github.com/pmd/pmd/commit/de3a006d0a7e57eccba56e32b88f2b3fa9225047", "de3a006d0a7e57eccba56e32b88f2b3fa9225047")</f>
        <v>0</v>
      </c>
      <c r="C255">
        <f>HYPERLINK("https://github.com/pmd/pmd/commit/b1e6c2253df5341a994865982aed7de6a3237090", "b1e6c2253df5341a994865982aed7de6a3237090")</f>
        <v>0</v>
      </c>
      <c r="D255" t="s">
        <v>6492</v>
      </c>
      <c r="E255" t="s">
        <v>6581</v>
      </c>
      <c r="F255" t="s">
        <v>7009</v>
      </c>
      <c r="G255" t="s">
        <v>7755</v>
      </c>
      <c r="H255" t="s">
        <v>8337</v>
      </c>
      <c r="I255" t="s">
        <v>1357</v>
      </c>
      <c r="J255" t="s">
        <v>1357</v>
      </c>
      <c r="K255" t="s">
        <v>1357</v>
      </c>
      <c r="L255" t="s">
        <v>1357</v>
      </c>
      <c r="M255" t="s">
        <v>1360</v>
      </c>
      <c r="N255" t="s">
        <v>9928</v>
      </c>
    </row>
    <row r="256" spans="1:14">
      <c r="A256" t="s">
        <v>6126</v>
      </c>
      <c r="B256">
        <f>HYPERLINK("https://github.com/pmd/pmd/commit/4d5cddcc481adb48f953c268605352e0091641ed", "4d5cddcc481adb48f953c268605352e0091641ed")</f>
        <v>0</v>
      </c>
      <c r="C256">
        <f>HYPERLINK("https://github.com/pmd/pmd/commit/91b7794fc34e677897fb21e088680dcbb17650e0", "91b7794fc34e677897fb21e088680dcbb17650e0")</f>
        <v>0</v>
      </c>
      <c r="D256" t="s">
        <v>6492</v>
      </c>
      <c r="E256" t="s">
        <v>6582</v>
      </c>
      <c r="F256" t="s">
        <v>7010</v>
      </c>
      <c r="G256" t="s">
        <v>7756</v>
      </c>
      <c r="H256" t="s">
        <v>8448</v>
      </c>
      <c r="I256" t="s">
        <v>1357</v>
      </c>
      <c r="J256" t="s">
        <v>1357</v>
      </c>
      <c r="K256" t="s">
        <v>1357</v>
      </c>
      <c r="L256" t="s">
        <v>1357</v>
      </c>
    </row>
    <row r="257" spans="1:14">
      <c r="A257" t="s">
        <v>6127</v>
      </c>
      <c r="B257">
        <f>HYPERLINK("https://github.com/pmd/pmd/commit/c769fa553a1df0ff2f8273861cd537b0f1d9d7ba", "c769fa553a1df0ff2f8273861cd537b0f1d9d7ba")</f>
        <v>0</v>
      </c>
      <c r="C257">
        <f>HYPERLINK("https://github.com/pmd/pmd/commit/6845f2b0a07b1469a3fb58e586dd2f97dcc7ec3b", "6845f2b0a07b1469a3fb58e586dd2f97dcc7ec3b")</f>
        <v>0</v>
      </c>
      <c r="D257" t="s">
        <v>6492</v>
      </c>
      <c r="E257" t="s">
        <v>6583</v>
      </c>
      <c r="F257" t="s">
        <v>7011</v>
      </c>
      <c r="G257" t="s">
        <v>7757</v>
      </c>
      <c r="H257" t="s">
        <v>8354</v>
      </c>
      <c r="I257" t="s">
        <v>1359</v>
      </c>
      <c r="J257" t="s">
        <v>1358</v>
      </c>
      <c r="K257" t="s">
        <v>1357</v>
      </c>
      <c r="L257" t="s">
        <v>1358</v>
      </c>
      <c r="N257" t="s">
        <v>1372</v>
      </c>
    </row>
    <row r="258" spans="1:14">
      <c r="A258" t="s">
        <v>6128</v>
      </c>
      <c r="B258">
        <f>HYPERLINK("https://github.com/pmd/pmd/commit/190a125617d5ee743115951e1d530a3f9b3825ea", "190a125617d5ee743115951e1d530a3f9b3825ea")</f>
        <v>0</v>
      </c>
      <c r="C258">
        <f>HYPERLINK("https://github.com/pmd/pmd/commit/5e5b8c64870c4c920680b9ca395f3fc1f60b8382", "5e5b8c64870c4c920680b9ca395f3fc1f60b8382")</f>
        <v>0</v>
      </c>
      <c r="D258" t="s">
        <v>6492</v>
      </c>
      <c r="E258" t="s">
        <v>6584</v>
      </c>
      <c r="F258" t="s">
        <v>7004</v>
      </c>
      <c r="G258" t="s">
        <v>7750</v>
      </c>
      <c r="H258" t="s">
        <v>8480</v>
      </c>
      <c r="I258" t="s">
        <v>1357</v>
      </c>
      <c r="J258" t="s">
        <v>1357</v>
      </c>
      <c r="K258" t="s">
        <v>1357</v>
      </c>
      <c r="L258" t="s">
        <v>1357</v>
      </c>
    </row>
    <row r="259" spans="1:14">
      <c r="A259" t="s">
        <v>6129</v>
      </c>
      <c r="B259">
        <f>HYPERLINK("https://github.com/pmd/pmd/commit/c0ef77890e9388db6da6e8036ad2fb34084b709e", "c0ef77890e9388db6da6e8036ad2fb34084b709e")</f>
        <v>0</v>
      </c>
      <c r="C259">
        <f>HYPERLINK("https://github.com/pmd/pmd/commit/4a3e369af0da06a5414e0b484da4b1e70dd4d584", "4a3e369af0da06a5414e0b484da4b1e70dd4d584")</f>
        <v>0</v>
      </c>
      <c r="D259" t="s">
        <v>6492</v>
      </c>
      <c r="E259" t="s">
        <v>6585</v>
      </c>
      <c r="F259" t="s">
        <v>7012</v>
      </c>
      <c r="G259" t="s">
        <v>7758</v>
      </c>
      <c r="H259" t="s">
        <v>8481</v>
      </c>
      <c r="I259" t="s">
        <v>1357</v>
      </c>
      <c r="J259" t="s">
        <v>1357</v>
      </c>
      <c r="K259" t="s">
        <v>1357</v>
      </c>
      <c r="L259" t="s">
        <v>1357</v>
      </c>
    </row>
    <row r="260" spans="1:14">
      <c r="A260" t="s">
        <v>6130</v>
      </c>
      <c r="B260">
        <f>HYPERLINK("https://github.com/pmd/pmd/commit/a259222c4687427a69b1424334a88930099437c1", "a259222c4687427a69b1424334a88930099437c1")</f>
        <v>0</v>
      </c>
      <c r="C260">
        <f>HYPERLINK("https://github.com/pmd/pmd/commit/b9da87eff8d18d700e8e0e333e4ae28eecf16cf0", "b9da87eff8d18d700e8e0e333e4ae28eecf16cf0")</f>
        <v>0</v>
      </c>
      <c r="D260" t="s">
        <v>6492</v>
      </c>
      <c r="E260" t="s">
        <v>6586</v>
      </c>
      <c r="F260" t="s">
        <v>7004</v>
      </c>
      <c r="G260" t="s">
        <v>7750</v>
      </c>
      <c r="H260" t="s">
        <v>8482</v>
      </c>
      <c r="I260" t="s">
        <v>1357</v>
      </c>
      <c r="J260" t="s">
        <v>1357</v>
      </c>
      <c r="K260" t="s">
        <v>1357</v>
      </c>
      <c r="L260" t="s">
        <v>1357</v>
      </c>
    </row>
    <row r="261" spans="1:14">
      <c r="A261" t="s">
        <v>6131</v>
      </c>
      <c r="B261">
        <f>HYPERLINK("https://github.com/pmd/pmd/commit/32ec1f4c3eaaa5e6988d5bbc1a7ac35cdd42fd35", "32ec1f4c3eaaa5e6988d5bbc1a7ac35cdd42fd35")</f>
        <v>0</v>
      </c>
      <c r="C261">
        <f>HYPERLINK("https://github.com/pmd/pmd/commit/f56a7a15a78ddd8a04a30741d607df49b79025cc", "f56a7a15a78ddd8a04a30741d607df49b79025cc")</f>
        <v>0</v>
      </c>
      <c r="D261" t="s">
        <v>6492</v>
      </c>
      <c r="E261" t="s">
        <v>6587</v>
      </c>
      <c r="F261" t="s">
        <v>7013</v>
      </c>
      <c r="G261" t="s">
        <v>7759</v>
      </c>
      <c r="H261" t="s">
        <v>8483</v>
      </c>
      <c r="I261" t="s">
        <v>1358</v>
      </c>
      <c r="J261" t="s">
        <v>1358</v>
      </c>
      <c r="K261" t="s">
        <v>1358</v>
      </c>
      <c r="L261" t="s">
        <v>1358</v>
      </c>
      <c r="N261" t="s">
        <v>9929</v>
      </c>
    </row>
    <row r="262" spans="1:14">
      <c r="H262" t="s">
        <v>8484</v>
      </c>
      <c r="I262" t="s">
        <v>1358</v>
      </c>
      <c r="J262" t="s">
        <v>1358</v>
      </c>
      <c r="K262" t="s">
        <v>1358</v>
      </c>
      <c r="L262" t="s">
        <v>1358</v>
      </c>
      <c r="N262" t="s">
        <v>9929</v>
      </c>
    </row>
    <row r="263" spans="1:14">
      <c r="H263" t="s">
        <v>8485</v>
      </c>
      <c r="I263" t="s">
        <v>1358</v>
      </c>
      <c r="J263" t="s">
        <v>1358</v>
      </c>
      <c r="K263" t="s">
        <v>1358</v>
      </c>
      <c r="L263" t="s">
        <v>1358</v>
      </c>
      <c r="N263" t="s">
        <v>9929</v>
      </c>
    </row>
    <row r="264" spans="1:14">
      <c r="H264" t="s">
        <v>8486</v>
      </c>
      <c r="I264" t="s">
        <v>1358</v>
      </c>
      <c r="J264" t="s">
        <v>1358</v>
      </c>
      <c r="K264" t="s">
        <v>1358</v>
      </c>
      <c r="L264" t="s">
        <v>1358</v>
      </c>
      <c r="N264" t="s">
        <v>9929</v>
      </c>
    </row>
    <row r="265" spans="1:14">
      <c r="H265" t="s">
        <v>8487</v>
      </c>
      <c r="I265" t="s">
        <v>1358</v>
      </c>
      <c r="J265" t="s">
        <v>1358</v>
      </c>
      <c r="K265" t="s">
        <v>1358</v>
      </c>
      <c r="L265" t="s">
        <v>1358</v>
      </c>
      <c r="N265" t="s">
        <v>9929</v>
      </c>
    </row>
    <row r="266" spans="1:14">
      <c r="F266" t="s">
        <v>7014</v>
      </c>
      <c r="G266" t="s">
        <v>7760</v>
      </c>
      <c r="H266" t="s">
        <v>3834</v>
      </c>
      <c r="I266" t="s">
        <v>1358</v>
      </c>
      <c r="J266" t="s">
        <v>1358</v>
      </c>
      <c r="K266" t="s">
        <v>1358</v>
      </c>
      <c r="L266" t="s">
        <v>1358</v>
      </c>
      <c r="N266" t="s">
        <v>9929</v>
      </c>
    </row>
    <row r="267" spans="1:14">
      <c r="H267" t="s">
        <v>3835</v>
      </c>
      <c r="I267" t="s">
        <v>1358</v>
      </c>
      <c r="J267" t="s">
        <v>1358</v>
      </c>
      <c r="K267" t="s">
        <v>1358</v>
      </c>
      <c r="L267" t="s">
        <v>1358</v>
      </c>
      <c r="N267" t="s">
        <v>9929</v>
      </c>
    </row>
    <row r="268" spans="1:14">
      <c r="A268" t="s">
        <v>6132</v>
      </c>
      <c r="B268">
        <f>HYPERLINK("https://github.com/pmd/pmd/commit/936dafb5c4a013ab571599f74cdc0224de3b918a", "936dafb5c4a013ab571599f74cdc0224de3b918a")</f>
        <v>0</v>
      </c>
      <c r="C268">
        <f>HYPERLINK("https://github.com/pmd/pmd/commit/32ec1f4c3eaaa5e6988d5bbc1a7ac35cdd42fd35", "32ec1f4c3eaaa5e6988d5bbc1a7ac35cdd42fd35")</f>
        <v>0</v>
      </c>
      <c r="D268" t="s">
        <v>6492</v>
      </c>
      <c r="E268" t="s">
        <v>6588</v>
      </c>
      <c r="F268" t="s">
        <v>7010</v>
      </c>
      <c r="G268" t="s">
        <v>7756</v>
      </c>
      <c r="H268" t="s">
        <v>3834</v>
      </c>
      <c r="I268" t="s">
        <v>1358</v>
      </c>
      <c r="J268" t="s">
        <v>1358</v>
      </c>
      <c r="K268" t="s">
        <v>1358</v>
      </c>
      <c r="L268" t="s">
        <v>1358</v>
      </c>
      <c r="N268" t="s">
        <v>9929</v>
      </c>
    </row>
    <row r="269" spans="1:14">
      <c r="H269" t="s">
        <v>3835</v>
      </c>
      <c r="I269" t="s">
        <v>1358</v>
      </c>
      <c r="J269" t="s">
        <v>1358</v>
      </c>
      <c r="K269" t="s">
        <v>1358</v>
      </c>
      <c r="L269" t="s">
        <v>1358</v>
      </c>
      <c r="N269" t="s">
        <v>9929</v>
      </c>
    </row>
    <row r="270" spans="1:14">
      <c r="H270" t="s">
        <v>3836</v>
      </c>
      <c r="I270" t="s">
        <v>1358</v>
      </c>
      <c r="J270" t="s">
        <v>1358</v>
      </c>
      <c r="K270" t="s">
        <v>1358</v>
      </c>
      <c r="L270" t="s">
        <v>1358</v>
      </c>
      <c r="N270" t="s">
        <v>9929</v>
      </c>
    </row>
    <row r="271" spans="1:14">
      <c r="H271" t="s">
        <v>3837</v>
      </c>
      <c r="I271" t="s">
        <v>1358</v>
      </c>
      <c r="J271" t="s">
        <v>1358</v>
      </c>
      <c r="K271" t="s">
        <v>1358</v>
      </c>
      <c r="L271" t="s">
        <v>1358</v>
      </c>
      <c r="N271" t="s">
        <v>9929</v>
      </c>
    </row>
    <row r="272" spans="1:14">
      <c r="H272" t="s">
        <v>3838</v>
      </c>
      <c r="I272" t="s">
        <v>1358</v>
      </c>
      <c r="J272" t="s">
        <v>1358</v>
      </c>
      <c r="K272" t="s">
        <v>1358</v>
      </c>
      <c r="L272" t="s">
        <v>1358</v>
      </c>
      <c r="N272" t="s">
        <v>9929</v>
      </c>
    </row>
    <row r="273" spans="6:14">
      <c r="H273" t="s">
        <v>5243</v>
      </c>
      <c r="I273" t="s">
        <v>1358</v>
      </c>
      <c r="J273" t="s">
        <v>1358</v>
      </c>
      <c r="K273" t="s">
        <v>1358</v>
      </c>
      <c r="L273" t="s">
        <v>1358</v>
      </c>
      <c r="N273" t="s">
        <v>9929</v>
      </c>
    </row>
    <row r="274" spans="6:14">
      <c r="H274" t="s">
        <v>5244</v>
      </c>
      <c r="I274" t="s">
        <v>1358</v>
      </c>
      <c r="J274" t="s">
        <v>1358</v>
      </c>
      <c r="K274" t="s">
        <v>1358</v>
      </c>
      <c r="L274" t="s">
        <v>1358</v>
      </c>
      <c r="N274" t="s">
        <v>9929</v>
      </c>
    </row>
    <row r="275" spans="6:14">
      <c r="H275" t="s">
        <v>5245</v>
      </c>
      <c r="I275" t="s">
        <v>1358</v>
      </c>
      <c r="J275" t="s">
        <v>1358</v>
      </c>
      <c r="K275" t="s">
        <v>1358</v>
      </c>
      <c r="L275" t="s">
        <v>1358</v>
      </c>
      <c r="N275" t="s">
        <v>9929</v>
      </c>
    </row>
    <row r="276" spans="6:14">
      <c r="H276" t="s">
        <v>8437</v>
      </c>
      <c r="I276" t="s">
        <v>1358</v>
      </c>
      <c r="J276" t="s">
        <v>1358</v>
      </c>
      <c r="K276" t="s">
        <v>1358</v>
      </c>
      <c r="L276" t="s">
        <v>1358</v>
      </c>
      <c r="N276" t="s">
        <v>9929</v>
      </c>
    </row>
    <row r="277" spans="6:14">
      <c r="H277" t="s">
        <v>8438</v>
      </c>
      <c r="I277" t="s">
        <v>1358</v>
      </c>
      <c r="J277" t="s">
        <v>1358</v>
      </c>
      <c r="K277" t="s">
        <v>1358</v>
      </c>
      <c r="L277" t="s">
        <v>1358</v>
      </c>
      <c r="N277" t="s">
        <v>9929</v>
      </c>
    </row>
    <row r="278" spans="6:14">
      <c r="H278" t="s">
        <v>8439</v>
      </c>
      <c r="I278" t="s">
        <v>1358</v>
      </c>
      <c r="J278" t="s">
        <v>1358</v>
      </c>
      <c r="K278" t="s">
        <v>1358</v>
      </c>
      <c r="L278" t="s">
        <v>1358</v>
      </c>
      <c r="N278" t="s">
        <v>9929</v>
      </c>
    </row>
    <row r="279" spans="6:14">
      <c r="H279" t="s">
        <v>8440</v>
      </c>
      <c r="I279" t="s">
        <v>1358</v>
      </c>
      <c r="J279" t="s">
        <v>1358</v>
      </c>
      <c r="K279" t="s">
        <v>1358</v>
      </c>
      <c r="L279" t="s">
        <v>1358</v>
      </c>
      <c r="N279" t="s">
        <v>9929</v>
      </c>
    </row>
    <row r="280" spans="6:14">
      <c r="H280" t="s">
        <v>8441</v>
      </c>
      <c r="I280" t="s">
        <v>1358</v>
      </c>
      <c r="J280" t="s">
        <v>1358</v>
      </c>
      <c r="K280" t="s">
        <v>1358</v>
      </c>
      <c r="L280" t="s">
        <v>1358</v>
      </c>
      <c r="N280" t="s">
        <v>9929</v>
      </c>
    </row>
    <row r="281" spans="6:14">
      <c r="H281" t="s">
        <v>8442</v>
      </c>
      <c r="I281" t="s">
        <v>1358</v>
      </c>
      <c r="J281" t="s">
        <v>1358</v>
      </c>
      <c r="K281" t="s">
        <v>1358</v>
      </c>
      <c r="L281" t="s">
        <v>1358</v>
      </c>
      <c r="N281" t="s">
        <v>9929</v>
      </c>
    </row>
    <row r="282" spans="6:14">
      <c r="H282" t="s">
        <v>8443</v>
      </c>
      <c r="I282" t="s">
        <v>1358</v>
      </c>
      <c r="J282" t="s">
        <v>1358</v>
      </c>
      <c r="K282" t="s">
        <v>1358</v>
      </c>
      <c r="L282" t="s">
        <v>1358</v>
      </c>
      <c r="N282" t="s">
        <v>9929</v>
      </c>
    </row>
    <row r="283" spans="6:14">
      <c r="H283" t="s">
        <v>8444</v>
      </c>
      <c r="I283" t="s">
        <v>1358</v>
      </c>
      <c r="J283" t="s">
        <v>1358</v>
      </c>
      <c r="K283" t="s">
        <v>1358</v>
      </c>
      <c r="L283" t="s">
        <v>1358</v>
      </c>
      <c r="N283" t="s">
        <v>9929</v>
      </c>
    </row>
    <row r="284" spans="6:14">
      <c r="H284" t="s">
        <v>8445</v>
      </c>
      <c r="I284" t="s">
        <v>1358</v>
      </c>
      <c r="J284" t="s">
        <v>1358</v>
      </c>
      <c r="K284" t="s">
        <v>1358</v>
      </c>
      <c r="L284" t="s">
        <v>1358</v>
      </c>
      <c r="N284" t="s">
        <v>9929</v>
      </c>
    </row>
    <row r="285" spans="6:14">
      <c r="H285" t="s">
        <v>8446</v>
      </c>
      <c r="I285" t="s">
        <v>1358</v>
      </c>
      <c r="J285" t="s">
        <v>1358</v>
      </c>
      <c r="K285" t="s">
        <v>1358</v>
      </c>
      <c r="L285" t="s">
        <v>1358</v>
      </c>
      <c r="N285" t="s">
        <v>9929</v>
      </c>
    </row>
    <row r="286" spans="6:14">
      <c r="H286" t="s">
        <v>8447</v>
      </c>
      <c r="I286" t="s">
        <v>1358</v>
      </c>
      <c r="J286" t="s">
        <v>1358</v>
      </c>
      <c r="K286" t="s">
        <v>1358</v>
      </c>
      <c r="L286" t="s">
        <v>1358</v>
      </c>
      <c r="N286" t="s">
        <v>9929</v>
      </c>
    </row>
    <row r="287" spans="6:14">
      <c r="F287" t="s">
        <v>7015</v>
      </c>
      <c r="G287" t="s">
        <v>7761</v>
      </c>
      <c r="H287" t="s">
        <v>3834</v>
      </c>
      <c r="I287" t="s">
        <v>1358</v>
      </c>
      <c r="J287" t="s">
        <v>1358</v>
      </c>
      <c r="K287" t="s">
        <v>1358</v>
      </c>
      <c r="L287" t="s">
        <v>1358</v>
      </c>
      <c r="N287" t="s">
        <v>9929</v>
      </c>
    </row>
    <row r="288" spans="6:14">
      <c r="H288" t="s">
        <v>3835</v>
      </c>
      <c r="I288" t="s">
        <v>1358</v>
      </c>
      <c r="J288" t="s">
        <v>1358</v>
      </c>
      <c r="K288" t="s">
        <v>1358</v>
      </c>
      <c r="L288" t="s">
        <v>1358</v>
      </c>
      <c r="N288" t="s">
        <v>9929</v>
      </c>
    </row>
    <row r="289" spans="1:14">
      <c r="H289" t="s">
        <v>3836</v>
      </c>
      <c r="I289" t="s">
        <v>1358</v>
      </c>
      <c r="J289" t="s">
        <v>1358</v>
      </c>
      <c r="K289" t="s">
        <v>1358</v>
      </c>
      <c r="L289" t="s">
        <v>1358</v>
      </c>
      <c r="N289" t="s">
        <v>9929</v>
      </c>
    </row>
    <row r="290" spans="1:14">
      <c r="H290" t="s">
        <v>3837</v>
      </c>
      <c r="I290" t="s">
        <v>1358</v>
      </c>
      <c r="J290" t="s">
        <v>1358</v>
      </c>
      <c r="K290" t="s">
        <v>1358</v>
      </c>
      <c r="L290" t="s">
        <v>1358</v>
      </c>
      <c r="N290" t="s">
        <v>9929</v>
      </c>
    </row>
    <row r="291" spans="1:14">
      <c r="H291" t="s">
        <v>3838</v>
      </c>
      <c r="I291" t="s">
        <v>1358</v>
      </c>
      <c r="J291" t="s">
        <v>1358</v>
      </c>
      <c r="K291" t="s">
        <v>1358</v>
      </c>
      <c r="L291" t="s">
        <v>1358</v>
      </c>
      <c r="N291" t="s">
        <v>9929</v>
      </c>
    </row>
    <row r="292" spans="1:14">
      <c r="H292" t="s">
        <v>5243</v>
      </c>
      <c r="I292" t="s">
        <v>1358</v>
      </c>
      <c r="J292" t="s">
        <v>1358</v>
      </c>
      <c r="K292" t="s">
        <v>1358</v>
      </c>
      <c r="L292" t="s">
        <v>1358</v>
      </c>
      <c r="N292" t="s">
        <v>9929</v>
      </c>
    </row>
    <row r="293" spans="1:14">
      <c r="A293" t="s">
        <v>6133</v>
      </c>
      <c r="B293">
        <f>HYPERLINK("https://github.com/pmd/pmd/commit/10304f2bdddf8c8b9180f560d323b0d3f1b73d79", "10304f2bdddf8c8b9180f560d323b0d3f1b73d79")</f>
        <v>0</v>
      </c>
      <c r="C293">
        <f>HYPERLINK("https://github.com/pmd/pmd/commit/682a47dbb23d644548b1d6ffda04618ee02e1317", "682a47dbb23d644548b1d6ffda04618ee02e1317")</f>
        <v>0</v>
      </c>
      <c r="D293" t="s">
        <v>6492</v>
      </c>
      <c r="E293" t="s">
        <v>6589</v>
      </c>
      <c r="F293" t="s">
        <v>7016</v>
      </c>
      <c r="G293" t="s">
        <v>7762</v>
      </c>
      <c r="H293" t="s">
        <v>8488</v>
      </c>
      <c r="I293" t="s">
        <v>1357</v>
      </c>
      <c r="J293" t="s">
        <v>1357</v>
      </c>
      <c r="K293" t="s">
        <v>1357</v>
      </c>
      <c r="L293" t="s">
        <v>1357</v>
      </c>
    </row>
    <row r="294" spans="1:14">
      <c r="A294" t="s">
        <v>6134</v>
      </c>
      <c r="B294">
        <f>HYPERLINK("https://github.com/pmd/pmd/commit/a4f325bddb10dfc5a6143d0c3d50514c74342a5f", "a4f325bddb10dfc5a6143d0c3d50514c74342a5f")</f>
        <v>0</v>
      </c>
      <c r="C294">
        <f>HYPERLINK("https://github.com/pmd/pmd/commit/10304f2bdddf8c8b9180f560d323b0d3f1b73d79", "10304f2bdddf8c8b9180f560d323b0d3f1b73d79")</f>
        <v>0</v>
      </c>
      <c r="D294" t="s">
        <v>6492</v>
      </c>
      <c r="E294" t="s">
        <v>6590</v>
      </c>
      <c r="F294" t="s">
        <v>7017</v>
      </c>
      <c r="G294" t="s">
        <v>7763</v>
      </c>
      <c r="H294" t="s">
        <v>8489</v>
      </c>
      <c r="I294" t="s">
        <v>1357</v>
      </c>
      <c r="J294" t="s">
        <v>1357</v>
      </c>
      <c r="K294" t="s">
        <v>1357</v>
      </c>
      <c r="L294" t="s">
        <v>1357</v>
      </c>
      <c r="N294" t="s">
        <v>9930</v>
      </c>
    </row>
    <row r="295" spans="1:14">
      <c r="H295" t="s">
        <v>8490</v>
      </c>
      <c r="I295" t="s">
        <v>1357</v>
      </c>
      <c r="J295" t="s">
        <v>1357</v>
      </c>
      <c r="K295" t="s">
        <v>1357</v>
      </c>
      <c r="L295" t="s">
        <v>1357</v>
      </c>
      <c r="N295" t="s">
        <v>9930</v>
      </c>
    </row>
    <row r="296" spans="1:14">
      <c r="H296" t="s">
        <v>8491</v>
      </c>
      <c r="I296" t="s">
        <v>1357</v>
      </c>
      <c r="J296" t="s">
        <v>1357</v>
      </c>
      <c r="K296" t="s">
        <v>1357</v>
      </c>
      <c r="L296" t="s">
        <v>1357</v>
      </c>
      <c r="N296" t="s">
        <v>9930</v>
      </c>
    </row>
    <row r="297" spans="1:14">
      <c r="H297" t="s">
        <v>8492</v>
      </c>
      <c r="I297" t="s">
        <v>1357</v>
      </c>
      <c r="J297" t="s">
        <v>1357</v>
      </c>
      <c r="K297" t="s">
        <v>1357</v>
      </c>
      <c r="L297" t="s">
        <v>1357</v>
      </c>
      <c r="N297" t="s">
        <v>9930</v>
      </c>
    </row>
    <row r="298" spans="1:14">
      <c r="A298" t="s">
        <v>6135</v>
      </c>
      <c r="B298">
        <f>HYPERLINK("https://github.com/pmd/pmd/commit/0d313fa5dc028b67a4eba5dfbc2ee1ac1b11d95e", "0d313fa5dc028b67a4eba5dfbc2ee1ac1b11d95e")</f>
        <v>0</v>
      </c>
      <c r="C298">
        <f>HYPERLINK("https://github.com/pmd/pmd/commit/9c196ef783f66575162de7e920e68c51167582bc", "9c196ef783f66575162de7e920e68c51167582bc")</f>
        <v>0</v>
      </c>
      <c r="D298" t="s">
        <v>6492</v>
      </c>
      <c r="E298" t="s">
        <v>6591</v>
      </c>
      <c r="F298" t="s">
        <v>7018</v>
      </c>
      <c r="G298" t="s">
        <v>7764</v>
      </c>
      <c r="H298" t="s">
        <v>1175</v>
      </c>
      <c r="I298" t="s">
        <v>1358</v>
      </c>
      <c r="J298" t="s">
        <v>1358</v>
      </c>
      <c r="K298" t="s">
        <v>1358</v>
      </c>
      <c r="L298" t="s">
        <v>1358</v>
      </c>
    </row>
    <row r="299" spans="1:14">
      <c r="A299" t="s">
        <v>6136</v>
      </c>
      <c r="B299">
        <f>HYPERLINK("https://github.com/pmd/pmd/commit/d8465ede98f3c79e4efbacba2c2ee7158ba42279", "d8465ede98f3c79e4efbacba2c2ee7158ba42279")</f>
        <v>0</v>
      </c>
      <c r="C299">
        <f>HYPERLINK("https://github.com/pmd/pmd/commit/4a5372f8408fb2455c7cc8a9431f1f256f696de0", "4a5372f8408fb2455c7cc8a9431f1f256f696de0")</f>
        <v>0</v>
      </c>
      <c r="D299" t="s">
        <v>6492</v>
      </c>
      <c r="E299" t="s">
        <v>6592</v>
      </c>
      <c r="F299" t="s">
        <v>7001</v>
      </c>
      <c r="G299" t="s">
        <v>7747</v>
      </c>
      <c r="H299" t="s">
        <v>5868</v>
      </c>
      <c r="I299" t="s">
        <v>1358</v>
      </c>
      <c r="J299" t="s">
        <v>1358</v>
      </c>
      <c r="K299" t="s">
        <v>1358</v>
      </c>
      <c r="L299" t="s">
        <v>1358</v>
      </c>
      <c r="N299" t="s">
        <v>9931</v>
      </c>
    </row>
    <row r="300" spans="1:14">
      <c r="H300" t="s">
        <v>8493</v>
      </c>
      <c r="I300" t="s">
        <v>1358</v>
      </c>
      <c r="J300" t="s">
        <v>1358</v>
      </c>
      <c r="K300" t="s">
        <v>1358</v>
      </c>
      <c r="L300" t="s">
        <v>1358</v>
      </c>
      <c r="N300" t="s">
        <v>9931</v>
      </c>
    </row>
    <row r="301" spans="1:14">
      <c r="H301" t="s">
        <v>8494</v>
      </c>
      <c r="I301" t="s">
        <v>1358</v>
      </c>
      <c r="J301" t="s">
        <v>1358</v>
      </c>
      <c r="K301" t="s">
        <v>1358</v>
      </c>
      <c r="L301" t="s">
        <v>1358</v>
      </c>
      <c r="N301" t="s">
        <v>9931</v>
      </c>
    </row>
    <row r="302" spans="1:14">
      <c r="A302" t="s">
        <v>6137</v>
      </c>
      <c r="B302">
        <f>HYPERLINK("https://github.com/pmd/pmd/commit/255fdcc8d4c132fceab4d28ae9145fecaddaa8a5", "255fdcc8d4c132fceab4d28ae9145fecaddaa8a5")</f>
        <v>0</v>
      </c>
      <c r="C302">
        <f>HYPERLINK("https://github.com/pmd/pmd/commit/d8465ede98f3c79e4efbacba2c2ee7158ba42279", "d8465ede98f3c79e4efbacba2c2ee7158ba42279")</f>
        <v>0</v>
      </c>
      <c r="D302" t="s">
        <v>6492</v>
      </c>
      <c r="E302" t="s">
        <v>6593</v>
      </c>
      <c r="F302" t="s">
        <v>6959</v>
      </c>
      <c r="G302" t="s">
        <v>7706</v>
      </c>
      <c r="H302" t="s">
        <v>3834</v>
      </c>
      <c r="I302" t="s">
        <v>1358</v>
      </c>
      <c r="J302" t="s">
        <v>1358</v>
      </c>
      <c r="K302" t="s">
        <v>1358</v>
      </c>
      <c r="L302" t="s">
        <v>1358</v>
      </c>
      <c r="N302" t="s">
        <v>9931</v>
      </c>
    </row>
    <row r="303" spans="1:14">
      <c r="H303" t="s">
        <v>3835</v>
      </c>
      <c r="I303" t="s">
        <v>1358</v>
      </c>
      <c r="J303" t="s">
        <v>1358</v>
      </c>
      <c r="K303" t="s">
        <v>1358</v>
      </c>
      <c r="L303" t="s">
        <v>1358</v>
      </c>
      <c r="N303" t="s">
        <v>9931</v>
      </c>
    </row>
    <row r="304" spans="1:14">
      <c r="H304" t="s">
        <v>3836</v>
      </c>
      <c r="I304" t="s">
        <v>1358</v>
      </c>
      <c r="J304" t="s">
        <v>1358</v>
      </c>
      <c r="K304" t="s">
        <v>1358</v>
      </c>
      <c r="L304" t="s">
        <v>1358</v>
      </c>
      <c r="N304" t="s">
        <v>9931</v>
      </c>
    </row>
    <row r="305" spans="1:14">
      <c r="H305" t="s">
        <v>3837</v>
      </c>
      <c r="I305" t="s">
        <v>1358</v>
      </c>
      <c r="J305" t="s">
        <v>1358</v>
      </c>
      <c r="K305" t="s">
        <v>1358</v>
      </c>
      <c r="L305" t="s">
        <v>1358</v>
      </c>
      <c r="N305" t="s">
        <v>9931</v>
      </c>
    </row>
    <row r="306" spans="1:14">
      <c r="H306" t="s">
        <v>3838</v>
      </c>
      <c r="I306" t="s">
        <v>1358</v>
      </c>
      <c r="J306" t="s">
        <v>1358</v>
      </c>
      <c r="K306" t="s">
        <v>1358</v>
      </c>
      <c r="L306" t="s">
        <v>1358</v>
      </c>
      <c r="N306" t="s">
        <v>9931</v>
      </c>
    </row>
    <row r="307" spans="1:14">
      <c r="H307" t="s">
        <v>5243</v>
      </c>
      <c r="I307" t="s">
        <v>1358</v>
      </c>
      <c r="J307" t="s">
        <v>1358</v>
      </c>
      <c r="K307" t="s">
        <v>1358</v>
      </c>
      <c r="L307" t="s">
        <v>1358</v>
      </c>
      <c r="N307" t="s">
        <v>9931</v>
      </c>
    </row>
    <row r="308" spans="1:14">
      <c r="H308" t="s">
        <v>5244</v>
      </c>
      <c r="I308" t="s">
        <v>1358</v>
      </c>
      <c r="J308" t="s">
        <v>1358</v>
      </c>
      <c r="K308" t="s">
        <v>1358</v>
      </c>
      <c r="L308" t="s">
        <v>1358</v>
      </c>
      <c r="N308" t="s">
        <v>9931</v>
      </c>
    </row>
    <row r="309" spans="1:14">
      <c r="H309" t="s">
        <v>5245</v>
      </c>
      <c r="I309" t="s">
        <v>1358</v>
      </c>
      <c r="J309" t="s">
        <v>1358</v>
      </c>
      <c r="K309" t="s">
        <v>1358</v>
      </c>
      <c r="L309" t="s">
        <v>1358</v>
      </c>
      <c r="N309" t="s">
        <v>9931</v>
      </c>
    </row>
    <row r="310" spans="1:14">
      <c r="H310" t="s">
        <v>8437</v>
      </c>
      <c r="I310" t="s">
        <v>1358</v>
      </c>
      <c r="J310" t="s">
        <v>1358</v>
      </c>
      <c r="K310" t="s">
        <v>1358</v>
      </c>
      <c r="L310" t="s">
        <v>1358</v>
      </c>
      <c r="N310" t="s">
        <v>9931</v>
      </c>
    </row>
    <row r="311" spans="1:14">
      <c r="H311" t="s">
        <v>8438</v>
      </c>
      <c r="I311" t="s">
        <v>1358</v>
      </c>
      <c r="J311" t="s">
        <v>1358</v>
      </c>
      <c r="K311" t="s">
        <v>1358</v>
      </c>
      <c r="L311" t="s">
        <v>1358</v>
      </c>
      <c r="N311" t="s">
        <v>9931</v>
      </c>
    </row>
    <row r="312" spans="1:14">
      <c r="H312" t="s">
        <v>8439</v>
      </c>
      <c r="I312" t="s">
        <v>1358</v>
      </c>
      <c r="J312" t="s">
        <v>1358</v>
      </c>
      <c r="K312" t="s">
        <v>1358</v>
      </c>
      <c r="L312" t="s">
        <v>1358</v>
      </c>
      <c r="N312" t="s">
        <v>9931</v>
      </c>
    </row>
    <row r="313" spans="1:14">
      <c r="H313" t="s">
        <v>8440</v>
      </c>
      <c r="I313" t="s">
        <v>1358</v>
      </c>
      <c r="J313" t="s">
        <v>1358</v>
      </c>
      <c r="K313" t="s">
        <v>1358</v>
      </c>
      <c r="L313" t="s">
        <v>1358</v>
      </c>
      <c r="N313" t="s">
        <v>9931</v>
      </c>
    </row>
    <row r="314" spans="1:14">
      <c r="H314" t="s">
        <v>8441</v>
      </c>
      <c r="I314" t="s">
        <v>1358</v>
      </c>
      <c r="J314" t="s">
        <v>1358</v>
      </c>
      <c r="K314" t="s">
        <v>1358</v>
      </c>
      <c r="L314" t="s">
        <v>1358</v>
      </c>
      <c r="N314" t="s">
        <v>9931</v>
      </c>
    </row>
    <row r="315" spans="1:14">
      <c r="H315" t="s">
        <v>8442</v>
      </c>
      <c r="I315" t="s">
        <v>1358</v>
      </c>
      <c r="J315" t="s">
        <v>1358</v>
      </c>
      <c r="K315" t="s">
        <v>1358</v>
      </c>
      <c r="L315" t="s">
        <v>1358</v>
      </c>
      <c r="N315" t="s">
        <v>9931</v>
      </c>
    </row>
    <row r="316" spans="1:14">
      <c r="H316" t="s">
        <v>8443</v>
      </c>
      <c r="I316" t="s">
        <v>1358</v>
      </c>
      <c r="J316" t="s">
        <v>1358</v>
      </c>
      <c r="K316" t="s">
        <v>1358</v>
      </c>
      <c r="L316" t="s">
        <v>1358</v>
      </c>
      <c r="N316" t="s">
        <v>9931</v>
      </c>
    </row>
    <row r="317" spans="1:14">
      <c r="A317" t="s">
        <v>6138</v>
      </c>
      <c r="B317">
        <f>HYPERLINK("https://github.com/pmd/pmd/commit/1daa5fd737780404233bd58be3c98c05bed9f70c", "1daa5fd737780404233bd58be3c98c05bed9f70c")</f>
        <v>0</v>
      </c>
      <c r="C317">
        <f>HYPERLINK("https://github.com/pmd/pmd/commit/19523520083e9b36d0f20fde13bf95c3a84b36e4", "19523520083e9b36d0f20fde13bf95c3a84b36e4")</f>
        <v>0</v>
      </c>
      <c r="D317" t="s">
        <v>6492</v>
      </c>
      <c r="E317" t="s">
        <v>6594</v>
      </c>
      <c r="F317" t="s">
        <v>7019</v>
      </c>
      <c r="G317" t="s">
        <v>7765</v>
      </c>
      <c r="H317" t="s">
        <v>8495</v>
      </c>
      <c r="I317" t="s">
        <v>1358</v>
      </c>
      <c r="J317" t="s">
        <v>1358</v>
      </c>
      <c r="K317" t="s">
        <v>1358</v>
      </c>
      <c r="L317" t="s">
        <v>1358</v>
      </c>
      <c r="N317" t="s">
        <v>9931</v>
      </c>
    </row>
    <row r="318" spans="1:14">
      <c r="H318" t="s">
        <v>8496</v>
      </c>
      <c r="I318" t="s">
        <v>1358</v>
      </c>
      <c r="J318" t="s">
        <v>1358</v>
      </c>
      <c r="K318" t="s">
        <v>1358</v>
      </c>
      <c r="L318" t="s">
        <v>1358</v>
      </c>
      <c r="N318" t="s">
        <v>9931</v>
      </c>
    </row>
    <row r="319" spans="1:14">
      <c r="H319" t="s">
        <v>8497</v>
      </c>
      <c r="I319" t="s">
        <v>1358</v>
      </c>
      <c r="J319" t="s">
        <v>1358</v>
      </c>
      <c r="K319" t="s">
        <v>1358</v>
      </c>
      <c r="L319" t="s">
        <v>1358</v>
      </c>
      <c r="N319" t="s">
        <v>9931</v>
      </c>
    </row>
    <row r="320" spans="1:14">
      <c r="H320" t="s">
        <v>8498</v>
      </c>
      <c r="I320" t="s">
        <v>1358</v>
      </c>
      <c r="J320" t="s">
        <v>1358</v>
      </c>
      <c r="K320" t="s">
        <v>1358</v>
      </c>
      <c r="L320" t="s">
        <v>1358</v>
      </c>
      <c r="N320" t="s">
        <v>9931</v>
      </c>
    </row>
    <row r="321" spans="1:14">
      <c r="F321" t="s">
        <v>7020</v>
      </c>
      <c r="G321" t="s">
        <v>7766</v>
      </c>
      <c r="H321" t="s">
        <v>3834</v>
      </c>
      <c r="I321" t="s">
        <v>1358</v>
      </c>
      <c r="J321" t="s">
        <v>1358</v>
      </c>
      <c r="K321" t="s">
        <v>1358</v>
      </c>
      <c r="L321" t="s">
        <v>1358</v>
      </c>
      <c r="N321" t="s">
        <v>9931</v>
      </c>
    </row>
    <row r="322" spans="1:14">
      <c r="H322" t="s">
        <v>3835</v>
      </c>
      <c r="I322" t="s">
        <v>1358</v>
      </c>
      <c r="J322" t="s">
        <v>1358</v>
      </c>
      <c r="K322" t="s">
        <v>1358</v>
      </c>
      <c r="L322" t="s">
        <v>1358</v>
      </c>
      <c r="N322" t="s">
        <v>9931</v>
      </c>
    </row>
    <row r="323" spans="1:14">
      <c r="H323" t="s">
        <v>3836</v>
      </c>
      <c r="I323" t="s">
        <v>1358</v>
      </c>
      <c r="J323" t="s">
        <v>1358</v>
      </c>
      <c r="K323" t="s">
        <v>1358</v>
      </c>
      <c r="L323" t="s">
        <v>1358</v>
      </c>
      <c r="N323" t="s">
        <v>9931</v>
      </c>
    </row>
    <row r="324" spans="1:14">
      <c r="H324" t="s">
        <v>3837</v>
      </c>
      <c r="I324" t="s">
        <v>1358</v>
      </c>
      <c r="J324" t="s">
        <v>1358</v>
      </c>
      <c r="K324" t="s">
        <v>1358</v>
      </c>
      <c r="L324" t="s">
        <v>1358</v>
      </c>
      <c r="N324" t="s">
        <v>9931</v>
      </c>
    </row>
    <row r="325" spans="1:14">
      <c r="A325" t="s">
        <v>6139</v>
      </c>
      <c r="B325">
        <f>HYPERLINK("https://github.com/pmd/pmd/commit/af1dc32cd166e016cf827006bd6adf4110cf41d1", "af1dc32cd166e016cf827006bd6adf4110cf41d1")</f>
        <v>0</v>
      </c>
      <c r="C325">
        <f>HYPERLINK("https://github.com/pmd/pmd/commit/1daa5fd737780404233bd58be3c98c05bed9f70c", "1daa5fd737780404233bd58be3c98c05bed9f70c")</f>
        <v>0</v>
      </c>
      <c r="D325" t="s">
        <v>6492</v>
      </c>
      <c r="E325" t="s">
        <v>6595</v>
      </c>
      <c r="F325" t="s">
        <v>7021</v>
      </c>
      <c r="G325" t="s">
        <v>7767</v>
      </c>
      <c r="H325" t="s">
        <v>3834</v>
      </c>
      <c r="I325" t="s">
        <v>1358</v>
      </c>
      <c r="J325" t="s">
        <v>1358</v>
      </c>
      <c r="K325" t="s">
        <v>1358</v>
      </c>
      <c r="L325" t="s">
        <v>1358</v>
      </c>
      <c r="N325" t="s">
        <v>9931</v>
      </c>
    </row>
    <row r="326" spans="1:14">
      <c r="H326" t="s">
        <v>3835</v>
      </c>
      <c r="I326" t="s">
        <v>1358</v>
      </c>
      <c r="J326" t="s">
        <v>1358</v>
      </c>
      <c r="K326" t="s">
        <v>1358</v>
      </c>
      <c r="L326" t="s">
        <v>1358</v>
      </c>
      <c r="N326" t="s">
        <v>9931</v>
      </c>
    </row>
    <row r="327" spans="1:14">
      <c r="H327" t="s">
        <v>3836</v>
      </c>
      <c r="I327" t="s">
        <v>1358</v>
      </c>
      <c r="J327" t="s">
        <v>1358</v>
      </c>
      <c r="K327" t="s">
        <v>1358</v>
      </c>
      <c r="L327" t="s">
        <v>1358</v>
      </c>
      <c r="N327" t="s">
        <v>9931</v>
      </c>
    </row>
    <row r="328" spans="1:14">
      <c r="H328" t="s">
        <v>3837</v>
      </c>
      <c r="I328" t="s">
        <v>1358</v>
      </c>
      <c r="J328" t="s">
        <v>1358</v>
      </c>
      <c r="K328" t="s">
        <v>1358</v>
      </c>
      <c r="L328" t="s">
        <v>1358</v>
      </c>
      <c r="N328" t="s">
        <v>9931</v>
      </c>
    </row>
    <row r="329" spans="1:14">
      <c r="F329" t="s">
        <v>6985</v>
      </c>
      <c r="G329" t="s">
        <v>7731</v>
      </c>
      <c r="H329" t="s">
        <v>8499</v>
      </c>
      <c r="I329" t="s">
        <v>1358</v>
      </c>
      <c r="J329" t="s">
        <v>1358</v>
      </c>
      <c r="K329" t="s">
        <v>1358</v>
      </c>
      <c r="L329" t="s">
        <v>1358</v>
      </c>
      <c r="N329" t="s">
        <v>9931</v>
      </c>
    </row>
    <row r="330" spans="1:14">
      <c r="H330" t="s">
        <v>8420</v>
      </c>
      <c r="I330" t="s">
        <v>1358</v>
      </c>
      <c r="J330" t="s">
        <v>1358</v>
      </c>
      <c r="K330" t="s">
        <v>1358</v>
      </c>
      <c r="L330" t="s">
        <v>1358</v>
      </c>
      <c r="N330" t="s">
        <v>9931</v>
      </c>
    </row>
    <row r="331" spans="1:14">
      <c r="H331" t="s">
        <v>8421</v>
      </c>
      <c r="I331" t="s">
        <v>1358</v>
      </c>
      <c r="J331" t="s">
        <v>1358</v>
      </c>
      <c r="K331" t="s">
        <v>1358</v>
      </c>
      <c r="L331" t="s">
        <v>1358</v>
      </c>
      <c r="N331" t="s">
        <v>9931</v>
      </c>
    </row>
    <row r="332" spans="1:14">
      <c r="H332" t="s">
        <v>1693</v>
      </c>
      <c r="I332" t="s">
        <v>1358</v>
      </c>
      <c r="J332" t="s">
        <v>1358</v>
      </c>
      <c r="K332" t="s">
        <v>1358</v>
      </c>
      <c r="L332" t="s">
        <v>1358</v>
      </c>
      <c r="N332" t="s">
        <v>9931</v>
      </c>
    </row>
    <row r="333" spans="1:14">
      <c r="H333" t="s">
        <v>8422</v>
      </c>
      <c r="I333" t="s">
        <v>1358</v>
      </c>
      <c r="J333" t="s">
        <v>1358</v>
      </c>
      <c r="K333" t="s">
        <v>1358</v>
      </c>
      <c r="L333" t="s">
        <v>1358</v>
      </c>
      <c r="N333" t="s">
        <v>9931</v>
      </c>
    </row>
    <row r="334" spans="1:14">
      <c r="H334" t="s">
        <v>1665</v>
      </c>
      <c r="I334" t="s">
        <v>1358</v>
      </c>
      <c r="J334" t="s">
        <v>1358</v>
      </c>
      <c r="K334" t="s">
        <v>1358</v>
      </c>
      <c r="L334" t="s">
        <v>1358</v>
      </c>
      <c r="N334" t="s">
        <v>9931</v>
      </c>
    </row>
    <row r="335" spans="1:14">
      <c r="F335" t="s">
        <v>7022</v>
      </c>
      <c r="G335" t="s">
        <v>7768</v>
      </c>
      <c r="H335" t="s">
        <v>3834</v>
      </c>
      <c r="I335" t="s">
        <v>1358</v>
      </c>
      <c r="J335" t="s">
        <v>1358</v>
      </c>
      <c r="K335" t="s">
        <v>1358</v>
      </c>
      <c r="L335" t="s">
        <v>1358</v>
      </c>
      <c r="N335" t="s">
        <v>9931</v>
      </c>
    </row>
    <row r="336" spans="1:14">
      <c r="H336" t="s">
        <v>3835</v>
      </c>
      <c r="I336" t="s">
        <v>1358</v>
      </c>
      <c r="J336" t="s">
        <v>1358</v>
      </c>
      <c r="K336" t="s">
        <v>1358</v>
      </c>
      <c r="L336" t="s">
        <v>1358</v>
      </c>
      <c r="N336" t="s">
        <v>9931</v>
      </c>
    </row>
    <row r="337" spans="1:14">
      <c r="F337" t="s">
        <v>7008</v>
      </c>
      <c r="G337" t="s">
        <v>7754</v>
      </c>
      <c r="H337" t="s">
        <v>8500</v>
      </c>
      <c r="I337" t="s">
        <v>1358</v>
      </c>
      <c r="J337" t="s">
        <v>1358</v>
      </c>
      <c r="K337" t="s">
        <v>1358</v>
      </c>
      <c r="L337" t="s">
        <v>1358</v>
      </c>
      <c r="N337" t="s">
        <v>9931</v>
      </c>
    </row>
    <row r="338" spans="1:14">
      <c r="H338" t="s">
        <v>8501</v>
      </c>
      <c r="I338" t="s">
        <v>1358</v>
      </c>
      <c r="J338" t="s">
        <v>1358</v>
      </c>
      <c r="K338" t="s">
        <v>1358</v>
      </c>
      <c r="L338" t="s">
        <v>1358</v>
      </c>
      <c r="N338" t="s">
        <v>9931</v>
      </c>
    </row>
    <row r="339" spans="1:14">
      <c r="H339" t="s">
        <v>8502</v>
      </c>
      <c r="I339" t="s">
        <v>1358</v>
      </c>
      <c r="J339" t="s">
        <v>1358</v>
      </c>
      <c r="K339" t="s">
        <v>1358</v>
      </c>
      <c r="L339" t="s">
        <v>1358</v>
      </c>
      <c r="N339" t="s">
        <v>9931</v>
      </c>
    </row>
    <row r="340" spans="1:14">
      <c r="H340" t="s">
        <v>8503</v>
      </c>
      <c r="I340" t="s">
        <v>1358</v>
      </c>
      <c r="J340" t="s">
        <v>1358</v>
      </c>
      <c r="K340" t="s">
        <v>1358</v>
      </c>
      <c r="L340" t="s">
        <v>1358</v>
      </c>
      <c r="N340" t="s">
        <v>9931</v>
      </c>
    </row>
    <row r="341" spans="1:14">
      <c r="H341" t="s">
        <v>8504</v>
      </c>
      <c r="I341" t="s">
        <v>1358</v>
      </c>
      <c r="J341" t="s">
        <v>1358</v>
      </c>
      <c r="K341" t="s">
        <v>1358</v>
      </c>
      <c r="L341" t="s">
        <v>1358</v>
      </c>
      <c r="N341" t="s">
        <v>9931</v>
      </c>
    </row>
    <row r="342" spans="1:14">
      <c r="H342" t="s">
        <v>8505</v>
      </c>
      <c r="I342" t="s">
        <v>1358</v>
      </c>
      <c r="J342" t="s">
        <v>1358</v>
      </c>
      <c r="K342" t="s">
        <v>1358</v>
      </c>
      <c r="L342" t="s">
        <v>1358</v>
      </c>
      <c r="N342" t="s">
        <v>9931</v>
      </c>
    </row>
    <row r="343" spans="1:14">
      <c r="A343" t="s">
        <v>6140</v>
      </c>
      <c r="B343">
        <f>HYPERLINK("https://github.com/pmd/pmd/commit/2adeac8bf763cd8d82b67e1419e2b447c842eeb5", "2adeac8bf763cd8d82b67e1419e2b447c842eeb5")</f>
        <v>0</v>
      </c>
      <c r="C343">
        <f>HYPERLINK("https://github.com/pmd/pmd/commit/cbd6d6cdb1e3f30bb2a222496c3537cc2f4cea20", "cbd6d6cdb1e3f30bb2a222496c3537cc2f4cea20")</f>
        <v>0</v>
      </c>
      <c r="D343" t="s">
        <v>6492</v>
      </c>
      <c r="E343" t="s">
        <v>6596</v>
      </c>
      <c r="F343" t="s">
        <v>7023</v>
      </c>
      <c r="G343" t="s">
        <v>7769</v>
      </c>
      <c r="H343" t="s">
        <v>8506</v>
      </c>
      <c r="I343" t="s">
        <v>1358</v>
      </c>
      <c r="J343" t="s">
        <v>1358</v>
      </c>
      <c r="K343" t="s">
        <v>1358</v>
      </c>
      <c r="L343" t="s">
        <v>1358</v>
      </c>
      <c r="N343" t="s">
        <v>9931</v>
      </c>
    </row>
    <row r="344" spans="1:14">
      <c r="H344" t="s">
        <v>8507</v>
      </c>
      <c r="I344" t="s">
        <v>1358</v>
      </c>
      <c r="J344" t="s">
        <v>1358</v>
      </c>
      <c r="K344" t="s">
        <v>1358</v>
      </c>
      <c r="L344" t="s">
        <v>1358</v>
      </c>
      <c r="N344" t="s">
        <v>9931</v>
      </c>
    </row>
    <row r="345" spans="1:14">
      <c r="H345" t="s">
        <v>8508</v>
      </c>
      <c r="I345" t="s">
        <v>1358</v>
      </c>
      <c r="J345" t="s">
        <v>1358</v>
      </c>
      <c r="K345" t="s">
        <v>1358</v>
      </c>
      <c r="L345" t="s">
        <v>1358</v>
      </c>
      <c r="N345" t="s">
        <v>9931</v>
      </c>
    </row>
    <row r="346" spans="1:14">
      <c r="H346" t="s">
        <v>8509</v>
      </c>
      <c r="I346" t="s">
        <v>1358</v>
      </c>
      <c r="J346" t="s">
        <v>1358</v>
      </c>
      <c r="K346" t="s">
        <v>1358</v>
      </c>
      <c r="L346" t="s">
        <v>1358</v>
      </c>
      <c r="N346" t="s">
        <v>9931</v>
      </c>
    </row>
    <row r="347" spans="1:14">
      <c r="H347" t="s">
        <v>8510</v>
      </c>
      <c r="I347" t="s">
        <v>1358</v>
      </c>
      <c r="J347" t="s">
        <v>1358</v>
      </c>
      <c r="K347" t="s">
        <v>1358</v>
      </c>
      <c r="L347" t="s">
        <v>1358</v>
      </c>
      <c r="N347" t="s">
        <v>9931</v>
      </c>
    </row>
    <row r="348" spans="1:14">
      <c r="F348" t="s">
        <v>6998</v>
      </c>
      <c r="G348" t="s">
        <v>7744</v>
      </c>
      <c r="H348" t="s">
        <v>8511</v>
      </c>
      <c r="I348" t="s">
        <v>1358</v>
      </c>
      <c r="J348" t="s">
        <v>1358</v>
      </c>
      <c r="K348" t="s">
        <v>1358</v>
      </c>
      <c r="L348" t="s">
        <v>1358</v>
      </c>
      <c r="N348" t="s">
        <v>9931</v>
      </c>
    </row>
    <row r="349" spans="1:14">
      <c r="H349" t="s">
        <v>8512</v>
      </c>
      <c r="I349" t="s">
        <v>1358</v>
      </c>
      <c r="J349" t="s">
        <v>1358</v>
      </c>
      <c r="K349" t="s">
        <v>1358</v>
      </c>
      <c r="L349" t="s">
        <v>1358</v>
      </c>
      <c r="N349" t="s">
        <v>9931</v>
      </c>
    </row>
    <row r="350" spans="1:14">
      <c r="H350" t="s">
        <v>8513</v>
      </c>
      <c r="I350" t="s">
        <v>1358</v>
      </c>
      <c r="J350" t="s">
        <v>1358</v>
      </c>
      <c r="K350" t="s">
        <v>1358</v>
      </c>
      <c r="L350" t="s">
        <v>1358</v>
      </c>
      <c r="N350" t="s">
        <v>9931</v>
      </c>
    </row>
    <row r="351" spans="1:14">
      <c r="H351" t="s">
        <v>8514</v>
      </c>
      <c r="I351" t="s">
        <v>1358</v>
      </c>
      <c r="J351" t="s">
        <v>1358</v>
      </c>
      <c r="K351" t="s">
        <v>1358</v>
      </c>
      <c r="L351" t="s">
        <v>1358</v>
      </c>
      <c r="N351" t="s">
        <v>9931</v>
      </c>
    </row>
    <row r="352" spans="1:14">
      <c r="H352" t="s">
        <v>8515</v>
      </c>
      <c r="I352" t="s">
        <v>1358</v>
      </c>
      <c r="J352" t="s">
        <v>1358</v>
      </c>
      <c r="K352" t="s">
        <v>1358</v>
      </c>
      <c r="L352" t="s">
        <v>1358</v>
      </c>
      <c r="N352" t="s">
        <v>9931</v>
      </c>
    </row>
    <row r="353" spans="1:14">
      <c r="H353" t="s">
        <v>8498</v>
      </c>
      <c r="I353" t="s">
        <v>1358</v>
      </c>
      <c r="J353" t="s">
        <v>1358</v>
      </c>
      <c r="K353" t="s">
        <v>1358</v>
      </c>
      <c r="L353" t="s">
        <v>1358</v>
      </c>
      <c r="N353" t="s">
        <v>9931</v>
      </c>
    </row>
    <row r="354" spans="1:14">
      <c r="F354" t="s">
        <v>7024</v>
      </c>
      <c r="G354" t="s">
        <v>7770</v>
      </c>
      <c r="H354" t="s">
        <v>8516</v>
      </c>
      <c r="I354" t="s">
        <v>1358</v>
      </c>
      <c r="J354" t="s">
        <v>1358</v>
      </c>
      <c r="K354" t="s">
        <v>1358</v>
      </c>
      <c r="L354" t="s">
        <v>1358</v>
      </c>
      <c r="N354" t="s">
        <v>9931</v>
      </c>
    </row>
    <row r="355" spans="1:14">
      <c r="H355" t="s">
        <v>8517</v>
      </c>
      <c r="I355" t="s">
        <v>1358</v>
      </c>
      <c r="J355" t="s">
        <v>1358</v>
      </c>
      <c r="K355" t="s">
        <v>1358</v>
      </c>
      <c r="L355" t="s">
        <v>1358</v>
      </c>
      <c r="N355" t="s">
        <v>9931</v>
      </c>
    </row>
    <row r="356" spans="1:14">
      <c r="H356" t="s">
        <v>8518</v>
      </c>
      <c r="I356" t="s">
        <v>1358</v>
      </c>
      <c r="J356" t="s">
        <v>1358</v>
      </c>
      <c r="K356" t="s">
        <v>1358</v>
      </c>
      <c r="L356" t="s">
        <v>1358</v>
      </c>
      <c r="N356" t="s">
        <v>9931</v>
      </c>
    </row>
    <row r="357" spans="1:14">
      <c r="F357" t="s">
        <v>7025</v>
      </c>
      <c r="G357" t="s">
        <v>7771</v>
      </c>
      <c r="H357" t="s">
        <v>8519</v>
      </c>
      <c r="I357" t="s">
        <v>1358</v>
      </c>
      <c r="J357" t="s">
        <v>1358</v>
      </c>
      <c r="K357" t="s">
        <v>1358</v>
      </c>
      <c r="L357" t="s">
        <v>1358</v>
      </c>
      <c r="N357" t="s">
        <v>9931</v>
      </c>
    </row>
    <row r="358" spans="1:14">
      <c r="H358" t="s">
        <v>8520</v>
      </c>
      <c r="I358" t="s">
        <v>1358</v>
      </c>
      <c r="J358" t="s">
        <v>1358</v>
      </c>
      <c r="K358" t="s">
        <v>1358</v>
      </c>
      <c r="L358" t="s">
        <v>1358</v>
      </c>
      <c r="N358" t="s">
        <v>9931</v>
      </c>
    </row>
    <row r="359" spans="1:14">
      <c r="H359" t="s">
        <v>8521</v>
      </c>
      <c r="I359" t="s">
        <v>1358</v>
      </c>
      <c r="J359" t="s">
        <v>1358</v>
      </c>
      <c r="K359" t="s">
        <v>1358</v>
      </c>
      <c r="L359" t="s">
        <v>1358</v>
      </c>
      <c r="N359" t="s">
        <v>9931</v>
      </c>
    </row>
    <row r="360" spans="1:14">
      <c r="H360" t="s">
        <v>8522</v>
      </c>
      <c r="I360" t="s">
        <v>1358</v>
      </c>
      <c r="J360" t="s">
        <v>1358</v>
      </c>
      <c r="K360" t="s">
        <v>1358</v>
      </c>
      <c r="L360" t="s">
        <v>1358</v>
      </c>
      <c r="N360" t="s">
        <v>9931</v>
      </c>
    </row>
    <row r="361" spans="1:14">
      <c r="A361" t="s">
        <v>6141</v>
      </c>
      <c r="B361">
        <f>HYPERLINK("https://github.com/pmd/pmd/commit/2cef21022c56ea311f346bdb701687bfeab49c1d", "2cef21022c56ea311f346bdb701687bfeab49c1d")</f>
        <v>0</v>
      </c>
      <c r="C361">
        <f>HYPERLINK("https://github.com/pmd/pmd/commit/2adeac8bf763cd8d82b67e1419e2b447c842eeb5", "2adeac8bf763cd8d82b67e1419e2b447c842eeb5")</f>
        <v>0</v>
      </c>
      <c r="D361" t="s">
        <v>6492</v>
      </c>
      <c r="E361" t="s">
        <v>6597</v>
      </c>
      <c r="F361" t="s">
        <v>7003</v>
      </c>
      <c r="G361" t="s">
        <v>7749</v>
      </c>
      <c r="H361" t="s">
        <v>8523</v>
      </c>
      <c r="I361" t="s">
        <v>1358</v>
      </c>
      <c r="J361" t="s">
        <v>1358</v>
      </c>
      <c r="K361" t="s">
        <v>1358</v>
      </c>
      <c r="L361" t="s">
        <v>1358</v>
      </c>
      <c r="N361" t="s">
        <v>9931</v>
      </c>
    </row>
    <row r="362" spans="1:14">
      <c r="H362" t="s">
        <v>8524</v>
      </c>
      <c r="I362" t="s">
        <v>1358</v>
      </c>
      <c r="J362" t="s">
        <v>1358</v>
      </c>
      <c r="K362" t="s">
        <v>1358</v>
      </c>
      <c r="L362" t="s">
        <v>1358</v>
      </c>
      <c r="N362" t="s">
        <v>9931</v>
      </c>
    </row>
    <row r="363" spans="1:14">
      <c r="H363" t="s">
        <v>8525</v>
      </c>
      <c r="I363" t="s">
        <v>1358</v>
      </c>
      <c r="J363" t="s">
        <v>1358</v>
      </c>
      <c r="K363" t="s">
        <v>1358</v>
      </c>
      <c r="L363" t="s">
        <v>1358</v>
      </c>
      <c r="N363" t="s">
        <v>9931</v>
      </c>
    </row>
    <row r="364" spans="1:14">
      <c r="F364" t="s">
        <v>7026</v>
      </c>
      <c r="G364" t="s">
        <v>7772</v>
      </c>
      <c r="H364" t="s">
        <v>8479</v>
      </c>
      <c r="I364" t="s">
        <v>1358</v>
      </c>
      <c r="J364" t="s">
        <v>1358</v>
      </c>
      <c r="K364" t="s">
        <v>1358</v>
      </c>
      <c r="L364" t="s">
        <v>1358</v>
      </c>
      <c r="N364" t="s">
        <v>9931</v>
      </c>
    </row>
    <row r="365" spans="1:14">
      <c r="H365" t="s">
        <v>8526</v>
      </c>
      <c r="I365" t="s">
        <v>1358</v>
      </c>
      <c r="J365" t="s">
        <v>1358</v>
      </c>
      <c r="K365" t="s">
        <v>1358</v>
      </c>
      <c r="L365" t="s">
        <v>1358</v>
      </c>
      <c r="N365" t="s">
        <v>9931</v>
      </c>
    </row>
    <row r="366" spans="1:14">
      <c r="H366" t="s">
        <v>8527</v>
      </c>
      <c r="I366" t="s">
        <v>1358</v>
      </c>
      <c r="J366" t="s">
        <v>1358</v>
      </c>
      <c r="K366" t="s">
        <v>1358</v>
      </c>
      <c r="L366" t="s">
        <v>1358</v>
      </c>
      <c r="N366" t="s">
        <v>9931</v>
      </c>
    </row>
    <row r="367" spans="1:14">
      <c r="H367" t="s">
        <v>8528</v>
      </c>
      <c r="I367" t="s">
        <v>1358</v>
      </c>
      <c r="J367" t="s">
        <v>1358</v>
      </c>
      <c r="K367" t="s">
        <v>1358</v>
      </c>
      <c r="L367" t="s">
        <v>1358</v>
      </c>
      <c r="N367" t="s">
        <v>9931</v>
      </c>
    </row>
    <row r="368" spans="1:14">
      <c r="H368" t="s">
        <v>8529</v>
      </c>
      <c r="I368" t="s">
        <v>1358</v>
      </c>
      <c r="J368" t="s">
        <v>1358</v>
      </c>
      <c r="K368" t="s">
        <v>1358</v>
      </c>
      <c r="L368" t="s">
        <v>1358</v>
      </c>
      <c r="N368" t="s">
        <v>9931</v>
      </c>
    </row>
    <row r="369" spans="1:14">
      <c r="H369" t="s">
        <v>8530</v>
      </c>
      <c r="I369" t="s">
        <v>1358</v>
      </c>
      <c r="J369" t="s">
        <v>1358</v>
      </c>
      <c r="K369" t="s">
        <v>1358</v>
      </c>
      <c r="L369" t="s">
        <v>1358</v>
      </c>
      <c r="N369" t="s">
        <v>9931</v>
      </c>
    </row>
    <row r="370" spans="1:14">
      <c r="F370" t="s">
        <v>7027</v>
      </c>
      <c r="G370" t="s">
        <v>7773</v>
      </c>
      <c r="H370" t="s">
        <v>3834</v>
      </c>
      <c r="I370" t="s">
        <v>1358</v>
      </c>
      <c r="J370" t="s">
        <v>1358</v>
      </c>
      <c r="K370" t="s">
        <v>1358</v>
      </c>
      <c r="L370" t="s">
        <v>1358</v>
      </c>
      <c r="N370" t="s">
        <v>9931</v>
      </c>
    </row>
    <row r="371" spans="1:14">
      <c r="H371" t="s">
        <v>3835</v>
      </c>
      <c r="I371" t="s">
        <v>1358</v>
      </c>
      <c r="J371" t="s">
        <v>1358</v>
      </c>
      <c r="K371" t="s">
        <v>1358</v>
      </c>
      <c r="L371" t="s">
        <v>1358</v>
      </c>
      <c r="N371" t="s">
        <v>9931</v>
      </c>
    </row>
    <row r="372" spans="1:14">
      <c r="H372" t="s">
        <v>3836</v>
      </c>
      <c r="I372" t="s">
        <v>1358</v>
      </c>
      <c r="J372" t="s">
        <v>1358</v>
      </c>
      <c r="K372" t="s">
        <v>1358</v>
      </c>
      <c r="L372" t="s">
        <v>1358</v>
      </c>
      <c r="N372" t="s">
        <v>9931</v>
      </c>
    </row>
    <row r="373" spans="1:14">
      <c r="A373" t="s">
        <v>6142</v>
      </c>
      <c r="B373">
        <f>HYPERLINK("https://github.com/pmd/pmd/commit/07648381ffc850ae899d38adf9035afc30dc920c", "07648381ffc850ae899d38adf9035afc30dc920c")</f>
        <v>0</v>
      </c>
      <c r="C373">
        <f>HYPERLINK("https://github.com/pmd/pmd/commit/2cef21022c56ea311f346bdb701687bfeab49c1d", "2cef21022c56ea311f346bdb701687bfeab49c1d")</f>
        <v>0</v>
      </c>
      <c r="D373" t="s">
        <v>6492</v>
      </c>
      <c r="E373" t="s">
        <v>6598</v>
      </c>
      <c r="F373" t="s">
        <v>7028</v>
      </c>
      <c r="G373" t="s">
        <v>7774</v>
      </c>
      <c r="H373" t="s">
        <v>8479</v>
      </c>
      <c r="I373" t="s">
        <v>1358</v>
      </c>
      <c r="J373" t="s">
        <v>1358</v>
      </c>
      <c r="K373" t="s">
        <v>1358</v>
      </c>
      <c r="L373" t="s">
        <v>1358</v>
      </c>
      <c r="N373" t="s">
        <v>9931</v>
      </c>
    </row>
    <row r="374" spans="1:14">
      <c r="H374" t="s">
        <v>8518</v>
      </c>
      <c r="I374" t="s">
        <v>1358</v>
      </c>
      <c r="J374" t="s">
        <v>1358</v>
      </c>
      <c r="K374" t="s">
        <v>1358</v>
      </c>
      <c r="L374" t="s">
        <v>1358</v>
      </c>
      <c r="N374" t="s">
        <v>9931</v>
      </c>
    </row>
    <row r="375" spans="1:14">
      <c r="H375" t="s">
        <v>8531</v>
      </c>
      <c r="I375" t="s">
        <v>1358</v>
      </c>
      <c r="J375" t="s">
        <v>1358</v>
      </c>
      <c r="K375" t="s">
        <v>1358</v>
      </c>
      <c r="L375" t="s">
        <v>1358</v>
      </c>
      <c r="N375" t="s">
        <v>9931</v>
      </c>
    </row>
    <row r="376" spans="1:14">
      <c r="F376" t="s">
        <v>7029</v>
      </c>
      <c r="G376" t="s">
        <v>7775</v>
      </c>
      <c r="H376" t="s">
        <v>3834</v>
      </c>
      <c r="I376" t="s">
        <v>1358</v>
      </c>
      <c r="J376" t="s">
        <v>1358</v>
      </c>
      <c r="K376" t="s">
        <v>1358</v>
      </c>
      <c r="L376" t="s">
        <v>1358</v>
      </c>
      <c r="N376" t="s">
        <v>9931</v>
      </c>
    </row>
    <row r="377" spans="1:14">
      <c r="H377" t="s">
        <v>3835</v>
      </c>
      <c r="I377" t="s">
        <v>1358</v>
      </c>
      <c r="J377" t="s">
        <v>1358</v>
      </c>
      <c r="K377" t="s">
        <v>1358</v>
      </c>
      <c r="L377" t="s">
        <v>1358</v>
      </c>
      <c r="N377" t="s">
        <v>9931</v>
      </c>
    </row>
    <row r="378" spans="1:14">
      <c r="H378" t="s">
        <v>3836</v>
      </c>
      <c r="I378" t="s">
        <v>1358</v>
      </c>
      <c r="J378" t="s">
        <v>1358</v>
      </c>
      <c r="K378" t="s">
        <v>1358</v>
      </c>
      <c r="L378" t="s">
        <v>1358</v>
      </c>
      <c r="N378" t="s">
        <v>9931</v>
      </c>
    </row>
    <row r="379" spans="1:14">
      <c r="H379" t="s">
        <v>3837</v>
      </c>
      <c r="I379" t="s">
        <v>1358</v>
      </c>
      <c r="J379" t="s">
        <v>1358</v>
      </c>
      <c r="K379" t="s">
        <v>1358</v>
      </c>
      <c r="L379" t="s">
        <v>1358</v>
      </c>
      <c r="N379" t="s">
        <v>9931</v>
      </c>
    </row>
    <row r="380" spans="1:14">
      <c r="H380" t="s">
        <v>3838</v>
      </c>
      <c r="I380" t="s">
        <v>1358</v>
      </c>
      <c r="J380" t="s">
        <v>1358</v>
      </c>
      <c r="K380" t="s">
        <v>1358</v>
      </c>
      <c r="L380" t="s">
        <v>1358</v>
      </c>
      <c r="N380" t="s">
        <v>9931</v>
      </c>
    </row>
    <row r="381" spans="1:14">
      <c r="F381" t="s">
        <v>7030</v>
      </c>
      <c r="G381" t="s">
        <v>7776</v>
      </c>
      <c r="H381" t="s">
        <v>8369</v>
      </c>
      <c r="I381" t="s">
        <v>1358</v>
      </c>
      <c r="J381" t="s">
        <v>1358</v>
      </c>
      <c r="K381" t="s">
        <v>1358</v>
      </c>
      <c r="L381" t="s">
        <v>1358</v>
      </c>
      <c r="N381" t="s">
        <v>9931</v>
      </c>
    </row>
    <row r="382" spans="1:14">
      <c r="H382" t="s">
        <v>8370</v>
      </c>
      <c r="I382" t="s">
        <v>1358</v>
      </c>
      <c r="J382" t="s">
        <v>1358</v>
      </c>
      <c r="K382" t="s">
        <v>1358</v>
      </c>
      <c r="L382" t="s">
        <v>1358</v>
      </c>
      <c r="N382" t="s">
        <v>9931</v>
      </c>
    </row>
    <row r="383" spans="1:14">
      <c r="A383" t="s">
        <v>6143</v>
      </c>
      <c r="B383">
        <f>HYPERLINK("https://github.com/pmd/pmd/commit/9271586e6d63729ec0d69dc4dda63a3022a9e035", "9271586e6d63729ec0d69dc4dda63a3022a9e035")</f>
        <v>0</v>
      </c>
      <c r="C383">
        <f>HYPERLINK("https://github.com/pmd/pmd/commit/a3d5e7e1921e2c1c10f6a1e60fdfc19983732097", "a3d5e7e1921e2c1c10f6a1e60fdfc19983732097")</f>
        <v>0</v>
      </c>
      <c r="D383" t="s">
        <v>6492</v>
      </c>
      <c r="E383" t="s">
        <v>6599</v>
      </c>
      <c r="F383" t="s">
        <v>7031</v>
      </c>
      <c r="G383" t="s">
        <v>7777</v>
      </c>
      <c r="H383" t="s">
        <v>3834</v>
      </c>
      <c r="I383" t="s">
        <v>1358</v>
      </c>
      <c r="J383" t="s">
        <v>1358</v>
      </c>
      <c r="K383" t="s">
        <v>1358</v>
      </c>
      <c r="L383" t="s">
        <v>1358</v>
      </c>
      <c r="N383" t="s">
        <v>9931</v>
      </c>
    </row>
    <row r="384" spans="1:14">
      <c r="H384" t="s">
        <v>3835</v>
      </c>
      <c r="I384" t="s">
        <v>1358</v>
      </c>
      <c r="J384" t="s">
        <v>1358</v>
      </c>
      <c r="K384" t="s">
        <v>1358</v>
      </c>
      <c r="L384" t="s">
        <v>1358</v>
      </c>
      <c r="N384" t="s">
        <v>9931</v>
      </c>
    </row>
    <row r="385" spans="1:14">
      <c r="H385" t="s">
        <v>3836</v>
      </c>
      <c r="I385" t="s">
        <v>1358</v>
      </c>
      <c r="J385" t="s">
        <v>1358</v>
      </c>
      <c r="K385" t="s">
        <v>1358</v>
      </c>
      <c r="L385" t="s">
        <v>1358</v>
      </c>
      <c r="N385" t="s">
        <v>9931</v>
      </c>
    </row>
    <row r="386" spans="1:14">
      <c r="H386" t="s">
        <v>3837</v>
      </c>
      <c r="I386" t="s">
        <v>1358</v>
      </c>
      <c r="J386" t="s">
        <v>1358</v>
      </c>
      <c r="K386" t="s">
        <v>1358</v>
      </c>
      <c r="L386" t="s">
        <v>1358</v>
      </c>
      <c r="N386" t="s">
        <v>9931</v>
      </c>
    </row>
    <row r="387" spans="1:14">
      <c r="H387" t="s">
        <v>3838</v>
      </c>
      <c r="I387" t="s">
        <v>1358</v>
      </c>
      <c r="J387" t="s">
        <v>1358</v>
      </c>
      <c r="K387" t="s">
        <v>1358</v>
      </c>
      <c r="L387" t="s">
        <v>1358</v>
      </c>
      <c r="N387" t="s">
        <v>9931</v>
      </c>
    </row>
    <row r="388" spans="1:14">
      <c r="H388" t="s">
        <v>5243</v>
      </c>
      <c r="I388" t="s">
        <v>1358</v>
      </c>
      <c r="J388" t="s">
        <v>1358</v>
      </c>
      <c r="K388" t="s">
        <v>1358</v>
      </c>
      <c r="L388" t="s">
        <v>1358</v>
      </c>
      <c r="N388" t="s">
        <v>9931</v>
      </c>
    </row>
    <row r="389" spans="1:14">
      <c r="H389" t="s">
        <v>5244</v>
      </c>
      <c r="I389" t="s">
        <v>1358</v>
      </c>
      <c r="J389" t="s">
        <v>1358</v>
      </c>
      <c r="K389" t="s">
        <v>1358</v>
      </c>
      <c r="L389" t="s">
        <v>1358</v>
      </c>
      <c r="N389" t="s">
        <v>9931</v>
      </c>
    </row>
    <row r="390" spans="1:14">
      <c r="H390" t="s">
        <v>5245</v>
      </c>
      <c r="I390" t="s">
        <v>1358</v>
      </c>
      <c r="J390" t="s">
        <v>1358</v>
      </c>
      <c r="K390" t="s">
        <v>1358</v>
      </c>
      <c r="L390" t="s">
        <v>1358</v>
      </c>
      <c r="N390" t="s">
        <v>9931</v>
      </c>
    </row>
    <row r="391" spans="1:14">
      <c r="H391" t="s">
        <v>8532</v>
      </c>
      <c r="I391" t="s">
        <v>1358</v>
      </c>
      <c r="J391" t="s">
        <v>1358</v>
      </c>
      <c r="K391" t="s">
        <v>1358</v>
      </c>
      <c r="L391" t="s">
        <v>1358</v>
      </c>
      <c r="N391" t="s">
        <v>9931</v>
      </c>
    </row>
    <row r="392" spans="1:14">
      <c r="A392" t="s">
        <v>6144</v>
      </c>
      <c r="B392">
        <f>HYPERLINK("https://github.com/pmd/pmd/commit/79503150418116b23ccaeae37b4fa36f87846fe6", "79503150418116b23ccaeae37b4fa36f87846fe6")</f>
        <v>0</v>
      </c>
      <c r="C392">
        <f>HYPERLINK("https://github.com/pmd/pmd/commit/9271586e6d63729ec0d69dc4dda63a3022a9e035", "9271586e6d63729ec0d69dc4dda63a3022a9e035")</f>
        <v>0</v>
      </c>
      <c r="D392" t="s">
        <v>6492</v>
      </c>
      <c r="E392" t="s">
        <v>6600</v>
      </c>
      <c r="F392" t="s">
        <v>7002</v>
      </c>
      <c r="G392" t="s">
        <v>7748</v>
      </c>
      <c r="H392" t="s">
        <v>8533</v>
      </c>
      <c r="I392" t="s">
        <v>1358</v>
      </c>
      <c r="J392" t="s">
        <v>1358</v>
      </c>
      <c r="K392" t="s">
        <v>1358</v>
      </c>
      <c r="L392" t="s">
        <v>1358</v>
      </c>
      <c r="N392" t="s">
        <v>9931</v>
      </c>
    </row>
    <row r="393" spans="1:14">
      <c r="H393" t="s">
        <v>8534</v>
      </c>
      <c r="I393" t="s">
        <v>1358</v>
      </c>
      <c r="J393" t="s">
        <v>1358</v>
      </c>
      <c r="K393" t="s">
        <v>1358</v>
      </c>
      <c r="L393" t="s">
        <v>1358</v>
      </c>
      <c r="N393" t="s">
        <v>9931</v>
      </c>
    </row>
    <row r="394" spans="1:14">
      <c r="H394" t="s">
        <v>8535</v>
      </c>
      <c r="I394" t="s">
        <v>1358</v>
      </c>
      <c r="J394" t="s">
        <v>1358</v>
      </c>
      <c r="K394" t="s">
        <v>1358</v>
      </c>
      <c r="L394" t="s">
        <v>1358</v>
      </c>
      <c r="N394" t="s">
        <v>9931</v>
      </c>
    </row>
    <row r="395" spans="1:14">
      <c r="H395" t="s">
        <v>8536</v>
      </c>
      <c r="I395" t="s">
        <v>1358</v>
      </c>
      <c r="J395" t="s">
        <v>1358</v>
      </c>
      <c r="K395" t="s">
        <v>1358</v>
      </c>
      <c r="L395" t="s">
        <v>1358</v>
      </c>
      <c r="N395" t="s">
        <v>9931</v>
      </c>
    </row>
    <row r="396" spans="1:14">
      <c r="H396" t="s">
        <v>8464</v>
      </c>
      <c r="I396" t="s">
        <v>1358</v>
      </c>
      <c r="J396" t="s">
        <v>1358</v>
      </c>
      <c r="K396" t="s">
        <v>1358</v>
      </c>
      <c r="L396" t="s">
        <v>1358</v>
      </c>
      <c r="N396" t="s">
        <v>9931</v>
      </c>
    </row>
    <row r="397" spans="1:14">
      <c r="A397" t="s">
        <v>6145</v>
      </c>
      <c r="B397">
        <f>HYPERLINK("https://github.com/pmd/pmd/commit/c7447f09ef990366fd055ed47cfc0e44bec97c95", "c7447f09ef990366fd055ed47cfc0e44bec97c95")</f>
        <v>0</v>
      </c>
      <c r="C397">
        <f>HYPERLINK("https://github.com/pmd/pmd/commit/4911abc0cb3d55f1ea0c5dadcffca2df6bbb24c6", "4911abc0cb3d55f1ea0c5dadcffca2df6bbb24c6")</f>
        <v>0</v>
      </c>
      <c r="D397" t="s">
        <v>6492</v>
      </c>
      <c r="E397" t="s">
        <v>6601</v>
      </c>
      <c r="F397" t="s">
        <v>7032</v>
      </c>
      <c r="G397" t="s">
        <v>7778</v>
      </c>
      <c r="H397" t="s">
        <v>8537</v>
      </c>
      <c r="I397" t="s">
        <v>1358</v>
      </c>
      <c r="J397" t="s">
        <v>1358</v>
      </c>
      <c r="K397" t="s">
        <v>1358</v>
      </c>
      <c r="L397" t="s">
        <v>1358</v>
      </c>
      <c r="N397" t="s">
        <v>9931</v>
      </c>
    </row>
    <row r="398" spans="1:14">
      <c r="H398" t="s">
        <v>8538</v>
      </c>
      <c r="I398" t="s">
        <v>1358</v>
      </c>
      <c r="J398" t="s">
        <v>1358</v>
      </c>
      <c r="K398" t="s">
        <v>1358</v>
      </c>
      <c r="L398" t="s">
        <v>1358</v>
      </c>
      <c r="N398" t="s">
        <v>9931</v>
      </c>
    </row>
    <row r="399" spans="1:14">
      <c r="H399" t="s">
        <v>8539</v>
      </c>
      <c r="I399" t="s">
        <v>1358</v>
      </c>
      <c r="J399" t="s">
        <v>1358</v>
      </c>
      <c r="K399" t="s">
        <v>1358</v>
      </c>
      <c r="L399" t="s">
        <v>1358</v>
      </c>
      <c r="N399" t="s">
        <v>9931</v>
      </c>
    </row>
    <row r="400" spans="1:14">
      <c r="H400" t="s">
        <v>8540</v>
      </c>
      <c r="I400" t="s">
        <v>1358</v>
      </c>
      <c r="J400" t="s">
        <v>1358</v>
      </c>
      <c r="K400" t="s">
        <v>1358</v>
      </c>
      <c r="L400" t="s">
        <v>1358</v>
      </c>
      <c r="N400" t="s">
        <v>9931</v>
      </c>
    </row>
    <row r="401" spans="1:14">
      <c r="F401" t="s">
        <v>6984</v>
      </c>
      <c r="G401" t="s">
        <v>7730</v>
      </c>
      <c r="H401" t="s">
        <v>8541</v>
      </c>
      <c r="I401" t="s">
        <v>1358</v>
      </c>
      <c r="J401" t="s">
        <v>1358</v>
      </c>
      <c r="K401" t="s">
        <v>1358</v>
      </c>
      <c r="L401" t="s">
        <v>1358</v>
      </c>
      <c r="N401" t="s">
        <v>9931</v>
      </c>
    </row>
    <row r="402" spans="1:14">
      <c r="F402" t="s">
        <v>7033</v>
      </c>
      <c r="G402" t="s">
        <v>7779</v>
      </c>
      <c r="H402" t="s">
        <v>3834</v>
      </c>
      <c r="I402" t="s">
        <v>1358</v>
      </c>
      <c r="J402" t="s">
        <v>1358</v>
      </c>
      <c r="K402" t="s">
        <v>1358</v>
      </c>
      <c r="L402" t="s">
        <v>1358</v>
      </c>
      <c r="N402" t="s">
        <v>9931</v>
      </c>
    </row>
    <row r="403" spans="1:14">
      <c r="H403" t="s">
        <v>3835</v>
      </c>
      <c r="I403" t="s">
        <v>1358</v>
      </c>
      <c r="J403" t="s">
        <v>1358</v>
      </c>
      <c r="K403" t="s">
        <v>1358</v>
      </c>
      <c r="L403" t="s">
        <v>1358</v>
      </c>
      <c r="N403" t="s">
        <v>9931</v>
      </c>
    </row>
    <row r="404" spans="1:14">
      <c r="F404" t="s">
        <v>7034</v>
      </c>
      <c r="G404" t="s">
        <v>7780</v>
      </c>
      <c r="H404" t="s">
        <v>8542</v>
      </c>
      <c r="I404" t="s">
        <v>1358</v>
      </c>
      <c r="J404" t="s">
        <v>1358</v>
      </c>
      <c r="K404" t="s">
        <v>1358</v>
      </c>
      <c r="L404" t="s">
        <v>1358</v>
      </c>
      <c r="N404" t="s">
        <v>9931</v>
      </c>
    </row>
    <row r="405" spans="1:14">
      <c r="H405" t="s">
        <v>8543</v>
      </c>
      <c r="I405" t="s">
        <v>1358</v>
      </c>
      <c r="J405" t="s">
        <v>1358</v>
      </c>
      <c r="K405" t="s">
        <v>1358</v>
      </c>
      <c r="L405" t="s">
        <v>1358</v>
      </c>
      <c r="N405" t="s">
        <v>9931</v>
      </c>
    </row>
    <row r="406" spans="1:14">
      <c r="H406" t="s">
        <v>8544</v>
      </c>
      <c r="I406" t="s">
        <v>1358</v>
      </c>
      <c r="J406" t="s">
        <v>1358</v>
      </c>
      <c r="K406" t="s">
        <v>1358</v>
      </c>
      <c r="L406" t="s">
        <v>1358</v>
      </c>
      <c r="N406" t="s">
        <v>9931</v>
      </c>
    </row>
    <row r="407" spans="1:14">
      <c r="F407" t="s">
        <v>7035</v>
      </c>
      <c r="G407" t="s">
        <v>7781</v>
      </c>
      <c r="H407" t="s">
        <v>8361</v>
      </c>
      <c r="I407" t="s">
        <v>1358</v>
      </c>
      <c r="J407" t="s">
        <v>1358</v>
      </c>
      <c r="K407" t="s">
        <v>1358</v>
      </c>
      <c r="L407" t="s">
        <v>1358</v>
      </c>
      <c r="N407" t="s">
        <v>9931</v>
      </c>
    </row>
    <row r="408" spans="1:14">
      <c r="F408" t="s">
        <v>7036</v>
      </c>
      <c r="G408" t="s">
        <v>7782</v>
      </c>
      <c r="H408" t="s">
        <v>8523</v>
      </c>
      <c r="I408" t="s">
        <v>1358</v>
      </c>
      <c r="J408" t="s">
        <v>1358</v>
      </c>
      <c r="K408" t="s">
        <v>1358</v>
      </c>
      <c r="L408" t="s">
        <v>1358</v>
      </c>
      <c r="N408" t="s">
        <v>9931</v>
      </c>
    </row>
    <row r="409" spans="1:14">
      <c r="H409" t="s">
        <v>8524</v>
      </c>
      <c r="I409" t="s">
        <v>1358</v>
      </c>
      <c r="J409" t="s">
        <v>1358</v>
      </c>
      <c r="K409" t="s">
        <v>1358</v>
      </c>
      <c r="L409" t="s">
        <v>1358</v>
      </c>
      <c r="N409" t="s">
        <v>9931</v>
      </c>
    </row>
    <row r="410" spans="1:14">
      <c r="A410" t="s">
        <v>6146</v>
      </c>
      <c r="B410">
        <f>HYPERLINK("https://github.com/pmd/pmd/commit/f86c37b1641e7f423cc12d00ba8f31d2ea9c5dd0", "f86c37b1641e7f423cc12d00ba8f31d2ea9c5dd0")</f>
        <v>0</v>
      </c>
      <c r="C410">
        <f>HYPERLINK("https://github.com/pmd/pmd/commit/c7447f09ef990366fd055ed47cfc0e44bec97c95", "c7447f09ef990366fd055ed47cfc0e44bec97c95")</f>
        <v>0</v>
      </c>
      <c r="D410" t="s">
        <v>6492</v>
      </c>
      <c r="E410" t="s">
        <v>6602</v>
      </c>
      <c r="F410" t="s">
        <v>7037</v>
      </c>
      <c r="G410" t="s">
        <v>7783</v>
      </c>
      <c r="H410" t="s">
        <v>3834</v>
      </c>
      <c r="I410" t="s">
        <v>1358</v>
      </c>
      <c r="J410" t="s">
        <v>1358</v>
      </c>
      <c r="K410" t="s">
        <v>1358</v>
      </c>
      <c r="L410" t="s">
        <v>1358</v>
      </c>
      <c r="N410" t="s">
        <v>9931</v>
      </c>
    </row>
    <row r="411" spans="1:14">
      <c r="H411" t="s">
        <v>3835</v>
      </c>
      <c r="I411" t="s">
        <v>1358</v>
      </c>
      <c r="J411" t="s">
        <v>1358</v>
      </c>
      <c r="K411" t="s">
        <v>1358</v>
      </c>
      <c r="L411" t="s">
        <v>1358</v>
      </c>
      <c r="N411" t="s">
        <v>9931</v>
      </c>
    </row>
    <row r="412" spans="1:14">
      <c r="H412" t="s">
        <v>3836</v>
      </c>
      <c r="I412" t="s">
        <v>1358</v>
      </c>
      <c r="J412" t="s">
        <v>1358</v>
      </c>
      <c r="K412" t="s">
        <v>1358</v>
      </c>
      <c r="L412" t="s">
        <v>1358</v>
      </c>
      <c r="N412" t="s">
        <v>9931</v>
      </c>
    </row>
    <row r="413" spans="1:14">
      <c r="F413" t="s">
        <v>7038</v>
      </c>
      <c r="G413" t="s">
        <v>7784</v>
      </c>
      <c r="H413" t="s">
        <v>8524</v>
      </c>
      <c r="I413" t="s">
        <v>1358</v>
      </c>
      <c r="J413" t="s">
        <v>1358</v>
      </c>
      <c r="K413" t="s">
        <v>1358</v>
      </c>
      <c r="L413" t="s">
        <v>1358</v>
      </c>
      <c r="N413" t="s">
        <v>9931</v>
      </c>
    </row>
    <row r="414" spans="1:14">
      <c r="H414" t="s">
        <v>8523</v>
      </c>
      <c r="I414" t="s">
        <v>1358</v>
      </c>
      <c r="J414" t="s">
        <v>1358</v>
      </c>
      <c r="K414" t="s">
        <v>1358</v>
      </c>
      <c r="L414" t="s">
        <v>1358</v>
      </c>
      <c r="N414" t="s">
        <v>9931</v>
      </c>
    </row>
    <row r="415" spans="1:14">
      <c r="H415" t="s">
        <v>8545</v>
      </c>
      <c r="I415" t="s">
        <v>1358</v>
      </c>
      <c r="J415" t="s">
        <v>1358</v>
      </c>
      <c r="K415" t="s">
        <v>1358</v>
      </c>
      <c r="L415" t="s">
        <v>1358</v>
      </c>
      <c r="N415" t="s">
        <v>9931</v>
      </c>
    </row>
    <row r="416" spans="1:14">
      <c r="F416" t="s">
        <v>7039</v>
      </c>
      <c r="G416" t="s">
        <v>7785</v>
      </c>
      <c r="H416" t="s">
        <v>3834</v>
      </c>
      <c r="I416" t="s">
        <v>1358</v>
      </c>
      <c r="J416" t="s">
        <v>1358</v>
      </c>
      <c r="K416" t="s">
        <v>1358</v>
      </c>
      <c r="L416" t="s">
        <v>1358</v>
      </c>
      <c r="N416" t="s">
        <v>9931</v>
      </c>
    </row>
    <row r="417" spans="1:14">
      <c r="H417" t="s">
        <v>3835</v>
      </c>
      <c r="I417" t="s">
        <v>1358</v>
      </c>
      <c r="J417" t="s">
        <v>1358</v>
      </c>
      <c r="K417" t="s">
        <v>1358</v>
      </c>
      <c r="L417" t="s">
        <v>1358</v>
      </c>
      <c r="N417" t="s">
        <v>9931</v>
      </c>
    </row>
    <row r="418" spans="1:14">
      <c r="H418" t="s">
        <v>3836</v>
      </c>
      <c r="I418" t="s">
        <v>1358</v>
      </c>
      <c r="J418" t="s">
        <v>1358</v>
      </c>
      <c r="K418" t="s">
        <v>1358</v>
      </c>
      <c r="L418" t="s">
        <v>1358</v>
      </c>
      <c r="N418" t="s">
        <v>9931</v>
      </c>
    </row>
    <row r="419" spans="1:14">
      <c r="H419" t="s">
        <v>3837</v>
      </c>
      <c r="I419" t="s">
        <v>1358</v>
      </c>
      <c r="J419" t="s">
        <v>1358</v>
      </c>
      <c r="K419" t="s">
        <v>1358</v>
      </c>
      <c r="L419" t="s">
        <v>1358</v>
      </c>
      <c r="N419" t="s">
        <v>9931</v>
      </c>
    </row>
    <row r="420" spans="1:14">
      <c r="F420" t="s">
        <v>6994</v>
      </c>
      <c r="G420" t="s">
        <v>7740</v>
      </c>
      <c r="H420" t="s">
        <v>8479</v>
      </c>
      <c r="I420" t="s">
        <v>1358</v>
      </c>
      <c r="J420" t="s">
        <v>1358</v>
      </c>
      <c r="K420" t="s">
        <v>1358</v>
      </c>
      <c r="L420" t="s">
        <v>1358</v>
      </c>
      <c r="N420" t="s">
        <v>9931</v>
      </c>
    </row>
    <row r="421" spans="1:14">
      <c r="H421" t="s">
        <v>8546</v>
      </c>
      <c r="I421" t="s">
        <v>1358</v>
      </c>
      <c r="J421" t="s">
        <v>1358</v>
      </c>
      <c r="K421" t="s">
        <v>1358</v>
      </c>
      <c r="L421" t="s">
        <v>1358</v>
      </c>
      <c r="N421" t="s">
        <v>9931</v>
      </c>
    </row>
    <row r="422" spans="1:14">
      <c r="H422" t="s">
        <v>8547</v>
      </c>
      <c r="I422" t="s">
        <v>1358</v>
      </c>
      <c r="J422" t="s">
        <v>1358</v>
      </c>
      <c r="K422" t="s">
        <v>1358</v>
      </c>
      <c r="L422" t="s">
        <v>1358</v>
      </c>
      <c r="N422" t="s">
        <v>9931</v>
      </c>
    </row>
    <row r="423" spans="1:14">
      <c r="H423" t="s">
        <v>8548</v>
      </c>
      <c r="I423" t="s">
        <v>1358</v>
      </c>
      <c r="J423" t="s">
        <v>1358</v>
      </c>
      <c r="K423" t="s">
        <v>1358</v>
      </c>
      <c r="L423" t="s">
        <v>1358</v>
      </c>
      <c r="N423" t="s">
        <v>9931</v>
      </c>
    </row>
    <row r="424" spans="1:14">
      <c r="H424" t="s">
        <v>8549</v>
      </c>
      <c r="I424" t="s">
        <v>1358</v>
      </c>
      <c r="J424" t="s">
        <v>1358</v>
      </c>
      <c r="K424" t="s">
        <v>1358</v>
      </c>
      <c r="L424" t="s">
        <v>1358</v>
      </c>
      <c r="N424" t="s">
        <v>9931</v>
      </c>
    </row>
    <row r="425" spans="1:14">
      <c r="A425" t="s">
        <v>6147</v>
      </c>
      <c r="B425">
        <f>HYPERLINK("https://github.com/pmd/pmd/commit/7000df9009d4f79ab1d29d4f5360ace9c4ca89df", "7000df9009d4f79ab1d29d4f5360ace9c4ca89df")</f>
        <v>0</v>
      </c>
      <c r="C425">
        <f>HYPERLINK("https://github.com/pmd/pmd/commit/828f9496b4597f484669f924b862cb522cd29f32", "828f9496b4597f484669f924b862cb522cd29f32")</f>
        <v>0</v>
      </c>
      <c r="D425" t="s">
        <v>6492</v>
      </c>
      <c r="E425" t="s">
        <v>6603</v>
      </c>
      <c r="F425" t="s">
        <v>7040</v>
      </c>
      <c r="G425" t="s">
        <v>7786</v>
      </c>
      <c r="H425" t="s">
        <v>8550</v>
      </c>
      <c r="I425" t="s">
        <v>1357</v>
      </c>
      <c r="J425" t="s">
        <v>1357</v>
      </c>
      <c r="K425" t="s">
        <v>1357</v>
      </c>
      <c r="L425" t="s">
        <v>1357</v>
      </c>
    </row>
    <row r="426" spans="1:14">
      <c r="A426" t="s">
        <v>6148</v>
      </c>
      <c r="B426">
        <f>HYPERLINK("https://github.com/pmd/pmd/commit/8fcf5cf2fd074d85d369cf640ad8ca5837b0d261", "8fcf5cf2fd074d85d369cf640ad8ca5837b0d261")</f>
        <v>0</v>
      </c>
      <c r="C426">
        <f>HYPERLINK("https://github.com/pmd/pmd/commit/833b4c3884b5a8ede7730c39be3da1cdcbf2f847", "833b4c3884b5a8ede7730c39be3da1cdcbf2f847")</f>
        <v>0</v>
      </c>
      <c r="D426" t="s">
        <v>6492</v>
      </c>
      <c r="E426" t="s">
        <v>6604</v>
      </c>
      <c r="F426" t="s">
        <v>7041</v>
      </c>
      <c r="G426" t="s">
        <v>7787</v>
      </c>
      <c r="H426" t="s">
        <v>8551</v>
      </c>
      <c r="I426" t="s">
        <v>1357</v>
      </c>
      <c r="J426" t="s">
        <v>1357</v>
      </c>
      <c r="K426" t="s">
        <v>1357</v>
      </c>
      <c r="L426" t="s">
        <v>1357</v>
      </c>
      <c r="M426" t="s">
        <v>1360</v>
      </c>
    </row>
    <row r="427" spans="1:14">
      <c r="A427" t="s">
        <v>6149</v>
      </c>
      <c r="B427">
        <f>HYPERLINK("https://github.com/pmd/pmd/commit/e7bb60437e82b3f9f50223e397369532bb382df6", "e7bb60437e82b3f9f50223e397369532bb382df6")</f>
        <v>0</v>
      </c>
      <c r="C427">
        <f>HYPERLINK("https://github.com/pmd/pmd/commit/1ddde9fb8ee40f70d097c7f8cb4e520f4bffb77f", "1ddde9fb8ee40f70d097c7f8cb4e520f4bffb77f")</f>
        <v>0</v>
      </c>
      <c r="D427" t="s">
        <v>6492</v>
      </c>
      <c r="E427" t="s">
        <v>6605</v>
      </c>
      <c r="F427" t="s">
        <v>7042</v>
      </c>
      <c r="G427" t="s">
        <v>7788</v>
      </c>
      <c r="H427" t="s">
        <v>8552</v>
      </c>
      <c r="I427" t="s">
        <v>1357</v>
      </c>
      <c r="J427" t="s">
        <v>1357</v>
      </c>
      <c r="K427" t="s">
        <v>1357</v>
      </c>
      <c r="L427" t="s">
        <v>1357</v>
      </c>
    </row>
    <row r="428" spans="1:14">
      <c r="H428" t="s">
        <v>8553</v>
      </c>
      <c r="I428" t="s">
        <v>1357</v>
      </c>
      <c r="J428" t="s">
        <v>1357</v>
      </c>
      <c r="K428" t="s">
        <v>1357</v>
      </c>
      <c r="L428" t="s">
        <v>1357</v>
      </c>
    </row>
    <row r="429" spans="1:14">
      <c r="H429" t="s">
        <v>8554</v>
      </c>
      <c r="I429" t="s">
        <v>1357</v>
      </c>
      <c r="J429" t="s">
        <v>1357</v>
      </c>
      <c r="K429" t="s">
        <v>1357</v>
      </c>
      <c r="L429" t="s">
        <v>1357</v>
      </c>
    </row>
    <row r="430" spans="1:14">
      <c r="H430" t="s">
        <v>8555</v>
      </c>
      <c r="I430" t="s">
        <v>1357</v>
      </c>
      <c r="J430" t="s">
        <v>1357</v>
      </c>
      <c r="K430" t="s">
        <v>1357</v>
      </c>
      <c r="L430" t="s">
        <v>1357</v>
      </c>
    </row>
    <row r="431" spans="1:14">
      <c r="F431" t="s">
        <v>7043</v>
      </c>
      <c r="G431" t="s">
        <v>7789</v>
      </c>
      <c r="H431" t="s">
        <v>8556</v>
      </c>
      <c r="I431" t="s">
        <v>1358</v>
      </c>
      <c r="J431" t="s">
        <v>1358</v>
      </c>
      <c r="K431" t="s">
        <v>1358</v>
      </c>
      <c r="L431" t="s">
        <v>1358</v>
      </c>
    </row>
    <row r="432" spans="1:14">
      <c r="A432" t="s">
        <v>6150</v>
      </c>
      <c r="B432">
        <f>HYPERLINK("https://github.com/pmd/pmd/commit/1a7bf2426bc310efbfbeae5846a68f79cd61d3e0", "1a7bf2426bc310efbfbeae5846a68f79cd61d3e0")</f>
        <v>0</v>
      </c>
      <c r="C432">
        <f>HYPERLINK("https://github.com/pmd/pmd/commit/16def1da7b1271f13c3de4e2dde1bd1310631702", "16def1da7b1271f13c3de4e2dde1bd1310631702")</f>
        <v>0</v>
      </c>
      <c r="D432" t="s">
        <v>6492</v>
      </c>
      <c r="E432" t="s">
        <v>6606</v>
      </c>
      <c r="F432" t="s">
        <v>7044</v>
      </c>
      <c r="G432" t="s">
        <v>7790</v>
      </c>
      <c r="H432" t="s">
        <v>8524</v>
      </c>
      <c r="I432" t="s">
        <v>1358</v>
      </c>
      <c r="J432" t="s">
        <v>1358</v>
      </c>
      <c r="K432" t="s">
        <v>1358</v>
      </c>
      <c r="L432" t="s">
        <v>1358</v>
      </c>
      <c r="N432" t="s">
        <v>9931</v>
      </c>
    </row>
    <row r="433" spans="1:14">
      <c r="H433" t="s">
        <v>8523</v>
      </c>
      <c r="I433" t="s">
        <v>1358</v>
      </c>
      <c r="J433" t="s">
        <v>1358</v>
      </c>
      <c r="K433" t="s">
        <v>1358</v>
      </c>
      <c r="L433" t="s">
        <v>1358</v>
      </c>
      <c r="N433" t="s">
        <v>9931</v>
      </c>
    </row>
    <row r="434" spans="1:14">
      <c r="H434" t="s">
        <v>8557</v>
      </c>
      <c r="I434" t="s">
        <v>1358</v>
      </c>
      <c r="J434" t="s">
        <v>1358</v>
      </c>
      <c r="K434" t="s">
        <v>1358</v>
      </c>
      <c r="L434" t="s">
        <v>1358</v>
      </c>
      <c r="N434" t="s">
        <v>9931</v>
      </c>
    </row>
    <row r="435" spans="1:14">
      <c r="H435" t="s">
        <v>8558</v>
      </c>
      <c r="I435" t="s">
        <v>1358</v>
      </c>
      <c r="J435" t="s">
        <v>1358</v>
      </c>
      <c r="K435" t="s">
        <v>1358</v>
      </c>
      <c r="L435" t="s">
        <v>1358</v>
      </c>
      <c r="N435" t="s">
        <v>9931</v>
      </c>
    </row>
    <row r="436" spans="1:14">
      <c r="A436" t="s">
        <v>6151</v>
      </c>
      <c r="B436">
        <f>HYPERLINK("https://github.com/pmd/pmd/commit/1cc16f5fe8b426ca6b38f9693afa1e89ffd70835", "1cc16f5fe8b426ca6b38f9693afa1e89ffd70835")</f>
        <v>0</v>
      </c>
      <c r="C436">
        <f>HYPERLINK("https://github.com/pmd/pmd/commit/5f1f887f5360aedf8ddd97fbf7d64e834cbaf85c", "5f1f887f5360aedf8ddd97fbf7d64e834cbaf85c")</f>
        <v>0</v>
      </c>
      <c r="D436" t="s">
        <v>6492</v>
      </c>
      <c r="E436" t="s">
        <v>6607</v>
      </c>
      <c r="F436" t="s">
        <v>7045</v>
      </c>
      <c r="G436" t="s">
        <v>7787</v>
      </c>
      <c r="H436" t="s">
        <v>8551</v>
      </c>
      <c r="I436" t="s">
        <v>1357</v>
      </c>
      <c r="J436" t="s">
        <v>1357</v>
      </c>
      <c r="K436" t="s">
        <v>1357</v>
      </c>
      <c r="L436" t="s">
        <v>1357</v>
      </c>
      <c r="M436" t="s">
        <v>1360</v>
      </c>
      <c r="N436" t="s">
        <v>1371</v>
      </c>
    </row>
    <row r="437" spans="1:14">
      <c r="A437" t="s">
        <v>6152</v>
      </c>
      <c r="B437">
        <f>HYPERLINK("https://github.com/pmd/pmd/commit/be29d08a897584a2e70b7c166eec4cff9e45bf33", "be29d08a897584a2e70b7c166eec4cff9e45bf33")</f>
        <v>0</v>
      </c>
      <c r="C437">
        <f>HYPERLINK("https://github.com/pmd/pmd/commit/1cc16f5fe8b426ca6b38f9693afa1e89ffd70835", "1cc16f5fe8b426ca6b38f9693afa1e89ffd70835")</f>
        <v>0</v>
      </c>
      <c r="D437" t="s">
        <v>6492</v>
      </c>
      <c r="E437" t="s">
        <v>6608</v>
      </c>
      <c r="F437" t="s">
        <v>7040</v>
      </c>
      <c r="G437" t="s">
        <v>7786</v>
      </c>
      <c r="H437" t="s">
        <v>8559</v>
      </c>
      <c r="I437" t="s">
        <v>1358</v>
      </c>
      <c r="J437" t="s">
        <v>1358</v>
      </c>
      <c r="K437" t="s">
        <v>1358</v>
      </c>
      <c r="L437" t="s">
        <v>1358</v>
      </c>
    </row>
    <row r="438" spans="1:14">
      <c r="H438" t="s">
        <v>8560</v>
      </c>
      <c r="I438" t="s">
        <v>1358</v>
      </c>
      <c r="J438" t="s">
        <v>1358</v>
      </c>
      <c r="K438" t="s">
        <v>1358</v>
      </c>
      <c r="L438" t="s">
        <v>1358</v>
      </c>
      <c r="N438" t="s">
        <v>1374</v>
      </c>
    </row>
    <row r="439" spans="1:14">
      <c r="A439" t="s">
        <v>6153</v>
      </c>
      <c r="B439">
        <f>HYPERLINK("https://github.com/pmd/pmd/commit/83d81b076b32acdf3f82077c7f4c2a2e160aa32f", "83d81b076b32acdf3f82077c7f4c2a2e160aa32f")</f>
        <v>0</v>
      </c>
      <c r="C439">
        <f>HYPERLINK("https://github.com/pmd/pmd/commit/6ccfb5ea5233179909a6d83a6412c124bee86cbc", "6ccfb5ea5233179909a6d83a6412c124bee86cbc")</f>
        <v>0</v>
      </c>
      <c r="D439" t="s">
        <v>6492</v>
      </c>
      <c r="E439" t="s">
        <v>6609</v>
      </c>
      <c r="F439" t="s">
        <v>7046</v>
      </c>
      <c r="G439" t="s">
        <v>7791</v>
      </c>
      <c r="H439" t="s">
        <v>3408</v>
      </c>
      <c r="I439" t="s">
        <v>1357</v>
      </c>
      <c r="J439" t="s">
        <v>1357</v>
      </c>
      <c r="K439" t="s">
        <v>1357</v>
      </c>
      <c r="L439" t="s">
        <v>1357</v>
      </c>
    </row>
    <row r="440" spans="1:14">
      <c r="A440" t="s">
        <v>6154</v>
      </c>
      <c r="B440">
        <f>HYPERLINK("https://github.com/pmd/pmd/commit/8e61889ba0778848f796784d43cf454b7d51d0ae", "8e61889ba0778848f796784d43cf454b7d51d0ae")</f>
        <v>0</v>
      </c>
      <c r="C440">
        <f>HYPERLINK("https://github.com/pmd/pmd/commit/ccd5163b1a18b708cb374146186c6c5abe183417", "ccd5163b1a18b708cb374146186c6c5abe183417")</f>
        <v>0</v>
      </c>
      <c r="D440" t="s">
        <v>6492</v>
      </c>
      <c r="E440" t="s">
        <v>6610</v>
      </c>
      <c r="F440" t="s">
        <v>7047</v>
      </c>
      <c r="G440" t="s">
        <v>7792</v>
      </c>
      <c r="H440" t="s">
        <v>8561</v>
      </c>
      <c r="I440" t="s">
        <v>1358</v>
      </c>
      <c r="J440" t="s">
        <v>1358</v>
      </c>
      <c r="K440" t="s">
        <v>1358</v>
      </c>
      <c r="L440" t="s">
        <v>1358</v>
      </c>
      <c r="N440" t="s">
        <v>6060</v>
      </c>
    </row>
    <row r="441" spans="1:14">
      <c r="H441" t="s">
        <v>8562</v>
      </c>
      <c r="I441" t="s">
        <v>1359</v>
      </c>
      <c r="J441" t="s">
        <v>1357</v>
      </c>
      <c r="K441" t="s">
        <v>1357</v>
      </c>
      <c r="L441" t="s">
        <v>1358</v>
      </c>
      <c r="N441" t="s">
        <v>1372</v>
      </c>
    </row>
    <row r="442" spans="1:14">
      <c r="A442" t="s">
        <v>6155</v>
      </c>
      <c r="B442">
        <f>HYPERLINK("https://github.com/pmd/pmd/commit/9e29e9a736d3591abde581bb214726e670884bec", "9e29e9a736d3591abde581bb214726e670884bec")</f>
        <v>0</v>
      </c>
      <c r="C442">
        <f>HYPERLINK("https://github.com/pmd/pmd/commit/95f70b065352e1fb62e5343b36198f9d1ee5cfe7", "95f70b065352e1fb62e5343b36198f9d1ee5cfe7")</f>
        <v>0</v>
      </c>
      <c r="D442" t="s">
        <v>6492</v>
      </c>
      <c r="E442" t="s">
        <v>6611</v>
      </c>
      <c r="F442" t="s">
        <v>7047</v>
      </c>
      <c r="G442" t="s">
        <v>7792</v>
      </c>
      <c r="H442" t="s">
        <v>8563</v>
      </c>
      <c r="I442" t="s">
        <v>1358</v>
      </c>
      <c r="J442" t="s">
        <v>1358</v>
      </c>
      <c r="K442" t="s">
        <v>1358</v>
      </c>
      <c r="L442" t="s">
        <v>1358</v>
      </c>
    </row>
    <row r="443" spans="1:14">
      <c r="A443" t="s">
        <v>6156</v>
      </c>
      <c r="B443">
        <f>HYPERLINK("https://github.com/pmd/pmd/commit/273b63f5ac02bb26a55eb77e0e84d73aa07402e7", "273b63f5ac02bb26a55eb77e0e84d73aa07402e7")</f>
        <v>0</v>
      </c>
      <c r="C443">
        <f>HYPERLINK("https://github.com/pmd/pmd/commit/711a08c8068b446751f02e6f1a02577c1caf1c27", "711a08c8068b446751f02e6f1a02577c1caf1c27")</f>
        <v>0</v>
      </c>
      <c r="D443" t="s">
        <v>6492</v>
      </c>
      <c r="E443" t="s">
        <v>6612</v>
      </c>
      <c r="F443" t="s">
        <v>7048</v>
      </c>
      <c r="G443" t="s">
        <v>7738</v>
      </c>
      <c r="H443" t="s">
        <v>8564</v>
      </c>
      <c r="I443" t="s">
        <v>1358</v>
      </c>
      <c r="J443" t="s">
        <v>1358</v>
      </c>
      <c r="K443" t="s">
        <v>1358</v>
      </c>
      <c r="L443" t="s">
        <v>1358</v>
      </c>
      <c r="N443" t="s">
        <v>9932</v>
      </c>
    </row>
    <row r="444" spans="1:14">
      <c r="H444" t="s">
        <v>8565</v>
      </c>
      <c r="I444" t="s">
        <v>1358</v>
      </c>
      <c r="J444" t="s">
        <v>1358</v>
      </c>
      <c r="K444" t="s">
        <v>1358</v>
      </c>
      <c r="L444" t="s">
        <v>1358</v>
      </c>
      <c r="N444" t="s">
        <v>9932</v>
      </c>
    </row>
    <row r="445" spans="1:14">
      <c r="H445" t="s">
        <v>8566</v>
      </c>
      <c r="I445" t="s">
        <v>1358</v>
      </c>
      <c r="J445" t="s">
        <v>1358</v>
      </c>
      <c r="K445" t="s">
        <v>1358</v>
      </c>
      <c r="L445" t="s">
        <v>1358</v>
      </c>
      <c r="N445" t="s">
        <v>9932</v>
      </c>
    </row>
    <row r="446" spans="1:14">
      <c r="A446" t="s">
        <v>6157</v>
      </c>
      <c r="B446">
        <f>HYPERLINK("https://github.com/pmd/pmd/commit/3c3df6372fb788418211598ee36e40f0c91c361f", "3c3df6372fb788418211598ee36e40f0c91c361f")</f>
        <v>0</v>
      </c>
      <c r="C446">
        <f>HYPERLINK("https://github.com/pmd/pmd/commit/273b63f5ac02bb26a55eb77e0e84d73aa07402e7", "273b63f5ac02bb26a55eb77e0e84d73aa07402e7")</f>
        <v>0</v>
      </c>
      <c r="D446" t="s">
        <v>6492</v>
      </c>
      <c r="E446" t="s">
        <v>6613</v>
      </c>
      <c r="F446" t="s">
        <v>7000</v>
      </c>
      <c r="G446" t="s">
        <v>7746</v>
      </c>
      <c r="H446" t="s">
        <v>8567</v>
      </c>
      <c r="I446" t="s">
        <v>1358</v>
      </c>
      <c r="J446" t="s">
        <v>1358</v>
      </c>
      <c r="K446" t="s">
        <v>1358</v>
      </c>
      <c r="L446" t="s">
        <v>1358</v>
      </c>
      <c r="N446" t="s">
        <v>9933</v>
      </c>
    </row>
    <row r="447" spans="1:14">
      <c r="H447" t="s">
        <v>8568</v>
      </c>
      <c r="I447" t="s">
        <v>1358</v>
      </c>
      <c r="J447" t="s">
        <v>1358</v>
      </c>
      <c r="K447" t="s">
        <v>1358</v>
      </c>
      <c r="L447" t="s">
        <v>1358</v>
      </c>
      <c r="N447" t="s">
        <v>9933</v>
      </c>
    </row>
    <row r="448" spans="1:14">
      <c r="H448" t="s">
        <v>8569</v>
      </c>
      <c r="I448" t="s">
        <v>1358</v>
      </c>
      <c r="J448" t="s">
        <v>1358</v>
      </c>
      <c r="K448" t="s">
        <v>1358</v>
      </c>
      <c r="L448" t="s">
        <v>1358</v>
      </c>
      <c r="N448" t="s">
        <v>9933</v>
      </c>
    </row>
    <row r="449" spans="1:14">
      <c r="H449" t="s">
        <v>8570</v>
      </c>
      <c r="I449" t="s">
        <v>1358</v>
      </c>
      <c r="J449" t="s">
        <v>1358</v>
      </c>
      <c r="K449" t="s">
        <v>1358</v>
      </c>
      <c r="L449" t="s">
        <v>1358</v>
      </c>
      <c r="N449" t="s">
        <v>9933</v>
      </c>
    </row>
    <row r="450" spans="1:14">
      <c r="H450" t="s">
        <v>8571</v>
      </c>
      <c r="I450" t="s">
        <v>1358</v>
      </c>
      <c r="J450" t="s">
        <v>1358</v>
      </c>
      <c r="K450" t="s">
        <v>1358</v>
      </c>
      <c r="L450" t="s">
        <v>1358</v>
      </c>
      <c r="N450" t="s">
        <v>9933</v>
      </c>
    </row>
    <row r="451" spans="1:14">
      <c r="H451" t="s">
        <v>8572</v>
      </c>
      <c r="I451" t="s">
        <v>1358</v>
      </c>
      <c r="J451" t="s">
        <v>1358</v>
      </c>
      <c r="K451" t="s">
        <v>1358</v>
      </c>
      <c r="L451" t="s">
        <v>1358</v>
      </c>
      <c r="N451" t="s">
        <v>9933</v>
      </c>
    </row>
    <row r="452" spans="1:14">
      <c r="A452" t="s">
        <v>6158</v>
      </c>
      <c r="B452">
        <f>HYPERLINK("https://github.com/pmd/pmd/commit/b6a44dd55d656a866cbc9bad6d07c39a52c17f9c", "b6a44dd55d656a866cbc9bad6d07c39a52c17f9c")</f>
        <v>0</v>
      </c>
      <c r="C452">
        <f>HYPERLINK("https://github.com/pmd/pmd/commit/3c3df6372fb788418211598ee36e40f0c91c361f", "3c3df6372fb788418211598ee36e40f0c91c361f")</f>
        <v>0</v>
      </c>
      <c r="D452" t="s">
        <v>6492</v>
      </c>
      <c r="E452" t="s">
        <v>6614</v>
      </c>
      <c r="F452" t="s">
        <v>6997</v>
      </c>
      <c r="G452" t="s">
        <v>7743</v>
      </c>
      <c r="H452" t="s">
        <v>8479</v>
      </c>
      <c r="I452" t="s">
        <v>1358</v>
      </c>
      <c r="J452" t="s">
        <v>1358</v>
      </c>
      <c r="K452" t="s">
        <v>1358</v>
      </c>
      <c r="L452" t="s">
        <v>1358</v>
      </c>
      <c r="N452" t="s">
        <v>9933</v>
      </c>
    </row>
    <row r="453" spans="1:14">
      <c r="H453" t="s">
        <v>8573</v>
      </c>
      <c r="I453" t="s">
        <v>1358</v>
      </c>
      <c r="J453" t="s">
        <v>1358</v>
      </c>
      <c r="K453" t="s">
        <v>1358</v>
      </c>
      <c r="L453" t="s">
        <v>1358</v>
      </c>
      <c r="N453" t="s">
        <v>9933</v>
      </c>
    </row>
    <row r="454" spans="1:14">
      <c r="H454" t="s">
        <v>8574</v>
      </c>
      <c r="I454" t="s">
        <v>1358</v>
      </c>
      <c r="J454" t="s">
        <v>1358</v>
      </c>
      <c r="K454" t="s">
        <v>1358</v>
      </c>
      <c r="L454" t="s">
        <v>1358</v>
      </c>
      <c r="N454" t="s">
        <v>9933</v>
      </c>
    </row>
    <row r="455" spans="1:14">
      <c r="H455" t="s">
        <v>8575</v>
      </c>
      <c r="I455" t="s">
        <v>1358</v>
      </c>
      <c r="J455" t="s">
        <v>1358</v>
      </c>
      <c r="K455" t="s">
        <v>1358</v>
      </c>
      <c r="L455" t="s">
        <v>1358</v>
      </c>
      <c r="N455" t="s">
        <v>9933</v>
      </c>
    </row>
    <row r="456" spans="1:14">
      <c r="H456" t="s">
        <v>8576</v>
      </c>
      <c r="I456" t="s">
        <v>1358</v>
      </c>
      <c r="J456" t="s">
        <v>1358</v>
      </c>
      <c r="K456" t="s">
        <v>1358</v>
      </c>
      <c r="L456" t="s">
        <v>1358</v>
      </c>
      <c r="N456" t="s">
        <v>9933</v>
      </c>
    </row>
    <row r="457" spans="1:14">
      <c r="H457" t="s">
        <v>8577</v>
      </c>
      <c r="I457" t="s">
        <v>1358</v>
      </c>
      <c r="J457" t="s">
        <v>1358</v>
      </c>
      <c r="K457" t="s">
        <v>1358</v>
      </c>
      <c r="L457" t="s">
        <v>1358</v>
      </c>
      <c r="N457" t="s">
        <v>9933</v>
      </c>
    </row>
    <row r="458" spans="1:14">
      <c r="A458" t="s">
        <v>6159</v>
      </c>
      <c r="B458">
        <f>HYPERLINK("https://github.com/pmd/pmd/commit/f8ba7c64c463399276df557c490f186de462f3aa", "f8ba7c64c463399276df557c490f186de462f3aa")</f>
        <v>0</v>
      </c>
      <c r="C458">
        <f>HYPERLINK("https://github.com/pmd/pmd/commit/08221e3c8043819b1957b26303b0f03fab3989bb", "08221e3c8043819b1957b26303b0f03fab3989bb")</f>
        <v>0</v>
      </c>
      <c r="D458" t="s">
        <v>6492</v>
      </c>
      <c r="E458" t="s">
        <v>6615</v>
      </c>
      <c r="F458" t="s">
        <v>7049</v>
      </c>
      <c r="G458" t="s">
        <v>7793</v>
      </c>
      <c r="H458" t="s">
        <v>8578</v>
      </c>
      <c r="I458" t="s">
        <v>1358</v>
      </c>
      <c r="J458" t="s">
        <v>1358</v>
      </c>
      <c r="K458" t="s">
        <v>1358</v>
      </c>
      <c r="L458" t="s">
        <v>1358</v>
      </c>
      <c r="N458" t="s">
        <v>9933</v>
      </c>
    </row>
    <row r="459" spans="1:14">
      <c r="H459" t="s">
        <v>8450</v>
      </c>
      <c r="I459" t="s">
        <v>1358</v>
      </c>
      <c r="J459" t="s">
        <v>1358</v>
      </c>
      <c r="K459" t="s">
        <v>1358</v>
      </c>
      <c r="L459" t="s">
        <v>1358</v>
      </c>
      <c r="N459" t="s">
        <v>9933</v>
      </c>
    </row>
    <row r="460" spans="1:14">
      <c r="H460" t="s">
        <v>8451</v>
      </c>
      <c r="I460" t="s">
        <v>1358</v>
      </c>
      <c r="J460" t="s">
        <v>1358</v>
      </c>
      <c r="K460" t="s">
        <v>1358</v>
      </c>
      <c r="L460" t="s">
        <v>1358</v>
      </c>
      <c r="N460" t="s">
        <v>9933</v>
      </c>
    </row>
    <row r="461" spans="1:14">
      <c r="H461" t="s">
        <v>8579</v>
      </c>
      <c r="I461" t="s">
        <v>1359</v>
      </c>
      <c r="J461" t="s">
        <v>1357</v>
      </c>
      <c r="K461" t="s">
        <v>1357</v>
      </c>
      <c r="L461" t="s">
        <v>1358</v>
      </c>
      <c r="N461" t="s">
        <v>9933</v>
      </c>
    </row>
    <row r="462" spans="1:14">
      <c r="F462" t="s">
        <v>7004</v>
      </c>
      <c r="G462" t="s">
        <v>7750</v>
      </c>
      <c r="H462" t="s">
        <v>8580</v>
      </c>
      <c r="I462" t="s">
        <v>1357</v>
      </c>
      <c r="J462" t="s">
        <v>1357</v>
      </c>
      <c r="K462" t="s">
        <v>1357</v>
      </c>
      <c r="L462" t="s">
        <v>1357</v>
      </c>
    </row>
    <row r="463" spans="1:14">
      <c r="A463" t="s">
        <v>6160</v>
      </c>
      <c r="B463">
        <f>HYPERLINK("https://github.com/pmd/pmd/commit/6ff6465f0828fbe2ec4bab04835ca986af1bae0f", "6ff6465f0828fbe2ec4bab04835ca986af1bae0f")</f>
        <v>0</v>
      </c>
      <c r="C463">
        <f>HYPERLINK("https://github.com/pmd/pmd/commit/86a5fbe8bf59013a964a8023ac482f3af9198232", "86a5fbe8bf59013a964a8023ac482f3af9198232")</f>
        <v>0</v>
      </c>
      <c r="D463" t="s">
        <v>6492</v>
      </c>
      <c r="E463" t="s">
        <v>6616</v>
      </c>
      <c r="F463" t="s">
        <v>7050</v>
      </c>
      <c r="G463" t="s">
        <v>7794</v>
      </c>
      <c r="H463" t="s">
        <v>3834</v>
      </c>
      <c r="I463" t="s">
        <v>1358</v>
      </c>
      <c r="J463" t="s">
        <v>1358</v>
      </c>
      <c r="K463" t="s">
        <v>1358</v>
      </c>
      <c r="L463" t="s">
        <v>1358</v>
      </c>
      <c r="N463" t="s">
        <v>9933</v>
      </c>
    </row>
    <row r="464" spans="1:14">
      <c r="H464" t="s">
        <v>3835</v>
      </c>
      <c r="I464" t="s">
        <v>1358</v>
      </c>
      <c r="J464" t="s">
        <v>1358</v>
      </c>
      <c r="K464" t="s">
        <v>1358</v>
      </c>
      <c r="L464" t="s">
        <v>1358</v>
      </c>
      <c r="N464" t="s">
        <v>9933</v>
      </c>
    </row>
    <row r="465" spans="1:14">
      <c r="H465" t="s">
        <v>3836</v>
      </c>
      <c r="I465" t="s">
        <v>1358</v>
      </c>
      <c r="J465" t="s">
        <v>1358</v>
      </c>
      <c r="K465" t="s">
        <v>1358</v>
      </c>
      <c r="L465" t="s">
        <v>1358</v>
      </c>
      <c r="N465" t="s">
        <v>9933</v>
      </c>
    </row>
    <row r="466" spans="1:14">
      <c r="A466" t="s">
        <v>6161</v>
      </c>
      <c r="B466">
        <f>HYPERLINK("https://github.com/pmd/pmd/commit/7349dda4c4e1638513db21fa3e259d40d13037a6", "7349dda4c4e1638513db21fa3e259d40d13037a6")</f>
        <v>0</v>
      </c>
      <c r="C466">
        <f>HYPERLINK("https://github.com/pmd/pmd/commit/5b6bdfbc135f2e7072159e69ec1a98bc1bc73a93", "5b6bdfbc135f2e7072159e69ec1a98bc1bc73a93")</f>
        <v>0</v>
      </c>
      <c r="D466" t="s">
        <v>6492</v>
      </c>
      <c r="E466" t="s">
        <v>6617</v>
      </c>
      <c r="F466" t="s">
        <v>7051</v>
      </c>
      <c r="G466" t="s">
        <v>7795</v>
      </c>
      <c r="H466" t="s">
        <v>8581</v>
      </c>
      <c r="I466" t="s">
        <v>1358</v>
      </c>
      <c r="J466" t="s">
        <v>1358</v>
      </c>
      <c r="K466" t="s">
        <v>1358</v>
      </c>
      <c r="L466" t="s">
        <v>1358</v>
      </c>
      <c r="N466" t="s">
        <v>9933</v>
      </c>
    </row>
    <row r="467" spans="1:14">
      <c r="H467" t="s">
        <v>8582</v>
      </c>
      <c r="I467" t="s">
        <v>1358</v>
      </c>
      <c r="J467" t="s">
        <v>1358</v>
      </c>
      <c r="K467" t="s">
        <v>1358</v>
      </c>
      <c r="L467" t="s">
        <v>1358</v>
      </c>
      <c r="N467" t="s">
        <v>9933</v>
      </c>
    </row>
    <row r="468" spans="1:14">
      <c r="H468" t="s">
        <v>8583</v>
      </c>
      <c r="I468" t="s">
        <v>1358</v>
      </c>
      <c r="J468" t="s">
        <v>1358</v>
      </c>
      <c r="K468" t="s">
        <v>1358</v>
      </c>
      <c r="L468" t="s">
        <v>1358</v>
      </c>
      <c r="N468" t="s">
        <v>9933</v>
      </c>
    </row>
    <row r="469" spans="1:14">
      <c r="H469" t="s">
        <v>8584</v>
      </c>
      <c r="I469" t="s">
        <v>1358</v>
      </c>
      <c r="J469" t="s">
        <v>1358</v>
      </c>
      <c r="K469" t="s">
        <v>1358</v>
      </c>
      <c r="L469" t="s">
        <v>1358</v>
      </c>
      <c r="N469" t="s">
        <v>9933</v>
      </c>
    </row>
    <row r="470" spans="1:14">
      <c r="A470" t="s">
        <v>6162</v>
      </c>
      <c r="B470">
        <f>HYPERLINK("https://github.com/pmd/pmd/commit/32c5ee9efdb89738ba82f70cea1a5b4d386d5c88", "32c5ee9efdb89738ba82f70cea1a5b4d386d5c88")</f>
        <v>0</v>
      </c>
      <c r="C470">
        <f>HYPERLINK("https://github.com/pmd/pmd/commit/7a00d12d046e811cc88343cb7e12aeb387964c4b", "7a00d12d046e811cc88343cb7e12aeb387964c4b")</f>
        <v>0</v>
      </c>
      <c r="D470" t="s">
        <v>6492</v>
      </c>
      <c r="E470" t="s">
        <v>6618</v>
      </c>
      <c r="F470" t="s">
        <v>7052</v>
      </c>
      <c r="G470" t="s">
        <v>7796</v>
      </c>
      <c r="H470" t="s">
        <v>8479</v>
      </c>
      <c r="I470" t="s">
        <v>1358</v>
      </c>
      <c r="J470" t="s">
        <v>1358</v>
      </c>
      <c r="K470" t="s">
        <v>1358</v>
      </c>
      <c r="L470" t="s">
        <v>1358</v>
      </c>
      <c r="N470" t="s">
        <v>9933</v>
      </c>
    </row>
    <row r="471" spans="1:14">
      <c r="H471" t="s">
        <v>8518</v>
      </c>
      <c r="I471" t="s">
        <v>1358</v>
      </c>
      <c r="J471" t="s">
        <v>1358</v>
      </c>
      <c r="K471" t="s">
        <v>1358</v>
      </c>
      <c r="L471" t="s">
        <v>1358</v>
      </c>
      <c r="N471" t="s">
        <v>9933</v>
      </c>
    </row>
    <row r="472" spans="1:14">
      <c r="H472" t="s">
        <v>8585</v>
      </c>
      <c r="I472" t="s">
        <v>1358</v>
      </c>
      <c r="J472" t="s">
        <v>1358</v>
      </c>
      <c r="K472" t="s">
        <v>1358</v>
      </c>
      <c r="L472" t="s">
        <v>1358</v>
      </c>
      <c r="N472" t="s">
        <v>9933</v>
      </c>
    </row>
    <row r="473" spans="1:14">
      <c r="H473" t="s">
        <v>8586</v>
      </c>
      <c r="I473" t="s">
        <v>1358</v>
      </c>
      <c r="J473" t="s">
        <v>1358</v>
      </c>
      <c r="K473" t="s">
        <v>1358</v>
      </c>
      <c r="L473" t="s">
        <v>1358</v>
      </c>
      <c r="N473" t="s">
        <v>9933</v>
      </c>
    </row>
    <row r="474" spans="1:14">
      <c r="A474" t="s">
        <v>6163</v>
      </c>
      <c r="B474">
        <f>HYPERLINK("https://github.com/pmd/pmd/commit/edd6ecb613cef30d63d55879fef8a64442e79593", "edd6ecb613cef30d63d55879fef8a64442e79593")</f>
        <v>0</v>
      </c>
      <c r="C474">
        <f>HYPERLINK("https://github.com/pmd/pmd/commit/637c381ead830e189d31cd64633626137a6821d8", "637c381ead830e189d31cd64633626137a6821d8")</f>
        <v>0</v>
      </c>
      <c r="D474" t="s">
        <v>6492</v>
      </c>
      <c r="E474" t="s">
        <v>6619</v>
      </c>
      <c r="F474" t="s">
        <v>7053</v>
      </c>
      <c r="G474" t="s">
        <v>7797</v>
      </c>
      <c r="H474" t="s">
        <v>8587</v>
      </c>
      <c r="I474" t="s">
        <v>1357</v>
      </c>
      <c r="J474" t="s">
        <v>1357</v>
      </c>
      <c r="K474" t="s">
        <v>1357</v>
      </c>
      <c r="L474" t="s">
        <v>1357</v>
      </c>
    </row>
    <row r="475" spans="1:14">
      <c r="H475" t="s">
        <v>3834</v>
      </c>
      <c r="I475" t="s">
        <v>1357</v>
      </c>
      <c r="J475" t="s">
        <v>1357</v>
      </c>
      <c r="K475" t="s">
        <v>1357</v>
      </c>
      <c r="L475" t="s">
        <v>1357</v>
      </c>
      <c r="M475" t="s">
        <v>1360</v>
      </c>
      <c r="N475" t="s">
        <v>1360</v>
      </c>
    </row>
    <row r="476" spans="1:14">
      <c r="F476" t="s">
        <v>7054</v>
      </c>
      <c r="G476" t="s">
        <v>7798</v>
      </c>
      <c r="H476" t="s">
        <v>8588</v>
      </c>
      <c r="I476" t="s">
        <v>1357</v>
      </c>
      <c r="J476" t="s">
        <v>1357</v>
      </c>
      <c r="K476" t="s">
        <v>1357</v>
      </c>
      <c r="L476" t="s">
        <v>1357</v>
      </c>
    </row>
    <row r="477" spans="1:14">
      <c r="A477" t="s">
        <v>6164</v>
      </c>
      <c r="B477">
        <f>HYPERLINK("https://github.com/pmd/pmd/commit/d9cae7a357742084be8d5ddb2f3f599cc89f0786", "d9cae7a357742084be8d5ddb2f3f599cc89f0786")</f>
        <v>0</v>
      </c>
      <c r="C477">
        <f>HYPERLINK("https://github.com/pmd/pmd/commit/233c887c3b60747022f8b5d6aff4cf7623bf16af", "233c887c3b60747022f8b5d6aff4cf7623bf16af")</f>
        <v>0</v>
      </c>
      <c r="D477" t="s">
        <v>6492</v>
      </c>
      <c r="E477" t="s">
        <v>6620</v>
      </c>
      <c r="F477" t="s">
        <v>7053</v>
      </c>
      <c r="G477" t="s">
        <v>7797</v>
      </c>
      <c r="H477" t="s">
        <v>8589</v>
      </c>
      <c r="I477" t="s">
        <v>1357</v>
      </c>
      <c r="J477" t="s">
        <v>1357</v>
      </c>
      <c r="K477" t="s">
        <v>1357</v>
      </c>
      <c r="L477" t="s">
        <v>1357</v>
      </c>
    </row>
    <row r="478" spans="1:14">
      <c r="H478" t="s">
        <v>8590</v>
      </c>
      <c r="I478" t="s">
        <v>1357</v>
      </c>
      <c r="J478" t="s">
        <v>1357</v>
      </c>
      <c r="K478" t="s">
        <v>1357</v>
      </c>
      <c r="L478" t="s">
        <v>1357</v>
      </c>
    </row>
    <row r="479" spans="1:14">
      <c r="H479" t="s">
        <v>8591</v>
      </c>
      <c r="I479" t="s">
        <v>1357</v>
      </c>
      <c r="J479" t="s">
        <v>1357</v>
      </c>
      <c r="K479" t="s">
        <v>1357</v>
      </c>
      <c r="L479" t="s">
        <v>1357</v>
      </c>
    </row>
    <row r="480" spans="1:14">
      <c r="A480" t="s">
        <v>6165</v>
      </c>
      <c r="B480">
        <f>HYPERLINK("https://github.com/pmd/pmd/commit/b60b81a56d1ce90067bbcf07781ae608aace7110", "b60b81a56d1ce90067bbcf07781ae608aace7110")</f>
        <v>0</v>
      </c>
      <c r="C480">
        <f>HYPERLINK("https://github.com/pmd/pmd/commit/fd88c9a96a9b7c4aa19dc9aaa28a55a76852fc59", "fd88c9a96a9b7c4aa19dc9aaa28a55a76852fc59")</f>
        <v>0</v>
      </c>
      <c r="D480" t="s">
        <v>6492</v>
      </c>
      <c r="E480" t="s">
        <v>6621</v>
      </c>
      <c r="F480" t="s">
        <v>7055</v>
      </c>
      <c r="G480" t="s">
        <v>7799</v>
      </c>
      <c r="H480" t="s">
        <v>8479</v>
      </c>
      <c r="I480" t="s">
        <v>1357</v>
      </c>
      <c r="J480" t="s">
        <v>1357</v>
      </c>
      <c r="K480" t="s">
        <v>1357</v>
      </c>
      <c r="L480" t="s">
        <v>1357</v>
      </c>
    </row>
    <row r="481" spans="1:14">
      <c r="A481" t="s">
        <v>6166</v>
      </c>
      <c r="B481">
        <f>HYPERLINK("https://github.com/pmd/pmd/commit/8fcd62ceec7cf59e494eb4bafc8139d73aacdd95", "8fcd62ceec7cf59e494eb4bafc8139d73aacdd95")</f>
        <v>0</v>
      </c>
      <c r="C481">
        <f>HYPERLINK("https://github.com/pmd/pmd/commit/e4774a65a723ce5838947c64d6b85dbe8532aeda", "e4774a65a723ce5838947c64d6b85dbe8532aeda")</f>
        <v>0</v>
      </c>
      <c r="D481" t="s">
        <v>6492</v>
      </c>
      <c r="E481" t="s">
        <v>6622</v>
      </c>
      <c r="F481" t="s">
        <v>7004</v>
      </c>
      <c r="G481" t="s">
        <v>7750</v>
      </c>
      <c r="H481" t="s">
        <v>8592</v>
      </c>
      <c r="I481" t="s">
        <v>1357</v>
      </c>
      <c r="J481" t="s">
        <v>1357</v>
      </c>
      <c r="K481" t="s">
        <v>1357</v>
      </c>
      <c r="L481" t="s">
        <v>1357</v>
      </c>
    </row>
    <row r="482" spans="1:14">
      <c r="H482" t="s">
        <v>8593</v>
      </c>
      <c r="I482" t="s">
        <v>1357</v>
      </c>
      <c r="J482" t="s">
        <v>1357</v>
      </c>
      <c r="K482" t="s">
        <v>1357</v>
      </c>
      <c r="L482" t="s">
        <v>1357</v>
      </c>
    </row>
    <row r="483" spans="1:14">
      <c r="A483" t="s">
        <v>6167</v>
      </c>
      <c r="B483">
        <f>HYPERLINK("https://github.com/pmd/pmd/commit/abc1843fcadf004d7a891acc6a161056f0c9b967", "abc1843fcadf004d7a891acc6a161056f0c9b967")</f>
        <v>0</v>
      </c>
      <c r="C483">
        <f>HYPERLINK("https://github.com/pmd/pmd/commit/9fd9b84f32803021b24cfdaa65d95e9a494cb48b", "9fd9b84f32803021b24cfdaa65d95e9a494cb48b")</f>
        <v>0</v>
      </c>
      <c r="D483" t="s">
        <v>6492</v>
      </c>
      <c r="E483" t="s">
        <v>6623</v>
      </c>
      <c r="F483" t="s">
        <v>7047</v>
      </c>
      <c r="G483" t="s">
        <v>7792</v>
      </c>
      <c r="H483" t="s">
        <v>8594</v>
      </c>
      <c r="I483" t="s">
        <v>1358</v>
      </c>
      <c r="J483" t="s">
        <v>1358</v>
      </c>
      <c r="K483" t="s">
        <v>1358</v>
      </c>
      <c r="L483" t="s">
        <v>1358</v>
      </c>
    </row>
    <row r="484" spans="1:14">
      <c r="H484" t="s">
        <v>8595</v>
      </c>
      <c r="I484" t="s">
        <v>1358</v>
      </c>
      <c r="J484" t="s">
        <v>1358</v>
      </c>
      <c r="K484" t="s">
        <v>1358</v>
      </c>
      <c r="L484" t="s">
        <v>1358</v>
      </c>
    </row>
    <row r="485" spans="1:14">
      <c r="H485" t="s">
        <v>8596</v>
      </c>
      <c r="I485" t="s">
        <v>1358</v>
      </c>
      <c r="J485" t="s">
        <v>1358</v>
      </c>
      <c r="K485" t="s">
        <v>1358</v>
      </c>
      <c r="L485" t="s">
        <v>1358</v>
      </c>
    </row>
    <row r="486" spans="1:14">
      <c r="H486" t="s">
        <v>8597</v>
      </c>
      <c r="I486" t="s">
        <v>1358</v>
      </c>
      <c r="J486" t="s">
        <v>1358</v>
      </c>
      <c r="K486" t="s">
        <v>1358</v>
      </c>
      <c r="L486" t="s">
        <v>1358</v>
      </c>
    </row>
    <row r="487" spans="1:14">
      <c r="H487" t="s">
        <v>8598</v>
      </c>
      <c r="I487" t="s">
        <v>1358</v>
      </c>
      <c r="J487" t="s">
        <v>1358</v>
      </c>
      <c r="K487" t="s">
        <v>1358</v>
      </c>
      <c r="L487" t="s">
        <v>1358</v>
      </c>
    </row>
    <row r="488" spans="1:14">
      <c r="A488" t="s">
        <v>6168</v>
      </c>
      <c r="B488">
        <f>HYPERLINK("https://github.com/pmd/pmd/commit/5147d5cf5d6683150d4fce2d3502ddedc72a4411", "5147d5cf5d6683150d4fce2d3502ddedc72a4411")</f>
        <v>0</v>
      </c>
      <c r="C488">
        <f>HYPERLINK("https://github.com/pmd/pmd/commit/3a61690fa16c3d3e40b39f2622fa1e9b9ffc33c8", "3a61690fa16c3d3e40b39f2622fa1e9b9ffc33c8")</f>
        <v>0</v>
      </c>
      <c r="D488" t="s">
        <v>6492</v>
      </c>
      <c r="E488" t="s">
        <v>6624</v>
      </c>
      <c r="F488" t="s">
        <v>7056</v>
      </c>
      <c r="G488" t="s">
        <v>7800</v>
      </c>
      <c r="H488" t="s">
        <v>8599</v>
      </c>
      <c r="I488" t="s">
        <v>1357</v>
      </c>
      <c r="J488" t="s">
        <v>1357</v>
      </c>
      <c r="K488" t="s">
        <v>1357</v>
      </c>
      <c r="L488" t="s">
        <v>1357</v>
      </c>
    </row>
    <row r="489" spans="1:14">
      <c r="H489" t="s">
        <v>8600</v>
      </c>
      <c r="I489" t="s">
        <v>1357</v>
      </c>
      <c r="J489" t="s">
        <v>1357</v>
      </c>
      <c r="K489" t="s">
        <v>1357</v>
      </c>
      <c r="L489" t="s">
        <v>1357</v>
      </c>
    </row>
    <row r="490" spans="1:14">
      <c r="A490" t="s">
        <v>6169</v>
      </c>
      <c r="B490">
        <f>HYPERLINK("https://github.com/pmd/pmd/commit/a41858f2f83d7c241cdcc894185adcc62828e1fb", "a41858f2f83d7c241cdcc894185adcc62828e1fb")</f>
        <v>0</v>
      </c>
      <c r="C490">
        <f>HYPERLINK("https://github.com/pmd/pmd/commit/9d1af2b7a522ed0f2d7ef93adec2d97ca3ab3b2f", "9d1af2b7a522ed0f2d7ef93adec2d97ca3ab3b2f")</f>
        <v>0</v>
      </c>
      <c r="D490" t="s">
        <v>6492</v>
      </c>
      <c r="E490" t="s">
        <v>6625</v>
      </c>
      <c r="F490" t="s">
        <v>7057</v>
      </c>
      <c r="G490" t="s">
        <v>7801</v>
      </c>
      <c r="H490" t="s">
        <v>8601</v>
      </c>
      <c r="I490" t="s">
        <v>1357</v>
      </c>
      <c r="J490" t="s">
        <v>1357</v>
      </c>
      <c r="K490" t="s">
        <v>1357</v>
      </c>
      <c r="L490" t="s">
        <v>1357</v>
      </c>
    </row>
    <row r="491" spans="1:14">
      <c r="A491" t="s">
        <v>6170</v>
      </c>
      <c r="B491">
        <f>HYPERLINK("https://github.com/pmd/pmd/commit/a7e0bc028c89fe4a53fb0764133fc8a834a40f16", "a7e0bc028c89fe4a53fb0764133fc8a834a40f16")</f>
        <v>0</v>
      </c>
      <c r="C491">
        <f>HYPERLINK("https://github.com/pmd/pmd/commit/bbef427372443a74f26435be578ea3b591a105fb", "bbef427372443a74f26435be578ea3b591a105fb")</f>
        <v>0</v>
      </c>
      <c r="D491" t="s">
        <v>6492</v>
      </c>
      <c r="E491" t="s">
        <v>6626</v>
      </c>
      <c r="F491" t="s">
        <v>6956</v>
      </c>
      <c r="G491" t="s">
        <v>7703</v>
      </c>
      <c r="H491" t="s">
        <v>8373</v>
      </c>
      <c r="I491" t="s">
        <v>1357</v>
      </c>
      <c r="J491" t="s">
        <v>1357</v>
      </c>
      <c r="K491" t="s">
        <v>1357</v>
      </c>
      <c r="L491" t="s">
        <v>1357</v>
      </c>
    </row>
    <row r="492" spans="1:14">
      <c r="H492" t="s">
        <v>8374</v>
      </c>
      <c r="I492" t="s">
        <v>1357</v>
      </c>
      <c r="J492" t="s">
        <v>1357</v>
      </c>
      <c r="K492" t="s">
        <v>1357</v>
      </c>
      <c r="L492" t="s">
        <v>1357</v>
      </c>
    </row>
    <row r="493" spans="1:14">
      <c r="A493" t="s">
        <v>6171</v>
      </c>
      <c r="B493">
        <f>HYPERLINK("https://github.com/pmd/pmd/commit/538c94e77f9158ca084b2f4e8acd2b9c3837f151", "538c94e77f9158ca084b2f4e8acd2b9c3837f151")</f>
        <v>0</v>
      </c>
      <c r="C493">
        <f>HYPERLINK("https://github.com/pmd/pmd/commit/b5731b6858c6bb508f70b7b8f2ad3951442fdf4f", "b5731b6858c6bb508f70b7b8f2ad3951442fdf4f")</f>
        <v>0</v>
      </c>
      <c r="D493" t="s">
        <v>6492</v>
      </c>
      <c r="E493" t="s">
        <v>6627</v>
      </c>
      <c r="F493" t="s">
        <v>7058</v>
      </c>
      <c r="G493" t="s">
        <v>7802</v>
      </c>
      <c r="H493" t="s">
        <v>4574</v>
      </c>
      <c r="I493" t="s">
        <v>1357</v>
      </c>
      <c r="J493" t="s">
        <v>1357</v>
      </c>
      <c r="K493" t="s">
        <v>1357</v>
      </c>
      <c r="L493" t="s">
        <v>1357</v>
      </c>
    </row>
    <row r="494" spans="1:14">
      <c r="H494" t="s">
        <v>8602</v>
      </c>
      <c r="I494" t="s">
        <v>1357</v>
      </c>
      <c r="J494" t="s">
        <v>1357</v>
      </c>
      <c r="K494" t="s">
        <v>1357</v>
      </c>
      <c r="L494" t="s">
        <v>1357</v>
      </c>
    </row>
    <row r="495" spans="1:14">
      <c r="H495" t="s">
        <v>3303</v>
      </c>
      <c r="I495" t="s">
        <v>1357</v>
      </c>
      <c r="J495" t="s">
        <v>1357</v>
      </c>
      <c r="K495" t="s">
        <v>1357</v>
      </c>
      <c r="L495" t="s">
        <v>1357</v>
      </c>
    </row>
    <row r="496" spans="1:14">
      <c r="A496" t="s">
        <v>6172</v>
      </c>
      <c r="B496">
        <f>HYPERLINK("https://github.com/pmd/pmd/commit/648f87f362021d4c722a72bba4e17f0b9c16e801", "648f87f362021d4c722a72bba4e17f0b9c16e801")</f>
        <v>0</v>
      </c>
      <c r="C496">
        <f>HYPERLINK("https://github.com/pmd/pmd/commit/527d3eda15f3844305fd141d4f13202bce074cb1", "527d3eda15f3844305fd141d4f13202bce074cb1")</f>
        <v>0</v>
      </c>
      <c r="D496" t="s">
        <v>6492</v>
      </c>
      <c r="E496" t="s">
        <v>6628</v>
      </c>
      <c r="F496" t="s">
        <v>7059</v>
      </c>
      <c r="G496" t="s">
        <v>7803</v>
      </c>
      <c r="H496" t="s">
        <v>8603</v>
      </c>
      <c r="I496" t="s">
        <v>1357</v>
      </c>
      <c r="J496" t="s">
        <v>1357</v>
      </c>
      <c r="K496" t="s">
        <v>1357</v>
      </c>
      <c r="L496" t="s">
        <v>1357</v>
      </c>
      <c r="N496" t="s">
        <v>9934</v>
      </c>
    </row>
    <row r="497" spans="1:14">
      <c r="H497" t="s">
        <v>8604</v>
      </c>
      <c r="I497" t="s">
        <v>1357</v>
      </c>
      <c r="J497" t="s">
        <v>1357</v>
      </c>
      <c r="K497" t="s">
        <v>1357</v>
      </c>
      <c r="L497" t="s">
        <v>1357</v>
      </c>
      <c r="N497" t="s">
        <v>9934</v>
      </c>
    </row>
    <row r="498" spans="1:14">
      <c r="H498" t="s">
        <v>8605</v>
      </c>
      <c r="I498" t="s">
        <v>1357</v>
      </c>
      <c r="J498" t="s">
        <v>1357</v>
      </c>
      <c r="K498" t="s">
        <v>1357</v>
      </c>
      <c r="L498" t="s">
        <v>1357</v>
      </c>
      <c r="N498" t="s">
        <v>9934</v>
      </c>
    </row>
    <row r="499" spans="1:14">
      <c r="H499" t="s">
        <v>8606</v>
      </c>
      <c r="I499" t="s">
        <v>1357</v>
      </c>
      <c r="J499" t="s">
        <v>1357</v>
      </c>
      <c r="K499" t="s">
        <v>1357</v>
      </c>
      <c r="L499" t="s">
        <v>1357</v>
      </c>
      <c r="N499" t="s">
        <v>9934</v>
      </c>
    </row>
    <row r="500" spans="1:14">
      <c r="H500" t="s">
        <v>8607</v>
      </c>
      <c r="I500" t="s">
        <v>1357</v>
      </c>
      <c r="J500" t="s">
        <v>1357</v>
      </c>
      <c r="K500" t="s">
        <v>1357</v>
      </c>
      <c r="L500" t="s">
        <v>1357</v>
      </c>
      <c r="N500" t="s">
        <v>9934</v>
      </c>
    </row>
    <row r="501" spans="1:14">
      <c r="H501" t="s">
        <v>8608</v>
      </c>
      <c r="I501" t="s">
        <v>1357</v>
      </c>
      <c r="J501" t="s">
        <v>1357</v>
      </c>
      <c r="K501" t="s">
        <v>1357</v>
      </c>
      <c r="L501" t="s">
        <v>1357</v>
      </c>
      <c r="N501" t="s">
        <v>9934</v>
      </c>
    </row>
    <row r="502" spans="1:14">
      <c r="H502" t="s">
        <v>8609</v>
      </c>
      <c r="I502" t="s">
        <v>1357</v>
      </c>
      <c r="J502" t="s">
        <v>1357</v>
      </c>
      <c r="K502" t="s">
        <v>1357</v>
      </c>
      <c r="L502" t="s">
        <v>1357</v>
      </c>
      <c r="N502" t="s">
        <v>9934</v>
      </c>
    </row>
    <row r="503" spans="1:14">
      <c r="H503" t="s">
        <v>8610</v>
      </c>
      <c r="I503" t="s">
        <v>1357</v>
      </c>
      <c r="J503" t="s">
        <v>1357</v>
      </c>
      <c r="K503" t="s">
        <v>1357</v>
      </c>
      <c r="L503" t="s">
        <v>1357</v>
      </c>
      <c r="N503" t="s">
        <v>9934</v>
      </c>
    </row>
    <row r="504" spans="1:14">
      <c r="H504" t="s">
        <v>8611</v>
      </c>
      <c r="I504" t="s">
        <v>1357</v>
      </c>
      <c r="J504" t="s">
        <v>1357</v>
      </c>
      <c r="K504" t="s">
        <v>1357</v>
      </c>
      <c r="L504" t="s">
        <v>1357</v>
      </c>
      <c r="N504" t="s">
        <v>9934</v>
      </c>
    </row>
    <row r="505" spans="1:14">
      <c r="H505" t="s">
        <v>8612</v>
      </c>
      <c r="I505" t="s">
        <v>1357</v>
      </c>
      <c r="J505" t="s">
        <v>1357</v>
      </c>
      <c r="K505" t="s">
        <v>1357</v>
      </c>
      <c r="L505" t="s">
        <v>1357</v>
      </c>
      <c r="N505" t="s">
        <v>9934</v>
      </c>
    </row>
    <row r="506" spans="1:14">
      <c r="H506" t="s">
        <v>8613</v>
      </c>
      <c r="I506" t="s">
        <v>1357</v>
      </c>
      <c r="J506" t="s">
        <v>1357</v>
      </c>
      <c r="K506" t="s">
        <v>1357</v>
      </c>
      <c r="L506" t="s">
        <v>1357</v>
      </c>
      <c r="N506" t="s">
        <v>9934</v>
      </c>
    </row>
    <row r="507" spans="1:14">
      <c r="F507" t="s">
        <v>7060</v>
      </c>
      <c r="G507" t="s">
        <v>7742</v>
      </c>
      <c r="H507" t="s">
        <v>8614</v>
      </c>
      <c r="I507" t="s">
        <v>1358</v>
      </c>
      <c r="J507" t="s">
        <v>1358</v>
      </c>
      <c r="K507" t="s">
        <v>1358</v>
      </c>
      <c r="L507" t="s">
        <v>1358</v>
      </c>
      <c r="N507" t="s">
        <v>9933</v>
      </c>
    </row>
    <row r="508" spans="1:14">
      <c r="H508" t="s">
        <v>8615</v>
      </c>
      <c r="I508" t="s">
        <v>1358</v>
      </c>
      <c r="J508" t="s">
        <v>1358</v>
      </c>
      <c r="K508" t="s">
        <v>1358</v>
      </c>
      <c r="L508" t="s">
        <v>1358</v>
      </c>
      <c r="N508" t="s">
        <v>9933</v>
      </c>
    </row>
    <row r="509" spans="1:14">
      <c r="H509" t="s">
        <v>8616</v>
      </c>
      <c r="I509" t="s">
        <v>1358</v>
      </c>
      <c r="J509" t="s">
        <v>1358</v>
      </c>
      <c r="K509" t="s">
        <v>1358</v>
      </c>
      <c r="L509" t="s">
        <v>1358</v>
      </c>
      <c r="N509" t="s">
        <v>9933</v>
      </c>
    </row>
    <row r="510" spans="1:14">
      <c r="H510" t="s">
        <v>8617</v>
      </c>
      <c r="I510" t="s">
        <v>1358</v>
      </c>
      <c r="J510" t="s">
        <v>1358</v>
      </c>
      <c r="K510" t="s">
        <v>1358</v>
      </c>
      <c r="L510" t="s">
        <v>1358</v>
      </c>
      <c r="N510" t="s">
        <v>9933</v>
      </c>
    </row>
    <row r="511" spans="1:14">
      <c r="H511" t="s">
        <v>8618</v>
      </c>
      <c r="I511" t="s">
        <v>1358</v>
      </c>
      <c r="J511" t="s">
        <v>1358</v>
      </c>
      <c r="K511" t="s">
        <v>1358</v>
      </c>
      <c r="L511" t="s">
        <v>1358</v>
      </c>
      <c r="N511" t="s">
        <v>9933</v>
      </c>
    </row>
    <row r="512" spans="1:14">
      <c r="A512" t="s">
        <v>6173</v>
      </c>
      <c r="B512">
        <f>HYPERLINK("https://github.com/pmd/pmd/commit/c4d09ab9beb6320ed5de19f7c716bb9586751e51", "c4d09ab9beb6320ed5de19f7c716bb9586751e51")</f>
        <v>0</v>
      </c>
      <c r="C512">
        <f>HYPERLINK("https://github.com/pmd/pmd/commit/39aa949aed3cb1356f4a53e2537283d18f1427e6", "39aa949aed3cb1356f4a53e2537283d18f1427e6")</f>
        <v>0</v>
      </c>
      <c r="D512" t="s">
        <v>6492</v>
      </c>
      <c r="E512" t="s">
        <v>6629</v>
      </c>
      <c r="F512" t="s">
        <v>7061</v>
      </c>
      <c r="G512" t="s">
        <v>7804</v>
      </c>
      <c r="H512" t="s">
        <v>8619</v>
      </c>
      <c r="I512" t="s">
        <v>1357</v>
      </c>
      <c r="J512" t="s">
        <v>1357</v>
      </c>
      <c r="K512" t="s">
        <v>1357</v>
      </c>
      <c r="L512" t="s">
        <v>1357</v>
      </c>
    </row>
    <row r="513" spans="1:14">
      <c r="H513" t="s">
        <v>8620</v>
      </c>
      <c r="I513" t="s">
        <v>1357</v>
      </c>
      <c r="J513" t="s">
        <v>1357</v>
      </c>
      <c r="K513" t="s">
        <v>1357</v>
      </c>
      <c r="L513" t="s">
        <v>1357</v>
      </c>
    </row>
    <row r="514" spans="1:14">
      <c r="A514" t="s">
        <v>6174</v>
      </c>
      <c r="B514">
        <f>HYPERLINK("https://github.com/pmd/pmd/commit/4107534e5c32869e6edc5437ee9c3b02a062e4f5", "4107534e5c32869e6edc5437ee9c3b02a062e4f5")</f>
        <v>0</v>
      </c>
      <c r="C514">
        <f>HYPERLINK("https://github.com/pmd/pmd/commit/78ca7ab6641d512b036686c1dc89aa2d8d1bd780", "78ca7ab6641d512b036686c1dc89aa2d8d1bd780")</f>
        <v>0</v>
      </c>
      <c r="D514" t="s">
        <v>6492</v>
      </c>
      <c r="E514" t="s">
        <v>6630</v>
      </c>
      <c r="F514" t="s">
        <v>6991</v>
      </c>
      <c r="G514" t="s">
        <v>7737</v>
      </c>
      <c r="H514" t="s">
        <v>795</v>
      </c>
      <c r="I514" t="s">
        <v>1357</v>
      </c>
      <c r="J514" t="s">
        <v>1357</v>
      </c>
      <c r="K514" t="s">
        <v>1357</v>
      </c>
      <c r="L514" t="s">
        <v>1357</v>
      </c>
    </row>
    <row r="515" spans="1:14">
      <c r="A515" t="s">
        <v>6175</v>
      </c>
      <c r="B515">
        <f>HYPERLINK("https://github.com/pmd/pmd/commit/e80bceefd464742250a42b3b974228283533e676", "e80bceefd464742250a42b3b974228283533e676")</f>
        <v>0</v>
      </c>
      <c r="C515">
        <f>HYPERLINK("https://github.com/pmd/pmd/commit/058ddd055876f2bc71b4ee858cc3a0f4308cbf6e", "058ddd055876f2bc71b4ee858cc3a0f4308cbf6e")</f>
        <v>0</v>
      </c>
      <c r="D515" t="s">
        <v>6492</v>
      </c>
      <c r="E515" t="s">
        <v>6631</v>
      </c>
      <c r="F515" t="s">
        <v>7062</v>
      </c>
      <c r="G515" t="s">
        <v>7805</v>
      </c>
      <c r="H515" t="s">
        <v>8621</v>
      </c>
      <c r="I515" t="s">
        <v>1358</v>
      </c>
      <c r="J515" t="s">
        <v>1358</v>
      </c>
      <c r="K515" t="s">
        <v>1358</v>
      </c>
      <c r="L515" t="s">
        <v>1358</v>
      </c>
      <c r="N515" t="s">
        <v>9933</v>
      </c>
    </row>
    <row r="516" spans="1:14">
      <c r="H516" t="s">
        <v>8622</v>
      </c>
      <c r="I516" t="s">
        <v>1358</v>
      </c>
      <c r="J516" t="s">
        <v>1358</v>
      </c>
      <c r="K516" t="s">
        <v>1358</v>
      </c>
      <c r="L516" t="s">
        <v>1358</v>
      </c>
      <c r="N516" t="s">
        <v>9933</v>
      </c>
    </row>
    <row r="517" spans="1:14">
      <c r="H517" t="s">
        <v>8623</v>
      </c>
      <c r="I517" t="s">
        <v>1358</v>
      </c>
      <c r="J517" t="s">
        <v>1358</v>
      </c>
      <c r="K517" t="s">
        <v>1358</v>
      </c>
      <c r="L517" t="s">
        <v>1358</v>
      </c>
      <c r="N517" t="s">
        <v>9933</v>
      </c>
    </row>
    <row r="518" spans="1:14">
      <c r="A518" t="s">
        <v>6176</v>
      </c>
      <c r="B518">
        <f>HYPERLINK("https://github.com/pmd/pmd/commit/bc9af74eed404a130296f1eeadb7b6644647ecd0", "bc9af74eed404a130296f1eeadb7b6644647ecd0")</f>
        <v>0</v>
      </c>
      <c r="C518">
        <f>HYPERLINK("https://github.com/pmd/pmd/commit/34ef382e64cbc789867c2740286547be1bcb719f", "34ef382e64cbc789867c2740286547be1bcb719f")</f>
        <v>0</v>
      </c>
      <c r="D518" t="s">
        <v>6492</v>
      </c>
      <c r="E518" t="s">
        <v>6632</v>
      </c>
      <c r="F518" t="s">
        <v>7063</v>
      </c>
      <c r="G518" t="s">
        <v>7806</v>
      </c>
      <c r="H518" t="s">
        <v>8624</v>
      </c>
      <c r="I518" t="s">
        <v>1358</v>
      </c>
      <c r="J518" t="s">
        <v>1358</v>
      </c>
      <c r="K518" t="s">
        <v>1358</v>
      </c>
      <c r="L518" t="s">
        <v>1358</v>
      </c>
      <c r="N518" t="s">
        <v>9933</v>
      </c>
    </row>
    <row r="519" spans="1:14">
      <c r="H519" t="s">
        <v>8625</v>
      </c>
      <c r="I519" t="s">
        <v>1358</v>
      </c>
      <c r="J519" t="s">
        <v>1358</v>
      </c>
      <c r="K519" t="s">
        <v>1358</v>
      </c>
      <c r="L519" t="s">
        <v>1358</v>
      </c>
      <c r="N519" t="s">
        <v>9933</v>
      </c>
    </row>
    <row r="520" spans="1:14">
      <c r="H520" t="s">
        <v>8518</v>
      </c>
      <c r="I520" t="s">
        <v>1358</v>
      </c>
      <c r="J520" t="s">
        <v>1358</v>
      </c>
      <c r="K520" t="s">
        <v>1358</v>
      </c>
      <c r="L520" t="s">
        <v>1358</v>
      </c>
      <c r="N520" t="s">
        <v>9933</v>
      </c>
    </row>
    <row r="521" spans="1:14">
      <c r="A521" t="s">
        <v>6177</v>
      </c>
      <c r="B521">
        <f>HYPERLINK("https://github.com/pmd/pmd/commit/74ec9cedf61c4a9f9bd4497bb7ce2b769230bbf5", "74ec9cedf61c4a9f9bd4497bb7ce2b769230bbf5")</f>
        <v>0</v>
      </c>
      <c r="C521">
        <f>HYPERLINK("https://github.com/pmd/pmd/commit/08191232842fd67737d302facddde372a7e2f721", "08191232842fd67737d302facddde372a7e2f721")</f>
        <v>0</v>
      </c>
      <c r="D521" t="s">
        <v>6492</v>
      </c>
      <c r="E521" t="s">
        <v>6633</v>
      </c>
      <c r="F521" t="s">
        <v>7064</v>
      </c>
      <c r="G521" t="s">
        <v>7807</v>
      </c>
      <c r="H521" t="s">
        <v>3955</v>
      </c>
      <c r="I521" t="s">
        <v>1357</v>
      </c>
      <c r="J521" t="s">
        <v>1357</v>
      </c>
      <c r="K521" t="s">
        <v>1357</v>
      </c>
      <c r="L521" t="s">
        <v>1357</v>
      </c>
    </row>
    <row r="522" spans="1:14">
      <c r="A522" t="s">
        <v>6178</v>
      </c>
      <c r="B522">
        <f>HYPERLINK("https://github.com/pmd/pmd/commit/754b8f8e2e70729d138213d1476dc355aecf038b", "754b8f8e2e70729d138213d1476dc355aecf038b")</f>
        <v>0</v>
      </c>
      <c r="C522">
        <f>HYPERLINK("https://github.com/pmd/pmd/commit/f2f621342004ab009c3e3d819a61a251775b4cae", "f2f621342004ab009c3e3d819a61a251775b4cae")</f>
        <v>0</v>
      </c>
      <c r="D522" t="s">
        <v>6492</v>
      </c>
      <c r="E522" t="s">
        <v>6634</v>
      </c>
      <c r="F522" t="s">
        <v>7065</v>
      </c>
      <c r="G522" t="s">
        <v>7808</v>
      </c>
      <c r="H522" t="s">
        <v>8626</v>
      </c>
      <c r="I522" t="s">
        <v>1358</v>
      </c>
      <c r="J522" t="s">
        <v>1358</v>
      </c>
      <c r="K522" t="s">
        <v>1358</v>
      </c>
      <c r="L522" t="s">
        <v>1358</v>
      </c>
    </row>
    <row r="523" spans="1:14">
      <c r="H523" t="s">
        <v>8627</v>
      </c>
      <c r="I523" t="s">
        <v>1357</v>
      </c>
      <c r="J523" t="s">
        <v>1357</v>
      </c>
      <c r="K523" t="s">
        <v>1357</v>
      </c>
      <c r="L523" t="s">
        <v>1357</v>
      </c>
      <c r="M523" t="s">
        <v>9919</v>
      </c>
    </row>
    <row r="524" spans="1:14">
      <c r="H524" t="s">
        <v>8628</v>
      </c>
      <c r="I524" t="s">
        <v>1358</v>
      </c>
      <c r="J524" t="s">
        <v>1358</v>
      </c>
      <c r="K524" t="s">
        <v>1358</v>
      </c>
      <c r="L524" t="s">
        <v>1358</v>
      </c>
    </row>
    <row r="525" spans="1:14">
      <c r="A525" t="s">
        <v>6179</v>
      </c>
      <c r="B525">
        <f>HYPERLINK("https://github.com/pmd/pmd/commit/20fa9a83db5fdb80a071c7c92dedd3e92ea8af04", "20fa9a83db5fdb80a071c7c92dedd3e92ea8af04")</f>
        <v>0</v>
      </c>
      <c r="C525">
        <f>HYPERLINK("https://github.com/pmd/pmd/commit/296680ca92b721ff02f737d0118e63588a2337c2", "296680ca92b721ff02f737d0118e63588a2337c2")</f>
        <v>0</v>
      </c>
      <c r="D525" t="s">
        <v>6492</v>
      </c>
      <c r="E525" t="s">
        <v>6635</v>
      </c>
      <c r="F525" t="s">
        <v>6956</v>
      </c>
      <c r="G525" t="s">
        <v>7703</v>
      </c>
      <c r="H525" t="s">
        <v>795</v>
      </c>
      <c r="I525" t="s">
        <v>1359</v>
      </c>
      <c r="J525" t="s">
        <v>1357</v>
      </c>
      <c r="K525" t="s">
        <v>1358</v>
      </c>
      <c r="L525" t="s">
        <v>1357</v>
      </c>
      <c r="N525" t="s">
        <v>1371</v>
      </c>
    </row>
    <row r="526" spans="1:14">
      <c r="A526" t="s">
        <v>6180</v>
      </c>
      <c r="B526">
        <f>HYPERLINK("https://github.com/pmd/pmd/commit/2aef63e9cd598d2da1b80ccbc532fc12582014c3", "2aef63e9cd598d2da1b80ccbc532fc12582014c3")</f>
        <v>0</v>
      </c>
      <c r="C526">
        <f>HYPERLINK("https://github.com/pmd/pmd/commit/008a79cb2db05f6dd22b0ad8eaa43957fe515f1d", "008a79cb2db05f6dd22b0ad8eaa43957fe515f1d")</f>
        <v>0</v>
      </c>
      <c r="D526" t="s">
        <v>6492</v>
      </c>
      <c r="E526" t="s">
        <v>6636</v>
      </c>
      <c r="F526" t="s">
        <v>7066</v>
      </c>
      <c r="G526" t="s">
        <v>7809</v>
      </c>
      <c r="H526" t="s">
        <v>8629</v>
      </c>
      <c r="I526" t="s">
        <v>1357</v>
      </c>
      <c r="J526" t="s">
        <v>1357</v>
      </c>
      <c r="K526" t="s">
        <v>1357</v>
      </c>
      <c r="L526" t="s">
        <v>1357</v>
      </c>
      <c r="M526" t="s">
        <v>9920</v>
      </c>
    </row>
    <row r="527" spans="1:14">
      <c r="H527" t="s">
        <v>8630</v>
      </c>
      <c r="I527" t="s">
        <v>1357</v>
      </c>
      <c r="J527" t="s">
        <v>1357</v>
      </c>
      <c r="K527" t="s">
        <v>1357</v>
      </c>
      <c r="L527" t="s">
        <v>1357</v>
      </c>
      <c r="M527" t="s">
        <v>9920</v>
      </c>
    </row>
    <row r="528" spans="1:14">
      <c r="H528" t="s">
        <v>8631</v>
      </c>
      <c r="I528" t="s">
        <v>1357</v>
      </c>
      <c r="J528" t="s">
        <v>1357</v>
      </c>
      <c r="K528" t="s">
        <v>1357</v>
      </c>
      <c r="L528" t="s">
        <v>1357</v>
      </c>
      <c r="M528" t="s">
        <v>9920</v>
      </c>
    </row>
    <row r="529" spans="8:13">
      <c r="H529" t="s">
        <v>8632</v>
      </c>
      <c r="I529" t="s">
        <v>1357</v>
      </c>
      <c r="J529" t="s">
        <v>1357</v>
      </c>
      <c r="K529" t="s">
        <v>1357</v>
      </c>
      <c r="L529" t="s">
        <v>1357</v>
      </c>
      <c r="M529" t="s">
        <v>9920</v>
      </c>
    </row>
    <row r="530" spans="8:13">
      <c r="H530" t="s">
        <v>8633</v>
      </c>
      <c r="I530" t="s">
        <v>1357</v>
      </c>
      <c r="J530" t="s">
        <v>1357</v>
      </c>
      <c r="K530" t="s">
        <v>1357</v>
      </c>
      <c r="L530" t="s">
        <v>1357</v>
      </c>
      <c r="M530" t="s">
        <v>9920</v>
      </c>
    </row>
    <row r="531" spans="8:13">
      <c r="H531" t="s">
        <v>8634</v>
      </c>
      <c r="I531" t="s">
        <v>1357</v>
      </c>
      <c r="J531" t="s">
        <v>1357</v>
      </c>
      <c r="K531" t="s">
        <v>1357</v>
      </c>
      <c r="L531" t="s">
        <v>1357</v>
      </c>
      <c r="M531" t="s">
        <v>9920</v>
      </c>
    </row>
    <row r="532" spans="8:13">
      <c r="H532" t="s">
        <v>8635</v>
      </c>
      <c r="I532" t="s">
        <v>1357</v>
      </c>
      <c r="J532" t="s">
        <v>1357</v>
      </c>
      <c r="K532" t="s">
        <v>1357</v>
      </c>
      <c r="L532" t="s">
        <v>1357</v>
      </c>
      <c r="M532" t="s">
        <v>9920</v>
      </c>
    </row>
    <row r="533" spans="8:13">
      <c r="H533" t="s">
        <v>8636</v>
      </c>
      <c r="I533" t="s">
        <v>1357</v>
      </c>
      <c r="J533" t="s">
        <v>1357</v>
      </c>
      <c r="K533" t="s">
        <v>1357</v>
      </c>
      <c r="L533" t="s">
        <v>1357</v>
      </c>
      <c r="M533" t="s">
        <v>9920</v>
      </c>
    </row>
    <row r="534" spans="8:13">
      <c r="H534" t="s">
        <v>8637</v>
      </c>
      <c r="I534" t="s">
        <v>1357</v>
      </c>
      <c r="J534" t="s">
        <v>1357</v>
      </c>
      <c r="K534" t="s">
        <v>1357</v>
      </c>
      <c r="L534" t="s">
        <v>1357</v>
      </c>
      <c r="M534" t="s">
        <v>9920</v>
      </c>
    </row>
    <row r="535" spans="8:13">
      <c r="H535" t="s">
        <v>8638</v>
      </c>
      <c r="I535" t="s">
        <v>1357</v>
      </c>
      <c r="J535" t="s">
        <v>1357</v>
      </c>
      <c r="K535" t="s">
        <v>1357</v>
      </c>
      <c r="L535" t="s">
        <v>1357</v>
      </c>
      <c r="M535" t="s">
        <v>9920</v>
      </c>
    </row>
    <row r="536" spans="8:13">
      <c r="H536" t="s">
        <v>8639</v>
      </c>
      <c r="I536" t="s">
        <v>1357</v>
      </c>
      <c r="J536" t="s">
        <v>1357</v>
      </c>
      <c r="K536" t="s">
        <v>1357</v>
      </c>
      <c r="L536" t="s">
        <v>1357</v>
      </c>
      <c r="M536" t="s">
        <v>9920</v>
      </c>
    </row>
    <row r="537" spans="8:13">
      <c r="H537" t="s">
        <v>8640</v>
      </c>
      <c r="I537" t="s">
        <v>1357</v>
      </c>
      <c r="J537" t="s">
        <v>1357</v>
      </c>
      <c r="K537" t="s">
        <v>1357</v>
      </c>
      <c r="L537" t="s">
        <v>1357</v>
      </c>
      <c r="M537" t="s">
        <v>9920</v>
      </c>
    </row>
    <row r="538" spans="8:13">
      <c r="H538" t="s">
        <v>8641</v>
      </c>
      <c r="I538" t="s">
        <v>1357</v>
      </c>
      <c r="J538" t="s">
        <v>1357</v>
      </c>
      <c r="K538" t="s">
        <v>1357</v>
      </c>
      <c r="L538" t="s">
        <v>1357</v>
      </c>
      <c r="M538" t="s">
        <v>9920</v>
      </c>
    </row>
    <row r="539" spans="8:13">
      <c r="H539" t="s">
        <v>8642</v>
      </c>
      <c r="I539" t="s">
        <v>1357</v>
      </c>
      <c r="J539" t="s">
        <v>1357</v>
      </c>
      <c r="K539" t="s">
        <v>1357</v>
      </c>
      <c r="L539" t="s">
        <v>1357</v>
      </c>
      <c r="M539" t="s">
        <v>9920</v>
      </c>
    </row>
    <row r="540" spans="8:13">
      <c r="H540" t="s">
        <v>8643</v>
      </c>
      <c r="I540" t="s">
        <v>1357</v>
      </c>
      <c r="J540" t="s">
        <v>1357</v>
      </c>
      <c r="K540" t="s">
        <v>1357</v>
      </c>
      <c r="L540" t="s">
        <v>1357</v>
      </c>
      <c r="M540" t="s">
        <v>9920</v>
      </c>
    </row>
    <row r="541" spans="8:13">
      <c r="H541" t="s">
        <v>8644</v>
      </c>
      <c r="I541" t="s">
        <v>1357</v>
      </c>
      <c r="J541" t="s">
        <v>1357</v>
      </c>
      <c r="K541" t="s">
        <v>1357</v>
      </c>
      <c r="L541" t="s">
        <v>1357</v>
      </c>
      <c r="M541" t="s">
        <v>9920</v>
      </c>
    </row>
    <row r="542" spans="8:13">
      <c r="H542" t="s">
        <v>8645</v>
      </c>
      <c r="I542" t="s">
        <v>1357</v>
      </c>
      <c r="J542" t="s">
        <v>1357</v>
      </c>
      <c r="K542" t="s">
        <v>1357</v>
      </c>
      <c r="L542" t="s">
        <v>1357</v>
      </c>
      <c r="M542" t="s">
        <v>9920</v>
      </c>
    </row>
    <row r="543" spans="8:13">
      <c r="H543" t="s">
        <v>8646</v>
      </c>
      <c r="I543" t="s">
        <v>1357</v>
      </c>
      <c r="J543" t="s">
        <v>1357</v>
      </c>
      <c r="K543" t="s">
        <v>1357</v>
      </c>
      <c r="L543" t="s">
        <v>1357</v>
      </c>
      <c r="M543" t="s">
        <v>9920</v>
      </c>
    </row>
    <row r="544" spans="8:13">
      <c r="H544" t="s">
        <v>8647</v>
      </c>
      <c r="I544" t="s">
        <v>1357</v>
      </c>
      <c r="J544" t="s">
        <v>1357</v>
      </c>
      <c r="K544" t="s">
        <v>1357</v>
      </c>
      <c r="L544" t="s">
        <v>1357</v>
      </c>
      <c r="M544" t="s">
        <v>9920</v>
      </c>
    </row>
    <row r="545" spans="1:13">
      <c r="H545" t="s">
        <v>8648</v>
      </c>
      <c r="I545" t="s">
        <v>1357</v>
      </c>
      <c r="J545" t="s">
        <v>1357</v>
      </c>
      <c r="K545" t="s">
        <v>1357</v>
      </c>
      <c r="L545" t="s">
        <v>1357</v>
      </c>
      <c r="M545" t="s">
        <v>9920</v>
      </c>
    </row>
    <row r="546" spans="1:13">
      <c r="H546" t="s">
        <v>8649</v>
      </c>
      <c r="I546" t="s">
        <v>1357</v>
      </c>
      <c r="J546" t="s">
        <v>1357</v>
      </c>
      <c r="K546" t="s">
        <v>1357</v>
      </c>
      <c r="L546" t="s">
        <v>1357</v>
      </c>
      <c r="M546" t="s">
        <v>9920</v>
      </c>
    </row>
    <row r="547" spans="1:13">
      <c r="H547" t="s">
        <v>8650</v>
      </c>
      <c r="I547" t="s">
        <v>1357</v>
      </c>
      <c r="J547" t="s">
        <v>1357</v>
      </c>
      <c r="K547" t="s">
        <v>1357</v>
      </c>
      <c r="L547" t="s">
        <v>1357</v>
      </c>
      <c r="M547" t="s">
        <v>9920</v>
      </c>
    </row>
    <row r="548" spans="1:13">
      <c r="H548" t="s">
        <v>8651</v>
      </c>
      <c r="I548" t="s">
        <v>1357</v>
      </c>
      <c r="J548" t="s">
        <v>1357</v>
      </c>
      <c r="K548" t="s">
        <v>1357</v>
      </c>
      <c r="L548" t="s">
        <v>1357</v>
      </c>
      <c r="M548" t="s">
        <v>9920</v>
      </c>
    </row>
    <row r="549" spans="1:13">
      <c r="H549" t="s">
        <v>8652</v>
      </c>
      <c r="I549" t="s">
        <v>1357</v>
      </c>
      <c r="J549" t="s">
        <v>1357</v>
      </c>
      <c r="K549" t="s">
        <v>1357</v>
      </c>
      <c r="L549" t="s">
        <v>1357</v>
      </c>
      <c r="M549" t="s">
        <v>9920</v>
      </c>
    </row>
    <row r="550" spans="1:13">
      <c r="H550" t="s">
        <v>8653</v>
      </c>
      <c r="I550" t="s">
        <v>1357</v>
      </c>
      <c r="J550" t="s">
        <v>1357</v>
      </c>
      <c r="K550" t="s">
        <v>1357</v>
      </c>
      <c r="L550" t="s">
        <v>1357</v>
      </c>
      <c r="M550" t="s">
        <v>9920</v>
      </c>
    </row>
    <row r="551" spans="1:13">
      <c r="H551" t="s">
        <v>8654</v>
      </c>
      <c r="I551" t="s">
        <v>1357</v>
      </c>
      <c r="J551" t="s">
        <v>1357</v>
      </c>
      <c r="K551" t="s">
        <v>1357</v>
      </c>
      <c r="L551" t="s">
        <v>1357</v>
      </c>
      <c r="M551" t="s">
        <v>9920</v>
      </c>
    </row>
    <row r="552" spans="1:13">
      <c r="A552" t="s">
        <v>6181</v>
      </c>
      <c r="B552">
        <f>HYPERLINK("https://github.com/pmd/pmd/commit/b8b433f625c62d483588ece1de062eef19b27adf", "b8b433f625c62d483588ece1de062eef19b27adf")</f>
        <v>0</v>
      </c>
      <c r="C552">
        <f>HYPERLINK("https://github.com/pmd/pmd/commit/3da887463bca751b9650d3215aac6d885932ddb6", "3da887463bca751b9650d3215aac6d885932ddb6")</f>
        <v>0</v>
      </c>
      <c r="D552" t="s">
        <v>6492</v>
      </c>
      <c r="E552" t="s">
        <v>6637</v>
      </c>
      <c r="F552" t="s">
        <v>7067</v>
      </c>
      <c r="G552" t="s">
        <v>7801</v>
      </c>
      <c r="H552" t="s">
        <v>8378</v>
      </c>
      <c r="I552" t="s">
        <v>1357</v>
      </c>
      <c r="J552" t="s">
        <v>1357</v>
      </c>
      <c r="K552" t="s">
        <v>1357</v>
      </c>
      <c r="L552" t="s">
        <v>1357</v>
      </c>
      <c r="M552" t="s">
        <v>1360</v>
      </c>
    </row>
    <row r="553" spans="1:13">
      <c r="A553" t="s">
        <v>6182</v>
      </c>
      <c r="B553">
        <f>HYPERLINK("https://github.com/pmd/pmd/commit/a47ab2d911fa6d51a70b216ecc9f517c22261597", "a47ab2d911fa6d51a70b216ecc9f517c22261597")</f>
        <v>0</v>
      </c>
      <c r="C553">
        <f>HYPERLINK("https://github.com/pmd/pmd/commit/6f65c443efdad495f64e82279254ed44e0e49e62", "6f65c443efdad495f64e82279254ed44e0e49e62")</f>
        <v>0</v>
      </c>
      <c r="D553" t="s">
        <v>6492</v>
      </c>
      <c r="E553" t="s">
        <v>6638</v>
      </c>
      <c r="F553" t="s">
        <v>7067</v>
      </c>
      <c r="G553" t="s">
        <v>7801</v>
      </c>
      <c r="H553" t="s">
        <v>8630</v>
      </c>
      <c r="I553" t="s">
        <v>1357</v>
      </c>
      <c r="J553" t="s">
        <v>1357</v>
      </c>
      <c r="K553" t="s">
        <v>1357</v>
      </c>
      <c r="L553" t="s">
        <v>1357</v>
      </c>
    </row>
    <row r="554" spans="1:13">
      <c r="H554" t="s">
        <v>8631</v>
      </c>
      <c r="I554" t="s">
        <v>1357</v>
      </c>
      <c r="J554" t="s">
        <v>1357</v>
      </c>
      <c r="K554" t="s">
        <v>1357</v>
      </c>
      <c r="L554" t="s">
        <v>1357</v>
      </c>
    </row>
    <row r="555" spans="1:13">
      <c r="H555" t="s">
        <v>8632</v>
      </c>
      <c r="I555" t="s">
        <v>1357</v>
      </c>
      <c r="J555" t="s">
        <v>1357</v>
      </c>
      <c r="K555" t="s">
        <v>1357</v>
      </c>
      <c r="L555" t="s">
        <v>1357</v>
      </c>
    </row>
    <row r="556" spans="1:13">
      <c r="H556" t="s">
        <v>8633</v>
      </c>
      <c r="I556" t="s">
        <v>1357</v>
      </c>
      <c r="J556" t="s">
        <v>1357</v>
      </c>
      <c r="K556" t="s">
        <v>1357</v>
      </c>
      <c r="L556" t="s">
        <v>1357</v>
      </c>
    </row>
    <row r="557" spans="1:13">
      <c r="H557" t="s">
        <v>8634</v>
      </c>
      <c r="I557" t="s">
        <v>1357</v>
      </c>
      <c r="J557" t="s">
        <v>1357</v>
      </c>
      <c r="K557" t="s">
        <v>1357</v>
      </c>
      <c r="L557" t="s">
        <v>1357</v>
      </c>
    </row>
    <row r="558" spans="1:13">
      <c r="H558" t="s">
        <v>8635</v>
      </c>
      <c r="I558" t="s">
        <v>1357</v>
      </c>
      <c r="J558" t="s">
        <v>1357</v>
      </c>
      <c r="K558" t="s">
        <v>1357</v>
      </c>
      <c r="L558" t="s">
        <v>1357</v>
      </c>
    </row>
    <row r="559" spans="1:13">
      <c r="H559" t="s">
        <v>8636</v>
      </c>
      <c r="I559" t="s">
        <v>1357</v>
      </c>
      <c r="J559" t="s">
        <v>1357</v>
      </c>
      <c r="K559" t="s">
        <v>1357</v>
      </c>
      <c r="L559" t="s">
        <v>1357</v>
      </c>
    </row>
    <row r="560" spans="1:13">
      <c r="H560" t="s">
        <v>8637</v>
      </c>
      <c r="I560" t="s">
        <v>1357</v>
      </c>
      <c r="J560" t="s">
        <v>1357</v>
      </c>
      <c r="K560" t="s">
        <v>1357</v>
      </c>
      <c r="L560" t="s">
        <v>1357</v>
      </c>
    </row>
    <row r="561" spans="8:12">
      <c r="H561" t="s">
        <v>8638</v>
      </c>
      <c r="I561" t="s">
        <v>1357</v>
      </c>
      <c r="J561" t="s">
        <v>1357</v>
      </c>
      <c r="K561" t="s">
        <v>1357</v>
      </c>
      <c r="L561" t="s">
        <v>1357</v>
      </c>
    </row>
    <row r="562" spans="8:12">
      <c r="H562" t="s">
        <v>8639</v>
      </c>
      <c r="I562" t="s">
        <v>1357</v>
      </c>
      <c r="J562" t="s">
        <v>1357</v>
      </c>
      <c r="K562" t="s">
        <v>1357</v>
      </c>
      <c r="L562" t="s">
        <v>1357</v>
      </c>
    </row>
    <row r="563" spans="8:12">
      <c r="H563" t="s">
        <v>8640</v>
      </c>
      <c r="I563" t="s">
        <v>1357</v>
      </c>
      <c r="J563" t="s">
        <v>1357</v>
      </c>
      <c r="K563" t="s">
        <v>1357</v>
      </c>
      <c r="L563" t="s">
        <v>1357</v>
      </c>
    </row>
    <row r="564" spans="8:12">
      <c r="H564" t="s">
        <v>8641</v>
      </c>
      <c r="I564" t="s">
        <v>1357</v>
      </c>
      <c r="J564" t="s">
        <v>1357</v>
      </c>
      <c r="K564" t="s">
        <v>1357</v>
      </c>
      <c r="L564" t="s">
        <v>1357</v>
      </c>
    </row>
    <row r="565" spans="8:12">
      <c r="H565" t="s">
        <v>8642</v>
      </c>
      <c r="I565" t="s">
        <v>1357</v>
      </c>
      <c r="J565" t="s">
        <v>1357</v>
      </c>
      <c r="K565" t="s">
        <v>1357</v>
      </c>
      <c r="L565" t="s">
        <v>1357</v>
      </c>
    </row>
    <row r="566" spans="8:12">
      <c r="H566" t="s">
        <v>8643</v>
      </c>
      <c r="I566" t="s">
        <v>1357</v>
      </c>
      <c r="J566" t="s">
        <v>1357</v>
      </c>
      <c r="K566" t="s">
        <v>1357</v>
      </c>
      <c r="L566" t="s">
        <v>1357</v>
      </c>
    </row>
    <row r="567" spans="8:12">
      <c r="H567" t="s">
        <v>8644</v>
      </c>
      <c r="I567" t="s">
        <v>1357</v>
      </c>
      <c r="J567" t="s">
        <v>1357</v>
      </c>
      <c r="K567" t="s">
        <v>1357</v>
      </c>
      <c r="L567" t="s">
        <v>1357</v>
      </c>
    </row>
    <row r="568" spans="8:12">
      <c r="H568" t="s">
        <v>8645</v>
      </c>
      <c r="I568" t="s">
        <v>1357</v>
      </c>
      <c r="J568" t="s">
        <v>1357</v>
      </c>
      <c r="K568" t="s">
        <v>1357</v>
      </c>
      <c r="L568" t="s">
        <v>1357</v>
      </c>
    </row>
    <row r="569" spans="8:12">
      <c r="H569" t="s">
        <v>8646</v>
      </c>
      <c r="I569" t="s">
        <v>1357</v>
      </c>
      <c r="J569" t="s">
        <v>1357</v>
      </c>
      <c r="K569" t="s">
        <v>1357</v>
      </c>
      <c r="L569" t="s">
        <v>1357</v>
      </c>
    </row>
    <row r="570" spans="8:12">
      <c r="H570" t="s">
        <v>8647</v>
      </c>
      <c r="I570" t="s">
        <v>1357</v>
      </c>
      <c r="J570" t="s">
        <v>1357</v>
      </c>
      <c r="K570" t="s">
        <v>1357</v>
      </c>
      <c r="L570" t="s">
        <v>1357</v>
      </c>
    </row>
    <row r="571" spans="8:12">
      <c r="H571" t="s">
        <v>8648</v>
      </c>
      <c r="I571" t="s">
        <v>1357</v>
      </c>
      <c r="J571" t="s">
        <v>1357</v>
      </c>
      <c r="K571" t="s">
        <v>1357</v>
      </c>
      <c r="L571" t="s">
        <v>1357</v>
      </c>
    </row>
    <row r="572" spans="8:12">
      <c r="H572" t="s">
        <v>8649</v>
      </c>
      <c r="I572" t="s">
        <v>1357</v>
      </c>
      <c r="J572" t="s">
        <v>1357</v>
      </c>
      <c r="K572" t="s">
        <v>1357</v>
      </c>
      <c r="L572" t="s">
        <v>1357</v>
      </c>
    </row>
    <row r="573" spans="8:12">
      <c r="H573" t="s">
        <v>8650</v>
      </c>
      <c r="I573" t="s">
        <v>1357</v>
      </c>
      <c r="J573" t="s">
        <v>1357</v>
      </c>
      <c r="K573" t="s">
        <v>1357</v>
      </c>
      <c r="L573" t="s">
        <v>1357</v>
      </c>
    </row>
    <row r="574" spans="8:12">
      <c r="H574" t="s">
        <v>8651</v>
      </c>
      <c r="I574" t="s">
        <v>1357</v>
      </c>
      <c r="J574" t="s">
        <v>1357</v>
      </c>
      <c r="K574" t="s">
        <v>1357</v>
      </c>
      <c r="L574" t="s">
        <v>1357</v>
      </c>
    </row>
    <row r="575" spans="8:12">
      <c r="H575" t="s">
        <v>8652</v>
      </c>
      <c r="I575" t="s">
        <v>1357</v>
      </c>
      <c r="J575" t="s">
        <v>1357</v>
      </c>
      <c r="K575" t="s">
        <v>1357</v>
      </c>
      <c r="L575" t="s">
        <v>1357</v>
      </c>
    </row>
    <row r="576" spans="8:12">
      <c r="H576" t="s">
        <v>8653</v>
      </c>
      <c r="I576" t="s">
        <v>1357</v>
      </c>
      <c r="J576" t="s">
        <v>1357</v>
      </c>
      <c r="K576" t="s">
        <v>1357</v>
      </c>
      <c r="L576" t="s">
        <v>1357</v>
      </c>
    </row>
    <row r="577" spans="1:14">
      <c r="H577" t="s">
        <v>8654</v>
      </c>
      <c r="I577" t="s">
        <v>1357</v>
      </c>
      <c r="J577" t="s">
        <v>1357</v>
      </c>
      <c r="K577" t="s">
        <v>1357</v>
      </c>
      <c r="L577" t="s">
        <v>1357</v>
      </c>
    </row>
    <row r="578" spans="1:14">
      <c r="H578" t="s">
        <v>8655</v>
      </c>
      <c r="I578" t="s">
        <v>1357</v>
      </c>
      <c r="J578" t="s">
        <v>1357</v>
      </c>
      <c r="K578" t="s">
        <v>1357</v>
      </c>
      <c r="L578" t="s">
        <v>1357</v>
      </c>
    </row>
    <row r="579" spans="1:14">
      <c r="H579" t="s">
        <v>8656</v>
      </c>
      <c r="I579" t="s">
        <v>1357</v>
      </c>
      <c r="J579" t="s">
        <v>1357</v>
      </c>
      <c r="K579" t="s">
        <v>1357</v>
      </c>
      <c r="L579" t="s">
        <v>1357</v>
      </c>
    </row>
    <row r="580" spans="1:14">
      <c r="H580" t="s">
        <v>8657</v>
      </c>
      <c r="I580" t="s">
        <v>1357</v>
      </c>
      <c r="J580" t="s">
        <v>1357</v>
      </c>
      <c r="K580" t="s">
        <v>1357</v>
      </c>
      <c r="L580" t="s">
        <v>1357</v>
      </c>
    </row>
    <row r="581" spans="1:14">
      <c r="F581" t="s">
        <v>7068</v>
      </c>
      <c r="G581" t="s">
        <v>7810</v>
      </c>
      <c r="H581" t="s">
        <v>8658</v>
      </c>
      <c r="I581" t="s">
        <v>1357</v>
      </c>
      <c r="J581" t="s">
        <v>1357</v>
      </c>
      <c r="K581" t="s">
        <v>1357</v>
      </c>
      <c r="L581" t="s">
        <v>1357</v>
      </c>
    </row>
    <row r="582" spans="1:14">
      <c r="F582" t="s">
        <v>7069</v>
      </c>
      <c r="G582" t="s">
        <v>7811</v>
      </c>
      <c r="H582" t="s">
        <v>8659</v>
      </c>
      <c r="I582" t="s">
        <v>1358</v>
      </c>
      <c r="J582" t="s">
        <v>1358</v>
      </c>
      <c r="K582" t="s">
        <v>1358</v>
      </c>
      <c r="L582" t="s">
        <v>1358</v>
      </c>
    </row>
    <row r="583" spans="1:14">
      <c r="A583" t="s">
        <v>6183</v>
      </c>
      <c r="B583">
        <f>HYPERLINK("https://github.com/pmd/pmd/commit/b7bf878e43a8cb8b3fca17852e8c94aeb7dff653", "b7bf878e43a8cb8b3fca17852e8c94aeb7dff653")</f>
        <v>0</v>
      </c>
      <c r="C583">
        <f>HYPERLINK("https://github.com/pmd/pmd/commit/61640493fa5731f968ad69d0f095515f67b65dbb", "61640493fa5731f968ad69d0f095515f67b65dbb")</f>
        <v>0</v>
      </c>
      <c r="D583" t="s">
        <v>6492</v>
      </c>
      <c r="E583" t="s">
        <v>6639</v>
      </c>
      <c r="F583" t="s">
        <v>7068</v>
      </c>
      <c r="G583" t="s">
        <v>7810</v>
      </c>
      <c r="H583" t="s">
        <v>8660</v>
      </c>
      <c r="I583" t="s">
        <v>1357</v>
      </c>
      <c r="J583" t="s">
        <v>1357</v>
      </c>
      <c r="K583" t="s">
        <v>1357</v>
      </c>
      <c r="L583" t="s">
        <v>1357</v>
      </c>
    </row>
    <row r="584" spans="1:14">
      <c r="A584" t="s">
        <v>6184</v>
      </c>
      <c r="B584">
        <f>HYPERLINK("https://github.com/pmd/pmd/commit/b5b0b6cb562b4704e819ed8989a836e060fd1b1b", "b5b0b6cb562b4704e819ed8989a836e060fd1b1b")</f>
        <v>0</v>
      </c>
      <c r="C584">
        <f>HYPERLINK("https://github.com/pmd/pmd/commit/f1ff22c310c95084c4e550bd9ead2a1205ad7060", "f1ff22c310c95084c4e550bd9ead2a1205ad7060")</f>
        <v>0</v>
      </c>
      <c r="D584" t="s">
        <v>6492</v>
      </c>
      <c r="E584" t="s">
        <v>6640</v>
      </c>
      <c r="F584" t="s">
        <v>7070</v>
      </c>
      <c r="G584" t="s">
        <v>7812</v>
      </c>
      <c r="H584" t="s">
        <v>8661</v>
      </c>
      <c r="I584" t="s">
        <v>1357</v>
      </c>
      <c r="J584" t="s">
        <v>1357</v>
      </c>
      <c r="K584" t="s">
        <v>1357</v>
      </c>
      <c r="L584" t="s">
        <v>1357</v>
      </c>
    </row>
    <row r="585" spans="1:14">
      <c r="A585" t="s">
        <v>6185</v>
      </c>
      <c r="B585">
        <f>HYPERLINK("https://github.com/pmd/pmd/commit/0d5476597fa60fe7509ff6842f020d336e7aedbd", "0d5476597fa60fe7509ff6842f020d336e7aedbd")</f>
        <v>0</v>
      </c>
      <c r="C585">
        <f>HYPERLINK("https://github.com/pmd/pmd/commit/b37ef4a2d21673bd04aed10dac8b7c3977b1be5b", "b37ef4a2d21673bd04aed10dac8b7c3977b1be5b")</f>
        <v>0</v>
      </c>
      <c r="D585" t="s">
        <v>6492</v>
      </c>
      <c r="E585" t="s">
        <v>6641</v>
      </c>
      <c r="F585" t="s">
        <v>7012</v>
      </c>
      <c r="G585" t="s">
        <v>7758</v>
      </c>
      <c r="H585" t="s">
        <v>8662</v>
      </c>
      <c r="I585" t="s">
        <v>1358</v>
      </c>
      <c r="J585" t="s">
        <v>1358</v>
      </c>
      <c r="K585" t="s">
        <v>1358</v>
      </c>
      <c r="L585" t="s">
        <v>1358</v>
      </c>
      <c r="N585" t="s">
        <v>9931</v>
      </c>
    </row>
    <row r="586" spans="1:14">
      <c r="H586" t="s">
        <v>8663</v>
      </c>
      <c r="I586" t="s">
        <v>1358</v>
      </c>
      <c r="J586" t="s">
        <v>1358</v>
      </c>
      <c r="K586" t="s">
        <v>1358</v>
      </c>
      <c r="L586" t="s">
        <v>1358</v>
      </c>
      <c r="N586" t="s">
        <v>9931</v>
      </c>
    </row>
    <row r="587" spans="1:14">
      <c r="F587" t="s">
        <v>7071</v>
      </c>
      <c r="G587" t="s">
        <v>7813</v>
      </c>
      <c r="H587" t="s">
        <v>8664</v>
      </c>
      <c r="I587" t="s">
        <v>1358</v>
      </c>
      <c r="J587" t="s">
        <v>1358</v>
      </c>
      <c r="K587" t="s">
        <v>1358</v>
      </c>
      <c r="L587" t="s">
        <v>1358</v>
      </c>
      <c r="N587" t="s">
        <v>9931</v>
      </c>
    </row>
    <row r="588" spans="1:14">
      <c r="H588" t="s">
        <v>8665</v>
      </c>
      <c r="I588" t="s">
        <v>1358</v>
      </c>
      <c r="J588" t="s">
        <v>1358</v>
      </c>
      <c r="K588" t="s">
        <v>1358</v>
      </c>
      <c r="L588" t="s">
        <v>1358</v>
      </c>
      <c r="N588" t="s">
        <v>9931</v>
      </c>
    </row>
    <row r="589" spans="1:14">
      <c r="H589" t="s">
        <v>8666</v>
      </c>
      <c r="I589" t="s">
        <v>1358</v>
      </c>
      <c r="J589" t="s">
        <v>1358</v>
      </c>
      <c r="K589" t="s">
        <v>1358</v>
      </c>
      <c r="L589" t="s">
        <v>1358</v>
      </c>
      <c r="N589" t="s">
        <v>9931</v>
      </c>
    </row>
    <row r="590" spans="1:14">
      <c r="H590" t="s">
        <v>8667</v>
      </c>
      <c r="I590" t="s">
        <v>1358</v>
      </c>
      <c r="J590" t="s">
        <v>1358</v>
      </c>
      <c r="K590" t="s">
        <v>1358</v>
      </c>
      <c r="L590" t="s">
        <v>1358</v>
      </c>
      <c r="N590" t="s">
        <v>9931</v>
      </c>
    </row>
    <row r="591" spans="1:14">
      <c r="F591" t="s">
        <v>6976</v>
      </c>
      <c r="G591" t="s">
        <v>7723</v>
      </c>
      <c r="H591" t="s">
        <v>8664</v>
      </c>
      <c r="I591" t="s">
        <v>1358</v>
      </c>
      <c r="J591" t="s">
        <v>1358</v>
      </c>
      <c r="K591" t="s">
        <v>1358</v>
      </c>
      <c r="L591" t="s">
        <v>1358</v>
      </c>
      <c r="N591" t="s">
        <v>9931</v>
      </c>
    </row>
    <row r="592" spans="1:14">
      <c r="H592" t="s">
        <v>8668</v>
      </c>
      <c r="I592" t="s">
        <v>1358</v>
      </c>
      <c r="J592" t="s">
        <v>1358</v>
      </c>
      <c r="K592" t="s">
        <v>1358</v>
      </c>
      <c r="L592" t="s">
        <v>1358</v>
      </c>
      <c r="N592" t="s">
        <v>9931</v>
      </c>
    </row>
    <row r="593" spans="1:14">
      <c r="F593" t="s">
        <v>6993</v>
      </c>
      <c r="G593" t="s">
        <v>7739</v>
      </c>
      <c r="H593" t="s">
        <v>8669</v>
      </c>
      <c r="I593" t="s">
        <v>1358</v>
      </c>
      <c r="J593" t="s">
        <v>1358</v>
      </c>
      <c r="K593" t="s">
        <v>1358</v>
      </c>
      <c r="L593" t="s">
        <v>1358</v>
      </c>
      <c r="N593" t="s">
        <v>9931</v>
      </c>
    </row>
    <row r="594" spans="1:14">
      <c r="H594" t="s">
        <v>8670</v>
      </c>
      <c r="I594" t="s">
        <v>1358</v>
      </c>
      <c r="J594" t="s">
        <v>1358</v>
      </c>
      <c r="K594" t="s">
        <v>1358</v>
      </c>
      <c r="L594" t="s">
        <v>1358</v>
      </c>
      <c r="N594" t="s">
        <v>9931</v>
      </c>
    </row>
    <row r="595" spans="1:14">
      <c r="H595" t="s">
        <v>8671</v>
      </c>
      <c r="I595" t="s">
        <v>1358</v>
      </c>
      <c r="J595" t="s">
        <v>1358</v>
      </c>
      <c r="K595" t="s">
        <v>1358</v>
      </c>
      <c r="L595" t="s">
        <v>1358</v>
      </c>
      <c r="N595" t="s">
        <v>9931</v>
      </c>
    </row>
    <row r="596" spans="1:14">
      <c r="H596" t="s">
        <v>8672</v>
      </c>
      <c r="I596" t="s">
        <v>1358</v>
      </c>
      <c r="J596" t="s">
        <v>1358</v>
      </c>
      <c r="K596" t="s">
        <v>1358</v>
      </c>
      <c r="L596" t="s">
        <v>1358</v>
      </c>
      <c r="N596" t="s">
        <v>9931</v>
      </c>
    </row>
    <row r="597" spans="1:14">
      <c r="H597" t="s">
        <v>8673</v>
      </c>
      <c r="I597" t="s">
        <v>1358</v>
      </c>
      <c r="J597" t="s">
        <v>1358</v>
      </c>
      <c r="K597" t="s">
        <v>1358</v>
      </c>
      <c r="L597" t="s">
        <v>1358</v>
      </c>
      <c r="N597" t="s">
        <v>9931</v>
      </c>
    </row>
    <row r="598" spans="1:14">
      <c r="H598" t="s">
        <v>8674</v>
      </c>
      <c r="I598" t="s">
        <v>1358</v>
      </c>
      <c r="J598" t="s">
        <v>1358</v>
      </c>
      <c r="K598" t="s">
        <v>1358</v>
      </c>
      <c r="L598" t="s">
        <v>1358</v>
      </c>
      <c r="N598" t="s">
        <v>9931</v>
      </c>
    </row>
    <row r="599" spans="1:14">
      <c r="A599" t="s">
        <v>6186</v>
      </c>
      <c r="B599">
        <f>HYPERLINK("https://github.com/pmd/pmd/commit/d11f0a1f172aadb7c47c746d69805575de845bdf", "d11f0a1f172aadb7c47c746d69805575de845bdf")</f>
        <v>0</v>
      </c>
      <c r="C599">
        <f>HYPERLINK("https://github.com/pmd/pmd/commit/6305fce56f6e191caef1d45e2097e70cb3724381", "6305fce56f6e191caef1d45e2097e70cb3724381")</f>
        <v>0</v>
      </c>
      <c r="D599" t="s">
        <v>6492</v>
      </c>
      <c r="E599" t="s">
        <v>6642</v>
      </c>
      <c r="F599" t="s">
        <v>7072</v>
      </c>
      <c r="G599" t="s">
        <v>7814</v>
      </c>
      <c r="H599" t="s">
        <v>8523</v>
      </c>
      <c r="I599" t="s">
        <v>1358</v>
      </c>
      <c r="J599" t="s">
        <v>1358</v>
      </c>
      <c r="K599" t="s">
        <v>1358</v>
      </c>
      <c r="L599" t="s">
        <v>1358</v>
      </c>
      <c r="N599" t="s">
        <v>9931</v>
      </c>
    </row>
    <row r="600" spans="1:14">
      <c r="H600" t="s">
        <v>8524</v>
      </c>
      <c r="I600" t="s">
        <v>1358</v>
      </c>
      <c r="J600" t="s">
        <v>1358</v>
      </c>
      <c r="K600" t="s">
        <v>1358</v>
      </c>
      <c r="L600" t="s">
        <v>1358</v>
      </c>
      <c r="N600" t="s">
        <v>9931</v>
      </c>
    </row>
    <row r="601" spans="1:14">
      <c r="A601" t="s">
        <v>6187</v>
      </c>
      <c r="B601">
        <f>HYPERLINK("https://github.com/pmd/pmd/commit/28f92c84729f87a9e8c4ef0985654319e06c5d4e", "28f92c84729f87a9e8c4ef0985654319e06c5d4e")</f>
        <v>0</v>
      </c>
      <c r="C601">
        <f>HYPERLINK("https://github.com/pmd/pmd/commit/08f42395751b793d98ce6ce1855c9a45878939a9", "08f42395751b793d98ce6ce1855c9a45878939a9")</f>
        <v>0</v>
      </c>
      <c r="D601" t="s">
        <v>6492</v>
      </c>
      <c r="E601" t="s">
        <v>6643</v>
      </c>
      <c r="F601" t="s">
        <v>7073</v>
      </c>
      <c r="G601" t="s">
        <v>7815</v>
      </c>
      <c r="H601" t="s">
        <v>8675</v>
      </c>
      <c r="I601" t="s">
        <v>1358</v>
      </c>
      <c r="J601" t="s">
        <v>1358</v>
      </c>
      <c r="K601" t="s">
        <v>1358</v>
      </c>
      <c r="L601" t="s">
        <v>1358</v>
      </c>
    </row>
    <row r="602" spans="1:14">
      <c r="A602" t="s">
        <v>6188</v>
      </c>
      <c r="B602">
        <f>HYPERLINK("https://github.com/pmd/pmd/commit/084a35f018b7b3d1305a8df14594baf2e8240d65", "084a35f018b7b3d1305a8df14594baf2e8240d65")</f>
        <v>0</v>
      </c>
      <c r="C602">
        <f>HYPERLINK("https://github.com/pmd/pmd/commit/28f92c84729f87a9e8c4ef0985654319e06c5d4e", "28f92c84729f87a9e8c4ef0985654319e06c5d4e")</f>
        <v>0</v>
      </c>
      <c r="D602" t="s">
        <v>6492</v>
      </c>
      <c r="E602" t="s">
        <v>6644</v>
      </c>
      <c r="F602" t="s">
        <v>7073</v>
      </c>
      <c r="G602" t="s">
        <v>7815</v>
      </c>
      <c r="H602" t="s">
        <v>8676</v>
      </c>
      <c r="I602" t="s">
        <v>1358</v>
      </c>
      <c r="J602" t="s">
        <v>1358</v>
      </c>
      <c r="K602" t="s">
        <v>1358</v>
      </c>
      <c r="L602" t="s">
        <v>1358</v>
      </c>
    </row>
    <row r="603" spans="1:14">
      <c r="A603" t="s">
        <v>6189</v>
      </c>
      <c r="B603">
        <f>HYPERLINK("https://github.com/pmd/pmd/commit/91266485eb61a1ffadc09b1fdc9c284ca91ef42c", "91266485eb61a1ffadc09b1fdc9c284ca91ef42c")</f>
        <v>0</v>
      </c>
      <c r="C603">
        <f>HYPERLINK("https://github.com/pmd/pmd/commit/e3604d30179ff4e380c08a12dd2950f269dfe502", "e3604d30179ff4e380c08a12dd2950f269dfe502")</f>
        <v>0</v>
      </c>
      <c r="D603" t="s">
        <v>6492</v>
      </c>
      <c r="E603" t="s">
        <v>6645</v>
      </c>
      <c r="F603" t="s">
        <v>7074</v>
      </c>
      <c r="G603" t="s">
        <v>7816</v>
      </c>
      <c r="H603" t="s">
        <v>8337</v>
      </c>
      <c r="I603" t="s">
        <v>1358</v>
      </c>
      <c r="J603" t="s">
        <v>1358</v>
      </c>
      <c r="K603" t="s">
        <v>1358</v>
      </c>
      <c r="L603" t="s">
        <v>1358</v>
      </c>
      <c r="N603" t="s">
        <v>1372</v>
      </c>
    </row>
    <row r="604" spans="1:14">
      <c r="A604" t="s">
        <v>6190</v>
      </c>
      <c r="B604">
        <f>HYPERLINK("https://github.com/pmd/pmd/commit/e576531a2c4060bac190fb99e2f586aaad806d3b", "e576531a2c4060bac190fb99e2f586aaad806d3b")</f>
        <v>0</v>
      </c>
      <c r="C604">
        <f>HYPERLINK("https://github.com/pmd/pmd/commit/e3c3c80d7d6af3074212bfa772bc8f132111ba50", "e3c3c80d7d6af3074212bfa772bc8f132111ba50")</f>
        <v>0</v>
      </c>
      <c r="D604" t="s">
        <v>6492</v>
      </c>
      <c r="E604" t="s">
        <v>6646</v>
      </c>
      <c r="F604" t="s">
        <v>7075</v>
      </c>
      <c r="G604" t="s">
        <v>7817</v>
      </c>
      <c r="H604" t="s">
        <v>8498</v>
      </c>
      <c r="I604" t="s">
        <v>1357</v>
      </c>
      <c r="J604" t="s">
        <v>1357</v>
      </c>
      <c r="K604" t="s">
        <v>1357</v>
      </c>
      <c r="L604" t="s">
        <v>1357</v>
      </c>
    </row>
    <row r="605" spans="1:14">
      <c r="H605" t="s">
        <v>8677</v>
      </c>
      <c r="I605" t="s">
        <v>1357</v>
      </c>
      <c r="J605" t="s">
        <v>1357</v>
      </c>
      <c r="K605" t="s">
        <v>1357</v>
      </c>
      <c r="L605" t="s">
        <v>1357</v>
      </c>
    </row>
    <row r="606" spans="1:14">
      <c r="A606" t="s">
        <v>6191</v>
      </c>
      <c r="B606">
        <f>HYPERLINK("https://github.com/pmd/pmd/commit/b81da62424bb694f932255d7db60a46eb5795866", "b81da62424bb694f932255d7db60a46eb5795866")</f>
        <v>0</v>
      </c>
      <c r="C606">
        <f>HYPERLINK("https://github.com/pmd/pmd/commit/c14c8eb7b54bdbc8b83b68552a084c83519dd9f0", "c14c8eb7b54bdbc8b83b68552a084c83519dd9f0")</f>
        <v>0</v>
      </c>
      <c r="D606" t="s">
        <v>6492</v>
      </c>
      <c r="E606" t="s">
        <v>6647</v>
      </c>
      <c r="F606" t="s">
        <v>7011</v>
      </c>
      <c r="G606" t="s">
        <v>7757</v>
      </c>
      <c r="H606" t="s">
        <v>8479</v>
      </c>
      <c r="I606" t="s">
        <v>1359</v>
      </c>
      <c r="J606" t="s">
        <v>1358</v>
      </c>
      <c r="K606" t="s">
        <v>1357</v>
      </c>
      <c r="L606" t="s">
        <v>1358</v>
      </c>
      <c r="N606" t="s">
        <v>9935</v>
      </c>
    </row>
    <row r="607" spans="1:14">
      <c r="A607" t="s">
        <v>6192</v>
      </c>
      <c r="B607">
        <f>HYPERLINK("https://github.com/pmd/pmd/commit/5a149df16e142571e1f6348a6eb2ffb87fe51261", "5a149df16e142571e1f6348a6eb2ffb87fe51261")</f>
        <v>0</v>
      </c>
      <c r="C607">
        <f>HYPERLINK("https://github.com/pmd/pmd/commit/b1c4a1e381af1fa9f318baa69e26d6fd30ccdfe7", "b1c4a1e381af1fa9f318baa69e26d6fd30ccdfe7")</f>
        <v>0</v>
      </c>
      <c r="D607" t="s">
        <v>6492</v>
      </c>
      <c r="E607" t="s">
        <v>6648</v>
      </c>
      <c r="F607" t="s">
        <v>6977</v>
      </c>
      <c r="G607" t="s">
        <v>7724</v>
      </c>
      <c r="H607" t="s">
        <v>8678</v>
      </c>
      <c r="I607" t="s">
        <v>1358</v>
      </c>
      <c r="J607" t="s">
        <v>1358</v>
      </c>
      <c r="K607" t="s">
        <v>1358</v>
      </c>
      <c r="L607" t="s">
        <v>1358</v>
      </c>
      <c r="N607" t="s">
        <v>1363</v>
      </c>
    </row>
    <row r="608" spans="1:14">
      <c r="A608" t="s">
        <v>6193</v>
      </c>
      <c r="B608">
        <f>HYPERLINK("https://github.com/pmd/pmd/commit/88c7901e97d7dd3e1ce218defdcfd018158bb8aa", "88c7901e97d7dd3e1ce218defdcfd018158bb8aa")</f>
        <v>0</v>
      </c>
      <c r="C608">
        <f>HYPERLINK("https://github.com/pmd/pmd/commit/5a149df16e142571e1f6348a6eb2ffb87fe51261", "5a149df16e142571e1f6348a6eb2ffb87fe51261")</f>
        <v>0</v>
      </c>
      <c r="D608" t="s">
        <v>6492</v>
      </c>
      <c r="E608" t="s">
        <v>6649</v>
      </c>
      <c r="F608" t="s">
        <v>6977</v>
      </c>
      <c r="G608" t="s">
        <v>7724</v>
      </c>
      <c r="H608" t="s">
        <v>8679</v>
      </c>
      <c r="I608" t="s">
        <v>1357</v>
      </c>
      <c r="J608" t="s">
        <v>1357</v>
      </c>
      <c r="K608" t="s">
        <v>1357</v>
      </c>
      <c r="L608" t="s">
        <v>1357</v>
      </c>
    </row>
    <row r="609" spans="1:14">
      <c r="A609" t="s">
        <v>6194</v>
      </c>
      <c r="B609">
        <f>HYPERLINK("https://github.com/pmd/pmd/commit/8cd9aa0c059d3fecc7c609d850e5d0b87a07b9a2", "8cd9aa0c059d3fecc7c609d850e5d0b87a07b9a2")</f>
        <v>0</v>
      </c>
      <c r="C609">
        <f>HYPERLINK("https://github.com/pmd/pmd/commit/43e3a396d5243a36b5a053763bc9e91e65b3b0e3", "43e3a396d5243a36b5a053763bc9e91e65b3b0e3")</f>
        <v>0</v>
      </c>
      <c r="D609" t="s">
        <v>6492</v>
      </c>
      <c r="E609" t="s">
        <v>6650</v>
      </c>
      <c r="F609" t="s">
        <v>7076</v>
      </c>
      <c r="G609" t="s">
        <v>7788</v>
      </c>
      <c r="H609" t="s">
        <v>8680</v>
      </c>
      <c r="I609" t="s">
        <v>1357</v>
      </c>
      <c r="J609" t="s">
        <v>1357</v>
      </c>
      <c r="K609" t="s">
        <v>1357</v>
      </c>
      <c r="L609" t="s">
        <v>1357</v>
      </c>
    </row>
    <row r="610" spans="1:14">
      <c r="H610" t="s">
        <v>8552</v>
      </c>
      <c r="I610" t="s">
        <v>1357</v>
      </c>
      <c r="J610" t="s">
        <v>1357</v>
      </c>
      <c r="K610" t="s">
        <v>1357</v>
      </c>
      <c r="L610" t="s">
        <v>1357</v>
      </c>
    </row>
    <row r="611" spans="1:14">
      <c r="H611" t="s">
        <v>8681</v>
      </c>
      <c r="I611" t="s">
        <v>1357</v>
      </c>
      <c r="J611" t="s">
        <v>1357</v>
      </c>
      <c r="K611" t="s">
        <v>1357</v>
      </c>
      <c r="L611" t="s">
        <v>1357</v>
      </c>
    </row>
    <row r="612" spans="1:14">
      <c r="H612" t="s">
        <v>8554</v>
      </c>
      <c r="I612" t="s">
        <v>1357</v>
      </c>
      <c r="J612" t="s">
        <v>1357</v>
      </c>
      <c r="K612" t="s">
        <v>1357</v>
      </c>
      <c r="L612" t="s">
        <v>1357</v>
      </c>
    </row>
    <row r="613" spans="1:14">
      <c r="A613" t="s">
        <v>6195</v>
      </c>
      <c r="B613">
        <f>HYPERLINK("https://github.com/pmd/pmd/commit/4df0978f5db82c9bf34bf8ce50150c1f9ab185cb", "4df0978f5db82c9bf34bf8ce50150c1f9ab185cb")</f>
        <v>0</v>
      </c>
      <c r="C613">
        <f>HYPERLINK("https://github.com/pmd/pmd/commit/8074c5ae6d3feab0afda228e8e2bae23257cb482", "8074c5ae6d3feab0afda228e8e2bae23257cb482")</f>
        <v>0</v>
      </c>
      <c r="D613" t="s">
        <v>6492</v>
      </c>
      <c r="E613" t="s">
        <v>6651</v>
      </c>
      <c r="F613" t="s">
        <v>7077</v>
      </c>
      <c r="G613" t="s">
        <v>7818</v>
      </c>
      <c r="H613" t="s">
        <v>8682</v>
      </c>
      <c r="I613" t="s">
        <v>1358</v>
      </c>
      <c r="J613" t="s">
        <v>1358</v>
      </c>
      <c r="K613" t="s">
        <v>1358</v>
      </c>
      <c r="L613" t="s">
        <v>1358</v>
      </c>
      <c r="N613" t="s">
        <v>9931</v>
      </c>
    </row>
    <row r="614" spans="1:14">
      <c r="H614" t="s">
        <v>8683</v>
      </c>
      <c r="I614" t="s">
        <v>1358</v>
      </c>
      <c r="J614" t="s">
        <v>1358</v>
      </c>
      <c r="K614" t="s">
        <v>1358</v>
      </c>
      <c r="L614" t="s">
        <v>1358</v>
      </c>
      <c r="N614" t="s">
        <v>9931</v>
      </c>
    </row>
    <row r="615" spans="1:14">
      <c r="H615" t="s">
        <v>8684</v>
      </c>
      <c r="I615" t="s">
        <v>1358</v>
      </c>
      <c r="J615" t="s">
        <v>1358</v>
      </c>
      <c r="K615" t="s">
        <v>1358</v>
      </c>
      <c r="L615" t="s">
        <v>1358</v>
      </c>
      <c r="N615" t="s">
        <v>9931</v>
      </c>
    </row>
    <row r="616" spans="1:14">
      <c r="H616" t="s">
        <v>8685</v>
      </c>
      <c r="I616" t="s">
        <v>1358</v>
      </c>
      <c r="J616" t="s">
        <v>1358</v>
      </c>
      <c r="K616" t="s">
        <v>1358</v>
      </c>
      <c r="L616" t="s">
        <v>1358</v>
      </c>
      <c r="N616" t="s">
        <v>9931</v>
      </c>
    </row>
    <row r="617" spans="1:14">
      <c r="A617" t="s">
        <v>6196</v>
      </c>
      <c r="B617">
        <f>HYPERLINK("https://github.com/pmd/pmd/commit/3f9d3deefdb6759c19eefb06cf3c378288ac4bea", "3f9d3deefdb6759c19eefb06cf3c378288ac4bea")</f>
        <v>0</v>
      </c>
      <c r="C617">
        <f>HYPERLINK("https://github.com/pmd/pmd/commit/4def0471d79173daefd0fb6c56f5c814607c1e0f", "4def0471d79173daefd0fb6c56f5c814607c1e0f")</f>
        <v>0</v>
      </c>
      <c r="D617" t="s">
        <v>6492</v>
      </c>
      <c r="E617" t="s">
        <v>6652</v>
      </c>
      <c r="F617" t="s">
        <v>7061</v>
      </c>
      <c r="G617" t="s">
        <v>7804</v>
      </c>
      <c r="H617" t="s">
        <v>8686</v>
      </c>
      <c r="I617" t="s">
        <v>1357</v>
      </c>
      <c r="J617" t="s">
        <v>1357</v>
      </c>
      <c r="K617" t="s">
        <v>1357</v>
      </c>
      <c r="L617" t="s">
        <v>1357</v>
      </c>
    </row>
    <row r="618" spans="1:14">
      <c r="A618" t="s">
        <v>6197</v>
      </c>
      <c r="B618">
        <f>HYPERLINK("https://github.com/pmd/pmd/commit/66ecdf3cbe8def752424cb74d67affe11a8392f8", "66ecdf3cbe8def752424cb74d67affe11a8392f8")</f>
        <v>0</v>
      </c>
      <c r="C618">
        <f>HYPERLINK("https://github.com/pmd/pmd/commit/3f9d3deefdb6759c19eefb06cf3c378288ac4bea", "3f9d3deefdb6759c19eefb06cf3c378288ac4bea")</f>
        <v>0</v>
      </c>
      <c r="D618" t="s">
        <v>6492</v>
      </c>
      <c r="E618" t="s">
        <v>6653</v>
      </c>
      <c r="F618" t="s">
        <v>7078</v>
      </c>
      <c r="G618" t="s">
        <v>7819</v>
      </c>
      <c r="H618" t="s">
        <v>8687</v>
      </c>
      <c r="I618" t="s">
        <v>1357</v>
      </c>
      <c r="J618" t="s">
        <v>1357</v>
      </c>
      <c r="K618" t="s">
        <v>1357</v>
      </c>
      <c r="L618" t="s">
        <v>1357</v>
      </c>
    </row>
    <row r="619" spans="1:14">
      <c r="A619" t="s">
        <v>6198</v>
      </c>
      <c r="B619">
        <f>HYPERLINK("https://github.com/pmd/pmd/commit/f58fd5582a8d9fd1d85636a169bbf9bafd914860", "f58fd5582a8d9fd1d85636a169bbf9bafd914860")</f>
        <v>0</v>
      </c>
      <c r="C619">
        <f>HYPERLINK("https://github.com/pmd/pmd/commit/76fc9780cf15b787ea161c29af568f97116098cf", "76fc9780cf15b787ea161c29af568f97116098cf")</f>
        <v>0</v>
      </c>
      <c r="D619" t="s">
        <v>6492</v>
      </c>
      <c r="E619" t="s">
        <v>6654</v>
      </c>
      <c r="F619" t="s">
        <v>7078</v>
      </c>
      <c r="G619" t="s">
        <v>7819</v>
      </c>
      <c r="H619" t="s">
        <v>8687</v>
      </c>
      <c r="I619" t="s">
        <v>1357</v>
      </c>
      <c r="J619" t="s">
        <v>1357</v>
      </c>
      <c r="K619" t="s">
        <v>1357</v>
      </c>
      <c r="L619" t="s">
        <v>1357</v>
      </c>
    </row>
    <row r="620" spans="1:14">
      <c r="A620" t="s">
        <v>6199</v>
      </c>
      <c r="B620">
        <f>HYPERLINK("https://github.com/pmd/pmd/commit/1d8de6b34ea0ddb64fc94b478c0950c0d35de605", "1d8de6b34ea0ddb64fc94b478c0950c0d35de605")</f>
        <v>0</v>
      </c>
      <c r="C620">
        <f>HYPERLINK("https://github.com/pmd/pmd/commit/9cc57fd3ea72e214589992410001ca5a30692679", "9cc57fd3ea72e214589992410001ca5a30692679")</f>
        <v>0</v>
      </c>
      <c r="D620" t="s">
        <v>6492</v>
      </c>
      <c r="E620" t="s">
        <v>6655</v>
      </c>
      <c r="F620" t="s">
        <v>7079</v>
      </c>
      <c r="G620" t="s">
        <v>7820</v>
      </c>
      <c r="H620" t="s">
        <v>8688</v>
      </c>
      <c r="I620" t="s">
        <v>1357</v>
      </c>
      <c r="J620" t="s">
        <v>1357</v>
      </c>
      <c r="K620" t="s">
        <v>1357</v>
      </c>
      <c r="L620" t="s">
        <v>1357</v>
      </c>
    </row>
    <row r="621" spans="1:14">
      <c r="H621" t="s">
        <v>8689</v>
      </c>
      <c r="I621" t="s">
        <v>1357</v>
      </c>
      <c r="J621" t="s">
        <v>1357</v>
      </c>
      <c r="K621" t="s">
        <v>1357</v>
      </c>
      <c r="L621" t="s">
        <v>1357</v>
      </c>
    </row>
    <row r="622" spans="1:14">
      <c r="H622" t="s">
        <v>8690</v>
      </c>
      <c r="I622" t="s">
        <v>1357</v>
      </c>
      <c r="J622" t="s">
        <v>1357</v>
      </c>
      <c r="K622" t="s">
        <v>1357</v>
      </c>
      <c r="L622" t="s">
        <v>1357</v>
      </c>
    </row>
    <row r="623" spans="1:14">
      <c r="H623" t="s">
        <v>8691</v>
      </c>
      <c r="I623" t="s">
        <v>1357</v>
      </c>
      <c r="J623" t="s">
        <v>1357</v>
      </c>
      <c r="K623" t="s">
        <v>1357</v>
      </c>
      <c r="L623" t="s">
        <v>1357</v>
      </c>
    </row>
    <row r="624" spans="1:14">
      <c r="H624" t="s">
        <v>8594</v>
      </c>
      <c r="I624" t="s">
        <v>1357</v>
      </c>
      <c r="J624" t="s">
        <v>1357</v>
      </c>
      <c r="K624" t="s">
        <v>1357</v>
      </c>
      <c r="L624" t="s">
        <v>1357</v>
      </c>
    </row>
    <row r="625" spans="1:14">
      <c r="H625" t="s">
        <v>8595</v>
      </c>
      <c r="I625" t="s">
        <v>1357</v>
      </c>
      <c r="J625" t="s">
        <v>1357</v>
      </c>
      <c r="K625" t="s">
        <v>1357</v>
      </c>
      <c r="L625" t="s">
        <v>1357</v>
      </c>
    </row>
    <row r="626" spans="1:14">
      <c r="H626" t="s">
        <v>8596</v>
      </c>
      <c r="I626" t="s">
        <v>1357</v>
      </c>
      <c r="J626" t="s">
        <v>1357</v>
      </c>
      <c r="K626" t="s">
        <v>1357</v>
      </c>
      <c r="L626" t="s">
        <v>1357</v>
      </c>
    </row>
    <row r="627" spans="1:14">
      <c r="H627" t="s">
        <v>8597</v>
      </c>
      <c r="I627" t="s">
        <v>1357</v>
      </c>
      <c r="J627" t="s">
        <v>1357</v>
      </c>
      <c r="K627" t="s">
        <v>1357</v>
      </c>
      <c r="L627" t="s">
        <v>1357</v>
      </c>
    </row>
    <row r="628" spans="1:14">
      <c r="H628" t="s">
        <v>8598</v>
      </c>
      <c r="I628" t="s">
        <v>1357</v>
      </c>
      <c r="J628" t="s">
        <v>1357</v>
      </c>
      <c r="K628" t="s">
        <v>1357</v>
      </c>
      <c r="L628" t="s">
        <v>1357</v>
      </c>
    </row>
    <row r="629" spans="1:14">
      <c r="H629" t="s">
        <v>8692</v>
      </c>
      <c r="I629" t="s">
        <v>1357</v>
      </c>
      <c r="J629" t="s">
        <v>1357</v>
      </c>
      <c r="K629" t="s">
        <v>1357</v>
      </c>
      <c r="L629" t="s">
        <v>1357</v>
      </c>
    </row>
    <row r="630" spans="1:14">
      <c r="H630" t="s">
        <v>8693</v>
      </c>
      <c r="I630" t="s">
        <v>1357</v>
      </c>
      <c r="J630" t="s">
        <v>1357</v>
      </c>
      <c r="K630" t="s">
        <v>1357</v>
      </c>
      <c r="L630" t="s">
        <v>1357</v>
      </c>
    </row>
    <row r="631" spans="1:14">
      <c r="H631" t="s">
        <v>8694</v>
      </c>
      <c r="I631" t="s">
        <v>1357</v>
      </c>
      <c r="J631" t="s">
        <v>1357</v>
      </c>
      <c r="K631" t="s">
        <v>1357</v>
      </c>
      <c r="L631" t="s">
        <v>1357</v>
      </c>
    </row>
    <row r="632" spans="1:14">
      <c r="H632" t="s">
        <v>8695</v>
      </c>
      <c r="I632" t="s">
        <v>1357</v>
      </c>
      <c r="J632" t="s">
        <v>1357</v>
      </c>
      <c r="K632" t="s">
        <v>1357</v>
      </c>
      <c r="L632" t="s">
        <v>1357</v>
      </c>
    </row>
    <row r="633" spans="1:14">
      <c r="H633" t="s">
        <v>8696</v>
      </c>
      <c r="I633" t="s">
        <v>1357</v>
      </c>
      <c r="J633" t="s">
        <v>1357</v>
      </c>
      <c r="K633" t="s">
        <v>1357</v>
      </c>
      <c r="L633" t="s">
        <v>1357</v>
      </c>
    </row>
    <row r="634" spans="1:14">
      <c r="F634" t="s">
        <v>7080</v>
      </c>
      <c r="G634" t="s">
        <v>7821</v>
      </c>
      <c r="H634" t="s">
        <v>8697</v>
      </c>
      <c r="I634" t="s">
        <v>1357</v>
      </c>
      <c r="J634" t="s">
        <v>1357</v>
      </c>
      <c r="K634" t="s">
        <v>1357</v>
      </c>
      <c r="L634" t="s">
        <v>1357</v>
      </c>
    </row>
    <row r="635" spans="1:14">
      <c r="H635" t="s">
        <v>8698</v>
      </c>
      <c r="I635" t="s">
        <v>1357</v>
      </c>
      <c r="J635" t="s">
        <v>1357</v>
      </c>
      <c r="K635" t="s">
        <v>1357</v>
      </c>
      <c r="L635" t="s">
        <v>1357</v>
      </c>
    </row>
    <row r="636" spans="1:14">
      <c r="F636" t="s">
        <v>7081</v>
      </c>
      <c r="G636" t="s">
        <v>7822</v>
      </c>
      <c r="H636" t="s">
        <v>8699</v>
      </c>
      <c r="I636" t="s">
        <v>1357</v>
      </c>
      <c r="J636" t="s">
        <v>1357</v>
      </c>
      <c r="K636" t="s">
        <v>1357</v>
      </c>
      <c r="L636" t="s">
        <v>1357</v>
      </c>
    </row>
    <row r="637" spans="1:14">
      <c r="A637" t="s">
        <v>6200</v>
      </c>
      <c r="B637">
        <f>HYPERLINK("https://github.com/pmd/pmd/commit/bdaacb65c3379942ea278219e41707936e766206", "bdaacb65c3379942ea278219e41707936e766206")</f>
        <v>0</v>
      </c>
      <c r="C637">
        <f>HYPERLINK("https://github.com/pmd/pmd/commit/1d8de6b34ea0ddb64fc94b478c0950c0d35de605", "1d8de6b34ea0ddb64fc94b478c0950c0d35de605")</f>
        <v>0</v>
      </c>
      <c r="D637" t="s">
        <v>6492</v>
      </c>
      <c r="E637" t="s">
        <v>6656</v>
      </c>
      <c r="F637" t="s">
        <v>7079</v>
      </c>
      <c r="G637" t="s">
        <v>7820</v>
      </c>
      <c r="H637" t="s">
        <v>8700</v>
      </c>
      <c r="I637" t="s">
        <v>1357</v>
      </c>
      <c r="J637" t="s">
        <v>1357</v>
      </c>
      <c r="K637" t="s">
        <v>1357</v>
      </c>
      <c r="L637" t="s">
        <v>1357</v>
      </c>
    </row>
    <row r="638" spans="1:14">
      <c r="A638" t="s">
        <v>6201</v>
      </c>
      <c r="B638">
        <f>HYPERLINK("https://github.com/pmd/pmd/commit/606e83b0f5c7b0b4f0d05f9c5bcc8d92c81d9342", "606e83b0f5c7b0b4f0d05f9c5bcc8d92c81d9342")</f>
        <v>0</v>
      </c>
      <c r="C638">
        <f>HYPERLINK("https://github.com/pmd/pmd/commit/ee2fd2fd2d68ae719382eab21cad7577691508b5", "ee2fd2fd2d68ae719382eab21cad7577691508b5")</f>
        <v>0</v>
      </c>
      <c r="D638" t="s">
        <v>6492</v>
      </c>
      <c r="E638" t="s">
        <v>6657</v>
      </c>
      <c r="F638" t="s">
        <v>7079</v>
      </c>
      <c r="G638" t="s">
        <v>7820</v>
      </c>
      <c r="H638" t="s">
        <v>8701</v>
      </c>
      <c r="I638" t="s">
        <v>1358</v>
      </c>
      <c r="J638" t="s">
        <v>1358</v>
      </c>
      <c r="K638" t="s">
        <v>1358</v>
      </c>
      <c r="L638" t="s">
        <v>1358</v>
      </c>
      <c r="N638" t="s">
        <v>9936</v>
      </c>
    </row>
    <row r="639" spans="1:14">
      <c r="H639" t="s">
        <v>8702</v>
      </c>
      <c r="I639" t="s">
        <v>1358</v>
      </c>
      <c r="J639" t="s">
        <v>1358</v>
      </c>
      <c r="K639" t="s">
        <v>1358</v>
      </c>
      <c r="L639" t="s">
        <v>1358</v>
      </c>
      <c r="N639" t="s">
        <v>9936</v>
      </c>
    </row>
    <row r="640" spans="1:14">
      <c r="H640" t="s">
        <v>8703</v>
      </c>
      <c r="I640" t="s">
        <v>1358</v>
      </c>
      <c r="J640" t="s">
        <v>1358</v>
      </c>
      <c r="K640" t="s">
        <v>1358</v>
      </c>
      <c r="L640" t="s">
        <v>1358</v>
      </c>
      <c r="N640" t="s">
        <v>9936</v>
      </c>
    </row>
    <row r="641" spans="1:14">
      <c r="H641" t="s">
        <v>8704</v>
      </c>
      <c r="I641" t="s">
        <v>1358</v>
      </c>
      <c r="J641" t="s">
        <v>1358</v>
      </c>
      <c r="K641" t="s">
        <v>1358</v>
      </c>
      <c r="L641" t="s">
        <v>1358</v>
      </c>
      <c r="N641" t="s">
        <v>9936</v>
      </c>
    </row>
    <row r="642" spans="1:14">
      <c r="A642" t="s">
        <v>6202</v>
      </c>
      <c r="B642">
        <f>HYPERLINK("https://github.com/pmd/pmd/commit/4400ba86f164e835ca501106a0c37fbf7487421c", "4400ba86f164e835ca501106a0c37fbf7487421c")</f>
        <v>0</v>
      </c>
      <c r="C642">
        <f>HYPERLINK("https://github.com/pmd/pmd/commit/fde55e40835e80de47cefec339ce565acc4332bc", "fde55e40835e80de47cefec339ce565acc4332bc")</f>
        <v>0</v>
      </c>
      <c r="D642" t="s">
        <v>6492</v>
      </c>
      <c r="E642" t="s">
        <v>6658</v>
      </c>
      <c r="F642" t="s">
        <v>7082</v>
      </c>
      <c r="G642" t="s">
        <v>7823</v>
      </c>
      <c r="H642" t="s">
        <v>8378</v>
      </c>
      <c r="I642" t="s">
        <v>1357</v>
      </c>
      <c r="J642" t="s">
        <v>1357</v>
      </c>
      <c r="K642" t="s">
        <v>1357</v>
      </c>
      <c r="L642" t="s">
        <v>1357</v>
      </c>
    </row>
    <row r="643" spans="1:14">
      <c r="A643" t="s">
        <v>6203</v>
      </c>
      <c r="B643">
        <f>HYPERLINK("https://github.com/pmd/pmd/commit/fe1ace532edb56b1188475defb05df6f0cb858b9", "fe1ace532edb56b1188475defb05df6f0cb858b9")</f>
        <v>0</v>
      </c>
      <c r="C643">
        <f>HYPERLINK("https://github.com/pmd/pmd/commit/e1ccab17c2ffa4b28a4738fc83dc13f3444e966f", "e1ccab17c2ffa4b28a4738fc83dc13f3444e966f")</f>
        <v>0</v>
      </c>
      <c r="D643" t="s">
        <v>6492</v>
      </c>
      <c r="E643" t="s">
        <v>6659</v>
      </c>
      <c r="F643" t="s">
        <v>7016</v>
      </c>
      <c r="G643" t="s">
        <v>7762</v>
      </c>
      <c r="H643" t="s">
        <v>8705</v>
      </c>
      <c r="I643" t="s">
        <v>1358</v>
      </c>
      <c r="J643" t="s">
        <v>1358</v>
      </c>
      <c r="K643" t="s">
        <v>1358</v>
      </c>
      <c r="L643" t="s">
        <v>1358</v>
      </c>
    </row>
    <row r="644" spans="1:14">
      <c r="A644" t="s">
        <v>6204</v>
      </c>
      <c r="B644">
        <f>HYPERLINK("https://github.com/pmd/pmd/commit/28d284fb6da2ca2f67af919aa17339765760ee7b", "28d284fb6da2ca2f67af919aa17339765760ee7b")</f>
        <v>0</v>
      </c>
      <c r="C644">
        <f>HYPERLINK("https://github.com/pmd/pmd/commit/fe1ace532edb56b1188475defb05df6f0cb858b9", "fe1ace532edb56b1188475defb05df6f0cb858b9")</f>
        <v>0</v>
      </c>
      <c r="D644" t="s">
        <v>6492</v>
      </c>
      <c r="E644" t="s">
        <v>6660</v>
      </c>
      <c r="F644" t="s">
        <v>7016</v>
      </c>
      <c r="G644" t="s">
        <v>7762</v>
      </c>
      <c r="H644" t="s">
        <v>8706</v>
      </c>
      <c r="I644" t="s">
        <v>1358</v>
      </c>
      <c r="J644" t="s">
        <v>1358</v>
      </c>
      <c r="K644" t="s">
        <v>1358</v>
      </c>
      <c r="L644" t="s">
        <v>1358</v>
      </c>
    </row>
    <row r="645" spans="1:14">
      <c r="A645" t="s">
        <v>6205</v>
      </c>
      <c r="B645">
        <f>HYPERLINK("https://github.com/pmd/pmd/commit/891c0ad1b9b88dd966f5761c178854bf81f2e31b", "891c0ad1b9b88dd966f5761c178854bf81f2e31b")</f>
        <v>0</v>
      </c>
      <c r="C645">
        <f>HYPERLINK("https://github.com/pmd/pmd/commit/6f60c4e433f22b73aac6f636ac8dc1da750b3c05", "6f60c4e433f22b73aac6f636ac8dc1da750b3c05")</f>
        <v>0</v>
      </c>
      <c r="D645" t="s">
        <v>6492</v>
      </c>
      <c r="E645" t="s">
        <v>6661</v>
      </c>
      <c r="F645" t="s">
        <v>7020</v>
      </c>
      <c r="G645" t="s">
        <v>7766</v>
      </c>
      <c r="H645" t="s">
        <v>8707</v>
      </c>
      <c r="I645" t="s">
        <v>1359</v>
      </c>
      <c r="J645" t="s">
        <v>1357</v>
      </c>
      <c r="K645" t="s">
        <v>1357</v>
      </c>
      <c r="L645" t="s">
        <v>1358</v>
      </c>
      <c r="N645" t="s">
        <v>9937</v>
      </c>
    </row>
    <row r="646" spans="1:14">
      <c r="A646" t="s">
        <v>6206</v>
      </c>
      <c r="B646">
        <f>HYPERLINK("https://github.com/pmd/pmd/commit/093c3b5dead95f80f43b533ce30706fa6fbe516d", "093c3b5dead95f80f43b533ce30706fa6fbe516d")</f>
        <v>0</v>
      </c>
      <c r="C646">
        <f>HYPERLINK("https://github.com/pmd/pmd/commit/4fdcd80f3ecdb2fe689e74187b8857966c53a556", "4fdcd80f3ecdb2fe689e74187b8857966c53a556")</f>
        <v>0</v>
      </c>
      <c r="D646" t="s">
        <v>6492</v>
      </c>
      <c r="E646" t="s">
        <v>6662</v>
      </c>
      <c r="F646" t="s">
        <v>7020</v>
      </c>
      <c r="G646" t="s">
        <v>7766</v>
      </c>
      <c r="H646" t="s">
        <v>8704</v>
      </c>
      <c r="I646" t="s">
        <v>1358</v>
      </c>
      <c r="J646" t="s">
        <v>1358</v>
      </c>
      <c r="K646" t="s">
        <v>1358</v>
      </c>
      <c r="L646" t="s">
        <v>1358</v>
      </c>
    </row>
    <row r="647" spans="1:14">
      <c r="A647" t="s">
        <v>6207</v>
      </c>
      <c r="B647">
        <f>HYPERLINK("https://github.com/pmd/pmd/commit/a25567f5b2efbd3d83953f9893631f45373f5340", "a25567f5b2efbd3d83953f9893631f45373f5340")</f>
        <v>0</v>
      </c>
      <c r="C647">
        <f>HYPERLINK("https://github.com/pmd/pmd/commit/fbee89cfdfd75c9a20c14d889c04e5de33114ebc", "fbee89cfdfd75c9a20c14d889c04e5de33114ebc")</f>
        <v>0</v>
      </c>
      <c r="D647" t="s">
        <v>6492</v>
      </c>
      <c r="E647" t="s">
        <v>6663</v>
      </c>
      <c r="F647" t="s">
        <v>7083</v>
      </c>
      <c r="G647" t="s">
        <v>7824</v>
      </c>
      <c r="H647" t="s">
        <v>8708</v>
      </c>
      <c r="I647" t="s">
        <v>1358</v>
      </c>
      <c r="J647" t="s">
        <v>1358</v>
      </c>
      <c r="K647" t="s">
        <v>1358</v>
      </c>
      <c r="L647" t="s">
        <v>1358</v>
      </c>
    </row>
    <row r="648" spans="1:14">
      <c r="A648" t="s">
        <v>6208</v>
      </c>
      <c r="B648">
        <f>HYPERLINK("https://github.com/pmd/pmd/commit/ef1a0b72af2532ae206fba6df845f9131d1f6876", "ef1a0b72af2532ae206fba6df845f9131d1f6876")</f>
        <v>0</v>
      </c>
      <c r="C648">
        <f>HYPERLINK("https://github.com/pmd/pmd/commit/b947f08308fecdd065cf9832dafb36348c305b9f", "b947f08308fecdd065cf9832dafb36348c305b9f")</f>
        <v>0</v>
      </c>
      <c r="D648" t="s">
        <v>6492</v>
      </c>
      <c r="E648" t="s">
        <v>6664</v>
      </c>
      <c r="F648" t="s">
        <v>7057</v>
      </c>
      <c r="G648" t="s">
        <v>7801</v>
      </c>
      <c r="H648" t="s">
        <v>8709</v>
      </c>
      <c r="I648" t="s">
        <v>1359</v>
      </c>
      <c r="J648" t="s">
        <v>1358</v>
      </c>
      <c r="K648" t="s">
        <v>1357</v>
      </c>
      <c r="L648" t="s">
        <v>1358</v>
      </c>
      <c r="N648" t="s">
        <v>9938</v>
      </c>
    </row>
    <row r="649" spans="1:14">
      <c r="A649" t="s">
        <v>6209</v>
      </c>
      <c r="B649">
        <f>HYPERLINK("https://github.com/pmd/pmd/commit/b3a5fce797696ff969ed5e8da67cc05625e16ed1", "b3a5fce797696ff969ed5e8da67cc05625e16ed1")</f>
        <v>0</v>
      </c>
      <c r="C649">
        <f>HYPERLINK("https://github.com/pmd/pmd/commit/ef1a0b72af2532ae206fba6df845f9131d1f6876", "ef1a0b72af2532ae206fba6df845f9131d1f6876")</f>
        <v>0</v>
      </c>
      <c r="D649" t="s">
        <v>6492</v>
      </c>
      <c r="E649" t="s">
        <v>6665</v>
      </c>
      <c r="F649" t="s">
        <v>7057</v>
      </c>
      <c r="G649" t="s">
        <v>7801</v>
      </c>
      <c r="H649" t="s">
        <v>8710</v>
      </c>
      <c r="I649" t="s">
        <v>1357</v>
      </c>
      <c r="J649" t="s">
        <v>1357</v>
      </c>
      <c r="K649" t="s">
        <v>1357</v>
      </c>
      <c r="L649" t="s">
        <v>1357</v>
      </c>
    </row>
    <row r="650" spans="1:14">
      <c r="H650" t="s">
        <v>8711</v>
      </c>
      <c r="I650" t="s">
        <v>1357</v>
      </c>
      <c r="J650" t="s">
        <v>1357</v>
      </c>
      <c r="K650" t="s">
        <v>1357</v>
      </c>
      <c r="L650" t="s">
        <v>1357</v>
      </c>
    </row>
    <row r="651" spans="1:14">
      <c r="A651" t="s">
        <v>6210</v>
      </c>
      <c r="B651">
        <f>HYPERLINK("https://github.com/pmd/pmd/commit/4bbbd9b5e99ad7883a6a6ddac29db80eaba0bbef", "4bbbd9b5e99ad7883a6a6ddac29db80eaba0bbef")</f>
        <v>0</v>
      </c>
      <c r="C651">
        <f>HYPERLINK("https://github.com/pmd/pmd/commit/55772c733dd6f3199cca7d2cb6a4031d5b96fc9c", "55772c733dd6f3199cca7d2cb6a4031d5b96fc9c")</f>
        <v>0</v>
      </c>
      <c r="D651" t="s">
        <v>6492</v>
      </c>
      <c r="E651" t="s">
        <v>6666</v>
      </c>
      <c r="F651" t="s">
        <v>7084</v>
      </c>
      <c r="G651" t="s">
        <v>7825</v>
      </c>
      <c r="H651" t="s">
        <v>8712</v>
      </c>
      <c r="I651" t="s">
        <v>1358</v>
      </c>
      <c r="J651" t="s">
        <v>1358</v>
      </c>
      <c r="K651" t="s">
        <v>1358</v>
      </c>
      <c r="L651" t="s">
        <v>1358</v>
      </c>
    </row>
    <row r="652" spans="1:14">
      <c r="A652" t="s">
        <v>6211</v>
      </c>
      <c r="B652">
        <f>HYPERLINK("https://github.com/pmd/pmd/commit/17974db7db2d0a8bc03a25c8b6fbb7c198e0678b", "17974db7db2d0a8bc03a25c8b6fbb7c198e0678b")</f>
        <v>0</v>
      </c>
      <c r="C652">
        <f>HYPERLINK("https://github.com/pmd/pmd/commit/4bbbd9b5e99ad7883a6a6ddac29db80eaba0bbef", "4bbbd9b5e99ad7883a6a6ddac29db80eaba0bbef")</f>
        <v>0</v>
      </c>
      <c r="D652" t="s">
        <v>6492</v>
      </c>
      <c r="E652" t="s">
        <v>6667</v>
      </c>
      <c r="F652" t="s">
        <v>7084</v>
      </c>
      <c r="G652" t="s">
        <v>7825</v>
      </c>
      <c r="H652" t="s">
        <v>8713</v>
      </c>
      <c r="I652" t="s">
        <v>1357</v>
      </c>
      <c r="J652" t="s">
        <v>1357</v>
      </c>
      <c r="K652" t="s">
        <v>1357</v>
      </c>
      <c r="L652" t="s">
        <v>1357</v>
      </c>
    </row>
    <row r="653" spans="1:14">
      <c r="H653" t="s">
        <v>8714</v>
      </c>
      <c r="I653" t="s">
        <v>1357</v>
      </c>
      <c r="J653" t="s">
        <v>1357</v>
      </c>
      <c r="K653" t="s">
        <v>1357</v>
      </c>
      <c r="L653" t="s">
        <v>1357</v>
      </c>
    </row>
    <row r="654" spans="1:14">
      <c r="A654" t="s">
        <v>6212</v>
      </c>
      <c r="B654">
        <f>HYPERLINK("https://github.com/pmd/pmd/commit/c02806442559ca74c050ba0d574007ed840a210a", "c02806442559ca74c050ba0d574007ed840a210a")</f>
        <v>0</v>
      </c>
      <c r="C654">
        <f>HYPERLINK("https://github.com/pmd/pmd/commit/64294520bf00fa85f733425aff3580c643932826", "64294520bf00fa85f733425aff3580c643932826")</f>
        <v>0</v>
      </c>
      <c r="D654" t="s">
        <v>6492</v>
      </c>
      <c r="E654" t="s">
        <v>6668</v>
      </c>
      <c r="F654" t="s">
        <v>7079</v>
      </c>
      <c r="G654" t="s">
        <v>7820</v>
      </c>
      <c r="H654" t="s">
        <v>8700</v>
      </c>
      <c r="I654" t="s">
        <v>1358</v>
      </c>
      <c r="J654" t="s">
        <v>1358</v>
      </c>
      <c r="K654" t="s">
        <v>1358</v>
      </c>
      <c r="L654" t="s">
        <v>1358</v>
      </c>
      <c r="N654" t="s">
        <v>1374</v>
      </c>
    </row>
    <row r="655" spans="1:14">
      <c r="A655" t="s">
        <v>6213</v>
      </c>
      <c r="B655">
        <f>HYPERLINK("https://github.com/pmd/pmd/commit/17fcb6c9c40b3a922ef03e6b62b13a0f6c510273", "17fcb6c9c40b3a922ef03e6b62b13a0f6c510273")</f>
        <v>0</v>
      </c>
      <c r="C655">
        <f>HYPERLINK("https://github.com/pmd/pmd/commit/d56f4603a1c3e4b187e0cf94e5ad725587f4de33", "d56f4603a1c3e4b187e0cf94e5ad725587f4de33")</f>
        <v>0</v>
      </c>
      <c r="D655" t="s">
        <v>6492</v>
      </c>
      <c r="E655" t="s">
        <v>6669</v>
      </c>
      <c r="F655" t="s">
        <v>6988</v>
      </c>
      <c r="G655" t="s">
        <v>7734</v>
      </c>
      <c r="H655" t="s">
        <v>8715</v>
      </c>
      <c r="I655" t="s">
        <v>1357</v>
      </c>
      <c r="J655" t="s">
        <v>1357</v>
      </c>
      <c r="K655" t="s">
        <v>1357</v>
      </c>
      <c r="L655" t="s">
        <v>1357</v>
      </c>
    </row>
    <row r="656" spans="1:14">
      <c r="A656" t="s">
        <v>6214</v>
      </c>
      <c r="B656">
        <f>HYPERLINK("https://github.com/pmd/pmd/commit/e8bdf51b6b1b67c325009b19164a961389b8e251", "e8bdf51b6b1b67c325009b19164a961389b8e251")</f>
        <v>0</v>
      </c>
      <c r="C656">
        <f>HYPERLINK("https://github.com/pmd/pmd/commit/9eecf8f163d01f54a1799e1bfa2841517f2e2b53", "9eecf8f163d01f54a1799e1bfa2841517f2e2b53")</f>
        <v>0</v>
      </c>
      <c r="D656" t="s">
        <v>6492</v>
      </c>
      <c r="E656" t="s">
        <v>6670</v>
      </c>
      <c r="F656" t="s">
        <v>6986</v>
      </c>
      <c r="G656" t="s">
        <v>7732</v>
      </c>
      <c r="H656" t="s">
        <v>1079</v>
      </c>
      <c r="I656" t="s">
        <v>1357</v>
      </c>
      <c r="J656" t="s">
        <v>1357</v>
      </c>
      <c r="K656" t="s">
        <v>1357</v>
      </c>
      <c r="L656" t="s">
        <v>1357</v>
      </c>
    </row>
    <row r="657" spans="1:12">
      <c r="H657" t="s">
        <v>8716</v>
      </c>
      <c r="I657" t="s">
        <v>1357</v>
      </c>
      <c r="J657" t="s">
        <v>1357</v>
      </c>
      <c r="K657" t="s">
        <v>1357</v>
      </c>
      <c r="L657" t="s">
        <v>1357</v>
      </c>
    </row>
    <row r="658" spans="1:12">
      <c r="H658" t="s">
        <v>8717</v>
      </c>
      <c r="I658" t="s">
        <v>1357</v>
      </c>
      <c r="J658" t="s">
        <v>1357</v>
      </c>
      <c r="K658" t="s">
        <v>1357</v>
      </c>
      <c r="L658" t="s">
        <v>1357</v>
      </c>
    </row>
    <row r="659" spans="1:12">
      <c r="H659" t="s">
        <v>8718</v>
      </c>
      <c r="I659" t="s">
        <v>1357</v>
      </c>
      <c r="J659" t="s">
        <v>1357</v>
      </c>
      <c r="K659" t="s">
        <v>1357</v>
      </c>
      <c r="L659" t="s">
        <v>1357</v>
      </c>
    </row>
    <row r="660" spans="1:12">
      <c r="H660" t="s">
        <v>8719</v>
      </c>
      <c r="I660" t="s">
        <v>1357</v>
      </c>
      <c r="J660" t="s">
        <v>1357</v>
      </c>
      <c r="K660" t="s">
        <v>1357</v>
      </c>
      <c r="L660" t="s">
        <v>1357</v>
      </c>
    </row>
    <row r="661" spans="1:12">
      <c r="H661" t="s">
        <v>8720</v>
      </c>
      <c r="I661" t="s">
        <v>1357</v>
      </c>
      <c r="J661" t="s">
        <v>1357</v>
      </c>
      <c r="K661" t="s">
        <v>1357</v>
      </c>
      <c r="L661" t="s">
        <v>1357</v>
      </c>
    </row>
    <row r="662" spans="1:12">
      <c r="H662" t="s">
        <v>8721</v>
      </c>
      <c r="I662" t="s">
        <v>1357</v>
      </c>
      <c r="J662" t="s">
        <v>1357</v>
      </c>
      <c r="K662" t="s">
        <v>1357</v>
      </c>
      <c r="L662" t="s">
        <v>1357</v>
      </c>
    </row>
    <row r="663" spans="1:12">
      <c r="H663" t="s">
        <v>8722</v>
      </c>
      <c r="I663" t="s">
        <v>1357</v>
      </c>
      <c r="J663" t="s">
        <v>1357</v>
      </c>
      <c r="K663" t="s">
        <v>1357</v>
      </c>
      <c r="L663" t="s">
        <v>1357</v>
      </c>
    </row>
    <row r="664" spans="1:12">
      <c r="A664" t="s">
        <v>6215</v>
      </c>
      <c r="B664">
        <f>HYPERLINK("https://github.com/pmd/pmd/commit/acc1d1391540fe25bd02df321163fbabb89c90ae", "acc1d1391540fe25bd02df321163fbabb89c90ae")</f>
        <v>0</v>
      </c>
      <c r="C664">
        <f>HYPERLINK("https://github.com/pmd/pmd/commit/6857df0422e85f0bdb308fc3855ef7b6d8dad7a2", "6857df0422e85f0bdb308fc3855ef7b6d8dad7a2")</f>
        <v>0</v>
      </c>
      <c r="D664" t="s">
        <v>6492</v>
      </c>
      <c r="E664" t="s">
        <v>6671</v>
      </c>
      <c r="F664" t="s">
        <v>7040</v>
      </c>
      <c r="G664" t="s">
        <v>7786</v>
      </c>
      <c r="H664" t="s">
        <v>8723</v>
      </c>
      <c r="I664" t="s">
        <v>1359</v>
      </c>
      <c r="J664" t="s">
        <v>1357</v>
      </c>
      <c r="K664" t="s">
        <v>1358</v>
      </c>
      <c r="L664" t="s">
        <v>1357</v>
      </c>
    </row>
    <row r="665" spans="1:12">
      <c r="A665" t="s">
        <v>6216</v>
      </c>
      <c r="B665">
        <f>HYPERLINK("https://github.com/pmd/pmd/commit/d2e32f7d3c977884d249c88ff190aa2f8babcd92", "d2e32f7d3c977884d249c88ff190aa2f8babcd92")</f>
        <v>0</v>
      </c>
      <c r="C665">
        <f>HYPERLINK("https://github.com/pmd/pmd/commit/2383390cbff567bb3cb6eb95fba31ccabed81ae7", "2383390cbff567bb3cb6eb95fba31ccabed81ae7")</f>
        <v>0</v>
      </c>
      <c r="D665" t="s">
        <v>6492</v>
      </c>
      <c r="E665" t="s">
        <v>6672</v>
      </c>
      <c r="F665" t="s">
        <v>6977</v>
      </c>
      <c r="G665" t="s">
        <v>7724</v>
      </c>
      <c r="H665" t="s">
        <v>8724</v>
      </c>
      <c r="I665" t="s">
        <v>1357</v>
      </c>
      <c r="J665" t="s">
        <v>1357</v>
      </c>
      <c r="K665" t="s">
        <v>1357</v>
      </c>
      <c r="L665" t="s">
        <v>1357</v>
      </c>
    </row>
    <row r="666" spans="1:12">
      <c r="F666" t="s">
        <v>6956</v>
      </c>
      <c r="G666" t="s">
        <v>7703</v>
      </c>
      <c r="H666" t="s">
        <v>8725</v>
      </c>
      <c r="I666" t="s">
        <v>1358</v>
      </c>
      <c r="J666" t="s">
        <v>1358</v>
      </c>
      <c r="K666" t="s">
        <v>1358</v>
      </c>
      <c r="L666" t="s">
        <v>1358</v>
      </c>
    </row>
    <row r="667" spans="1:12">
      <c r="H667" t="s">
        <v>8726</v>
      </c>
      <c r="I667" t="s">
        <v>1357</v>
      </c>
      <c r="J667" t="s">
        <v>1357</v>
      </c>
      <c r="K667" t="s">
        <v>1357</v>
      </c>
      <c r="L667" t="s">
        <v>1357</v>
      </c>
    </row>
    <row r="668" spans="1:12">
      <c r="F668" t="s">
        <v>6978</v>
      </c>
      <c r="G668" t="s">
        <v>7725</v>
      </c>
      <c r="H668" t="s">
        <v>8727</v>
      </c>
      <c r="I668" t="s">
        <v>1357</v>
      </c>
      <c r="J668" t="s">
        <v>1357</v>
      </c>
      <c r="K668" t="s">
        <v>1357</v>
      </c>
      <c r="L668" t="s">
        <v>1357</v>
      </c>
    </row>
    <row r="669" spans="1:12">
      <c r="A669" t="s">
        <v>6217</v>
      </c>
      <c r="B669">
        <f>HYPERLINK("https://github.com/pmd/pmd/commit/4a25c7423f4fa74568b502adfe7a46c194cb8199", "4a25c7423f4fa74568b502adfe7a46c194cb8199")</f>
        <v>0</v>
      </c>
      <c r="C669">
        <f>HYPERLINK("https://github.com/pmd/pmd/commit/3713ea4b338f20a1c746fcf2287105b8db20e2a1", "3713ea4b338f20a1c746fcf2287105b8db20e2a1")</f>
        <v>0</v>
      </c>
      <c r="D669" t="s">
        <v>6492</v>
      </c>
      <c r="E669" t="s">
        <v>6673</v>
      </c>
      <c r="F669" t="s">
        <v>7057</v>
      </c>
      <c r="G669" t="s">
        <v>7801</v>
      </c>
      <c r="H669" t="s">
        <v>8710</v>
      </c>
      <c r="I669" t="s">
        <v>1357</v>
      </c>
      <c r="J669" t="s">
        <v>1357</v>
      </c>
      <c r="K669" t="s">
        <v>1357</v>
      </c>
      <c r="L669" t="s">
        <v>1357</v>
      </c>
    </row>
    <row r="670" spans="1:12">
      <c r="H670" t="s">
        <v>8711</v>
      </c>
      <c r="I670" t="s">
        <v>1357</v>
      </c>
      <c r="J670" t="s">
        <v>1357</v>
      </c>
      <c r="K670" t="s">
        <v>1357</v>
      </c>
      <c r="L670" t="s">
        <v>1357</v>
      </c>
    </row>
    <row r="671" spans="1:12">
      <c r="H671" t="s">
        <v>8728</v>
      </c>
      <c r="I671" t="s">
        <v>1357</v>
      </c>
      <c r="J671" t="s">
        <v>1357</v>
      </c>
      <c r="K671" t="s">
        <v>1357</v>
      </c>
      <c r="L671" t="s">
        <v>1357</v>
      </c>
    </row>
    <row r="672" spans="1:12">
      <c r="A672" t="s">
        <v>6218</v>
      </c>
      <c r="B672">
        <f>HYPERLINK("https://github.com/pmd/pmd/commit/2ce116ace78a4d718415b33942f5fed0b0111105", "2ce116ace78a4d718415b33942f5fed0b0111105")</f>
        <v>0</v>
      </c>
      <c r="C672">
        <f>HYPERLINK("https://github.com/pmd/pmd/commit/81d9fbb928ebe4c1bc0d1ba4603f4f935bf884e9", "81d9fbb928ebe4c1bc0d1ba4603f4f935bf884e9")</f>
        <v>0</v>
      </c>
      <c r="D672" t="s">
        <v>6492</v>
      </c>
      <c r="E672" t="s">
        <v>6674</v>
      </c>
      <c r="F672" t="s">
        <v>7085</v>
      </c>
      <c r="G672" t="s">
        <v>7826</v>
      </c>
      <c r="H672" t="s">
        <v>8378</v>
      </c>
      <c r="I672" t="s">
        <v>1357</v>
      </c>
      <c r="J672" t="s">
        <v>1357</v>
      </c>
      <c r="K672" t="s">
        <v>1357</v>
      </c>
      <c r="L672" t="s">
        <v>1357</v>
      </c>
    </row>
    <row r="673" spans="1:14">
      <c r="A673" t="s">
        <v>6219</v>
      </c>
      <c r="B673">
        <f>HYPERLINK("https://github.com/pmd/pmd/commit/59360400c977f54c12997cc9bc6752e06f83b7b4", "59360400c977f54c12997cc9bc6752e06f83b7b4")</f>
        <v>0</v>
      </c>
      <c r="C673">
        <f>HYPERLINK("https://github.com/pmd/pmd/commit/d98b93d369ac6625cfc8e567c4610f0497eddeef", "d98b93d369ac6625cfc8e567c4610f0497eddeef")</f>
        <v>0</v>
      </c>
      <c r="D673" t="s">
        <v>6494</v>
      </c>
      <c r="E673" t="s">
        <v>6675</v>
      </c>
      <c r="F673" t="s">
        <v>7086</v>
      </c>
      <c r="G673" t="s">
        <v>7827</v>
      </c>
      <c r="H673" t="s">
        <v>8729</v>
      </c>
      <c r="I673" t="s">
        <v>1358</v>
      </c>
      <c r="J673" t="s">
        <v>1358</v>
      </c>
      <c r="K673" t="s">
        <v>1358</v>
      </c>
      <c r="L673" t="s">
        <v>1358</v>
      </c>
    </row>
    <row r="674" spans="1:14">
      <c r="A674" t="s">
        <v>6220</v>
      </c>
      <c r="B674">
        <f>HYPERLINK("https://github.com/pmd/pmd/commit/836402f0afaa38bf0db9c255ac734aebd063277c", "836402f0afaa38bf0db9c255ac734aebd063277c")</f>
        <v>0</v>
      </c>
      <c r="C674">
        <f>HYPERLINK("https://github.com/pmd/pmd/commit/182831a0c7cf4b7af86ced389d2b23799dbfdd66", "182831a0c7cf4b7af86ced389d2b23799dbfdd66")</f>
        <v>0</v>
      </c>
      <c r="D674" t="s">
        <v>6492</v>
      </c>
      <c r="E674" t="s">
        <v>6676</v>
      </c>
      <c r="F674" t="s">
        <v>6988</v>
      </c>
      <c r="G674" t="s">
        <v>7734</v>
      </c>
      <c r="H674" t="s">
        <v>8730</v>
      </c>
      <c r="I674" t="s">
        <v>1358</v>
      </c>
      <c r="J674" t="s">
        <v>1358</v>
      </c>
      <c r="K674" t="s">
        <v>1358</v>
      </c>
      <c r="L674" t="s">
        <v>1358</v>
      </c>
    </row>
    <row r="675" spans="1:14">
      <c r="A675" t="s">
        <v>6221</v>
      </c>
      <c r="B675">
        <f>HYPERLINK("https://github.com/pmd/pmd/commit/97ac55669e83e0c196eccbcf34453c544f172087", "97ac55669e83e0c196eccbcf34453c544f172087")</f>
        <v>0</v>
      </c>
      <c r="C675">
        <f>HYPERLINK("https://github.com/pmd/pmd/commit/b32145951500de3d2821e6d352cddc8389743ffb", "b32145951500de3d2821e6d352cddc8389743ffb")</f>
        <v>0</v>
      </c>
      <c r="D675" t="s">
        <v>6492</v>
      </c>
      <c r="E675" t="s">
        <v>6677</v>
      </c>
      <c r="F675" t="s">
        <v>7040</v>
      </c>
      <c r="G675" t="s">
        <v>7786</v>
      </c>
      <c r="H675" t="s">
        <v>8731</v>
      </c>
      <c r="I675" t="s">
        <v>1357</v>
      </c>
      <c r="J675" t="s">
        <v>1357</v>
      </c>
      <c r="K675" t="s">
        <v>1357</v>
      </c>
      <c r="L675" t="s">
        <v>1357</v>
      </c>
    </row>
    <row r="676" spans="1:14">
      <c r="A676" t="s">
        <v>6222</v>
      </c>
      <c r="B676">
        <f>HYPERLINK("https://github.com/pmd/pmd/commit/ce6d4a58594e8ae864d88ab35e9c07b8b59a265e", "ce6d4a58594e8ae864d88ab35e9c07b8b59a265e")</f>
        <v>0</v>
      </c>
      <c r="C676">
        <f>HYPERLINK("https://github.com/pmd/pmd/commit/af0f04df4e3b5da8124dc4c75876dae7c7553e43", "af0f04df4e3b5da8124dc4c75876dae7c7553e43")</f>
        <v>0</v>
      </c>
      <c r="D676" t="s">
        <v>6492</v>
      </c>
      <c r="E676" t="s">
        <v>6678</v>
      </c>
      <c r="F676" t="s">
        <v>6986</v>
      </c>
      <c r="G676" t="s">
        <v>7732</v>
      </c>
      <c r="H676" t="s">
        <v>8732</v>
      </c>
      <c r="I676" t="s">
        <v>1358</v>
      </c>
      <c r="J676" t="s">
        <v>1358</v>
      </c>
      <c r="K676" t="s">
        <v>1358</v>
      </c>
      <c r="L676" t="s">
        <v>1358</v>
      </c>
      <c r="N676" t="s">
        <v>9939</v>
      </c>
    </row>
    <row r="677" spans="1:14">
      <c r="A677" t="s">
        <v>6223</v>
      </c>
      <c r="B677">
        <f>HYPERLINK("https://github.com/pmd/pmd/commit/de709946757119a428e240bfeaab422c138b7d18", "de709946757119a428e240bfeaab422c138b7d18")</f>
        <v>0</v>
      </c>
      <c r="C677">
        <f>HYPERLINK("https://github.com/pmd/pmd/commit/ce6d4a58594e8ae864d88ab35e9c07b8b59a265e", "ce6d4a58594e8ae864d88ab35e9c07b8b59a265e")</f>
        <v>0</v>
      </c>
      <c r="D677" t="s">
        <v>6492</v>
      </c>
      <c r="E677" t="s">
        <v>6679</v>
      </c>
      <c r="F677" t="s">
        <v>6987</v>
      </c>
      <c r="G677" t="s">
        <v>7733</v>
      </c>
      <c r="H677" t="s">
        <v>8424</v>
      </c>
      <c r="I677" t="s">
        <v>1357</v>
      </c>
      <c r="J677" t="s">
        <v>1357</v>
      </c>
      <c r="K677" t="s">
        <v>1357</v>
      </c>
      <c r="L677" t="s">
        <v>1357</v>
      </c>
    </row>
    <row r="678" spans="1:14">
      <c r="H678" t="s">
        <v>3834</v>
      </c>
      <c r="I678" t="s">
        <v>1357</v>
      </c>
      <c r="J678" t="s">
        <v>1357</v>
      </c>
      <c r="K678" t="s">
        <v>1357</v>
      </c>
      <c r="L678" t="s">
        <v>1357</v>
      </c>
      <c r="M678" t="s">
        <v>1360</v>
      </c>
    </row>
    <row r="679" spans="1:14">
      <c r="A679" t="s">
        <v>6224</v>
      </c>
      <c r="B679">
        <f>HYPERLINK("https://github.com/pmd/pmd/commit/ff947302f55220c7131d375eba30b633a1850368", "ff947302f55220c7131d375eba30b633a1850368")</f>
        <v>0</v>
      </c>
      <c r="C679">
        <f>HYPERLINK("https://github.com/pmd/pmd/commit/98d349504b82369cd9887ffe48eef5605ecb8463", "98d349504b82369cd9887ffe48eef5605ecb8463")</f>
        <v>0</v>
      </c>
      <c r="D679" t="s">
        <v>6492</v>
      </c>
      <c r="E679" t="s">
        <v>6680</v>
      </c>
      <c r="F679" t="s">
        <v>7087</v>
      </c>
      <c r="G679" t="s">
        <v>7828</v>
      </c>
      <c r="H679" t="s">
        <v>8378</v>
      </c>
      <c r="I679" t="s">
        <v>1357</v>
      </c>
      <c r="J679" t="s">
        <v>1357</v>
      </c>
      <c r="K679" t="s">
        <v>1357</v>
      </c>
      <c r="L679" t="s">
        <v>1357</v>
      </c>
    </row>
    <row r="680" spans="1:14">
      <c r="A680" t="s">
        <v>6225</v>
      </c>
      <c r="B680">
        <f>HYPERLINK("https://github.com/pmd/pmd/commit/7930f04bc420ccfd9b315cef6e75d3c224dc65ec", "7930f04bc420ccfd9b315cef6e75d3c224dc65ec")</f>
        <v>0</v>
      </c>
      <c r="C680">
        <f>HYPERLINK("https://github.com/pmd/pmd/commit/3e3034d7566b0047ef2bf5af2e29ce51f94a2d2e", "3e3034d7566b0047ef2bf5af2e29ce51f94a2d2e")</f>
        <v>0</v>
      </c>
      <c r="D680" t="s">
        <v>6492</v>
      </c>
      <c r="E680" t="s">
        <v>6681</v>
      </c>
      <c r="F680" t="s">
        <v>7057</v>
      </c>
      <c r="G680" t="s">
        <v>7801</v>
      </c>
      <c r="H680" t="s">
        <v>8710</v>
      </c>
      <c r="I680" t="s">
        <v>1357</v>
      </c>
      <c r="J680" t="s">
        <v>1357</v>
      </c>
      <c r="K680" t="s">
        <v>1357</v>
      </c>
      <c r="L680" t="s">
        <v>1357</v>
      </c>
    </row>
    <row r="681" spans="1:14">
      <c r="H681" t="s">
        <v>8711</v>
      </c>
      <c r="I681" t="s">
        <v>1357</v>
      </c>
      <c r="J681" t="s">
        <v>1357</v>
      </c>
      <c r="K681" t="s">
        <v>1357</v>
      </c>
      <c r="L681" t="s">
        <v>1357</v>
      </c>
    </row>
    <row r="682" spans="1:14">
      <c r="H682" t="s">
        <v>8728</v>
      </c>
      <c r="I682" t="s">
        <v>1357</v>
      </c>
      <c r="J682" t="s">
        <v>1357</v>
      </c>
      <c r="K682" t="s">
        <v>1357</v>
      </c>
      <c r="L682" t="s">
        <v>1357</v>
      </c>
    </row>
    <row r="683" spans="1:14">
      <c r="H683" t="s">
        <v>8733</v>
      </c>
      <c r="I683" t="s">
        <v>1357</v>
      </c>
      <c r="J683" t="s">
        <v>1357</v>
      </c>
      <c r="K683" t="s">
        <v>1357</v>
      </c>
      <c r="L683" t="s">
        <v>1357</v>
      </c>
    </row>
    <row r="684" spans="1:14">
      <c r="A684" t="s">
        <v>6226</v>
      </c>
      <c r="B684">
        <f>HYPERLINK("https://github.com/pmd/pmd/commit/991b4757cff70c925e87e90b091ffdbc11dff9ae", "991b4757cff70c925e87e90b091ffdbc11dff9ae")</f>
        <v>0</v>
      </c>
      <c r="C684">
        <f>HYPERLINK("https://github.com/pmd/pmd/commit/4d4eb1fbf96b2c801435f6eba2cd61dd21664bc6", "4d4eb1fbf96b2c801435f6eba2cd61dd21664bc6")</f>
        <v>0</v>
      </c>
      <c r="D684" t="s">
        <v>6492</v>
      </c>
      <c r="E684" t="s">
        <v>6682</v>
      </c>
      <c r="F684" t="s">
        <v>7088</v>
      </c>
      <c r="G684" t="s">
        <v>7829</v>
      </c>
      <c r="H684" t="s">
        <v>4574</v>
      </c>
      <c r="I684" t="s">
        <v>1357</v>
      </c>
      <c r="J684" t="s">
        <v>1357</v>
      </c>
      <c r="K684" t="s">
        <v>1357</v>
      </c>
      <c r="L684" t="s">
        <v>1357</v>
      </c>
    </row>
    <row r="685" spans="1:14">
      <c r="A685" t="s">
        <v>6227</v>
      </c>
      <c r="B685">
        <f>HYPERLINK("https://github.com/pmd/pmd/commit/8117ae92b9659b06d4f080d29021f4ffddc85a1b", "8117ae92b9659b06d4f080d29021f4ffddc85a1b")</f>
        <v>0</v>
      </c>
      <c r="C685">
        <f>HYPERLINK("https://github.com/pmd/pmd/commit/452799f7bb269698ad3d0fb01b8a722338538499", "452799f7bb269698ad3d0fb01b8a722338538499")</f>
        <v>0</v>
      </c>
      <c r="D685" t="s">
        <v>6492</v>
      </c>
      <c r="E685" t="s">
        <v>6683</v>
      </c>
      <c r="F685" t="s">
        <v>7046</v>
      </c>
      <c r="G685" t="s">
        <v>7791</v>
      </c>
      <c r="H685" t="s">
        <v>8734</v>
      </c>
      <c r="I685" t="s">
        <v>1357</v>
      </c>
      <c r="J685" t="s">
        <v>1357</v>
      </c>
      <c r="K685" t="s">
        <v>1357</v>
      </c>
      <c r="L685" t="s">
        <v>1357</v>
      </c>
    </row>
    <row r="686" spans="1:14">
      <c r="A686" t="s">
        <v>6228</v>
      </c>
      <c r="B686">
        <f>HYPERLINK("https://github.com/pmd/pmd/commit/9e481330c755e1e4b64e6024e922bcf4f100d92f", "9e481330c755e1e4b64e6024e922bcf4f100d92f")</f>
        <v>0</v>
      </c>
      <c r="C686">
        <f>HYPERLINK("https://github.com/pmd/pmd/commit/230106c18bee89a12628c25e8fb60cedc5b694e7", "230106c18bee89a12628c25e8fb60cedc5b694e7")</f>
        <v>0</v>
      </c>
      <c r="D686" t="s">
        <v>6492</v>
      </c>
      <c r="E686" t="s">
        <v>6684</v>
      </c>
      <c r="F686" t="s">
        <v>6954</v>
      </c>
      <c r="G686" t="s">
        <v>7701</v>
      </c>
      <c r="H686" t="s">
        <v>8735</v>
      </c>
      <c r="I686" t="s">
        <v>1357</v>
      </c>
      <c r="J686" t="s">
        <v>1357</v>
      </c>
      <c r="K686" t="s">
        <v>1357</v>
      </c>
      <c r="L686" t="s">
        <v>1357</v>
      </c>
    </row>
    <row r="687" spans="1:14">
      <c r="H687" t="s">
        <v>8736</v>
      </c>
      <c r="I687" t="s">
        <v>1357</v>
      </c>
      <c r="J687" t="s">
        <v>1357</v>
      </c>
      <c r="K687" t="s">
        <v>1357</v>
      </c>
      <c r="L687" t="s">
        <v>1357</v>
      </c>
    </row>
    <row r="688" spans="1:14">
      <c r="H688" t="s">
        <v>8737</v>
      </c>
      <c r="I688" t="s">
        <v>1357</v>
      </c>
      <c r="J688" t="s">
        <v>1357</v>
      </c>
      <c r="K688" t="s">
        <v>1357</v>
      </c>
      <c r="L688" t="s">
        <v>1357</v>
      </c>
    </row>
    <row r="689" spans="1:14">
      <c r="H689" t="s">
        <v>8738</v>
      </c>
      <c r="I689" t="s">
        <v>1357</v>
      </c>
      <c r="J689" t="s">
        <v>1357</v>
      </c>
      <c r="K689" t="s">
        <v>1357</v>
      </c>
      <c r="L689" t="s">
        <v>1357</v>
      </c>
    </row>
    <row r="690" spans="1:14">
      <c r="F690" t="s">
        <v>7089</v>
      </c>
      <c r="G690" t="s">
        <v>7830</v>
      </c>
      <c r="H690" t="s">
        <v>8739</v>
      </c>
      <c r="I690" t="s">
        <v>1357</v>
      </c>
      <c r="J690" t="s">
        <v>1357</v>
      </c>
      <c r="K690" t="s">
        <v>1357</v>
      </c>
      <c r="L690" t="s">
        <v>1357</v>
      </c>
    </row>
    <row r="691" spans="1:14">
      <c r="H691" t="s">
        <v>8740</v>
      </c>
      <c r="I691" t="s">
        <v>1357</v>
      </c>
      <c r="J691" t="s">
        <v>1357</v>
      </c>
      <c r="K691" t="s">
        <v>1357</v>
      </c>
      <c r="L691" t="s">
        <v>1357</v>
      </c>
      <c r="N691" t="s">
        <v>1371</v>
      </c>
    </row>
    <row r="692" spans="1:14">
      <c r="A692" t="s">
        <v>6229</v>
      </c>
      <c r="B692">
        <f>HYPERLINK("https://github.com/pmd/pmd/commit/c3bf16ddbbdaa72efc6537a7ee73979cacf34973", "c3bf16ddbbdaa72efc6537a7ee73979cacf34973")</f>
        <v>0</v>
      </c>
      <c r="C692">
        <f>HYPERLINK("https://github.com/pmd/pmd/commit/ff49199f81704ff89468e534b68f73c9ad0790f0", "ff49199f81704ff89468e534b68f73c9ad0790f0")</f>
        <v>0</v>
      </c>
      <c r="D692" t="s">
        <v>6492</v>
      </c>
      <c r="E692" t="s">
        <v>6685</v>
      </c>
      <c r="F692" t="s">
        <v>7090</v>
      </c>
      <c r="G692" t="s">
        <v>7831</v>
      </c>
      <c r="H692" t="s">
        <v>8741</v>
      </c>
      <c r="I692" t="s">
        <v>1358</v>
      </c>
      <c r="J692" t="s">
        <v>1358</v>
      </c>
      <c r="K692" t="s">
        <v>1358</v>
      </c>
      <c r="L692" t="s">
        <v>1358</v>
      </c>
    </row>
    <row r="693" spans="1:14">
      <c r="A693" t="s">
        <v>6230</v>
      </c>
      <c r="B693">
        <f>HYPERLINK("https://github.com/pmd/pmd/commit/7c6da27f823ca243d49deeda37a62a61d90dc1de", "7c6da27f823ca243d49deeda37a62a61d90dc1de")</f>
        <v>0</v>
      </c>
      <c r="C693">
        <f>HYPERLINK("https://github.com/pmd/pmd/commit/a0f2a9e4e0e2395b0974a791cfee42b245b93d9f", "a0f2a9e4e0e2395b0974a791cfee42b245b93d9f")</f>
        <v>0</v>
      </c>
      <c r="D693" t="s">
        <v>6492</v>
      </c>
      <c r="E693" t="s">
        <v>6686</v>
      </c>
      <c r="F693" t="s">
        <v>7091</v>
      </c>
      <c r="G693" t="s">
        <v>7830</v>
      </c>
      <c r="H693" t="s">
        <v>8742</v>
      </c>
      <c r="I693" t="s">
        <v>1358</v>
      </c>
      <c r="J693" t="s">
        <v>1358</v>
      </c>
      <c r="K693" t="s">
        <v>1358</v>
      </c>
      <c r="L693" t="s">
        <v>1358</v>
      </c>
      <c r="N693" t="s">
        <v>9940</v>
      </c>
    </row>
    <row r="694" spans="1:14">
      <c r="H694" t="s">
        <v>8743</v>
      </c>
      <c r="I694" t="s">
        <v>1358</v>
      </c>
      <c r="J694" t="s">
        <v>1358</v>
      </c>
      <c r="K694" t="s">
        <v>1358</v>
      </c>
      <c r="L694" t="s">
        <v>1358</v>
      </c>
      <c r="N694" t="s">
        <v>9940</v>
      </c>
    </row>
    <row r="695" spans="1:14">
      <c r="A695" t="s">
        <v>6231</v>
      </c>
      <c r="B695">
        <f>HYPERLINK("https://github.com/pmd/pmd/commit/5bca7cfd868fb90af3d29fba7634bc5ef904d34d", "5bca7cfd868fb90af3d29fba7634bc5ef904d34d")</f>
        <v>0</v>
      </c>
      <c r="C695">
        <f>HYPERLINK("https://github.com/pmd/pmd/commit/37fe1d78cec1182691da9e1936ad9196fb0a9dfa", "37fe1d78cec1182691da9e1936ad9196fb0a9dfa")</f>
        <v>0</v>
      </c>
      <c r="D695" t="s">
        <v>6492</v>
      </c>
      <c r="E695" t="s">
        <v>6687</v>
      </c>
      <c r="F695" t="s">
        <v>7092</v>
      </c>
      <c r="G695" t="s">
        <v>7832</v>
      </c>
      <c r="H695" t="s">
        <v>3834</v>
      </c>
      <c r="I695" t="s">
        <v>1358</v>
      </c>
      <c r="J695" t="s">
        <v>1358</v>
      </c>
      <c r="K695" t="s">
        <v>1358</v>
      </c>
      <c r="L695" t="s">
        <v>1358</v>
      </c>
      <c r="N695" t="s">
        <v>9936</v>
      </c>
    </row>
    <row r="696" spans="1:14">
      <c r="H696" t="s">
        <v>3835</v>
      </c>
      <c r="I696" t="s">
        <v>1358</v>
      </c>
      <c r="J696" t="s">
        <v>1358</v>
      </c>
      <c r="K696" t="s">
        <v>1358</v>
      </c>
      <c r="L696" t="s">
        <v>1358</v>
      </c>
      <c r="N696" t="s">
        <v>9936</v>
      </c>
    </row>
    <row r="697" spans="1:14">
      <c r="A697" t="s">
        <v>6232</v>
      </c>
      <c r="B697">
        <f>HYPERLINK("https://github.com/pmd/pmd/commit/e673e02398681a9bec97613e1330525868872c24", "e673e02398681a9bec97613e1330525868872c24")</f>
        <v>0</v>
      </c>
      <c r="C697">
        <f>HYPERLINK("https://github.com/pmd/pmd/commit/70c69f7e68ffcf62be367555c3cad637f826a9e0", "70c69f7e68ffcf62be367555c3cad637f826a9e0")</f>
        <v>0</v>
      </c>
      <c r="D697" t="s">
        <v>6492</v>
      </c>
      <c r="E697" t="s">
        <v>6688</v>
      </c>
      <c r="F697" t="s">
        <v>7093</v>
      </c>
      <c r="G697" t="s">
        <v>7833</v>
      </c>
      <c r="H697" t="s">
        <v>8378</v>
      </c>
      <c r="I697" t="s">
        <v>1358</v>
      </c>
      <c r="J697" t="s">
        <v>1358</v>
      </c>
      <c r="K697" t="s">
        <v>1358</v>
      </c>
      <c r="L697" t="s">
        <v>1358</v>
      </c>
    </row>
    <row r="698" spans="1:14">
      <c r="A698" t="s">
        <v>6233</v>
      </c>
      <c r="B698">
        <f>HYPERLINK("https://github.com/pmd/pmd/commit/1654d213962fe94ed9c86c846dd14a3254057979", "1654d213962fe94ed9c86c846dd14a3254057979")</f>
        <v>0</v>
      </c>
      <c r="C698">
        <f>HYPERLINK("https://github.com/pmd/pmd/commit/68ac44aba9679ce187154432980f1188193d468d", "68ac44aba9679ce187154432980f1188193d468d")</f>
        <v>0</v>
      </c>
      <c r="D698" t="s">
        <v>6494</v>
      </c>
      <c r="E698" t="s">
        <v>6689</v>
      </c>
      <c r="F698" t="s">
        <v>7094</v>
      </c>
      <c r="G698" t="s">
        <v>7834</v>
      </c>
      <c r="H698" t="s">
        <v>8744</v>
      </c>
      <c r="I698" t="s">
        <v>1357</v>
      </c>
      <c r="J698" t="s">
        <v>1357</v>
      </c>
      <c r="K698" t="s">
        <v>1357</v>
      </c>
      <c r="L698" t="s">
        <v>1357</v>
      </c>
      <c r="N698" t="s">
        <v>9941</v>
      </c>
    </row>
    <row r="699" spans="1:14">
      <c r="A699" t="s">
        <v>6234</v>
      </c>
      <c r="B699">
        <f>HYPERLINK("https://github.com/pmd/pmd/commit/c2fb185d3fbe0dcb9a41b0e8b80feaa150e15ffb", "c2fb185d3fbe0dcb9a41b0e8b80feaa150e15ffb")</f>
        <v>0</v>
      </c>
      <c r="C699">
        <f>HYPERLINK("https://github.com/pmd/pmd/commit/1096fe82784b4135dc0af14640c821b7a7b2ab4a", "1096fe82784b4135dc0af14640c821b7a7b2ab4a")</f>
        <v>0</v>
      </c>
      <c r="D699" t="s">
        <v>6492</v>
      </c>
      <c r="E699" t="s">
        <v>6690</v>
      </c>
      <c r="F699" t="s">
        <v>7016</v>
      </c>
      <c r="G699" t="s">
        <v>7762</v>
      </c>
      <c r="H699" t="s">
        <v>8745</v>
      </c>
      <c r="I699" t="s">
        <v>1358</v>
      </c>
      <c r="J699" t="s">
        <v>1358</v>
      </c>
      <c r="K699" t="s">
        <v>1358</v>
      </c>
      <c r="L699" t="s">
        <v>1358</v>
      </c>
    </row>
    <row r="700" spans="1:14">
      <c r="A700" t="s">
        <v>6235</v>
      </c>
      <c r="B700">
        <f>HYPERLINK("https://github.com/pmd/pmd/commit/04ab35e4ab798ef548e76adbea901c7ea75b12f2", "04ab35e4ab798ef548e76adbea901c7ea75b12f2")</f>
        <v>0</v>
      </c>
      <c r="C700">
        <f>HYPERLINK("https://github.com/pmd/pmd/commit/da28fac4f9811bee2291694a458a0e6cd67cad70", "da28fac4f9811bee2291694a458a0e6cd67cad70")</f>
        <v>0</v>
      </c>
      <c r="D700" t="s">
        <v>6492</v>
      </c>
      <c r="E700" t="s">
        <v>6691</v>
      </c>
      <c r="F700" t="s">
        <v>6953</v>
      </c>
      <c r="G700" t="s">
        <v>7700</v>
      </c>
      <c r="H700" t="s">
        <v>1139</v>
      </c>
      <c r="I700" t="s">
        <v>1357</v>
      </c>
      <c r="J700" t="s">
        <v>1357</v>
      </c>
      <c r="K700" t="s">
        <v>1357</v>
      </c>
      <c r="L700" t="s">
        <v>1357</v>
      </c>
    </row>
    <row r="701" spans="1:14">
      <c r="H701" t="s">
        <v>8746</v>
      </c>
      <c r="I701" t="s">
        <v>1357</v>
      </c>
      <c r="J701" t="s">
        <v>1357</v>
      </c>
      <c r="K701" t="s">
        <v>1357</v>
      </c>
      <c r="L701" t="s">
        <v>1357</v>
      </c>
    </row>
    <row r="702" spans="1:14">
      <c r="H702" t="s">
        <v>8747</v>
      </c>
      <c r="I702" t="s">
        <v>1357</v>
      </c>
      <c r="J702" t="s">
        <v>1357</v>
      </c>
      <c r="K702" t="s">
        <v>1357</v>
      </c>
      <c r="L702" t="s">
        <v>1357</v>
      </c>
    </row>
    <row r="703" spans="1:14">
      <c r="H703" t="s">
        <v>8748</v>
      </c>
      <c r="I703" t="s">
        <v>1357</v>
      </c>
      <c r="J703" t="s">
        <v>1357</v>
      </c>
      <c r="K703" t="s">
        <v>1357</v>
      </c>
      <c r="L703" t="s">
        <v>1357</v>
      </c>
    </row>
    <row r="704" spans="1:14">
      <c r="A704" t="s">
        <v>6236</v>
      </c>
      <c r="B704">
        <f>HYPERLINK("https://github.com/pmd/pmd/commit/9d28ec81f9818e8e84045538ad4cadffeeb4ef8d", "9d28ec81f9818e8e84045538ad4cadffeeb4ef8d")</f>
        <v>0</v>
      </c>
      <c r="C704">
        <f>HYPERLINK("https://github.com/pmd/pmd/commit/d36b8893c794e301f2ceb970e6d6f00bf4d1da43", "d36b8893c794e301f2ceb970e6d6f00bf4d1da43")</f>
        <v>0</v>
      </c>
      <c r="D704" t="s">
        <v>6492</v>
      </c>
      <c r="E704" t="s">
        <v>6692</v>
      </c>
      <c r="F704" t="s">
        <v>7083</v>
      </c>
      <c r="G704" t="s">
        <v>7824</v>
      </c>
      <c r="H704" t="s">
        <v>8749</v>
      </c>
      <c r="I704" t="s">
        <v>1357</v>
      </c>
      <c r="J704" t="s">
        <v>1357</v>
      </c>
      <c r="K704" t="s">
        <v>1357</v>
      </c>
      <c r="L704" t="s">
        <v>1357</v>
      </c>
    </row>
    <row r="705" spans="1:14">
      <c r="H705" t="s">
        <v>8750</v>
      </c>
      <c r="I705" t="s">
        <v>1357</v>
      </c>
      <c r="J705" t="s">
        <v>1357</v>
      </c>
      <c r="K705" t="s">
        <v>1357</v>
      </c>
      <c r="L705" t="s">
        <v>1357</v>
      </c>
    </row>
    <row r="706" spans="1:14">
      <c r="H706" t="s">
        <v>8751</v>
      </c>
      <c r="I706" t="s">
        <v>1357</v>
      </c>
      <c r="J706" t="s">
        <v>1357</v>
      </c>
      <c r="K706" t="s">
        <v>1357</v>
      </c>
      <c r="L706" t="s">
        <v>1357</v>
      </c>
    </row>
    <row r="707" spans="1:14">
      <c r="A707" t="s">
        <v>6237</v>
      </c>
      <c r="B707">
        <f>HYPERLINK("https://github.com/pmd/pmd/commit/da32c859982da7ec57ae3fc8b34a52c22006d20d", "da32c859982da7ec57ae3fc8b34a52c22006d20d")</f>
        <v>0</v>
      </c>
      <c r="C707">
        <f>HYPERLINK("https://github.com/pmd/pmd/commit/c502aab3bbd075fa3a8eb66ac64d95d013826cdd", "c502aab3bbd075fa3a8eb66ac64d95d013826cdd")</f>
        <v>0</v>
      </c>
      <c r="D707" t="s">
        <v>6492</v>
      </c>
      <c r="E707" t="s">
        <v>6693</v>
      </c>
      <c r="F707" t="s">
        <v>7057</v>
      </c>
      <c r="G707" t="s">
        <v>7801</v>
      </c>
      <c r="H707" t="s">
        <v>8752</v>
      </c>
      <c r="I707" t="s">
        <v>1357</v>
      </c>
      <c r="J707" t="s">
        <v>1357</v>
      </c>
      <c r="K707" t="s">
        <v>1357</v>
      </c>
      <c r="L707" t="s">
        <v>1357</v>
      </c>
    </row>
    <row r="708" spans="1:14">
      <c r="A708" t="s">
        <v>6238</v>
      </c>
      <c r="B708">
        <f>HYPERLINK("https://github.com/pmd/pmd/commit/70762365b3b7b48dff118c26def73c1a051547d0", "70762365b3b7b48dff118c26def73c1a051547d0")</f>
        <v>0</v>
      </c>
      <c r="C708">
        <f>HYPERLINK("https://github.com/pmd/pmd/commit/cad7d128a07ce3b82a7a0dae81e2caad52915d89", "cad7d128a07ce3b82a7a0dae81e2caad52915d89")</f>
        <v>0</v>
      </c>
      <c r="D708" t="s">
        <v>6492</v>
      </c>
      <c r="E708" t="s">
        <v>6694</v>
      </c>
      <c r="F708" t="s">
        <v>7083</v>
      </c>
      <c r="G708" t="s">
        <v>7824</v>
      </c>
      <c r="H708" t="s">
        <v>8753</v>
      </c>
      <c r="I708" t="s">
        <v>1359</v>
      </c>
      <c r="J708" t="s">
        <v>1357</v>
      </c>
      <c r="K708" t="s">
        <v>1357</v>
      </c>
      <c r="L708" t="s">
        <v>1358</v>
      </c>
      <c r="M708" t="s">
        <v>1360</v>
      </c>
      <c r="N708" t="s">
        <v>9942</v>
      </c>
    </row>
    <row r="709" spans="1:14">
      <c r="A709" t="s">
        <v>6239</v>
      </c>
      <c r="B709">
        <f>HYPERLINK("https://github.com/pmd/pmd/commit/d3f923f863f769b2ca72fb691c052d4f7db13899", "d3f923f863f769b2ca72fb691c052d4f7db13899")</f>
        <v>0</v>
      </c>
      <c r="C709">
        <f>HYPERLINK("https://github.com/pmd/pmd/commit/cc57b9d4c0735e48f48b05557c88d1a38215408b", "cc57b9d4c0735e48f48b05557c88d1a38215408b")</f>
        <v>0</v>
      </c>
      <c r="D709" t="s">
        <v>6494</v>
      </c>
      <c r="E709" t="s">
        <v>6695</v>
      </c>
      <c r="F709" t="s">
        <v>7095</v>
      </c>
      <c r="G709" t="s">
        <v>7835</v>
      </c>
      <c r="H709" t="s">
        <v>8754</v>
      </c>
      <c r="I709" t="s">
        <v>1357</v>
      </c>
      <c r="J709" t="s">
        <v>1357</v>
      </c>
      <c r="K709" t="s">
        <v>1357</v>
      </c>
      <c r="L709" t="s">
        <v>1357</v>
      </c>
    </row>
    <row r="710" spans="1:14">
      <c r="H710" t="s">
        <v>8755</v>
      </c>
      <c r="I710" t="s">
        <v>1357</v>
      </c>
      <c r="J710" t="s">
        <v>1357</v>
      </c>
      <c r="K710" t="s">
        <v>1357</v>
      </c>
      <c r="L710" t="s">
        <v>1357</v>
      </c>
    </row>
    <row r="711" spans="1:14">
      <c r="A711" t="s">
        <v>6240</v>
      </c>
      <c r="B711">
        <f>HYPERLINK("https://github.com/pmd/pmd/commit/d312bc8a21db5286486c9511fa34cefe2b62608d", "d312bc8a21db5286486c9511fa34cefe2b62608d")</f>
        <v>0</v>
      </c>
      <c r="C711">
        <f>HYPERLINK("https://github.com/pmd/pmd/commit/73d638b45dd0588403d01c30d36714dba5547a1d", "73d638b45dd0588403d01c30d36714dba5547a1d")</f>
        <v>0</v>
      </c>
      <c r="D711" t="s">
        <v>6494</v>
      </c>
      <c r="E711" t="s">
        <v>6696</v>
      </c>
      <c r="F711" t="s">
        <v>7096</v>
      </c>
      <c r="G711" t="s">
        <v>7703</v>
      </c>
      <c r="H711" t="s">
        <v>8756</v>
      </c>
      <c r="I711" t="s">
        <v>1357</v>
      </c>
      <c r="J711" t="s">
        <v>1357</v>
      </c>
      <c r="K711" t="s">
        <v>1357</v>
      </c>
      <c r="L711" t="s">
        <v>1357</v>
      </c>
    </row>
    <row r="712" spans="1:14">
      <c r="H712" t="s">
        <v>8757</v>
      </c>
      <c r="I712" t="s">
        <v>1357</v>
      </c>
      <c r="J712" t="s">
        <v>1357</v>
      </c>
      <c r="K712" t="s">
        <v>1357</v>
      </c>
      <c r="L712" t="s">
        <v>1357</v>
      </c>
    </row>
    <row r="713" spans="1:14">
      <c r="A713" t="s">
        <v>6241</v>
      </c>
      <c r="B713">
        <f>HYPERLINK("https://github.com/pmd/pmd/commit/8f38c0cbcaeaddde7e7fba6dbd7132dcfa2dc700", "8f38c0cbcaeaddde7e7fba6dbd7132dcfa2dc700")</f>
        <v>0</v>
      </c>
      <c r="C713">
        <f>HYPERLINK("https://github.com/pmd/pmd/commit/93a4e04045f3cc29892525b245c8f6e232b4cc44", "93a4e04045f3cc29892525b245c8f6e232b4cc44")</f>
        <v>0</v>
      </c>
      <c r="D713" t="s">
        <v>6492</v>
      </c>
      <c r="E713" t="s">
        <v>6697</v>
      </c>
      <c r="F713" t="s">
        <v>7040</v>
      </c>
      <c r="G713" t="s">
        <v>7786</v>
      </c>
      <c r="H713" t="s">
        <v>8758</v>
      </c>
      <c r="I713" t="s">
        <v>1357</v>
      </c>
      <c r="J713" t="s">
        <v>1357</v>
      </c>
      <c r="K713" t="s">
        <v>1357</v>
      </c>
      <c r="L713" t="s">
        <v>1357</v>
      </c>
    </row>
    <row r="714" spans="1:14">
      <c r="A714" t="s">
        <v>6242</v>
      </c>
      <c r="B714">
        <f>HYPERLINK("https://github.com/pmd/pmd/commit/3338b4446410d6b9be6195ee994c1f99f76e874c", "3338b4446410d6b9be6195ee994c1f99f76e874c")</f>
        <v>0</v>
      </c>
      <c r="C714">
        <f>HYPERLINK("https://github.com/pmd/pmd/commit/f0bfc7cc654339950bc22be9674c10871733425c", "f0bfc7cc654339950bc22be9674c10871733425c")</f>
        <v>0</v>
      </c>
      <c r="D714" t="s">
        <v>6492</v>
      </c>
      <c r="E714" t="s">
        <v>6698</v>
      </c>
      <c r="F714" t="s">
        <v>7057</v>
      </c>
      <c r="G714" t="s">
        <v>7801</v>
      </c>
      <c r="H714" t="s">
        <v>8710</v>
      </c>
      <c r="I714" t="s">
        <v>1357</v>
      </c>
      <c r="J714" t="s">
        <v>1357</v>
      </c>
      <c r="K714" t="s">
        <v>1357</v>
      </c>
      <c r="L714" t="s">
        <v>1357</v>
      </c>
    </row>
    <row r="715" spans="1:14">
      <c r="H715" t="s">
        <v>8711</v>
      </c>
      <c r="I715" t="s">
        <v>1357</v>
      </c>
      <c r="J715" t="s">
        <v>1357</v>
      </c>
      <c r="K715" t="s">
        <v>1357</v>
      </c>
      <c r="L715" t="s">
        <v>1357</v>
      </c>
    </row>
    <row r="716" spans="1:14">
      <c r="H716" t="s">
        <v>8728</v>
      </c>
      <c r="I716" t="s">
        <v>1357</v>
      </c>
      <c r="J716" t="s">
        <v>1357</v>
      </c>
      <c r="K716" t="s">
        <v>1357</v>
      </c>
      <c r="L716" t="s">
        <v>1357</v>
      </c>
    </row>
    <row r="717" spans="1:14">
      <c r="H717" t="s">
        <v>8733</v>
      </c>
      <c r="I717" t="s">
        <v>1357</v>
      </c>
      <c r="J717" t="s">
        <v>1357</v>
      </c>
      <c r="K717" t="s">
        <v>1357</v>
      </c>
      <c r="L717" t="s">
        <v>1357</v>
      </c>
    </row>
    <row r="718" spans="1:14">
      <c r="A718" t="s">
        <v>6243</v>
      </c>
      <c r="B718">
        <f>HYPERLINK("https://github.com/pmd/pmd/commit/9fb0af8b0f097aa6379fc337eb8876b2db3d260c", "9fb0af8b0f097aa6379fc337eb8876b2db3d260c")</f>
        <v>0</v>
      </c>
      <c r="C718">
        <f>HYPERLINK("https://github.com/pmd/pmd/commit/b5b423d53b0b860c5988c63da32e9ec58fc770db", "b5b423d53b0b860c5988c63da32e9ec58fc770db")</f>
        <v>0</v>
      </c>
      <c r="D718" t="s">
        <v>6492</v>
      </c>
      <c r="E718" t="s">
        <v>6699</v>
      </c>
      <c r="F718" t="s">
        <v>7097</v>
      </c>
      <c r="G718" t="s">
        <v>7836</v>
      </c>
      <c r="H718" t="s">
        <v>8759</v>
      </c>
      <c r="I718" t="s">
        <v>1357</v>
      </c>
      <c r="J718" t="s">
        <v>1357</v>
      </c>
      <c r="K718" t="s">
        <v>1357</v>
      </c>
      <c r="L718" t="s">
        <v>1357</v>
      </c>
    </row>
    <row r="719" spans="1:14">
      <c r="H719" t="s">
        <v>8760</v>
      </c>
      <c r="I719" t="s">
        <v>1357</v>
      </c>
      <c r="J719" t="s">
        <v>1357</v>
      </c>
      <c r="K719" t="s">
        <v>1357</v>
      </c>
      <c r="L719" t="s">
        <v>1357</v>
      </c>
    </row>
    <row r="720" spans="1:14">
      <c r="H720" t="s">
        <v>8761</v>
      </c>
      <c r="I720" t="s">
        <v>1357</v>
      </c>
      <c r="J720" t="s">
        <v>1357</v>
      </c>
      <c r="K720" t="s">
        <v>1357</v>
      </c>
      <c r="L720" t="s">
        <v>1357</v>
      </c>
    </row>
    <row r="721" spans="1:12">
      <c r="A721" t="s">
        <v>6244</v>
      </c>
      <c r="B721">
        <f>HYPERLINK("https://github.com/pmd/pmd/commit/b32e7fbd6b1fd8c76c941a4102d9aeb8f5bdc4ac", "b32e7fbd6b1fd8c76c941a4102d9aeb8f5bdc4ac")</f>
        <v>0</v>
      </c>
      <c r="C721">
        <f>HYPERLINK("https://github.com/pmd/pmd/commit/352529378628070ed23540d76f2fe855c2b41fe1", "352529378628070ed23540d76f2fe855c2b41fe1")</f>
        <v>0</v>
      </c>
      <c r="D721" t="s">
        <v>6495</v>
      </c>
      <c r="E721" t="s">
        <v>6700</v>
      </c>
      <c r="F721" t="s">
        <v>7098</v>
      </c>
      <c r="G721" t="s">
        <v>7837</v>
      </c>
      <c r="H721" t="s">
        <v>8762</v>
      </c>
      <c r="I721" t="s">
        <v>1358</v>
      </c>
      <c r="J721" t="s">
        <v>1358</v>
      </c>
      <c r="K721" t="s">
        <v>1358</v>
      </c>
      <c r="L721" t="s">
        <v>1358</v>
      </c>
    </row>
    <row r="722" spans="1:12">
      <c r="H722" t="s">
        <v>8763</v>
      </c>
      <c r="I722" t="s">
        <v>1358</v>
      </c>
      <c r="J722" t="s">
        <v>1358</v>
      </c>
      <c r="K722" t="s">
        <v>1358</v>
      </c>
      <c r="L722" t="s">
        <v>1358</v>
      </c>
    </row>
    <row r="723" spans="1:12">
      <c r="A723" t="s">
        <v>6245</v>
      </c>
      <c r="B723">
        <f>HYPERLINK("https://github.com/pmd/pmd/commit/4e45de9075eeb015245ff09f8f8c58cf0f98bbf3", "4e45de9075eeb015245ff09f8f8c58cf0f98bbf3")</f>
        <v>0</v>
      </c>
      <c r="C723">
        <f>HYPERLINK("https://github.com/pmd/pmd/commit/de74cfa270714e5468811d52da84c0889789bb34", "de74cfa270714e5468811d52da84c0889789bb34")</f>
        <v>0</v>
      </c>
      <c r="D723" t="s">
        <v>6492</v>
      </c>
      <c r="E723" t="s">
        <v>6701</v>
      </c>
      <c r="F723" t="s">
        <v>7099</v>
      </c>
      <c r="G723" t="s">
        <v>7838</v>
      </c>
      <c r="H723" t="s">
        <v>8764</v>
      </c>
      <c r="I723" t="s">
        <v>1357</v>
      </c>
      <c r="J723" t="s">
        <v>1357</v>
      </c>
      <c r="K723" t="s">
        <v>1357</v>
      </c>
      <c r="L723" t="s">
        <v>1357</v>
      </c>
    </row>
    <row r="724" spans="1:12">
      <c r="F724" t="s">
        <v>7100</v>
      </c>
      <c r="G724" t="s">
        <v>7839</v>
      </c>
      <c r="H724" t="s">
        <v>8765</v>
      </c>
      <c r="I724" t="s">
        <v>1357</v>
      </c>
      <c r="J724" t="s">
        <v>1357</v>
      </c>
      <c r="K724" t="s">
        <v>1357</v>
      </c>
      <c r="L724" t="s">
        <v>1357</v>
      </c>
    </row>
    <row r="725" spans="1:12">
      <c r="F725" t="s">
        <v>7101</v>
      </c>
      <c r="G725" t="s">
        <v>7840</v>
      </c>
      <c r="H725" t="s">
        <v>8765</v>
      </c>
      <c r="I725" t="s">
        <v>1357</v>
      </c>
      <c r="J725" t="s">
        <v>1357</v>
      </c>
      <c r="K725" t="s">
        <v>1357</v>
      </c>
      <c r="L725" t="s">
        <v>1357</v>
      </c>
    </row>
    <row r="726" spans="1:12">
      <c r="F726" t="s">
        <v>6994</v>
      </c>
      <c r="G726" t="s">
        <v>7740</v>
      </c>
      <c r="H726" t="s">
        <v>8766</v>
      </c>
      <c r="I726" t="s">
        <v>1357</v>
      </c>
      <c r="J726" t="s">
        <v>1357</v>
      </c>
      <c r="K726" t="s">
        <v>1357</v>
      </c>
      <c r="L726" t="s">
        <v>1357</v>
      </c>
    </row>
    <row r="727" spans="1:12">
      <c r="F727" t="s">
        <v>7102</v>
      </c>
      <c r="G727" t="s">
        <v>7841</v>
      </c>
      <c r="H727" t="s">
        <v>8524</v>
      </c>
      <c r="I727" t="s">
        <v>1357</v>
      </c>
      <c r="J727" t="s">
        <v>1357</v>
      </c>
      <c r="K727" t="s">
        <v>1357</v>
      </c>
      <c r="L727" t="s">
        <v>1357</v>
      </c>
    </row>
    <row r="728" spans="1:12">
      <c r="H728" t="s">
        <v>8523</v>
      </c>
      <c r="I728" t="s">
        <v>1357</v>
      </c>
      <c r="J728" t="s">
        <v>1357</v>
      </c>
      <c r="K728" t="s">
        <v>1357</v>
      </c>
      <c r="L728" t="s">
        <v>1357</v>
      </c>
    </row>
    <row r="729" spans="1:12">
      <c r="H729" t="s">
        <v>8767</v>
      </c>
      <c r="I729" t="s">
        <v>1357</v>
      </c>
      <c r="J729" t="s">
        <v>1357</v>
      </c>
      <c r="K729" t="s">
        <v>1357</v>
      </c>
      <c r="L729" t="s">
        <v>1357</v>
      </c>
    </row>
    <row r="730" spans="1:12">
      <c r="F730" t="s">
        <v>7028</v>
      </c>
      <c r="G730" t="s">
        <v>7774</v>
      </c>
      <c r="H730" t="s">
        <v>8768</v>
      </c>
      <c r="I730" t="s">
        <v>1357</v>
      </c>
      <c r="J730" t="s">
        <v>1357</v>
      </c>
      <c r="K730" t="s">
        <v>1357</v>
      </c>
      <c r="L730" t="s">
        <v>1357</v>
      </c>
    </row>
    <row r="731" spans="1:12">
      <c r="F731" t="s">
        <v>7019</v>
      </c>
      <c r="G731" t="s">
        <v>7765</v>
      </c>
      <c r="H731" t="s">
        <v>8769</v>
      </c>
      <c r="I731" t="s">
        <v>1357</v>
      </c>
      <c r="J731" t="s">
        <v>1357</v>
      </c>
      <c r="K731" t="s">
        <v>1357</v>
      </c>
      <c r="L731" t="s">
        <v>1357</v>
      </c>
    </row>
    <row r="732" spans="1:12">
      <c r="F732" t="s">
        <v>7103</v>
      </c>
      <c r="G732" t="s">
        <v>7842</v>
      </c>
      <c r="H732" t="s">
        <v>8770</v>
      </c>
      <c r="I732" t="s">
        <v>1357</v>
      </c>
      <c r="J732" t="s">
        <v>1357</v>
      </c>
      <c r="K732" t="s">
        <v>1357</v>
      </c>
      <c r="L732" t="s">
        <v>1357</v>
      </c>
    </row>
    <row r="733" spans="1:12">
      <c r="H733" t="s">
        <v>8771</v>
      </c>
      <c r="I733" t="s">
        <v>1357</v>
      </c>
      <c r="J733" t="s">
        <v>1357</v>
      </c>
      <c r="K733" t="s">
        <v>1357</v>
      </c>
      <c r="L733" t="s">
        <v>1357</v>
      </c>
    </row>
    <row r="734" spans="1:12">
      <c r="F734" t="s">
        <v>7104</v>
      </c>
      <c r="G734" t="s">
        <v>7843</v>
      </c>
      <c r="H734" t="s">
        <v>8772</v>
      </c>
      <c r="I734" t="s">
        <v>1357</v>
      </c>
      <c r="J734" t="s">
        <v>1357</v>
      </c>
      <c r="K734" t="s">
        <v>1357</v>
      </c>
      <c r="L734" t="s">
        <v>1357</v>
      </c>
    </row>
    <row r="735" spans="1:12">
      <c r="F735" t="s">
        <v>7105</v>
      </c>
      <c r="G735" t="s">
        <v>7844</v>
      </c>
      <c r="H735" t="s">
        <v>8772</v>
      </c>
      <c r="I735" t="s">
        <v>1357</v>
      </c>
      <c r="J735" t="s">
        <v>1357</v>
      </c>
      <c r="K735" t="s">
        <v>1357</v>
      </c>
      <c r="L735" t="s">
        <v>1357</v>
      </c>
    </row>
    <row r="736" spans="1:12">
      <c r="F736" t="s">
        <v>7106</v>
      </c>
      <c r="G736" t="s">
        <v>7845</v>
      </c>
      <c r="H736" t="s">
        <v>8772</v>
      </c>
      <c r="I736" t="s">
        <v>1357</v>
      </c>
      <c r="J736" t="s">
        <v>1357</v>
      </c>
      <c r="K736" t="s">
        <v>1357</v>
      </c>
      <c r="L736" t="s">
        <v>1357</v>
      </c>
    </row>
    <row r="737" spans="1:12">
      <c r="F737" t="s">
        <v>7012</v>
      </c>
      <c r="G737" t="s">
        <v>7758</v>
      </c>
      <c r="H737" t="s">
        <v>8773</v>
      </c>
      <c r="I737" t="s">
        <v>1357</v>
      </c>
      <c r="J737" t="s">
        <v>1357</v>
      </c>
      <c r="K737" t="s">
        <v>1357</v>
      </c>
      <c r="L737" t="s">
        <v>1357</v>
      </c>
    </row>
    <row r="738" spans="1:12">
      <c r="F738" t="s">
        <v>7107</v>
      </c>
      <c r="G738" t="s">
        <v>7846</v>
      </c>
      <c r="H738" t="s">
        <v>3834</v>
      </c>
      <c r="I738" t="s">
        <v>1357</v>
      </c>
      <c r="J738" t="s">
        <v>1357</v>
      </c>
      <c r="K738" t="s">
        <v>1357</v>
      </c>
      <c r="L738" t="s">
        <v>1357</v>
      </c>
    </row>
    <row r="739" spans="1:12">
      <c r="H739" t="s">
        <v>3835</v>
      </c>
      <c r="I739" t="s">
        <v>1357</v>
      </c>
      <c r="J739" t="s">
        <v>1357</v>
      </c>
      <c r="K739" t="s">
        <v>1357</v>
      </c>
      <c r="L739" t="s">
        <v>1357</v>
      </c>
    </row>
    <row r="740" spans="1:12">
      <c r="H740" t="s">
        <v>3836</v>
      </c>
      <c r="I740" t="s">
        <v>1357</v>
      </c>
      <c r="J740" t="s">
        <v>1357</v>
      </c>
      <c r="K740" t="s">
        <v>1357</v>
      </c>
      <c r="L740" t="s">
        <v>1357</v>
      </c>
    </row>
    <row r="741" spans="1:12">
      <c r="F741" t="s">
        <v>7108</v>
      </c>
      <c r="G741" t="s">
        <v>7847</v>
      </c>
      <c r="H741" t="s">
        <v>8774</v>
      </c>
      <c r="I741" t="s">
        <v>1357</v>
      </c>
      <c r="J741" t="s">
        <v>1357</v>
      </c>
      <c r="K741" t="s">
        <v>1357</v>
      </c>
      <c r="L741" t="s">
        <v>1357</v>
      </c>
    </row>
    <row r="742" spans="1:12">
      <c r="F742" t="s">
        <v>7109</v>
      </c>
      <c r="G742" t="s">
        <v>7783</v>
      </c>
      <c r="H742" t="s">
        <v>8775</v>
      </c>
      <c r="I742" t="s">
        <v>1357</v>
      </c>
      <c r="J742" t="s">
        <v>1357</v>
      </c>
      <c r="K742" t="s">
        <v>1357</v>
      </c>
      <c r="L742" t="s">
        <v>1357</v>
      </c>
    </row>
    <row r="743" spans="1:12">
      <c r="F743" t="s">
        <v>7110</v>
      </c>
      <c r="G743" t="s">
        <v>7766</v>
      </c>
      <c r="H743" t="s">
        <v>8776</v>
      </c>
      <c r="I743" t="s">
        <v>1357</v>
      </c>
      <c r="J743" t="s">
        <v>1357</v>
      </c>
      <c r="K743" t="s">
        <v>1357</v>
      </c>
      <c r="L743" t="s">
        <v>1357</v>
      </c>
    </row>
    <row r="744" spans="1:12">
      <c r="H744" t="s">
        <v>8765</v>
      </c>
      <c r="I744" t="s">
        <v>1357</v>
      </c>
      <c r="J744" t="s">
        <v>1357</v>
      </c>
      <c r="K744" t="s">
        <v>1357</v>
      </c>
      <c r="L744" t="s">
        <v>1357</v>
      </c>
    </row>
    <row r="745" spans="1:12">
      <c r="H745" t="s">
        <v>8777</v>
      </c>
      <c r="I745" t="s">
        <v>1357</v>
      </c>
      <c r="J745" t="s">
        <v>1357</v>
      </c>
      <c r="K745" t="s">
        <v>1357</v>
      </c>
      <c r="L745" t="s">
        <v>1357</v>
      </c>
    </row>
    <row r="746" spans="1:12">
      <c r="H746" t="s">
        <v>8778</v>
      </c>
      <c r="I746" t="s">
        <v>1357</v>
      </c>
      <c r="J746" t="s">
        <v>1357</v>
      </c>
      <c r="K746" t="s">
        <v>1357</v>
      </c>
      <c r="L746" t="s">
        <v>1357</v>
      </c>
    </row>
    <row r="747" spans="1:12">
      <c r="F747" t="s">
        <v>7111</v>
      </c>
      <c r="G747" t="s">
        <v>7848</v>
      </c>
      <c r="H747" t="s">
        <v>8779</v>
      </c>
      <c r="I747" t="s">
        <v>1357</v>
      </c>
      <c r="J747" t="s">
        <v>1357</v>
      </c>
      <c r="K747" t="s">
        <v>1357</v>
      </c>
      <c r="L747" t="s">
        <v>1357</v>
      </c>
    </row>
    <row r="748" spans="1:12">
      <c r="F748" t="s">
        <v>7112</v>
      </c>
      <c r="G748" t="s">
        <v>7849</v>
      </c>
      <c r="H748" t="s">
        <v>8765</v>
      </c>
      <c r="I748" t="s">
        <v>1357</v>
      </c>
      <c r="J748" t="s">
        <v>1357</v>
      </c>
      <c r="K748" t="s">
        <v>1357</v>
      </c>
      <c r="L748" t="s">
        <v>1357</v>
      </c>
    </row>
    <row r="749" spans="1:12">
      <c r="A749" t="s">
        <v>6246</v>
      </c>
      <c r="B749">
        <f>HYPERLINK("https://github.com/pmd/pmd/commit/70a48fbda75531c4d1308eaa65b0ecb39ca64b1a", "70a48fbda75531c4d1308eaa65b0ecb39ca64b1a")</f>
        <v>0</v>
      </c>
      <c r="C749">
        <f>HYPERLINK("https://github.com/pmd/pmd/commit/44f58d493fa7a34eccbd7584686b7c96cf5848af", "44f58d493fa7a34eccbd7584686b7c96cf5848af")</f>
        <v>0</v>
      </c>
      <c r="D749" t="s">
        <v>6496</v>
      </c>
      <c r="E749" t="s">
        <v>6702</v>
      </c>
      <c r="F749" t="s">
        <v>7113</v>
      </c>
      <c r="G749" t="s">
        <v>7850</v>
      </c>
      <c r="H749" t="s">
        <v>8780</v>
      </c>
      <c r="I749" t="s">
        <v>1358</v>
      </c>
      <c r="J749" t="s">
        <v>1358</v>
      </c>
      <c r="K749" t="s">
        <v>1358</v>
      </c>
      <c r="L749" t="s">
        <v>1358</v>
      </c>
    </row>
    <row r="750" spans="1:12">
      <c r="A750" t="s">
        <v>6247</v>
      </c>
      <c r="B750">
        <f>HYPERLINK("https://github.com/pmd/pmd/commit/71b693ba2da4a5654edb6d05bb69ed25608ced8a", "71b693ba2da4a5654edb6d05bb69ed25608ced8a")</f>
        <v>0</v>
      </c>
      <c r="C750">
        <f>HYPERLINK("https://github.com/pmd/pmd/commit/7c2f7bf62cc48fac20bb803f20da0ac9239d9048", "7c2f7bf62cc48fac20bb803f20da0ac9239d9048")</f>
        <v>0</v>
      </c>
      <c r="D750" t="s">
        <v>6497</v>
      </c>
      <c r="E750" t="s">
        <v>6703</v>
      </c>
      <c r="F750" t="s">
        <v>7078</v>
      </c>
      <c r="G750" t="s">
        <v>7819</v>
      </c>
      <c r="H750" t="s">
        <v>8781</v>
      </c>
      <c r="I750" t="s">
        <v>1357</v>
      </c>
      <c r="J750" t="s">
        <v>1357</v>
      </c>
      <c r="K750" t="s">
        <v>1357</v>
      </c>
      <c r="L750" t="s">
        <v>1357</v>
      </c>
    </row>
    <row r="751" spans="1:12">
      <c r="A751" t="s">
        <v>6248</v>
      </c>
      <c r="B751">
        <f>HYPERLINK("https://github.com/pmd/pmd/commit/ab2f5a6a4f44e47628b805bb9b6e2c8981b07bca", "ab2f5a6a4f44e47628b805bb9b6e2c8981b07bca")</f>
        <v>0</v>
      </c>
      <c r="C751">
        <f>HYPERLINK("https://github.com/pmd/pmd/commit/ea035b776c64f9db2c55e0c7c5728de9d70ea815", "ea035b776c64f9db2c55e0c7c5728de9d70ea815")</f>
        <v>0</v>
      </c>
      <c r="D751" t="s">
        <v>6497</v>
      </c>
      <c r="E751" t="s">
        <v>6704</v>
      </c>
      <c r="F751" t="s">
        <v>7114</v>
      </c>
      <c r="G751" t="s">
        <v>7851</v>
      </c>
      <c r="H751" t="s">
        <v>8782</v>
      </c>
      <c r="I751" t="s">
        <v>1357</v>
      </c>
      <c r="J751" t="s">
        <v>1357</v>
      </c>
      <c r="K751" t="s">
        <v>1357</v>
      </c>
      <c r="L751" t="s">
        <v>1357</v>
      </c>
    </row>
    <row r="752" spans="1:12">
      <c r="H752" t="s">
        <v>8783</v>
      </c>
      <c r="I752" t="s">
        <v>1357</v>
      </c>
      <c r="J752" t="s">
        <v>1357</v>
      </c>
      <c r="K752" t="s">
        <v>1357</v>
      </c>
      <c r="L752" t="s">
        <v>1357</v>
      </c>
    </row>
    <row r="753" spans="1:14">
      <c r="H753" t="s">
        <v>8784</v>
      </c>
      <c r="I753" t="s">
        <v>1357</v>
      </c>
      <c r="J753" t="s">
        <v>1357</v>
      </c>
      <c r="K753" t="s">
        <v>1357</v>
      </c>
      <c r="L753" t="s">
        <v>1357</v>
      </c>
    </row>
    <row r="754" spans="1:14">
      <c r="F754" t="s">
        <v>6994</v>
      </c>
      <c r="G754" t="s">
        <v>7740</v>
      </c>
      <c r="H754" t="s">
        <v>8785</v>
      </c>
      <c r="I754" t="s">
        <v>1357</v>
      </c>
      <c r="J754" t="s">
        <v>1357</v>
      </c>
      <c r="K754" t="s">
        <v>1357</v>
      </c>
      <c r="L754" t="s">
        <v>1357</v>
      </c>
    </row>
    <row r="755" spans="1:14">
      <c r="A755" t="s">
        <v>6249</v>
      </c>
      <c r="B755">
        <f>HYPERLINK("https://github.com/pmd/pmd/commit/21ef1a30124764b93045798f941139823f3c72d2", "21ef1a30124764b93045798f941139823f3c72d2")</f>
        <v>0</v>
      </c>
      <c r="C755">
        <f>HYPERLINK("https://github.com/pmd/pmd/commit/ab2f5a6a4f44e47628b805bb9b6e2c8981b07bca", "ab2f5a6a4f44e47628b805bb9b6e2c8981b07bca")</f>
        <v>0</v>
      </c>
      <c r="D755" t="s">
        <v>6497</v>
      </c>
      <c r="E755" t="s">
        <v>6705</v>
      </c>
      <c r="F755" t="s">
        <v>7023</v>
      </c>
      <c r="G755" t="s">
        <v>7769</v>
      </c>
      <c r="H755" t="s">
        <v>8786</v>
      </c>
      <c r="I755" t="s">
        <v>1357</v>
      </c>
      <c r="J755" t="s">
        <v>1357</v>
      </c>
      <c r="K755" t="s">
        <v>1357</v>
      </c>
      <c r="L755" t="s">
        <v>1357</v>
      </c>
    </row>
    <row r="756" spans="1:14">
      <c r="A756" t="s">
        <v>6250</v>
      </c>
      <c r="B756">
        <f>HYPERLINK("https://github.com/pmd/pmd/commit/81bdfe16c685720672a6f7c54c526f2e112dd090", "81bdfe16c685720672a6f7c54c526f2e112dd090")</f>
        <v>0</v>
      </c>
      <c r="C756">
        <f>HYPERLINK("https://github.com/pmd/pmd/commit/c60a9625e2b97f7bcafbbb530e6c36c109420f0a", "c60a9625e2b97f7bcafbbb530e6c36c109420f0a")</f>
        <v>0</v>
      </c>
      <c r="D756" t="s">
        <v>6495</v>
      </c>
      <c r="E756" t="s">
        <v>6706</v>
      </c>
      <c r="F756" t="s">
        <v>7115</v>
      </c>
      <c r="G756" t="s">
        <v>7852</v>
      </c>
      <c r="H756" t="s">
        <v>8787</v>
      </c>
      <c r="I756" t="s">
        <v>1358</v>
      </c>
      <c r="J756" t="s">
        <v>1358</v>
      </c>
      <c r="K756" t="s">
        <v>1358</v>
      </c>
      <c r="L756" t="s">
        <v>1358</v>
      </c>
      <c r="N756" t="s">
        <v>1369</v>
      </c>
    </row>
    <row r="757" spans="1:14">
      <c r="H757" t="s">
        <v>8788</v>
      </c>
      <c r="I757" t="s">
        <v>1358</v>
      </c>
      <c r="J757" t="s">
        <v>1358</v>
      </c>
      <c r="K757" t="s">
        <v>1358</v>
      </c>
      <c r="L757" t="s">
        <v>1358</v>
      </c>
      <c r="N757" t="s">
        <v>1369</v>
      </c>
    </row>
    <row r="758" spans="1:14">
      <c r="H758" t="s">
        <v>8789</v>
      </c>
      <c r="I758" t="s">
        <v>1358</v>
      </c>
      <c r="J758" t="s">
        <v>1358</v>
      </c>
      <c r="K758" t="s">
        <v>1358</v>
      </c>
      <c r="L758" t="s">
        <v>1358</v>
      </c>
      <c r="N758" t="s">
        <v>1369</v>
      </c>
    </row>
    <row r="759" spans="1:14">
      <c r="H759" t="s">
        <v>8790</v>
      </c>
      <c r="I759" t="s">
        <v>1359</v>
      </c>
      <c r="J759" t="s">
        <v>1357</v>
      </c>
      <c r="K759" t="s">
        <v>1357</v>
      </c>
      <c r="L759" t="s">
        <v>1358</v>
      </c>
      <c r="N759" t="s">
        <v>1369</v>
      </c>
    </row>
    <row r="760" spans="1:14">
      <c r="H760" t="s">
        <v>8791</v>
      </c>
      <c r="I760" t="s">
        <v>1358</v>
      </c>
      <c r="J760" t="s">
        <v>1358</v>
      </c>
      <c r="K760" t="s">
        <v>1358</v>
      </c>
      <c r="L760" t="s">
        <v>1358</v>
      </c>
      <c r="N760" t="s">
        <v>1369</v>
      </c>
    </row>
    <row r="761" spans="1:14">
      <c r="F761" t="s">
        <v>7116</v>
      </c>
      <c r="G761" t="s">
        <v>7707</v>
      </c>
      <c r="H761" t="s">
        <v>8792</v>
      </c>
      <c r="I761" t="s">
        <v>1358</v>
      </c>
      <c r="J761" t="s">
        <v>1358</v>
      </c>
      <c r="K761" t="s">
        <v>1358</v>
      </c>
      <c r="L761" t="s">
        <v>1358</v>
      </c>
    </row>
    <row r="762" spans="1:14">
      <c r="A762" t="s">
        <v>6251</v>
      </c>
      <c r="B762">
        <f>HYPERLINK("https://github.com/pmd/pmd/commit/f1f10c94622eb7134e557d0c8795967d2a9af8d3", "f1f10c94622eb7134e557d0c8795967d2a9af8d3")</f>
        <v>0</v>
      </c>
      <c r="C762">
        <f>HYPERLINK("https://github.com/pmd/pmd/commit/ed35b31cd8845f13479d78a589675af06deb8b4f", "ed35b31cd8845f13479d78a589675af06deb8b4f")</f>
        <v>0</v>
      </c>
      <c r="D762" t="s">
        <v>6492</v>
      </c>
      <c r="E762" t="s">
        <v>6707</v>
      </c>
      <c r="F762" t="s">
        <v>7117</v>
      </c>
      <c r="G762" t="s">
        <v>7853</v>
      </c>
      <c r="H762" t="s">
        <v>8378</v>
      </c>
      <c r="I762" t="s">
        <v>1357</v>
      </c>
      <c r="J762" t="s">
        <v>1357</v>
      </c>
      <c r="K762" t="s">
        <v>1357</v>
      </c>
      <c r="L762" t="s">
        <v>1357</v>
      </c>
    </row>
    <row r="763" spans="1:14">
      <c r="F763" t="s">
        <v>7118</v>
      </c>
      <c r="G763" t="s">
        <v>7854</v>
      </c>
      <c r="H763" t="s">
        <v>8378</v>
      </c>
      <c r="I763" t="s">
        <v>1357</v>
      </c>
      <c r="J763" t="s">
        <v>1357</v>
      </c>
      <c r="K763" t="s">
        <v>1357</v>
      </c>
      <c r="L763" t="s">
        <v>1357</v>
      </c>
    </row>
    <row r="764" spans="1:14">
      <c r="F764" t="s">
        <v>7119</v>
      </c>
      <c r="G764" t="s">
        <v>7855</v>
      </c>
      <c r="H764" t="s">
        <v>8378</v>
      </c>
      <c r="I764" t="s">
        <v>1357</v>
      </c>
      <c r="J764" t="s">
        <v>1357</v>
      </c>
      <c r="K764" t="s">
        <v>1357</v>
      </c>
      <c r="L764" t="s">
        <v>1357</v>
      </c>
    </row>
    <row r="765" spans="1:14">
      <c r="F765" t="s">
        <v>7120</v>
      </c>
      <c r="G765" t="s">
        <v>7856</v>
      </c>
      <c r="H765" t="s">
        <v>8378</v>
      </c>
      <c r="I765" t="s">
        <v>1357</v>
      </c>
      <c r="J765" t="s">
        <v>1357</v>
      </c>
      <c r="K765" t="s">
        <v>1357</v>
      </c>
      <c r="L765" t="s">
        <v>1357</v>
      </c>
    </row>
    <row r="766" spans="1:14">
      <c r="F766" t="s">
        <v>7121</v>
      </c>
      <c r="G766" t="s">
        <v>7857</v>
      </c>
      <c r="H766" t="s">
        <v>8378</v>
      </c>
      <c r="I766" t="s">
        <v>1357</v>
      </c>
      <c r="J766" t="s">
        <v>1357</v>
      </c>
      <c r="K766" t="s">
        <v>1357</v>
      </c>
      <c r="L766" t="s">
        <v>1357</v>
      </c>
    </row>
    <row r="767" spans="1:14">
      <c r="F767" t="s">
        <v>7122</v>
      </c>
      <c r="G767" t="s">
        <v>7858</v>
      </c>
      <c r="H767" t="s">
        <v>8378</v>
      </c>
      <c r="I767" t="s">
        <v>1357</v>
      </c>
      <c r="J767" t="s">
        <v>1357</v>
      </c>
      <c r="K767" t="s">
        <v>1357</v>
      </c>
      <c r="L767" t="s">
        <v>1357</v>
      </c>
    </row>
    <row r="768" spans="1:14">
      <c r="F768" t="s">
        <v>7123</v>
      </c>
      <c r="G768" t="s">
        <v>7859</v>
      </c>
      <c r="H768" t="s">
        <v>8378</v>
      </c>
      <c r="I768" t="s">
        <v>1357</v>
      </c>
      <c r="J768" t="s">
        <v>1357</v>
      </c>
      <c r="K768" t="s">
        <v>1357</v>
      </c>
      <c r="L768" t="s">
        <v>1357</v>
      </c>
    </row>
    <row r="769" spans="1:14">
      <c r="F769" t="s">
        <v>7124</v>
      </c>
      <c r="G769" t="s">
        <v>7860</v>
      </c>
      <c r="H769" t="s">
        <v>8378</v>
      </c>
      <c r="I769" t="s">
        <v>1357</v>
      </c>
      <c r="J769" t="s">
        <v>1357</v>
      </c>
      <c r="K769" t="s">
        <v>1357</v>
      </c>
      <c r="L769" t="s">
        <v>1357</v>
      </c>
    </row>
    <row r="770" spans="1:14">
      <c r="F770" t="s">
        <v>7125</v>
      </c>
      <c r="G770" t="s">
        <v>7840</v>
      </c>
      <c r="H770" t="s">
        <v>8378</v>
      </c>
      <c r="I770" t="s">
        <v>1357</v>
      </c>
      <c r="J770" t="s">
        <v>1357</v>
      </c>
      <c r="K770" t="s">
        <v>1357</v>
      </c>
      <c r="L770" t="s">
        <v>1357</v>
      </c>
    </row>
    <row r="771" spans="1:14">
      <c r="F771" t="s">
        <v>7126</v>
      </c>
      <c r="G771" t="s">
        <v>7740</v>
      </c>
      <c r="H771" t="s">
        <v>8378</v>
      </c>
      <c r="I771" t="s">
        <v>1357</v>
      </c>
      <c r="J771" t="s">
        <v>1357</v>
      </c>
      <c r="K771" t="s">
        <v>1357</v>
      </c>
      <c r="L771" t="s">
        <v>1357</v>
      </c>
    </row>
    <row r="772" spans="1:14">
      <c r="F772" t="s">
        <v>7127</v>
      </c>
      <c r="G772" t="s">
        <v>7778</v>
      </c>
      <c r="H772" t="s">
        <v>8378</v>
      </c>
      <c r="I772" t="s">
        <v>1357</v>
      </c>
      <c r="J772" t="s">
        <v>1357</v>
      </c>
      <c r="K772" t="s">
        <v>1357</v>
      </c>
      <c r="L772" t="s">
        <v>1357</v>
      </c>
    </row>
    <row r="773" spans="1:14">
      <c r="F773" t="s">
        <v>7128</v>
      </c>
      <c r="G773" t="s">
        <v>7730</v>
      </c>
      <c r="H773" t="s">
        <v>8378</v>
      </c>
      <c r="I773" t="s">
        <v>1357</v>
      </c>
      <c r="J773" t="s">
        <v>1357</v>
      </c>
      <c r="K773" t="s">
        <v>1357</v>
      </c>
      <c r="L773" t="s">
        <v>1357</v>
      </c>
    </row>
    <row r="774" spans="1:14">
      <c r="A774" t="s">
        <v>6252</v>
      </c>
      <c r="B774">
        <f>HYPERLINK("https://github.com/pmd/pmd/commit/3352454242f8a1abba5e6d2b49ce861b8abdb8c8", "3352454242f8a1abba5e6d2b49ce861b8abdb8c8")</f>
        <v>0</v>
      </c>
      <c r="C774">
        <f>HYPERLINK("https://github.com/pmd/pmd/commit/f1f10c94622eb7134e557d0c8795967d2a9af8d3", "f1f10c94622eb7134e557d0c8795967d2a9af8d3")</f>
        <v>0</v>
      </c>
      <c r="D774" t="s">
        <v>6492</v>
      </c>
      <c r="E774" t="s">
        <v>6708</v>
      </c>
      <c r="F774" t="s">
        <v>7129</v>
      </c>
      <c r="G774" t="s">
        <v>7861</v>
      </c>
      <c r="H774" t="s">
        <v>8378</v>
      </c>
      <c r="I774" t="s">
        <v>1357</v>
      </c>
      <c r="J774" t="s">
        <v>1357</v>
      </c>
      <c r="K774" t="s">
        <v>1357</v>
      </c>
      <c r="L774" t="s">
        <v>1357</v>
      </c>
      <c r="N774" t="s">
        <v>9943</v>
      </c>
    </row>
    <row r="775" spans="1:14">
      <c r="F775" t="s">
        <v>7130</v>
      </c>
      <c r="G775" t="s">
        <v>7862</v>
      </c>
      <c r="H775" t="s">
        <v>8378</v>
      </c>
      <c r="I775" t="s">
        <v>1357</v>
      </c>
      <c r="J775" t="s">
        <v>1357</v>
      </c>
      <c r="K775" t="s">
        <v>1357</v>
      </c>
      <c r="L775" t="s">
        <v>1357</v>
      </c>
      <c r="N775" t="s">
        <v>9943</v>
      </c>
    </row>
    <row r="776" spans="1:14">
      <c r="F776" t="s">
        <v>7131</v>
      </c>
      <c r="G776" t="s">
        <v>7779</v>
      </c>
      <c r="H776" t="s">
        <v>8378</v>
      </c>
      <c r="I776" t="s">
        <v>1357</v>
      </c>
      <c r="J776" t="s">
        <v>1357</v>
      </c>
      <c r="K776" t="s">
        <v>1357</v>
      </c>
      <c r="L776" t="s">
        <v>1357</v>
      </c>
      <c r="N776" t="s">
        <v>9943</v>
      </c>
    </row>
    <row r="777" spans="1:14">
      <c r="F777" t="s">
        <v>7132</v>
      </c>
      <c r="G777" t="s">
        <v>7863</v>
      </c>
      <c r="H777" t="s">
        <v>8378</v>
      </c>
      <c r="I777" t="s">
        <v>1357</v>
      </c>
      <c r="J777" t="s">
        <v>1357</v>
      </c>
      <c r="K777" t="s">
        <v>1357</v>
      </c>
      <c r="L777" t="s">
        <v>1357</v>
      </c>
      <c r="N777" t="s">
        <v>9943</v>
      </c>
    </row>
    <row r="778" spans="1:14">
      <c r="F778" t="s">
        <v>7133</v>
      </c>
      <c r="G778" t="s">
        <v>7780</v>
      </c>
      <c r="H778" t="s">
        <v>8378</v>
      </c>
      <c r="I778" t="s">
        <v>1357</v>
      </c>
      <c r="J778" t="s">
        <v>1357</v>
      </c>
      <c r="K778" t="s">
        <v>1357</v>
      </c>
      <c r="L778" t="s">
        <v>1357</v>
      </c>
      <c r="N778" t="s">
        <v>9943</v>
      </c>
    </row>
    <row r="779" spans="1:14">
      <c r="F779" t="s">
        <v>7134</v>
      </c>
      <c r="G779" t="s">
        <v>7781</v>
      </c>
      <c r="H779" t="s">
        <v>8378</v>
      </c>
      <c r="I779" t="s">
        <v>1357</v>
      </c>
      <c r="J779" t="s">
        <v>1357</v>
      </c>
      <c r="K779" t="s">
        <v>1357</v>
      </c>
      <c r="L779" t="s">
        <v>1357</v>
      </c>
      <c r="N779" t="s">
        <v>9943</v>
      </c>
    </row>
    <row r="780" spans="1:14">
      <c r="F780" t="s">
        <v>7135</v>
      </c>
      <c r="G780" t="s">
        <v>7774</v>
      </c>
      <c r="H780" t="s">
        <v>8378</v>
      </c>
      <c r="I780" t="s">
        <v>1357</v>
      </c>
      <c r="J780" t="s">
        <v>1357</v>
      </c>
      <c r="K780" t="s">
        <v>1357</v>
      </c>
      <c r="L780" t="s">
        <v>1357</v>
      </c>
      <c r="N780" t="s">
        <v>9943</v>
      </c>
    </row>
    <row r="781" spans="1:14">
      <c r="F781" t="s">
        <v>7136</v>
      </c>
      <c r="G781" t="s">
        <v>7773</v>
      </c>
      <c r="H781" t="s">
        <v>8378</v>
      </c>
      <c r="I781" t="s">
        <v>1357</v>
      </c>
      <c r="J781" t="s">
        <v>1357</v>
      </c>
      <c r="K781" t="s">
        <v>1357</v>
      </c>
      <c r="L781" t="s">
        <v>1357</v>
      </c>
      <c r="N781" t="s">
        <v>9943</v>
      </c>
    </row>
    <row r="782" spans="1:14">
      <c r="F782" t="s">
        <v>7137</v>
      </c>
      <c r="G782" t="s">
        <v>7864</v>
      </c>
      <c r="H782" t="s">
        <v>8378</v>
      </c>
      <c r="I782" t="s">
        <v>1357</v>
      </c>
      <c r="J782" t="s">
        <v>1357</v>
      </c>
      <c r="K782" t="s">
        <v>1357</v>
      </c>
      <c r="L782" t="s">
        <v>1357</v>
      </c>
      <c r="N782" t="s">
        <v>9943</v>
      </c>
    </row>
    <row r="783" spans="1:14">
      <c r="F783" t="s">
        <v>7138</v>
      </c>
      <c r="G783" t="s">
        <v>7865</v>
      </c>
      <c r="H783" t="s">
        <v>8378</v>
      </c>
      <c r="I783" t="s">
        <v>1357</v>
      </c>
      <c r="J783" t="s">
        <v>1357</v>
      </c>
      <c r="K783" t="s">
        <v>1357</v>
      </c>
      <c r="L783" t="s">
        <v>1357</v>
      </c>
      <c r="N783" t="s">
        <v>9943</v>
      </c>
    </row>
    <row r="784" spans="1:14">
      <c r="F784" t="s">
        <v>7139</v>
      </c>
      <c r="G784" t="s">
        <v>7770</v>
      </c>
      <c r="H784" t="s">
        <v>8378</v>
      </c>
      <c r="I784" t="s">
        <v>1357</v>
      </c>
      <c r="J784" t="s">
        <v>1357</v>
      </c>
      <c r="K784" t="s">
        <v>1357</v>
      </c>
      <c r="L784" t="s">
        <v>1357</v>
      </c>
      <c r="N784" t="s">
        <v>9943</v>
      </c>
    </row>
    <row r="785" spans="1:14">
      <c r="F785" t="s">
        <v>7140</v>
      </c>
      <c r="G785" t="s">
        <v>7866</v>
      </c>
      <c r="H785" t="s">
        <v>8378</v>
      </c>
      <c r="I785" t="s">
        <v>1357</v>
      </c>
      <c r="J785" t="s">
        <v>1357</v>
      </c>
      <c r="K785" t="s">
        <v>1357</v>
      </c>
      <c r="L785" t="s">
        <v>1357</v>
      </c>
      <c r="N785" t="s">
        <v>9943</v>
      </c>
    </row>
    <row r="786" spans="1:14">
      <c r="F786" t="s">
        <v>7141</v>
      </c>
      <c r="G786" t="s">
        <v>7867</v>
      </c>
      <c r="H786" t="s">
        <v>8378</v>
      </c>
      <c r="I786" t="s">
        <v>1357</v>
      </c>
      <c r="J786" t="s">
        <v>1357</v>
      </c>
      <c r="K786" t="s">
        <v>1357</v>
      </c>
      <c r="L786" t="s">
        <v>1357</v>
      </c>
      <c r="N786" t="s">
        <v>9943</v>
      </c>
    </row>
    <row r="787" spans="1:14">
      <c r="F787" t="s">
        <v>7142</v>
      </c>
      <c r="G787" t="s">
        <v>7868</v>
      </c>
      <c r="H787" t="s">
        <v>8378</v>
      </c>
      <c r="I787" t="s">
        <v>1357</v>
      </c>
      <c r="J787" t="s">
        <v>1357</v>
      </c>
      <c r="K787" t="s">
        <v>1357</v>
      </c>
      <c r="L787" t="s">
        <v>1357</v>
      </c>
      <c r="N787" t="s">
        <v>9943</v>
      </c>
    </row>
    <row r="788" spans="1:14">
      <c r="F788" t="s">
        <v>7143</v>
      </c>
      <c r="G788" t="s">
        <v>7869</v>
      </c>
      <c r="H788" t="s">
        <v>8378</v>
      </c>
      <c r="I788" t="s">
        <v>1357</v>
      </c>
      <c r="J788" t="s">
        <v>1357</v>
      </c>
      <c r="K788" t="s">
        <v>1357</v>
      </c>
      <c r="L788" t="s">
        <v>1357</v>
      </c>
      <c r="N788" t="s">
        <v>9943</v>
      </c>
    </row>
    <row r="789" spans="1:14">
      <c r="F789" t="s">
        <v>7144</v>
      </c>
      <c r="G789" t="s">
        <v>7870</v>
      </c>
      <c r="H789" t="s">
        <v>8378</v>
      </c>
      <c r="I789" t="s">
        <v>1357</v>
      </c>
      <c r="J789" t="s">
        <v>1357</v>
      </c>
      <c r="K789" t="s">
        <v>1357</v>
      </c>
      <c r="L789" t="s">
        <v>1357</v>
      </c>
      <c r="N789" t="s">
        <v>9943</v>
      </c>
    </row>
    <row r="790" spans="1:14">
      <c r="F790" t="s">
        <v>7145</v>
      </c>
      <c r="G790" t="s">
        <v>7871</v>
      </c>
      <c r="H790" t="s">
        <v>8378</v>
      </c>
      <c r="I790" t="s">
        <v>1357</v>
      </c>
      <c r="J790" t="s">
        <v>1357</v>
      </c>
      <c r="K790" t="s">
        <v>1357</v>
      </c>
      <c r="L790" t="s">
        <v>1357</v>
      </c>
      <c r="N790" t="s">
        <v>9943</v>
      </c>
    </row>
    <row r="791" spans="1:14">
      <c r="A791" t="s">
        <v>6253</v>
      </c>
      <c r="B791">
        <f>HYPERLINK("https://github.com/pmd/pmd/commit/567948e2c3bf88d1a57852869c28f1f6765957c8", "567948e2c3bf88d1a57852869c28f1f6765957c8")</f>
        <v>0</v>
      </c>
      <c r="C791">
        <f>HYPERLINK("https://github.com/pmd/pmd/commit/3352454242f8a1abba5e6d2b49ce861b8abdb8c8", "3352454242f8a1abba5e6d2b49ce861b8abdb8c8")</f>
        <v>0</v>
      </c>
      <c r="D791" t="s">
        <v>6492</v>
      </c>
      <c r="E791" t="s">
        <v>6709</v>
      </c>
      <c r="F791" t="s">
        <v>7146</v>
      </c>
      <c r="G791" t="s">
        <v>7872</v>
      </c>
      <c r="H791" t="s">
        <v>8378</v>
      </c>
      <c r="I791" t="s">
        <v>1357</v>
      </c>
      <c r="J791" t="s">
        <v>1357</v>
      </c>
      <c r="K791" t="s">
        <v>1357</v>
      </c>
      <c r="L791" t="s">
        <v>1357</v>
      </c>
    </row>
    <row r="792" spans="1:14">
      <c r="F792" t="s">
        <v>7147</v>
      </c>
      <c r="G792" t="s">
        <v>7873</v>
      </c>
      <c r="H792" t="s">
        <v>8378</v>
      </c>
      <c r="I792" t="s">
        <v>1357</v>
      </c>
      <c r="J792" t="s">
        <v>1357</v>
      </c>
      <c r="K792" t="s">
        <v>1357</v>
      </c>
      <c r="L792" t="s">
        <v>1357</v>
      </c>
    </row>
    <row r="793" spans="1:14">
      <c r="F793" t="s">
        <v>7148</v>
      </c>
      <c r="G793" t="s">
        <v>7749</v>
      </c>
      <c r="H793" t="s">
        <v>8378</v>
      </c>
      <c r="I793" t="s">
        <v>1357</v>
      </c>
      <c r="J793" t="s">
        <v>1357</v>
      </c>
      <c r="K793" t="s">
        <v>1357</v>
      </c>
      <c r="L793" t="s">
        <v>1357</v>
      </c>
    </row>
    <row r="794" spans="1:14">
      <c r="F794" t="s">
        <v>7149</v>
      </c>
      <c r="G794" t="s">
        <v>7874</v>
      </c>
      <c r="H794" t="s">
        <v>8378</v>
      </c>
      <c r="I794" t="s">
        <v>1357</v>
      </c>
      <c r="J794" t="s">
        <v>1357</v>
      </c>
      <c r="K794" t="s">
        <v>1357</v>
      </c>
      <c r="L794" t="s">
        <v>1357</v>
      </c>
    </row>
    <row r="795" spans="1:14">
      <c r="F795" t="s">
        <v>7150</v>
      </c>
      <c r="G795" t="s">
        <v>7875</v>
      </c>
      <c r="H795" t="s">
        <v>8378</v>
      </c>
      <c r="I795" t="s">
        <v>1359</v>
      </c>
      <c r="J795" t="s">
        <v>1357</v>
      </c>
      <c r="K795" t="s">
        <v>1357</v>
      </c>
      <c r="L795" t="s">
        <v>1358</v>
      </c>
    </row>
    <row r="796" spans="1:14">
      <c r="F796" t="s">
        <v>7151</v>
      </c>
      <c r="G796" t="s">
        <v>7876</v>
      </c>
      <c r="H796" t="s">
        <v>8378</v>
      </c>
      <c r="I796" t="s">
        <v>1359</v>
      </c>
      <c r="J796" t="s">
        <v>1357</v>
      </c>
      <c r="K796" t="s">
        <v>1357</v>
      </c>
      <c r="L796" t="s">
        <v>1358</v>
      </c>
    </row>
    <row r="797" spans="1:14">
      <c r="F797" t="s">
        <v>7152</v>
      </c>
      <c r="G797" t="s">
        <v>7877</v>
      </c>
      <c r="H797" t="s">
        <v>8378</v>
      </c>
      <c r="I797" t="s">
        <v>1359</v>
      </c>
      <c r="J797" t="s">
        <v>1357</v>
      </c>
      <c r="K797" t="s">
        <v>1357</v>
      </c>
      <c r="L797" t="s">
        <v>1358</v>
      </c>
    </row>
    <row r="798" spans="1:14">
      <c r="F798" t="s">
        <v>7153</v>
      </c>
      <c r="G798" t="s">
        <v>7819</v>
      </c>
      <c r="H798" t="s">
        <v>8378</v>
      </c>
      <c r="I798" t="s">
        <v>1359</v>
      </c>
      <c r="J798" t="s">
        <v>1357</v>
      </c>
      <c r="K798" t="s">
        <v>1357</v>
      </c>
      <c r="L798" t="s">
        <v>1358</v>
      </c>
    </row>
    <row r="799" spans="1:14">
      <c r="H799" t="s">
        <v>8687</v>
      </c>
      <c r="I799" t="s">
        <v>1357</v>
      </c>
      <c r="J799" t="s">
        <v>1357</v>
      </c>
      <c r="K799" t="s">
        <v>1357</v>
      </c>
      <c r="L799" t="s">
        <v>1357</v>
      </c>
      <c r="M799" t="s">
        <v>1360</v>
      </c>
      <c r="N799" t="s">
        <v>9944</v>
      </c>
    </row>
    <row r="800" spans="1:14">
      <c r="F800" t="s">
        <v>7154</v>
      </c>
      <c r="G800" t="s">
        <v>7841</v>
      </c>
      <c r="H800" t="s">
        <v>8378</v>
      </c>
      <c r="I800" t="s">
        <v>1359</v>
      </c>
      <c r="J800" t="s">
        <v>1357</v>
      </c>
      <c r="K800" t="s">
        <v>1357</v>
      </c>
      <c r="L800" t="s">
        <v>1358</v>
      </c>
    </row>
    <row r="801" spans="6:12">
      <c r="F801" t="s">
        <v>7155</v>
      </c>
      <c r="G801" t="s">
        <v>7758</v>
      </c>
      <c r="H801" t="s">
        <v>8378</v>
      </c>
      <c r="I801" t="s">
        <v>1359</v>
      </c>
      <c r="J801" t="s">
        <v>1357</v>
      </c>
      <c r="K801" t="s">
        <v>1357</v>
      </c>
      <c r="L801" t="s">
        <v>1358</v>
      </c>
    </row>
    <row r="802" spans="6:12">
      <c r="F802" t="s">
        <v>7156</v>
      </c>
      <c r="G802" t="s">
        <v>7723</v>
      </c>
      <c r="H802" t="s">
        <v>8378</v>
      </c>
      <c r="I802" t="s">
        <v>1359</v>
      </c>
      <c r="J802" t="s">
        <v>1357</v>
      </c>
      <c r="K802" t="s">
        <v>1357</v>
      </c>
      <c r="L802" t="s">
        <v>1358</v>
      </c>
    </row>
    <row r="803" spans="6:12">
      <c r="F803" t="s">
        <v>7104</v>
      </c>
      <c r="G803" t="s">
        <v>7843</v>
      </c>
      <c r="H803" t="s">
        <v>8378</v>
      </c>
      <c r="I803" t="s">
        <v>1359</v>
      </c>
      <c r="J803" t="s">
        <v>1357</v>
      </c>
      <c r="K803" t="s">
        <v>1357</v>
      </c>
      <c r="L803" t="s">
        <v>1358</v>
      </c>
    </row>
    <row r="804" spans="6:12">
      <c r="F804" t="s">
        <v>7105</v>
      </c>
      <c r="G804" t="s">
        <v>7844</v>
      </c>
      <c r="H804" t="s">
        <v>8378</v>
      </c>
      <c r="I804" t="s">
        <v>1359</v>
      </c>
      <c r="J804" t="s">
        <v>1357</v>
      </c>
      <c r="K804" t="s">
        <v>1357</v>
      </c>
      <c r="L804" t="s">
        <v>1358</v>
      </c>
    </row>
    <row r="805" spans="6:12">
      <c r="F805" t="s">
        <v>7106</v>
      </c>
      <c r="G805" t="s">
        <v>7845</v>
      </c>
      <c r="H805" t="s">
        <v>8378</v>
      </c>
      <c r="I805" t="s">
        <v>1359</v>
      </c>
      <c r="J805" t="s">
        <v>1357</v>
      </c>
      <c r="K805" t="s">
        <v>1357</v>
      </c>
      <c r="L805" t="s">
        <v>1358</v>
      </c>
    </row>
    <row r="806" spans="6:12">
      <c r="F806" t="s">
        <v>7157</v>
      </c>
      <c r="G806" t="s">
        <v>7878</v>
      </c>
      <c r="H806" t="s">
        <v>8378</v>
      </c>
      <c r="I806" t="s">
        <v>1359</v>
      </c>
      <c r="J806" t="s">
        <v>1357</v>
      </c>
      <c r="K806" t="s">
        <v>1357</v>
      </c>
      <c r="L806" t="s">
        <v>1358</v>
      </c>
    </row>
    <row r="807" spans="6:12">
      <c r="F807" t="s">
        <v>7158</v>
      </c>
      <c r="G807" t="s">
        <v>7847</v>
      </c>
      <c r="H807" t="s">
        <v>8378</v>
      </c>
      <c r="I807" t="s">
        <v>1359</v>
      </c>
      <c r="J807" t="s">
        <v>1357</v>
      </c>
      <c r="K807" t="s">
        <v>1357</v>
      </c>
      <c r="L807" t="s">
        <v>1358</v>
      </c>
    </row>
    <row r="808" spans="6:12">
      <c r="F808" t="s">
        <v>7159</v>
      </c>
      <c r="G808" t="s">
        <v>7879</v>
      </c>
      <c r="H808" t="s">
        <v>8378</v>
      </c>
      <c r="I808" t="s">
        <v>1359</v>
      </c>
      <c r="J808" t="s">
        <v>1357</v>
      </c>
      <c r="K808" t="s">
        <v>1357</v>
      </c>
      <c r="L808" t="s">
        <v>1358</v>
      </c>
    </row>
    <row r="809" spans="6:12">
      <c r="F809" t="s">
        <v>7160</v>
      </c>
      <c r="G809" t="s">
        <v>7790</v>
      </c>
      <c r="H809" t="s">
        <v>8378</v>
      </c>
      <c r="I809" t="s">
        <v>1359</v>
      </c>
      <c r="J809" t="s">
        <v>1357</v>
      </c>
      <c r="K809" t="s">
        <v>1357</v>
      </c>
      <c r="L809" t="s">
        <v>1358</v>
      </c>
    </row>
    <row r="810" spans="6:12">
      <c r="F810" t="s">
        <v>7161</v>
      </c>
      <c r="G810" t="s">
        <v>7880</v>
      </c>
      <c r="H810" t="s">
        <v>8378</v>
      </c>
      <c r="I810" t="s">
        <v>1359</v>
      </c>
      <c r="J810" t="s">
        <v>1357</v>
      </c>
      <c r="K810" t="s">
        <v>1357</v>
      </c>
      <c r="L810" t="s">
        <v>1358</v>
      </c>
    </row>
    <row r="811" spans="6:12">
      <c r="F811" t="s">
        <v>7162</v>
      </c>
      <c r="G811" t="s">
        <v>7838</v>
      </c>
      <c r="H811" t="s">
        <v>8378</v>
      </c>
      <c r="I811" t="s">
        <v>1359</v>
      </c>
      <c r="J811" t="s">
        <v>1357</v>
      </c>
      <c r="K811" t="s">
        <v>1357</v>
      </c>
      <c r="L811" t="s">
        <v>1358</v>
      </c>
    </row>
    <row r="812" spans="6:12">
      <c r="F812" t="s">
        <v>7163</v>
      </c>
      <c r="G812" t="s">
        <v>7881</v>
      </c>
      <c r="H812" t="s">
        <v>8378</v>
      </c>
      <c r="I812" t="s">
        <v>1359</v>
      </c>
      <c r="J812" t="s">
        <v>1357</v>
      </c>
      <c r="K812" t="s">
        <v>1357</v>
      </c>
      <c r="L812" t="s">
        <v>1358</v>
      </c>
    </row>
    <row r="813" spans="6:12">
      <c r="F813" t="s">
        <v>7164</v>
      </c>
      <c r="G813" t="s">
        <v>7882</v>
      </c>
      <c r="H813" t="s">
        <v>8378</v>
      </c>
      <c r="I813" t="s">
        <v>1359</v>
      </c>
      <c r="J813" t="s">
        <v>1357</v>
      </c>
      <c r="K813" t="s">
        <v>1357</v>
      </c>
      <c r="L813" t="s">
        <v>1358</v>
      </c>
    </row>
    <row r="814" spans="6:12">
      <c r="F814" t="s">
        <v>7165</v>
      </c>
      <c r="G814" t="s">
        <v>7883</v>
      </c>
      <c r="H814" t="s">
        <v>8378</v>
      </c>
      <c r="I814" t="s">
        <v>1359</v>
      </c>
      <c r="J814" t="s">
        <v>1357</v>
      </c>
      <c r="K814" t="s">
        <v>1357</v>
      </c>
      <c r="L814" t="s">
        <v>1358</v>
      </c>
    </row>
    <row r="815" spans="6:12">
      <c r="F815" t="s">
        <v>7166</v>
      </c>
      <c r="G815" t="s">
        <v>7795</v>
      </c>
      <c r="H815" t="s">
        <v>8378</v>
      </c>
      <c r="I815" t="s">
        <v>1359</v>
      </c>
      <c r="J815" t="s">
        <v>1357</v>
      </c>
      <c r="K815" t="s">
        <v>1357</v>
      </c>
      <c r="L815" t="s">
        <v>1358</v>
      </c>
    </row>
    <row r="816" spans="6:12">
      <c r="F816" t="s">
        <v>7167</v>
      </c>
      <c r="G816" t="s">
        <v>7739</v>
      </c>
      <c r="H816" t="s">
        <v>8378</v>
      </c>
      <c r="I816" t="s">
        <v>1359</v>
      </c>
      <c r="J816" t="s">
        <v>1357</v>
      </c>
      <c r="K816" t="s">
        <v>1357</v>
      </c>
      <c r="L816" t="s">
        <v>1358</v>
      </c>
    </row>
    <row r="817" spans="1:12">
      <c r="F817" t="s">
        <v>7168</v>
      </c>
      <c r="G817" t="s">
        <v>7884</v>
      </c>
      <c r="H817" t="s">
        <v>8378</v>
      </c>
      <c r="I817" t="s">
        <v>1359</v>
      </c>
      <c r="J817" t="s">
        <v>1357</v>
      </c>
      <c r="K817" t="s">
        <v>1357</v>
      </c>
      <c r="L817" t="s">
        <v>1358</v>
      </c>
    </row>
    <row r="818" spans="1:12">
      <c r="F818" t="s">
        <v>7169</v>
      </c>
      <c r="G818" t="s">
        <v>7885</v>
      </c>
      <c r="H818" t="s">
        <v>8378</v>
      </c>
      <c r="I818" t="s">
        <v>1359</v>
      </c>
      <c r="J818" t="s">
        <v>1357</v>
      </c>
      <c r="K818" t="s">
        <v>1357</v>
      </c>
      <c r="L818" t="s">
        <v>1358</v>
      </c>
    </row>
    <row r="819" spans="1:12">
      <c r="F819" t="s">
        <v>7170</v>
      </c>
      <c r="G819" t="s">
        <v>7886</v>
      </c>
      <c r="H819" t="s">
        <v>8378</v>
      </c>
      <c r="I819" t="s">
        <v>1359</v>
      </c>
      <c r="J819" t="s">
        <v>1357</v>
      </c>
      <c r="K819" t="s">
        <v>1357</v>
      </c>
      <c r="L819" t="s">
        <v>1358</v>
      </c>
    </row>
    <row r="820" spans="1:12">
      <c r="F820" t="s">
        <v>7171</v>
      </c>
      <c r="G820" t="s">
        <v>7887</v>
      </c>
      <c r="H820" t="s">
        <v>8378</v>
      </c>
      <c r="I820" t="s">
        <v>1359</v>
      </c>
      <c r="J820" t="s">
        <v>1357</v>
      </c>
      <c r="K820" t="s">
        <v>1357</v>
      </c>
      <c r="L820" t="s">
        <v>1358</v>
      </c>
    </row>
    <row r="821" spans="1:12">
      <c r="F821" t="s">
        <v>7172</v>
      </c>
      <c r="G821" t="s">
        <v>7747</v>
      </c>
      <c r="H821" t="s">
        <v>8378</v>
      </c>
      <c r="I821" t="s">
        <v>1359</v>
      </c>
      <c r="J821" t="s">
        <v>1357</v>
      </c>
      <c r="K821" t="s">
        <v>1357</v>
      </c>
      <c r="L821" t="s">
        <v>1358</v>
      </c>
    </row>
    <row r="822" spans="1:12">
      <c r="A822" t="s">
        <v>6254</v>
      </c>
      <c r="B822">
        <f>HYPERLINK("https://github.com/pmd/pmd/commit/14ec8c603243beccb580cfd12bb9d4dd4248e351", "14ec8c603243beccb580cfd12bb9d4dd4248e351")</f>
        <v>0</v>
      </c>
      <c r="C822">
        <f>HYPERLINK("https://github.com/pmd/pmd/commit/567948e2c3bf88d1a57852869c28f1f6765957c8", "567948e2c3bf88d1a57852869c28f1f6765957c8")</f>
        <v>0</v>
      </c>
      <c r="D822" t="s">
        <v>6492</v>
      </c>
      <c r="E822" t="s">
        <v>6710</v>
      </c>
      <c r="F822" t="s">
        <v>7173</v>
      </c>
      <c r="G822" t="s">
        <v>7888</v>
      </c>
      <c r="H822" t="s">
        <v>8378</v>
      </c>
      <c r="I822" t="s">
        <v>1357</v>
      </c>
      <c r="J822" t="s">
        <v>1357</v>
      </c>
      <c r="K822" t="s">
        <v>1357</v>
      </c>
      <c r="L822" t="s">
        <v>1357</v>
      </c>
    </row>
    <row r="823" spans="1:12">
      <c r="F823" t="s">
        <v>7174</v>
      </c>
      <c r="G823" t="s">
        <v>7889</v>
      </c>
      <c r="H823" t="s">
        <v>8378</v>
      </c>
      <c r="I823" t="s">
        <v>1357</v>
      </c>
      <c r="J823" t="s">
        <v>1357</v>
      </c>
      <c r="K823" t="s">
        <v>1357</v>
      </c>
      <c r="L823" t="s">
        <v>1357</v>
      </c>
    </row>
    <row r="824" spans="1:12">
      <c r="F824" t="s">
        <v>7175</v>
      </c>
      <c r="G824" t="s">
        <v>7890</v>
      </c>
      <c r="H824" t="s">
        <v>8378</v>
      </c>
      <c r="I824" t="s">
        <v>1359</v>
      </c>
      <c r="J824" t="s">
        <v>1357</v>
      </c>
      <c r="K824" t="s">
        <v>1357</v>
      </c>
      <c r="L824" t="s">
        <v>1358</v>
      </c>
    </row>
    <row r="825" spans="1:12">
      <c r="F825" t="s">
        <v>7176</v>
      </c>
      <c r="G825" t="s">
        <v>7891</v>
      </c>
      <c r="H825" t="s">
        <v>8378</v>
      </c>
      <c r="I825" t="s">
        <v>1359</v>
      </c>
      <c r="J825" t="s">
        <v>1357</v>
      </c>
      <c r="K825" t="s">
        <v>1357</v>
      </c>
      <c r="L825" t="s">
        <v>1358</v>
      </c>
    </row>
    <row r="826" spans="1:12">
      <c r="F826" t="s">
        <v>7177</v>
      </c>
      <c r="G826" t="s">
        <v>7818</v>
      </c>
      <c r="H826" t="s">
        <v>8378</v>
      </c>
      <c r="I826" t="s">
        <v>1359</v>
      </c>
      <c r="J826" t="s">
        <v>1357</v>
      </c>
      <c r="K826" t="s">
        <v>1357</v>
      </c>
      <c r="L826" t="s">
        <v>1358</v>
      </c>
    </row>
    <row r="827" spans="1:12">
      <c r="F827" t="s">
        <v>7178</v>
      </c>
      <c r="G827" t="s">
        <v>7892</v>
      </c>
      <c r="H827" t="s">
        <v>8378</v>
      </c>
      <c r="I827" t="s">
        <v>1359</v>
      </c>
      <c r="J827" t="s">
        <v>1357</v>
      </c>
      <c r="K827" t="s">
        <v>1357</v>
      </c>
      <c r="L827" t="s">
        <v>1358</v>
      </c>
    </row>
    <row r="828" spans="1:12">
      <c r="F828" t="s">
        <v>7179</v>
      </c>
      <c r="G828" t="s">
        <v>7893</v>
      </c>
      <c r="H828" t="s">
        <v>8378</v>
      </c>
      <c r="I828" t="s">
        <v>1359</v>
      </c>
      <c r="J828" t="s">
        <v>1357</v>
      </c>
      <c r="K828" t="s">
        <v>1357</v>
      </c>
      <c r="L828" t="s">
        <v>1358</v>
      </c>
    </row>
    <row r="829" spans="1:12">
      <c r="F829" t="s">
        <v>7180</v>
      </c>
      <c r="G829" t="s">
        <v>7832</v>
      </c>
      <c r="H829" t="s">
        <v>8378</v>
      </c>
      <c r="I829" t="s">
        <v>1359</v>
      </c>
      <c r="J829" t="s">
        <v>1357</v>
      </c>
      <c r="K829" t="s">
        <v>1357</v>
      </c>
      <c r="L829" t="s">
        <v>1358</v>
      </c>
    </row>
    <row r="830" spans="1:12">
      <c r="F830" t="s">
        <v>7181</v>
      </c>
      <c r="G830" t="s">
        <v>7894</v>
      </c>
      <c r="H830" t="s">
        <v>8378</v>
      </c>
      <c r="I830" t="s">
        <v>1359</v>
      </c>
      <c r="J830" t="s">
        <v>1357</v>
      </c>
      <c r="K830" t="s">
        <v>1357</v>
      </c>
      <c r="L830" t="s">
        <v>1358</v>
      </c>
    </row>
    <row r="831" spans="1:12">
      <c r="F831" t="s">
        <v>7182</v>
      </c>
      <c r="G831" t="s">
        <v>7895</v>
      </c>
      <c r="H831" t="s">
        <v>8378</v>
      </c>
      <c r="I831" t="s">
        <v>1359</v>
      </c>
      <c r="J831" t="s">
        <v>1357</v>
      </c>
      <c r="K831" t="s">
        <v>1357</v>
      </c>
      <c r="L831" t="s">
        <v>1358</v>
      </c>
    </row>
    <row r="832" spans="1:12">
      <c r="F832" t="s">
        <v>7183</v>
      </c>
      <c r="G832" t="s">
        <v>7896</v>
      </c>
      <c r="H832" t="s">
        <v>8378</v>
      </c>
      <c r="I832" t="s">
        <v>1359</v>
      </c>
      <c r="J832" t="s">
        <v>1357</v>
      </c>
      <c r="K832" t="s">
        <v>1357</v>
      </c>
      <c r="L832" t="s">
        <v>1358</v>
      </c>
    </row>
    <row r="833" spans="6:12">
      <c r="F833" t="s">
        <v>7184</v>
      </c>
      <c r="G833" t="s">
        <v>7897</v>
      </c>
      <c r="H833" t="s">
        <v>8378</v>
      </c>
      <c r="I833" t="s">
        <v>1359</v>
      </c>
      <c r="J833" t="s">
        <v>1357</v>
      </c>
      <c r="K833" t="s">
        <v>1357</v>
      </c>
      <c r="L833" t="s">
        <v>1358</v>
      </c>
    </row>
    <row r="834" spans="6:12">
      <c r="F834" t="s">
        <v>7185</v>
      </c>
      <c r="G834" t="s">
        <v>7898</v>
      </c>
      <c r="H834" t="s">
        <v>8378</v>
      </c>
      <c r="I834" t="s">
        <v>1359</v>
      </c>
      <c r="J834" t="s">
        <v>1357</v>
      </c>
      <c r="K834" t="s">
        <v>1357</v>
      </c>
      <c r="L834" t="s">
        <v>1358</v>
      </c>
    </row>
    <row r="835" spans="6:12">
      <c r="F835" t="s">
        <v>7186</v>
      </c>
      <c r="G835" t="s">
        <v>7851</v>
      </c>
      <c r="H835" t="s">
        <v>8378</v>
      </c>
      <c r="I835" t="s">
        <v>1359</v>
      </c>
      <c r="J835" t="s">
        <v>1357</v>
      </c>
      <c r="K835" t="s">
        <v>1357</v>
      </c>
      <c r="L835" t="s">
        <v>1358</v>
      </c>
    </row>
    <row r="836" spans="6:12">
      <c r="F836" t="s">
        <v>7187</v>
      </c>
      <c r="G836" t="s">
        <v>7899</v>
      </c>
      <c r="H836" t="s">
        <v>8378</v>
      </c>
      <c r="I836" t="s">
        <v>1359</v>
      </c>
      <c r="J836" t="s">
        <v>1357</v>
      </c>
      <c r="K836" t="s">
        <v>1357</v>
      </c>
      <c r="L836" t="s">
        <v>1358</v>
      </c>
    </row>
    <row r="837" spans="6:12">
      <c r="F837" t="s">
        <v>7188</v>
      </c>
      <c r="G837" t="s">
        <v>7900</v>
      </c>
      <c r="H837" t="s">
        <v>8378</v>
      </c>
      <c r="I837" t="s">
        <v>1359</v>
      </c>
      <c r="J837" t="s">
        <v>1357</v>
      </c>
      <c r="K837" t="s">
        <v>1357</v>
      </c>
      <c r="L837" t="s">
        <v>1358</v>
      </c>
    </row>
    <row r="838" spans="6:12">
      <c r="F838" t="s">
        <v>7189</v>
      </c>
      <c r="G838" t="s">
        <v>7901</v>
      </c>
      <c r="H838" t="s">
        <v>8378</v>
      </c>
      <c r="I838" t="s">
        <v>1359</v>
      </c>
      <c r="J838" t="s">
        <v>1357</v>
      </c>
      <c r="K838" t="s">
        <v>1357</v>
      </c>
      <c r="L838" t="s">
        <v>1358</v>
      </c>
    </row>
    <row r="839" spans="6:12">
      <c r="F839" t="s">
        <v>7190</v>
      </c>
      <c r="G839" t="s">
        <v>7902</v>
      </c>
      <c r="H839" t="s">
        <v>8378</v>
      </c>
      <c r="I839" t="s">
        <v>1359</v>
      </c>
      <c r="J839" t="s">
        <v>1357</v>
      </c>
      <c r="K839" t="s">
        <v>1357</v>
      </c>
      <c r="L839" t="s">
        <v>1358</v>
      </c>
    </row>
    <row r="840" spans="6:12">
      <c r="F840" t="s">
        <v>7191</v>
      </c>
      <c r="G840" t="s">
        <v>7903</v>
      </c>
      <c r="H840" t="s">
        <v>8378</v>
      </c>
      <c r="I840" t="s">
        <v>1359</v>
      </c>
      <c r="J840" t="s">
        <v>1357</v>
      </c>
      <c r="K840" t="s">
        <v>1357</v>
      </c>
      <c r="L840" t="s">
        <v>1358</v>
      </c>
    </row>
    <row r="841" spans="6:12">
      <c r="F841" t="s">
        <v>7192</v>
      </c>
      <c r="G841" t="s">
        <v>7904</v>
      </c>
      <c r="H841" t="s">
        <v>8378</v>
      </c>
      <c r="I841" t="s">
        <v>1359</v>
      </c>
      <c r="J841" t="s">
        <v>1357</v>
      </c>
      <c r="K841" t="s">
        <v>1357</v>
      </c>
      <c r="L841" t="s">
        <v>1358</v>
      </c>
    </row>
    <row r="842" spans="6:12">
      <c r="F842" t="s">
        <v>7193</v>
      </c>
      <c r="G842" t="s">
        <v>7905</v>
      </c>
      <c r="H842" t="s">
        <v>8378</v>
      </c>
      <c r="I842" t="s">
        <v>1359</v>
      </c>
      <c r="J842" t="s">
        <v>1357</v>
      </c>
      <c r="K842" t="s">
        <v>1357</v>
      </c>
      <c r="L842" t="s">
        <v>1358</v>
      </c>
    </row>
    <row r="843" spans="6:12">
      <c r="F843" t="s">
        <v>7194</v>
      </c>
      <c r="G843" t="s">
        <v>7906</v>
      </c>
      <c r="H843" t="s">
        <v>8378</v>
      </c>
      <c r="I843" t="s">
        <v>1359</v>
      </c>
      <c r="J843" t="s">
        <v>1357</v>
      </c>
      <c r="K843" t="s">
        <v>1357</v>
      </c>
      <c r="L843" t="s">
        <v>1358</v>
      </c>
    </row>
    <row r="844" spans="6:12">
      <c r="F844" t="s">
        <v>7195</v>
      </c>
      <c r="G844" t="s">
        <v>7907</v>
      </c>
      <c r="H844" t="s">
        <v>8378</v>
      </c>
      <c r="I844" t="s">
        <v>1359</v>
      </c>
      <c r="J844" t="s">
        <v>1357</v>
      </c>
      <c r="K844" t="s">
        <v>1357</v>
      </c>
      <c r="L844" t="s">
        <v>1358</v>
      </c>
    </row>
    <row r="845" spans="6:12">
      <c r="F845" t="s">
        <v>7196</v>
      </c>
      <c r="G845" t="s">
        <v>7908</v>
      </c>
      <c r="H845" t="s">
        <v>8378</v>
      </c>
      <c r="I845" t="s">
        <v>1359</v>
      </c>
      <c r="J845" t="s">
        <v>1357</v>
      </c>
      <c r="K845" t="s">
        <v>1357</v>
      </c>
      <c r="L845" t="s">
        <v>1358</v>
      </c>
    </row>
    <row r="846" spans="6:12">
      <c r="F846" t="s">
        <v>7197</v>
      </c>
      <c r="G846" t="s">
        <v>7909</v>
      </c>
      <c r="H846" t="s">
        <v>8378</v>
      </c>
      <c r="I846" t="s">
        <v>1359</v>
      </c>
      <c r="J846" t="s">
        <v>1357</v>
      </c>
      <c r="K846" t="s">
        <v>1357</v>
      </c>
      <c r="L846" t="s">
        <v>1358</v>
      </c>
    </row>
    <row r="847" spans="6:12">
      <c r="F847" t="s">
        <v>7198</v>
      </c>
      <c r="G847" t="s">
        <v>7910</v>
      </c>
      <c r="H847" t="s">
        <v>8378</v>
      </c>
      <c r="I847" t="s">
        <v>1359</v>
      </c>
      <c r="J847" t="s">
        <v>1357</v>
      </c>
      <c r="K847" t="s">
        <v>1357</v>
      </c>
      <c r="L847" t="s">
        <v>1358</v>
      </c>
    </row>
    <row r="848" spans="6:12">
      <c r="F848" t="s">
        <v>7199</v>
      </c>
      <c r="G848" t="s">
        <v>7911</v>
      </c>
      <c r="H848" t="s">
        <v>8378</v>
      </c>
      <c r="I848" t="s">
        <v>1359</v>
      </c>
      <c r="J848" t="s">
        <v>1357</v>
      </c>
      <c r="K848" t="s">
        <v>1357</v>
      </c>
      <c r="L848" t="s">
        <v>1358</v>
      </c>
    </row>
    <row r="849" spans="6:14">
      <c r="F849" t="s">
        <v>7200</v>
      </c>
      <c r="G849" t="s">
        <v>7912</v>
      </c>
      <c r="H849" t="s">
        <v>8378</v>
      </c>
      <c r="I849" t="s">
        <v>1359</v>
      </c>
      <c r="J849" t="s">
        <v>1357</v>
      </c>
      <c r="K849" t="s">
        <v>1357</v>
      </c>
      <c r="L849" t="s">
        <v>1358</v>
      </c>
    </row>
    <row r="850" spans="6:14">
      <c r="F850" t="s">
        <v>7107</v>
      </c>
      <c r="G850" t="s">
        <v>7846</v>
      </c>
      <c r="H850" t="s">
        <v>8378</v>
      </c>
      <c r="I850" t="s">
        <v>1359</v>
      </c>
      <c r="J850" t="s">
        <v>1357</v>
      </c>
      <c r="K850" t="s">
        <v>1357</v>
      </c>
      <c r="L850" t="s">
        <v>1358</v>
      </c>
    </row>
    <row r="851" spans="6:14">
      <c r="F851" t="s">
        <v>7201</v>
      </c>
      <c r="G851" t="s">
        <v>7913</v>
      </c>
      <c r="H851" t="s">
        <v>8793</v>
      </c>
      <c r="I851" t="s">
        <v>1357</v>
      </c>
      <c r="J851" t="s">
        <v>1357</v>
      </c>
      <c r="K851" t="s">
        <v>1357</v>
      </c>
      <c r="L851" t="s">
        <v>1357</v>
      </c>
      <c r="N851" t="s">
        <v>9945</v>
      </c>
    </row>
    <row r="852" spans="6:14">
      <c r="F852" t="s">
        <v>7202</v>
      </c>
      <c r="G852" t="s">
        <v>7914</v>
      </c>
      <c r="H852" t="s">
        <v>8378</v>
      </c>
      <c r="I852" t="s">
        <v>1359</v>
      </c>
      <c r="J852" t="s">
        <v>1357</v>
      </c>
      <c r="K852" t="s">
        <v>1357</v>
      </c>
      <c r="L852" t="s">
        <v>1358</v>
      </c>
    </row>
    <row r="853" spans="6:14">
      <c r="F853" t="s">
        <v>7203</v>
      </c>
      <c r="G853" t="s">
        <v>7806</v>
      </c>
      <c r="H853" t="s">
        <v>8378</v>
      </c>
      <c r="I853" t="s">
        <v>1359</v>
      </c>
      <c r="J853" t="s">
        <v>1357</v>
      </c>
      <c r="K853" t="s">
        <v>1357</v>
      </c>
      <c r="L853" t="s">
        <v>1358</v>
      </c>
    </row>
    <row r="854" spans="6:14">
      <c r="F854" t="s">
        <v>7204</v>
      </c>
      <c r="G854" t="s">
        <v>7915</v>
      </c>
      <c r="H854" t="s">
        <v>8378</v>
      </c>
      <c r="I854" t="s">
        <v>1359</v>
      </c>
      <c r="J854" t="s">
        <v>1357</v>
      </c>
      <c r="K854" t="s">
        <v>1357</v>
      </c>
      <c r="L854" t="s">
        <v>1358</v>
      </c>
    </row>
    <row r="855" spans="6:14">
      <c r="F855" t="s">
        <v>7205</v>
      </c>
      <c r="G855" t="s">
        <v>7916</v>
      </c>
      <c r="H855" t="s">
        <v>8378</v>
      </c>
      <c r="I855" t="s">
        <v>1359</v>
      </c>
      <c r="J855" t="s">
        <v>1357</v>
      </c>
      <c r="K855" t="s">
        <v>1357</v>
      </c>
      <c r="L855" t="s">
        <v>1358</v>
      </c>
    </row>
    <row r="856" spans="6:14">
      <c r="F856" t="s">
        <v>7062</v>
      </c>
      <c r="G856" t="s">
        <v>7805</v>
      </c>
      <c r="H856" t="s">
        <v>8378</v>
      </c>
      <c r="I856" t="s">
        <v>1359</v>
      </c>
      <c r="J856" t="s">
        <v>1357</v>
      </c>
      <c r="K856" t="s">
        <v>1357</v>
      </c>
      <c r="L856" t="s">
        <v>1358</v>
      </c>
    </row>
    <row r="857" spans="6:14">
      <c r="F857" t="s">
        <v>7206</v>
      </c>
      <c r="G857" t="s">
        <v>7768</v>
      </c>
      <c r="H857" t="s">
        <v>8378</v>
      </c>
      <c r="I857" t="s">
        <v>1359</v>
      </c>
      <c r="J857" t="s">
        <v>1357</v>
      </c>
      <c r="K857" t="s">
        <v>1357</v>
      </c>
      <c r="L857" t="s">
        <v>1358</v>
      </c>
    </row>
    <row r="858" spans="6:14">
      <c r="F858" t="s">
        <v>7207</v>
      </c>
      <c r="G858" t="s">
        <v>7917</v>
      </c>
      <c r="H858" t="s">
        <v>8378</v>
      </c>
      <c r="I858" t="s">
        <v>1359</v>
      </c>
      <c r="J858" t="s">
        <v>1357</v>
      </c>
      <c r="K858" t="s">
        <v>1357</v>
      </c>
      <c r="L858" t="s">
        <v>1358</v>
      </c>
    </row>
    <row r="859" spans="6:14">
      <c r="F859" t="s">
        <v>7208</v>
      </c>
      <c r="G859" t="s">
        <v>7918</v>
      </c>
      <c r="H859" t="s">
        <v>8378</v>
      </c>
      <c r="I859" t="s">
        <v>1359</v>
      </c>
      <c r="J859" t="s">
        <v>1357</v>
      </c>
      <c r="K859" t="s">
        <v>1357</v>
      </c>
      <c r="L859" t="s">
        <v>1358</v>
      </c>
    </row>
    <row r="860" spans="6:14">
      <c r="F860" t="s">
        <v>7209</v>
      </c>
      <c r="G860" t="s">
        <v>7919</v>
      </c>
      <c r="H860" t="s">
        <v>8378</v>
      </c>
      <c r="I860" t="s">
        <v>1359</v>
      </c>
      <c r="J860" t="s">
        <v>1357</v>
      </c>
      <c r="K860" t="s">
        <v>1357</v>
      </c>
      <c r="L860" t="s">
        <v>1358</v>
      </c>
    </row>
    <row r="861" spans="6:14">
      <c r="F861" t="s">
        <v>7210</v>
      </c>
      <c r="G861" t="s">
        <v>7920</v>
      </c>
      <c r="H861" t="s">
        <v>8378</v>
      </c>
      <c r="I861" t="s">
        <v>1359</v>
      </c>
      <c r="J861" t="s">
        <v>1357</v>
      </c>
      <c r="K861" t="s">
        <v>1357</v>
      </c>
      <c r="L861" t="s">
        <v>1358</v>
      </c>
    </row>
    <row r="862" spans="6:14">
      <c r="F862" t="s">
        <v>7211</v>
      </c>
      <c r="G862" t="s">
        <v>7921</v>
      </c>
      <c r="H862" t="s">
        <v>8378</v>
      </c>
      <c r="I862" t="s">
        <v>1359</v>
      </c>
      <c r="J862" t="s">
        <v>1357</v>
      </c>
      <c r="K862" t="s">
        <v>1357</v>
      </c>
      <c r="L862" t="s">
        <v>1358</v>
      </c>
    </row>
    <row r="863" spans="6:14">
      <c r="F863" t="s">
        <v>7212</v>
      </c>
      <c r="G863" t="s">
        <v>7922</v>
      </c>
      <c r="H863" t="s">
        <v>8378</v>
      </c>
      <c r="I863" t="s">
        <v>1359</v>
      </c>
      <c r="J863" t="s">
        <v>1357</v>
      </c>
      <c r="K863" t="s">
        <v>1357</v>
      </c>
      <c r="L863" t="s">
        <v>1358</v>
      </c>
    </row>
    <row r="864" spans="6:14">
      <c r="H864" t="s">
        <v>8794</v>
      </c>
      <c r="I864" t="s">
        <v>1357</v>
      </c>
      <c r="J864" t="s">
        <v>1357</v>
      </c>
      <c r="K864" t="s">
        <v>1357</v>
      </c>
      <c r="L864" t="s">
        <v>1357</v>
      </c>
      <c r="N864" t="s">
        <v>9943</v>
      </c>
    </row>
    <row r="865" spans="1:12">
      <c r="A865" t="s">
        <v>6255</v>
      </c>
      <c r="B865">
        <f>HYPERLINK("https://github.com/pmd/pmd/commit/bec9a1b8a38ee3377c0be162ea65ef5cbc77cc1b", "bec9a1b8a38ee3377c0be162ea65ef5cbc77cc1b")</f>
        <v>0</v>
      </c>
      <c r="C865">
        <f>HYPERLINK("https://github.com/pmd/pmd/commit/14ec8c603243beccb580cfd12bb9d4dd4248e351", "14ec8c603243beccb580cfd12bb9d4dd4248e351")</f>
        <v>0</v>
      </c>
      <c r="D865" t="s">
        <v>6492</v>
      </c>
      <c r="E865" t="s">
        <v>6711</v>
      </c>
      <c r="F865" t="s">
        <v>7213</v>
      </c>
      <c r="G865" t="s">
        <v>7923</v>
      </c>
      <c r="H865" t="s">
        <v>8378</v>
      </c>
      <c r="I865" t="s">
        <v>1357</v>
      </c>
      <c r="J865" t="s">
        <v>1357</v>
      </c>
      <c r="K865" t="s">
        <v>1357</v>
      </c>
      <c r="L865" t="s">
        <v>1357</v>
      </c>
    </row>
    <row r="866" spans="1:12">
      <c r="F866" t="s">
        <v>7214</v>
      </c>
      <c r="G866" t="s">
        <v>7924</v>
      </c>
      <c r="H866" t="s">
        <v>8378</v>
      </c>
      <c r="I866" t="s">
        <v>1357</v>
      </c>
      <c r="J866" t="s">
        <v>1357</v>
      </c>
      <c r="K866" t="s">
        <v>1357</v>
      </c>
      <c r="L866" t="s">
        <v>1357</v>
      </c>
    </row>
    <row r="867" spans="1:12">
      <c r="F867" t="s">
        <v>7215</v>
      </c>
      <c r="G867" t="s">
        <v>7925</v>
      </c>
      <c r="H867" t="s">
        <v>8378</v>
      </c>
      <c r="I867" t="s">
        <v>1359</v>
      </c>
      <c r="J867" t="s">
        <v>1357</v>
      </c>
      <c r="K867" t="s">
        <v>1357</v>
      </c>
      <c r="L867" t="s">
        <v>1358</v>
      </c>
    </row>
    <row r="868" spans="1:12">
      <c r="F868" t="s">
        <v>7216</v>
      </c>
      <c r="G868" t="s">
        <v>7926</v>
      </c>
      <c r="H868" t="s">
        <v>8378</v>
      </c>
      <c r="I868" t="s">
        <v>1359</v>
      </c>
      <c r="J868" t="s">
        <v>1357</v>
      </c>
      <c r="K868" t="s">
        <v>1357</v>
      </c>
      <c r="L868" t="s">
        <v>1358</v>
      </c>
    </row>
    <row r="869" spans="1:12">
      <c r="F869" t="s">
        <v>7217</v>
      </c>
      <c r="G869" t="s">
        <v>7927</v>
      </c>
      <c r="H869" t="s">
        <v>8378</v>
      </c>
      <c r="I869" t="s">
        <v>1359</v>
      </c>
      <c r="J869" t="s">
        <v>1357</v>
      </c>
      <c r="K869" t="s">
        <v>1357</v>
      </c>
      <c r="L869" t="s">
        <v>1358</v>
      </c>
    </row>
    <row r="870" spans="1:12">
      <c r="F870" t="s">
        <v>7218</v>
      </c>
      <c r="G870" t="s">
        <v>7928</v>
      </c>
      <c r="H870" t="s">
        <v>8378</v>
      </c>
      <c r="I870" t="s">
        <v>1359</v>
      </c>
      <c r="J870" t="s">
        <v>1357</v>
      </c>
      <c r="K870" t="s">
        <v>1357</v>
      </c>
      <c r="L870" t="s">
        <v>1358</v>
      </c>
    </row>
    <row r="871" spans="1:12">
      <c r="F871" t="s">
        <v>7109</v>
      </c>
      <c r="G871" t="s">
        <v>7783</v>
      </c>
      <c r="H871" t="s">
        <v>8378</v>
      </c>
      <c r="I871" t="s">
        <v>1359</v>
      </c>
      <c r="J871" t="s">
        <v>1357</v>
      </c>
      <c r="K871" t="s">
        <v>1357</v>
      </c>
      <c r="L871" t="s">
        <v>1358</v>
      </c>
    </row>
    <row r="872" spans="1:12">
      <c r="F872" t="s">
        <v>7219</v>
      </c>
      <c r="G872" t="s">
        <v>7785</v>
      </c>
      <c r="H872" t="s">
        <v>8378</v>
      </c>
      <c r="I872" t="s">
        <v>1359</v>
      </c>
      <c r="J872" t="s">
        <v>1357</v>
      </c>
      <c r="K872" t="s">
        <v>1357</v>
      </c>
      <c r="L872" t="s">
        <v>1358</v>
      </c>
    </row>
    <row r="873" spans="1:12">
      <c r="F873" t="s">
        <v>7110</v>
      </c>
      <c r="G873" t="s">
        <v>7766</v>
      </c>
      <c r="H873" t="s">
        <v>8378</v>
      </c>
      <c r="I873" t="s">
        <v>1359</v>
      </c>
      <c r="J873" t="s">
        <v>1357</v>
      </c>
      <c r="K873" t="s">
        <v>1357</v>
      </c>
      <c r="L873" t="s">
        <v>1358</v>
      </c>
    </row>
    <row r="874" spans="1:12">
      <c r="F874" t="s">
        <v>7220</v>
      </c>
      <c r="G874" t="s">
        <v>7929</v>
      </c>
      <c r="H874" t="s">
        <v>8378</v>
      </c>
      <c r="I874" t="s">
        <v>1357</v>
      </c>
      <c r="J874" t="s">
        <v>1357</v>
      </c>
      <c r="K874" t="s">
        <v>1357</v>
      </c>
      <c r="L874" t="s">
        <v>1357</v>
      </c>
    </row>
    <row r="875" spans="1:12">
      <c r="F875" t="s">
        <v>7221</v>
      </c>
      <c r="G875" t="s">
        <v>7930</v>
      </c>
      <c r="H875" t="s">
        <v>8378</v>
      </c>
      <c r="I875" t="s">
        <v>1357</v>
      </c>
      <c r="J875" t="s">
        <v>1357</v>
      </c>
      <c r="K875" t="s">
        <v>1357</v>
      </c>
      <c r="L875" t="s">
        <v>1357</v>
      </c>
    </row>
    <row r="876" spans="1:12">
      <c r="F876" t="s">
        <v>7222</v>
      </c>
      <c r="G876" t="s">
        <v>7931</v>
      </c>
      <c r="H876" t="s">
        <v>8378</v>
      </c>
      <c r="I876" t="s">
        <v>1357</v>
      </c>
      <c r="J876" t="s">
        <v>1357</v>
      </c>
      <c r="K876" t="s">
        <v>1357</v>
      </c>
      <c r="L876" t="s">
        <v>1357</v>
      </c>
    </row>
    <row r="877" spans="1:12">
      <c r="F877" t="s">
        <v>7223</v>
      </c>
      <c r="G877" t="s">
        <v>7932</v>
      </c>
      <c r="H877" t="s">
        <v>8378</v>
      </c>
      <c r="I877" t="s">
        <v>1357</v>
      </c>
      <c r="J877" t="s">
        <v>1357</v>
      </c>
      <c r="K877" t="s">
        <v>1357</v>
      </c>
      <c r="L877" t="s">
        <v>1357</v>
      </c>
    </row>
    <row r="878" spans="1:12">
      <c r="F878" t="s">
        <v>7224</v>
      </c>
      <c r="G878" t="s">
        <v>7933</v>
      </c>
      <c r="H878" t="s">
        <v>8378</v>
      </c>
      <c r="I878" t="s">
        <v>1357</v>
      </c>
      <c r="J878" t="s">
        <v>1357</v>
      </c>
      <c r="K878" t="s">
        <v>1357</v>
      </c>
      <c r="L878" t="s">
        <v>1357</v>
      </c>
    </row>
    <row r="879" spans="1:12">
      <c r="F879" t="s">
        <v>7225</v>
      </c>
      <c r="G879" t="s">
        <v>7934</v>
      </c>
      <c r="H879" t="s">
        <v>8378</v>
      </c>
      <c r="I879" t="s">
        <v>1357</v>
      </c>
      <c r="J879" t="s">
        <v>1357</v>
      </c>
      <c r="K879" t="s">
        <v>1357</v>
      </c>
      <c r="L879" t="s">
        <v>1357</v>
      </c>
    </row>
    <row r="880" spans="1:12">
      <c r="A880" t="s">
        <v>6256</v>
      </c>
      <c r="B880">
        <f>HYPERLINK("https://github.com/pmd/pmd/commit/a850f6275ceff130d913b1a4c7e0c9372c57356d", "a850f6275ceff130d913b1a4c7e0c9372c57356d")</f>
        <v>0</v>
      </c>
      <c r="C880">
        <f>HYPERLINK("https://github.com/pmd/pmd/commit/bec9a1b8a38ee3377c0be162ea65ef5cbc77cc1b", "bec9a1b8a38ee3377c0be162ea65ef5cbc77cc1b")</f>
        <v>0</v>
      </c>
      <c r="D880" t="s">
        <v>6492</v>
      </c>
      <c r="E880" t="s">
        <v>6712</v>
      </c>
      <c r="F880" t="s">
        <v>7111</v>
      </c>
      <c r="G880" t="s">
        <v>7848</v>
      </c>
      <c r="H880" t="s">
        <v>8378</v>
      </c>
      <c r="I880" t="s">
        <v>1357</v>
      </c>
      <c r="J880" t="s">
        <v>1357</v>
      </c>
      <c r="K880" t="s">
        <v>1357</v>
      </c>
      <c r="L880" t="s">
        <v>1357</v>
      </c>
    </row>
    <row r="881" spans="1:12">
      <c r="F881" t="s">
        <v>7226</v>
      </c>
      <c r="G881" t="s">
        <v>7935</v>
      </c>
      <c r="H881" t="s">
        <v>8378</v>
      </c>
      <c r="I881" t="s">
        <v>1357</v>
      </c>
      <c r="J881" t="s">
        <v>1357</v>
      </c>
      <c r="K881" t="s">
        <v>1357</v>
      </c>
      <c r="L881" t="s">
        <v>1357</v>
      </c>
    </row>
    <row r="882" spans="1:12">
      <c r="F882" t="s">
        <v>7227</v>
      </c>
      <c r="G882" t="s">
        <v>7936</v>
      </c>
      <c r="H882" t="s">
        <v>8378</v>
      </c>
      <c r="I882" t="s">
        <v>1357</v>
      </c>
      <c r="J882" t="s">
        <v>1357</v>
      </c>
      <c r="K882" t="s">
        <v>1357</v>
      </c>
      <c r="L882" t="s">
        <v>1357</v>
      </c>
    </row>
    <row r="883" spans="1:12">
      <c r="F883" t="s">
        <v>7060</v>
      </c>
      <c r="G883" t="s">
        <v>7742</v>
      </c>
      <c r="H883" t="s">
        <v>8378</v>
      </c>
      <c r="I883" t="s">
        <v>1359</v>
      </c>
      <c r="J883" t="s">
        <v>1357</v>
      </c>
      <c r="K883" t="s">
        <v>1357</v>
      </c>
      <c r="L883" t="s">
        <v>1358</v>
      </c>
    </row>
    <row r="884" spans="1:12">
      <c r="F884" t="s">
        <v>7048</v>
      </c>
      <c r="G884" t="s">
        <v>7738</v>
      </c>
      <c r="H884" t="s">
        <v>8378</v>
      </c>
      <c r="I884" t="s">
        <v>1359</v>
      </c>
      <c r="J884" t="s">
        <v>1357</v>
      </c>
      <c r="K884" t="s">
        <v>1357</v>
      </c>
      <c r="L884" t="s">
        <v>1358</v>
      </c>
    </row>
    <row r="885" spans="1:12">
      <c r="F885" t="s">
        <v>7228</v>
      </c>
      <c r="G885" t="s">
        <v>7937</v>
      </c>
      <c r="H885" t="s">
        <v>8378</v>
      </c>
      <c r="I885" t="s">
        <v>1359</v>
      </c>
      <c r="J885" t="s">
        <v>1357</v>
      </c>
      <c r="K885" t="s">
        <v>1357</v>
      </c>
      <c r="L885" t="s">
        <v>1358</v>
      </c>
    </row>
    <row r="886" spans="1:12">
      <c r="F886" t="s">
        <v>7229</v>
      </c>
      <c r="G886" t="s">
        <v>7938</v>
      </c>
      <c r="H886" t="s">
        <v>8378</v>
      </c>
      <c r="I886" t="s">
        <v>1359</v>
      </c>
      <c r="J886" t="s">
        <v>1357</v>
      </c>
      <c r="K886" t="s">
        <v>1357</v>
      </c>
      <c r="L886" t="s">
        <v>1358</v>
      </c>
    </row>
    <row r="887" spans="1:12">
      <c r="F887" t="s">
        <v>7230</v>
      </c>
      <c r="G887" t="s">
        <v>7939</v>
      </c>
      <c r="H887" t="s">
        <v>8378</v>
      </c>
      <c r="I887" t="s">
        <v>1359</v>
      </c>
      <c r="J887" t="s">
        <v>1357</v>
      </c>
      <c r="K887" t="s">
        <v>1357</v>
      </c>
      <c r="L887" t="s">
        <v>1358</v>
      </c>
    </row>
    <row r="888" spans="1:12">
      <c r="F888" t="s">
        <v>7231</v>
      </c>
      <c r="G888" t="s">
        <v>7940</v>
      </c>
      <c r="H888" t="s">
        <v>8378</v>
      </c>
      <c r="I888" t="s">
        <v>1359</v>
      </c>
      <c r="J888" t="s">
        <v>1357</v>
      </c>
      <c r="K888" t="s">
        <v>1357</v>
      </c>
      <c r="L888" t="s">
        <v>1358</v>
      </c>
    </row>
    <row r="889" spans="1:12">
      <c r="F889" t="s">
        <v>7232</v>
      </c>
      <c r="G889" t="s">
        <v>7941</v>
      </c>
      <c r="H889" t="s">
        <v>8378</v>
      </c>
      <c r="I889" t="s">
        <v>1359</v>
      </c>
      <c r="J889" t="s">
        <v>1357</v>
      </c>
      <c r="K889" t="s">
        <v>1357</v>
      </c>
      <c r="L889" t="s">
        <v>1358</v>
      </c>
    </row>
    <row r="890" spans="1:12">
      <c r="F890" t="s">
        <v>7233</v>
      </c>
      <c r="G890" t="s">
        <v>7942</v>
      </c>
      <c r="H890" t="s">
        <v>8378</v>
      </c>
      <c r="I890" t="s">
        <v>1359</v>
      </c>
      <c r="J890" t="s">
        <v>1357</v>
      </c>
      <c r="K890" t="s">
        <v>1357</v>
      </c>
      <c r="L890" t="s">
        <v>1358</v>
      </c>
    </row>
    <row r="891" spans="1:12">
      <c r="F891" t="s">
        <v>7234</v>
      </c>
      <c r="G891" t="s">
        <v>7943</v>
      </c>
      <c r="H891" t="s">
        <v>8378</v>
      </c>
      <c r="I891" t="s">
        <v>1359</v>
      </c>
      <c r="J891" t="s">
        <v>1357</v>
      </c>
      <c r="K891" t="s">
        <v>1357</v>
      </c>
      <c r="L891" t="s">
        <v>1358</v>
      </c>
    </row>
    <row r="892" spans="1:12">
      <c r="A892" t="s">
        <v>6257</v>
      </c>
      <c r="B892">
        <f>HYPERLINK("https://github.com/pmd/pmd/commit/29d236b7fc7419999e19bb3e735f0a51940b0b93", "29d236b7fc7419999e19bb3e735f0a51940b0b93")</f>
        <v>0</v>
      </c>
      <c r="C892">
        <f>HYPERLINK("https://github.com/pmd/pmd/commit/a850f6275ceff130d913b1a4c7e0c9372c57356d", "a850f6275ceff130d913b1a4c7e0c9372c57356d")</f>
        <v>0</v>
      </c>
      <c r="D892" t="s">
        <v>6492</v>
      </c>
      <c r="E892" t="s">
        <v>6713</v>
      </c>
      <c r="F892" t="s">
        <v>7235</v>
      </c>
      <c r="G892" t="s">
        <v>7944</v>
      </c>
      <c r="H892" t="s">
        <v>8378</v>
      </c>
      <c r="I892" t="s">
        <v>1357</v>
      </c>
      <c r="J892" t="s">
        <v>1357</v>
      </c>
      <c r="K892" t="s">
        <v>1357</v>
      </c>
      <c r="L892" t="s">
        <v>1357</v>
      </c>
    </row>
    <row r="893" spans="1:12">
      <c r="F893" t="s">
        <v>7236</v>
      </c>
      <c r="G893" t="s">
        <v>7945</v>
      </c>
      <c r="H893" t="s">
        <v>8378</v>
      </c>
      <c r="I893" t="s">
        <v>1357</v>
      </c>
      <c r="J893" t="s">
        <v>1357</v>
      </c>
      <c r="K893" t="s">
        <v>1357</v>
      </c>
      <c r="L893" t="s">
        <v>1357</v>
      </c>
    </row>
    <row r="894" spans="1:12">
      <c r="F894" t="s">
        <v>7237</v>
      </c>
      <c r="G894" t="s">
        <v>7946</v>
      </c>
      <c r="H894" t="s">
        <v>8378</v>
      </c>
      <c r="I894" t="s">
        <v>1357</v>
      </c>
      <c r="J894" t="s">
        <v>1357</v>
      </c>
      <c r="K894" t="s">
        <v>1357</v>
      </c>
      <c r="L894" t="s">
        <v>1357</v>
      </c>
    </row>
    <row r="895" spans="1:12">
      <c r="F895" t="s">
        <v>7238</v>
      </c>
      <c r="G895" t="s">
        <v>7947</v>
      </c>
      <c r="H895" t="s">
        <v>8378</v>
      </c>
      <c r="I895" t="s">
        <v>1357</v>
      </c>
      <c r="J895" t="s">
        <v>1357</v>
      </c>
      <c r="K895" t="s">
        <v>1357</v>
      </c>
      <c r="L895" t="s">
        <v>1357</v>
      </c>
    </row>
    <row r="896" spans="1:12">
      <c r="F896" t="s">
        <v>7239</v>
      </c>
      <c r="G896" t="s">
        <v>7948</v>
      </c>
      <c r="H896" t="s">
        <v>8378</v>
      </c>
      <c r="I896" t="s">
        <v>1357</v>
      </c>
      <c r="J896" t="s">
        <v>1357</v>
      </c>
      <c r="K896" t="s">
        <v>1357</v>
      </c>
      <c r="L896" t="s">
        <v>1357</v>
      </c>
    </row>
    <row r="897" spans="6:12">
      <c r="F897" t="s">
        <v>7240</v>
      </c>
      <c r="G897" t="s">
        <v>7949</v>
      </c>
      <c r="H897" t="s">
        <v>8378</v>
      </c>
      <c r="I897" t="s">
        <v>1359</v>
      </c>
      <c r="J897" t="s">
        <v>1357</v>
      </c>
      <c r="K897" t="s">
        <v>1357</v>
      </c>
      <c r="L897" t="s">
        <v>1358</v>
      </c>
    </row>
    <row r="898" spans="6:12">
      <c r="F898" t="s">
        <v>7241</v>
      </c>
      <c r="G898" t="s">
        <v>7950</v>
      </c>
      <c r="H898" t="s">
        <v>8378</v>
      </c>
      <c r="I898" t="s">
        <v>1359</v>
      </c>
      <c r="J898" t="s">
        <v>1357</v>
      </c>
      <c r="K898" t="s">
        <v>1357</v>
      </c>
      <c r="L898" t="s">
        <v>1358</v>
      </c>
    </row>
    <row r="899" spans="6:12">
      <c r="F899" t="s">
        <v>7242</v>
      </c>
      <c r="G899" t="s">
        <v>7951</v>
      </c>
      <c r="H899" t="s">
        <v>8378</v>
      </c>
      <c r="I899" t="s">
        <v>1359</v>
      </c>
      <c r="J899" t="s">
        <v>1357</v>
      </c>
      <c r="K899" t="s">
        <v>1357</v>
      </c>
      <c r="L899" t="s">
        <v>1358</v>
      </c>
    </row>
    <row r="900" spans="6:12">
      <c r="F900" t="s">
        <v>7243</v>
      </c>
      <c r="G900" t="s">
        <v>7952</v>
      </c>
      <c r="H900" t="s">
        <v>8378</v>
      </c>
      <c r="I900" t="s">
        <v>1359</v>
      </c>
      <c r="J900" t="s">
        <v>1357</v>
      </c>
      <c r="K900" t="s">
        <v>1357</v>
      </c>
      <c r="L900" t="s">
        <v>1358</v>
      </c>
    </row>
    <row r="901" spans="6:12">
      <c r="F901" t="s">
        <v>7244</v>
      </c>
      <c r="G901" t="s">
        <v>7953</v>
      </c>
      <c r="H901" t="s">
        <v>8378</v>
      </c>
      <c r="I901" t="s">
        <v>1359</v>
      </c>
      <c r="J901" t="s">
        <v>1357</v>
      </c>
      <c r="K901" t="s">
        <v>1357</v>
      </c>
      <c r="L901" t="s">
        <v>1358</v>
      </c>
    </row>
    <row r="902" spans="6:12">
      <c r="F902" t="s">
        <v>7245</v>
      </c>
      <c r="G902" t="s">
        <v>7954</v>
      </c>
      <c r="H902" t="s">
        <v>8378</v>
      </c>
      <c r="I902" t="s">
        <v>1359</v>
      </c>
      <c r="J902" t="s">
        <v>1357</v>
      </c>
      <c r="K902" t="s">
        <v>1357</v>
      </c>
      <c r="L902" t="s">
        <v>1358</v>
      </c>
    </row>
    <row r="903" spans="6:12">
      <c r="F903" t="s">
        <v>7246</v>
      </c>
      <c r="G903" t="s">
        <v>7769</v>
      </c>
      <c r="H903" t="s">
        <v>8378</v>
      </c>
      <c r="I903" t="s">
        <v>1359</v>
      </c>
      <c r="J903" t="s">
        <v>1357</v>
      </c>
      <c r="K903" t="s">
        <v>1357</v>
      </c>
      <c r="L903" t="s">
        <v>1358</v>
      </c>
    </row>
    <row r="904" spans="6:12">
      <c r="F904" t="s">
        <v>7247</v>
      </c>
      <c r="G904" t="s">
        <v>7955</v>
      </c>
      <c r="H904" t="s">
        <v>8378</v>
      </c>
      <c r="I904" t="s">
        <v>1359</v>
      </c>
      <c r="J904" t="s">
        <v>1357</v>
      </c>
      <c r="K904" t="s">
        <v>1357</v>
      </c>
      <c r="L904" t="s">
        <v>1358</v>
      </c>
    </row>
    <row r="905" spans="6:12">
      <c r="F905" t="s">
        <v>7248</v>
      </c>
      <c r="G905" t="s">
        <v>7956</v>
      </c>
      <c r="H905" t="s">
        <v>8378</v>
      </c>
      <c r="I905" t="s">
        <v>1359</v>
      </c>
      <c r="J905" t="s">
        <v>1357</v>
      </c>
      <c r="K905" t="s">
        <v>1357</v>
      </c>
      <c r="L905" t="s">
        <v>1358</v>
      </c>
    </row>
    <row r="906" spans="6:12">
      <c r="F906" t="s">
        <v>7249</v>
      </c>
      <c r="G906" t="s">
        <v>7957</v>
      </c>
      <c r="H906" t="s">
        <v>8378</v>
      </c>
      <c r="I906" t="s">
        <v>1359</v>
      </c>
      <c r="J906" t="s">
        <v>1357</v>
      </c>
      <c r="K906" t="s">
        <v>1357</v>
      </c>
      <c r="L906" t="s">
        <v>1358</v>
      </c>
    </row>
    <row r="907" spans="6:12">
      <c r="F907" t="s">
        <v>7250</v>
      </c>
      <c r="G907" t="s">
        <v>7958</v>
      </c>
      <c r="H907" t="s">
        <v>8378</v>
      </c>
      <c r="I907" t="s">
        <v>1359</v>
      </c>
      <c r="J907" t="s">
        <v>1357</v>
      </c>
      <c r="K907" t="s">
        <v>1357</v>
      </c>
      <c r="L907" t="s">
        <v>1358</v>
      </c>
    </row>
    <row r="908" spans="6:12">
      <c r="F908" t="s">
        <v>7251</v>
      </c>
      <c r="G908" t="s">
        <v>7959</v>
      </c>
      <c r="H908" t="s">
        <v>8378</v>
      </c>
      <c r="I908" t="s">
        <v>1359</v>
      </c>
      <c r="J908" t="s">
        <v>1357</v>
      </c>
      <c r="K908" t="s">
        <v>1357</v>
      </c>
      <c r="L908" t="s">
        <v>1358</v>
      </c>
    </row>
    <row r="909" spans="6:12">
      <c r="F909" t="s">
        <v>7252</v>
      </c>
      <c r="G909" t="s">
        <v>7960</v>
      </c>
      <c r="H909" t="s">
        <v>8378</v>
      </c>
      <c r="I909" t="s">
        <v>1359</v>
      </c>
      <c r="J909" t="s">
        <v>1357</v>
      </c>
      <c r="K909" t="s">
        <v>1357</v>
      </c>
      <c r="L909" t="s">
        <v>1358</v>
      </c>
    </row>
    <row r="910" spans="6:12">
      <c r="F910" t="s">
        <v>7253</v>
      </c>
      <c r="G910" t="s">
        <v>7759</v>
      </c>
      <c r="H910" t="s">
        <v>8378</v>
      </c>
      <c r="I910" t="s">
        <v>1359</v>
      </c>
      <c r="J910" t="s">
        <v>1357</v>
      </c>
      <c r="K910" t="s">
        <v>1357</v>
      </c>
      <c r="L910" t="s">
        <v>1358</v>
      </c>
    </row>
    <row r="911" spans="6:12">
      <c r="F911" t="s">
        <v>7254</v>
      </c>
      <c r="G911" t="s">
        <v>7961</v>
      </c>
      <c r="H911" t="s">
        <v>8378</v>
      </c>
      <c r="I911" t="s">
        <v>1359</v>
      </c>
      <c r="J911" t="s">
        <v>1357</v>
      </c>
      <c r="K911" t="s">
        <v>1357</v>
      </c>
      <c r="L911" t="s">
        <v>1358</v>
      </c>
    </row>
    <row r="912" spans="6:12">
      <c r="F912" t="s">
        <v>7255</v>
      </c>
      <c r="G912" t="s">
        <v>7962</v>
      </c>
      <c r="H912" t="s">
        <v>8378</v>
      </c>
      <c r="I912" t="s">
        <v>1359</v>
      </c>
      <c r="J912" t="s">
        <v>1357</v>
      </c>
      <c r="K912" t="s">
        <v>1357</v>
      </c>
      <c r="L912" t="s">
        <v>1358</v>
      </c>
    </row>
    <row r="913" spans="6:12">
      <c r="F913" t="s">
        <v>7256</v>
      </c>
      <c r="G913" t="s">
        <v>7963</v>
      </c>
      <c r="H913" t="s">
        <v>8378</v>
      </c>
      <c r="I913" t="s">
        <v>1359</v>
      </c>
      <c r="J913" t="s">
        <v>1357</v>
      </c>
      <c r="K913" t="s">
        <v>1357</v>
      </c>
      <c r="L913" t="s">
        <v>1358</v>
      </c>
    </row>
    <row r="914" spans="6:12">
      <c r="F914" t="s">
        <v>7257</v>
      </c>
      <c r="G914" t="s">
        <v>7842</v>
      </c>
      <c r="H914" t="s">
        <v>8378</v>
      </c>
      <c r="I914" t="s">
        <v>1359</v>
      </c>
      <c r="J914" t="s">
        <v>1357</v>
      </c>
      <c r="K914" t="s">
        <v>1357</v>
      </c>
      <c r="L914" t="s">
        <v>1358</v>
      </c>
    </row>
    <row r="915" spans="6:12">
      <c r="F915" t="s">
        <v>7258</v>
      </c>
      <c r="G915" t="s">
        <v>7964</v>
      </c>
      <c r="H915" t="s">
        <v>8378</v>
      </c>
      <c r="I915" t="s">
        <v>1359</v>
      </c>
      <c r="J915" t="s">
        <v>1357</v>
      </c>
      <c r="K915" t="s">
        <v>1357</v>
      </c>
      <c r="L915" t="s">
        <v>1358</v>
      </c>
    </row>
    <row r="916" spans="6:12">
      <c r="F916" t="s">
        <v>7259</v>
      </c>
      <c r="G916" t="s">
        <v>7965</v>
      </c>
      <c r="H916" t="s">
        <v>8378</v>
      </c>
      <c r="I916" t="s">
        <v>1359</v>
      </c>
      <c r="J916" t="s">
        <v>1357</v>
      </c>
      <c r="K916" t="s">
        <v>1357</v>
      </c>
      <c r="L916" t="s">
        <v>1358</v>
      </c>
    </row>
    <row r="917" spans="6:12">
      <c r="F917" t="s">
        <v>7260</v>
      </c>
      <c r="G917" t="s">
        <v>7966</v>
      </c>
      <c r="H917" t="s">
        <v>8378</v>
      </c>
      <c r="I917" t="s">
        <v>1359</v>
      </c>
      <c r="J917" t="s">
        <v>1357</v>
      </c>
      <c r="K917" t="s">
        <v>1357</v>
      </c>
      <c r="L917" t="s">
        <v>1358</v>
      </c>
    </row>
    <row r="918" spans="6:12">
      <c r="F918" t="s">
        <v>7261</v>
      </c>
      <c r="G918" t="s">
        <v>7967</v>
      </c>
      <c r="H918" t="s">
        <v>8378</v>
      </c>
      <c r="I918" t="s">
        <v>1359</v>
      </c>
      <c r="J918" t="s">
        <v>1357</v>
      </c>
      <c r="K918" t="s">
        <v>1357</v>
      </c>
      <c r="L918" t="s">
        <v>1358</v>
      </c>
    </row>
    <row r="919" spans="6:12">
      <c r="F919" t="s">
        <v>7262</v>
      </c>
      <c r="G919" t="s">
        <v>7968</v>
      </c>
      <c r="H919" t="s">
        <v>8378</v>
      </c>
      <c r="I919" t="s">
        <v>1359</v>
      </c>
      <c r="J919" t="s">
        <v>1357</v>
      </c>
      <c r="K919" t="s">
        <v>1357</v>
      </c>
      <c r="L919" t="s">
        <v>1358</v>
      </c>
    </row>
    <row r="920" spans="6:12">
      <c r="F920" t="s">
        <v>7263</v>
      </c>
      <c r="G920" t="s">
        <v>7969</v>
      </c>
      <c r="H920" t="s">
        <v>8378</v>
      </c>
      <c r="I920" t="s">
        <v>1359</v>
      </c>
      <c r="J920" t="s">
        <v>1357</v>
      </c>
      <c r="K920" t="s">
        <v>1357</v>
      </c>
      <c r="L920" t="s">
        <v>1358</v>
      </c>
    </row>
    <row r="921" spans="6:12">
      <c r="F921" t="s">
        <v>7264</v>
      </c>
      <c r="G921" t="s">
        <v>7970</v>
      </c>
      <c r="H921" t="s">
        <v>8378</v>
      </c>
      <c r="I921" t="s">
        <v>1359</v>
      </c>
      <c r="J921" t="s">
        <v>1357</v>
      </c>
      <c r="K921" t="s">
        <v>1357</v>
      </c>
      <c r="L921" t="s">
        <v>1358</v>
      </c>
    </row>
    <row r="922" spans="6:12">
      <c r="F922" t="s">
        <v>7265</v>
      </c>
      <c r="G922" t="s">
        <v>7971</v>
      </c>
      <c r="H922" t="s">
        <v>8378</v>
      </c>
      <c r="I922" t="s">
        <v>1359</v>
      </c>
      <c r="J922" t="s">
        <v>1357</v>
      </c>
      <c r="K922" t="s">
        <v>1357</v>
      </c>
      <c r="L922" t="s">
        <v>1358</v>
      </c>
    </row>
    <row r="923" spans="6:12">
      <c r="F923" t="s">
        <v>7266</v>
      </c>
      <c r="G923" t="s">
        <v>7972</v>
      </c>
      <c r="H923" t="s">
        <v>8378</v>
      </c>
      <c r="I923" t="s">
        <v>1359</v>
      </c>
      <c r="J923" t="s">
        <v>1357</v>
      </c>
      <c r="K923" t="s">
        <v>1357</v>
      </c>
      <c r="L923" t="s">
        <v>1358</v>
      </c>
    </row>
    <row r="924" spans="6:12">
      <c r="F924" t="s">
        <v>7267</v>
      </c>
      <c r="G924" t="s">
        <v>7973</v>
      </c>
      <c r="H924" t="s">
        <v>8378</v>
      </c>
      <c r="I924" t="s">
        <v>1359</v>
      </c>
      <c r="J924" t="s">
        <v>1357</v>
      </c>
      <c r="K924" t="s">
        <v>1357</v>
      </c>
      <c r="L924" t="s">
        <v>1358</v>
      </c>
    </row>
    <row r="925" spans="6:12">
      <c r="F925" t="s">
        <v>7268</v>
      </c>
      <c r="G925" t="s">
        <v>7974</v>
      </c>
      <c r="H925" t="s">
        <v>8378</v>
      </c>
      <c r="I925" t="s">
        <v>1359</v>
      </c>
      <c r="J925" t="s">
        <v>1357</v>
      </c>
      <c r="K925" t="s">
        <v>1357</v>
      </c>
      <c r="L925" t="s">
        <v>1358</v>
      </c>
    </row>
    <row r="926" spans="6:12">
      <c r="F926" t="s">
        <v>7269</v>
      </c>
      <c r="G926" t="s">
        <v>7975</v>
      </c>
      <c r="H926" t="s">
        <v>8378</v>
      </c>
      <c r="I926" t="s">
        <v>1359</v>
      </c>
      <c r="J926" t="s">
        <v>1357</v>
      </c>
      <c r="K926" t="s">
        <v>1357</v>
      </c>
      <c r="L926" t="s">
        <v>1358</v>
      </c>
    </row>
    <row r="927" spans="6:12">
      <c r="F927" t="s">
        <v>7270</v>
      </c>
      <c r="G927" t="s">
        <v>7976</v>
      </c>
      <c r="H927" t="s">
        <v>8378</v>
      </c>
      <c r="I927" t="s">
        <v>1359</v>
      </c>
      <c r="J927" t="s">
        <v>1357</v>
      </c>
      <c r="K927" t="s">
        <v>1357</v>
      </c>
      <c r="L927" t="s">
        <v>1358</v>
      </c>
    </row>
    <row r="928" spans="6:12">
      <c r="F928" t="s">
        <v>7271</v>
      </c>
      <c r="G928" t="s">
        <v>7977</v>
      </c>
      <c r="H928" t="s">
        <v>8378</v>
      </c>
      <c r="I928" t="s">
        <v>1359</v>
      </c>
      <c r="J928" t="s">
        <v>1357</v>
      </c>
      <c r="K928" t="s">
        <v>1357</v>
      </c>
      <c r="L928" t="s">
        <v>1358</v>
      </c>
    </row>
    <row r="929" spans="6:12">
      <c r="F929" t="s">
        <v>7272</v>
      </c>
      <c r="G929" t="s">
        <v>7978</v>
      </c>
      <c r="H929" t="s">
        <v>8378</v>
      </c>
      <c r="I929" t="s">
        <v>1359</v>
      </c>
      <c r="J929" t="s">
        <v>1357</v>
      </c>
      <c r="K929" t="s">
        <v>1357</v>
      </c>
      <c r="L929" t="s">
        <v>1358</v>
      </c>
    </row>
    <row r="930" spans="6:12">
      <c r="F930" t="s">
        <v>7273</v>
      </c>
      <c r="G930" t="s">
        <v>7979</v>
      </c>
      <c r="H930" t="s">
        <v>8378</v>
      </c>
      <c r="I930" t="s">
        <v>1359</v>
      </c>
      <c r="J930" t="s">
        <v>1357</v>
      </c>
      <c r="K930" t="s">
        <v>1357</v>
      </c>
      <c r="L930" t="s">
        <v>1358</v>
      </c>
    </row>
    <row r="931" spans="6:12">
      <c r="F931" t="s">
        <v>7274</v>
      </c>
      <c r="G931" t="s">
        <v>7980</v>
      </c>
      <c r="H931" t="s">
        <v>8378</v>
      </c>
      <c r="I931" t="s">
        <v>1359</v>
      </c>
      <c r="J931" t="s">
        <v>1357</v>
      </c>
      <c r="K931" t="s">
        <v>1357</v>
      </c>
      <c r="L931" t="s">
        <v>1358</v>
      </c>
    </row>
    <row r="932" spans="6:12">
      <c r="F932" t="s">
        <v>7112</v>
      </c>
      <c r="G932" t="s">
        <v>7849</v>
      </c>
      <c r="H932" t="s">
        <v>8378</v>
      </c>
      <c r="I932" t="s">
        <v>1359</v>
      </c>
      <c r="J932" t="s">
        <v>1357</v>
      </c>
      <c r="K932" t="s">
        <v>1357</v>
      </c>
      <c r="L932" t="s">
        <v>1358</v>
      </c>
    </row>
    <row r="933" spans="6:12">
      <c r="F933" t="s">
        <v>7275</v>
      </c>
      <c r="G933" t="s">
        <v>7981</v>
      </c>
      <c r="H933" t="s">
        <v>8378</v>
      </c>
      <c r="I933" t="s">
        <v>1359</v>
      </c>
      <c r="J933" t="s">
        <v>1357</v>
      </c>
      <c r="K933" t="s">
        <v>1357</v>
      </c>
      <c r="L933" t="s">
        <v>1358</v>
      </c>
    </row>
    <row r="934" spans="6:12">
      <c r="F934" t="s">
        <v>7276</v>
      </c>
      <c r="G934" t="s">
        <v>7982</v>
      </c>
      <c r="H934" t="s">
        <v>8378</v>
      </c>
      <c r="I934" t="s">
        <v>1359</v>
      </c>
      <c r="J934" t="s">
        <v>1357</v>
      </c>
      <c r="K934" t="s">
        <v>1357</v>
      </c>
      <c r="L934" t="s">
        <v>1358</v>
      </c>
    </row>
    <row r="935" spans="6:12">
      <c r="F935" t="s">
        <v>7277</v>
      </c>
      <c r="G935" t="s">
        <v>7983</v>
      </c>
      <c r="H935" t="s">
        <v>8378</v>
      </c>
      <c r="I935" t="s">
        <v>1359</v>
      </c>
      <c r="J935" t="s">
        <v>1357</v>
      </c>
      <c r="K935" t="s">
        <v>1357</v>
      </c>
      <c r="L935" t="s">
        <v>1358</v>
      </c>
    </row>
    <row r="936" spans="6:12">
      <c r="F936" t="s">
        <v>7278</v>
      </c>
      <c r="G936" t="s">
        <v>7984</v>
      </c>
      <c r="H936" t="s">
        <v>8378</v>
      </c>
      <c r="I936" t="s">
        <v>1359</v>
      </c>
      <c r="J936" t="s">
        <v>1357</v>
      </c>
      <c r="K936" t="s">
        <v>1357</v>
      </c>
      <c r="L936" t="s">
        <v>1358</v>
      </c>
    </row>
    <row r="937" spans="6:12">
      <c r="F937" t="s">
        <v>7279</v>
      </c>
      <c r="G937" t="s">
        <v>7985</v>
      </c>
      <c r="H937" t="s">
        <v>8378</v>
      </c>
      <c r="I937" t="s">
        <v>1359</v>
      </c>
      <c r="J937" t="s">
        <v>1357</v>
      </c>
      <c r="K937" t="s">
        <v>1357</v>
      </c>
      <c r="L937" t="s">
        <v>1358</v>
      </c>
    </row>
    <row r="938" spans="6:12">
      <c r="F938" t="s">
        <v>7280</v>
      </c>
      <c r="G938" t="s">
        <v>7986</v>
      </c>
      <c r="H938" t="s">
        <v>8378</v>
      </c>
      <c r="I938" t="s">
        <v>1359</v>
      </c>
      <c r="J938" t="s">
        <v>1357</v>
      </c>
      <c r="K938" t="s">
        <v>1357</v>
      </c>
      <c r="L938" t="s">
        <v>1358</v>
      </c>
    </row>
    <row r="939" spans="6:12">
      <c r="F939" t="s">
        <v>7281</v>
      </c>
      <c r="G939" t="s">
        <v>7767</v>
      </c>
      <c r="H939" t="s">
        <v>8378</v>
      </c>
      <c r="I939" t="s">
        <v>1359</v>
      </c>
      <c r="J939" t="s">
        <v>1357</v>
      </c>
      <c r="K939" t="s">
        <v>1357</v>
      </c>
      <c r="L939" t="s">
        <v>1358</v>
      </c>
    </row>
    <row r="940" spans="6:12">
      <c r="F940" t="s">
        <v>7282</v>
      </c>
      <c r="G940" t="s">
        <v>7731</v>
      </c>
      <c r="H940" t="s">
        <v>8378</v>
      </c>
      <c r="I940" t="s">
        <v>1359</v>
      </c>
      <c r="J940" t="s">
        <v>1357</v>
      </c>
      <c r="K940" t="s">
        <v>1357</v>
      </c>
      <c r="L940" t="s">
        <v>1358</v>
      </c>
    </row>
    <row r="941" spans="6:12">
      <c r="F941" t="s">
        <v>7283</v>
      </c>
      <c r="G941" t="s">
        <v>7987</v>
      </c>
      <c r="H941" t="s">
        <v>8378</v>
      </c>
      <c r="I941" t="s">
        <v>1359</v>
      </c>
      <c r="J941" t="s">
        <v>1357</v>
      </c>
      <c r="K941" t="s">
        <v>1357</v>
      </c>
      <c r="L941" t="s">
        <v>1358</v>
      </c>
    </row>
    <row r="942" spans="6:12">
      <c r="F942" t="s">
        <v>7284</v>
      </c>
      <c r="G942" t="s">
        <v>7988</v>
      </c>
      <c r="H942" t="s">
        <v>8378</v>
      </c>
      <c r="I942" t="s">
        <v>1359</v>
      </c>
      <c r="J942" t="s">
        <v>1357</v>
      </c>
      <c r="K942" t="s">
        <v>1357</v>
      </c>
      <c r="L942" t="s">
        <v>1358</v>
      </c>
    </row>
    <row r="943" spans="6:12">
      <c r="F943" t="s">
        <v>7285</v>
      </c>
      <c r="G943" t="s">
        <v>7989</v>
      </c>
      <c r="H943" t="s">
        <v>8378</v>
      </c>
      <c r="I943" t="s">
        <v>1359</v>
      </c>
      <c r="J943" t="s">
        <v>1357</v>
      </c>
      <c r="K943" t="s">
        <v>1357</v>
      </c>
      <c r="L943" t="s">
        <v>1358</v>
      </c>
    </row>
    <row r="944" spans="6:12">
      <c r="F944" t="s">
        <v>7286</v>
      </c>
      <c r="G944" t="s">
        <v>7990</v>
      </c>
      <c r="H944" t="s">
        <v>8378</v>
      </c>
      <c r="I944" t="s">
        <v>1359</v>
      </c>
      <c r="J944" t="s">
        <v>1357</v>
      </c>
      <c r="K944" t="s">
        <v>1357</v>
      </c>
      <c r="L944" t="s">
        <v>1358</v>
      </c>
    </row>
    <row r="945" spans="1:14">
      <c r="A945" t="s">
        <v>6258</v>
      </c>
      <c r="B945">
        <f>HYPERLINK("https://github.com/pmd/pmd/commit/cd089a159fce7afcfae89b96f76544c4c15d4adc", "cd089a159fce7afcfae89b96f76544c4c15d4adc")</f>
        <v>0</v>
      </c>
      <c r="C945">
        <f>HYPERLINK("https://github.com/pmd/pmd/commit/59afc3a38b1d67e19b69b677818cb62703f17e69", "59afc3a38b1d67e19b69b677818cb62703f17e69")</f>
        <v>0</v>
      </c>
      <c r="D945" t="s">
        <v>6492</v>
      </c>
      <c r="E945" t="s">
        <v>6714</v>
      </c>
      <c r="F945" t="s">
        <v>7287</v>
      </c>
      <c r="G945" t="s">
        <v>7991</v>
      </c>
      <c r="H945" t="s">
        <v>8378</v>
      </c>
      <c r="I945" t="s">
        <v>1357</v>
      </c>
      <c r="J945" t="s">
        <v>1357</v>
      </c>
      <c r="K945" t="s">
        <v>1357</v>
      </c>
      <c r="L945" t="s">
        <v>1357</v>
      </c>
    </row>
    <row r="946" spans="1:14">
      <c r="F946" t="s">
        <v>7288</v>
      </c>
      <c r="G946" t="s">
        <v>7992</v>
      </c>
      <c r="H946" t="s">
        <v>8378</v>
      </c>
      <c r="I946" t="s">
        <v>1359</v>
      </c>
      <c r="J946" t="s">
        <v>1357</v>
      </c>
      <c r="K946" t="s">
        <v>1357</v>
      </c>
      <c r="L946" t="s">
        <v>1358</v>
      </c>
    </row>
    <row r="947" spans="1:14">
      <c r="A947" t="s">
        <v>6259</v>
      </c>
      <c r="B947">
        <f>HYPERLINK("https://github.com/pmd/pmd/commit/886974a2f11e24d4bc9ace91d2bb41c8c5c242a2", "886974a2f11e24d4bc9ace91d2bb41c8c5c242a2")</f>
        <v>0</v>
      </c>
      <c r="C947">
        <f>HYPERLINK("https://github.com/pmd/pmd/commit/cd089a159fce7afcfae89b96f76544c4c15d4adc", "cd089a159fce7afcfae89b96f76544c4c15d4adc")</f>
        <v>0</v>
      </c>
      <c r="D947" t="s">
        <v>6492</v>
      </c>
      <c r="E947" t="s">
        <v>6715</v>
      </c>
      <c r="F947" t="s">
        <v>7289</v>
      </c>
      <c r="G947" t="s">
        <v>7765</v>
      </c>
      <c r="H947" t="s">
        <v>8378</v>
      </c>
      <c r="I947" t="s">
        <v>1357</v>
      </c>
      <c r="J947" t="s">
        <v>1357</v>
      </c>
      <c r="K947" t="s">
        <v>1357</v>
      </c>
      <c r="L947" t="s">
        <v>1357</v>
      </c>
    </row>
    <row r="948" spans="1:14">
      <c r="F948" t="s">
        <v>7290</v>
      </c>
      <c r="G948" t="s">
        <v>7706</v>
      </c>
      <c r="H948" t="s">
        <v>8378</v>
      </c>
      <c r="I948" t="s">
        <v>1359</v>
      </c>
      <c r="J948" t="s">
        <v>1357</v>
      </c>
      <c r="K948" t="s">
        <v>1357</v>
      </c>
      <c r="L948" t="s">
        <v>1358</v>
      </c>
    </row>
    <row r="949" spans="1:14">
      <c r="F949" t="s">
        <v>7291</v>
      </c>
      <c r="G949" t="s">
        <v>7756</v>
      </c>
      <c r="H949" t="s">
        <v>8378</v>
      </c>
      <c r="I949" t="s">
        <v>1359</v>
      </c>
      <c r="J949" t="s">
        <v>1357</v>
      </c>
      <c r="K949" t="s">
        <v>1357</v>
      </c>
      <c r="L949" t="s">
        <v>1358</v>
      </c>
    </row>
    <row r="950" spans="1:14">
      <c r="F950" t="s">
        <v>7292</v>
      </c>
      <c r="G950" t="s">
        <v>7761</v>
      </c>
      <c r="H950" t="s">
        <v>8378</v>
      </c>
      <c r="I950" t="s">
        <v>1359</v>
      </c>
      <c r="J950" t="s">
        <v>1357</v>
      </c>
      <c r="K950" t="s">
        <v>1357</v>
      </c>
      <c r="L950" t="s">
        <v>1358</v>
      </c>
    </row>
    <row r="951" spans="1:14">
      <c r="A951" t="s">
        <v>6260</v>
      </c>
      <c r="B951">
        <f>HYPERLINK("https://github.com/pmd/pmd/commit/115f1086c2ee573911ce1b50f67ab86671a3a83d", "115f1086c2ee573911ce1b50f67ab86671a3a83d")</f>
        <v>0</v>
      </c>
      <c r="C951">
        <f>HYPERLINK("https://github.com/pmd/pmd/commit/886974a2f11e24d4bc9ace91d2bb41c8c5c242a2", "886974a2f11e24d4bc9ace91d2bb41c8c5c242a2")</f>
        <v>0</v>
      </c>
      <c r="D951" t="s">
        <v>6492</v>
      </c>
      <c r="E951" t="s">
        <v>6716</v>
      </c>
      <c r="F951" t="s">
        <v>7293</v>
      </c>
      <c r="G951" t="s">
        <v>7772</v>
      </c>
      <c r="H951" t="s">
        <v>8378</v>
      </c>
      <c r="I951" t="s">
        <v>1357</v>
      </c>
      <c r="J951" t="s">
        <v>1357</v>
      </c>
      <c r="K951" t="s">
        <v>1357</v>
      </c>
      <c r="L951" t="s">
        <v>1357</v>
      </c>
    </row>
    <row r="952" spans="1:14">
      <c r="F952" t="s">
        <v>7294</v>
      </c>
      <c r="G952" t="s">
        <v>7993</v>
      </c>
      <c r="H952" t="s">
        <v>3695</v>
      </c>
      <c r="I952" t="s">
        <v>1357</v>
      </c>
      <c r="J952" t="s">
        <v>1357</v>
      </c>
      <c r="K952" t="s">
        <v>1357</v>
      </c>
      <c r="L952" t="s">
        <v>1357</v>
      </c>
      <c r="N952" t="s">
        <v>9945</v>
      </c>
    </row>
    <row r="953" spans="1:14">
      <c r="F953" t="s">
        <v>7295</v>
      </c>
      <c r="G953" t="s">
        <v>7994</v>
      </c>
      <c r="H953" t="s">
        <v>8378</v>
      </c>
      <c r="I953" t="s">
        <v>1357</v>
      </c>
      <c r="J953" t="s">
        <v>1357</v>
      </c>
      <c r="K953" t="s">
        <v>1357</v>
      </c>
      <c r="L953" t="s">
        <v>1357</v>
      </c>
    </row>
    <row r="954" spans="1:14">
      <c r="F954" t="s">
        <v>7296</v>
      </c>
      <c r="G954" t="s">
        <v>7995</v>
      </c>
      <c r="H954" t="s">
        <v>8378</v>
      </c>
      <c r="I954" t="s">
        <v>1359</v>
      </c>
      <c r="J954" t="s">
        <v>1357</v>
      </c>
      <c r="K954" t="s">
        <v>1357</v>
      </c>
      <c r="L954" t="s">
        <v>1358</v>
      </c>
    </row>
    <row r="955" spans="1:14">
      <c r="F955" t="s">
        <v>7297</v>
      </c>
      <c r="G955" t="s">
        <v>7996</v>
      </c>
      <c r="H955" t="s">
        <v>8378</v>
      </c>
      <c r="I955" t="s">
        <v>1359</v>
      </c>
      <c r="J955" t="s">
        <v>1357</v>
      </c>
      <c r="K955" t="s">
        <v>1357</v>
      </c>
      <c r="L955" t="s">
        <v>1358</v>
      </c>
    </row>
    <row r="956" spans="1:14">
      <c r="F956" t="s">
        <v>7298</v>
      </c>
      <c r="G956" t="s">
        <v>7997</v>
      </c>
      <c r="H956" t="s">
        <v>8378</v>
      </c>
      <c r="I956" t="s">
        <v>1359</v>
      </c>
      <c r="J956" t="s">
        <v>1357</v>
      </c>
      <c r="K956" t="s">
        <v>1357</v>
      </c>
      <c r="L956" t="s">
        <v>1358</v>
      </c>
    </row>
    <row r="957" spans="1:14">
      <c r="F957" t="s">
        <v>7299</v>
      </c>
      <c r="G957" t="s">
        <v>7998</v>
      </c>
      <c r="H957" t="s">
        <v>8378</v>
      </c>
      <c r="I957" t="s">
        <v>1359</v>
      </c>
      <c r="J957" t="s">
        <v>1357</v>
      </c>
      <c r="K957" t="s">
        <v>1357</v>
      </c>
      <c r="L957" t="s">
        <v>1358</v>
      </c>
    </row>
    <row r="958" spans="1:14">
      <c r="F958" t="s">
        <v>7300</v>
      </c>
      <c r="G958" t="s">
        <v>7999</v>
      </c>
      <c r="H958" t="s">
        <v>8378</v>
      </c>
      <c r="I958" t="s">
        <v>1359</v>
      </c>
      <c r="J958" t="s">
        <v>1357</v>
      </c>
      <c r="K958" t="s">
        <v>1357</v>
      </c>
      <c r="L958" t="s">
        <v>1358</v>
      </c>
    </row>
    <row r="959" spans="1:14">
      <c r="F959" t="s">
        <v>7301</v>
      </c>
      <c r="G959" t="s">
        <v>8000</v>
      </c>
      <c r="H959" t="s">
        <v>8378</v>
      </c>
      <c r="I959" t="s">
        <v>1359</v>
      </c>
      <c r="J959" t="s">
        <v>1357</v>
      </c>
      <c r="K959" t="s">
        <v>1357</v>
      </c>
      <c r="L959" t="s">
        <v>1358</v>
      </c>
    </row>
    <row r="960" spans="1:14">
      <c r="F960" t="s">
        <v>7302</v>
      </c>
      <c r="G960" t="s">
        <v>8001</v>
      </c>
      <c r="H960" t="s">
        <v>8378</v>
      </c>
      <c r="I960" t="s">
        <v>1359</v>
      </c>
      <c r="J960" t="s">
        <v>1357</v>
      </c>
      <c r="K960" t="s">
        <v>1357</v>
      </c>
      <c r="L960" t="s">
        <v>1358</v>
      </c>
    </row>
    <row r="961" spans="1:14">
      <c r="F961" t="s">
        <v>7303</v>
      </c>
      <c r="G961" t="s">
        <v>8002</v>
      </c>
      <c r="H961" t="s">
        <v>8378</v>
      </c>
      <c r="I961" t="s">
        <v>1359</v>
      </c>
      <c r="J961" t="s">
        <v>1357</v>
      </c>
      <c r="K961" t="s">
        <v>1357</v>
      </c>
      <c r="L961" t="s">
        <v>1358</v>
      </c>
    </row>
    <row r="962" spans="1:14">
      <c r="F962" t="s">
        <v>7304</v>
      </c>
      <c r="G962" t="s">
        <v>8003</v>
      </c>
      <c r="H962" t="s">
        <v>8378</v>
      </c>
      <c r="I962" t="s">
        <v>1359</v>
      </c>
      <c r="J962" t="s">
        <v>1357</v>
      </c>
      <c r="K962" t="s">
        <v>1357</v>
      </c>
      <c r="L962" t="s">
        <v>1358</v>
      </c>
    </row>
    <row r="963" spans="1:14">
      <c r="F963" t="s">
        <v>7305</v>
      </c>
      <c r="G963" t="s">
        <v>8004</v>
      </c>
      <c r="H963" t="s">
        <v>8378</v>
      </c>
      <c r="I963" t="s">
        <v>1359</v>
      </c>
      <c r="J963" t="s">
        <v>1357</v>
      </c>
      <c r="K963" t="s">
        <v>1357</v>
      </c>
      <c r="L963" t="s">
        <v>1358</v>
      </c>
    </row>
    <row r="964" spans="1:14">
      <c r="F964" t="s">
        <v>7306</v>
      </c>
      <c r="G964" t="s">
        <v>8005</v>
      </c>
      <c r="H964" t="s">
        <v>8378</v>
      </c>
      <c r="I964" t="s">
        <v>1359</v>
      </c>
      <c r="J964" t="s">
        <v>1357</v>
      </c>
      <c r="K964" t="s">
        <v>1357</v>
      </c>
      <c r="L964" t="s">
        <v>1358</v>
      </c>
    </row>
    <row r="965" spans="1:14">
      <c r="F965" t="s">
        <v>7307</v>
      </c>
      <c r="G965" t="s">
        <v>8006</v>
      </c>
      <c r="H965" t="s">
        <v>8378</v>
      </c>
      <c r="I965" t="s">
        <v>1359</v>
      </c>
      <c r="J965" t="s">
        <v>1357</v>
      </c>
      <c r="K965" t="s">
        <v>1357</v>
      </c>
      <c r="L965" t="s">
        <v>1358</v>
      </c>
    </row>
    <row r="966" spans="1:14">
      <c r="F966" t="s">
        <v>7308</v>
      </c>
      <c r="G966" t="s">
        <v>8007</v>
      </c>
      <c r="H966" t="s">
        <v>8378</v>
      </c>
      <c r="I966" t="s">
        <v>1359</v>
      </c>
      <c r="J966" t="s">
        <v>1357</v>
      </c>
      <c r="K966" t="s">
        <v>1357</v>
      </c>
      <c r="L966" t="s">
        <v>1358</v>
      </c>
    </row>
    <row r="967" spans="1:14">
      <c r="F967" t="s">
        <v>7309</v>
      </c>
      <c r="G967" t="s">
        <v>8008</v>
      </c>
      <c r="H967" t="s">
        <v>8378</v>
      </c>
      <c r="I967" t="s">
        <v>1359</v>
      </c>
      <c r="J967" t="s">
        <v>1357</v>
      </c>
      <c r="K967" t="s">
        <v>1357</v>
      </c>
      <c r="L967" t="s">
        <v>1358</v>
      </c>
    </row>
    <row r="968" spans="1:14">
      <c r="A968" t="s">
        <v>6261</v>
      </c>
      <c r="B968">
        <f>HYPERLINK("https://github.com/pmd/pmd/commit/3becab3dd52be84a1a4bd7b3fb5497f5aef11a10", "3becab3dd52be84a1a4bd7b3fb5497f5aef11a10")</f>
        <v>0</v>
      </c>
      <c r="C968">
        <f>HYPERLINK("https://github.com/pmd/pmd/commit/44ed1ac6aacdabf2f4414357b3aca20b95b33c49", "44ed1ac6aacdabf2f4414357b3aca20b95b33c49")</f>
        <v>0</v>
      </c>
      <c r="D968" t="s">
        <v>6497</v>
      </c>
      <c r="E968" t="s">
        <v>6717</v>
      </c>
      <c r="F968" t="s">
        <v>7310</v>
      </c>
      <c r="G968" t="s">
        <v>7839</v>
      </c>
      <c r="H968" t="s">
        <v>8795</v>
      </c>
      <c r="I968" t="s">
        <v>1357</v>
      </c>
      <c r="J968" t="s">
        <v>1357</v>
      </c>
      <c r="K968" t="s">
        <v>1357</v>
      </c>
      <c r="L968" t="s">
        <v>1357</v>
      </c>
      <c r="N968" t="s">
        <v>9946</v>
      </c>
    </row>
    <row r="969" spans="1:14">
      <c r="A969" t="s">
        <v>6262</v>
      </c>
      <c r="B969">
        <f>HYPERLINK("https://github.com/pmd/pmd/commit/e2f2a702a7c3342aa88fd447ea480814128c7697", "e2f2a702a7c3342aa88fd447ea480814128c7697")</f>
        <v>0</v>
      </c>
      <c r="C969">
        <f>HYPERLINK("https://github.com/pmd/pmd/commit/06ad62b3180bd44829616eca0b299485da763eda", "06ad62b3180bd44829616eca0b299485da763eda")</f>
        <v>0</v>
      </c>
      <c r="D969" t="s">
        <v>6498</v>
      </c>
      <c r="E969" t="s">
        <v>6718</v>
      </c>
      <c r="F969" t="s">
        <v>7311</v>
      </c>
      <c r="G969" t="s">
        <v>8009</v>
      </c>
      <c r="H969" t="s">
        <v>8796</v>
      </c>
      <c r="I969" t="s">
        <v>1359</v>
      </c>
      <c r="J969" t="s">
        <v>1358</v>
      </c>
      <c r="K969" t="s">
        <v>1357</v>
      </c>
      <c r="L969" t="s">
        <v>1358</v>
      </c>
      <c r="N969" t="s">
        <v>9947</v>
      </c>
    </row>
    <row r="970" spans="1:14">
      <c r="F970" t="s">
        <v>7312</v>
      </c>
      <c r="G970" t="s">
        <v>8010</v>
      </c>
      <c r="H970" t="s">
        <v>8378</v>
      </c>
      <c r="I970" t="s">
        <v>1357</v>
      </c>
      <c r="J970" t="s">
        <v>1357</v>
      </c>
      <c r="K970" t="s">
        <v>1357</v>
      </c>
      <c r="L970" t="s">
        <v>1357</v>
      </c>
    </row>
    <row r="971" spans="1:14">
      <c r="F971" t="s">
        <v>7313</v>
      </c>
      <c r="G971" t="s">
        <v>8011</v>
      </c>
      <c r="H971" t="s">
        <v>8378</v>
      </c>
      <c r="I971" t="s">
        <v>1359</v>
      </c>
      <c r="J971" t="s">
        <v>1357</v>
      </c>
      <c r="K971" t="s">
        <v>1357</v>
      </c>
      <c r="L971" t="s">
        <v>1358</v>
      </c>
    </row>
    <row r="972" spans="1:14">
      <c r="F972" t="s">
        <v>7314</v>
      </c>
      <c r="G972" t="s">
        <v>8012</v>
      </c>
      <c r="H972" t="s">
        <v>8378</v>
      </c>
      <c r="I972" t="s">
        <v>1359</v>
      </c>
      <c r="J972" t="s">
        <v>1357</v>
      </c>
      <c r="K972" t="s">
        <v>1357</v>
      </c>
      <c r="L972" t="s">
        <v>1358</v>
      </c>
    </row>
    <row r="973" spans="1:14">
      <c r="F973" t="s">
        <v>7315</v>
      </c>
      <c r="G973" t="s">
        <v>8013</v>
      </c>
      <c r="H973" t="s">
        <v>8378</v>
      </c>
      <c r="I973" t="s">
        <v>1359</v>
      </c>
      <c r="J973" t="s">
        <v>1357</v>
      </c>
      <c r="K973" t="s">
        <v>1357</v>
      </c>
      <c r="L973" t="s">
        <v>1358</v>
      </c>
    </row>
    <row r="974" spans="1:14">
      <c r="F974" t="s">
        <v>7316</v>
      </c>
      <c r="G974" t="s">
        <v>8014</v>
      </c>
      <c r="H974" t="s">
        <v>8378</v>
      </c>
      <c r="I974" t="s">
        <v>1359</v>
      </c>
      <c r="J974" t="s">
        <v>1357</v>
      </c>
      <c r="K974" t="s">
        <v>1357</v>
      </c>
      <c r="L974" t="s">
        <v>1358</v>
      </c>
    </row>
    <row r="975" spans="1:14">
      <c r="F975" t="s">
        <v>7317</v>
      </c>
      <c r="G975" t="s">
        <v>8015</v>
      </c>
      <c r="H975" t="s">
        <v>8378</v>
      </c>
      <c r="I975" t="s">
        <v>1359</v>
      </c>
      <c r="J975" t="s">
        <v>1357</v>
      </c>
      <c r="K975" t="s">
        <v>1357</v>
      </c>
      <c r="L975" t="s">
        <v>1358</v>
      </c>
    </row>
    <row r="976" spans="1:14">
      <c r="F976" t="s">
        <v>7318</v>
      </c>
      <c r="G976" t="s">
        <v>8016</v>
      </c>
      <c r="H976" t="s">
        <v>8796</v>
      </c>
      <c r="I976" t="s">
        <v>1359</v>
      </c>
      <c r="J976" t="s">
        <v>1358</v>
      </c>
      <c r="K976" t="s">
        <v>1357</v>
      </c>
      <c r="L976" t="s">
        <v>1358</v>
      </c>
      <c r="N976" t="s">
        <v>9947</v>
      </c>
    </row>
    <row r="977" spans="6:12">
      <c r="F977" t="s">
        <v>7319</v>
      </c>
      <c r="G977" t="s">
        <v>8017</v>
      </c>
      <c r="H977" t="s">
        <v>8378</v>
      </c>
      <c r="I977" t="s">
        <v>1359</v>
      </c>
      <c r="J977" t="s">
        <v>1357</v>
      </c>
      <c r="K977" t="s">
        <v>1357</v>
      </c>
      <c r="L977" t="s">
        <v>1358</v>
      </c>
    </row>
    <row r="978" spans="6:12">
      <c r="F978" t="s">
        <v>7320</v>
      </c>
      <c r="G978" t="s">
        <v>8018</v>
      </c>
      <c r="H978" t="s">
        <v>8378</v>
      </c>
      <c r="I978" t="s">
        <v>1359</v>
      </c>
      <c r="J978" t="s">
        <v>1357</v>
      </c>
      <c r="K978" t="s">
        <v>1357</v>
      </c>
      <c r="L978" t="s">
        <v>1358</v>
      </c>
    </row>
    <row r="979" spans="6:12">
      <c r="F979" t="s">
        <v>7321</v>
      </c>
      <c r="G979" t="s">
        <v>8019</v>
      </c>
      <c r="H979" t="s">
        <v>8378</v>
      </c>
      <c r="I979" t="s">
        <v>1359</v>
      </c>
      <c r="J979" t="s">
        <v>1357</v>
      </c>
      <c r="K979" t="s">
        <v>1357</v>
      </c>
      <c r="L979" t="s">
        <v>1358</v>
      </c>
    </row>
    <row r="980" spans="6:12">
      <c r="F980" t="s">
        <v>7322</v>
      </c>
      <c r="G980" t="s">
        <v>8020</v>
      </c>
      <c r="H980" t="s">
        <v>8378</v>
      </c>
      <c r="I980" t="s">
        <v>1359</v>
      </c>
      <c r="J980" t="s">
        <v>1357</v>
      </c>
      <c r="K980" t="s">
        <v>1357</v>
      </c>
      <c r="L980" t="s">
        <v>1358</v>
      </c>
    </row>
    <row r="981" spans="6:12">
      <c r="F981" t="s">
        <v>7323</v>
      </c>
      <c r="G981" t="s">
        <v>8021</v>
      </c>
      <c r="H981" t="s">
        <v>8378</v>
      </c>
      <c r="I981" t="s">
        <v>1359</v>
      </c>
      <c r="J981" t="s">
        <v>1357</v>
      </c>
      <c r="K981" t="s">
        <v>1357</v>
      </c>
      <c r="L981" t="s">
        <v>1358</v>
      </c>
    </row>
    <row r="982" spans="6:12">
      <c r="F982" t="s">
        <v>7324</v>
      </c>
      <c r="G982" t="s">
        <v>8022</v>
      </c>
      <c r="H982" t="s">
        <v>8378</v>
      </c>
      <c r="I982" t="s">
        <v>1359</v>
      </c>
      <c r="J982" t="s">
        <v>1357</v>
      </c>
      <c r="K982" t="s">
        <v>1357</v>
      </c>
      <c r="L982" t="s">
        <v>1358</v>
      </c>
    </row>
    <row r="983" spans="6:12">
      <c r="F983" t="s">
        <v>7325</v>
      </c>
      <c r="G983" t="s">
        <v>8023</v>
      </c>
      <c r="H983" t="s">
        <v>8378</v>
      </c>
      <c r="I983" t="s">
        <v>1359</v>
      </c>
      <c r="J983" t="s">
        <v>1357</v>
      </c>
      <c r="K983" t="s">
        <v>1357</v>
      </c>
      <c r="L983" t="s">
        <v>1358</v>
      </c>
    </row>
    <row r="984" spans="6:12">
      <c r="F984" t="s">
        <v>7326</v>
      </c>
      <c r="G984" t="s">
        <v>8024</v>
      </c>
      <c r="H984" t="s">
        <v>8378</v>
      </c>
      <c r="I984" t="s">
        <v>1359</v>
      </c>
      <c r="J984" t="s">
        <v>1357</v>
      </c>
      <c r="K984" t="s">
        <v>1357</v>
      </c>
      <c r="L984" t="s">
        <v>1358</v>
      </c>
    </row>
    <row r="985" spans="6:12">
      <c r="F985" t="s">
        <v>7327</v>
      </c>
      <c r="G985" t="s">
        <v>8025</v>
      </c>
      <c r="H985" t="s">
        <v>8378</v>
      </c>
      <c r="I985" t="s">
        <v>1359</v>
      </c>
      <c r="J985" t="s">
        <v>1357</v>
      </c>
      <c r="K985" t="s">
        <v>1357</v>
      </c>
      <c r="L985" t="s">
        <v>1358</v>
      </c>
    </row>
    <row r="986" spans="6:12">
      <c r="F986" t="s">
        <v>7328</v>
      </c>
      <c r="G986" t="s">
        <v>8026</v>
      </c>
      <c r="H986" t="s">
        <v>8378</v>
      </c>
      <c r="I986" t="s">
        <v>1359</v>
      </c>
      <c r="J986" t="s">
        <v>1357</v>
      </c>
      <c r="K986" t="s">
        <v>1357</v>
      </c>
      <c r="L986" t="s">
        <v>1358</v>
      </c>
    </row>
    <row r="987" spans="6:12">
      <c r="F987" t="s">
        <v>7310</v>
      </c>
      <c r="G987" t="s">
        <v>7839</v>
      </c>
      <c r="H987" t="s">
        <v>8378</v>
      </c>
      <c r="I987" t="s">
        <v>1359</v>
      </c>
      <c r="J987" t="s">
        <v>1357</v>
      </c>
      <c r="K987" t="s">
        <v>1357</v>
      </c>
      <c r="L987" t="s">
        <v>1358</v>
      </c>
    </row>
    <row r="988" spans="6:12">
      <c r="F988" t="s">
        <v>7329</v>
      </c>
      <c r="G988" t="s">
        <v>8027</v>
      </c>
      <c r="H988" t="s">
        <v>8378</v>
      </c>
      <c r="I988" t="s">
        <v>1359</v>
      </c>
      <c r="J988" t="s">
        <v>1357</v>
      </c>
      <c r="K988" t="s">
        <v>1357</v>
      </c>
      <c r="L988" t="s">
        <v>1358</v>
      </c>
    </row>
    <row r="989" spans="6:12">
      <c r="F989" t="s">
        <v>7330</v>
      </c>
      <c r="G989" t="s">
        <v>8028</v>
      </c>
      <c r="H989" t="s">
        <v>8378</v>
      </c>
      <c r="I989" t="s">
        <v>1359</v>
      </c>
      <c r="J989" t="s">
        <v>1357</v>
      </c>
      <c r="K989" t="s">
        <v>1357</v>
      </c>
      <c r="L989" t="s">
        <v>1358</v>
      </c>
    </row>
    <row r="990" spans="6:12">
      <c r="F990" t="s">
        <v>7331</v>
      </c>
      <c r="G990" t="s">
        <v>8029</v>
      </c>
      <c r="H990" t="s">
        <v>8378</v>
      </c>
      <c r="I990" t="s">
        <v>1359</v>
      </c>
      <c r="J990" t="s">
        <v>1357</v>
      </c>
      <c r="K990" t="s">
        <v>1357</v>
      </c>
      <c r="L990" t="s">
        <v>1358</v>
      </c>
    </row>
    <row r="991" spans="6:12">
      <c r="F991" t="s">
        <v>7332</v>
      </c>
      <c r="G991" t="s">
        <v>8030</v>
      </c>
      <c r="H991" t="s">
        <v>8378</v>
      </c>
      <c r="I991" t="s">
        <v>1359</v>
      </c>
      <c r="J991" t="s">
        <v>1357</v>
      </c>
      <c r="K991" t="s">
        <v>1357</v>
      </c>
      <c r="L991" t="s">
        <v>1358</v>
      </c>
    </row>
    <row r="992" spans="6:12">
      <c r="F992" t="s">
        <v>7333</v>
      </c>
      <c r="G992" t="s">
        <v>8031</v>
      </c>
      <c r="H992" t="s">
        <v>8378</v>
      </c>
      <c r="I992" t="s">
        <v>1359</v>
      </c>
      <c r="J992" t="s">
        <v>1357</v>
      </c>
      <c r="K992" t="s">
        <v>1357</v>
      </c>
      <c r="L992" t="s">
        <v>1358</v>
      </c>
    </row>
    <row r="993" spans="1:12">
      <c r="F993" t="s">
        <v>7334</v>
      </c>
      <c r="G993" t="s">
        <v>8032</v>
      </c>
      <c r="H993" t="s">
        <v>8378</v>
      </c>
      <c r="I993" t="s">
        <v>1359</v>
      </c>
      <c r="J993" t="s">
        <v>1357</v>
      </c>
      <c r="K993" t="s">
        <v>1357</v>
      </c>
      <c r="L993" t="s">
        <v>1358</v>
      </c>
    </row>
    <row r="994" spans="1:12">
      <c r="F994" t="s">
        <v>7335</v>
      </c>
      <c r="G994" t="s">
        <v>8033</v>
      </c>
      <c r="H994" t="s">
        <v>8378</v>
      </c>
      <c r="I994" t="s">
        <v>1359</v>
      </c>
      <c r="J994" t="s">
        <v>1357</v>
      </c>
      <c r="K994" t="s">
        <v>1357</v>
      </c>
      <c r="L994" t="s">
        <v>1358</v>
      </c>
    </row>
    <row r="995" spans="1:12">
      <c r="F995" t="s">
        <v>7336</v>
      </c>
      <c r="G995" t="s">
        <v>8034</v>
      </c>
      <c r="H995" t="s">
        <v>8378</v>
      </c>
      <c r="I995" t="s">
        <v>1359</v>
      </c>
      <c r="J995" t="s">
        <v>1357</v>
      </c>
      <c r="K995" t="s">
        <v>1357</v>
      </c>
      <c r="L995" t="s">
        <v>1358</v>
      </c>
    </row>
    <row r="996" spans="1:12">
      <c r="F996" t="s">
        <v>7337</v>
      </c>
      <c r="G996" t="s">
        <v>8035</v>
      </c>
      <c r="H996" t="s">
        <v>8378</v>
      </c>
      <c r="I996" t="s">
        <v>1359</v>
      </c>
      <c r="J996" t="s">
        <v>1357</v>
      </c>
      <c r="K996" t="s">
        <v>1357</v>
      </c>
      <c r="L996" t="s">
        <v>1358</v>
      </c>
    </row>
    <row r="997" spans="1:12">
      <c r="F997" t="s">
        <v>7338</v>
      </c>
      <c r="G997" t="s">
        <v>8036</v>
      </c>
      <c r="H997" t="s">
        <v>8378</v>
      </c>
      <c r="I997" t="s">
        <v>1359</v>
      </c>
      <c r="J997" t="s">
        <v>1357</v>
      </c>
      <c r="K997" t="s">
        <v>1357</v>
      </c>
      <c r="L997" t="s">
        <v>1358</v>
      </c>
    </row>
    <row r="998" spans="1:12">
      <c r="F998" t="s">
        <v>7339</v>
      </c>
      <c r="G998" t="s">
        <v>8037</v>
      </c>
      <c r="H998" t="s">
        <v>8378</v>
      </c>
      <c r="I998" t="s">
        <v>1359</v>
      </c>
      <c r="J998" t="s">
        <v>1357</v>
      </c>
      <c r="K998" t="s">
        <v>1357</v>
      </c>
      <c r="L998" t="s">
        <v>1358</v>
      </c>
    </row>
    <row r="999" spans="1:12">
      <c r="F999" t="s">
        <v>7340</v>
      </c>
      <c r="G999" t="s">
        <v>8038</v>
      </c>
      <c r="H999" t="s">
        <v>8378</v>
      </c>
      <c r="I999" t="s">
        <v>1359</v>
      </c>
      <c r="J999" t="s">
        <v>1357</v>
      </c>
      <c r="K999" t="s">
        <v>1357</v>
      </c>
      <c r="L999" t="s">
        <v>1358</v>
      </c>
    </row>
    <row r="1000" spans="1:12">
      <c r="F1000" t="s">
        <v>7341</v>
      </c>
      <c r="G1000" t="s">
        <v>8039</v>
      </c>
      <c r="H1000" t="s">
        <v>8378</v>
      </c>
      <c r="I1000" t="s">
        <v>1359</v>
      </c>
      <c r="J1000" t="s">
        <v>1357</v>
      </c>
      <c r="K1000" t="s">
        <v>1357</v>
      </c>
      <c r="L1000" t="s">
        <v>1358</v>
      </c>
    </row>
    <row r="1001" spans="1:12">
      <c r="F1001" t="s">
        <v>7342</v>
      </c>
      <c r="G1001" t="s">
        <v>8040</v>
      </c>
      <c r="H1001" t="s">
        <v>8378</v>
      </c>
      <c r="I1001" t="s">
        <v>1359</v>
      </c>
      <c r="J1001" t="s">
        <v>1357</v>
      </c>
      <c r="K1001" t="s">
        <v>1357</v>
      </c>
      <c r="L1001" t="s">
        <v>1358</v>
      </c>
    </row>
    <row r="1002" spans="1:12">
      <c r="F1002" t="s">
        <v>7343</v>
      </c>
      <c r="G1002" t="s">
        <v>8041</v>
      </c>
      <c r="H1002" t="s">
        <v>8378</v>
      </c>
      <c r="I1002" t="s">
        <v>1359</v>
      </c>
      <c r="J1002" t="s">
        <v>1357</v>
      </c>
      <c r="K1002" t="s">
        <v>1357</v>
      </c>
      <c r="L1002" t="s">
        <v>1358</v>
      </c>
    </row>
    <row r="1003" spans="1:12">
      <c r="F1003" t="s">
        <v>7344</v>
      </c>
      <c r="G1003" t="s">
        <v>7875</v>
      </c>
      <c r="H1003" t="s">
        <v>8378</v>
      </c>
      <c r="I1003" t="s">
        <v>1359</v>
      </c>
      <c r="J1003" t="s">
        <v>1357</v>
      </c>
      <c r="K1003" t="s">
        <v>1357</v>
      </c>
      <c r="L1003" t="s">
        <v>1358</v>
      </c>
    </row>
    <row r="1004" spans="1:12">
      <c r="F1004" t="s">
        <v>7345</v>
      </c>
      <c r="G1004" t="s">
        <v>7890</v>
      </c>
      <c r="H1004" t="s">
        <v>8378</v>
      </c>
      <c r="I1004" t="s">
        <v>1359</v>
      </c>
      <c r="J1004" t="s">
        <v>1357</v>
      </c>
      <c r="K1004" t="s">
        <v>1357</v>
      </c>
      <c r="L1004" t="s">
        <v>1358</v>
      </c>
    </row>
    <row r="1005" spans="1:12">
      <c r="F1005" t="s">
        <v>7346</v>
      </c>
      <c r="G1005" t="s">
        <v>8042</v>
      </c>
      <c r="H1005" t="s">
        <v>8378</v>
      </c>
      <c r="I1005" t="s">
        <v>1359</v>
      </c>
      <c r="J1005" t="s">
        <v>1357</v>
      </c>
      <c r="K1005" t="s">
        <v>1357</v>
      </c>
      <c r="L1005" t="s">
        <v>1358</v>
      </c>
    </row>
    <row r="1006" spans="1:12">
      <c r="F1006" t="s">
        <v>7347</v>
      </c>
      <c r="G1006" t="s">
        <v>8043</v>
      </c>
      <c r="H1006" t="s">
        <v>8378</v>
      </c>
      <c r="I1006" t="s">
        <v>1359</v>
      </c>
      <c r="J1006" t="s">
        <v>1357</v>
      </c>
      <c r="K1006" t="s">
        <v>1357</v>
      </c>
      <c r="L1006" t="s">
        <v>1358</v>
      </c>
    </row>
    <row r="1007" spans="1:12">
      <c r="F1007" t="s">
        <v>7348</v>
      </c>
      <c r="G1007" t="s">
        <v>8044</v>
      </c>
      <c r="H1007" t="s">
        <v>8378</v>
      </c>
      <c r="I1007" t="s">
        <v>1359</v>
      </c>
      <c r="J1007" t="s">
        <v>1357</v>
      </c>
      <c r="K1007" t="s">
        <v>1357</v>
      </c>
      <c r="L1007" t="s">
        <v>1358</v>
      </c>
    </row>
    <row r="1008" spans="1:12">
      <c r="A1008" t="s">
        <v>6263</v>
      </c>
      <c r="B1008">
        <f>HYPERLINK("https://github.com/pmd/pmd/commit/b4e8751acb60086d48f120178fba618880930599", "b4e8751acb60086d48f120178fba618880930599")</f>
        <v>0</v>
      </c>
      <c r="C1008">
        <f>HYPERLINK("https://github.com/pmd/pmd/commit/dee7967d2ac3290424a0dd1dbd1553aaaa193d02", "dee7967d2ac3290424a0dd1dbd1553aaaa193d02")</f>
        <v>0</v>
      </c>
      <c r="D1008" t="s">
        <v>6498</v>
      </c>
      <c r="E1008" t="s">
        <v>6719</v>
      </c>
      <c r="F1008" t="s">
        <v>7349</v>
      </c>
      <c r="G1008" t="s">
        <v>8045</v>
      </c>
      <c r="H1008" t="s">
        <v>8378</v>
      </c>
      <c r="I1008" t="s">
        <v>1357</v>
      </c>
      <c r="J1008" t="s">
        <v>1357</v>
      </c>
      <c r="K1008" t="s">
        <v>1357</v>
      </c>
      <c r="L1008" t="s">
        <v>1357</v>
      </c>
    </row>
    <row r="1009" spans="1:14">
      <c r="A1009" t="s">
        <v>6264</v>
      </c>
      <c r="B1009">
        <f>HYPERLINK("https://github.com/pmd/pmd/commit/a06e24ce14e7917d6d75d654fa66c126ab8f55de", "a06e24ce14e7917d6d75d654fa66c126ab8f55de")</f>
        <v>0</v>
      </c>
      <c r="C1009">
        <f>HYPERLINK("https://github.com/pmd/pmd/commit/1857abbcabd8ed214207ad8355be927c91d7cc74", "1857abbcabd8ed214207ad8355be927c91d7cc74")</f>
        <v>0</v>
      </c>
      <c r="D1009" t="s">
        <v>6499</v>
      </c>
      <c r="E1009" t="s">
        <v>6720</v>
      </c>
      <c r="F1009" t="s">
        <v>7350</v>
      </c>
      <c r="G1009" t="s">
        <v>8046</v>
      </c>
      <c r="H1009" t="s">
        <v>8797</v>
      </c>
      <c r="I1009" t="s">
        <v>1358</v>
      </c>
      <c r="J1009" t="s">
        <v>1358</v>
      </c>
      <c r="K1009" t="s">
        <v>1358</v>
      </c>
      <c r="L1009" t="s">
        <v>1358</v>
      </c>
    </row>
    <row r="1010" spans="1:14">
      <c r="A1010" t="s">
        <v>6265</v>
      </c>
      <c r="B1010">
        <f>HYPERLINK("https://github.com/pmd/pmd/commit/2fa65a65ab4ab5c564df1a167355859f3827166e", "2fa65a65ab4ab5c564df1a167355859f3827166e")</f>
        <v>0</v>
      </c>
      <c r="C1010">
        <f>HYPERLINK("https://github.com/pmd/pmd/commit/635e29a219c46a7a572fc9802881a94a957ae8f9", "635e29a219c46a7a572fc9802881a94a957ae8f9")</f>
        <v>0</v>
      </c>
      <c r="D1010" t="s">
        <v>6499</v>
      </c>
      <c r="E1010" t="s">
        <v>6721</v>
      </c>
      <c r="F1010" t="s">
        <v>6986</v>
      </c>
      <c r="G1010" t="s">
        <v>7732</v>
      </c>
      <c r="H1010" t="s">
        <v>8798</v>
      </c>
      <c r="I1010" t="s">
        <v>1358</v>
      </c>
      <c r="J1010" t="s">
        <v>1358</v>
      </c>
      <c r="K1010" t="s">
        <v>1358</v>
      </c>
      <c r="L1010" t="s">
        <v>1358</v>
      </c>
    </row>
    <row r="1011" spans="1:14">
      <c r="A1011" t="s">
        <v>6266</v>
      </c>
      <c r="B1011">
        <f>HYPERLINK("https://github.com/pmd/pmd/commit/f0290f805113a10cfc1dabc4e7638193d2ae3edd", "f0290f805113a10cfc1dabc4e7638193d2ae3edd")</f>
        <v>0</v>
      </c>
      <c r="C1011">
        <f>HYPERLINK("https://github.com/pmd/pmd/commit/8a2f5ec3de692d5823f7b06ec7b02c503f329055", "8a2f5ec3de692d5823f7b06ec7b02c503f329055")</f>
        <v>0</v>
      </c>
      <c r="D1011" t="s">
        <v>6500</v>
      </c>
      <c r="E1011" t="s">
        <v>6722</v>
      </c>
      <c r="F1011" t="s">
        <v>6977</v>
      </c>
      <c r="G1011" t="s">
        <v>7724</v>
      </c>
      <c r="H1011" t="s">
        <v>8799</v>
      </c>
      <c r="I1011" t="s">
        <v>1358</v>
      </c>
      <c r="J1011" t="s">
        <v>1358</v>
      </c>
      <c r="K1011" t="s">
        <v>1358</v>
      </c>
      <c r="L1011" t="s">
        <v>1358</v>
      </c>
    </row>
    <row r="1012" spans="1:14">
      <c r="A1012" t="s">
        <v>6267</v>
      </c>
      <c r="B1012">
        <f>HYPERLINK("https://github.com/pmd/pmd/commit/0e4ce7b28e3077137829b6f5dd08451146b9010a", "0e4ce7b28e3077137829b6f5dd08451146b9010a")</f>
        <v>0</v>
      </c>
      <c r="C1012">
        <f>HYPERLINK("https://github.com/pmd/pmd/commit/38025cb0de906c950092b10a411780a73ff30d79", "38025cb0de906c950092b10a411780a73ff30d79")</f>
        <v>0</v>
      </c>
      <c r="D1012" t="s">
        <v>6499</v>
      </c>
      <c r="E1012" t="s">
        <v>6723</v>
      </c>
      <c r="F1012" t="s">
        <v>7351</v>
      </c>
      <c r="G1012" t="s">
        <v>8047</v>
      </c>
      <c r="H1012" t="s">
        <v>8800</v>
      </c>
      <c r="I1012" t="s">
        <v>1358</v>
      </c>
      <c r="J1012" t="s">
        <v>1358</v>
      </c>
      <c r="K1012" t="s">
        <v>1358</v>
      </c>
      <c r="L1012" t="s">
        <v>1358</v>
      </c>
    </row>
    <row r="1013" spans="1:14">
      <c r="H1013" t="s">
        <v>8801</v>
      </c>
      <c r="I1013" t="s">
        <v>1358</v>
      </c>
      <c r="J1013" t="s">
        <v>1358</v>
      </c>
      <c r="K1013" t="s">
        <v>1358</v>
      </c>
      <c r="L1013" t="s">
        <v>1358</v>
      </c>
    </row>
    <row r="1014" spans="1:14">
      <c r="H1014" t="s">
        <v>8802</v>
      </c>
      <c r="I1014" t="s">
        <v>1358</v>
      </c>
      <c r="J1014" t="s">
        <v>1358</v>
      </c>
      <c r="K1014" t="s">
        <v>1358</v>
      </c>
      <c r="L1014" t="s">
        <v>1358</v>
      </c>
    </row>
    <row r="1015" spans="1:14">
      <c r="F1015" t="s">
        <v>7352</v>
      </c>
      <c r="G1015" t="s">
        <v>8048</v>
      </c>
      <c r="H1015" t="s">
        <v>8803</v>
      </c>
      <c r="I1015" t="s">
        <v>1357</v>
      </c>
      <c r="J1015" t="s">
        <v>1357</v>
      </c>
      <c r="K1015" t="s">
        <v>1357</v>
      </c>
      <c r="L1015" t="s">
        <v>1357</v>
      </c>
    </row>
    <row r="1016" spans="1:14">
      <c r="A1016" t="s">
        <v>6268</v>
      </c>
      <c r="B1016">
        <f>HYPERLINK("https://github.com/pmd/pmd/commit/4e02b9b831743c0e6f46514ae6a209ed96e86e22", "4e02b9b831743c0e6f46514ae6a209ed96e86e22")</f>
        <v>0</v>
      </c>
      <c r="C1016">
        <f>HYPERLINK("https://github.com/pmd/pmd/commit/82d36689d3696a80c4f867bc50a8aec76794d261", "82d36689d3696a80c4f867bc50a8aec76794d261")</f>
        <v>0</v>
      </c>
      <c r="D1016" t="s">
        <v>6499</v>
      </c>
      <c r="E1016" t="s">
        <v>6724</v>
      </c>
      <c r="F1016" t="s">
        <v>6977</v>
      </c>
      <c r="G1016" t="s">
        <v>7724</v>
      </c>
      <c r="H1016" t="s">
        <v>8804</v>
      </c>
      <c r="I1016" t="s">
        <v>1358</v>
      </c>
      <c r="J1016" t="s">
        <v>1358</v>
      </c>
      <c r="K1016" t="s">
        <v>1358</v>
      </c>
      <c r="L1016" t="s">
        <v>1358</v>
      </c>
    </row>
    <row r="1017" spans="1:14">
      <c r="A1017" t="s">
        <v>6269</v>
      </c>
      <c r="B1017">
        <f>HYPERLINK("https://github.com/pmd/pmd/commit/73e19eaded95c3b4bd0a5bb9e5fdaad342d4afc7", "73e19eaded95c3b4bd0a5bb9e5fdaad342d4afc7")</f>
        <v>0</v>
      </c>
      <c r="C1017">
        <f>HYPERLINK("https://github.com/pmd/pmd/commit/9b7f9a1ba8d1bb973d3aaa7f04a9884a4a48c67e", "9b7f9a1ba8d1bb973d3aaa7f04a9884a4a48c67e")</f>
        <v>0</v>
      </c>
      <c r="D1017" t="s">
        <v>6499</v>
      </c>
      <c r="E1017" t="s">
        <v>6725</v>
      </c>
      <c r="F1017" t="s">
        <v>6977</v>
      </c>
      <c r="G1017" t="s">
        <v>7724</v>
      </c>
      <c r="H1017" t="s">
        <v>8805</v>
      </c>
      <c r="I1017" t="s">
        <v>1358</v>
      </c>
      <c r="J1017" t="s">
        <v>1358</v>
      </c>
      <c r="K1017" t="s">
        <v>1358</v>
      </c>
      <c r="L1017" t="s">
        <v>1358</v>
      </c>
    </row>
    <row r="1018" spans="1:14">
      <c r="A1018" t="s">
        <v>6270</v>
      </c>
      <c r="B1018">
        <f>HYPERLINK("https://github.com/pmd/pmd/commit/e8a6c1e38ddb80262c565d59e04495a50145c82f", "e8a6c1e38ddb80262c565d59e04495a50145c82f")</f>
        <v>0</v>
      </c>
      <c r="C1018">
        <f>HYPERLINK("https://github.com/pmd/pmd/commit/d9d07978cab508b460c49b073d9d8d393ce9e1a1", "d9d07978cab508b460c49b073d9d8d393ce9e1a1")</f>
        <v>0</v>
      </c>
      <c r="D1018" t="s">
        <v>6499</v>
      </c>
      <c r="E1018" t="s">
        <v>6726</v>
      </c>
      <c r="F1018" t="s">
        <v>7353</v>
      </c>
      <c r="G1018" t="s">
        <v>8049</v>
      </c>
      <c r="H1018" t="s">
        <v>8806</v>
      </c>
      <c r="I1018" t="s">
        <v>1358</v>
      </c>
      <c r="J1018" t="s">
        <v>1358</v>
      </c>
      <c r="K1018" t="s">
        <v>1358</v>
      </c>
      <c r="L1018" t="s">
        <v>1358</v>
      </c>
    </row>
    <row r="1019" spans="1:14">
      <c r="F1019" t="s">
        <v>7354</v>
      </c>
      <c r="G1019" t="s">
        <v>8050</v>
      </c>
      <c r="H1019" t="s">
        <v>8807</v>
      </c>
      <c r="I1019" t="s">
        <v>1358</v>
      </c>
      <c r="J1019" t="s">
        <v>1358</v>
      </c>
      <c r="K1019" t="s">
        <v>1358</v>
      </c>
      <c r="L1019" t="s">
        <v>1358</v>
      </c>
      <c r="N1019" t="s">
        <v>6060</v>
      </c>
    </row>
    <row r="1020" spans="1:14">
      <c r="A1020" t="s">
        <v>6271</v>
      </c>
      <c r="B1020">
        <f>HYPERLINK("https://github.com/pmd/pmd/commit/de9c2b0e3ae70f755a4746debac2c01636204af1", "de9c2b0e3ae70f755a4746debac2c01636204af1")</f>
        <v>0</v>
      </c>
      <c r="C1020">
        <f>HYPERLINK("https://github.com/pmd/pmd/commit/265767e86fd9f113b51026bbf0cc7ddf0cf9ca91", "265767e86fd9f113b51026bbf0cc7ddf0cf9ca91")</f>
        <v>0</v>
      </c>
      <c r="D1020" t="s">
        <v>6498</v>
      </c>
      <c r="E1020" t="s">
        <v>6727</v>
      </c>
      <c r="F1020" t="s">
        <v>7040</v>
      </c>
      <c r="G1020" t="s">
        <v>7786</v>
      </c>
      <c r="H1020" t="s">
        <v>8808</v>
      </c>
      <c r="I1020" t="s">
        <v>1358</v>
      </c>
      <c r="J1020" t="s">
        <v>1358</v>
      </c>
      <c r="K1020" t="s">
        <v>1358</v>
      </c>
      <c r="L1020" t="s">
        <v>1358</v>
      </c>
    </row>
    <row r="1021" spans="1:14">
      <c r="H1021" t="s">
        <v>8809</v>
      </c>
      <c r="I1021" t="s">
        <v>1358</v>
      </c>
      <c r="J1021" t="s">
        <v>1358</v>
      </c>
      <c r="K1021" t="s">
        <v>1358</v>
      </c>
      <c r="L1021" t="s">
        <v>1358</v>
      </c>
    </row>
    <row r="1022" spans="1:14">
      <c r="H1022" t="s">
        <v>8810</v>
      </c>
      <c r="I1022" t="s">
        <v>1358</v>
      </c>
      <c r="J1022" t="s">
        <v>1358</v>
      </c>
      <c r="K1022" t="s">
        <v>1358</v>
      </c>
      <c r="L1022" t="s">
        <v>1358</v>
      </c>
    </row>
    <row r="1023" spans="1:14">
      <c r="A1023" t="s">
        <v>6272</v>
      </c>
      <c r="B1023">
        <f>HYPERLINK("https://github.com/pmd/pmd/commit/7c6f11dd076225fc7acf90cb327e27da85f7c4d0", "7c6f11dd076225fc7acf90cb327e27da85f7c4d0")</f>
        <v>0</v>
      </c>
      <c r="C1023">
        <f>HYPERLINK("https://github.com/pmd/pmd/commit/157d89fa809b3a1258331a27bc25869407f46b84", "157d89fa809b3a1258331a27bc25869407f46b84")</f>
        <v>0</v>
      </c>
      <c r="D1023" t="s">
        <v>6501</v>
      </c>
      <c r="E1023" t="s">
        <v>6728</v>
      </c>
      <c r="F1023" t="s">
        <v>6977</v>
      </c>
      <c r="G1023" t="s">
        <v>7724</v>
      </c>
      <c r="H1023" t="s">
        <v>8355</v>
      </c>
      <c r="I1023" t="s">
        <v>1357</v>
      </c>
      <c r="J1023" t="s">
        <v>1357</v>
      </c>
      <c r="K1023" t="s">
        <v>1357</v>
      </c>
      <c r="L1023" t="s">
        <v>1357</v>
      </c>
    </row>
    <row r="1024" spans="1:14">
      <c r="A1024" t="s">
        <v>6273</v>
      </c>
      <c r="B1024">
        <f>HYPERLINK("https://github.com/pmd/pmd/commit/61070bc9cf24651888d1534f020ca9868b7f8fee", "61070bc9cf24651888d1534f020ca9868b7f8fee")</f>
        <v>0</v>
      </c>
      <c r="C1024">
        <f>HYPERLINK("https://github.com/pmd/pmd/commit/7c6f11dd076225fc7acf90cb327e27da85f7c4d0", "7c6f11dd076225fc7acf90cb327e27da85f7c4d0")</f>
        <v>0</v>
      </c>
      <c r="D1024" t="s">
        <v>6501</v>
      </c>
      <c r="E1024" t="s">
        <v>6729</v>
      </c>
      <c r="F1024" t="s">
        <v>7355</v>
      </c>
      <c r="G1024" t="s">
        <v>8051</v>
      </c>
      <c r="H1024" t="s">
        <v>8811</v>
      </c>
      <c r="I1024" t="s">
        <v>1357</v>
      </c>
      <c r="J1024" t="s">
        <v>1357</v>
      </c>
      <c r="K1024" t="s">
        <v>1357</v>
      </c>
      <c r="L1024" t="s">
        <v>1357</v>
      </c>
      <c r="M1024" t="s">
        <v>1360</v>
      </c>
      <c r="N1024" t="s">
        <v>9948</v>
      </c>
    </row>
    <row r="1025" spans="1:14">
      <c r="A1025" t="s">
        <v>6274</v>
      </c>
      <c r="B1025">
        <f>HYPERLINK("https://github.com/pmd/pmd/commit/bfa41bb6cd708b5670f112312e68fb073a4ea18c", "bfa41bb6cd708b5670f112312e68fb073a4ea18c")</f>
        <v>0</v>
      </c>
      <c r="C1025">
        <f>HYPERLINK("https://github.com/pmd/pmd/commit/3e984b12209f3ed84b6237ef4b194f1a4f1a69bf", "3e984b12209f3ed84b6237ef4b194f1a4f1a69bf")</f>
        <v>0</v>
      </c>
      <c r="D1025" t="s">
        <v>6501</v>
      </c>
      <c r="E1025" t="s">
        <v>6730</v>
      </c>
      <c r="F1025" t="s">
        <v>7356</v>
      </c>
      <c r="G1025" t="s">
        <v>8052</v>
      </c>
      <c r="H1025" t="s">
        <v>8811</v>
      </c>
      <c r="I1025" t="s">
        <v>1357</v>
      </c>
      <c r="J1025" t="s">
        <v>1357</v>
      </c>
      <c r="K1025" t="s">
        <v>1357</v>
      </c>
      <c r="L1025" t="s">
        <v>1357</v>
      </c>
      <c r="M1025" t="s">
        <v>1360</v>
      </c>
      <c r="N1025" t="s">
        <v>9948</v>
      </c>
    </row>
    <row r="1026" spans="1:14">
      <c r="A1026" t="s">
        <v>6275</v>
      </c>
      <c r="B1026">
        <f>HYPERLINK("https://github.com/pmd/pmd/commit/2eb9de0c30f6c436ecea393c52272193554c003a", "2eb9de0c30f6c436ecea393c52272193554c003a")</f>
        <v>0</v>
      </c>
      <c r="C1026">
        <f>HYPERLINK("https://github.com/pmd/pmd/commit/51bdf6faf4ae8ef56e16df40c14fafa1b43c838c", "51bdf6faf4ae8ef56e16df40c14fafa1b43c838c")</f>
        <v>0</v>
      </c>
      <c r="D1026" t="s">
        <v>6499</v>
      </c>
      <c r="E1026" t="s">
        <v>6731</v>
      </c>
      <c r="F1026" t="s">
        <v>6977</v>
      </c>
      <c r="G1026" t="s">
        <v>7724</v>
      </c>
      <c r="H1026" t="s">
        <v>8812</v>
      </c>
      <c r="I1026" t="s">
        <v>1359</v>
      </c>
      <c r="J1026" t="s">
        <v>1357</v>
      </c>
      <c r="K1026" t="s">
        <v>1357</v>
      </c>
      <c r="L1026" t="s">
        <v>1358</v>
      </c>
      <c r="N1026" t="s">
        <v>9949</v>
      </c>
    </row>
    <row r="1027" spans="1:14">
      <c r="F1027" t="s">
        <v>7357</v>
      </c>
      <c r="G1027" t="s">
        <v>8053</v>
      </c>
      <c r="H1027" t="s">
        <v>8813</v>
      </c>
      <c r="I1027" t="s">
        <v>1359</v>
      </c>
      <c r="J1027" t="s">
        <v>1357</v>
      </c>
      <c r="K1027" t="s">
        <v>1357</v>
      </c>
      <c r="L1027" t="s">
        <v>1358</v>
      </c>
      <c r="N1027" t="s">
        <v>9949</v>
      </c>
    </row>
    <row r="1028" spans="1:14">
      <c r="H1028" t="s">
        <v>8814</v>
      </c>
      <c r="I1028" t="s">
        <v>1359</v>
      </c>
      <c r="J1028" t="s">
        <v>1357</v>
      </c>
      <c r="K1028" t="s">
        <v>1357</v>
      </c>
      <c r="L1028" t="s">
        <v>1358</v>
      </c>
      <c r="N1028" t="s">
        <v>9949</v>
      </c>
    </row>
    <row r="1029" spans="1:14">
      <c r="H1029" t="s">
        <v>8815</v>
      </c>
      <c r="I1029" t="s">
        <v>1359</v>
      </c>
      <c r="J1029" t="s">
        <v>1357</v>
      </c>
      <c r="K1029" t="s">
        <v>1357</v>
      </c>
      <c r="L1029" t="s">
        <v>1358</v>
      </c>
      <c r="N1029" t="s">
        <v>9949</v>
      </c>
    </row>
    <row r="1030" spans="1:14">
      <c r="H1030" t="s">
        <v>8816</v>
      </c>
      <c r="I1030" t="s">
        <v>1359</v>
      </c>
      <c r="J1030" t="s">
        <v>1357</v>
      </c>
      <c r="K1030" t="s">
        <v>1357</v>
      </c>
      <c r="L1030" t="s">
        <v>1358</v>
      </c>
      <c r="N1030" t="s">
        <v>9949</v>
      </c>
    </row>
    <row r="1031" spans="1:14">
      <c r="H1031" t="s">
        <v>8817</v>
      </c>
      <c r="I1031" t="s">
        <v>1359</v>
      </c>
      <c r="J1031" t="s">
        <v>1357</v>
      </c>
      <c r="K1031" t="s">
        <v>1357</v>
      </c>
      <c r="L1031" t="s">
        <v>1358</v>
      </c>
      <c r="N1031" t="s">
        <v>9949</v>
      </c>
    </row>
    <row r="1032" spans="1:14">
      <c r="H1032" t="s">
        <v>8818</v>
      </c>
      <c r="I1032" t="s">
        <v>1359</v>
      </c>
      <c r="J1032" t="s">
        <v>1357</v>
      </c>
      <c r="K1032" t="s">
        <v>1357</v>
      </c>
      <c r="L1032" t="s">
        <v>1358</v>
      </c>
      <c r="N1032" t="s">
        <v>9949</v>
      </c>
    </row>
    <row r="1033" spans="1:14">
      <c r="A1033" t="s">
        <v>6276</v>
      </c>
      <c r="B1033">
        <f>HYPERLINK("https://github.com/pmd/pmd/commit/58b243e8302d219dd8a53c090757247f5aeb16e9", "58b243e8302d219dd8a53c090757247f5aeb16e9")</f>
        <v>0</v>
      </c>
      <c r="C1033">
        <f>HYPERLINK("https://github.com/pmd/pmd/commit/1998af1a13960cc8ab25fc29b33d09d1b10afbc7", "1998af1a13960cc8ab25fc29b33d09d1b10afbc7")</f>
        <v>0</v>
      </c>
      <c r="D1033" t="s">
        <v>6500</v>
      </c>
      <c r="E1033" t="s">
        <v>6732</v>
      </c>
      <c r="F1033" t="s">
        <v>7358</v>
      </c>
      <c r="G1033" t="s">
        <v>8054</v>
      </c>
      <c r="H1033" t="s">
        <v>8819</v>
      </c>
      <c r="I1033" t="s">
        <v>1358</v>
      </c>
      <c r="J1033" t="s">
        <v>1358</v>
      </c>
      <c r="K1033" t="s">
        <v>1358</v>
      </c>
      <c r="L1033" t="s">
        <v>1358</v>
      </c>
      <c r="N1033" t="s">
        <v>9950</v>
      </c>
    </row>
    <row r="1034" spans="1:14">
      <c r="H1034" t="s">
        <v>8820</v>
      </c>
      <c r="I1034" t="s">
        <v>1359</v>
      </c>
      <c r="J1034" t="s">
        <v>1357</v>
      </c>
      <c r="K1034" t="s">
        <v>1357</v>
      </c>
      <c r="L1034" t="s">
        <v>1358</v>
      </c>
      <c r="N1034" t="s">
        <v>9950</v>
      </c>
    </row>
    <row r="1035" spans="1:14">
      <c r="A1035" t="s">
        <v>6277</v>
      </c>
      <c r="B1035">
        <f>HYPERLINK("https://github.com/pmd/pmd/commit/6265940d566f9346c33c6c8978690c038078bccc", "6265940d566f9346c33c6c8978690c038078bccc")</f>
        <v>0</v>
      </c>
      <c r="C1035">
        <f>HYPERLINK("https://github.com/pmd/pmd/commit/5f847aa32d5eabe0892bc1ad3e2411c53488e181", "5f847aa32d5eabe0892bc1ad3e2411c53488e181")</f>
        <v>0</v>
      </c>
      <c r="D1035" t="s">
        <v>6498</v>
      </c>
      <c r="E1035" t="s">
        <v>6733</v>
      </c>
      <c r="F1035" t="s">
        <v>7359</v>
      </c>
      <c r="G1035" t="s">
        <v>7827</v>
      </c>
      <c r="H1035" t="s">
        <v>8821</v>
      </c>
      <c r="I1035" t="s">
        <v>1358</v>
      </c>
      <c r="J1035" t="s">
        <v>1358</v>
      </c>
      <c r="K1035" t="s">
        <v>1358</v>
      </c>
      <c r="L1035" t="s">
        <v>1358</v>
      </c>
      <c r="N1035" t="s">
        <v>1363</v>
      </c>
    </row>
    <row r="1036" spans="1:14">
      <c r="A1036" t="s">
        <v>6278</v>
      </c>
      <c r="B1036">
        <f>HYPERLINK("https://github.com/pmd/pmd/commit/d1cb839b37a426cc61f02455fa36c9d6369fc12b", "d1cb839b37a426cc61f02455fa36c9d6369fc12b")</f>
        <v>0</v>
      </c>
      <c r="C1036">
        <f>HYPERLINK("https://github.com/pmd/pmd/commit/11bbd666aeff3de8a830dfd435af2f3a44eccba3", "11bbd666aeff3de8a830dfd435af2f3a44eccba3")</f>
        <v>0</v>
      </c>
      <c r="D1036" t="s">
        <v>6499</v>
      </c>
      <c r="E1036" t="s">
        <v>6734</v>
      </c>
      <c r="F1036" t="s">
        <v>7354</v>
      </c>
      <c r="G1036" t="s">
        <v>8050</v>
      </c>
      <c r="H1036" t="s">
        <v>8822</v>
      </c>
      <c r="I1036" t="s">
        <v>1358</v>
      </c>
      <c r="J1036" t="s">
        <v>1358</v>
      </c>
      <c r="K1036" t="s">
        <v>1358</v>
      </c>
      <c r="L1036" t="s">
        <v>1358</v>
      </c>
    </row>
    <row r="1037" spans="1:14">
      <c r="A1037" t="s">
        <v>6279</v>
      </c>
      <c r="B1037">
        <f>HYPERLINK("https://github.com/pmd/pmd/commit/302e38ba8d1ab76a5235ac8c0a4c6dd2b9f6b75d", "302e38ba8d1ab76a5235ac8c0a4c6dd2b9f6b75d")</f>
        <v>0</v>
      </c>
      <c r="C1037">
        <f>HYPERLINK("https://github.com/pmd/pmd/commit/c1f5d18669b6e911e2b995e0c520b710cfd453fc", "c1f5d18669b6e911e2b995e0c520b710cfd453fc")</f>
        <v>0</v>
      </c>
      <c r="D1037" t="s">
        <v>6499</v>
      </c>
      <c r="E1037" t="s">
        <v>6735</v>
      </c>
      <c r="F1037" t="s">
        <v>6977</v>
      </c>
      <c r="G1037" t="s">
        <v>7724</v>
      </c>
      <c r="H1037" t="s">
        <v>8823</v>
      </c>
      <c r="I1037" t="s">
        <v>1357</v>
      </c>
      <c r="J1037" t="s">
        <v>1357</v>
      </c>
      <c r="K1037" t="s">
        <v>1357</v>
      </c>
      <c r="L1037" t="s">
        <v>1357</v>
      </c>
    </row>
    <row r="1038" spans="1:14">
      <c r="A1038" t="s">
        <v>6280</v>
      </c>
      <c r="B1038">
        <f>HYPERLINK("https://github.com/pmd/pmd/commit/d1e9e44fda275d856140e99118af57b9b3e372ef", "d1e9e44fda275d856140e99118af57b9b3e372ef")</f>
        <v>0</v>
      </c>
      <c r="C1038">
        <f>HYPERLINK("https://github.com/pmd/pmd/commit/b9e32ef88fef3f29a179935bb330c3d3a8fda31d", "b9e32ef88fef3f29a179935bb330c3d3a8fda31d")</f>
        <v>0</v>
      </c>
      <c r="D1038" t="s">
        <v>6499</v>
      </c>
      <c r="E1038" t="s">
        <v>6736</v>
      </c>
      <c r="F1038" t="s">
        <v>7354</v>
      </c>
      <c r="G1038" t="s">
        <v>8050</v>
      </c>
      <c r="H1038" t="s">
        <v>8824</v>
      </c>
      <c r="I1038" t="s">
        <v>1357</v>
      </c>
      <c r="J1038" t="s">
        <v>1357</v>
      </c>
      <c r="K1038" t="s">
        <v>1357</v>
      </c>
      <c r="L1038" t="s">
        <v>1357</v>
      </c>
    </row>
    <row r="1039" spans="1:14">
      <c r="F1039" t="s">
        <v>7016</v>
      </c>
      <c r="G1039" t="s">
        <v>7762</v>
      </c>
      <c r="H1039" t="s">
        <v>8825</v>
      </c>
      <c r="I1039" t="s">
        <v>1358</v>
      </c>
      <c r="J1039" t="s">
        <v>1358</v>
      </c>
      <c r="K1039" t="s">
        <v>1358</v>
      </c>
      <c r="L1039" t="s">
        <v>1358</v>
      </c>
      <c r="N1039" t="s">
        <v>1374</v>
      </c>
    </row>
    <row r="1040" spans="1:14">
      <c r="A1040" t="s">
        <v>6281</v>
      </c>
      <c r="B1040">
        <f>HYPERLINK("https://github.com/pmd/pmd/commit/fb1b6cc6302db185dfbc08e39505050c25b63412", "fb1b6cc6302db185dfbc08e39505050c25b63412")</f>
        <v>0</v>
      </c>
      <c r="C1040">
        <f>HYPERLINK("https://github.com/pmd/pmd/commit/90bbf701a5def6c18567f0b2f57849ca92762a15", "90bbf701a5def6c18567f0b2f57849ca92762a15")</f>
        <v>0</v>
      </c>
      <c r="D1040" t="s">
        <v>6499</v>
      </c>
      <c r="E1040" t="s">
        <v>6737</v>
      </c>
      <c r="F1040" t="s">
        <v>7360</v>
      </c>
      <c r="G1040" t="s">
        <v>8055</v>
      </c>
      <c r="H1040" t="s">
        <v>8378</v>
      </c>
      <c r="I1040" t="s">
        <v>1357</v>
      </c>
      <c r="J1040" t="s">
        <v>1357</v>
      </c>
      <c r="K1040" t="s">
        <v>1357</v>
      </c>
      <c r="L1040" t="s">
        <v>1357</v>
      </c>
    </row>
    <row r="1041" spans="1:14">
      <c r="A1041" t="s">
        <v>6282</v>
      </c>
      <c r="B1041">
        <f>HYPERLINK("https://github.com/pmd/pmd/commit/9aa14a07c82fe0f7cd442ffdee60499b93ad8b47", "9aa14a07c82fe0f7cd442ffdee60499b93ad8b47")</f>
        <v>0</v>
      </c>
      <c r="C1041">
        <f>HYPERLINK("https://github.com/pmd/pmd/commit/9ebf4a0f527b8ca6cc200cd62d364a55640471df", "9ebf4a0f527b8ca6cc200cd62d364a55640471df")</f>
        <v>0</v>
      </c>
      <c r="D1041" t="s">
        <v>6499</v>
      </c>
      <c r="E1041" t="s">
        <v>6738</v>
      </c>
      <c r="F1041" t="s">
        <v>7018</v>
      </c>
      <c r="G1041" t="s">
        <v>7764</v>
      </c>
      <c r="H1041" t="s">
        <v>8826</v>
      </c>
      <c r="I1041" t="s">
        <v>1357</v>
      </c>
      <c r="J1041" t="s">
        <v>1357</v>
      </c>
      <c r="K1041" t="s">
        <v>1357</v>
      </c>
      <c r="L1041" t="s">
        <v>1357</v>
      </c>
    </row>
    <row r="1042" spans="1:14">
      <c r="F1042" t="s">
        <v>7361</v>
      </c>
      <c r="G1042" t="s">
        <v>8056</v>
      </c>
      <c r="H1042" t="s">
        <v>8827</v>
      </c>
      <c r="I1042" t="s">
        <v>1357</v>
      </c>
      <c r="J1042" t="s">
        <v>1357</v>
      </c>
      <c r="K1042" t="s">
        <v>1357</v>
      </c>
      <c r="L1042" t="s">
        <v>1357</v>
      </c>
    </row>
    <row r="1043" spans="1:14">
      <c r="H1043" t="s">
        <v>8828</v>
      </c>
      <c r="I1043" t="s">
        <v>1357</v>
      </c>
      <c r="J1043" t="s">
        <v>1357</v>
      </c>
      <c r="K1043" t="s">
        <v>1357</v>
      </c>
      <c r="L1043" t="s">
        <v>1357</v>
      </c>
    </row>
    <row r="1044" spans="1:14">
      <c r="H1044" t="s">
        <v>8829</v>
      </c>
      <c r="I1044" t="s">
        <v>1357</v>
      </c>
      <c r="J1044" t="s">
        <v>1357</v>
      </c>
      <c r="K1044" t="s">
        <v>1357</v>
      </c>
      <c r="L1044" t="s">
        <v>1357</v>
      </c>
    </row>
    <row r="1045" spans="1:14">
      <c r="H1045" t="s">
        <v>8830</v>
      </c>
      <c r="I1045" t="s">
        <v>1357</v>
      </c>
      <c r="J1045" t="s">
        <v>1357</v>
      </c>
      <c r="K1045" t="s">
        <v>1357</v>
      </c>
      <c r="L1045" t="s">
        <v>1357</v>
      </c>
    </row>
    <row r="1046" spans="1:14">
      <c r="H1046" t="s">
        <v>8831</v>
      </c>
      <c r="I1046" t="s">
        <v>1357</v>
      </c>
      <c r="J1046" t="s">
        <v>1357</v>
      </c>
      <c r="K1046" t="s">
        <v>1357</v>
      </c>
      <c r="L1046" t="s">
        <v>1357</v>
      </c>
    </row>
    <row r="1047" spans="1:14">
      <c r="H1047" t="s">
        <v>8832</v>
      </c>
      <c r="I1047" t="s">
        <v>1357</v>
      </c>
      <c r="J1047" t="s">
        <v>1357</v>
      </c>
      <c r="K1047" t="s">
        <v>1357</v>
      </c>
      <c r="L1047" t="s">
        <v>1357</v>
      </c>
    </row>
    <row r="1048" spans="1:14">
      <c r="H1048" t="s">
        <v>8833</v>
      </c>
      <c r="I1048" t="s">
        <v>1357</v>
      </c>
      <c r="J1048" t="s">
        <v>1357</v>
      </c>
      <c r="K1048" t="s">
        <v>1357</v>
      </c>
      <c r="L1048" t="s">
        <v>1357</v>
      </c>
    </row>
    <row r="1049" spans="1:14">
      <c r="H1049" t="s">
        <v>8834</v>
      </c>
      <c r="I1049" t="s">
        <v>1357</v>
      </c>
      <c r="J1049" t="s">
        <v>1357</v>
      </c>
      <c r="K1049" t="s">
        <v>1357</v>
      </c>
      <c r="L1049" t="s">
        <v>1357</v>
      </c>
    </row>
    <row r="1050" spans="1:14">
      <c r="A1050" t="s">
        <v>6283</v>
      </c>
      <c r="B1050">
        <f>HYPERLINK("https://github.com/pmd/pmd/commit/482e804fd8a28387ae3214dd52167119b1d985c6", "482e804fd8a28387ae3214dd52167119b1d985c6")</f>
        <v>0</v>
      </c>
      <c r="C1050">
        <f>HYPERLINK("https://github.com/pmd/pmd/commit/be4d3dd6b46e284cbe840fce7a2bb0aa5dab8da2", "be4d3dd6b46e284cbe840fce7a2bb0aa5dab8da2")</f>
        <v>0</v>
      </c>
      <c r="D1050" t="s">
        <v>6499</v>
      </c>
      <c r="E1050" t="s">
        <v>6739</v>
      </c>
      <c r="F1050" t="s">
        <v>7362</v>
      </c>
      <c r="G1050" t="s">
        <v>8057</v>
      </c>
      <c r="H1050" t="s">
        <v>8378</v>
      </c>
      <c r="I1050" t="s">
        <v>1357</v>
      </c>
      <c r="J1050" t="s">
        <v>1357</v>
      </c>
      <c r="K1050" t="s">
        <v>1357</v>
      </c>
      <c r="L1050" t="s">
        <v>1357</v>
      </c>
      <c r="N1050" t="s">
        <v>9951</v>
      </c>
    </row>
    <row r="1051" spans="1:14">
      <c r="H1051" t="s">
        <v>8835</v>
      </c>
      <c r="I1051" t="s">
        <v>1357</v>
      </c>
      <c r="J1051" t="s">
        <v>1357</v>
      </c>
      <c r="K1051" t="s">
        <v>1357</v>
      </c>
      <c r="L1051" t="s">
        <v>1357</v>
      </c>
    </row>
    <row r="1052" spans="1:14">
      <c r="A1052" t="s">
        <v>6284</v>
      </c>
      <c r="B1052">
        <f>HYPERLINK("https://github.com/pmd/pmd/commit/19dff1d7215557669bc6d995419f7eb6bddabaf6", "19dff1d7215557669bc6d995419f7eb6bddabaf6")</f>
        <v>0</v>
      </c>
      <c r="C1052">
        <f>HYPERLINK("https://github.com/pmd/pmd/commit/85c7c10f33407ca795c8af9d913c742ca2ab0fd4", "85c7c10f33407ca795c8af9d913c742ca2ab0fd4")</f>
        <v>0</v>
      </c>
      <c r="D1052" t="s">
        <v>6500</v>
      </c>
      <c r="E1052" t="s">
        <v>6740</v>
      </c>
      <c r="F1052" t="s">
        <v>7363</v>
      </c>
      <c r="G1052" t="s">
        <v>7830</v>
      </c>
      <c r="H1052" t="s">
        <v>8836</v>
      </c>
      <c r="I1052" t="s">
        <v>1358</v>
      </c>
      <c r="J1052" t="s">
        <v>1358</v>
      </c>
      <c r="K1052" t="s">
        <v>1358</v>
      </c>
      <c r="L1052" t="s">
        <v>1358</v>
      </c>
    </row>
    <row r="1053" spans="1:14">
      <c r="H1053" t="s">
        <v>8837</v>
      </c>
      <c r="I1053" t="s">
        <v>1358</v>
      </c>
      <c r="J1053" t="s">
        <v>1358</v>
      </c>
      <c r="K1053" t="s">
        <v>1358</v>
      </c>
      <c r="L1053" t="s">
        <v>1358</v>
      </c>
      <c r="N1053" t="s">
        <v>9952</v>
      </c>
    </row>
    <row r="1054" spans="1:14">
      <c r="H1054" t="s">
        <v>8838</v>
      </c>
      <c r="I1054" t="s">
        <v>1358</v>
      </c>
      <c r="J1054" t="s">
        <v>1358</v>
      </c>
      <c r="K1054" t="s">
        <v>1358</v>
      </c>
      <c r="L1054" t="s">
        <v>1358</v>
      </c>
      <c r="N1054" t="s">
        <v>9952</v>
      </c>
    </row>
    <row r="1055" spans="1:14">
      <c r="A1055" t="s">
        <v>6285</v>
      </c>
      <c r="B1055">
        <f>HYPERLINK("https://github.com/pmd/pmd/commit/a29cc7ae89a2716ba52f7d1d43a751c63027ac91", "a29cc7ae89a2716ba52f7d1d43a751c63027ac91")</f>
        <v>0</v>
      </c>
      <c r="C1055">
        <f>HYPERLINK("https://github.com/pmd/pmd/commit/90b9a04858802bc2a3361125bc2ae28c9c840ee2", "90b9a04858802bc2a3361125bc2ae28c9c840ee2")</f>
        <v>0</v>
      </c>
      <c r="D1055" t="s">
        <v>6502</v>
      </c>
      <c r="E1055" t="s">
        <v>6741</v>
      </c>
      <c r="F1055" t="s">
        <v>7364</v>
      </c>
      <c r="G1055" t="s">
        <v>8058</v>
      </c>
      <c r="H1055" t="s">
        <v>8839</v>
      </c>
      <c r="I1055" t="s">
        <v>1358</v>
      </c>
      <c r="J1055" t="s">
        <v>1358</v>
      </c>
      <c r="K1055" t="s">
        <v>1358</v>
      </c>
      <c r="L1055" t="s">
        <v>1358</v>
      </c>
    </row>
    <row r="1056" spans="1:14">
      <c r="F1056" t="s">
        <v>7365</v>
      </c>
      <c r="G1056" t="s">
        <v>8059</v>
      </c>
      <c r="H1056" t="s">
        <v>8840</v>
      </c>
      <c r="I1056" t="s">
        <v>1358</v>
      </c>
      <c r="J1056" t="s">
        <v>1358</v>
      </c>
      <c r="K1056" t="s">
        <v>1358</v>
      </c>
      <c r="L1056" t="s">
        <v>1358</v>
      </c>
    </row>
    <row r="1057" spans="1:14">
      <c r="H1057" t="s">
        <v>8841</v>
      </c>
      <c r="I1057" t="s">
        <v>1357</v>
      </c>
      <c r="J1057" t="s">
        <v>1357</v>
      </c>
      <c r="K1057" t="s">
        <v>1357</v>
      </c>
      <c r="L1057" t="s">
        <v>1357</v>
      </c>
    </row>
    <row r="1058" spans="1:14">
      <c r="A1058" t="s">
        <v>6286</v>
      </c>
      <c r="B1058">
        <f>HYPERLINK("https://github.com/pmd/pmd/commit/ae375aa8a1e6e4fd85c58c331161826738f4394f", "ae375aa8a1e6e4fd85c58c331161826738f4394f")</f>
        <v>0</v>
      </c>
      <c r="C1058">
        <f>HYPERLINK("https://github.com/pmd/pmd/commit/49b55eb199cc35e1baa237bbb2ab07ae69f0bacc", "49b55eb199cc35e1baa237bbb2ab07ae69f0bacc")</f>
        <v>0</v>
      </c>
      <c r="D1058" t="s">
        <v>6501</v>
      </c>
      <c r="E1058" t="s">
        <v>6742</v>
      </c>
      <c r="F1058" t="s">
        <v>7366</v>
      </c>
      <c r="G1058" t="s">
        <v>8050</v>
      </c>
      <c r="H1058" t="s">
        <v>8842</v>
      </c>
      <c r="I1058" t="s">
        <v>1357</v>
      </c>
      <c r="J1058" t="s">
        <v>1357</v>
      </c>
      <c r="K1058" t="s">
        <v>1357</v>
      </c>
      <c r="L1058" t="s">
        <v>1357</v>
      </c>
      <c r="N1058" t="s">
        <v>9930</v>
      </c>
    </row>
    <row r="1059" spans="1:14">
      <c r="H1059" t="s">
        <v>8843</v>
      </c>
      <c r="I1059" t="s">
        <v>1357</v>
      </c>
      <c r="J1059" t="s">
        <v>1357</v>
      </c>
      <c r="K1059" t="s">
        <v>1357</v>
      </c>
      <c r="L1059" t="s">
        <v>1357</v>
      </c>
      <c r="N1059" t="s">
        <v>9930</v>
      </c>
    </row>
    <row r="1060" spans="1:14">
      <c r="H1060" t="s">
        <v>8844</v>
      </c>
      <c r="I1060" t="s">
        <v>1357</v>
      </c>
      <c r="J1060" t="s">
        <v>1357</v>
      </c>
      <c r="K1060" t="s">
        <v>1357</v>
      </c>
      <c r="L1060" t="s">
        <v>1357</v>
      </c>
      <c r="N1060" t="s">
        <v>9930</v>
      </c>
    </row>
    <row r="1061" spans="1:14">
      <c r="H1061" t="s">
        <v>8845</v>
      </c>
      <c r="I1061" t="s">
        <v>1357</v>
      </c>
      <c r="J1061" t="s">
        <v>1357</v>
      </c>
      <c r="K1061" t="s">
        <v>1357</v>
      </c>
      <c r="L1061" t="s">
        <v>1357</v>
      </c>
      <c r="N1061" t="s">
        <v>9930</v>
      </c>
    </row>
    <row r="1062" spans="1:14">
      <c r="H1062" t="s">
        <v>8846</v>
      </c>
      <c r="I1062" t="s">
        <v>1357</v>
      </c>
      <c r="J1062" t="s">
        <v>1357</v>
      </c>
      <c r="K1062" t="s">
        <v>1357</v>
      </c>
      <c r="L1062" t="s">
        <v>1357</v>
      </c>
      <c r="N1062" t="s">
        <v>9930</v>
      </c>
    </row>
    <row r="1063" spans="1:14">
      <c r="H1063" t="s">
        <v>8847</v>
      </c>
      <c r="I1063" t="s">
        <v>1357</v>
      </c>
      <c r="J1063" t="s">
        <v>1357</v>
      </c>
      <c r="K1063" t="s">
        <v>1357</v>
      </c>
      <c r="L1063" t="s">
        <v>1357</v>
      </c>
      <c r="N1063" t="s">
        <v>9930</v>
      </c>
    </row>
    <row r="1064" spans="1:14">
      <c r="H1064" t="s">
        <v>8848</v>
      </c>
      <c r="I1064" t="s">
        <v>1357</v>
      </c>
      <c r="J1064" t="s">
        <v>1357</v>
      </c>
      <c r="K1064" t="s">
        <v>1357</v>
      </c>
      <c r="L1064" t="s">
        <v>1357</v>
      </c>
      <c r="N1064" t="s">
        <v>9930</v>
      </c>
    </row>
    <row r="1065" spans="1:14">
      <c r="H1065" t="s">
        <v>8849</v>
      </c>
      <c r="I1065" t="s">
        <v>1357</v>
      </c>
      <c r="J1065" t="s">
        <v>1357</v>
      </c>
      <c r="K1065" t="s">
        <v>1357</v>
      </c>
      <c r="L1065" t="s">
        <v>1357</v>
      </c>
      <c r="N1065" t="s">
        <v>9930</v>
      </c>
    </row>
    <row r="1066" spans="1:14">
      <c r="H1066" t="s">
        <v>8850</v>
      </c>
      <c r="I1066" t="s">
        <v>1357</v>
      </c>
      <c r="J1066" t="s">
        <v>1357</v>
      </c>
      <c r="K1066" t="s">
        <v>1357</v>
      </c>
      <c r="L1066" t="s">
        <v>1357</v>
      </c>
      <c r="N1066" t="s">
        <v>9930</v>
      </c>
    </row>
    <row r="1067" spans="1:14">
      <c r="H1067" t="s">
        <v>8851</v>
      </c>
      <c r="I1067" t="s">
        <v>1357</v>
      </c>
      <c r="J1067" t="s">
        <v>1357</v>
      </c>
      <c r="K1067" t="s">
        <v>1357</v>
      </c>
      <c r="L1067" t="s">
        <v>1357</v>
      </c>
      <c r="N1067" t="s">
        <v>9930</v>
      </c>
    </row>
    <row r="1068" spans="1:14">
      <c r="H1068" t="s">
        <v>8852</v>
      </c>
      <c r="I1068" t="s">
        <v>1357</v>
      </c>
      <c r="J1068" t="s">
        <v>1357</v>
      </c>
      <c r="K1068" t="s">
        <v>1357</v>
      </c>
      <c r="L1068" t="s">
        <v>1357</v>
      </c>
      <c r="N1068" t="s">
        <v>9930</v>
      </c>
    </row>
    <row r="1069" spans="1:14">
      <c r="H1069" t="s">
        <v>8853</v>
      </c>
      <c r="I1069" t="s">
        <v>1357</v>
      </c>
      <c r="J1069" t="s">
        <v>1357</v>
      </c>
      <c r="K1069" t="s">
        <v>1357</v>
      </c>
      <c r="L1069" t="s">
        <v>1357</v>
      </c>
      <c r="N1069" t="s">
        <v>9930</v>
      </c>
    </row>
    <row r="1070" spans="1:14">
      <c r="H1070" t="s">
        <v>8854</v>
      </c>
      <c r="I1070" t="s">
        <v>1357</v>
      </c>
      <c r="J1070" t="s">
        <v>1357</v>
      </c>
      <c r="K1070" t="s">
        <v>1357</v>
      </c>
      <c r="L1070" t="s">
        <v>1357</v>
      </c>
      <c r="N1070" t="s">
        <v>9930</v>
      </c>
    </row>
    <row r="1071" spans="1:14">
      <c r="H1071" t="s">
        <v>8763</v>
      </c>
      <c r="I1071" t="s">
        <v>1357</v>
      </c>
      <c r="J1071" t="s">
        <v>1357</v>
      </c>
      <c r="K1071" t="s">
        <v>1357</v>
      </c>
      <c r="L1071" t="s">
        <v>1357</v>
      </c>
      <c r="N1071" t="s">
        <v>9930</v>
      </c>
    </row>
    <row r="1072" spans="1:14">
      <c r="H1072" t="s">
        <v>8855</v>
      </c>
      <c r="I1072" t="s">
        <v>1357</v>
      </c>
      <c r="J1072" t="s">
        <v>1357</v>
      </c>
      <c r="K1072" t="s">
        <v>1357</v>
      </c>
      <c r="L1072" t="s">
        <v>1357</v>
      </c>
    </row>
    <row r="1073" spans="1:14">
      <c r="H1073" t="s">
        <v>8856</v>
      </c>
      <c r="I1073" t="s">
        <v>1357</v>
      </c>
      <c r="J1073" t="s">
        <v>1357</v>
      </c>
      <c r="K1073" t="s">
        <v>1357</v>
      </c>
      <c r="L1073" t="s">
        <v>1357</v>
      </c>
    </row>
    <row r="1074" spans="1:14">
      <c r="H1074" t="s">
        <v>8857</v>
      </c>
      <c r="I1074" t="s">
        <v>1357</v>
      </c>
      <c r="J1074" t="s">
        <v>1357</v>
      </c>
      <c r="K1074" t="s">
        <v>1357</v>
      </c>
      <c r="L1074" t="s">
        <v>1357</v>
      </c>
      <c r="N1074" t="s">
        <v>9930</v>
      </c>
    </row>
    <row r="1075" spans="1:14">
      <c r="H1075" t="s">
        <v>8858</v>
      </c>
      <c r="I1075" t="s">
        <v>1357</v>
      </c>
      <c r="J1075" t="s">
        <v>1357</v>
      </c>
      <c r="K1075" t="s">
        <v>1357</v>
      </c>
      <c r="L1075" t="s">
        <v>1357</v>
      </c>
      <c r="N1075" t="s">
        <v>9930</v>
      </c>
    </row>
    <row r="1076" spans="1:14">
      <c r="H1076" t="s">
        <v>8859</v>
      </c>
      <c r="I1076" t="s">
        <v>1357</v>
      </c>
      <c r="J1076" t="s">
        <v>1357</v>
      </c>
      <c r="K1076" t="s">
        <v>1357</v>
      </c>
      <c r="L1076" t="s">
        <v>1357</v>
      </c>
      <c r="N1076" t="s">
        <v>9930</v>
      </c>
    </row>
    <row r="1077" spans="1:14">
      <c r="H1077" t="s">
        <v>8860</v>
      </c>
      <c r="I1077" t="s">
        <v>1357</v>
      </c>
      <c r="J1077" t="s">
        <v>1357</v>
      </c>
      <c r="K1077" t="s">
        <v>1357</v>
      </c>
      <c r="L1077" t="s">
        <v>1357</v>
      </c>
      <c r="N1077" t="s">
        <v>9930</v>
      </c>
    </row>
    <row r="1078" spans="1:14">
      <c r="A1078" t="s">
        <v>6287</v>
      </c>
      <c r="B1078">
        <f>HYPERLINK("https://github.com/pmd/pmd/commit/a66133e05385d45fd42c13d80f7c71406f9e2244", "a66133e05385d45fd42c13d80f7c71406f9e2244")</f>
        <v>0</v>
      </c>
      <c r="C1078">
        <f>HYPERLINK("https://github.com/pmd/pmd/commit/a0236ee67f08616c71b1b074ccdd260c4890e333", "a0236ee67f08616c71b1b074ccdd260c4890e333")</f>
        <v>0</v>
      </c>
      <c r="D1078" t="s">
        <v>6503</v>
      </c>
      <c r="E1078" t="s">
        <v>6743</v>
      </c>
      <c r="F1078" t="s">
        <v>7367</v>
      </c>
      <c r="G1078" t="s">
        <v>8060</v>
      </c>
      <c r="H1078" t="s">
        <v>8842</v>
      </c>
      <c r="I1078" t="s">
        <v>1357</v>
      </c>
      <c r="J1078" t="s">
        <v>1357</v>
      </c>
      <c r="K1078" t="s">
        <v>1357</v>
      </c>
      <c r="L1078" t="s">
        <v>1357</v>
      </c>
    </row>
    <row r="1079" spans="1:14">
      <c r="H1079" t="s">
        <v>8843</v>
      </c>
      <c r="I1079" t="s">
        <v>1357</v>
      </c>
      <c r="J1079" t="s">
        <v>1357</v>
      </c>
      <c r="K1079" t="s">
        <v>1357</v>
      </c>
      <c r="L1079" t="s">
        <v>1357</v>
      </c>
    </row>
    <row r="1080" spans="1:14">
      <c r="H1080" t="s">
        <v>8844</v>
      </c>
      <c r="I1080" t="s">
        <v>1357</v>
      </c>
      <c r="J1080" t="s">
        <v>1357</v>
      </c>
      <c r="K1080" t="s">
        <v>1357</v>
      </c>
      <c r="L1080" t="s">
        <v>1357</v>
      </c>
    </row>
    <row r="1081" spans="1:14">
      <c r="H1081" t="s">
        <v>8845</v>
      </c>
      <c r="I1081" t="s">
        <v>1357</v>
      </c>
      <c r="J1081" t="s">
        <v>1357</v>
      </c>
      <c r="K1081" t="s">
        <v>1357</v>
      </c>
      <c r="L1081" t="s">
        <v>1357</v>
      </c>
    </row>
    <row r="1082" spans="1:14">
      <c r="H1082" t="s">
        <v>8846</v>
      </c>
      <c r="I1082" t="s">
        <v>1357</v>
      </c>
      <c r="J1082" t="s">
        <v>1357</v>
      </c>
      <c r="K1082" t="s">
        <v>1357</v>
      </c>
      <c r="L1082" t="s">
        <v>1357</v>
      </c>
    </row>
    <row r="1083" spans="1:14">
      <c r="H1083" t="s">
        <v>8847</v>
      </c>
      <c r="I1083" t="s">
        <v>1357</v>
      </c>
      <c r="J1083" t="s">
        <v>1357</v>
      </c>
      <c r="K1083" t="s">
        <v>1357</v>
      </c>
      <c r="L1083" t="s">
        <v>1357</v>
      </c>
    </row>
    <row r="1084" spans="1:14">
      <c r="H1084" t="s">
        <v>8848</v>
      </c>
      <c r="I1084" t="s">
        <v>1357</v>
      </c>
      <c r="J1084" t="s">
        <v>1357</v>
      </c>
      <c r="K1084" t="s">
        <v>1357</v>
      </c>
      <c r="L1084" t="s">
        <v>1357</v>
      </c>
    </row>
    <row r="1085" spans="1:14">
      <c r="H1085" t="s">
        <v>8849</v>
      </c>
      <c r="I1085" t="s">
        <v>1357</v>
      </c>
      <c r="J1085" t="s">
        <v>1357</v>
      </c>
      <c r="K1085" t="s">
        <v>1357</v>
      </c>
      <c r="L1085" t="s">
        <v>1357</v>
      </c>
    </row>
    <row r="1086" spans="1:14">
      <c r="H1086" t="s">
        <v>8850</v>
      </c>
      <c r="I1086" t="s">
        <v>1357</v>
      </c>
      <c r="J1086" t="s">
        <v>1357</v>
      </c>
      <c r="K1086" t="s">
        <v>1357</v>
      </c>
      <c r="L1086" t="s">
        <v>1357</v>
      </c>
    </row>
    <row r="1087" spans="1:14">
      <c r="H1087" t="s">
        <v>8851</v>
      </c>
      <c r="I1087" t="s">
        <v>1357</v>
      </c>
      <c r="J1087" t="s">
        <v>1357</v>
      </c>
      <c r="K1087" t="s">
        <v>1357</v>
      </c>
      <c r="L1087" t="s">
        <v>1357</v>
      </c>
    </row>
    <row r="1088" spans="1:14">
      <c r="H1088" t="s">
        <v>8852</v>
      </c>
      <c r="I1088" t="s">
        <v>1357</v>
      </c>
      <c r="J1088" t="s">
        <v>1357</v>
      </c>
      <c r="K1088" t="s">
        <v>1357</v>
      </c>
      <c r="L1088" t="s">
        <v>1357</v>
      </c>
    </row>
    <row r="1089" spans="1:14">
      <c r="H1089" t="s">
        <v>8853</v>
      </c>
      <c r="I1089" t="s">
        <v>1357</v>
      </c>
      <c r="J1089" t="s">
        <v>1357</v>
      </c>
      <c r="K1089" t="s">
        <v>1357</v>
      </c>
      <c r="L1089" t="s">
        <v>1357</v>
      </c>
    </row>
    <row r="1090" spans="1:14">
      <c r="H1090" t="s">
        <v>8854</v>
      </c>
      <c r="I1090" t="s">
        <v>1357</v>
      </c>
      <c r="J1090" t="s">
        <v>1357</v>
      </c>
      <c r="K1090" t="s">
        <v>1357</v>
      </c>
      <c r="L1090" t="s">
        <v>1357</v>
      </c>
    </row>
    <row r="1091" spans="1:14">
      <c r="H1091" t="s">
        <v>8763</v>
      </c>
      <c r="I1091" t="s">
        <v>1357</v>
      </c>
      <c r="J1091" t="s">
        <v>1357</v>
      </c>
      <c r="K1091" t="s">
        <v>1357</v>
      </c>
      <c r="L1091" t="s">
        <v>1357</v>
      </c>
    </row>
    <row r="1092" spans="1:14">
      <c r="H1092" t="s">
        <v>8855</v>
      </c>
      <c r="I1092" t="s">
        <v>1357</v>
      </c>
      <c r="J1092" t="s">
        <v>1357</v>
      </c>
      <c r="K1092" t="s">
        <v>1357</v>
      </c>
      <c r="L1092" t="s">
        <v>1357</v>
      </c>
    </row>
    <row r="1093" spans="1:14">
      <c r="H1093" t="s">
        <v>8856</v>
      </c>
      <c r="I1093" t="s">
        <v>1357</v>
      </c>
      <c r="J1093" t="s">
        <v>1357</v>
      </c>
      <c r="K1093" t="s">
        <v>1357</v>
      </c>
      <c r="L1093" t="s">
        <v>1357</v>
      </c>
    </row>
    <row r="1094" spans="1:14">
      <c r="H1094" t="s">
        <v>8857</v>
      </c>
      <c r="I1094" t="s">
        <v>1357</v>
      </c>
      <c r="J1094" t="s">
        <v>1357</v>
      </c>
      <c r="K1094" t="s">
        <v>1357</v>
      </c>
      <c r="L1094" t="s">
        <v>1357</v>
      </c>
    </row>
    <row r="1095" spans="1:14">
      <c r="H1095" t="s">
        <v>8858</v>
      </c>
      <c r="I1095" t="s">
        <v>1357</v>
      </c>
      <c r="J1095" t="s">
        <v>1357</v>
      </c>
      <c r="K1095" t="s">
        <v>1357</v>
      </c>
      <c r="L1095" t="s">
        <v>1357</v>
      </c>
    </row>
    <row r="1096" spans="1:14">
      <c r="H1096" t="s">
        <v>8859</v>
      </c>
      <c r="I1096" t="s">
        <v>1357</v>
      </c>
      <c r="J1096" t="s">
        <v>1357</v>
      </c>
      <c r="K1096" t="s">
        <v>1357</v>
      </c>
      <c r="L1096" t="s">
        <v>1357</v>
      </c>
    </row>
    <row r="1097" spans="1:14">
      <c r="H1097" t="s">
        <v>8860</v>
      </c>
      <c r="I1097" t="s">
        <v>1357</v>
      </c>
      <c r="J1097" t="s">
        <v>1357</v>
      </c>
      <c r="K1097" t="s">
        <v>1357</v>
      </c>
      <c r="L1097" t="s">
        <v>1357</v>
      </c>
    </row>
    <row r="1098" spans="1:14">
      <c r="A1098" t="s">
        <v>6288</v>
      </c>
      <c r="B1098">
        <f>HYPERLINK("https://github.com/pmd/pmd/commit/db05bcb8a7333145860ad6bd6894fc74a7801c3e", "db05bcb8a7333145860ad6bd6894fc74a7801c3e")</f>
        <v>0</v>
      </c>
      <c r="C1098">
        <f>HYPERLINK("https://github.com/pmd/pmd/commit/9954f1d8e16812ad39b3fbf47ddd3c0de574c87e", "9954f1d8e16812ad39b3fbf47ddd3c0de574c87e")</f>
        <v>0</v>
      </c>
      <c r="D1098" t="s">
        <v>6503</v>
      </c>
      <c r="E1098" t="s">
        <v>6744</v>
      </c>
      <c r="F1098" t="s">
        <v>7368</v>
      </c>
      <c r="G1098" t="s">
        <v>8061</v>
      </c>
      <c r="H1098" t="s">
        <v>8861</v>
      </c>
      <c r="I1098" t="s">
        <v>1357</v>
      </c>
      <c r="J1098" t="s">
        <v>1357</v>
      </c>
      <c r="K1098" t="s">
        <v>1357</v>
      </c>
      <c r="L1098" t="s">
        <v>1357</v>
      </c>
    </row>
    <row r="1099" spans="1:14">
      <c r="A1099" t="s">
        <v>6289</v>
      </c>
      <c r="B1099">
        <f>HYPERLINK("https://github.com/pmd/pmd/commit/3ce242c179865d2457c5f3c72fc5a13f755abdaa", "3ce242c179865d2457c5f3c72fc5a13f755abdaa")</f>
        <v>0</v>
      </c>
      <c r="C1099">
        <f>HYPERLINK("https://github.com/pmd/pmd/commit/3bf8eb9d1f40fd6b278bd2baf0adbc712cd6dc85", "3bf8eb9d1f40fd6b278bd2baf0adbc712cd6dc85")</f>
        <v>0</v>
      </c>
      <c r="D1099" t="s">
        <v>6502</v>
      </c>
      <c r="E1099" t="s">
        <v>6745</v>
      </c>
      <c r="F1099" t="s">
        <v>7369</v>
      </c>
      <c r="G1099" t="s">
        <v>8062</v>
      </c>
      <c r="H1099" t="s">
        <v>8862</v>
      </c>
      <c r="I1099" t="s">
        <v>1357</v>
      </c>
      <c r="J1099" t="s">
        <v>1357</v>
      </c>
      <c r="K1099" t="s">
        <v>1357</v>
      </c>
      <c r="L1099" t="s">
        <v>1357</v>
      </c>
      <c r="M1099" t="s">
        <v>1360</v>
      </c>
      <c r="N1099" t="s">
        <v>9953</v>
      </c>
    </row>
    <row r="1100" spans="1:14">
      <c r="A1100" t="s">
        <v>6290</v>
      </c>
      <c r="B1100">
        <f>HYPERLINK("https://github.com/pmd/pmd/commit/5c461b738d128f8e85fd6490df9f28ff6290181a", "5c461b738d128f8e85fd6490df9f28ff6290181a")</f>
        <v>0</v>
      </c>
      <c r="C1100">
        <f>HYPERLINK("https://github.com/pmd/pmd/commit/54f77b9ad4867a476ae4481b6d32752b848a9d97", "54f77b9ad4867a476ae4481b6d32752b848a9d97")</f>
        <v>0</v>
      </c>
      <c r="D1100" t="s">
        <v>6502</v>
      </c>
      <c r="E1100" t="s">
        <v>6746</v>
      </c>
      <c r="F1100" t="s">
        <v>7370</v>
      </c>
      <c r="G1100" t="s">
        <v>7833</v>
      </c>
      <c r="H1100" t="s">
        <v>8862</v>
      </c>
      <c r="I1100" t="s">
        <v>1357</v>
      </c>
      <c r="J1100" t="s">
        <v>1357</v>
      </c>
      <c r="K1100" t="s">
        <v>1357</v>
      </c>
      <c r="L1100" t="s">
        <v>1357</v>
      </c>
    </row>
    <row r="1101" spans="1:14">
      <c r="H1101" t="s">
        <v>8863</v>
      </c>
      <c r="I1101" t="s">
        <v>1357</v>
      </c>
      <c r="J1101" t="s">
        <v>1357</v>
      </c>
      <c r="K1101" t="s">
        <v>1357</v>
      </c>
      <c r="L1101" t="s">
        <v>1357</v>
      </c>
    </row>
    <row r="1102" spans="1:14">
      <c r="A1102" t="s">
        <v>6291</v>
      </c>
      <c r="B1102">
        <f>HYPERLINK("https://github.com/pmd/pmd/commit/9fbaf13bd9916fc62afb3d1ef1b9f368e0bda963", "9fbaf13bd9916fc62afb3d1ef1b9f368e0bda963")</f>
        <v>0</v>
      </c>
      <c r="C1102">
        <f>HYPERLINK("https://github.com/pmd/pmd/commit/64ab7b78e761c8879922fa8e7b68c10b83a958d5", "64ab7b78e761c8879922fa8e7b68c10b83a958d5")</f>
        <v>0</v>
      </c>
      <c r="D1102" t="s">
        <v>6502</v>
      </c>
      <c r="E1102" t="s">
        <v>6747</v>
      </c>
      <c r="F1102" t="s">
        <v>7371</v>
      </c>
      <c r="G1102" t="s">
        <v>8063</v>
      </c>
      <c r="H1102" t="s">
        <v>8802</v>
      </c>
      <c r="I1102" t="s">
        <v>1358</v>
      </c>
      <c r="J1102" t="s">
        <v>1358</v>
      </c>
      <c r="K1102" t="s">
        <v>1358</v>
      </c>
      <c r="L1102" t="s">
        <v>1358</v>
      </c>
    </row>
    <row r="1103" spans="1:14">
      <c r="A1103" t="s">
        <v>6292</v>
      </c>
      <c r="B1103">
        <f>HYPERLINK("https://github.com/pmd/pmd/commit/0f72ff41d93635c23b759942ec7d193c59b13413", "0f72ff41d93635c23b759942ec7d193c59b13413")</f>
        <v>0</v>
      </c>
      <c r="C1103">
        <f>HYPERLINK("https://github.com/pmd/pmd/commit/24c9bb9de98f55520c53efc065a3b2581ad87fbf", "24c9bb9de98f55520c53efc065a3b2581ad87fbf")</f>
        <v>0</v>
      </c>
      <c r="D1103" t="s">
        <v>6502</v>
      </c>
      <c r="E1103" t="s">
        <v>6748</v>
      </c>
      <c r="F1103" t="s">
        <v>7372</v>
      </c>
      <c r="G1103" t="s">
        <v>8064</v>
      </c>
      <c r="H1103" t="s">
        <v>3834</v>
      </c>
      <c r="I1103" t="s">
        <v>1357</v>
      </c>
      <c r="J1103" t="s">
        <v>1357</v>
      </c>
      <c r="K1103" t="s">
        <v>1357</v>
      </c>
      <c r="L1103" t="s">
        <v>1357</v>
      </c>
      <c r="M1103" t="s">
        <v>1360</v>
      </c>
    </row>
    <row r="1104" spans="1:14">
      <c r="F1104" t="s">
        <v>7373</v>
      </c>
      <c r="G1104" t="s">
        <v>8065</v>
      </c>
      <c r="H1104" t="s">
        <v>3834</v>
      </c>
      <c r="I1104" t="s">
        <v>1357</v>
      </c>
      <c r="J1104" t="s">
        <v>1357</v>
      </c>
      <c r="K1104" t="s">
        <v>1357</v>
      </c>
      <c r="L1104" t="s">
        <v>1357</v>
      </c>
      <c r="M1104" t="s">
        <v>1360</v>
      </c>
    </row>
    <row r="1105" spans="6:13">
      <c r="F1105" t="s">
        <v>7374</v>
      </c>
      <c r="G1105" t="s">
        <v>8066</v>
      </c>
      <c r="H1105" t="s">
        <v>3834</v>
      </c>
      <c r="I1105" t="s">
        <v>1357</v>
      </c>
      <c r="J1105" t="s">
        <v>1357</v>
      </c>
      <c r="K1105" t="s">
        <v>1357</v>
      </c>
      <c r="L1105" t="s">
        <v>1357</v>
      </c>
      <c r="M1105" t="s">
        <v>1360</v>
      </c>
    </row>
    <row r="1106" spans="6:13">
      <c r="F1106" t="s">
        <v>7375</v>
      </c>
      <c r="G1106" t="s">
        <v>8067</v>
      </c>
      <c r="H1106" t="s">
        <v>8864</v>
      </c>
      <c r="I1106" t="s">
        <v>1357</v>
      </c>
      <c r="J1106" t="s">
        <v>1357</v>
      </c>
      <c r="K1106" t="s">
        <v>1357</v>
      </c>
      <c r="L1106" t="s">
        <v>1357</v>
      </c>
    </row>
    <row r="1107" spans="6:13">
      <c r="H1107" t="s">
        <v>8865</v>
      </c>
      <c r="I1107" t="s">
        <v>1357</v>
      </c>
      <c r="J1107" t="s">
        <v>1357</v>
      </c>
      <c r="K1107" t="s">
        <v>1357</v>
      </c>
      <c r="L1107" t="s">
        <v>1357</v>
      </c>
    </row>
    <row r="1108" spans="6:13">
      <c r="H1108" t="s">
        <v>8866</v>
      </c>
      <c r="I1108" t="s">
        <v>1357</v>
      </c>
      <c r="J1108" t="s">
        <v>1357</v>
      </c>
      <c r="K1108" t="s">
        <v>1357</v>
      </c>
      <c r="L1108" t="s">
        <v>1357</v>
      </c>
    </row>
    <row r="1109" spans="6:13">
      <c r="H1109" t="s">
        <v>8867</v>
      </c>
      <c r="I1109" t="s">
        <v>1357</v>
      </c>
      <c r="J1109" t="s">
        <v>1357</v>
      </c>
      <c r="K1109" t="s">
        <v>1357</v>
      </c>
      <c r="L1109" t="s">
        <v>1357</v>
      </c>
    </row>
    <row r="1110" spans="6:13">
      <c r="F1110" t="s">
        <v>7376</v>
      </c>
      <c r="G1110" t="s">
        <v>7827</v>
      </c>
      <c r="H1110" t="s">
        <v>8868</v>
      </c>
      <c r="I1110" t="s">
        <v>1357</v>
      </c>
      <c r="J1110" t="s">
        <v>1357</v>
      </c>
      <c r="K1110" t="s">
        <v>1357</v>
      </c>
      <c r="L1110" t="s">
        <v>1357</v>
      </c>
    </row>
    <row r="1111" spans="6:13">
      <c r="H1111" t="s">
        <v>8869</v>
      </c>
      <c r="I1111" t="s">
        <v>1357</v>
      </c>
      <c r="J1111" t="s">
        <v>1357</v>
      </c>
      <c r="K1111" t="s">
        <v>1357</v>
      </c>
      <c r="L1111" t="s">
        <v>1357</v>
      </c>
    </row>
    <row r="1112" spans="6:13">
      <c r="H1112" t="s">
        <v>8870</v>
      </c>
      <c r="I1112" t="s">
        <v>1357</v>
      </c>
      <c r="J1112" t="s">
        <v>1357</v>
      </c>
      <c r="K1112" t="s">
        <v>1357</v>
      </c>
      <c r="L1112" t="s">
        <v>1357</v>
      </c>
    </row>
    <row r="1113" spans="6:13">
      <c r="H1113" t="s">
        <v>8871</v>
      </c>
      <c r="I1113" t="s">
        <v>1357</v>
      </c>
      <c r="J1113" t="s">
        <v>1357</v>
      </c>
      <c r="K1113" t="s">
        <v>1357</v>
      </c>
      <c r="L1113" t="s">
        <v>1357</v>
      </c>
    </row>
    <row r="1114" spans="6:13">
      <c r="F1114" t="s">
        <v>7377</v>
      </c>
      <c r="G1114" t="s">
        <v>8068</v>
      </c>
      <c r="H1114" t="s">
        <v>8872</v>
      </c>
      <c r="I1114" t="s">
        <v>1357</v>
      </c>
      <c r="J1114" t="s">
        <v>1357</v>
      </c>
      <c r="K1114" t="s">
        <v>1357</v>
      </c>
      <c r="L1114" t="s">
        <v>1357</v>
      </c>
    </row>
    <row r="1115" spans="6:13">
      <c r="H1115" t="s">
        <v>8873</v>
      </c>
      <c r="I1115" t="s">
        <v>1357</v>
      </c>
      <c r="J1115" t="s">
        <v>1357</v>
      </c>
      <c r="K1115" t="s">
        <v>1357</v>
      </c>
      <c r="L1115" t="s">
        <v>1357</v>
      </c>
    </row>
    <row r="1116" spans="6:13">
      <c r="H1116" t="s">
        <v>8874</v>
      </c>
      <c r="I1116" t="s">
        <v>1357</v>
      </c>
      <c r="J1116" t="s">
        <v>1357</v>
      </c>
      <c r="K1116" t="s">
        <v>1357</v>
      </c>
      <c r="L1116" t="s">
        <v>1357</v>
      </c>
    </row>
    <row r="1117" spans="6:13">
      <c r="H1117" t="s">
        <v>8875</v>
      </c>
      <c r="I1117" t="s">
        <v>1357</v>
      </c>
      <c r="J1117" t="s">
        <v>1357</v>
      </c>
      <c r="K1117" t="s">
        <v>1357</v>
      </c>
      <c r="L1117" t="s">
        <v>1357</v>
      </c>
    </row>
    <row r="1118" spans="6:13">
      <c r="H1118" t="s">
        <v>8876</v>
      </c>
      <c r="I1118" t="s">
        <v>1357</v>
      </c>
      <c r="J1118" t="s">
        <v>1357</v>
      </c>
      <c r="K1118" t="s">
        <v>1357</v>
      </c>
      <c r="L1118" t="s">
        <v>1357</v>
      </c>
    </row>
    <row r="1119" spans="6:13">
      <c r="H1119" t="s">
        <v>8877</v>
      </c>
      <c r="I1119" t="s">
        <v>1357</v>
      </c>
      <c r="J1119" t="s">
        <v>1357</v>
      </c>
      <c r="K1119" t="s">
        <v>1357</v>
      </c>
      <c r="L1119" t="s">
        <v>1357</v>
      </c>
    </row>
    <row r="1120" spans="6:13">
      <c r="H1120" t="s">
        <v>8878</v>
      </c>
      <c r="I1120" t="s">
        <v>1357</v>
      </c>
      <c r="J1120" t="s">
        <v>1357</v>
      </c>
      <c r="K1120" t="s">
        <v>1357</v>
      </c>
      <c r="L1120" t="s">
        <v>1357</v>
      </c>
    </row>
    <row r="1121" spans="6:12">
      <c r="H1121" t="s">
        <v>8879</v>
      </c>
      <c r="I1121" t="s">
        <v>1357</v>
      </c>
      <c r="J1121" t="s">
        <v>1357</v>
      </c>
      <c r="K1121" t="s">
        <v>1357</v>
      </c>
      <c r="L1121" t="s">
        <v>1357</v>
      </c>
    </row>
    <row r="1122" spans="6:12">
      <c r="H1122" t="s">
        <v>8880</v>
      </c>
      <c r="I1122" t="s">
        <v>1357</v>
      </c>
      <c r="J1122" t="s">
        <v>1357</v>
      </c>
      <c r="K1122" t="s">
        <v>1357</v>
      </c>
      <c r="L1122" t="s">
        <v>1357</v>
      </c>
    </row>
    <row r="1123" spans="6:12">
      <c r="H1123" t="s">
        <v>8881</v>
      </c>
      <c r="I1123" t="s">
        <v>1357</v>
      </c>
      <c r="J1123" t="s">
        <v>1357</v>
      </c>
      <c r="K1123" t="s">
        <v>1357</v>
      </c>
      <c r="L1123" t="s">
        <v>1357</v>
      </c>
    </row>
    <row r="1124" spans="6:12">
      <c r="H1124" t="s">
        <v>8882</v>
      </c>
      <c r="I1124" t="s">
        <v>1357</v>
      </c>
      <c r="J1124" t="s">
        <v>1357</v>
      </c>
      <c r="K1124" t="s">
        <v>1357</v>
      </c>
      <c r="L1124" t="s">
        <v>1357</v>
      </c>
    </row>
    <row r="1125" spans="6:12">
      <c r="H1125" t="s">
        <v>8883</v>
      </c>
      <c r="I1125" t="s">
        <v>1357</v>
      </c>
      <c r="J1125" t="s">
        <v>1357</v>
      </c>
      <c r="K1125" t="s">
        <v>1357</v>
      </c>
      <c r="L1125" t="s">
        <v>1357</v>
      </c>
    </row>
    <row r="1126" spans="6:12">
      <c r="F1126" t="s">
        <v>7378</v>
      </c>
      <c r="G1126" t="s">
        <v>8069</v>
      </c>
      <c r="H1126" t="s">
        <v>8884</v>
      </c>
      <c r="I1126" t="s">
        <v>1357</v>
      </c>
      <c r="J1126" t="s">
        <v>1357</v>
      </c>
      <c r="K1126" t="s">
        <v>1357</v>
      </c>
      <c r="L1126" t="s">
        <v>1357</v>
      </c>
    </row>
    <row r="1127" spans="6:12">
      <c r="H1127" t="s">
        <v>8729</v>
      </c>
      <c r="I1127" t="s">
        <v>1357</v>
      </c>
      <c r="J1127" t="s">
        <v>1357</v>
      </c>
      <c r="K1127" t="s">
        <v>1357</v>
      </c>
      <c r="L1127" t="s">
        <v>1357</v>
      </c>
    </row>
    <row r="1128" spans="6:12">
      <c r="F1128" t="s">
        <v>7379</v>
      </c>
      <c r="G1128" t="s">
        <v>8070</v>
      </c>
      <c r="H1128" t="s">
        <v>8885</v>
      </c>
      <c r="I1128" t="s">
        <v>1357</v>
      </c>
      <c r="J1128" t="s">
        <v>1357</v>
      </c>
      <c r="K1128" t="s">
        <v>1357</v>
      </c>
      <c r="L1128" t="s">
        <v>1357</v>
      </c>
    </row>
    <row r="1129" spans="6:12">
      <c r="H1129" t="s">
        <v>8886</v>
      </c>
      <c r="I1129" t="s">
        <v>1357</v>
      </c>
      <c r="J1129" t="s">
        <v>1357</v>
      </c>
      <c r="K1129" t="s">
        <v>1357</v>
      </c>
      <c r="L1129" t="s">
        <v>1357</v>
      </c>
    </row>
    <row r="1130" spans="6:12">
      <c r="H1130" t="s">
        <v>8887</v>
      </c>
      <c r="I1130" t="s">
        <v>1357</v>
      </c>
      <c r="J1130" t="s">
        <v>1357</v>
      </c>
      <c r="K1130" t="s">
        <v>1357</v>
      </c>
      <c r="L1130" t="s">
        <v>1357</v>
      </c>
    </row>
    <row r="1131" spans="6:12">
      <c r="H1131" t="s">
        <v>8888</v>
      </c>
      <c r="I1131" t="s">
        <v>1357</v>
      </c>
      <c r="J1131" t="s">
        <v>1357</v>
      </c>
      <c r="K1131" t="s">
        <v>1357</v>
      </c>
      <c r="L1131" t="s">
        <v>1357</v>
      </c>
    </row>
    <row r="1132" spans="6:12">
      <c r="F1132" t="s">
        <v>7380</v>
      </c>
      <c r="G1132" t="s">
        <v>8071</v>
      </c>
      <c r="H1132" t="s">
        <v>8889</v>
      </c>
      <c r="I1132" t="s">
        <v>1357</v>
      </c>
      <c r="J1132" t="s">
        <v>1357</v>
      </c>
      <c r="K1132" t="s">
        <v>1357</v>
      </c>
      <c r="L1132" t="s">
        <v>1357</v>
      </c>
    </row>
    <row r="1133" spans="6:12">
      <c r="H1133" t="s">
        <v>8890</v>
      </c>
      <c r="I1133" t="s">
        <v>1357</v>
      </c>
      <c r="J1133" t="s">
        <v>1357</v>
      </c>
      <c r="K1133" t="s">
        <v>1357</v>
      </c>
      <c r="L1133" t="s">
        <v>1357</v>
      </c>
    </row>
    <row r="1134" spans="6:12">
      <c r="H1134" t="s">
        <v>5283</v>
      </c>
      <c r="I1134" t="s">
        <v>1357</v>
      </c>
      <c r="J1134" t="s">
        <v>1357</v>
      </c>
      <c r="K1134" t="s">
        <v>1357</v>
      </c>
      <c r="L1134" t="s">
        <v>1357</v>
      </c>
    </row>
    <row r="1135" spans="6:12">
      <c r="H1135" t="s">
        <v>5209</v>
      </c>
      <c r="I1135" t="s">
        <v>1357</v>
      </c>
      <c r="J1135" t="s">
        <v>1357</v>
      </c>
      <c r="K1135" t="s">
        <v>1357</v>
      </c>
      <c r="L1135" t="s">
        <v>1357</v>
      </c>
    </row>
    <row r="1136" spans="6:12">
      <c r="H1136" t="s">
        <v>8891</v>
      </c>
      <c r="I1136" t="s">
        <v>1357</v>
      </c>
      <c r="J1136" t="s">
        <v>1357</v>
      </c>
      <c r="K1136" t="s">
        <v>1357</v>
      </c>
      <c r="L1136" t="s">
        <v>1357</v>
      </c>
    </row>
    <row r="1137" spans="6:12">
      <c r="H1137" t="s">
        <v>8892</v>
      </c>
      <c r="I1137" t="s">
        <v>1357</v>
      </c>
      <c r="J1137" t="s">
        <v>1357</v>
      </c>
      <c r="K1137" t="s">
        <v>1357</v>
      </c>
      <c r="L1137" t="s">
        <v>1357</v>
      </c>
    </row>
    <row r="1138" spans="6:12">
      <c r="H1138" t="s">
        <v>8893</v>
      </c>
      <c r="I1138" t="s">
        <v>1357</v>
      </c>
      <c r="J1138" t="s">
        <v>1357</v>
      </c>
      <c r="K1138" t="s">
        <v>1357</v>
      </c>
      <c r="L1138" t="s">
        <v>1357</v>
      </c>
    </row>
    <row r="1139" spans="6:12">
      <c r="H1139" t="s">
        <v>8894</v>
      </c>
      <c r="I1139" t="s">
        <v>1357</v>
      </c>
      <c r="J1139" t="s">
        <v>1357</v>
      </c>
      <c r="K1139" t="s">
        <v>1357</v>
      </c>
      <c r="L1139" t="s">
        <v>1357</v>
      </c>
    </row>
    <row r="1140" spans="6:12">
      <c r="H1140" t="s">
        <v>8895</v>
      </c>
      <c r="I1140" t="s">
        <v>1357</v>
      </c>
      <c r="J1140" t="s">
        <v>1357</v>
      </c>
      <c r="K1140" t="s">
        <v>1357</v>
      </c>
      <c r="L1140" t="s">
        <v>1357</v>
      </c>
    </row>
    <row r="1141" spans="6:12">
      <c r="H1141" t="s">
        <v>8896</v>
      </c>
      <c r="I1141" t="s">
        <v>1357</v>
      </c>
      <c r="J1141" t="s">
        <v>1357</v>
      </c>
      <c r="K1141" t="s">
        <v>1357</v>
      </c>
      <c r="L1141" t="s">
        <v>1357</v>
      </c>
    </row>
    <row r="1142" spans="6:12">
      <c r="H1142" t="s">
        <v>8897</v>
      </c>
      <c r="I1142" t="s">
        <v>1357</v>
      </c>
      <c r="J1142" t="s">
        <v>1357</v>
      </c>
      <c r="K1142" t="s">
        <v>1357</v>
      </c>
      <c r="L1142" t="s">
        <v>1357</v>
      </c>
    </row>
    <row r="1143" spans="6:12">
      <c r="F1143" t="s">
        <v>7381</v>
      </c>
      <c r="G1143" t="s">
        <v>8072</v>
      </c>
      <c r="H1143" t="s">
        <v>8898</v>
      </c>
      <c r="I1143" t="s">
        <v>1357</v>
      </c>
      <c r="J1143" t="s">
        <v>1357</v>
      </c>
      <c r="K1143" t="s">
        <v>1357</v>
      </c>
      <c r="L1143" t="s">
        <v>1357</v>
      </c>
    </row>
    <row r="1144" spans="6:12">
      <c r="H1144" t="s">
        <v>8890</v>
      </c>
      <c r="I1144" t="s">
        <v>1357</v>
      </c>
      <c r="J1144" t="s">
        <v>1357</v>
      </c>
      <c r="K1144" t="s">
        <v>1357</v>
      </c>
      <c r="L1144" t="s">
        <v>1357</v>
      </c>
    </row>
    <row r="1145" spans="6:12">
      <c r="H1145" t="s">
        <v>5283</v>
      </c>
      <c r="I1145" t="s">
        <v>1357</v>
      </c>
      <c r="J1145" t="s">
        <v>1357</v>
      </c>
      <c r="K1145" t="s">
        <v>1357</v>
      </c>
      <c r="L1145" t="s">
        <v>1357</v>
      </c>
    </row>
    <row r="1146" spans="6:12">
      <c r="H1146" t="s">
        <v>5209</v>
      </c>
      <c r="I1146" t="s">
        <v>1357</v>
      </c>
      <c r="J1146" t="s">
        <v>1357</v>
      </c>
      <c r="K1146" t="s">
        <v>1357</v>
      </c>
      <c r="L1146" t="s">
        <v>1357</v>
      </c>
    </row>
    <row r="1147" spans="6:12">
      <c r="H1147" t="s">
        <v>8891</v>
      </c>
      <c r="I1147" t="s">
        <v>1357</v>
      </c>
      <c r="J1147" t="s">
        <v>1357</v>
      </c>
      <c r="K1147" t="s">
        <v>1357</v>
      </c>
      <c r="L1147" t="s">
        <v>1357</v>
      </c>
    </row>
    <row r="1148" spans="6:12">
      <c r="H1148" t="s">
        <v>8899</v>
      </c>
      <c r="I1148" t="s">
        <v>1357</v>
      </c>
      <c r="J1148" t="s">
        <v>1357</v>
      </c>
      <c r="K1148" t="s">
        <v>1357</v>
      </c>
      <c r="L1148" t="s">
        <v>1357</v>
      </c>
    </row>
    <row r="1149" spans="6:12">
      <c r="H1149" t="s">
        <v>8900</v>
      </c>
      <c r="I1149" t="s">
        <v>1357</v>
      </c>
      <c r="J1149" t="s">
        <v>1357</v>
      </c>
      <c r="K1149" t="s">
        <v>1357</v>
      </c>
      <c r="L1149" t="s">
        <v>1357</v>
      </c>
    </row>
    <row r="1150" spans="6:12">
      <c r="H1150" t="s">
        <v>8901</v>
      </c>
      <c r="I1150" t="s">
        <v>1357</v>
      </c>
      <c r="J1150" t="s">
        <v>1357</v>
      </c>
      <c r="K1150" t="s">
        <v>1357</v>
      </c>
      <c r="L1150" t="s">
        <v>1357</v>
      </c>
    </row>
    <row r="1151" spans="6:12">
      <c r="H1151" t="s">
        <v>8902</v>
      </c>
      <c r="I1151" t="s">
        <v>1357</v>
      </c>
      <c r="J1151" t="s">
        <v>1357</v>
      </c>
      <c r="K1151" t="s">
        <v>1357</v>
      </c>
      <c r="L1151" t="s">
        <v>1357</v>
      </c>
    </row>
    <row r="1152" spans="6:12">
      <c r="H1152" t="s">
        <v>8892</v>
      </c>
      <c r="I1152" t="s">
        <v>1357</v>
      </c>
      <c r="J1152" t="s">
        <v>1357</v>
      </c>
      <c r="K1152" t="s">
        <v>1357</v>
      </c>
      <c r="L1152" t="s">
        <v>1357</v>
      </c>
    </row>
    <row r="1153" spans="6:12">
      <c r="H1153" t="s">
        <v>8893</v>
      </c>
      <c r="I1153" t="s">
        <v>1357</v>
      </c>
      <c r="J1153" t="s">
        <v>1357</v>
      </c>
      <c r="K1153" t="s">
        <v>1357</v>
      </c>
      <c r="L1153" t="s">
        <v>1357</v>
      </c>
    </row>
    <row r="1154" spans="6:12">
      <c r="H1154" t="s">
        <v>8903</v>
      </c>
      <c r="I1154" t="s">
        <v>1357</v>
      </c>
      <c r="J1154" t="s">
        <v>1357</v>
      </c>
      <c r="K1154" t="s">
        <v>1357</v>
      </c>
      <c r="L1154" t="s">
        <v>1357</v>
      </c>
    </row>
    <row r="1155" spans="6:12">
      <c r="H1155" t="s">
        <v>8904</v>
      </c>
      <c r="I1155" t="s">
        <v>1357</v>
      </c>
      <c r="J1155" t="s">
        <v>1357</v>
      </c>
      <c r="K1155" t="s">
        <v>1357</v>
      </c>
      <c r="L1155" t="s">
        <v>1357</v>
      </c>
    </row>
    <row r="1156" spans="6:12">
      <c r="F1156" t="s">
        <v>7382</v>
      </c>
      <c r="G1156" t="s">
        <v>8073</v>
      </c>
      <c r="H1156" t="s">
        <v>8898</v>
      </c>
      <c r="I1156" t="s">
        <v>1357</v>
      </c>
      <c r="J1156" t="s">
        <v>1357</v>
      </c>
      <c r="K1156" t="s">
        <v>1357</v>
      </c>
      <c r="L1156" t="s">
        <v>1357</v>
      </c>
    </row>
    <row r="1157" spans="6:12">
      <c r="H1157" t="s">
        <v>8890</v>
      </c>
      <c r="I1157" t="s">
        <v>1357</v>
      </c>
      <c r="J1157" t="s">
        <v>1357</v>
      </c>
      <c r="K1157" t="s">
        <v>1357</v>
      </c>
      <c r="L1157" t="s">
        <v>1357</v>
      </c>
    </row>
    <row r="1158" spans="6:12">
      <c r="H1158" t="s">
        <v>5283</v>
      </c>
      <c r="I1158" t="s">
        <v>1357</v>
      </c>
      <c r="J1158" t="s">
        <v>1357</v>
      </c>
      <c r="K1158" t="s">
        <v>1357</v>
      </c>
      <c r="L1158" t="s">
        <v>1357</v>
      </c>
    </row>
    <row r="1159" spans="6:12">
      <c r="H1159" t="s">
        <v>5209</v>
      </c>
      <c r="I1159" t="s">
        <v>1357</v>
      </c>
      <c r="J1159" t="s">
        <v>1357</v>
      </c>
      <c r="K1159" t="s">
        <v>1357</v>
      </c>
      <c r="L1159" t="s">
        <v>1357</v>
      </c>
    </row>
    <row r="1160" spans="6:12">
      <c r="H1160" t="s">
        <v>8891</v>
      </c>
      <c r="I1160" t="s">
        <v>1357</v>
      </c>
      <c r="J1160" t="s">
        <v>1357</v>
      </c>
      <c r="K1160" t="s">
        <v>1357</v>
      </c>
      <c r="L1160" t="s">
        <v>1357</v>
      </c>
    </row>
    <row r="1161" spans="6:12">
      <c r="H1161" t="s">
        <v>8899</v>
      </c>
      <c r="I1161" t="s">
        <v>1357</v>
      </c>
      <c r="J1161" t="s">
        <v>1357</v>
      </c>
      <c r="K1161" t="s">
        <v>1357</v>
      </c>
      <c r="L1161" t="s">
        <v>1357</v>
      </c>
    </row>
    <row r="1162" spans="6:12">
      <c r="H1162" t="s">
        <v>8900</v>
      </c>
      <c r="I1162" t="s">
        <v>1357</v>
      </c>
      <c r="J1162" t="s">
        <v>1357</v>
      </c>
      <c r="K1162" t="s">
        <v>1357</v>
      </c>
      <c r="L1162" t="s">
        <v>1357</v>
      </c>
    </row>
    <row r="1163" spans="6:12">
      <c r="H1163" t="s">
        <v>8892</v>
      </c>
      <c r="I1163" t="s">
        <v>1357</v>
      </c>
      <c r="J1163" t="s">
        <v>1357</v>
      </c>
      <c r="K1163" t="s">
        <v>1357</v>
      </c>
      <c r="L1163" t="s">
        <v>1357</v>
      </c>
    </row>
    <row r="1164" spans="6:12">
      <c r="H1164" t="s">
        <v>8893</v>
      </c>
      <c r="I1164" t="s">
        <v>1357</v>
      </c>
      <c r="J1164" t="s">
        <v>1357</v>
      </c>
      <c r="K1164" t="s">
        <v>1357</v>
      </c>
      <c r="L1164" t="s">
        <v>1357</v>
      </c>
    </row>
    <row r="1165" spans="6:12">
      <c r="H1165" t="s">
        <v>8905</v>
      </c>
      <c r="I1165" t="s">
        <v>1357</v>
      </c>
      <c r="J1165" t="s">
        <v>1357</v>
      </c>
      <c r="K1165" t="s">
        <v>1357</v>
      </c>
      <c r="L1165" t="s">
        <v>1357</v>
      </c>
    </row>
    <row r="1166" spans="6:12">
      <c r="H1166" t="s">
        <v>8906</v>
      </c>
      <c r="I1166" t="s">
        <v>1357</v>
      </c>
      <c r="J1166" t="s">
        <v>1357</v>
      </c>
      <c r="K1166" t="s">
        <v>1357</v>
      </c>
      <c r="L1166" t="s">
        <v>1357</v>
      </c>
    </row>
    <row r="1167" spans="6:12">
      <c r="H1167" t="s">
        <v>8907</v>
      </c>
      <c r="I1167" t="s">
        <v>1357</v>
      </c>
      <c r="J1167" t="s">
        <v>1357</v>
      </c>
      <c r="K1167" t="s">
        <v>1357</v>
      </c>
      <c r="L1167" t="s">
        <v>1357</v>
      </c>
    </row>
    <row r="1168" spans="6:12">
      <c r="H1168" t="s">
        <v>8908</v>
      </c>
      <c r="I1168" t="s">
        <v>1357</v>
      </c>
      <c r="J1168" t="s">
        <v>1357</v>
      </c>
      <c r="K1168" t="s">
        <v>1357</v>
      </c>
      <c r="L1168" t="s">
        <v>1357</v>
      </c>
    </row>
    <row r="1169" spans="6:12">
      <c r="H1169" t="s">
        <v>8909</v>
      </c>
      <c r="I1169" t="s">
        <v>1357</v>
      </c>
      <c r="J1169" t="s">
        <v>1357</v>
      </c>
      <c r="K1169" t="s">
        <v>1357</v>
      </c>
      <c r="L1169" t="s">
        <v>1357</v>
      </c>
    </row>
    <row r="1170" spans="6:12">
      <c r="H1170" t="s">
        <v>8910</v>
      </c>
      <c r="I1170" t="s">
        <v>1357</v>
      </c>
      <c r="J1170" t="s">
        <v>1357</v>
      </c>
      <c r="K1170" t="s">
        <v>1357</v>
      </c>
      <c r="L1170" t="s">
        <v>1357</v>
      </c>
    </row>
    <row r="1171" spans="6:12">
      <c r="F1171" t="s">
        <v>7383</v>
      </c>
      <c r="G1171" t="s">
        <v>7703</v>
      </c>
      <c r="H1171" t="s">
        <v>8911</v>
      </c>
      <c r="I1171" t="s">
        <v>1357</v>
      </c>
      <c r="J1171" t="s">
        <v>1357</v>
      </c>
      <c r="K1171" t="s">
        <v>1357</v>
      </c>
      <c r="L1171" t="s">
        <v>1357</v>
      </c>
    </row>
    <row r="1172" spans="6:12">
      <c r="H1172" t="s">
        <v>8912</v>
      </c>
      <c r="I1172" t="s">
        <v>1357</v>
      </c>
      <c r="J1172" t="s">
        <v>1357</v>
      </c>
      <c r="K1172" t="s">
        <v>1357</v>
      </c>
      <c r="L1172" t="s">
        <v>1357</v>
      </c>
    </row>
    <row r="1173" spans="6:12">
      <c r="H1173" t="s">
        <v>8898</v>
      </c>
      <c r="I1173" t="s">
        <v>1357</v>
      </c>
      <c r="J1173" t="s">
        <v>1357</v>
      </c>
      <c r="K1173" t="s">
        <v>1357</v>
      </c>
      <c r="L1173" t="s">
        <v>1357</v>
      </c>
    </row>
    <row r="1174" spans="6:12">
      <c r="H1174" t="s">
        <v>8890</v>
      </c>
      <c r="I1174" t="s">
        <v>1357</v>
      </c>
      <c r="J1174" t="s">
        <v>1357</v>
      </c>
      <c r="K1174" t="s">
        <v>1357</v>
      </c>
      <c r="L1174" t="s">
        <v>1357</v>
      </c>
    </row>
    <row r="1175" spans="6:12">
      <c r="H1175" t="s">
        <v>5283</v>
      </c>
      <c r="I1175" t="s">
        <v>1357</v>
      </c>
      <c r="J1175" t="s">
        <v>1357</v>
      </c>
      <c r="K1175" t="s">
        <v>1357</v>
      </c>
      <c r="L1175" t="s">
        <v>1357</v>
      </c>
    </row>
    <row r="1176" spans="6:12">
      <c r="H1176" t="s">
        <v>5209</v>
      </c>
      <c r="I1176" t="s">
        <v>1357</v>
      </c>
      <c r="J1176" t="s">
        <v>1357</v>
      </c>
      <c r="K1176" t="s">
        <v>1357</v>
      </c>
      <c r="L1176" t="s">
        <v>1357</v>
      </c>
    </row>
    <row r="1177" spans="6:12">
      <c r="H1177" t="s">
        <v>8891</v>
      </c>
      <c r="I1177" t="s">
        <v>1357</v>
      </c>
      <c r="J1177" t="s">
        <v>1357</v>
      </c>
      <c r="K1177" t="s">
        <v>1357</v>
      </c>
      <c r="L1177" t="s">
        <v>1357</v>
      </c>
    </row>
    <row r="1178" spans="6:12">
      <c r="H1178" t="s">
        <v>8899</v>
      </c>
      <c r="I1178" t="s">
        <v>1357</v>
      </c>
      <c r="J1178" t="s">
        <v>1357</v>
      </c>
      <c r="K1178" t="s">
        <v>1357</v>
      </c>
      <c r="L1178" t="s">
        <v>1357</v>
      </c>
    </row>
    <row r="1179" spans="6:12">
      <c r="H1179" t="s">
        <v>8901</v>
      </c>
      <c r="I1179" t="s">
        <v>1357</v>
      </c>
      <c r="J1179" t="s">
        <v>1357</v>
      </c>
      <c r="K1179" t="s">
        <v>1357</v>
      </c>
      <c r="L1179" t="s">
        <v>1357</v>
      </c>
    </row>
    <row r="1180" spans="6:12">
      <c r="H1180" t="s">
        <v>8913</v>
      </c>
      <c r="I1180" t="s">
        <v>1357</v>
      </c>
      <c r="J1180" t="s">
        <v>1357</v>
      </c>
      <c r="K1180" t="s">
        <v>1357</v>
      </c>
      <c r="L1180" t="s">
        <v>1357</v>
      </c>
    </row>
    <row r="1181" spans="6:12">
      <c r="H1181" t="s">
        <v>8892</v>
      </c>
      <c r="I1181" t="s">
        <v>1357</v>
      </c>
      <c r="J1181" t="s">
        <v>1357</v>
      </c>
      <c r="K1181" t="s">
        <v>1357</v>
      </c>
      <c r="L1181" t="s">
        <v>1357</v>
      </c>
    </row>
    <row r="1182" spans="6:12">
      <c r="H1182" t="s">
        <v>8893</v>
      </c>
      <c r="I1182" t="s">
        <v>1357</v>
      </c>
      <c r="J1182" t="s">
        <v>1357</v>
      </c>
      <c r="K1182" t="s">
        <v>1357</v>
      </c>
      <c r="L1182" t="s">
        <v>1357</v>
      </c>
    </row>
    <row r="1183" spans="6:12">
      <c r="H1183" t="s">
        <v>8905</v>
      </c>
      <c r="I1183" t="s">
        <v>1357</v>
      </c>
      <c r="J1183" t="s">
        <v>1357</v>
      </c>
      <c r="K1183" t="s">
        <v>1357</v>
      </c>
      <c r="L1183" t="s">
        <v>1357</v>
      </c>
    </row>
    <row r="1184" spans="6:12">
      <c r="H1184" t="s">
        <v>8906</v>
      </c>
      <c r="I1184" t="s">
        <v>1357</v>
      </c>
      <c r="J1184" t="s">
        <v>1357</v>
      </c>
      <c r="K1184" t="s">
        <v>1357</v>
      </c>
      <c r="L1184" t="s">
        <v>1357</v>
      </c>
    </row>
    <row r="1185" spans="6:12">
      <c r="H1185" t="s">
        <v>8914</v>
      </c>
      <c r="I1185" t="s">
        <v>1357</v>
      </c>
      <c r="J1185" t="s">
        <v>1357</v>
      </c>
      <c r="K1185" t="s">
        <v>1357</v>
      </c>
      <c r="L1185" t="s">
        <v>1357</v>
      </c>
    </row>
    <row r="1186" spans="6:12">
      <c r="H1186" t="s">
        <v>8915</v>
      </c>
      <c r="I1186" t="s">
        <v>1357</v>
      </c>
      <c r="J1186" t="s">
        <v>1357</v>
      </c>
      <c r="K1186" t="s">
        <v>1357</v>
      </c>
      <c r="L1186" t="s">
        <v>1357</v>
      </c>
    </row>
    <row r="1187" spans="6:12">
      <c r="H1187" t="s">
        <v>8916</v>
      </c>
      <c r="I1187" t="s">
        <v>1357</v>
      </c>
      <c r="J1187" t="s">
        <v>1357</v>
      </c>
      <c r="K1187" t="s">
        <v>1357</v>
      </c>
      <c r="L1187" t="s">
        <v>1357</v>
      </c>
    </row>
    <row r="1188" spans="6:12">
      <c r="H1188" t="s">
        <v>8917</v>
      </c>
      <c r="I1188" t="s">
        <v>1357</v>
      </c>
      <c r="J1188" t="s">
        <v>1357</v>
      </c>
      <c r="K1188" t="s">
        <v>1357</v>
      </c>
      <c r="L1188" t="s">
        <v>1357</v>
      </c>
    </row>
    <row r="1189" spans="6:12">
      <c r="H1189" t="s">
        <v>8918</v>
      </c>
      <c r="I1189" t="s">
        <v>1357</v>
      </c>
      <c r="J1189" t="s">
        <v>1357</v>
      </c>
      <c r="K1189" t="s">
        <v>1357</v>
      </c>
      <c r="L1189" t="s">
        <v>1357</v>
      </c>
    </row>
    <row r="1190" spans="6:12">
      <c r="H1190" t="s">
        <v>8919</v>
      </c>
      <c r="I1190" t="s">
        <v>1357</v>
      </c>
      <c r="J1190" t="s">
        <v>1357</v>
      </c>
      <c r="K1190" t="s">
        <v>1357</v>
      </c>
      <c r="L1190" t="s">
        <v>1357</v>
      </c>
    </row>
    <row r="1191" spans="6:12">
      <c r="H1191" t="s">
        <v>8920</v>
      </c>
      <c r="I1191" t="s">
        <v>1357</v>
      </c>
      <c r="J1191" t="s">
        <v>1357</v>
      </c>
      <c r="K1191" t="s">
        <v>1357</v>
      </c>
      <c r="L1191" t="s">
        <v>1357</v>
      </c>
    </row>
    <row r="1192" spans="6:12">
      <c r="H1192" t="s">
        <v>8921</v>
      </c>
      <c r="I1192" t="s">
        <v>1357</v>
      </c>
      <c r="J1192" t="s">
        <v>1357</v>
      </c>
      <c r="K1192" t="s">
        <v>1357</v>
      </c>
      <c r="L1192" t="s">
        <v>1357</v>
      </c>
    </row>
    <row r="1193" spans="6:12">
      <c r="H1193" t="s">
        <v>8922</v>
      </c>
      <c r="I1193" t="s">
        <v>1357</v>
      </c>
      <c r="J1193" t="s">
        <v>1357</v>
      </c>
      <c r="K1193" t="s">
        <v>1357</v>
      </c>
      <c r="L1193" t="s">
        <v>1357</v>
      </c>
    </row>
    <row r="1194" spans="6:12">
      <c r="H1194" t="s">
        <v>8923</v>
      </c>
      <c r="I1194" t="s">
        <v>1357</v>
      </c>
      <c r="J1194" t="s">
        <v>1357</v>
      </c>
      <c r="K1194" t="s">
        <v>1357</v>
      </c>
      <c r="L1194" t="s">
        <v>1357</v>
      </c>
    </row>
    <row r="1195" spans="6:12">
      <c r="H1195" t="s">
        <v>8907</v>
      </c>
      <c r="I1195" t="s">
        <v>1357</v>
      </c>
      <c r="J1195" t="s">
        <v>1357</v>
      </c>
      <c r="K1195" t="s">
        <v>1357</v>
      </c>
      <c r="L1195" t="s">
        <v>1357</v>
      </c>
    </row>
    <row r="1196" spans="6:12">
      <c r="H1196" t="s">
        <v>8908</v>
      </c>
      <c r="I1196" t="s">
        <v>1357</v>
      </c>
      <c r="J1196" t="s">
        <v>1357</v>
      </c>
      <c r="K1196" t="s">
        <v>1357</v>
      </c>
      <c r="L1196" t="s">
        <v>1357</v>
      </c>
    </row>
    <row r="1197" spans="6:12">
      <c r="H1197" t="s">
        <v>8924</v>
      </c>
      <c r="I1197" t="s">
        <v>1357</v>
      </c>
      <c r="J1197" t="s">
        <v>1357</v>
      </c>
      <c r="K1197" t="s">
        <v>1357</v>
      </c>
      <c r="L1197" t="s">
        <v>1357</v>
      </c>
    </row>
    <row r="1198" spans="6:12">
      <c r="H1198" t="s">
        <v>8925</v>
      </c>
      <c r="I1198" t="s">
        <v>1357</v>
      </c>
      <c r="J1198" t="s">
        <v>1357</v>
      </c>
      <c r="K1198" t="s">
        <v>1357</v>
      </c>
      <c r="L1198" t="s">
        <v>1357</v>
      </c>
    </row>
    <row r="1199" spans="6:12">
      <c r="F1199" t="s">
        <v>7384</v>
      </c>
      <c r="G1199" t="s">
        <v>8074</v>
      </c>
      <c r="H1199" t="s">
        <v>8898</v>
      </c>
      <c r="I1199" t="s">
        <v>1357</v>
      </c>
      <c r="J1199" t="s">
        <v>1357</v>
      </c>
      <c r="K1199" t="s">
        <v>1357</v>
      </c>
      <c r="L1199" t="s">
        <v>1357</v>
      </c>
    </row>
    <row r="1200" spans="6:12">
      <c r="H1200" t="s">
        <v>8890</v>
      </c>
      <c r="I1200" t="s">
        <v>1357</v>
      </c>
      <c r="J1200" t="s">
        <v>1357</v>
      </c>
      <c r="K1200" t="s">
        <v>1357</v>
      </c>
      <c r="L1200" t="s">
        <v>1357</v>
      </c>
    </row>
    <row r="1201" spans="6:12">
      <c r="H1201" t="s">
        <v>5283</v>
      </c>
      <c r="I1201" t="s">
        <v>1357</v>
      </c>
      <c r="J1201" t="s">
        <v>1357</v>
      </c>
      <c r="K1201" t="s">
        <v>1357</v>
      </c>
      <c r="L1201" t="s">
        <v>1357</v>
      </c>
    </row>
    <row r="1202" spans="6:12">
      <c r="H1202" t="s">
        <v>5209</v>
      </c>
      <c r="I1202" t="s">
        <v>1357</v>
      </c>
      <c r="J1202" t="s">
        <v>1357</v>
      </c>
      <c r="K1202" t="s">
        <v>1357</v>
      </c>
      <c r="L1202" t="s">
        <v>1357</v>
      </c>
    </row>
    <row r="1203" spans="6:12">
      <c r="H1203" t="s">
        <v>8892</v>
      </c>
      <c r="I1203" t="s">
        <v>1357</v>
      </c>
      <c r="J1203" t="s">
        <v>1357</v>
      </c>
      <c r="K1203" t="s">
        <v>1357</v>
      </c>
      <c r="L1203" t="s">
        <v>1357</v>
      </c>
    </row>
    <row r="1204" spans="6:12">
      <c r="H1204" t="s">
        <v>8893</v>
      </c>
      <c r="I1204" t="s">
        <v>1357</v>
      </c>
      <c r="J1204" t="s">
        <v>1357</v>
      </c>
      <c r="K1204" t="s">
        <v>1357</v>
      </c>
      <c r="L1204" t="s">
        <v>1357</v>
      </c>
    </row>
    <row r="1205" spans="6:12">
      <c r="H1205" t="s">
        <v>8926</v>
      </c>
      <c r="I1205" t="s">
        <v>1357</v>
      </c>
      <c r="J1205" t="s">
        <v>1357</v>
      </c>
      <c r="K1205" t="s">
        <v>1357</v>
      </c>
      <c r="L1205" t="s">
        <v>1357</v>
      </c>
    </row>
    <row r="1206" spans="6:12">
      <c r="H1206" t="s">
        <v>8927</v>
      </c>
      <c r="I1206" t="s">
        <v>1357</v>
      </c>
      <c r="J1206" t="s">
        <v>1357</v>
      </c>
      <c r="K1206" t="s">
        <v>1357</v>
      </c>
      <c r="L1206" t="s">
        <v>1357</v>
      </c>
    </row>
    <row r="1207" spans="6:12">
      <c r="H1207" t="s">
        <v>8928</v>
      </c>
      <c r="I1207" t="s">
        <v>1357</v>
      </c>
      <c r="J1207" t="s">
        <v>1357</v>
      </c>
      <c r="K1207" t="s">
        <v>1357</v>
      </c>
      <c r="L1207" t="s">
        <v>1357</v>
      </c>
    </row>
    <row r="1208" spans="6:12">
      <c r="H1208" t="s">
        <v>8929</v>
      </c>
      <c r="I1208" t="s">
        <v>1357</v>
      </c>
      <c r="J1208" t="s">
        <v>1357</v>
      </c>
      <c r="K1208" t="s">
        <v>1357</v>
      </c>
      <c r="L1208" t="s">
        <v>1357</v>
      </c>
    </row>
    <row r="1209" spans="6:12">
      <c r="H1209" t="s">
        <v>8930</v>
      </c>
      <c r="I1209" t="s">
        <v>1357</v>
      </c>
      <c r="J1209" t="s">
        <v>1357</v>
      </c>
      <c r="K1209" t="s">
        <v>1357</v>
      </c>
      <c r="L1209" t="s">
        <v>1357</v>
      </c>
    </row>
    <row r="1210" spans="6:12">
      <c r="H1210" t="s">
        <v>8931</v>
      </c>
      <c r="I1210" t="s">
        <v>1357</v>
      </c>
      <c r="J1210" t="s">
        <v>1357</v>
      </c>
      <c r="K1210" t="s">
        <v>1357</v>
      </c>
      <c r="L1210" t="s">
        <v>1357</v>
      </c>
    </row>
    <row r="1211" spans="6:12">
      <c r="H1211" t="s">
        <v>8932</v>
      </c>
      <c r="I1211" t="s">
        <v>1357</v>
      </c>
      <c r="J1211" t="s">
        <v>1357</v>
      </c>
      <c r="K1211" t="s">
        <v>1357</v>
      </c>
      <c r="L1211" t="s">
        <v>1357</v>
      </c>
    </row>
    <row r="1212" spans="6:12">
      <c r="H1212" t="s">
        <v>8933</v>
      </c>
      <c r="I1212" t="s">
        <v>1357</v>
      </c>
      <c r="J1212" t="s">
        <v>1357</v>
      </c>
      <c r="K1212" t="s">
        <v>1357</v>
      </c>
      <c r="L1212" t="s">
        <v>1357</v>
      </c>
    </row>
    <row r="1213" spans="6:12">
      <c r="F1213" t="s">
        <v>7385</v>
      </c>
      <c r="G1213" t="s">
        <v>8075</v>
      </c>
      <c r="H1213" t="s">
        <v>8898</v>
      </c>
      <c r="I1213" t="s">
        <v>1357</v>
      </c>
      <c r="J1213" t="s">
        <v>1357</v>
      </c>
      <c r="K1213" t="s">
        <v>1357</v>
      </c>
      <c r="L1213" t="s">
        <v>1357</v>
      </c>
    </row>
    <row r="1214" spans="6:12">
      <c r="H1214" t="s">
        <v>8890</v>
      </c>
      <c r="I1214" t="s">
        <v>1357</v>
      </c>
      <c r="J1214" t="s">
        <v>1357</v>
      </c>
      <c r="K1214" t="s">
        <v>1357</v>
      </c>
      <c r="L1214" t="s">
        <v>1357</v>
      </c>
    </row>
    <row r="1215" spans="6:12">
      <c r="H1215" t="s">
        <v>5283</v>
      </c>
      <c r="I1215" t="s">
        <v>1357</v>
      </c>
      <c r="J1215" t="s">
        <v>1357</v>
      </c>
      <c r="K1215" t="s">
        <v>1357</v>
      </c>
      <c r="L1215" t="s">
        <v>1357</v>
      </c>
    </row>
    <row r="1216" spans="6:12">
      <c r="H1216" t="s">
        <v>5209</v>
      </c>
      <c r="I1216" t="s">
        <v>1357</v>
      </c>
      <c r="J1216" t="s">
        <v>1357</v>
      </c>
      <c r="K1216" t="s">
        <v>1357</v>
      </c>
      <c r="L1216" t="s">
        <v>1357</v>
      </c>
    </row>
    <row r="1217" spans="6:12">
      <c r="H1217" t="s">
        <v>8891</v>
      </c>
      <c r="I1217" t="s">
        <v>1357</v>
      </c>
      <c r="J1217" t="s">
        <v>1357</v>
      </c>
      <c r="K1217" t="s">
        <v>1357</v>
      </c>
      <c r="L1217" t="s">
        <v>1357</v>
      </c>
    </row>
    <row r="1218" spans="6:12">
      <c r="H1218" t="s">
        <v>8899</v>
      </c>
      <c r="I1218" t="s">
        <v>1357</v>
      </c>
      <c r="J1218" t="s">
        <v>1357</v>
      </c>
      <c r="K1218" t="s">
        <v>1357</v>
      </c>
      <c r="L1218" t="s">
        <v>1357</v>
      </c>
    </row>
    <row r="1219" spans="6:12">
      <c r="H1219" t="s">
        <v>8900</v>
      </c>
      <c r="I1219" t="s">
        <v>1357</v>
      </c>
      <c r="J1219" t="s">
        <v>1357</v>
      </c>
      <c r="K1219" t="s">
        <v>1357</v>
      </c>
      <c r="L1219" t="s">
        <v>1357</v>
      </c>
    </row>
    <row r="1220" spans="6:12">
      <c r="H1220" t="s">
        <v>8892</v>
      </c>
      <c r="I1220" t="s">
        <v>1357</v>
      </c>
      <c r="J1220" t="s">
        <v>1357</v>
      </c>
      <c r="K1220" t="s">
        <v>1357</v>
      </c>
      <c r="L1220" t="s">
        <v>1357</v>
      </c>
    </row>
    <row r="1221" spans="6:12">
      <c r="H1221" t="s">
        <v>8893</v>
      </c>
      <c r="I1221" t="s">
        <v>1357</v>
      </c>
      <c r="J1221" t="s">
        <v>1357</v>
      </c>
      <c r="K1221" t="s">
        <v>1357</v>
      </c>
      <c r="L1221" t="s">
        <v>1357</v>
      </c>
    </row>
    <row r="1222" spans="6:12">
      <c r="H1222" t="s">
        <v>8905</v>
      </c>
      <c r="I1222" t="s">
        <v>1357</v>
      </c>
      <c r="J1222" t="s">
        <v>1357</v>
      </c>
      <c r="K1222" t="s">
        <v>1357</v>
      </c>
      <c r="L1222" t="s">
        <v>1357</v>
      </c>
    </row>
    <row r="1223" spans="6:12">
      <c r="H1223" t="s">
        <v>8906</v>
      </c>
      <c r="I1223" t="s">
        <v>1357</v>
      </c>
      <c r="J1223" t="s">
        <v>1357</v>
      </c>
      <c r="K1223" t="s">
        <v>1357</v>
      </c>
      <c r="L1223" t="s">
        <v>1357</v>
      </c>
    </row>
    <row r="1224" spans="6:12">
      <c r="H1224" t="s">
        <v>8934</v>
      </c>
      <c r="I1224" t="s">
        <v>1357</v>
      </c>
      <c r="J1224" t="s">
        <v>1357</v>
      </c>
      <c r="K1224" t="s">
        <v>1357</v>
      </c>
      <c r="L1224" t="s">
        <v>1357</v>
      </c>
    </row>
    <row r="1225" spans="6:12">
      <c r="H1225" t="s">
        <v>8935</v>
      </c>
      <c r="I1225" t="s">
        <v>1357</v>
      </c>
      <c r="J1225" t="s">
        <v>1357</v>
      </c>
      <c r="K1225" t="s">
        <v>1357</v>
      </c>
      <c r="L1225" t="s">
        <v>1357</v>
      </c>
    </row>
    <row r="1226" spans="6:12">
      <c r="H1226" t="s">
        <v>8936</v>
      </c>
      <c r="I1226" t="s">
        <v>1357</v>
      </c>
      <c r="J1226" t="s">
        <v>1357</v>
      </c>
      <c r="K1226" t="s">
        <v>1357</v>
      </c>
      <c r="L1226" t="s">
        <v>1357</v>
      </c>
    </row>
    <row r="1227" spans="6:12">
      <c r="H1227" t="s">
        <v>8937</v>
      </c>
      <c r="I1227" t="s">
        <v>1357</v>
      </c>
      <c r="J1227" t="s">
        <v>1357</v>
      </c>
      <c r="K1227" t="s">
        <v>1357</v>
      </c>
      <c r="L1227" t="s">
        <v>1357</v>
      </c>
    </row>
    <row r="1228" spans="6:12">
      <c r="H1228" t="s">
        <v>8938</v>
      </c>
      <c r="I1228" t="s">
        <v>1357</v>
      </c>
      <c r="J1228" t="s">
        <v>1357</v>
      </c>
      <c r="K1228" t="s">
        <v>1357</v>
      </c>
      <c r="L1228" t="s">
        <v>1357</v>
      </c>
    </row>
    <row r="1229" spans="6:12">
      <c r="H1229" t="s">
        <v>8939</v>
      </c>
      <c r="I1229" t="s">
        <v>1357</v>
      </c>
      <c r="J1229" t="s">
        <v>1357</v>
      </c>
      <c r="K1229" t="s">
        <v>1357</v>
      </c>
      <c r="L1229" t="s">
        <v>1357</v>
      </c>
    </row>
    <row r="1230" spans="6:12">
      <c r="F1230" t="s">
        <v>7386</v>
      </c>
      <c r="G1230" t="s">
        <v>7850</v>
      </c>
      <c r="H1230" t="s">
        <v>8940</v>
      </c>
      <c r="I1230" t="s">
        <v>1357</v>
      </c>
      <c r="J1230" t="s">
        <v>1357</v>
      </c>
      <c r="K1230" t="s">
        <v>1357</v>
      </c>
      <c r="L1230" t="s">
        <v>1357</v>
      </c>
    </row>
    <row r="1231" spans="6:12">
      <c r="H1231" t="s">
        <v>8941</v>
      </c>
      <c r="I1231" t="s">
        <v>1357</v>
      </c>
      <c r="J1231" t="s">
        <v>1357</v>
      </c>
      <c r="K1231" t="s">
        <v>1357</v>
      </c>
      <c r="L1231" t="s">
        <v>1357</v>
      </c>
    </row>
    <row r="1232" spans="6:12">
      <c r="H1232" t="s">
        <v>8942</v>
      </c>
      <c r="I1232" t="s">
        <v>1357</v>
      </c>
      <c r="J1232" t="s">
        <v>1357</v>
      </c>
      <c r="K1232" t="s">
        <v>1357</v>
      </c>
      <c r="L1232" t="s">
        <v>1357</v>
      </c>
    </row>
    <row r="1233" spans="6:13">
      <c r="H1233" t="s">
        <v>8943</v>
      </c>
      <c r="I1233" t="s">
        <v>1357</v>
      </c>
      <c r="J1233" t="s">
        <v>1357</v>
      </c>
      <c r="K1233" t="s">
        <v>1357</v>
      </c>
      <c r="L1233" t="s">
        <v>1357</v>
      </c>
    </row>
    <row r="1234" spans="6:13">
      <c r="H1234" t="s">
        <v>8944</v>
      </c>
      <c r="I1234" t="s">
        <v>1357</v>
      </c>
      <c r="J1234" t="s">
        <v>1357</v>
      </c>
      <c r="K1234" t="s">
        <v>1357</v>
      </c>
      <c r="L1234" t="s">
        <v>1357</v>
      </c>
    </row>
    <row r="1235" spans="6:13">
      <c r="H1235" t="s">
        <v>8945</v>
      </c>
      <c r="I1235" t="s">
        <v>1357</v>
      </c>
      <c r="J1235" t="s">
        <v>1357</v>
      </c>
      <c r="K1235" t="s">
        <v>1357</v>
      </c>
      <c r="L1235" t="s">
        <v>1357</v>
      </c>
    </row>
    <row r="1236" spans="6:13">
      <c r="H1236" t="s">
        <v>8946</v>
      </c>
      <c r="I1236" t="s">
        <v>1357</v>
      </c>
      <c r="J1236" t="s">
        <v>1357</v>
      </c>
      <c r="K1236" t="s">
        <v>1357</v>
      </c>
      <c r="L1236" t="s">
        <v>1357</v>
      </c>
    </row>
    <row r="1237" spans="6:13">
      <c r="H1237" t="s">
        <v>8947</v>
      </c>
      <c r="I1237" t="s">
        <v>1357</v>
      </c>
      <c r="J1237" t="s">
        <v>1357</v>
      </c>
      <c r="K1237" t="s">
        <v>1357</v>
      </c>
      <c r="L1237" t="s">
        <v>1357</v>
      </c>
    </row>
    <row r="1238" spans="6:13">
      <c r="H1238" t="s">
        <v>8948</v>
      </c>
      <c r="I1238" t="s">
        <v>1357</v>
      </c>
      <c r="J1238" t="s">
        <v>1357</v>
      </c>
      <c r="K1238" t="s">
        <v>1357</v>
      </c>
      <c r="L1238" t="s">
        <v>1357</v>
      </c>
    </row>
    <row r="1239" spans="6:13">
      <c r="F1239" t="s">
        <v>7387</v>
      </c>
      <c r="G1239" t="s">
        <v>8076</v>
      </c>
      <c r="H1239" t="s">
        <v>8949</v>
      </c>
      <c r="I1239" t="s">
        <v>1357</v>
      </c>
      <c r="J1239" t="s">
        <v>1357</v>
      </c>
      <c r="K1239" t="s">
        <v>1357</v>
      </c>
      <c r="L1239" t="s">
        <v>1357</v>
      </c>
    </row>
    <row r="1240" spans="6:13">
      <c r="H1240" t="s">
        <v>8950</v>
      </c>
      <c r="I1240" t="s">
        <v>1357</v>
      </c>
      <c r="J1240" t="s">
        <v>1357</v>
      </c>
      <c r="K1240" t="s">
        <v>1357</v>
      </c>
      <c r="L1240" t="s">
        <v>1357</v>
      </c>
    </row>
    <row r="1241" spans="6:13">
      <c r="H1241" t="s">
        <v>8951</v>
      </c>
      <c r="I1241" t="s">
        <v>1357</v>
      </c>
      <c r="J1241" t="s">
        <v>1357</v>
      </c>
      <c r="K1241" t="s">
        <v>1357</v>
      </c>
      <c r="L1241" t="s">
        <v>1357</v>
      </c>
    </row>
    <row r="1242" spans="6:13">
      <c r="H1242" t="s">
        <v>8952</v>
      </c>
      <c r="I1242" t="s">
        <v>1357</v>
      </c>
      <c r="J1242" t="s">
        <v>1357</v>
      </c>
      <c r="K1242" t="s">
        <v>1357</v>
      </c>
      <c r="L1242" t="s">
        <v>1357</v>
      </c>
    </row>
    <row r="1243" spans="6:13">
      <c r="H1243" t="s">
        <v>8953</v>
      </c>
      <c r="I1243" t="s">
        <v>1357</v>
      </c>
      <c r="J1243" t="s">
        <v>1357</v>
      </c>
      <c r="K1243" t="s">
        <v>1357</v>
      </c>
      <c r="L1243" t="s">
        <v>1357</v>
      </c>
    </row>
    <row r="1244" spans="6:13">
      <c r="H1244" t="s">
        <v>8954</v>
      </c>
      <c r="I1244" t="s">
        <v>1357</v>
      </c>
      <c r="J1244" t="s">
        <v>1357</v>
      </c>
      <c r="K1244" t="s">
        <v>1357</v>
      </c>
      <c r="L1244" t="s">
        <v>1357</v>
      </c>
    </row>
    <row r="1245" spans="6:13">
      <c r="H1245" t="s">
        <v>8955</v>
      </c>
      <c r="I1245" t="s">
        <v>1357</v>
      </c>
      <c r="J1245" t="s">
        <v>1357</v>
      </c>
      <c r="K1245" t="s">
        <v>1357</v>
      </c>
      <c r="L1245" t="s">
        <v>1357</v>
      </c>
    </row>
    <row r="1246" spans="6:13">
      <c r="H1246" t="s">
        <v>8956</v>
      </c>
      <c r="I1246" t="s">
        <v>1357</v>
      </c>
      <c r="J1246" t="s">
        <v>1357</v>
      </c>
      <c r="K1246" t="s">
        <v>1357</v>
      </c>
      <c r="L1246" t="s">
        <v>1357</v>
      </c>
    </row>
    <row r="1247" spans="6:13">
      <c r="F1247" t="s">
        <v>7388</v>
      </c>
      <c r="G1247" t="s">
        <v>8077</v>
      </c>
      <c r="H1247" t="s">
        <v>8957</v>
      </c>
      <c r="I1247" t="s">
        <v>1357</v>
      </c>
      <c r="J1247" t="s">
        <v>1357</v>
      </c>
      <c r="K1247" t="s">
        <v>1357</v>
      </c>
      <c r="L1247" t="s">
        <v>1357</v>
      </c>
    </row>
    <row r="1248" spans="6:13">
      <c r="H1248" t="s">
        <v>8958</v>
      </c>
      <c r="I1248" t="s">
        <v>1357</v>
      </c>
      <c r="J1248" t="s">
        <v>1357</v>
      </c>
      <c r="K1248" t="s">
        <v>1357</v>
      </c>
      <c r="L1248" t="s">
        <v>1357</v>
      </c>
      <c r="M1248" t="s">
        <v>1360</v>
      </c>
    </row>
    <row r="1249" spans="6:13">
      <c r="H1249" t="s">
        <v>8959</v>
      </c>
      <c r="I1249" t="s">
        <v>1357</v>
      </c>
      <c r="J1249" t="s">
        <v>1357</v>
      </c>
      <c r="K1249" t="s">
        <v>1357</v>
      </c>
      <c r="L1249" t="s">
        <v>1357</v>
      </c>
    </row>
    <row r="1250" spans="6:13">
      <c r="F1250" t="s">
        <v>7389</v>
      </c>
      <c r="G1250" t="s">
        <v>8078</v>
      </c>
      <c r="H1250" t="s">
        <v>4079</v>
      </c>
      <c r="I1250" t="s">
        <v>1357</v>
      </c>
      <c r="J1250" t="s">
        <v>1357</v>
      </c>
      <c r="K1250" t="s">
        <v>1357</v>
      </c>
      <c r="L1250" t="s">
        <v>1357</v>
      </c>
    </row>
    <row r="1251" spans="6:13">
      <c r="H1251" t="s">
        <v>8960</v>
      </c>
      <c r="I1251" t="s">
        <v>1357</v>
      </c>
      <c r="J1251" t="s">
        <v>1357</v>
      </c>
      <c r="K1251" t="s">
        <v>1357</v>
      </c>
      <c r="L1251" t="s">
        <v>1357</v>
      </c>
    </row>
    <row r="1252" spans="6:13">
      <c r="H1252" t="s">
        <v>8961</v>
      </c>
      <c r="I1252" t="s">
        <v>1357</v>
      </c>
      <c r="J1252" t="s">
        <v>1357</v>
      </c>
      <c r="K1252" t="s">
        <v>1357</v>
      </c>
      <c r="L1252" t="s">
        <v>1357</v>
      </c>
    </row>
    <row r="1253" spans="6:13">
      <c r="H1253" t="s">
        <v>8962</v>
      </c>
      <c r="I1253" t="s">
        <v>1357</v>
      </c>
      <c r="J1253" t="s">
        <v>1357</v>
      </c>
      <c r="K1253" t="s">
        <v>1357</v>
      </c>
      <c r="L1253" t="s">
        <v>1357</v>
      </c>
    </row>
    <row r="1254" spans="6:13">
      <c r="H1254" t="s">
        <v>8963</v>
      </c>
      <c r="I1254" t="s">
        <v>1357</v>
      </c>
      <c r="J1254" t="s">
        <v>1357</v>
      </c>
      <c r="K1254" t="s">
        <v>1357</v>
      </c>
      <c r="L1254" t="s">
        <v>1357</v>
      </c>
    </row>
    <row r="1255" spans="6:13">
      <c r="H1255" t="s">
        <v>8964</v>
      </c>
      <c r="I1255" t="s">
        <v>1357</v>
      </c>
      <c r="J1255" t="s">
        <v>1357</v>
      </c>
      <c r="K1255" t="s">
        <v>1357</v>
      </c>
      <c r="L1255" t="s">
        <v>1357</v>
      </c>
      <c r="M1255" t="s">
        <v>1360</v>
      </c>
    </row>
    <row r="1256" spans="6:13">
      <c r="H1256" t="s">
        <v>8965</v>
      </c>
      <c r="I1256" t="s">
        <v>1357</v>
      </c>
      <c r="J1256" t="s">
        <v>1357</v>
      </c>
      <c r="K1256" t="s">
        <v>1357</v>
      </c>
      <c r="L1256" t="s">
        <v>1357</v>
      </c>
    </row>
    <row r="1257" spans="6:13">
      <c r="H1257" t="s">
        <v>8966</v>
      </c>
      <c r="I1257" t="s">
        <v>1357</v>
      </c>
      <c r="J1257" t="s">
        <v>1357</v>
      </c>
      <c r="K1257" t="s">
        <v>1357</v>
      </c>
      <c r="L1257" t="s">
        <v>1357</v>
      </c>
    </row>
    <row r="1258" spans="6:13">
      <c r="H1258" t="s">
        <v>8967</v>
      </c>
      <c r="I1258" t="s">
        <v>1357</v>
      </c>
      <c r="J1258" t="s">
        <v>1357</v>
      </c>
      <c r="K1258" t="s">
        <v>1357</v>
      </c>
      <c r="L1258" t="s">
        <v>1357</v>
      </c>
    </row>
    <row r="1259" spans="6:13">
      <c r="H1259" t="s">
        <v>8968</v>
      </c>
      <c r="I1259" t="s">
        <v>1357</v>
      </c>
      <c r="J1259" t="s">
        <v>1357</v>
      </c>
      <c r="K1259" t="s">
        <v>1357</v>
      </c>
      <c r="L1259" t="s">
        <v>1357</v>
      </c>
    </row>
    <row r="1260" spans="6:13">
      <c r="H1260" t="s">
        <v>8969</v>
      </c>
      <c r="I1260" t="s">
        <v>1357</v>
      </c>
      <c r="J1260" t="s">
        <v>1357</v>
      </c>
      <c r="K1260" t="s">
        <v>1357</v>
      </c>
      <c r="L1260" t="s">
        <v>1357</v>
      </c>
    </row>
    <row r="1261" spans="6:13">
      <c r="H1261" t="s">
        <v>8970</v>
      </c>
      <c r="I1261" t="s">
        <v>1357</v>
      </c>
      <c r="J1261" t="s">
        <v>1357</v>
      </c>
      <c r="K1261" t="s">
        <v>1357</v>
      </c>
      <c r="L1261" t="s">
        <v>1357</v>
      </c>
    </row>
    <row r="1262" spans="6:13">
      <c r="H1262" t="s">
        <v>8971</v>
      </c>
      <c r="I1262" t="s">
        <v>1357</v>
      </c>
      <c r="J1262" t="s">
        <v>1357</v>
      </c>
      <c r="K1262" t="s">
        <v>1357</v>
      </c>
      <c r="L1262" t="s">
        <v>1357</v>
      </c>
    </row>
    <row r="1263" spans="6:13">
      <c r="H1263" t="s">
        <v>8972</v>
      </c>
      <c r="I1263" t="s">
        <v>1357</v>
      </c>
      <c r="J1263" t="s">
        <v>1357</v>
      </c>
      <c r="K1263" t="s">
        <v>1357</v>
      </c>
      <c r="L1263" t="s">
        <v>1357</v>
      </c>
    </row>
    <row r="1264" spans="6:13">
      <c r="F1264" t="s">
        <v>7390</v>
      </c>
      <c r="G1264" t="s">
        <v>8079</v>
      </c>
      <c r="H1264" t="s">
        <v>4079</v>
      </c>
      <c r="I1264" t="s">
        <v>1357</v>
      </c>
      <c r="J1264" t="s">
        <v>1357</v>
      </c>
      <c r="K1264" t="s">
        <v>1357</v>
      </c>
      <c r="L1264" t="s">
        <v>1357</v>
      </c>
    </row>
    <row r="1265" spans="6:13">
      <c r="F1265" t="s">
        <v>7391</v>
      </c>
      <c r="G1265" t="s">
        <v>8080</v>
      </c>
      <c r="H1265" t="s">
        <v>8973</v>
      </c>
      <c r="I1265" t="s">
        <v>1357</v>
      </c>
      <c r="J1265" t="s">
        <v>1357</v>
      </c>
      <c r="K1265" t="s">
        <v>1357</v>
      </c>
      <c r="L1265" t="s">
        <v>1357</v>
      </c>
      <c r="M1265" t="s">
        <v>9921</v>
      </c>
    </row>
    <row r="1266" spans="6:13">
      <c r="H1266" t="s">
        <v>8974</v>
      </c>
      <c r="I1266" t="s">
        <v>1357</v>
      </c>
      <c r="J1266" t="s">
        <v>1357</v>
      </c>
      <c r="K1266" t="s">
        <v>1357</v>
      </c>
      <c r="L1266" t="s">
        <v>1357</v>
      </c>
    </row>
    <row r="1267" spans="6:13">
      <c r="H1267" t="s">
        <v>8975</v>
      </c>
      <c r="I1267" t="s">
        <v>1357</v>
      </c>
      <c r="J1267" t="s">
        <v>1357</v>
      </c>
      <c r="K1267" t="s">
        <v>1357</v>
      </c>
      <c r="L1267" t="s">
        <v>1357</v>
      </c>
    </row>
    <row r="1268" spans="6:13">
      <c r="F1268" t="s">
        <v>7392</v>
      </c>
      <c r="G1268" t="s">
        <v>8081</v>
      </c>
      <c r="H1268" t="s">
        <v>3780</v>
      </c>
      <c r="I1268" t="s">
        <v>1357</v>
      </c>
      <c r="J1268" t="s">
        <v>1357</v>
      </c>
      <c r="K1268" t="s">
        <v>1357</v>
      </c>
      <c r="L1268" t="s">
        <v>1357</v>
      </c>
    </row>
    <row r="1269" spans="6:13">
      <c r="F1269" t="s">
        <v>7393</v>
      </c>
      <c r="G1269" t="s">
        <v>8082</v>
      </c>
      <c r="H1269" t="s">
        <v>3780</v>
      </c>
      <c r="I1269" t="s">
        <v>1357</v>
      </c>
      <c r="J1269" t="s">
        <v>1357</v>
      </c>
      <c r="K1269" t="s">
        <v>1357</v>
      </c>
      <c r="L1269" t="s">
        <v>1357</v>
      </c>
    </row>
    <row r="1270" spans="6:13">
      <c r="F1270" t="s">
        <v>7394</v>
      </c>
      <c r="G1270" t="s">
        <v>8083</v>
      </c>
      <c r="H1270" t="s">
        <v>3780</v>
      </c>
      <c r="I1270" t="s">
        <v>1357</v>
      </c>
      <c r="J1270" t="s">
        <v>1357</v>
      </c>
      <c r="K1270" t="s">
        <v>1357</v>
      </c>
      <c r="L1270" t="s">
        <v>1357</v>
      </c>
    </row>
    <row r="1271" spans="6:13">
      <c r="F1271" t="s">
        <v>7395</v>
      </c>
      <c r="G1271" t="s">
        <v>8084</v>
      </c>
      <c r="H1271" t="s">
        <v>3780</v>
      </c>
      <c r="I1271" t="s">
        <v>1357</v>
      </c>
      <c r="J1271" t="s">
        <v>1357</v>
      </c>
      <c r="K1271" t="s">
        <v>1357</v>
      </c>
      <c r="L1271" t="s">
        <v>1357</v>
      </c>
    </row>
    <row r="1272" spans="6:13">
      <c r="F1272" t="s">
        <v>7396</v>
      </c>
      <c r="G1272" t="s">
        <v>8085</v>
      </c>
      <c r="H1272" t="s">
        <v>3780</v>
      </c>
      <c r="I1272" t="s">
        <v>1357</v>
      </c>
      <c r="J1272" t="s">
        <v>1357</v>
      </c>
      <c r="K1272" t="s">
        <v>1357</v>
      </c>
      <c r="L1272" t="s">
        <v>1357</v>
      </c>
    </row>
    <row r="1273" spans="6:13">
      <c r="F1273" t="s">
        <v>7397</v>
      </c>
      <c r="G1273" t="s">
        <v>8086</v>
      </c>
      <c r="H1273" t="s">
        <v>3780</v>
      </c>
      <c r="I1273" t="s">
        <v>1357</v>
      </c>
      <c r="J1273" t="s">
        <v>1357</v>
      </c>
      <c r="K1273" t="s">
        <v>1357</v>
      </c>
      <c r="L1273" t="s">
        <v>1357</v>
      </c>
    </row>
    <row r="1274" spans="6:13">
      <c r="F1274" t="s">
        <v>7398</v>
      </c>
      <c r="G1274" t="s">
        <v>8087</v>
      </c>
      <c r="H1274" t="s">
        <v>3780</v>
      </c>
      <c r="I1274" t="s">
        <v>1357</v>
      </c>
      <c r="J1274" t="s">
        <v>1357</v>
      </c>
      <c r="K1274" t="s">
        <v>1357</v>
      </c>
      <c r="L1274" t="s">
        <v>1357</v>
      </c>
    </row>
    <row r="1275" spans="6:13">
      <c r="F1275" t="s">
        <v>7399</v>
      </c>
      <c r="G1275" t="s">
        <v>8088</v>
      </c>
      <c r="H1275" t="s">
        <v>3780</v>
      </c>
      <c r="I1275" t="s">
        <v>1357</v>
      </c>
      <c r="J1275" t="s">
        <v>1357</v>
      </c>
      <c r="K1275" t="s">
        <v>1357</v>
      </c>
      <c r="L1275" t="s">
        <v>1357</v>
      </c>
    </row>
    <row r="1276" spans="6:13">
      <c r="F1276" t="s">
        <v>7400</v>
      </c>
      <c r="G1276" t="s">
        <v>8089</v>
      </c>
      <c r="H1276" t="s">
        <v>3780</v>
      </c>
      <c r="I1276" t="s">
        <v>1357</v>
      </c>
      <c r="J1276" t="s">
        <v>1357</v>
      </c>
      <c r="K1276" t="s">
        <v>1357</v>
      </c>
      <c r="L1276" t="s">
        <v>1357</v>
      </c>
    </row>
    <row r="1277" spans="6:13">
      <c r="F1277" t="s">
        <v>7401</v>
      </c>
      <c r="G1277" t="s">
        <v>8090</v>
      </c>
      <c r="H1277" t="s">
        <v>3780</v>
      </c>
      <c r="I1277" t="s">
        <v>1357</v>
      </c>
      <c r="J1277" t="s">
        <v>1357</v>
      </c>
      <c r="K1277" t="s">
        <v>1357</v>
      </c>
      <c r="L1277" t="s">
        <v>1357</v>
      </c>
    </row>
    <row r="1278" spans="6:13">
      <c r="F1278" t="s">
        <v>7402</v>
      </c>
      <c r="G1278" t="s">
        <v>8091</v>
      </c>
      <c r="H1278" t="s">
        <v>3780</v>
      </c>
      <c r="I1278" t="s">
        <v>1357</v>
      </c>
      <c r="J1278" t="s">
        <v>1357</v>
      </c>
      <c r="K1278" t="s">
        <v>1357</v>
      </c>
      <c r="L1278" t="s">
        <v>1357</v>
      </c>
    </row>
    <row r="1279" spans="6:13">
      <c r="F1279" t="s">
        <v>7403</v>
      </c>
      <c r="G1279" t="s">
        <v>8092</v>
      </c>
      <c r="H1279" t="s">
        <v>3780</v>
      </c>
      <c r="I1279" t="s">
        <v>1357</v>
      </c>
      <c r="J1279" t="s">
        <v>1357</v>
      </c>
      <c r="K1279" t="s">
        <v>1357</v>
      </c>
      <c r="L1279" t="s">
        <v>1357</v>
      </c>
    </row>
    <row r="1280" spans="6:13">
      <c r="F1280" t="s">
        <v>7404</v>
      </c>
      <c r="G1280" t="s">
        <v>8093</v>
      </c>
      <c r="H1280" t="s">
        <v>3780</v>
      </c>
      <c r="I1280" t="s">
        <v>1357</v>
      </c>
      <c r="J1280" t="s">
        <v>1357</v>
      </c>
      <c r="K1280" t="s">
        <v>1357</v>
      </c>
      <c r="L1280" t="s">
        <v>1357</v>
      </c>
    </row>
    <row r="1281" spans="6:12">
      <c r="F1281" t="s">
        <v>7405</v>
      </c>
      <c r="G1281" t="s">
        <v>8094</v>
      </c>
      <c r="H1281" t="s">
        <v>3780</v>
      </c>
      <c r="I1281" t="s">
        <v>1357</v>
      </c>
      <c r="J1281" t="s">
        <v>1357</v>
      </c>
      <c r="K1281" t="s">
        <v>1357</v>
      </c>
      <c r="L1281" t="s">
        <v>1357</v>
      </c>
    </row>
    <row r="1282" spans="6:12">
      <c r="F1282" t="s">
        <v>7406</v>
      </c>
      <c r="G1282" t="s">
        <v>8095</v>
      </c>
      <c r="H1282" t="s">
        <v>3780</v>
      </c>
      <c r="I1282" t="s">
        <v>1357</v>
      </c>
      <c r="J1282" t="s">
        <v>1357</v>
      </c>
      <c r="K1282" t="s">
        <v>1357</v>
      </c>
      <c r="L1282" t="s">
        <v>1357</v>
      </c>
    </row>
    <row r="1283" spans="6:12">
      <c r="F1283" t="s">
        <v>7407</v>
      </c>
      <c r="G1283" t="s">
        <v>8096</v>
      </c>
      <c r="H1283" t="s">
        <v>3780</v>
      </c>
      <c r="I1283" t="s">
        <v>1357</v>
      </c>
      <c r="J1283" t="s">
        <v>1357</v>
      </c>
      <c r="K1283" t="s">
        <v>1357</v>
      </c>
      <c r="L1283" t="s">
        <v>1357</v>
      </c>
    </row>
    <row r="1284" spans="6:12">
      <c r="F1284" t="s">
        <v>7408</v>
      </c>
      <c r="G1284" t="s">
        <v>8097</v>
      </c>
      <c r="H1284" t="s">
        <v>3780</v>
      </c>
      <c r="I1284" t="s">
        <v>1357</v>
      </c>
      <c r="J1284" t="s">
        <v>1357</v>
      </c>
      <c r="K1284" t="s">
        <v>1357</v>
      </c>
      <c r="L1284" t="s">
        <v>1357</v>
      </c>
    </row>
    <row r="1285" spans="6:12">
      <c r="F1285" t="s">
        <v>7409</v>
      </c>
      <c r="G1285" t="s">
        <v>8098</v>
      </c>
      <c r="H1285" t="s">
        <v>3780</v>
      </c>
      <c r="I1285" t="s">
        <v>1357</v>
      </c>
      <c r="J1285" t="s">
        <v>1357</v>
      </c>
      <c r="K1285" t="s">
        <v>1357</v>
      </c>
      <c r="L1285" t="s">
        <v>1357</v>
      </c>
    </row>
    <row r="1286" spans="6:12">
      <c r="F1286" t="s">
        <v>7410</v>
      </c>
      <c r="G1286" t="s">
        <v>8099</v>
      </c>
      <c r="H1286" t="s">
        <v>3780</v>
      </c>
      <c r="I1286" t="s">
        <v>1357</v>
      </c>
      <c r="J1286" t="s">
        <v>1357</v>
      </c>
      <c r="K1286" t="s">
        <v>1357</v>
      </c>
      <c r="L1286" t="s">
        <v>1357</v>
      </c>
    </row>
    <row r="1287" spans="6:12">
      <c r="F1287" t="s">
        <v>7411</v>
      </c>
      <c r="G1287" t="s">
        <v>8100</v>
      </c>
      <c r="H1287" t="s">
        <v>3780</v>
      </c>
      <c r="I1287" t="s">
        <v>1357</v>
      </c>
      <c r="J1287" t="s">
        <v>1357</v>
      </c>
      <c r="K1287" t="s">
        <v>1357</v>
      </c>
      <c r="L1287" t="s">
        <v>1357</v>
      </c>
    </row>
    <row r="1288" spans="6:12">
      <c r="F1288" t="s">
        <v>7412</v>
      </c>
      <c r="G1288" t="s">
        <v>8101</v>
      </c>
      <c r="H1288" t="s">
        <v>3780</v>
      </c>
      <c r="I1288" t="s">
        <v>1357</v>
      </c>
      <c r="J1288" t="s">
        <v>1357</v>
      </c>
      <c r="K1288" t="s">
        <v>1357</v>
      </c>
      <c r="L1288" t="s">
        <v>1357</v>
      </c>
    </row>
    <row r="1289" spans="6:12">
      <c r="F1289" t="s">
        <v>7413</v>
      </c>
      <c r="G1289" t="s">
        <v>8102</v>
      </c>
      <c r="H1289" t="s">
        <v>3780</v>
      </c>
      <c r="I1289" t="s">
        <v>1357</v>
      </c>
      <c r="J1289" t="s">
        <v>1357</v>
      </c>
      <c r="K1289" t="s">
        <v>1357</v>
      </c>
      <c r="L1289" t="s">
        <v>1357</v>
      </c>
    </row>
    <row r="1290" spans="6:12">
      <c r="F1290" t="s">
        <v>7414</v>
      </c>
      <c r="G1290" t="s">
        <v>8103</v>
      </c>
      <c r="H1290" t="s">
        <v>3780</v>
      </c>
      <c r="I1290" t="s">
        <v>1357</v>
      </c>
      <c r="J1290" t="s">
        <v>1357</v>
      </c>
      <c r="K1290" t="s">
        <v>1357</v>
      </c>
      <c r="L1290" t="s">
        <v>1357</v>
      </c>
    </row>
    <row r="1291" spans="6:12">
      <c r="F1291" t="s">
        <v>7415</v>
      </c>
      <c r="G1291" t="s">
        <v>8104</v>
      </c>
      <c r="H1291" t="s">
        <v>3780</v>
      </c>
      <c r="I1291" t="s">
        <v>1357</v>
      </c>
      <c r="J1291" t="s">
        <v>1357</v>
      </c>
      <c r="K1291" t="s">
        <v>1357</v>
      </c>
      <c r="L1291" t="s">
        <v>1357</v>
      </c>
    </row>
    <row r="1292" spans="6:12">
      <c r="F1292" t="s">
        <v>7416</v>
      </c>
      <c r="G1292" t="s">
        <v>8105</v>
      </c>
      <c r="H1292" t="s">
        <v>3780</v>
      </c>
      <c r="I1292" t="s">
        <v>1357</v>
      </c>
      <c r="J1292" t="s">
        <v>1357</v>
      </c>
      <c r="K1292" t="s">
        <v>1357</v>
      </c>
      <c r="L1292" t="s">
        <v>1357</v>
      </c>
    </row>
    <row r="1293" spans="6:12">
      <c r="F1293" t="s">
        <v>7417</v>
      </c>
      <c r="G1293" t="s">
        <v>8106</v>
      </c>
      <c r="H1293" t="s">
        <v>3780</v>
      </c>
      <c r="I1293" t="s">
        <v>1357</v>
      </c>
      <c r="J1293" t="s">
        <v>1357</v>
      </c>
      <c r="K1293" t="s">
        <v>1357</v>
      </c>
      <c r="L1293" t="s">
        <v>1357</v>
      </c>
    </row>
    <row r="1294" spans="6:12">
      <c r="F1294" t="s">
        <v>7418</v>
      </c>
      <c r="G1294" t="s">
        <v>8107</v>
      </c>
      <c r="H1294" t="s">
        <v>3780</v>
      </c>
      <c r="I1294" t="s">
        <v>1357</v>
      </c>
      <c r="J1294" t="s">
        <v>1357</v>
      </c>
      <c r="K1294" t="s">
        <v>1357</v>
      </c>
      <c r="L1294" t="s">
        <v>1357</v>
      </c>
    </row>
    <row r="1295" spans="6:12">
      <c r="F1295" t="s">
        <v>7419</v>
      </c>
      <c r="G1295" t="s">
        <v>8108</v>
      </c>
      <c r="H1295" t="s">
        <v>3780</v>
      </c>
      <c r="I1295" t="s">
        <v>1357</v>
      </c>
      <c r="J1295" t="s">
        <v>1357</v>
      </c>
      <c r="K1295" t="s">
        <v>1357</v>
      </c>
      <c r="L1295" t="s">
        <v>1357</v>
      </c>
    </row>
    <row r="1296" spans="6:12">
      <c r="F1296" t="s">
        <v>7420</v>
      </c>
      <c r="G1296" t="s">
        <v>8109</v>
      </c>
      <c r="H1296" t="s">
        <v>3780</v>
      </c>
      <c r="I1296" t="s">
        <v>1357</v>
      </c>
      <c r="J1296" t="s">
        <v>1357</v>
      </c>
      <c r="K1296" t="s">
        <v>1357</v>
      </c>
      <c r="L1296" t="s">
        <v>1357</v>
      </c>
    </row>
    <row r="1297" spans="6:12">
      <c r="F1297" t="s">
        <v>7421</v>
      </c>
      <c r="G1297" t="s">
        <v>8110</v>
      </c>
      <c r="H1297" t="s">
        <v>3780</v>
      </c>
      <c r="I1297" t="s">
        <v>1357</v>
      </c>
      <c r="J1297" t="s">
        <v>1357</v>
      </c>
      <c r="K1297" t="s">
        <v>1357</v>
      </c>
      <c r="L1297" t="s">
        <v>1357</v>
      </c>
    </row>
    <row r="1298" spans="6:12">
      <c r="F1298" t="s">
        <v>7422</v>
      </c>
      <c r="G1298" t="s">
        <v>8111</v>
      </c>
      <c r="H1298" t="s">
        <v>3780</v>
      </c>
      <c r="I1298" t="s">
        <v>1357</v>
      </c>
      <c r="J1298" t="s">
        <v>1357</v>
      </c>
      <c r="K1298" t="s">
        <v>1357</v>
      </c>
      <c r="L1298" t="s">
        <v>1357</v>
      </c>
    </row>
    <row r="1299" spans="6:12">
      <c r="F1299" t="s">
        <v>7423</v>
      </c>
      <c r="G1299" t="s">
        <v>8112</v>
      </c>
      <c r="H1299" t="s">
        <v>3780</v>
      </c>
      <c r="I1299" t="s">
        <v>1357</v>
      </c>
      <c r="J1299" t="s">
        <v>1357</v>
      </c>
      <c r="K1299" t="s">
        <v>1357</v>
      </c>
      <c r="L1299" t="s">
        <v>1357</v>
      </c>
    </row>
    <row r="1300" spans="6:12">
      <c r="F1300" t="s">
        <v>7424</v>
      </c>
      <c r="G1300" t="s">
        <v>8113</v>
      </c>
      <c r="H1300" t="s">
        <v>3780</v>
      </c>
      <c r="I1300" t="s">
        <v>1357</v>
      </c>
      <c r="J1300" t="s">
        <v>1357</v>
      </c>
      <c r="K1300" t="s">
        <v>1357</v>
      </c>
      <c r="L1300" t="s">
        <v>1357</v>
      </c>
    </row>
    <row r="1301" spans="6:12">
      <c r="F1301" t="s">
        <v>7425</v>
      </c>
      <c r="G1301" t="s">
        <v>8114</v>
      </c>
      <c r="H1301" t="s">
        <v>3780</v>
      </c>
      <c r="I1301" t="s">
        <v>1357</v>
      </c>
      <c r="J1301" t="s">
        <v>1357</v>
      </c>
      <c r="K1301" t="s">
        <v>1357</v>
      </c>
      <c r="L1301" t="s">
        <v>1357</v>
      </c>
    </row>
    <row r="1302" spans="6:12">
      <c r="F1302" t="s">
        <v>7426</v>
      </c>
      <c r="G1302" t="s">
        <v>8115</v>
      </c>
      <c r="H1302" t="s">
        <v>3780</v>
      </c>
      <c r="I1302" t="s">
        <v>1357</v>
      </c>
      <c r="J1302" t="s">
        <v>1357</v>
      </c>
      <c r="K1302" t="s">
        <v>1357</v>
      </c>
      <c r="L1302" t="s">
        <v>1357</v>
      </c>
    </row>
    <row r="1303" spans="6:12">
      <c r="F1303" t="s">
        <v>7427</v>
      </c>
      <c r="G1303" t="s">
        <v>8116</v>
      </c>
      <c r="H1303" t="s">
        <v>3780</v>
      </c>
      <c r="I1303" t="s">
        <v>1357</v>
      </c>
      <c r="J1303" t="s">
        <v>1357</v>
      </c>
      <c r="K1303" t="s">
        <v>1357</v>
      </c>
      <c r="L1303" t="s">
        <v>1357</v>
      </c>
    </row>
    <row r="1304" spans="6:12">
      <c r="F1304" t="s">
        <v>7428</v>
      </c>
      <c r="G1304" t="s">
        <v>8117</v>
      </c>
      <c r="H1304" t="s">
        <v>3780</v>
      </c>
      <c r="I1304" t="s">
        <v>1357</v>
      </c>
      <c r="J1304" t="s">
        <v>1357</v>
      </c>
      <c r="K1304" t="s">
        <v>1357</v>
      </c>
      <c r="L1304" t="s">
        <v>1357</v>
      </c>
    </row>
    <row r="1305" spans="6:12">
      <c r="F1305" t="s">
        <v>7429</v>
      </c>
      <c r="G1305" t="s">
        <v>8118</v>
      </c>
      <c r="H1305" t="s">
        <v>3780</v>
      </c>
      <c r="I1305" t="s">
        <v>1357</v>
      </c>
      <c r="J1305" t="s">
        <v>1357</v>
      </c>
      <c r="K1305" t="s">
        <v>1357</v>
      </c>
      <c r="L1305" t="s">
        <v>1357</v>
      </c>
    </row>
    <row r="1306" spans="6:12">
      <c r="F1306" t="s">
        <v>7430</v>
      </c>
      <c r="G1306" t="s">
        <v>8119</v>
      </c>
      <c r="H1306" t="s">
        <v>3780</v>
      </c>
      <c r="I1306" t="s">
        <v>1357</v>
      </c>
      <c r="J1306" t="s">
        <v>1357</v>
      </c>
      <c r="K1306" t="s">
        <v>1357</v>
      </c>
      <c r="L1306" t="s">
        <v>1357</v>
      </c>
    </row>
    <row r="1307" spans="6:12">
      <c r="F1307" t="s">
        <v>7431</v>
      </c>
      <c r="G1307" t="s">
        <v>8120</v>
      </c>
      <c r="H1307" t="s">
        <v>3780</v>
      </c>
      <c r="I1307" t="s">
        <v>1357</v>
      </c>
      <c r="J1307" t="s">
        <v>1357</v>
      </c>
      <c r="K1307" t="s">
        <v>1357</v>
      </c>
      <c r="L1307" t="s">
        <v>1357</v>
      </c>
    </row>
    <row r="1308" spans="6:12">
      <c r="F1308" t="s">
        <v>7432</v>
      </c>
      <c r="G1308" t="s">
        <v>8121</v>
      </c>
      <c r="H1308" t="s">
        <v>3780</v>
      </c>
      <c r="I1308" t="s">
        <v>1357</v>
      </c>
      <c r="J1308" t="s">
        <v>1357</v>
      </c>
      <c r="K1308" t="s">
        <v>1357</v>
      </c>
      <c r="L1308" t="s">
        <v>1357</v>
      </c>
    </row>
    <row r="1309" spans="6:12">
      <c r="F1309" t="s">
        <v>7433</v>
      </c>
      <c r="G1309" t="s">
        <v>8122</v>
      </c>
      <c r="H1309" t="s">
        <v>3780</v>
      </c>
      <c r="I1309" t="s">
        <v>1357</v>
      </c>
      <c r="J1309" t="s">
        <v>1357</v>
      </c>
      <c r="K1309" t="s">
        <v>1357</v>
      </c>
      <c r="L1309" t="s">
        <v>1357</v>
      </c>
    </row>
    <row r="1310" spans="6:12">
      <c r="F1310" t="s">
        <v>7434</v>
      </c>
      <c r="G1310" t="s">
        <v>8123</v>
      </c>
      <c r="H1310" t="s">
        <v>3780</v>
      </c>
      <c r="I1310" t="s">
        <v>1357</v>
      </c>
      <c r="J1310" t="s">
        <v>1357</v>
      </c>
      <c r="K1310" t="s">
        <v>1357</v>
      </c>
      <c r="L1310" t="s">
        <v>1357</v>
      </c>
    </row>
    <row r="1311" spans="6:12">
      <c r="F1311" t="s">
        <v>7435</v>
      </c>
      <c r="G1311" t="s">
        <v>8124</v>
      </c>
      <c r="H1311" t="s">
        <v>3780</v>
      </c>
      <c r="I1311" t="s">
        <v>1357</v>
      </c>
      <c r="J1311" t="s">
        <v>1357</v>
      </c>
      <c r="K1311" t="s">
        <v>1357</v>
      </c>
      <c r="L1311" t="s">
        <v>1357</v>
      </c>
    </row>
    <row r="1312" spans="6:12">
      <c r="F1312" t="s">
        <v>7436</v>
      </c>
      <c r="G1312" t="s">
        <v>8125</v>
      </c>
      <c r="H1312" t="s">
        <v>3780</v>
      </c>
      <c r="I1312" t="s">
        <v>1357</v>
      </c>
      <c r="J1312" t="s">
        <v>1357</v>
      </c>
      <c r="K1312" t="s">
        <v>1357</v>
      </c>
      <c r="L1312" t="s">
        <v>1357</v>
      </c>
    </row>
    <row r="1313" spans="6:12">
      <c r="F1313" t="s">
        <v>7437</v>
      </c>
      <c r="G1313" t="s">
        <v>8126</v>
      </c>
      <c r="H1313" t="s">
        <v>3780</v>
      </c>
      <c r="I1313" t="s">
        <v>1357</v>
      </c>
      <c r="J1313" t="s">
        <v>1357</v>
      </c>
      <c r="K1313" t="s">
        <v>1357</v>
      </c>
      <c r="L1313" t="s">
        <v>1357</v>
      </c>
    </row>
    <row r="1314" spans="6:12">
      <c r="F1314" t="s">
        <v>7438</v>
      </c>
      <c r="G1314" t="s">
        <v>8127</v>
      </c>
      <c r="H1314" t="s">
        <v>3780</v>
      </c>
      <c r="I1314" t="s">
        <v>1357</v>
      </c>
      <c r="J1314" t="s">
        <v>1357</v>
      </c>
      <c r="K1314" t="s">
        <v>1357</v>
      </c>
      <c r="L1314" t="s">
        <v>1357</v>
      </c>
    </row>
    <row r="1315" spans="6:12">
      <c r="F1315" t="s">
        <v>7439</v>
      </c>
      <c r="G1315" t="s">
        <v>8128</v>
      </c>
      <c r="H1315" t="s">
        <v>3780</v>
      </c>
      <c r="I1315" t="s">
        <v>1357</v>
      </c>
      <c r="J1315" t="s">
        <v>1357</v>
      </c>
      <c r="K1315" t="s">
        <v>1357</v>
      </c>
      <c r="L1315" t="s">
        <v>1357</v>
      </c>
    </row>
    <row r="1316" spans="6:12">
      <c r="F1316" t="s">
        <v>7440</v>
      </c>
      <c r="G1316" t="s">
        <v>8129</v>
      </c>
      <c r="H1316" t="s">
        <v>3780</v>
      </c>
      <c r="I1316" t="s">
        <v>1357</v>
      </c>
      <c r="J1316" t="s">
        <v>1357</v>
      </c>
      <c r="K1316" t="s">
        <v>1357</v>
      </c>
      <c r="L1316" t="s">
        <v>1357</v>
      </c>
    </row>
    <row r="1317" spans="6:12">
      <c r="F1317" t="s">
        <v>7441</v>
      </c>
      <c r="G1317" t="s">
        <v>8130</v>
      </c>
      <c r="H1317" t="s">
        <v>3780</v>
      </c>
      <c r="I1317" t="s">
        <v>1357</v>
      </c>
      <c r="J1317" t="s">
        <v>1357</v>
      </c>
      <c r="K1317" t="s">
        <v>1357</v>
      </c>
      <c r="L1317" t="s">
        <v>1357</v>
      </c>
    </row>
    <row r="1318" spans="6:12">
      <c r="F1318" t="s">
        <v>7442</v>
      </c>
      <c r="G1318" t="s">
        <v>8131</v>
      </c>
      <c r="H1318" t="s">
        <v>3780</v>
      </c>
      <c r="I1318" t="s">
        <v>1357</v>
      </c>
      <c r="J1318" t="s">
        <v>1357</v>
      </c>
      <c r="K1318" t="s">
        <v>1357</v>
      </c>
      <c r="L1318" t="s">
        <v>1357</v>
      </c>
    </row>
    <row r="1319" spans="6:12">
      <c r="F1319" t="s">
        <v>7443</v>
      </c>
      <c r="G1319" t="s">
        <v>8132</v>
      </c>
      <c r="H1319" t="s">
        <v>3780</v>
      </c>
      <c r="I1319" t="s">
        <v>1357</v>
      </c>
      <c r="J1319" t="s">
        <v>1357</v>
      </c>
      <c r="K1319" t="s">
        <v>1357</v>
      </c>
      <c r="L1319" t="s">
        <v>1357</v>
      </c>
    </row>
    <row r="1320" spans="6:12">
      <c r="F1320" t="s">
        <v>7444</v>
      </c>
      <c r="G1320" t="s">
        <v>8133</v>
      </c>
      <c r="H1320" t="s">
        <v>3780</v>
      </c>
      <c r="I1320" t="s">
        <v>1357</v>
      </c>
      <c r="J1320" t="s">
        <v>1357</v>
      </c>
      <c r="K1320" t="s">
        <v>1357</v>
      </c>
      <c r="L1320" t="s">
        <v>1357</v>
      </c>
    </row>
    <row r="1321" spans="6:12">
      <c r="F1321" t="s">
        <v>7445</v>
      </c>
      <c r="G1321" t="s">
        <v>8134</v>
      </c>
      <c r="H1321" t="s">
        <v>3780</v>
      </c>
      <c r="I1321" t="s">
        <v>1357</v>
      </c>
      <c r="J1321" t="s">
        <v>1357</v>
      </c>
      <c r="K1321" t="s">
        <v>1357</v>
      </c>
      <c r="L1321" t="s">
        <v>1357</v>
      </c>
    </row>
    <row r="1322" spans="6:12">
      <c r="F1322" t="s">
        <v>7446</v>
      </c>
      <c r="G1322" t="s">
        <v>8135</v>
      </c>
      <c r="H1322" t="s">
        <v>3780</v>
      </c>
      <c r="I1322" t="s">
        <v>1357</v>
      </c>
      <c r="J1322" t="s">
        <v>1357</v>
      </c>
      <c r="K1322" t="s">
        <v>1357</v>
      </c>
      <c r="L1322" t="s">
        <v>1357</v>
      </c>
    </row>
    <row r="1323" spans="6:12">
      <c r="F1323" t="s">
        <v>7447</v>
      </c>
      <c r="G1323" t="s">
        <v>8136</v>
      </c>
      <c r="H1323" t="s">
        <v>3780</v>
      </c>
      <c r="I1323" t="s">
        <v>1357</v>
      </c>
      <c r="J1323" t="s">
        <v>1357</v>
      </c>
      <c r="K1323" t="s">
        <v>1357</v>
      </c>
      <c r="L1323" t="s">
        <v>1357</v>
      </c>
    </row>
    <row r="1324" spans="6:12">
      <c r="F1324" t="s">
        <v>7448</v>
      </c>
      <c r="G1324" t="s">
        <v>8137</v>
      </c>
      <c r="H1324" t="s">
        <v>3780</v>
      </c>
      <c r="I1324" t="s">
        <v>1357</v>
      </c>
      <c r="J1324" t="s">
        <v>1357</v>
      </c>
      <c r="K1324" t="s">
        <v>1357</v>
      </c>
      <c r="L1324" t="s">
        <v>1357</v>
      </c>
    </row>
    <row r="1325" spans="6:12">
      <c r="F1325" t="s">
        <v>7449</v>
      </c>
      <c r="G1325" t="s">
        <v>8138</v>
      </c>
      <c r="H1325" t="s">
        <v>3780</v>
      </c>
      <c r="I1325" t="s">
        <v>1357</v>
      </c>
      <c r="J1325" t="s">
        <v>1357</v>
      </c>
      <c r="K1325" t="s">
        <v>1357</v>
      </c>
      <c r="L1325" t="s">
        <v>1357</v>
      </c>
    </row>
    <row r="1326" spans="6:12">
      <c r="F1326" t="s">
        <v>7450</v>
      </c>
      <c r="G1326" t="s">
        <v>8139</v>
      </c>
      <c r="H1326" t="s">
        <v>3780</v>
      </c>
      <c r="I1326" t="s">
        <v>1357</v>
      </c>
      <c r="J1326" t="s">
        <v>1357</v>
      </c>
      <c r="K1326" t="s">
        <v>1357</v>
      </c>
      <c r="L1326" t="s">
        <v>1357</v>
      </c>
    </row>
    <row r="1327" spans="6:12">
      <c r="F1327" t="s">
        <v>7451</v>
      </c>
      <c r="G1327" t="s">
        <v>8140</v>
      </c>
      <c r="H1327" t="s">
        <v>3780</v>
      </c>
      <c r="I1327" t="s">
        <v>1357</v>
      </c>
      <c r="J1327" t="s">
        <v>1357</v>
      </c>
      <c r="K1327" t="s">
        <v>1357</v>
      </c>
      <c r="L1327" t="s">
        <v>1357</v>
      </c>
    </row>
    <row r="1328" spans="6:12">
      <c r="F1328" t="s">
        <v>7452</v>
      </c>
      <c r="G1328" t="s">
        <v>8141</v>
      </c>
      <c r="H1328" t="s">
        <v>3780</v>
      </c>
      <c r="I1328" t="s">
        <v>1357</v>
      </c>
      <c r="J1328" t="s">
        <v>1357</v>
      </c>
      <c r="K1328" t="s">
        <v>1357</v>
      </c>
      <c r="L1328" t="s">
        <v>1357</v>
      </c>
    </row>
    <row r="1329" spans="6:12">
      <c r="F1329" t="s">
        <v>7453</v>
      </c>
      <c r="G1329" t="s">
        <v>8142</v>
      </c>
      <c r="H1329" t="s">
        <v>1009</v>
      </c>
      <c r="I1329" t="s">
        <v>1357</v>
      </c>
      <c r="J1329" t="s">
        <v>1357</v>
      </c>
      <c r="K1329" t="s">
        <v>1357</v>
      </c>
      <c r="L1329" t="s">
        <v>1357</v>
      </c>
    </row>
    <row r="1330" spans="6:12">
      <c r="F1330" t="s">
        <v>7454</v>
      </c>
      <c r="G1330" t="s">
        <v>7786</v>
      </c>
      <c r="H1330" t="s">
        <v>8976</v>
      </c>
      <c r="I1330" t="s">
        <v>1357</v>
      </c>
      <c r="J1330" t="s">
        <v>1357</v>
      </c>
      <c r="K1330" t="s">
        <v>1357</v>
      </c>
      <c r="L1330" t="s">
        <v>1357</v>
      </c>
    </row>
    <row r="1331" spans="6:12">
      <c r="F1331" t="s">
        <v>7455</v>
      </c>
      <c r="G1331" t="s">
        <v>8143</v>
      </c>
      <c r="H1331" t="s">
        <v>8977</v>
      </c>
      <c r="I1331" t="s">
        <v>1357</v>
      </c>
      <c r="J1331" t="s">
        <v>1357</v>
      </c>
      <c r="K1331" t="s">
        <v>1357</v>
      </c>
      <c r="L1331" t="s">
        <v>1357</v>
      </c>
    </row>
    <row r="1332" spans="6:12">
      <c r="H1332" t="s">
        <v>8978</v>
      </c>
      <c r="I1332" t="s">
        <v>1357</v>
      </c>
      <c r="J1332" t="s">
        <v>1357</v>
      </c>
      <c r="K1332" t="s">
        <v>1357</v>
      </c>
      <c r="L1332" t="s">
        <v>1357</v>
      </c>
    </row>
    <row r="1333" spans="6:12">
      <c r="F1333" t="s">
        <v>7456</v>
      </c>
      <c r="G1333" t="s">
        <v>7722</v>
      </c>
      <c r="H1333" t="s">
        <v>901</v>
      </c>
      <c r="I1333" t="s">
        <v>1357</v>
      </c>
      <c r="J1333" t="s">
        <v>1357</v>
      </c>
      <c r="K1333" t="s">
        <v>1357</v>
      </c>
      <c r="L1333" t="s">
        <v>1357</v>
      </c>
    </row>
    <row r="1334" spans="6:12">
      <c r="F1334" t="s">
        <v>7457</v>
      </c>
      <c r="G1334" t="s">
        <v>8144</v>
      </c>
      <c r="H1334" t="s">
        <v>8979</v>
      </c>
      <c r="I1334" t="s">
        <v>1357</v>
      </c>
      <c r="J1334" t="s">
        <v>1357</v>
      </c>
      <c r="K1334" t="s">
        <v>1357</v>
      </c>
      <c r="L1334" t="s">
        <v>1357</v>
      </c>
    </row>
    <row r="1335" spans="6:12">
      <c r="H1335" t="s">
        <v>8980</v>
      </c>
      <c r="I1335" t="s">
        <v>1357</v>
      </c>
      <c r="J1335" t="s">
        <v>1357</v>
      </c>
      <c r="K1335" t="s">
        <v>1357</v>
      </c>
      <c r="L1335" t="s">
        <v>1357</v>
      </c>
    </row>
    <row r="1336" spans="6:12">
      <c r="F1336" t="s">
        <v>7458</v>
      </c>
      <c r="G1336" t="s">
        <v>8145</v>
      </c>
      <c r="H1336" t="s">
        <v>8981</v>
      </c>
      <c r="I1336" t="s">
        <v>1357</v>
      </c>
      <c r="J1336" t="s">
        <v>1357</v>
      </c>
      <c r="K1336" t="s">
        <v>1357</v>
      </c>
      <c r="L1336" t="s">
        <v>1357</v>
      </c>
    </row>
    <row r="1337" spans="6:12">
      <c r="F1337" t="s">
        <v>7459</v>
      </c>
      <c r="G1337" t="s">
        <v>7745</v>
      </c>
      <c r="H1337" t="s">
        <v>8454</v>
      </c>
      <c r="I1337" t="s">
        <v>1357</v>
      </c>
      <c r="J1337" t="s">
        <v>1357</v>
      </c>
      <c r="K1337" t="s">
        <v>1357</v>
      </c>
      <c r="L1337" t="s">
        <v>1357</v>
      </c>
    </row>
    <row r="1338" spans="6:12">
      <c r="H1338" t="s">
        <v>8455</v>
      </c>
      <c r="I1338" t="s">
        <v>1357</v>
      </c>
      <c r="J1338" t="s">
        <v>1357</v>
      </c>
      <c r="K1338" t="s">
        <v>1357</v>
      </c>
      <c r="L1338" t="s">
        <v>1357</v>
      </c>
    </row>
    <row r="1339" spans="6:12">
      <c r="H1339" t="s">
        <v>8456</v>
      </c>
      <c r="I1339" t="s">
        <v>1357</v>
      </c>
      <c r="J1339" t="s">
        <v>1357</v>
      </c>
      <c r="K1339" t="s">
        <v>1357</v>
      </c>
      <c r="L1339" t="s">
        <v>1357</v>
      </c>
    </row>
    <row r="1340" spans="6:12">
      <c r="H1340" t="s">
        <v>8457</v>
      </c>
      <c r="I1340" t="s">
        <v>1357</v>
      </c>
      <c r="J1340" t="s">
        <v>1357</v>
      </c>
      <c r="K1340" t="s">
        <v>1357</v>
      </c>
      <c r="L1340" t="s">
        <v>1357</v>
      </c>
    </row>
    <row r="1341" spans="6:12">
      <c r="H1341" t="s">
        <v>8458</v>
      </c>
      <c r="I1341" t="s">
        <v>1357</v>
      </c>
      <c r="J1341" t="s">
        <v>1357</v>
      </c>
      <c r="K1341" t="s">
        <v>1357</v>
      </c>
      <c r="L1341" t="s">
        <v>1357</v>
      </c>
    </row>
    <row r="1342" spans="6:12">
      <c r="H1342" t="s">
        <v>8459</v>
      </c>
      <c r="I1342" t="s">
        <v>1357</v>
      </c>
      <c r="J1342" t="s">
        <v>1357</v>
      </c>
      <c r="K1342" t="s">
        <v>1357</v>
      </c>
      <c r="L1342" t="s">
        <v>1357</v>
      </c>
    </row>
    <row r="1343" spans="6:12">
      <c r="F1343" t="s">
        <v>7460</v>
      </c>
      <c r="G1343" t="s">
        <v>8146</v>
      </c>
      <c r="H1343" t="s">
        <v>8982</v>
      </c>
      <c r="I1343" t="s">
        <v>1357</v>
      </c>
      <c r="J1343" t="s">
        <v>1357</v>
      </c>
      <c r="K1343" t="s">
        <v>1357</v>
      </c>
      <c r="L1343" t="s">
        <v>1357</v>
      </c>
    </row>
    <row r="1344" spans="6:12">
      <c r="H1344" t="s">
        <v>8983</v>
      </c>
      <c r="I1344" t="s">
        <v>1357</v>
      </c>
      <c r="J1344" t="s">
        <v>1357</v>
      </c>
      <c r="K1344" t="s">
        <v>1357</v>
      </c>
      <c r="L1344" t="s">
        <v>1357</v>
      </c>
    </row>
    <row r="1345" spans="6:12">
      <c r="H1345" t="s">
        <v>8984</v>
      </c>
      <c r="I1345" t="s">
        <v>1357</v>
      </c>
      <c r="J1345" t="s">
        <v>1357</v>
      </c>
      <c r="K1345" t="s">
        <v>1357</v>
      </c>
      <c r="L1345" t="s">
        <v>1357</v>
      </c>
    </row>
    <row r="1346" spans="6:12">
      <c r="H1346" t="s">
        <v>8985</v>
      </c>
      <c r="I1346" t="s">
        <v>1357</v>
      </c>
      <c r="J1346" t="s">
        <v>1357</v>
      </c>
      <c r="K1346" t="s">
        <v>1357</v>
      </c>
      <c r="L1346" t="s">
        <v>1357</v>
      </c>
    </row>
    <row r="1347" spans="6:12">
      <c r="F1347" t="s">
        <v>7461</v>
      </c>
      <c r="G1347" t="s">
        <v>8147</v>
      </c>
      <c r="H1347" t="s">
        <v>8986</v>
      </c>
      <c r="I1347" t="s">
        <v>1357</v>
      </c>
      <c r="J1347" t="s">
        <v>1357</v>
      </c>
      <c r="K1347" t="s">
        <v>1357</v>
      </c>
      <c r="L1347" t="s">
        <v>1357</v>
      </c>
    </row>
    <row r="1348" spans="6:12">
      <c r="F1348" t="s">
        <v>7462</v>
      </c>
      <c r="G1348" t="s">
        <v>8148</v>
      </c>
      <c r="H1348" t="s">
        <v>8987</v>
      </c>
      <c r="I1348" t="s">
        <v>1357</v>
      </c>
      <c r="J1348" t="s">
        <v>1357</v>
      </c>
      <c r="K1348" t="s">
        <v>1357</v>
      </c>
      <c r="L1348" t="s">
        <v>1357</v>
      </c>
    </row>
    <row r="1349" spans="6:12">
      <c r="F1349" t="s">
        <v>7463</v>
      </c>
      <c r="G1349" t="s">
        <v>8149</v>
      </c>
      <c r="H1349" t="s">
        <v>8988</v>
      </c>
      <c r="I1349" t="s">
        <v>1357</v>
      </c>
      <c r="J1349" t="s">
        <v>1357</v>
      </c>
      <c r="K1349" t="s">
        <v>1357</v>
      </c>
      <c r="L1349" t="s">
        <v>1357</v>
      </c>
    </row>
    <row r="1350" spans="6:12">
      <c r="H1350" t="s">
        <v>8989</v>
      </c>
      <c r="I1350" t="s">
        <v>1357</v>
      </c>
      <c r="J1350" t="s">
        <v>1357</v>
      </c>
      <c r="K1350" t="s">
        <v>1357</v>
      </c>
      <c r="L1350" t="s">
        <v>1357</v>
      </c>
    </row>
    <row r="1351" spans="6:12">
      <c r="H1351" t="s">
        <v>8990</v>
      </c>
      <c r="I1351" t="s">
        <v>1357</v>
      </c>
      <c r="J1351" t="s">
        <v>1357</v>
      </c>
      <c r="K1351" t="s">
        <v>1357</v>
      </c>
      <c r="L1351" t="s">
        <v>1357</v>
      </c>
    </row>
    <row r="1352" spans="6:12">
      <c r="H1352" t="s">
        <v>8991</v>
      </c>
      <c r="I1352" t="s">
        <v>1357</v>
      </c>
      <c r="J1352" t="s">
        <v>1357</v>
      </c>
      <c r="K1352" t="s">
        <v>1357</v>
      </c>
      <c r="L1352" t="s">
        <v>1357</v>
      </c>
    </row>
    <row r="1353" spans="6:12">
      <c r="H1353" t="s">
        <v>8992</v>
      </c>
      <c r="I1353" t="s">
        <v>1357</v>
      </c>
      <c r="J1353" t="s">
        <v>1357</v>
      </c>
      <c r="K1353" t="s">
        <v>1357</v>
      </c>
      <c r="L1353" t="s">
        <v>1357</v>
      </c>
    </row>
    <row r="1354" spans="6:12">
      <c r="H1354" t="s">
        <v>5930</v>
      </c>
      <c r="I1354" t="s">
        <v>1357</v>
      </c>
      <c r="J1354" t="s">
        <v>1357</v>
      </c>
      <c r="K1354" t="s">
        <v>1357</v>
      </c>
      <c r="L1354" t="s">
        <v>1357</v>
      </c>
    </row>
    <row r="1355" spans="6:12">
      <c r="H1355" t="s">
        <v>8993</v>
      </c>
      <c r="I1355" t="s">
        <v>1357</v>
      </c>
      <c r="J1355" t="s">
        <v>1357</v>
      </c>
      <c r="K1355" t="s">
        <v>1357</v>
      </c>
      <c r="L1355" t="s">
        <v>1357</v>
      </c>
    </row>
    <row r="1356" spans="6:12">
      <c r="H1356" t="s">
        <v>8994</v>
      </c>
      <c r="I1356" t="s">
        <v>1357</v>
      </c>
      <c r="J1356" t="s">
        <v>1357</v>
      </c>
      <c r="K1356" t="s">
        <v>1357</v>
      </c>
      <c r="L1356" t="s">
        <v>1357</v>
      </c>
    </row>
    <row r="1357" spans="6:12">
      <c r="H1357" t="s">
        <v>8995</v>
      </c>
      <c r="I1357" t="s">
        <v>1357</v>
      </c>
      <c r="J1357" t="s">
        <v>1357</v>
      </c>
      <c r="K1357" t="s">
        <v>1357</v>
      </c>
      <c r="L1357" t="s">
        <v>1357</v>
      </c>
    </row>
    <row r="1358" spans="6:12">
      <c r="H1358" t="s">
        <v>8996</v>
      </c>
      <c r="I1358" t="s">
        <v>1357</v>
      </c>
      <c r="J1358" t="s">
        <v>1357</v>
      </c>
      <c r="K1358" t="s">
        <v>1357</v>
      </c>
      <c r="L1358" t="s">
        <v>1357</v>
      </c>
    </row>
    <row r="1359" spans="6:12">
      <c r="F1359" t="s">
        <v>7464</v>
      </c>
      <c r="G1359" t="s">
        <v>8150</v>
      </c>
      <c r="H1359" t="s">
        <v>8997</v>
      </c>
      <c r="I1359" t="s">
        <v>1357</v>
      </c>
      <c r="J1359" t="s">
        <v>1357</v>
      </c>
      <c r="K1359" t="s">
        <v>1357</v>
      </c>
      <c r="L1359" t="s">
        <v>1357</v>
      </c>
    </row>
    <row r="1360" spans="6:12">
      <c r="H1360" t="s">
        <v>8998</v>
      </c>
      <c r="I1360" t="s">
        <v>1357</v>
      </c>
      <c r="J1360" t="s">
        <v>1357</v>
      </c>
      <c r="K1360" t="s">
        <v>1357</v>
      </c>
      <c r="L1360" t="s">
        <v>1357</v>
      </c>
    </row>
    <row r="1361" spans="1:14">
      <c r="H1361" t="s">
        <v>8999</v>
      </c>
      <c r="I1361" t="s">
        <v>1357</v>
      </c>
      <c r="J1361" t="s">
        <v>1357</v>
      </c>
      <c r="K1361" t="s">
        <v>1357</v>
      </c>
      <c r="L1361" t="s">
        <v>1357</v>
      </c>
    </row>
    <row r="1362" spans="1:14">
      <c r="H1362" t="s">
        <v>9000</v>
      </c>
      <c r="I1362" t="s">
        <v>1357</v>
      </c>
      <c r="J1362" t="s">
        <v>1357</v>
      </c>
      <c r="K1362" t="s">
        <v>1357</v>
      </c>
      <c r="L1362" t="s">
        <v>1357</v>
      </c>
    </row>
    <row r="1363" spans="1:14">
      <c r="A1363" t="s">
        <v>6293</v>
      </c>
      <c r="B1363">
        <f>HYPERLINK("https://github.com/pmd/pmd/commit/15571a15db7e468eac1b824c692c843f665b5e79", "15571a15db7e468eac1b824c692c843f665b5e79")</f>
        <v>0</v>
      </c>
      <c r="C1363">
        <f>HYPERLINK("https://github.com/pmd/pmd/commit/fddf301589b30a42f47e600c786e3520ecf3eeaa", "fddf301589b30a42f47e600c786e3520ecf3eeaa")</f>
        <v>0</v>
      </c>
      <c r="D1363" t="s">
        <v>6502</v>
      </c>
      <c r="E1363" t="s">
        <v>6749</v>
      </c>
      <c r="F1363" t="s">
        <v>7465</v>
      </c>
      <c r="G1363" t="s">
        <v>8151</v>
      </c>
      <c r="H1363" t="s">
        <v>9001</v>
      </c>
      <c r="I1363" t="s">
        <v>1357</v>
      </c>
      <c r="J1363" t="s">
        <v>1357</v>
      </c>
      <c r="K1363" t="s">
        <v>1357</v>
      </c>
      <c r="L1363" t="s">
        <v>1357</v>
      </c>
      <c r="N1363" t="s">
        <v>9954</v>
      </c>
    </row>
    <row r="1364" spans="1:14">
      <c r="H1364" t="s">
        <v>9002</v>
      </c>
      <c r="I1364" t="s">
        <v>1357</v>
      </c>
      <c r="J1364" t="s">
        <v>1357</v>
      </c>
      <c r="K1364" t="s">
        <v>1357</v>
      </c>
      <c r="L1364" t="s">
        <v>1357</v>
      </c>
      <c r="N1364" t="s">
        <v>9954</v>
      </c>
    </row>
    <row r="1365" spans="1:14">
      <c r="H1365" t="s">
        <v>795</v>
      </c>
      <c r="I1365" t="s">
        <v>1357</v>
      </c>
      <c r="J1365" t="s">
        <v>1357</v>
      </c>
      <c r="K1365" t="s">
        <v>1357</v>
      </c>
      <c r="L1365" t="s">
        <v>1357</v>
      </c>
      <c r="N1365" t="s">
        <v>9954</v>
      </c>
    </row>
    <row r="1366" spans="1:14">
      <c r="H1366" t="s">
        <v>9003</v>
      </c>
      <c r="I1366" t="s">
        <v>1357</v>
      </c>
      <c r="J1366" t="s">
        <v>1357</v>
      </c>
      <c r="K1366" t="s">
        <v>1357</v>
      </c>
      <c r="L1366" t="s">
        <v>1357</v>
      </c>
      <c r="N1366" t="s">
        <v>9954</v>
      </c>
    </row>
    <row r="1367" spans="1:14">
      <c r="H1367" t="s">
        <v>9004</v>
      </c>
      <c r="I1367" t="s">
        <v>1357</v>
      </c>
      <c r="J1367" t="s">
        <v>1357</v>
      </c>
      <c r="K1367" t="s">
        <v>1357</v>
      </c>
      <c r="L1367" t="s">
        <v>1357</v>
      </c>
      <c r="N1367" t="s">
        <v>9954</v>
      </c>
    </row>
    <row r="1368" spans="1:14">
      <c r="F1368" t="s">
        <v>7466</v>
      </c>
      <c r="G1368" t="s">
        <v>8152</v>
      </c>
      <c r="H1368" t="s">
        <v>9001</v>
      </c>
      <c r="I1368" t="s">
        <v>1357</v>
      </c>
      <c r="J1368" t="s">
        <v>1357</v>
      </c>
      <c r="K1368" t="s">
        <v>1357</v>
      </c>
      <c r="L1368" t="s">
        <v>1357</v>
      </c>
      <c r="N1368" t="s">
        <v>9954</v>
      </c>
    </row>
    <row r="1369" spans="1:14">
      <c r="H1369" t="s">
        <v>9002</v>
      </c>
      <c r="I1369" t="s">
        <v>1357</v>
      </c>
      <c r="J1369" t="s">
        <v>1357</v>
      </c>
      <c r="K1369" t="s">
        <v>1357</v>
      </c>
      <c r="L1369" t="s">
        <v>1357</v>
      </c>
      <c r="N1369" t="s">
        <v>9954</v>
      </c>
    </row>
    <row r="1370" spans="1:14">
      <c r="H1370" t="s">
        <v>795</v>
      </c>
      <c r="I1370" t="s">
        <v>1357</v>
      </c>
      <c r="J1370" t="s">
        <v>1357</v>
      </c>
      <c r="K1370" t="s">
        <v>1357</v>
      </c>
      <c r="L1370" t="s">
        <v>1357</v>
      </c>
      <c r="N1370" t="s">
        <v>9954</v>
      </c>
    </row>
    <row r="1371" spans="1:14">
      <c r="H1371" t="s">
        <v>9003</v>
      </c>
      <c r="I1371" t="s">
        <v>1357</v>
      </c>
      <c r="J1371" t="s">
        <v>1357</v>
      </c>
      <c r="K1371" t="s">
        <v>1357</v>
      </c>
      <c r="L1371" t="s">
        <v>1357</v>
      </c>
      <c r="N1371" t="s">
        <v>9954</v>
      </c>
    </row>
    <row r="1372" spans="1:14">
      <c r="F1372" t="s">
        <v>7467</v>
      </c>
      <c r="G1372" t="s">
        <v>8153</v>
      </c>
      <c r="H1372" t="s">
        <v>9005</v>
      </c>
      <c r="I1372" t="s">
        <v>1357</v>
      </c>
      <c r="J1372" t="s">
        <v>1357</v>
      </c>
      <c r="K1372" t="s">
        <v>1357</v>
      </c>
      <c r="L1372" t="s">
        <v>1357</v>
      </c>
      <c r="N1372" t="s">
        <v>9954</v>
      </c>
    </row>
    <row r="1373" spans="1:14">
      <c r="H1373" t="s">
        <v>9006</v>
      </c>
      <c r="I1373" t="s">
        <v>1357</v>
      </c>
      <c r="J1373" t="s">
        <v>1357</v>
      </c>
      <c r="K1373" t="s">
        <v>1357</v>
      </c>
      <c r="L1373" t="s">
        <v>1357</v>
      </c>
      <c r="N1373" t="s">
        <v>9954</v>
      </c>
    </row>
    <row r="1374" spans="1:14">
      <c r="F1374" t="s">
        <v>7468</v>
      </c>
      <c r="G1374" t="s">
        <v>8154</v>
      </c>
      <c r="H1374" t="s">
        <v>9001</v>
      </c>
      <c r="I1374" t="s">
        <v>1357</v>
      </c>
      <c r="J1374" t="s">
        <v>1357</v>
      </c>
      <c r="K1374" t="s">
        <v>1357</v>
      </c>
      <c r="L1374" t="s">
        <v>1357</v>
      </c>
      <c r="N1374" t="s">
        <v>9954</v>
      </c>
    </row>
    <row r="1375" spans="1:14">
      <c r="H1375" t="s">
        <v>9002</v>
      </c>
      <c r="I1375" t="s">
        <v>1357</v>
      </c>
      <c r="J1375" t="s">
        <v>1357</v>
      </c>
      <c r="K1375" t="s">
        <v>1357</v>
      </c>
      <c r="L1375" t="s">
        <v>1357</v>
      </c>
      <c r="N1375" t="s">
        <v>9954</v>
      </c>
    </row>
    <row r="1376" spans="1:14">
      <c r="H1376" t="s">
        <v>795</v>
      </c>
      <c r="I1376" t="s">
        <v>1357</v>
      </c>
      <c r="J1376" t="s">
        <v>1357</v>
      </c>
      <c r="K1376" t="s">
        <v>1357</v>
      </c>
      <c r="L1376" t="s">
        <v>1357</v>
      </c>
      <c r="N1376" t="s">
        <v>9954</v>
      </c>
    </row>
    <row r="1377" spans="1:14">
      <c r="H1377" t="s">
        <v>9003</v>
      </c>
      <c r="I1377" t="s">
        <v>1357</v>
      </c>
      <c r="J1377" t="s">
        <v>1357</v>
      </c>
      <c r="K1377" t="s">
        <v>1357</v>
      </c>
      <c r="L1377" t="s">
        <v>1357</v>
      </c>
      <c r="N1377" t="s">
        <v>9954</v>
      </c>
    </row>
    <row r="1378" spans="1:14">
      <c r="H1378" t="s">
        <v>9004</v>
      </c>
      <c r="I1378" t="s">
        <v>1357</v>
      </c>
      <c r="J1378" t="s">
        <v>1357</v>
      </c>
      <c r="K1378" t="s">
        <v>1357</v>
      </c>
      <c r="L1378" t="s">
        <v>1357</v>
      </c>
      <c r="N1378" t="s">
        <v>9954</v>
      </c>
    </row>
    <row r="1379" spans="1:14">
      <c r="A1379" t="s">
        <v>6294</v>
      </c>
      <c r="B1379">
        <f>HYPERLINK("https://github.com/pmd/pmd/commit/b781fd3eb56b606294ca049ee45f0c6d0a2f0b4f", "b781fd3eb56b606294ca049ee45f0c6d0a2f0b4f")</f>
        <v>0</v>
      </c>
      <c r="C1379">
        <f>HYPERLINK("https://github.com/pmd/pmd/commit/5789144b9349503bde0e4695f5be137cf3fe5a26", "5789144b9349503bde0e4695f5be137cf3fe5a26")</f>
        <v>0</v>
      </c>
      <c r="D1379" t="s">
        <v>6504</v>
      </c>
      <c r="E1379" t="s">
        <v>6750</v>
      </c>
      <c r="F1379" t="s">
        <v>7469</v>
      </c>
      <c r="G1379" t="s">
        <v>8155</v>
      </c>
      <c r="H1379" t="s">
        <v>9007</v>
      </c>
      <c r="I1379" t="s">
        <v>1358</v>
      </c>
      <c r="J1379" t="s">
        <v>1358</v>
      </c>
      <c r="K1379" t="s">
        <v>1358</v>
      </c>
      <c r="L1379" t="s">
        <v>1358</v>
      </c>
    </row>
    <row r="1380" spans="1:14">
      <c r="A1380" t="s">
        <v>6295</v>
      </c>
      <c r="B1380">
        <f>HYPERLINK("https://github.com/pmd/pmd/commit/5c548570f6c3ebddc186475c040124d7a4715ee5", "5c548570f6c3ebddc186475c040124d7a4715ee5")</f>
        <v>0</v>
      </c>
      <c r="C1380">
        <f>HYPERLINK("https://github.com/pmd/pmd/commit/e41b56a8e5419e0c6548afa9e94b6bca6a096d4f", "e41b56a8e5419e0c6548afa9e94b6bca6a096d4f")</f>
        <v>0</v>
      </c>
      <c r="D1380" t="s">
        <v>6502</v>
      </c>
      <c r="E1380" t="s">
        <v>6751</v>
      </c>
      <c r="F1380" t="s">
        <v>7470</v>
      </c>
      <c r="G1380" t="s">
        <v>8156</v>
      </c>
      <c r="H1380" t="s">
        <v>9008</v>
      </c>
      <c r="I1380" t="s">
        <v>1358</v>
      </c>
      <c r="J1380" t="s">
        <v>1358</v>
      </c>
      <c r="K1380" t="s">
        <v>1358</v>
      </c>
      <c r="L1380" t="s">
        <v>1358</v>
      </c>
    </row>
    <row r="1381" spans="1:14">
      <c r="A1381" t="s">
        <v>6296</v>
      </c>
      <c r="B1381">
        <f>HYPERLINK("https://github.com/pmd/pmd/commit/d038fed36eaa2584bef03fc1d7ad3ca9f6235b66", "d038fed36eaa2584bef03fc1d7ad3ca9f6235b66")</f>
        <v>0</v>
      </c>
      <c r="C1381">
        <f>HYPERLINK("https://github.com/pmd/pmd/commit/8ce1607b236bf1c5dd85ef520bb6cc2f35bee91c", "8ce1607b236bf1c5dd85ef520bb6cc2f35bee91c")</f>
        <v>0</v>
      </c>
      <c r="D1381" t="s">
        <v>6502</v>
      </c>
      <c r="E1381" t="s">
        <v>6752</v>
      </c>
      <c r="F1381" t="s">
        <v>7471</v>
      </c>
      <c r="G1381" t="s">
        <v>7830</v>
      </c>
      <c r="H1381" t="s">
        <v>9009</v>
      </c>
      <c r="I1381" t="s">
        <v>1357</v>
      </c>
      <c r="J1381" t="s">
        <v>1357</v>
      </c>
      <c r="K1381" t="s">
        <v>1357</v>
      </c>
      <c r="L1381" t="s">
        <v>1357</v>
      </c>
    </row>
    <row r="1382" spans="1:14">
      <c r="H1382" t="s">
        <v>9010</v>
      </c>
      <c r="I1382" t="s">
        <v>1357</v>
      </c>
      <c r="J1382" t="s">
        <v>1357</v>
      </c>
      <c r="K1382" t="s">
        <v>1357</v>
      </c>
      <c r="L1382" t="s">
        <v>1357</v>
      </c>
    </row>
    <row r="1383" spans="1:14">
      <c r="H1383" t="s">
        <v>9011</v>
      </c>
      <c r="I1383" t="s">
        <v>1357</v>
      </c>
      <c r="J1383" t="s">
        <v>1357</v>
      </c>
      <c r="K1383" t="s">
        <v>1357</v>
      </c>
      <c r="L1383" t="s">
        <v>1357</v>
      </c>
    </row>
    <row r="1384" spans="1:14">
      <c r="H1384" t="s">
        <v>9012</v>
      </c>
      <c r="I1384" t="s">
        <v>1357</v>
      </c>
      <c r="J1384" t="s">
        <v>1357</v>
      </c>
      <c r="K1384" t="s">
        <v>1357</v>
      </c>
      <c r="L1384" t="s">
        <v>1357</v>
      </c>
    </row>
    <row r="1385" spans="1:14">
      <c r="H1385" t="s">
        <v>9013</v>
      </c>
      <c r="I1385" t="s">
        <v>1357</v>
      </c>
      <c r="J1385" t="s">
        <v>1357</v>
      </c>
      <c r="K1385" t="s">
        <v>1357</v>
      </c>
      <c r="L1385" t="s">
        <v>1357</v>
      </c>
    </row>
    <row r="1386" spans="1:14">
      <c r="A1386" t="s">
        <v>6297</v>
      </c>
      <c r="B1386">
        <f>HYPERLINK("https://github.com/pmd/pmd/commit/3ef82a6c3af05270cffb62a0cf067f424ceadb22", "3ef82a6c3af05270cffb62a0cf067f424ceadb22")</f>
        <v>0</v>
      </c>
      <c r="C1386">
        <f>HYPERLINK("https://github.com/pmd/pmd/commit/d5593f516f2cac18403634162f5f64e3e054c452", "d5593f516f2cac18403634162f5f64e3e054c452")</f>
        <v>0</v>
      </c>
      <c r="D1386" t="s">
        <v>6502</v>
      </c>
      <c r="E1386" t="s">
        <v>6753</v>
      </c>
      <c r="F1386" t="s">
        <v>7472</v>
      </c>
      <c r="G1386" t="s">
        <v>8063</v>
      </c>
      <c r="H1386" t="s">
        <v>9014</v>
      </c>
      <c r="I1386" t="s">
        <v>1358</v>
      </c>
      <c r="J1386" t="s">
        <v>1358</v>
      </c>
      <c r="K1386" t="s">
        <v>1358</v>
      </c>
      <c r="L1386" t="s">
        <v>1358</v>
      </c>
    </row>
    <row r="1387" spans="1:14">
      <c r="A1387" t="s">
        <v>6298</v>
      </c>
      <c r="B1387">
        <f>HYPERLINK("https://github.com/pmd/pmd/commit/c74b43baf22b17fc3f248d665ad85bf5f8c6045b", "c74b43baf22b17fc3f248d665ad85bf5f8c6045b")</f>
        <v>0</v>
      </c>
      <c r="C1387">
        <f>HYPERLINK("https://github.com/pmd/pmd/commit/59b14bd00969b2e98bfb4ec13be0eaed1beef709", "59b14bd00969b2e98bfb4ec13be0eaed1beef709")</f>
        <v>0</v>
      </c>
      <c r="D1387" t="s">
        <v>6502</v>
      </c>
      <c r="E1387" t="s">
        <v>6754</v>
      </c>
      <c r="F1387" t="s">
        <v>7473</v>
      </c>
      <c r="G1387" t="s">
        <v>8157</v>
      </c>
      <c r="H1387" t="s">
        <v>9015</v>
      </c>
      <c r="I1387" t="s">
        <v>1357</v>
      </c>
      <c r="J1387" t="s">
        <v>1357</v>
      </c>
      <c r="K1387" t="s">
        <v>1357</v>
      </c>
      <c r="L1387" t="s">
        <v>1357</v>
      </c>
    </row>
    <row r="1388" spans="1:14">
      <c r="A1388" t="s">
        <v>6299</v>
      </c>
      <c r="B1388">
        <f>HYPERLINK("https://github.com/pmd/pmd/commit/19d18a65d3acef40e87fbc7dbc563b07e3ea4ce4", "19d18a65d3acef40e87fbc7dbc563b07e3ea4ce4")</f>
        <v>0</v>
      </c>
      <c r="C1388">
        <f>HYPERLINK("https://github.com/pmd/pmd/commit/8057a5c0df1051ee6b00440650621765560db179", "8057a5c0df1051ee6b00440650621765560db179")</f>
        <v>0</v>
      </c>
      <c r="D1388" t="s">
        <v>6502</v>
      </c>
      <c r="E1388" t="s">
        <v>6755</v>
      </c>
      <c r="F1388" t="s">
        <v>7474</v>
      </c>
      <c r="G1388" t="s">
        <v>8158</v>
      </c>
      <c r="H1388" t="s">
        <v>8839</v>
      </c>
      <c r="I1388" t="s">
        <v>1357</v>
      </c>
      <c r="J1388" t="s">
        <v>1357</v>
      </c>
      <c r="K1388" t="s">
        <v>1357</v>
      </c>
      <c r="L1388" t="s">
        <v>1357</v>
      </c>
    </row>
    <row r="1389" spans="1:14">
      <c r="F1389" t="s">
        <v>7475</v>
      </c>
      <c r="G1389" t="s">
        <v>8159</v>
      </c>
      <c r="H1389" t="s">
        <v>8840</v>
      </c>
      <c r="I1389" t="s">
        <v>1357</v>
      </c>
      <c r="J1389" t="s">
        <v>1357</v>
      </c>
      <c r="K1389" t="s">
        <v>1357</v>
      </c>
      <c r="L1389" t="s">
        <v>1357</v>
      </c>
    </row>
    <row r="1390" spans="1:14">
      <c r="H1390" t="s">
        <v>9016</v>
      </c>
      <c r="I1390" t="s">
        <v>1357</v>
      </c>
      <c r="J1390" t="s">
        <v>1357</v>
      </c>
      <c r="K1390" t="s">
        <v>1357</v>
      </c>
      <c r="L1390" t="s">
        <v>1357</v>
      </c>
    </row>
    <row r="1391" spans="1:14">
      <c r="F1391" t="s">
        <v>7476</v>
      </c>
      <c r="G1391" t="s">
        <v>8160</v>
      </c>
      <c r="H1391" t="s">
        <v>9017</v>
      </c>
      <c r="I1391" t="s">
        <v>1357</v>
      </c>
      <c r="J1391" t="s">
        <v>1357</v>
      </c>
      <c r="K1391" t="s">
        <v>1357</v>
      </c>
      <c r="L1391" t="s">
        <v>1357</v>
      </c>
    </row>
    <row r="1392" spans="1:14">
      <c r="F1392" t="s">
        <v>7477</v>
      </c>
      <c r="G1392" t="s">
        <v>8161</v>
      </c>
      <c r="H1392" t="s">
        <v>9018</v>
      </c>
      <c r="I1392" t="s">
        <v>1357</v>
      </c>
      <c r="J1392" t="s">
        <v>1357</v>
      </c>
      <c r="K1392" t="s">
        <v>1357</v>
      </c>
      <c r="L1392" t="s">
        <v>1357</v>
      </c>
    </row>
    <row r="1393" spans="1:12">
      <c r="A1393" t="s">
        <v>6300</v>
      </c>
      <c r="B1393">
        <f>HYPERLINK("https://github.com/pmd/pmd/commit/3393507082938c28f62d1e08cc2e39092ff277df", "3393507082938c28f62d1e08cc2e39092ff277df")</f>
        <v>0</v>
      </c>
      <c r="C1393">
        <f>HYPERLINK("https://github.com/pmd/pmd/commit/d788b6ce74aee262b4ef365acebcda6a03f8d8c0", "d788b6ce74aee262b4ef365acebcda6a03f8d8c0")</f>
        <v>0</v>
      </c>
      <c r="D1393" t="s">
        <v>6502</v>
      </c>
      <c r="E1393" t="s">
        <v>6756</v>
      </c>
      <c r="F1393" t="s">
        <v>7478</v>
      </c>
      <c r="G1393" t="s">
        <v>7793</v>
      </c>
      <c r="H1393" t="s">
        <v>8378</v>
      </c>
      <c r="I1393" t="s">
        <v>1357</v>
      </c>
      <c r="J1393" t="s">
        <v>1357</v>
      </c>
      <c r="K1393" t="s">
        <v>1357</v>
      </c>
      <c r="L1393" t="s">
        <v>1357</v>
      </c>
    </row>
    <row r="1394" spans="1:12">
      <c r="A1394" t="s">
        <v>6301</v>
      </c>
      <c r="B1394">
        <f>HYPERLINK("https://github.com/pmd/pmd/commit/e6f5380719e5bf11a5d9f15323964f8feedbf972", "e6f5380719e5bf11a5d9f15323964f8feedbf972")</f>
        <v>0</v>
      </c>
      <c r="C1394">
        <f>HYPERLINK("https://github.com/pmd/pmd/commit/44a8c0defe26f76c6f2b7afec870c7cae49a8448", "44a8c0defe26f76c6f2b7afec870c7cae49a8448")</f>
        <v>0</v>
      </c>
      <c r="D1394" t="s">
        <v>6502</v>
      </c>
      <c r="E1394" t="s">
        <v>6757</v>
      </c>
      <c r="F1394" t="s">
        <v>7479</v>
      </c>
      <c r="G1394" t="s">
        <v>8162</v>
      </c>
      <c r="H1394" t="s">
        <v>9019</v>
      </c>
      <c r="I1394" t="s">
        <v>1358</v>
      </c>
      <c r="J1394" t="s">
        <v>1358</v>
      </c>
      <c r="K1394" t="s">
        <v>1358</v>
      </c>
      <c r="L1394" t="s">
        <v>1358</v>
      </c>
    </row>
    <row r="1395" spans="1:12">
      <c r="A1395" t="s">
        <v>6302</v>
      </c>
      <c r="B1395">
        <f>HYPERLINK("https://github.com/pmd/pmd/commit/89fcd45f75f79f5f223e4f572ef332f75869dcef", "89fcd45f75f79f5f223e4f572ef332f75869dcef")</f>
        <v>0</v>
      </c>
      <c r="C1395">
        <f>HYPERLINK("https://github.com/pmd/pmd/commit/4e75f57bdf3021d7bb3742a3933cd4a938d369ff", "4e75f57bdf3021d7bb3742a3933cd4a938d369ff")</f>
        <v>0</v>
      </c>
      <c r="D1395" t="s">
        <v>6505</v>
      </c>
      <c r="E1395" t="s">
        <v>6758</v>
      </c>
      <c r="F1395" t="s">
        <v>7480</v>
      </c>
      <c r="G1395" t="s">
        <v>8163</v>
      </c>
      <c r="H1395" t="s">
        <v>9020</v>
      </c>
      <c r="I1395" t="s">
        <v>1357</v>
      </c>
      <c r="J1395" t="s">
        <v>1357</v>
      </c>
      <c r="K1395" t="s">
        <v>1357</v>
      </c>
      <c r="L1395" t="s">
        <v>1357</v>
      </c>
    </row>
    <row r="1396" spans="1:12">
      <c r="H1396" t="s">
        <v>9021</v>
      </c>
      <c r="I1396" t="s">
        <v>1357</v>
      </c>
      <c r="J1396" t="s">
        <v>1357</v>
      </c>
      <c r="K1396" t="s">
        <v>1357</v>
      </c>
      <c r="L1396" t="s">
        <v>1357</v>
      </c>
    </row>
    <row r="1397" spans="1:12">
      <c r="H1397" t="s">
        <v>9022</v>
      </c>
      <c r="I1397" t="s">
        <v>1357</v>
      </c>
      <c r="J1397" t="s">
        <v>1357</v>
      </c>
      <c r="K1397" t="s">
        <v>1357</v>
      </c>
      <c r="L1397" t="s">
        <v>1357</v>
      </c>
    </row>
    <row r="1398" spans="1:12">
      <c r="H1398" t="s">
        <v>9023</v>
      </c>
      <c r="I1398" t="s">
        <v>1357</v>
      </c>
      <c r="J1398" t="s">
        <v>1357</v>
      </c>
      <c r="K1398" t="s">
        <v>1357</v>
      </c>
      <c r="L1398" t="s">
        <v>1357</v>
      </c>
    </row>
    <row r="1399" spans="1:12">
      <c r="H1399" t="s">
        <v>9024</v>
      </c>
      <c r="I1399" t="s">
        <v>1357</v>
      </c>
      <c r="J1399" t="s">
        <v>1357</v>
      </c>
      <c r="K1399" t="s">
        <v>1357</v>
      </c>
      <c r="L1399" t="s">
        <v>1357</v>
      </c>
    </row>
    <row r="1400" spans="1:12">
      <c r="H1400" t="s">
        <v>9025</v>
      </c>
      <c r="I1400" t="s">
        <v>1357</v>
      </c>
      <c r="J1400" t="s">
        <v>1357</v>
      </c>
      <c r="K1400" t="s">
        <v>1357</v>
      </c>
      <c r="L1400" t="s">
        <v>1357</v>
      </c>
    </row>
    <row r="1401" spans="1:12">
      <c r="H1401" t="s">
        <v>9026</v>
      </c>
      <c r="I1401" t="s">
        <v>1357</v>
      </c>
      <c r="J1401" t="s">
        <v>1357</v>
      </c>
      <c r="K1401" t="s">
        <v>1357</v>
      </c>
      <c r="L1401" t="s">
        <v>1357</v>
      </c>
    </row>
    <row r="1402" spans="1:12">
      <c r="H1402" t="s">
        <v>9027</v>
      </c>
      <c r="I1402" t="s">
        <v>1357</v>
      </c>
      <c r="J1402" t="s">
        <v>1357</v>
      </c>
      <c r="K1402" t="s">
        <v>1357</v>
      </c>
      <c r="L1402" t="s">
        <v>1357</v>
      </c>
    </row>
    <row r="1403" spans="1:12">
      <c r="H1403" t="s">
        <v>9028</v>
      </c>
      <c r="I1403" t="s">
        <v>1357</v>
      </c>
      <c r="J1403" t="s">
        <v>1357</v>
      </c>
      <c r="K1403" t="s">
        <v>1357</v>
      </c>
      <c r="L1403" t="s">
        <v>1357</v>
      </c>
    </row>
    <row r="1404" spans="1:12">
      <c r="H1404" t="s">
        <v>9029</v>
      </c>
      <c r="I1404" t="s">
        <v>1357</v>
      </c>
      <c r="J1404" t="s">
        <v>1357</v>
      </c>
      <c r="K1404" t="s">
        <v>1357</v>
      </c>
      <c r="L1404" t="s">
        <v>1357</v>
      </c>
    </row>
    <row r="1405" spans="1:12">
      <c r="H1405" t="s">
        <v>9030</v>
      </c>
      <c r="I1405" t="s">
        <v>1357</v>
      </c>
      <c r="J1405" t="s">
        <v>1357</v>
      </c>
      <c r="K1405" t="s">
        <v>1357</v>
      </c>
      <c r="L1405" t="s">
        <v>1357</v>
      </c>
    </row>
    <row r="1406" spans="1:12">
      <c r="H1406" t="s">
        <v>9031</v>
      </c>
      <c r="I1406" t="s">
        <v>1357</v>
      </c>
      <c r="J1406" t="s">
        <v>1357</v>
      </c>
      <c r="K1406" t="s">
        <v>1357</v>
      </c>
      <c r="L1406" t="s">
        <v>1357</v>
      </c>
    </row>
    <row r="1407" spans="1:12">
      <c r="H1407" t="s">
        <v>9032</v>
      </c>
      <c r="I1407" t="s">
        <v>1357</v>
      </c>
      <c r="J1407" t="s">
        <v>1357</v>
      </c>
      <c r="K1407" t="s">
        <v>1357</v>
      </c>
      <c r="L1407" t="s">
        <v>1357</v>
      </c>
    </row>
    <row r="1408" spans="1:12">
      <c r="F1408" t="s">
        <v>7481</v>
      </c>
      <c r="G1408" t="s">
        <v>8164</v>
      </c>
      <c r="H1408" t="s">
        <v>9033</v>
      </c>
      <c r="I1408" t="s">
        <v>1357</v>
      </c>
      <c r="J1408" t="s">
        <v>1357</v>
      </c>
      <c r="K1408" t="s">
        <v>1357</v>
      </c>
      <c r="L1408" t="s">
        <v>1357</v>
      </c>
    </row>
    <row r="1409" spans="6:12">
      <c r="F1409" t="s">
        <v>7482</v>
      </c>
      <c r="G1409" t="s">
        <v>8165</v>
      </c>
      <c r="H1409" t="s">
        <v>9034</v>
      </c>
      <c r="I1409" t="s">
        <v>1357</v>
      </c>
      <c r="J1409" t="s">
        <v>1357</v>
      </c>
      <c r="K1409" t="s">
        <v>1357</v>
      </c>
      <c r="L1409" t="s">
        <v>1357</v>
      </c>
    </row>
    <row r="1410" spans="6:12">
      <c r="F1410" t="s">
        <v>7483</v>
      </c>
      <c r="G1410" t="s">
        <v>8166</v>
      </c>
      <c r="H1410" t="s">
        <v>9035</v>
      </c>
      <c r="I1410" t="s">
        <v>1357</v>
      </c>
      <c r="J1410" t="s">
        <v>1357</v>
      </c>
      <c r="K1410" t="s">
        <v>1357</v>
      </c>
      <c r="L1410" t="s">
        <v>1357</v>
      </c>
    </row>
    <row r="1411" spans="6:12">
      <c r="H1411" t="s">
        <v>9036</v>
      </c>
      <c r="I1411" t="s">
        <v>1357</v>
      </c>
      <c r="J1411" t="s">
        <v>1357</v>
      </c>
      <c r="K1411" t="s">
        <v>1357</v>
      </c>
      <c r="L1411" t="s">
        <v>1357</v>
      </c>
    </row>
    <row r="1412" spans="6:12">
      <c r="H1412" t="s">
        <v>9037</v>
      </c>
      <c r="I1412" t="s">
        <v>1357</v>
      </c>
      <c r="J1412" t="s">
        <v>1357</v>
      </c>
      <c r="K1412" t="s">
        <v>1357</v>
      </c>
      <c r="L1412" t="s">
        <v>1357</v>
      </c>
    </row>
    <row r="1413" spans="6:12">
      <c r="H1413" t="s">
        <v>9038</v>
      </c>
      <c r="I1413" t="s">
        <v>1357</v>
      </c>
      <c r="J1413" t="s">
        <v>1357</v>
      </c>
      <c r="K1413" t="s">
        <v>1357</v>
      </c>
      <c r="L1413" t="s">
        <v>1357</v>
      </c>
    </row>
    <row r="1414" spans="6:12">
      <c r="H1414" t="s">
        <v>9039</v>
      </c>
      <c r="I1414" t="s">
        <v>1357</v>
      </c>
      <c r="J1414" t="s">
        <v>1357</v>
      </c>
      <c r="K1414" t="s">
        <v>1357</v>
      </c>
      <c r="L1414" t="s">
        <v>1357</v>
      </c>
    </row>
    <row r="1415" spans="6:12">
      <c r="H1415" t="s">
        <v>9040</v>
      </c>
      <c r="I1415" t="s">
        <v>1357</v>
      </c>
      <c r="J1415" t="s">
        <v>1357</v>
      </c>
      <c r="K1415" t="s">
        <v>1357</v>
      </c>
      <c r="L1415" t="s">
        <v>1357</v>
      </c>
    </row>
    <row r="1416" spans="6:12">
      <c r="H1416" t="s">
        <v>9041</v>
      </c>
      <c r="I1416" t="s">
        <v>1357</v>
      </c>
      <c r="J1416" t="s">
        <v>1357</v>
      </c>
      <c r="K1416" t="s">
        <v>1357</v>
      </c>
      <c r="L1416" t="s">
        <v>1357</v>
      </c>
    </row>
    <row r="1417" spans="6:12">
      <c r="H1417" t="s">
        <v>9042</v>
      </c>
      <c r="I1417" t="s">
        <v>1357</v>
      </c>
      <c r="J1417" t="s">
        <v>1357</v>
      </c>
      <c r="K1417" t="s">
        <v>1357</v>
      </c>
      <c r="L1417" t="s">
        <v>1357</v>
      </c>
    </row>
    <row r="1418" spans="6:12">
      <c r="H1418" t="s">
        <v>9043</v>
      </c>
      <c r="I1418" t="s">
        <v>1357</v>
      </c>
      <c r="J1418" t="s">
        <v>1357</v>
      </c>
      <c r="K1418" t="s">
        <v>1357</v>
      </c>
      <c r="L1418" t="s">
        <v>1357</v>
      </c>
    </row>
    <row r="1419" spans="6:12">
      <c r="H1419" t="s">
        <v>9044</v>
      </c>
      <c r="I1419" t="s">
        <v>1357</v>
      </c>
      <c r="J1419" t="s">
        <v>1357</v>
      </c>
      <c r="K1419" t="s">
        <v>1357</v>
      </c>
      <c r="L1419" t="s">
        <v>1357</v>
      </c>
    </row>
    <row r="1420" spans="6:12">
      <c r="H1420" t="s">
        <v>9045</v>
      </c>
      <c r="I1420" t="s">
        <v>1357</v>
      </c>
      <c r="J1420" t="s">
        <v>1357</v>
      </c>
      <c r="K1420" t="s">
        <v>1357</v>
      </c>
      <c r="L1420" t="s">
        <v>1357</v>
      </c>
    </row>
    <row r="1421" spans="6:12">
      <c r="H1421" t="s">
        <v>9046</v>
      </c>
      <c r="I1421" t="s">
        <v>1357</v>
      </c>
      <c r="J1421" t="s">
        <v>1357</v>
      </c>
      <c r="K1421" t="s">
        <v>1357</v>
      </c>
      <c r="L1421" t="s">
        <v>1357</v>
      </c>
    </row>
    <row r="1422" spans="6:12">
      <c r="H1422" t="s">
        <v>9047</v>
      </c>
      <c r="I1422" t="s">
        <v>1357</v>
      </c>
      <c r="J1422" t="s">
        <v>1357</v>
      </c>
      <c r="K1422" t="s">
        <v>1357</v>
      </c>
      <c r="L1422" t="s">
        <v>1357</v>
      </c>
    </row>
    <row r="1423" spans="6:12">
      <c r="H1423" t="s">
        <v>9048</v>
      </c>
      <c r="I1423" t="s">
        <v>1357</v>
      </c>
      <c r="J1423" t="s">
        <v>1357</v>
      </c>
      <c r="K1423" t="s">
        <v>1357</v>
      </c>
      <c r="L1423" t="s">
        <v>1357</v>
      </c>
    </row>
    <row r="1424" spans="6:12">
      <c r="H1424" t="s">
        <v>9049</v>
      </c>
      <c r="I1424" t="s">
        <v>1357</v>
      </c>
      <c r="J1424" t="s">
        <v>1357</v>
      </c>
      <c r="K1424" t="s">
        <v>1357</v>
      </c>
      <c r="L1424" t="s">
        <v>1357</v>
      </c>
    </row>
    <row r="1425" spans="8:13">
      <c r="H1425" t="s">
        <v>9050</v>
      </c>
      <c r="I1425" t="s">
        <v>1357</v>
      </c>
      <c r="J1425" t="s">
        <v>1357</v>
      </c>
      <c r="K1425" t="s">
        <v>1357</v>
      </c>
      <c r="L1425" t="s">
        <v>1357</v>
      </c>
      <c r="M1425" t="s">
        <v>9919</v>
      </c>
    </row>
    <row r="1426" spans="8:13">
      <c r="H1426" t="s">
        <v>9051</v>
      </c>
      <c r="I1426" t="s">
        <v>1357</v>
      </c>
      <c r="J1426" t="s">
        <v>1357</v>
      </c>
      <c r="K1426" t="s">
        <v>1357</v>
      </c>
      <c r="L1426" t="s">
        <v>1357</v>
      </c>
    </row>
    <row r="1427" spans="8:13">
      <c r="H1427" t="s">
        <v>9052</v>
      </c>
      <c r="I1427" t="s">
        <v>1357</v>
      </c>
      <c r="J1427" t="s">
        <v>1357</v>
      </c>
      <c r="K1427" t="s">
        <v>1357</v>
      </c>
      <c r="L1427" t="s">
        <v>1357</v>
      </c>
    </row>
    <row r="1428" spans="8:13">
      <c r="H1428" t="s">
        <v>9053</v>
      </c>
      <c r="I1428" t="s">
        <v>1357</v>
      </c>
      <c r="J1428" t="s">
        <v>1357</v>
      </c>
      <c r="K1428" t="s">
        <v>1357</v>
      </c>
      <c r="L1428" t="s">
        <v>1357</v>
      </c>
    </row>
    <row r="1429" spans="8:13">
      <c r="H1429" t="s">
        <v>9054</v>
      </c>
      <c r="I1429" t="s">
        <v>1357</v>
      </c>
      <c r="J1429" t="s">
        <v>1357</v>
      </c>
      <c r="K1429" t="s">
        <v>1357</v>
      </c>
      <c r="L1429" t="s">
        <v>1357</v>
      </c>
    </row>
    <row r="1430" spans="8:13">
      <c r="H1430" t="s">
        <v>9055</v>
      </c>
      <c r="I1430" t="s">
        <v>1357</v>
      </c>
      <c r="J1430" t="s">
        <v>1357</v>
      </c>
      <c r="K1430" t="s">
        <v>1357</v>
      </c>
      <c r="L1430" t="s">
        <v>1357</v>
      </c>
    </row>
    <row r="1431" spans="8:13">
      <c r="H1431" t="s">
        <v>9056</v>
      </c>
      <c r="I1431" t="s">
        <v>1357</v>
      </c>
      <c r="J1431" t="s">
        <v>1357</v>
      </c>
      <c r="K1431" t="s">
        <v>1357</v>
      </c>
      <c r="L1431" t="s">
        <v>1357</v>
      </c>
    </row>
    <row r="1432" spans="8:13">
      <c r="H1432" t="s">
        <v>9057</v>
      </c>
      <c r="I1432" t="s">
        <v>1357</v>
      </c>
      <c r="J1432" t="s">
        <v>1357</v>
      </c>
      <c r="K1432" t="s">
        <v>1357</v>
      </c>
      <c r="L1432" t="s">
        <v>1357</v>
      </c>
    </row>
    <row r="1433" spans="8:13">
      <c r="H1433" t="s">
        <v>9058</v>
      </c>
      <c r="I1433" t="s">
        <v>1357</v>
      </c>
      <c r="J1433" t="s">
        <v>1357</v>
      </c>
      <c r="K1433" t="s">
        <v>1357</v>
      </c>
      <c r="L1433" t="s">
        <v>1357</v>
      </c>
    </row>
    <row r="1434" spans="8:13">
      <c r="H1434" t="s">
        <v>9059</v>
      </c>
      <c r="I1434" t="s">
        <v>1357</v>
      </c>
      <c r="J1434" t="s">
        <v>1357</v>
      </c>
      <c r="K1434" t="s">
        <v>1357</v>
      </c>
      <c r="L1434" t="s">
        <v>1357</v>
      </c>
    </row>
    <row r="1435" spans="8:13">
      <c r="H1435" t="s">
        <v>9060</v>
      </c>
      <c r="I1435" t="s">
        <v>1357</v>
      </c>
      <c r="J1435" t="s">
        <v>1357</v>
      </c>
      <c r="K1435" t="s">
        <v>1357</v>
      </c>
      <c r="L1435" t="s">
        <v>1357</v>
      </c>
    </row>
    <row r="1436" spans="8:13">
      <c r="H1436" t="s">
        <v>9061</v>
      </c>
      <c r="I1436" t="s">
        <v>1357</v>
      </c>
      <c r="J1436" t="s">
        <v>1357</v>
      </c>
      <c r="K1436" t="s">
        <v>1357</v>
      </c>
      <c r="L1436" t="s">
        <v>1357</v>
      </c>
    </row>
    <row r="1437" spans="8:13">
      <c r="H1437" t="s">
        <v>9062</v>
      </c>
      <c r="I1437" t="s">
        <v>1357</v>
      </c>
      <c r="J1437" t="s">
        <v>1357</v>
      </c>
      <c r="K1437" t="s">
        <v>1357</v>
      </c>
      <c r="L1437" t="s">
        <v>1357</v>
      </c>
    </row>
    <row r="1438" spans="8:13">
      <c r="H1438" t="s">
        <v>9063</v>
      </c>
      <c r="I1438" t="s">
        <v>1357</v>
      </c>
      <c r="J1438" t="s">
        <v>1357</v>
      </c>
      <c r="K1438" t="s">
        <v>1357</v>
      </c>
      <c r="L1438" t="s">
        <v>1357</v>
      </c>
    </row>
    <row r="1439" spans="8:13">
      <c r="H1439" t="s">
        <v>9064</v>
      </c>
      <c r="I1439" t="s">
        <v>1357</v>
      </c>
      <c r="J1439" t="s">
        <v>1357</v>
      </c>
      <c r="K1439" t="s">
        <v>1357</v>
      </c>
      <c r="L1439" t="s">
        <v>1357</v>
      </c>
    </row>
    <row r="1440" spans="8:13">
      <c r="H1440" t="s">
        <v>9065</v>
      </c>
      <c r="I1440" t="s">
        <v>1357</v>
      </c>
      <c r="J1440" t="s">
        <v>1357</v>
      </c>
      <c r="K1440" t="s">
        <v>1357</v>
      </c>
      <c r="L1440" t="s">
        <v>1357</v>
      </c>
    </row>
    <row r="1441" spans="6:12">
      <c r="H1441" t="s">
        <v>9066</v>
      </c>
      <c r="I1441" t="s">
        <v>1357</v>
      </c>
      <c r="J1441" t="s">
        <v>1357</v>
      </c>
      <c r="K1441" t="s">
        <v>1357</v>
      </c>
      <c r="L1441" t="s">
        <v>1357</v>
      </c>
    </row>
    <row r="1442" spans="6:12">
      <c r="H1442" t="s">
        <v>9067</v>
      </c>
      <c r="I1442" t="s">
        <v>1357</v>
      </c>
      <c r="J1442" t="s">
        <v>1357</v>
      </c>
      <c r="K1442" t="s">
        <v>1357</v>
      </c>
      <c r="L1442" t="s">
        <v>1357</v>
      </c>
    </row>
    <row r="1443" spans="6:12">
      <c r="H1443" t="s">
        <v>9068</v>
      </c>
      <c r="I1443" t="s">
        <v>1357</v>
      </c>
      <c r="J1443" t="s">
        <v>1357</v>
      </c>
      <c r="K1443" t="s">
        <v>1357</v>
      </c>
      <c r="L1443" t="s">
        <v>1357</v>
      </c>
    </row>
    <row r="1444" spans="6:12">
      <c r="H1444" t="s">
        <v>9069</v>
      </c>
      <c r="I1444" t="s">
        <v>1357</v>
      </c>
      <c r="J1444" t="s">
        <v>1357</v>
      </c>
      <c r="K1444" t="s">
        <v>1357</v>
      </c>
      <c r="L1444" t="s">
        <v>1357</v>
      </c>
    </row>
    <row r="1445" spans="6:12">
      <c r="H1445" t="s">
        <v>9070</v>
      </c>
      <c r="I1445" t="s">
        <v>1357</v>
      </c>
      <c r="J1445" t="s">
        <v>1357</v>
      </c>
      <c r="K1445" t="s">
        <v>1357</v>
      </c>
      <c r="L1445" t="s">
        <v>1357</v>
      </c>
    </row>
    <row r="1446" spans="6:12">
      <c r="H1446" t="s">
        <v>9071</v>
      </c>
      <c r="I1446" t="s">
        <v>1357</v>
      </c>
      <c r="J1446" t="s">
        <v>1357</v>
      </c>
      <c r="K1446" t="s">
        <v>1357</v>
      </c>
      <c r="L1446" t="s">
        <v>1357</v>
      </c>
    </row>
    <row r="1447" spans="6:12">
      <c r="H1447" t="s">
        <v>9072</v>
      </c>
      <c r="I1447" t="s">
        <v>1357</v>
      </c>
      <c r="J1447" t="s">
        <v>1357</v>
      </c>
      <c r="K1447" t="s">
        <v>1357</v>
      </c>
      <c r="L1447" t="s">
        <v>1357</v>
      </c>
    </row>
    <row r="1448" spans="6:12">
      <c r="H1448" t="s">
        <v>9073</v>
      </c>
      <c r="I1448" t="s">
        <v>1357</v>
      </c>
      <c r="J1448" t="s">
        <v>1357</v>
      </c>
      <c r="K1448" t="s">
        <v>1357</v>
      </c>
      <c r="L1448" t="s">
        <v>1357</v>
      </c>
    </row>
    <row r="1449" spans="6:12">
      <c r="H1449" t="s">
        <v>9074</v>
      </c>
      <c r="I1449" t="s">
        <v>1357</v>
      </c>
      <c r="J1449" t="s">
        <v>1357</v>
      </c>
      <c r="K1449" t="s">
        <v>1357</v>
      </c>
      <c r="L1449" t="s">
        <v>1357</v>
      </c>
    </row>
    <row r="1450" spans="6:12">
      <c r="H1450" t="s">
        <v>9075</v>
      </c>
      <c r="I1450" t="s">
        <v>1357</v>
      </c>
      <c r="J1450" t="s">
        <v>1357</v>
      </c>
      <c r="K1450" t="s">
        <v>1357</v>
      </c>
      <c r="L1450" t="s">
        <v>1357</v>
      </c>
    </row>
    <row r="1451" spans="6:12">
      <c r="H1451" t="s">
        <v>9076</v>
      </c>
      <c r="I1451" t="s">
        <v>1357</v>
      </c>
      <c r="J1451" t="s">
        <v>1357</v>
      </c>
      <c r="K1451" t="s">
        <v>1357</v>
      </c>
      <c r="L1451" t="s">
        <v>1357</v>
      </c>
    </row>
    <row r="1452" spans="6:12">
      <c r="H1452" t="s">
        <v>9077</v>
      </c>
      <c r="I1452" t="s">
        <v>1357</v>
      </c>
      <c r="J1452" t="s">
        <v>1357</v>
      </c>
      <c r="K1452" t="s">
        <v>1357</v>
      </c>
      <c r="L1452" t="s">
        <v>1357</v>
      </c>
    </row>
    <row r="1453" spans="6:12">
      <c r="H1453" t="s">
        <v>9078</v>
      </c>
      <c r="I1453" t="s">
        <v>1357</v>
      </c>
      <c r="J1453" t="s">
        <v>1357</v>
      </c>
      <c r="K1453" t="s">
        <v>1357</v>
      </c>
      <c r="L1453" t="s">
        <v>1357</v>
      </c>
    </row>
    <row r="1454" spans="6:12">
      <c r="F1454" t="s">
        <v>7484</v>
      </c>
      <c r="G1454" t="s">
        <v>8167</v>
      </c>
      <c r="H1454" t="s">
        <v>9040</v>
      </c>
      <c r="I1454" t="s">
        <v>1357</v>
      </c>
      <c r="J1454" t="s">
        <v>1357</v>
      </c>
      <c r="K1454" t="s">
        <v>1357</v>
      </c>
      <c r="L1454" t="s">
        <v>1357</v>
      </c>
    </row>
    <row r="1455" spans="6:12">
      <c r="H1455" t="s">
        <v>9079</v>
      </c>
      <c r="I1455" t="s">
        <v>1357</v>
      </c>
      <c r="J1455" t="s">
        <v>1357</v>
      </c>
      <c r="K1455" t="s">
        <v>1357</v>
      </c>
      <c r="L1455" t="s">
        <v>1357</v>
      </c>
    </row>
    <row r="1456" spans="6:12">
      <c r="H1456" t="s">
        <v>9080</v>
      </c>
      <c r="I1456" t="s">
        <v>1357</v>
      </c>
      <c r="J1456" t="s">
        <v>1357</v>
      </c>
      <c r="K1456" t="s">
        <v>1357</v>
      </c>
      <c r="L1456" t="s">
        <v>1357</v>
      </c>
    </row>
    <row r="1457" spans="6:12">
      <c r="H1457" t="s">
        <v>9081</v>
      </c>
      <c r="I1457" t="s">
        <v>1357</v>
      </c>
      <c r="J1457" t="s">
        <v>1357</v>
      </c>
      <c r="K1457" t="s">
        <v>1357</v>
      </c>
      <c r="L1457" t="s">
        <v>1357</v>
      </c>
    </row>
    <row r="1458" spans="6:12">
      <c r="H1458" t="s">
        <v>9082</v>
      </c>
      <c r="I1458" t="s">
        <v>1357</v>
      </c>
      <c r="J1458" t="s">
        <v>1357</v>
      </c>
      <c r="K1458" t="s">
        <v>1357</v>
      </c>
      <c r="L1458" t="s">
        <v>1357</v>
      </c>
    </row>
    <row r="1459" spans="6:12">
      <c r="H1459" t="s">
        <v>9083</v>
      </c>
      <c r="I1459" t="s">
        <v>1357</v>
      </c>
      <c r="J1459" t="s">
        <v>1357</v>
      </c>
      <c r="K1459" t="s">
        <v>1357</v>
      </c>
      <c r="L1459" t="s">
        <v>1357</v>
      </c>
    </row>
    <row r="1460" spans="6:12">
      <c r="H1460" t="s">
        <v>9084</v>
      </c>
      <c r="I1460" t="s">
        <v>1357</v>
      </c>
      <c r="J1460" t="s">
        <v>1357</v>
      </c>
      <c r="K1460" t="s">
        <v>1357</v>
      </c>
      <c r="L1460" t="s">
        <v>1357</v>
      </c>
    </row>
    <row r="1461" spans="6:12">
      <c r="H1461" t="s">
        <v>9085</v>
      </c>
      <c r="I1461" t="s">
        <v>1357</v>
      </c>
      <c r="J1461" t="s">
        <v>1357</v>
      </c>
      <c r="K1461" t="s">
        <v>1357</v>
      </c>
      <c r="L1461" t="s">
        <v>1357</v>
      </c>
    </row>
    <row r="1462" spans="6:12">
      <c r="H1462" t="s">
        <v>9086</v>
      </c>
      <c r="I1462" t="s">
        <v>1357</v>
      </c>
      <c r="J1462" t="s">
        <v>1357</v>
      </c>
      <c r="K1462" t="s">
        <v>1357</v>
      </c>
      <c r="L1462" t="s">
        <v>1357</v>
      </c>
    </row>
    <row r="1463" spans="6:12">
      <c r="F1463" t="s">
        <v>7485</v>
      </c>
      <c r="G1463" t="s">
        <v>8168</v>
      </c>
      <c r="H1463" t="s">
        <v>9087</v>
      </c>
      <c r="I1463" t="s">
        <v>1357</v>
      </c>
      <c r="J1463" t="s">
        <v>1357</v>
      </c>
      <c r="K1463" t="s">
        <v>1357</v>
      </c>
      <c r="L1463" t="s">
        <v>1357</v>
      </c>
    </row>
    <row r="1464" spans="6:12">
      <c r="H1464" t="s">
        <v>9088</v>
      </c>
      <c r="I1464" t="s">
        <v>1357</v>
      </c>
      <c r="J1464" t="s">
        <v>1357</v>
      </c>
      <c r="K1464" t="s">
        <v>1357</v>
      </c>
      <c r="L1464" t="s">
        <v>1357</v>
      </c>
    </row>
    <row r="1465" spans="6:12">
      <c r="H1465" t="s">
        <v>9089</v>
      </c>
      <c r="I1465" t="s">
        <v>1357</v>
      </c>
      <c r="J1465" t="s">
        <v>1357</v>
      </c>
      <c r="K1465" t="s">
        <v>1357</v>
      </c>
      <c r="L1465" t="s">
        <v>1357</v>
      </c>
    </row>
    <row r="1466" spans="6:12">
      <c r="H1466" t="s">
        <v>9090</v>
      </c>
      <c r="I1466" t="s">
        <v>1357</v>
      </c>
      <c r="J1466" t="s">
        <v>1357</v>
      </c>
      <c r="K1466" t="s">
        <v>1357</v>
      </c>
      <c r="L1466" t="s">
        <v>1357</v>
      </c>
    </row>
    <row r="1467" spans="6:12">
      <c r="H1467" t="s">
        <v>9091</v>
      </c>
      <c r="I1467" t="s">
        <v>1357</v>
      </c>
      <c r="J1467" t="s">
        <v>1357</v>
      </c>
      <c r="K1467" t="s">
        <v>1357</v>
      </c>
      <c r="L1467" t="s">
        <v>1357</v>
      </c>
    </row>
    <row r="1468" spans="6:12">
      <c r="F1468" t="s">
        <v>7486</v>
      </c>
      <c r="G1468" t="s">
        <v>8169</v>
      </c>
      <c r="H1468" t="s">
        <v>9092</v>
      </c>
      <c r="I1468" t="s">
        <v>1357</v>
      </c>
      <c r="J1468" t="s">
        <v>1357</v>
      </c>
      <c r="K1468" t="s">
        <v>1357</v>
      </c>
      <c r="L1468" t="s">
        <v>1357</v>
      </c>
    </row>
    <row r="1469" spans="6:12">
      <c r="F1469" t="s">
        <v>7487</v>
      </c>
      <c r="G1469" t="s">
        <v>8170</v>
      </c>
      <c r="H1469" t="s">
        <v>9033</v>
      </c>
      <c r="I1469" t="s">
        <v>1357</v>
      </c>
      <c r="J1469" t="s">
        <v>1357</v>
      </c>
      <c r="K1469" t="s">
        <v>1357</v>
      </c>
      <c r="L1469" t="s">
        <v>1357</v>
      </c>
    </row>
    <row r="1470" spans="6:12">
      <c r="F1470" t="s">
        <v>7488</v>
      </c>
      <c r="G1470" t="s">
        <v>8171</v>
      </c>
      <c r="H1470" t="s">
        <v>9033</v>
      </c>
      <c r="I1470" t="s">
        <v>1357</v>
      </c>
      <c r="J1470" t="s">
        <v>1357</v>
      </c>
      <c r="K1470" t="s">
        <v>1357</v>
      </c>
      <c r="L1470" t="s">
        <v>1357</v>
      </c>
    </row>
    <row r="1471" spans="6:12">
      <c r="F1471" t="s">
        <v>7489</v>
      </c>
      <c r="G1471" t="s">
        <v>8172</v>
      </c>
      <c r="H1471" t="s">
        <v>1234</v>
      </c>
      <c r="I1471" t="s">
        <v>1357</v>
      </c>
      <c r="J1471" t="s">
        <v>1357</v>
      </c>
      <c r="K1471" t="s">
        <v>1357</v>
      </c>
      <c r="L1471" t="s">
        <v>1357</v>
      </c>
    </row>
    <row r="1472" spans="6:12">
      <c r="H1472" t="s">
        <v>9093</v>
      </c>
      <c r="I1472" t="s">
        <v>1357</v>
      </c>
      <c r="J1472" t="s">
        <v>1357</v>
      </c>
      <c r="K1472" t="s">
        <v>1357</v>
      </c>
      <c r="L1472" t="s">
        <v>1357</v>
      </c>
    </row>
    <row r="1473" spans="6:13">
      <c r="F1473" t="s">
        <v>7490</v>
      </c>
      <c r="G1473" t="s">
        <v>8173</v>
      </c>
      <c r="H1473" t="s">
        <v>9094</v>
      </c>
      <c r="I1473" t="s">
        <v>1357</v>
      </c>
      <c r="J1473" t="s">
        <v>1357</v>
      </c>
      <c r="K1473" t="s">
        <v>1357</v>
      </c>
      <c r="L1473" t="s">
        <v>1357</v>
      </c>
    </row>
    <row r="1474" spans="6:13">
      <c r="H1474" t="s">
        <v>9095</v>
      </c>
      <c r="I1474" t="s">
        <v>1357</v>
      </c>
      <c r="J1474" t="s">
        <v>1357</v>
      </c>
      <c r="K1474" t="s">
        <v>1357</v>
      </c>
      <c r="L1474" t="s">
        <v>1357</v>
      </c>
    </row>
    <row r="1475" spans="6:13">
      <c r="H1475" t="s">
        <v>9096</v>
      </c>
      <c r="I1475" t="s">
        <v>1357</v>
      </c>
      <c r="J1475" t="s">
        <v>1357</v>
      </c>
      <c r="K1475" t="s">
        <v>1357</v>
      </c>
      <c r="L1475" t="s">
        <v>1357</v>
      </c>
    </row>
    <row r="1476" spans="6:13">
      <c r="F1476" t="s">
        <v>7491</v>
      </c>
      <c r="G1476" t="s">
        <v>7810</v>
      </c>
      <c r="H1476" t="s">
        <v>9097</v>
      </c>
      <c r="I1476" t="s">
        <v>1357</v>
      </c>
      <c r="J1476" t="s">
        <v>1357</v>
      </c>
      <c r="K1476" t="s">
        <v>1357</v>
      </c>
      <c r="L1476" t="s">
        <v>1357</v>
      </c>
    </row>
    <row r="1477" spans="6:13">
      <c r="H1477" t="s">
        <v>9098</v>
      </c>
      <c r="I1477" t="s">
        <v>1357</v>
      </c>
      <c r="J1477" t="s">
        <v>1357</v>
      </c>
      <c r="K1477" t="s">
        <v>1357</v>
      </c>
      <c r="L1477" t="s">
        <v>1357</v>
      </c>
    </row>
    <row r="1478" spans="6:13">
      <c r="H1478" t="s">
        <v>9099</v>
      </c>
      <c r="I1478" t="s">
        <v>1357</v>
      </c>
      <c r="J1478" t="s">
        <v>1357</v>
      </c>
      <c r="K1478" t="s">
        <v>1357</v>
      </c>
      <c r="L1478" t="s">
        <v>1357</v>
      </c>
    </row>
    <row r="1479" spans="6:13">
      <c r="H1479" t="s">
        <v>9100</v>
      </c>
      <c r="I1479" t="s">
        <v>1357</v>
      </c>
      <c r="J1479" t="s">
        <v>1357</v>
      </c>
      <c r="K1479" t="s">
        <v>1357</v>
      </c>
      <c r="L1479" t="s">
        <v>1357</v>
      </c>
    </row>
    <row r="1480" spans="6:13">
      <c r="H1480" t="s">
        <v>9101</v>
      </c>
      <c r="I1480" t="s">
        <v>1357</v>
      </c>
      <c r="J1480" t="s">
        <v>1357</v>
      </c>
      <c r="K1480" t="s">
        <v>1357</v>
      </c>
      <c r="L1480" t="s">
        <v>1357</v>
      </c>
    </row>
    <row r="1481" spans="6:13">
      <c r="H1481" t="s">
        <v>9102</v>
      </c>
      <c r="I1481" t="s">
        <v>1359</v>
      </c>
      <c r="J1481" t="s">
        <v>1357</v>
      </c>
      <c r="K1481" t="s">
        <v>1358</v>
      </c>
      <c r="L1481" t="s">
        <v>1357</v>
      </c>
      <c r="M1481" t="s">
        <v>9916</v>
      </c>
    </row>
    <row r="1482" spans="6:13">
      <c r="H1482" t="s">
        <v>9103</v>
      </c>
      <c r="I1482" t="s">
        <v>1357</v>
      </c>
      <c r="J1482" t="s">
        <v>1357</v>
      </c>
      <c r="K1482" t="s">
        <v>1357</v>
      </c>
      <c r="L1482" t="s">
        <v>1357</v>
      </c>
    </row>
    <row r="1483" spans="6:13">
      <c r="H1483" t="s">
        <v>9104</v>
      </c>
      <c r="I1483" t="s">
        <v>1357</v>
      </c>
      <c r="J1483" t="s">
        <v>1357</v>
      </c>
      <c r="K1483" t="s">
        <v>1357</v>
      </c>
      <c r="L1483" t="s">
        <v>1357</v>
      </c>
    </row>
    <row r="1484" spans="6:13">
      <c r="F1484" t="s">
        <v>7492</v>
      </c>
      <c r="G1484" t="s">
        <v>8174</v>
      </c>
      <c r="H1484" t="s">
        <v>9033</v>
      </c>
      <c r="I1484" t="s">
        <v>1357</v>
      </c>
      <c r="J1484" t="s">
        <v>1357</v>
      </c>
      <c r="K1484" t="s">
        <v>1357</v>
      </c>
      <c r="L1484" t="s">
        <v>1357</v>
      </c>
    </row>
    <row r="1485" spans="6:13">
      <c r="F1485" t="s">
        <v>7493</v>
      </c>
      <c r="G1485" t="s">
        <v>8175</v>
      </c>
      <c r="H1485" t="s">
        <v>9033</v>
      </c>
      <c r="I1485" t="s">
        <v>1357</v>
      </c>
      <c r="J1485" t="s">
        <v>1357</v>
      </c>
      <c r="K1485" t="s">
        <v>1357</v>
      </c>
      <c r="L1485" t="s">
        <v>1357</v>
      </c>
    </row>
    <row r="1486" spans="6:13">
      <c r="F1486" t="s">
        <v>7494</v>
      </c>
      <c r="G1486" t="s">
        <v>8176</v>
      </c>
      <c r="H1486" t="s">
        <v>1262</v>
      </c>
      <c r="I1486" t="s">
        <v>1357</v>
      </c>
      <c r="J1486" t="s">
        <v>1357</v>
      </c>
      <c r="K1486" t="s">
        <v>1357</v>
      </c>
      <c r="L1486" t="s">
        <v>1357</v>
      </c>
    </row>
    <row r="1487" spans="6:13">
      <c r="H1487" t="s">
        <v>9105</v>
      </c>
      <c r="I1487" t="s">
        <v>1357</v>
      </c>
      <c r="J1487" t="s">
        <v>1357</v>
      </c>
      <c r="K1487" t="s">
        <v>1357</v>
      </c>
      <c r="L1487" t="s">
        <v>1357</v>
      </c>
    </row>
    <row r="1488" spans="6:13">
      <c r="H1488" t="s">
        <v>9106</v>
      </c>
      <c r="I1488" t="s">
        <v>1357</v>
      </c>
      <c r="J1488" t="s">
        <v>1357</v>
      </c>
      <c r="K1488" t="s">
        <v>1357</v>
      </c>
      <c r="L1488" t="s">
        <v>1357</v>
      </c>
    </row>
    <row r="1489" spans="6:12">
      <c r="F1489" t="s">
        <v>7495</v>
      </c>
      <c r="G1489" t="s">
        <v>7762</v>
      </c>
      <c r="H1489" t="s">
        <v>8339</v>
      </c>
      <c r="I1489" t="s">
        <v>1357</v>
      </c>
      <c r="J1489" t="s">
        <v>1357</v>
      </c>
      <c r="K1489" t="s">
        <v>1357</v>
      </c>
      <c r="L1489" t="s">
        <v>1357</v>
      </c>
    </row>
    <row r="1490" spans="6:12">
      <c r="F1490" t="s">
        <v>7496</v>
      </c>
      <c r="G1490" t="s">
        <v>8177</v>
      </c>
      <c r="H1490" t="s">
        <v>9107</v>
      </c>
      <c r="I1490" t="s">
        <v>1357</v>
      </c>
      <c r="J1490" t="s">
        <v>1357</v>
      </c>
      <c r="K1490" t="s">
        <v>1357</v>
      </c>
      <c r="L1490" t="s">
        <v>1357</v>
      </c>
    </row>
    <row r="1491" spans="6:12">
      <c r="F1491" t="s">
        <v>7497</v>
      </c>
      <c r="G1491" t="s">
        <v>8178</v>
      </c>
      <c r="H1491" t="s">
        <v>8898</v>
      </c>
      <c r="I1491" t="s">
        <v>1357</v>
      </c>
      <c r="J1491" t="s">
        <v>1357</v>
      </c>
      <c r="K1491" t="s">
        <v>1357</v>
      </c>
      <c r="L1491" t="s">
        <v>1357</v>
      </c>
    </row>
    <row r="1492" spans="6:12">
      <c r="H1492" t="s">
        <v>795</v>
      </c>
      <c r="I1492" t="s">
        <v>1357</v>
      </c>
      <c r="J1492" t="s">
        <v>1357</v>
      </c>
      <c r="K1492" t="s">
        <v>1357</v>
      </c>
      <c r="L1492" t="s">
        <v>1357</v>
      </c>
    </row>
    <row r="1493" spans="6:12">
      <c r="H1493" t="s">
        <v>9108</v>
      </c>
      <c r="I1493" t="s">
        <v>1357</v>
      </c>
      <c r="J1493" t="s">
        <v>1357</v>
      </c>
      <c r="K1493" t="s">
        <v>1357</v>
      </c>
      <c r="L1493" t="s">
        <v>1357</v>
      </c>
    </row>
    <row r="1494" spans="6:12">
      <c r="H1494" t="s">
        <v>9109</v>
      </c>
      <c r="I1494" t="s">
        <v>1357</v>
      </c>
      <c r="J1494" t="s">
        <v>1357</v>
      </c>
      <c r="K1494" t="s">
        <v>1357</v>
      </c>
      <c r="L1494" t="s">
        <v>1357</v>
      </c>
    </row>
    <row r="1495" spans="6:12">
      <c r="F1495" t="s">
        <v>7498</v>
      </c>
      <c r="G1495" t="s">
        <v>8179</v>
      </c>
      <c r="H1495" t="s">
        <v>9110</v>
      </c>
      <c r="I1495" t="s">
        <v>1357</v>
      </c>
      <c r="J1495" t="s">
        <v>1357</v>
      </c>
      <c r="K1495" t="s">
        <v>1357</v>
      </c>
      <c r="L1495" t="s">
        <v>1357</v>
      </c>
    </row>
    <row r="1496" spans="6:12">
      <c r="H1496" t="s">
        <v>9111</v>
      </c>
      <c r="I1496" t="s">
        <v>1357</v>
      </c>
      <c r="J1496" t="s">
        <v>1357</v>
      </c>
      <c r="K1496" t="s">
        <v>1357</v>
      </c>
      <c r="L1496" t="s">
        <v>1357</v>
      </c>
    </row>
    <row r="1497" spans="6:12">
      <c r="H1497" t="s">
        <v>9112</v>
      </c>
      <c r="I1497" t="s">
        <v>1357</v>
      </c>
      <c r="J1497" t="s">
        <v>1357</v>
      </c>
      <c r="K1497" t="s">
        <v>1357</v>
      </c>
      <c r="L1497" t="s">
        <v>1357</v>
      </c>
    </row>
    <row r="1498" spans="6:12">
      <c r="H1498" t="s">
        <v>9113</v>
      </c>
      <c r="I1498" t="s">
        <v>1357</v>
      </c>
      <c r="J1498" t="s">
        <v>1357</v>
      </c>
      <c r="K1498" t="s">
        <v>1357</v>
      </c>
      <c r="L1498" t="s">
        <v>1357</v>
      </c>
    </row>
    <row r="1499" spans="6:12">
      <c r="H1499" t="s">
        <v>9114</v>
      </c>
      <c r="I1499" t="s">
        <v>1357</v>
      </c>
      <c r="J1499" t="s">
        <v>1357</v>
      </c>
      <c r="K1499" t="s">
        <v>1357</v>
      </c>
      <c r="L1499" t="s">
        <v>1357</v>
      </c>
    </row>
    <row r="1500" spans="6:12">
      <c r="H1500" t="s">
        <v>9115</v>
      </c>
      <c r="I1500" t="s">
        <v>1357</v>
      </c>
      <c r="J1500" t="s">
        <v>1357</v>
      </c>
      <c r="K1500" t="s">
        <v>1357</v>
      </c>
      <c r="L1500" t="s">
        <v>1357</v>
      </c>
    </row>
    <row r="1501" spans="6:12">
      <c r="H1501" t="s">
        <v>9116</v>
      </c>
      <c r="I1501" t="s">
        <v>1357</v>
      </c>
      <c r="J1501" t="s">
        <v>1357</v>
      </c>
      <c r="K1501" t="s">
        <v>1357</v>
      </c>
      <c r="L1501" t="s">
        <v>1357</v>
      </c>
    </row>
    <row r="1502" spans="6:12">
      <c r="H1502" t="s">
        <v>9117</v>
      </c>
      <c r="I1502" t="s">
        <v>1357</v>
      </c>
      <c r="J1502" t="s">
        <v>1357</v>
      </c>
      <c r="K1502" t="s">
        <v>1357</v>
      </c>
      <c r="L1502" t="s">
        <v>1357</v>
      </c>
    </row>
    <row r="1503" spans="6:12">
      <c r="H1503" t="s">
        <v>9118</v>
      </c>
      <c r="I1503" t="s">
        <v>1357</v>
      </c>
      <c r="J1503" t="s">
        <v>1357</v>
      </c>
      <c r="K1503" t="s">
        <v>1357</v>
      </c>
      <c r="L1503" t="s">
        <v>1357</v>
      </c>
    </row>
    <row r="1504" spans="6:12">
      <c r="H1504" t="s">
        <v>9119</v>
      </c>
      <c r="I1504" t="s">
        <v>1357</v>
      </c>
      <c r="J1504" t="s">
        <v>1357</v>
      </c>
      <c r="K1504" t="s">
        <v>1357</v>
      </c>
      <c r="L1504" t="s">
        <v>1357</v>
      </c>
    </row>
    <row r="1505" spans="1:14">
      <c r="F1505" t="s">
        <v>7499</v>
      </c>
      <c r="G1505" t="s">
        <v>8180</v>
      </c>
      <c r="H1505" t="s">
        <v>9107</v>
      </c>
      <c r="I1505" t="s">
        <v>1357</v>
      </c>
      <c r="J1505" t="s">
        <v>1357</v>
      </c>
      <c r="K1505" t="s">
        <v>1357</v>
      </c>
      <c r="L1505" t="s">
        <v>1357</v>
      </c>
    </row>
    <row r="1506" spans="1:14">
      <c r="H1506" t="s">
        <v>9120</v>
      </c>
      <c r="I1506" t="s">
        <v>1357</v>
      </c>
      <c r="J1506" t="s">
        <v>1357</v>
      </c>
      <c r="K1506" t="s">
        <v>1357</v>
      </c>
      <c r="L1506" t="s">
        <v>1357</v>
      </c>
    </row>
    <row r="1507" spans="1:14">
      <c r="H1507" t="s">
        <v>9121</v>
      </c>
      <c r="I1507" t="s">
        <v>1357</v>
      </c>
      <c r="J1507" t="s">
        <v>1357</v>
      </c>
      <c r="K1507" t="s">
        <v>1357</v>
      </c>
      <c r="L1507" t="s">
        <v>1357</v>
      </c>
    </row>
    <row r="1508" spans="1:14">
      <c r="F1508" t="s">
        <v>7500</v>
      </c>
      <c r="G1508" t="s">
        <v>8181</v>
      </c>
      <c r="H1508" t="s">
        <v>9107</v>
      </c>
      <c r="I1508" t="s">
        <v>1357</v>
      </c>
      <c r="J1508" t="s">
        <v>1357</v>
      </c>
      <c r="K1508" t="s">
        <v>1357</v>
      </c>
      <c r="L1508" t="s">
        <v>1357</v>
      </c>
    </row>
    <row r="1509" spans="1:14">
      <c r="A1509" t="s">
        <v>6303</v>
      </c>
      <c r="B1509">
        <f>HYPERLINK("https://github.com/pmd/pmd/commit/378c903e9cd1798a7ca4ebd6cf26c6a2275bcd0a", "378c903e9cd1798a7ca4ebd6cf26c6a2275bcd0a")</f>
        <v>0</v>
      </c>
      <c r="C1509">
        <f>HYPERLINK("https://github.com/pmd/pmd/commit/18da883596ef784b40754f1a6ec655e22939def8", "18da883596ef784b40754f1a6ec655e22939def8")</f>
        <v>0</v>
      </c>
      <c r="D1509" t="s">
        <v>6505</v>
      </c>
      <c r="E1509" t="s">
        <v>6759</v>
      </c>
      <c r="F1509" t="s">
        <v>7501</v>
      </c>
      <c r="G1509" t="s">
        <v>8182</v>
      </c>
      <c r="H1509" t="s">
        <v>1175</v>
      </c>
      <c r="I1509" t="s">
        <v>1358</v>
      </c>
      <c r="J1509" t="s">
        <v>1358</v>
      </c>
      <c r="K1509" t="s">
        <v>1358</v>
      </c>
      <c r="L1509" t="s">
        <v>1358</v>
      </c>
      <c r="N1509" t="s">
        <v>6060</v>
      </c>
    </row>
    <row r="1510" spans="1:14">
      <c r="A1510" t="s">
        <v>6304</v>
      </c>
      <c r="B1510">
        <f>HYPERLINK("https://github.com/pmd/pmd/commit/71df067a0dbd27ef78e4c82ca7cc58fd138f65c3", "71df067a0dbd27ef78e4c82ca7cc58fd138f65c3")</f>
        <v>0</v>
      </c>
      <c r="C1510">
        <f>HYPERLINK("https://github.com/pmd/pmd/commit/cbb3d39e338b55d5fa078bb41058b1843a996af5", "cbb3d39e338b55d5fa078bb41058b1843a996af5")</f>
        <v>0</v>
      </c>
      <c r="D1510" t="s">
        <v>6506</v>
      </c>
      <c r="E1510" t="s">
        <v>6760</v>
      </c>
      <c r="F1510" t="s">
        <v>7502</v>
      </c>
      <c r="G1510" t="s">
        <v>8183</v>
      </c>
      <c r="H1510" t="s">
        <v>9122</v>
      </c>
      <c r="I1510" t="s">
        <v>1357</v>
      </c>
      <c r="J1510" t="s">
        <v>1357</v>
      </c>
      <c r="K1510" t="s">
        <v>1357</v>
      </c>
      <c r="L1510" t="s">
        <v>1357</v>
      </c>
      <c r="N1510" t="s">
        <v>9955</v>
      </c>
    </row>
    <row r="1511" spans="1:14">
      <c r="A1511" t="s">
        <v>6304</v>
      </c>
      <c r="B1511">
        <f>HYPERLINK("https://github.com/pmd/pmd/commit/4dad69c9de8be15f151665568d6a0d6b56f04bfc", "4dad69c9de8be15f151665568d6a0d6b56f04bfc")</f>
        <v>0</v>
      </c>
      <c r="C1511">
        <f>HYPERLINK("https://github.com/pmd/pmd/commit/bd574644d021bd8becb74a7ce0c4583a853ead3c", "bd574644d021bd8becb74a7ce0c4583a853ead3c")</f>
        <v>0</v>
      </c>
      <c r="D1511" t="s">
        <v>6506</v>
      </c>
      <c r="E1511" t="s">
        <v>6761</v>
      </c>
      <c r="F1511" t="s">
        <v>7502</v>
      </c>
      <c r="G1511" t="s">
        <v>8183</v>
      </c>
      <c r="H1511" t="s">
        <v>9123</v>
      </c>
      <c r="I1511" t="s">
        <v>1358</v>
      </c>
      <c r="J1511" t="s">
        <v>1358</v>
      </c>
      <c r="K1511" t="s">
        <v>1358</v>
      </c>
      <c r="L1511" t="s">
        <v>1358</v>
      </c>
      <c r="N1511" t="s">
        <v>6060</v>
      </c>
    </row>
    <row r="1512" spans="1:14">
      <c r="H1512" t="s">
        <v>9124</v>
      </c>
      <c r="I1512" t="s">
        <v>1358</v>
      </c>
      <c r="J1512" t="s">
        <v>1358</v>
      </c>
      <c r="K1512" t="s">
        <v>1358</v>
      </c>
      <c r="L1512" t="s">
        <v>1358</v>
      </c>
    </row>
    <row r="1513" spans="1:14">
      <c r="H1513" t="s">
        <v>9125</v>
      </c>
      <c r="I1513" t="s">
        <v>1358</v>
      </c>
      <c r="J1513" t="s">
        <v>1358</v>
      </c>
      <c r="K1513" t="s">
        <v>1358</v>
      </c>
      <c r="L1513" t="s">
        <v>1358</v>
      </c>
    </row>
    <row r="1514" spans="1:14">
      <c r="A1514" t="s">
        <v>6305</v>
      </c>
      <c r="B1514">
        <f>HYPERLINK("https://github.com/pmd/pmd/commit/1d6c9327a0df102a7f04308dd07a3b1a226107f2", "1d6c9327a0df102a7f04308dd07a3b1a226107f2")</f>
        <v>0</v>
      </c>
      <c r="C1514">
        <f>HYPERLINK("https://github.com/pmd/pmd/commit/555266b1b13116a046480d82ca872c4969559310", "555266b1b13116a046480d82ca872c4969559310")</f>
        <v>0</v>
      </c>
      <c r="D1514" t="s">
        <v>6506</v>
      </c>
      <c r="E1514" t="s">
        <v>6762</v>
      </c>
      <c r="F1514" t="s">
        <v>7503</v>
      </c>
      <c r="G1514" t="s">
        <v>8184</v>
      </c>
      <c r="H1514" t="s">
        <v>9126</v>
      </c>
      <c r="I1514" t="s">
        <v>1357</v>
      </c>
      <c r="J1514" t="s">
        <v>1357</v>
      </c>
      <c r="K1514" t="s">
        <v>1357</v>
      </c>
      <c r="L1514" t="s">
        <v>1357</v>
      </c>
    </row>
    <row r="1515" spans="1:14">
      <c r="A1515" t="s">
        <v>6306</v>
      </c>
      <c r="B1515">
        <f>HYPERLINK("https://github.com/pmd/pmd/commit/eb2d942ed46e820e8ab874da0d9f8057037ab177", "eb2d942ed46e820e8ab874da0d9f8057037ab177")</f>
        <v>0</v>
      </c>
      <c r="C1515">
        <f>HYPERLINK("https://github.com/pmd/pmd/commit/e6663dc9ce108683d5944fb226ed5bbfbe2fa25a", "e6663dc9ce108683d5944fb226ed5bbfbe2fa25a")</f>
        <v>0</v>
      </c>
      <c r="D1515" t="s">
        <v>6502</v>
      </c>
      <c r="E1515" t="s">
        <v>6763</v>
      </c>
      <c r="F1515" t="s">
        <v>7504</v>
      </c>
      <c r="G1515" t="s">
        <v>7701</v>
      </c>
      <c r="H1515" t="s">
        <v>8735</v>
      </c>
      <c r="I1515" t="s">
        <v>1358</v>
      </c>
      <c r="J1515" t="s">
        <v>1358</v>
      </c>
      <c r="K1515" t="s">
        <v>1358</v>
      </c>
      <c r="L1515" t="s">
        <v>1358</v>
      </c>
    </row>
    <row r="1516" spans="1:14">
      <c r="H1516" t="s">
        <v>8736</v>
      </c>
      <c r="I1516" t="s">
        <v>1358</v>
      </c>
      <c r="J1516" t="s">
        <v>1358</v>
      </c>
      <c r="K1516" t="s">
        <v>1358</v>
      </c>
      <c r="L1516" t="s">
        <v>1358</v>
      </c>
    </row>
    <row r="1517" spans="1:14">
      <c r="F1517" t="s">
        <v>7505</v>
      </c>
      <c r="G1517" t="s">
        <v>8185</v>
      </c>
      <c r="H1517" t="s">
        <v>9127</v>
      </c>
      <c r="I1517" t="s">
        <v>1358</v>
      </c>
      <c r="J1517" t="s">
        <v>1358</v>
      </c>
      <c r="K1517" t="s">
        <v>1358</v>
      </c>
      <c r="L1517" t="s">
        <v>1358</v>
      </c>
    </row>
    <row r="1518" spans="1:14">
      <c r="H1518" t="s">
        <v>9128</v>
      </c>
      <c r="I1518" t="s">
        <v>1358</v>
      </c>
      <c r="J1518" t="s">
        <v>1358</v>
      </c>
      <c r="K1518" t="s">
        <v>1358</v>
      </c>
      <c r="L1518" t="s">
        <v>1358</v>
      </c>
    </row>
    <row r="1519" spans="1:14">
      <c r="H1519" t="s">
        <v>9129</v>
      </c>
      <c r="I1519" t="s">
        <v>1358</v>
      </c>
      <c r="J1519" t="s">
        <v>1358</v>
      </c>
      <c r="K1519" t="s">
        <v>1358</v>
      </c>
      <c r="L1519" t="s">
        <v>1358</v>
      </c>
    </row>
    <row r="1520" spans="1:14">
      <c r="F1520" t="s">
        <v>7506</v>
      </c>
      <c r="G1520" t="s">
        <v>8186</v>
      </c>
      <c r="H1520" t="s">
        <v>9130</v>
      </c>
      <c r="I1520" t="s">
        <v>1358</v>
      </c>
      <c r="J1520" t="s">
        <v>1358</v>
      </c>
      <c r="K1520" t="s">
        <v>1358</v>
      </c>
      <c r="L1520" t="s">
        <v>1358</v>
      </c>
    </row>
    <row r="1521" spans="1:12">
      <c r="H1521" t="s">
        <v>9131</v>
      </c>
      <c r="I1521" t="s">
        <v>1358</v>
      </c>
      <c r="J1521" t="s">
        <v>1358</v>
      </c>
      <c r="K1521" t="s">
        <v>1358</v>
      </c>
      <c r="L1521" t="s">
        <v>1358</v>
      </c>
    </row>
    <row r="1522" spans="1:12">
      <c r="A1522" t="s">
        <v>6307</v>
      </c>
      <c r="B1522">
        <f>HYPERLINK("https://github.com/pmd/pmd/commit/e2801519874e8a9695366946e6a51b479b3e4703", "e2801519874e8a9695366946e6a51b479b3e4703")</f>
        <v>0</v>
      </c>
      <c r="C1522">
        <f>HYPERLINK("https://github.com/pmd/pmd/commit/eb2d942ed46e820e8ab874da0d9f8057037ab177", "eb2d942ed46e820e8ab874da0d9f8057037ab177")</f>
        <v>0</v>
      </c>
      <c r="D1522" t="s">
        <v>6502</v>
      </c>
      <c r="E1522" t="s">
        <v>6764</v>
      </c>
      <c r="F1522" t="s">
        <v>7507</v>
      </c>
      <c r="G1522" t="s">
        <v>8187</v>
      </c>
      <c r="H1522" t="s">
        <v>9132</v>
      </c>
      <c r="I1522" t="s">
        <v>1358</v>
      </c>
      <c r="J1522" t="s">
        <v>1358</v>
      </c>
      <c r="K1522" t="s">
        <v>1358</v>
      </c>
      <c r="L1522" t="s">
        <v>1358</v>
      </c>
    </row>
    <row r="1523" spans="1:12">
      <c r="H1523" t="s">
        <v>9133</v>
      </c>
      <c r="I1523" t="s">
        <v>1358</v>
      </c>
      <c r="J1523" t="s">
        <v>1358</v>
      </c>
      <c r="K1523" t="s">
        <v>1358</v>
      </c>
      <c r="L1523" t="s">
        <v>1358</v>
      </c>
    </row>
    <row r="1524" spans="1:12">
      <c r="F1524" t="s">
        <v>7508</v>
      </c>
      <c r="G1524" t="s">
        <v>7820</v>
      </c>
      <c r="H1524" t="s">
        <v>8594</v>
      </c>
      <c r="I1524" t="s">
        <v>1358</v>
      </c>
      <c r="J1524" t="s">
        <v>1358</v>
      </c>
      <c r="K1524" t="s">
        <v>1358</v>
      </c>
      <c r="L1524" t="s">
        <v>1358</v>
      </c>
    </row>
    <row r="1525" spans="1:12">
      <c r="H1525" t="s">
        <v>8595</v>
      </c>
      <c r="I1525" t="s">
        <v>1358</v>
      </c>
      <c r="J1525" t="s">
        <v>1358</v>
      </c>
      <c r="K1525" t="s">
        <v>1358</v>
      </c>
      <c r="L1525" t="s">
        <v>1358</v>
      </c>
    </row>
    <row r="1526" spans="1:12">
      <c r="H1526" t="s">
        <v>8596</v>
      </c>
      <c r="I1526" t="s">
        <v>1358</v>
      </c>
      <c r="J1526" t="s">
        <v>1358</v>
      </c>
      <c r="K1526" t="s">
        <v>1358</v>
      </c>
      <c r="L1526" t="s">
        <v>1358</v>
      </c>
    </row>
    <row r="1527" spans="1:12">
      <c r="H1527" t="s">
        <v>8597</v>
      </c>
      <c r="I1527" t="s">
        <v>1358</v>
      </c>
      <c r="J1527" t="s">
        <v>1358</v>
      </c>
      <c r="K1527" t="s">
        <v>1358</v>
      </c>
      <c r="L1527" t="s">
        <v>1358</v>
      </c>
    </row>
    <row r="1528" spans="1:12">
      <c r="H1528" t="s">
        <v>8598</v>
      </c>
      <c r="I1528" t="s">
        <v>1358</v>
      </c>
      <c r="J1528" t="s">
        <v>1358</v>
      </c>
      <c r="K1528" t="s">
        <v>1358</v>
      </c>
      <c r="L1528" t="s">
        <v>1358</v>
      </c>
    </row>
    <row r="1529" spans="1:12">
      <c r="H1529" t="s">
        <v>9134</v>
      </c>
      <c r="I1529" t="s">
        <v>1358</v>
      </c>
      <c r="J1529" t="s">
        <v>1358</v>
      </c>
      <c r="K1529" t="s">
        <v>1358</v>
      </c>
      <c r="L1529" t="s">
        <v>1358</v>
      </c>
    </row>
    <row r="1530" spans="1:12">
      <c r="F1530" t="s">
        <v>7509</v>
      </c>
      <c r="G1530" t="s">
        <v>7801</v>
      </c>
      <c r="H1530" t="s">
        <v>8629</v>
      </c>
      <c r="I1530" t="s">
        <v>1358</v>
      </c>
      <c r="J1530" t="s">
        <v>1358</v>
      </c>
      <c r="K1530" t="s">
        <v>1358</v>
      </c>
      <c r="L1530" t="s">
        <v>1358</v>
      </c>
    </row>
    <row r="1531" spans="1:12">
      <c r="H1531" t="s">
        <v>8630</v>
      </c>
      <c r="I1531" t="s">
        <v>1358</v>
      </c>
      <c r="J1531" t="s">
        <v>1358</v>
      </c>
      <c r="K1531" t="s">
        <v>1358</v>
      </c>
      <c r="L1531" t="s">
        <v>1358</v>
      </c>
    </row>
    <row r="1532" spans="1:12">
      <c r="H1532" t="s">
        <v>8631</v>
      </c>
      <c r="I1532" t="s">
        <v>1358</v>
      </c>
      <c r="J1532" t="s">
        <v>1358</v>
      </c>
      <c r="K1532" t="s">
        <v>1358</v>
      </c>
      <c r="L1532" t="s">
        <v>1358</v>
      </c>
    </row>
    <row r="1533" spans="1:12">
      <c r="H1533" t="s">
        <v>8632</v>
      </c>
      <c r="I1533" t="s">
        <v>1358</v>
      </c>
      <c r="J1533" t="s">
        <v>1358</v>
      </c>
      <c r="K1533" t="s">
        <v>1358</v>
      </c>
      <c r="L1533" t="s">
        <v>1358</v>
      </c>
    </row>
    <row r="1534" spans="1:12">
      <c r="H1534" t="s">
        <v>8633</v>
      </c>
      <c r="I1534" t="s">
        <v>1358</v>
      </c>
      <c r="J1534" t="s">
        <v>1358</v>
      </c>
      <c r="K1534" t="s">
        <v>1358</v>
      </c>
      <c r="L1534" t="s">
        <v>1358</v>
      </c>
    </row>
    <row r="1535" spans="1:12">
      <c r="H1535" t="s">
        <v>8634</v>
      </c>
      <c r="I1535" t="s">
        <v>1358</v>
      </c>
      <c r="J1535" t="s">
        <v>1358</v>
      </c>
      <c r="K1535" t="s">
        <v>1358</v>
      </c>
      <c r="L1535" t="s">
        <v>1358</v>
      </c>
    </row>
    <row r="1536" spans="1:12">
      <c r="H1536" t="s">
        <v>8635</v>
      </c>
      <c r="I1536" t="s">
        <v>1358</v>
      </c>
      <c r="J1536" t="s">
        <v>1358</v>
      </c>
      <c r="K1536" t="s">
        <v>1358</v>
      </c>
      <c r="L1536" t="s">
        <v>1358</v>
      </c>
    </row>
    <row r="1537" spans="8:12">
      <c r="H1537" t="s">
        <v>8636</v>
      </c>
      <c r="I1537" t="s">
        <v>1358</v>
      </c>
      <c r="J1537" t="s">
        <v>1358</v>
      </c>
      <c r="K1537" t="s">
        <v>1358</v>
      </c>
      <c r="L1537" t="s">
        <v>1358</v>
      </c>
    </row>
    <row r="1538" spans="8:12">
      <c r="H1538" t="s">
        <v>8637</v>
      </c>
      <c r="I1538" t="s">
        <v>1358</v>
      </c>
      <c r="J1538" t="s">
        <v>1358</v>
      </c>
      <c r="K1538" t="s">
        <v>1358</v>
      </c>
      <c r="L1538" t="s">
        <v>1358</v>
      </c>
    </row>
    <row r="1539" spans="8:12">
      <c r="H1539" t="s">
        <v>8638</v>
      </c>
      <c r="I1539" t="s">
        <v>1358</v>
      </c>
      <c r="J1539" t="s">
        <v>1358</v>
      </c>
      <c r="K1539" t="s">
        <v>1358</v>
      </c>
      <c r="L1539" t="s">
        <v>1358</v>
      </c>
    </row>
    <row r="1540" spans="8:12">
      <c r="H1540" t="s">
        <v>8639</v>
      </c>
      <c r="I1540" t="s">
        <v>1358</v>
      </c>
      <c r="J1540" t="s">
        <v>1358</v>
      </c>
      <c r="K1540" t="s">
        <v>1358</v>
      </c>
      <c r="L1540" t="s">
        <v>1358</v>
      </c>
    </row>
    <row r="1541" spans="8:12">
      <c r="H1541" t="s">
        <v>8640</v>
      </c>
      <c r="I1541" t="s">
        <v>1358</v>
      </c>
      <c r="J1541" t="s">
        <v>1358</v>
      </c>
      <c r="K1541" t="s">
        <v>1358</v>
      </c>
      <c r="L1541" t="s">
        <v>1358</v>
      </c>
    </row>
    <row r="1542" spans="8:12">
      <c r="H1542" t="s">
        <v>8641</v>
      </c>
      <c r="I1542" t="s">
        <v>1358</v>
      </c>
      <c r="J1542" t="s">
        <v>1358</v>
      </c>
      <c r="K1542" t="s">
        <v>1358</v>
      </c>
      <c r="L1542" t="s">
        <v>1358</v>
      </c>
    </row>
    <row r="1543" spans="8:12">
      <c r="H1543" t="s">
        <v>8642</v>
      </c>
      <c r="I1543" t="s">
        <v>1358</v>
      </c>
      <c r="J1543" t="s">
        <v>1358</v>
      </c>
      <c r="K1543" t="s">
        <v>1358</v>
      </c>
      <c r="L1543" t="s">
        <v>1358</v>
      </c>
    </row>
    <row r="1544" spans="8:12">
      <c r="H1544" t="s">
        <v>8643</v>
      </c>
      <c r="I1544" t="s">
        <v>1358</v>
      </c>
      <c r="J1544" t="s">
        <v>1358</v>
      </c>
      <c r="K1544" t="s">
        <v>1358</v>
      </c>
      <c r="L1544" t="s">
        <v>1358</v>
      </c>
    </row>
    <row r="1545" spans="8:12">
      <c r="H1545" t="s">
        <v>8644</v>
      </c>
      <c r="I1545" t="s">
        <v>1358</v>
      </c>
      <c r="J1545" t="s">
        <v>1358</v>
      </c>
      <c r="K1545" t="s">
        <v>1358</v>
      </c>
      <c r="L1545" t="s">
        <v>1358</v>
      </c>
    </row>
    <row r="1546" spans="8:12">
      <c r="H1546" t="s">
        <v>8645</v>
      </c>
      <c r="I1546" t="s">
        <v>1358</v>
      </c>
      <c r="J1546" t="s">
        <v>1358</v>
      </c>
      <c r="K1546" t="s">
        <v>1358</v>
      </c>
      <c r="L1546" t="s">
        <v>1358</v>
      </c>
    </row>
    <row r="1547" spans="8:12">
      <c r="H1547" t="s">
        <v>8646</v>
      </c>
      <c r="I1547" t="s">
        <v>1358</v>
      </c>
      <c r="J1547" t="s">
        <v>1358</v>
      </c>
      <c r="K1547" t="s">
        <v>1358</v>
      </c>
      <c r="L1547" t="s">
        <v>1358</v>
      </c>
    </row>
    <row r="1548" spans="8:12">
      <c r="H1548" t="s">
        <v>8647</v>
      </c>
      <c r="I1548" t="s">
        <v>1358</v>
      </c>
      <c r="J1548" t="s">
        <v>1358</v>
      </c>
      <c r="K1548" t="s">
        <v>1358</v>
      </c>
      <c r="L1548" t="s">
        <v>1358</v>
      </c>
    </row>
    <row r="1549" spans="8:12">
      <c r="H1549" t="s">
        <v>8648</v>
      </c>
      <c r="I1549" t="s">
        <v>1358</v>
      </c>
      <c r="J1549" t="s">
        <v>1358</v>
      </c>
      <c r="K1549" t="s">
        <v>1358</v>
      </c>
      <c r="L1549" t="s">
        <v>1358</v>
      </c>
    </row>
    <row r="1550" spans="8:12">
      <c r="H1550" t="s">
        <v>8649</v>
      </c>
      <c r="I1550" t="s">
        <v>1358</v>
      </c>
      <c r="J1550" t="s">
        <v>1358</v>
      </c>
      <c r="K1550" t="s">
        <v>1358</v>
      </c>
      <c r="L1550" t="s">
        <v>1358</v>
      </c>
    </row>
    <row r="1551" spans="8:12">
      <c r="H1551" t="s">
        <v>8650</v>
      </c>
      <c r="I1551" t="s">
        <v>1358</v>
      </c>
      <c r="J1551" t="s">
        <v>1358</v>
      </c>
      <c r="K1551" t="s">
        <v>1358</v>
      </c>
      <c r="L1551" t="s">
        <v>1358</v>
      </c>
    </row>
    <row r="1552" spans="8:12">
      <c r="H1552" t="s">
        <v>8651</v>
      </c>
      <c r="I1552" t="s">
        <v>1358</v>
      </c>
      <c r="J1552" t="s">
        <v>1358</v>
      </c>
      <c r="K1552" t="s">
        <v>1358</v>
      </c>
      <c r="L1552" t="s">
        <v>1358</v>
      </c>
    </row>
    <row r="1553" spans="1:12">
      <c r="H1553" t="s">
        <v>8652</v>
      </c>
      <c r="I1553" t="s">
        <v>1358</v>
      </c>
      <c r="J1553" t="s">
        <v>1358</v>
      </c>
      <c r="K1553" t="s">
        <v>1358</v>
      </c>
      <c r="L1553" t="s">
        <v>1358</v>
      </c>
    </row>
    <row r="1554" spans="1:12">
      <c r="H1554" t="s">
        <v>8653</v>
      </c>
      <c r="I1554" t="s">
        <v>1358</v>
      </c>
      <c r="J1554" t="s">
        <v>1358</v>
      </c>
      <c r="K1554" t="s">
        <v>1358</v>
      </c>
      <c r="L1554" t="s">
        <v>1358</v>
      </c>
    </row>
    <row r="1555" spans="1:12">
      <c r="H1555" t="s">
        <v>8654</v>
      </c>
      <c r="I1555" t="s">
        <v>1358</v>
      </c>
      <c r="J1555" t="s">
        <v>1358</v>
      </c>
      <c r="K1555" t="s">
        <v>1358</v>
      </c>
      <c r="L1555" t="s">
        <v>1358</v>
      </c>
    </row>
    <row r="1556" spans="1:12">
      <c r="H1556" t="s">
        <v>8655</v>
      </c>
      <c r="I1556" t="s">
        <v>1358</v>
      </c>
      <c r="J1556" t="s">
        <v>1358</v>
      </c>
      <c r="K1556" t="s">
        <v>1358</v>
      </c>
      <c r="L1556" t="s">
        <v>1358</v>
      </c>
    </row>
    <row r="1557" spans="1:12">
      <c r="H1557" t="s">
        <v>8656</v>
      </c>
      <c r="I1557" t="s">
        <v>1358</v>
      </c>
      <c r="J1557" t="s">
        <v>1358</v>
      </c>
      <c r="K1557" t="s">
        <v>1358</v>
      </c>
      <c r="L1557" t="s">
        <v>1358</v>
      </c>
    </row>
    <row r="1558" spans="1:12">
      <c r="H1558" t="s">
        <v>8657</v>
      </c>
      <c r="I1558" t="s">
        <v>1358</v>
      </c>
      <c r="J1558" t="s">
        <v>1358</v>
      </c>
      <c r="K1558" t="s">
        <v>1358</v>
      </c>
      <c r="L1558" t="s">
        <v>1358</v>
      </c>
    </row>
    <row r="1559" spans="1:12">
      <c r="A1559" t="s">
        <v>6308</v>
      </c>
      <c r="B1559">
        <f>HYPERLINK("https://github.com/pmd/pmd/commit/3cb9a423c9007240bed025b8b7b8e62b7f41f97a", "3cb9a423c9007240bed025b8b7b8e62b7f41f97a")</f>
        <v>0</v>
      </c>
      <c r="C1559">
        <f>HYPERLINK("https://github.com/pmd/pmd/commit/e2801519874e8a9695366946e6a51b479b3e4703", "e2801519874e8a9695366946e6a51b479b3e4703")</f>
        <v>0</v>
      </c>
      <c r="D1559" t="s">
        <v>6502</v>
      </c>
      <c r="E1559" t="s">
        <v>6765</v>
      </c>
      <c r="F1559" t="s">
        <v>7510</v>
      </c>
      <c r="G1559" t="s">
        <v>8188</v>
      </c>
      <c r="H1559" t="s">
        <v>9015</v>
      </c>
      <c r="I1559" t="s">
        <v>1358</v>
      </c>
      <c r="J1559" t="s">
        <v>1358</v>
      </c>
      <c r="K1559" t="s">
        <v>1358</v>
      </c>
      <c r="L1559" t="s">
        <v>1358</v>
      </c>
    </row>
    <row r="1560" spans="1:12">
      <c r="F1560" t="s">
        <v>7511</v>
      </c>
      <c r="G1560" t="s">
        <v>8189</v>
      </c>
      <c r="H1560" t="s">
        <v>9135</v>
      </c>
      <c r="I1560" t="s">
        <v>1358</v>
      </c>
      <c r="J1560" t="s">
        <v>1358</v>
      </c>
      <c r="K1560" t="s">
        <v>1358</v>
      </c>
      <c r="L1560" t="s">
        <v>1358</v>
      </c>
    </row>
    <row r="1561" spans="1:12">
      <c r="H1561" t="s">
        <v>9136</v>
      </c>
      <c r="I1561" t="s">
        <v>1358</v>
      </c>
      <c r="J1561" t="s">
        <v>1358</v>
      </c>
      <c r="K1561" t="s">
        <v>1358</v>
      </c>
      <c r="L1561" t="s">
        <v>1358</v>
      </c>
    </row>
    <row r="1562" spans="1:12">
      <c r="A1562" t="s">
        <v>6309</v>
      </c>
      <c r="B1562">
        <f>HYPERLINK("https://github.com/pmd/pmd/commit/b950929b7cd224c32eef1b2d3afc32d4c6b53ab4", "b950929b7cd224c32eef1b2d3afc32d4c6b53ab4")</f>
        <v>0</v>
      </c>
      <c r="C1562">
        <f>HYPERLINK("https://github.com/pmd/pmd/commit/b6bc06d3d28f538cd70544c0344750da5f500e43", "b6bc06d3d28f538cd70544c0344750da5f500e43")</f>
        <v>0</v>
      </c>
      <c r="D1562" t="s">
        <v>6502</v>
      </c>
      <c r="E1562" t="s">
        <v>6766</v>
      </c>
      <c r="F1562" t="s">
        <v>7512</v>
      </c>
      <c r="G1562" t="s">
        <v>8190</v>
      </c>
      <c r="H1562" t="s">
        <v>9137</v>
      </c>
      <c r="I1562" t="s">
        <v>1357</v>
      </c>
      <c r="J1562" t="s">
        <v>1357</v>
      </c>
      <c r="K1562" t="s">
        <v>1357</v>
      </c>
      <c r="L1562" t="s">
        <v>1357</v>
      </c>
    </row>
    <row r="1563" spans="1:12">
      <c r="A1563" t="s">
        <v>6310</v>
      </c>
      <c r="B1563">
        <f>HYPERLINK("https://github.com/pmd/pmd/commit/d5a9ba949f154c0826c17959505504cf8caf3596", "d5a9ba949f154c0826c17959505504cf8caf3596")</f>
        <v>0</v>
      </c>
      <c r="C1563">
        <f>HYPERLINK("https://github.com/pmd/pmd/commit/854bde01898c13a527d577449c1f208d01794fb2", "854bde01898c13a527d577449c1f208d01794fb2")</f>
        <v>0</v>
      </c>
      <c r="D1563" t="s">
        <v>6506</v>
      </c>
      <c r="E1563" t="s">
        <v>6767</v>
      </c>
      <c r="F1563" t="s">
        <v>7502</v>
      </c>
      <c r="G1563" t="s">
        <v>8183</v>
      </c>
      <c r="H1563" t="s">
        <v>9138</v>
      </c>
      <c r="I1563" t="s">
        <v>1358</v>
      </c>
      <c r="J1563" t="s">
        <v>1358</v>
      </c>
      <c r="K1563" t="s">
        <v>1358</v>
      </c>
      <c r="L1563" t="s">
        <v>1358</v>
      </c>
    </row>
    <row r="1564" spans="1:12">
      <c r="A1564" t="s">
        <v>6311</v>
      </c>
      <c r="B1564">
        <f>HYPERLINK("https://github.com/pmd/pmd/commit/47b29dfaa7a5f7054145dd5a886ce1b8f5e78d04", "47b29dfaa7a5f7054145dd5a886ce1b8f5e78d04")</f>
        <v>0</v>
      </c>
      <c r="C1564">
        <f>HYPERLINK("https://github.com/pmd/pmd/commit/5c91394619adac230cfc9ad7d860d079e91c4d80", "5c91394619adac230cfc9ad7d860d079e91c4d80")</f>
        <v>0</v>
      </c>
      <c r="D1564" t="s">
        <v>6507</v>
      </c>
      <c r="E1564" t="s">
        <v>6768</v>
      </c>
      <c r="F1564" t="s">
        <v>7513</v>
      </c>
      <c r="G1564" t="s">
        <v>8063</v>
      </c>
      <c r="H1564" t="s">
        <v>8800</v>
      </c>
      <c r="I1564" t="s">
        <v>1358</v>
      </c>
      <c r="J1564" t="s">
        <v>1358</v>
      </c>
      <c r="K1564" t="s">
        <v>1358</v>
      </c>
      <c r="L1564" t="s">
        <v>1358</v>
      </c>
    </row>
    <row r="1565" spans="1:12">
      <c r="F1565" t="s">
        <v>7514</v>
      </c>
      <c r="G1565" t="s">
        <v>8191</v>
      </c>
      <c r="H1565" t="s">
        <v>9034</v>
      </c>
      <c r="I1565" t="s">
        <v>1358</v>
      </c>
      <c r="J1565" t="s">
        <v>1358</v>
      </c>
      <c r="K1565" t="s">
        <v>1358</v>
      </c>
      <c r="L1565" t="s">
        <v>1358</v>
      </c>
    </row>
    <row r="1566" spans="1:12">
      <c r="F1566" t="s">
        <v>7515</v>
      </c>
      <c r="G1566" t="s">
        <v>8167</v>
      </c>
      <c r="H1566" t="s">
        <v>9084</v>
      </c>
      <c r="I1566" t="s">
        <v>1358</v>
      </c>
      <c r="J1566" t="s">
        <v>1358</v>
      </c>
      <c r="K1566" t="s">
        <v>1358</v>
      </c>
      <c r="L1566" t="s">
        <v>1358</v>
      </c>
    </row>
    <row r="1567" spans="1:12">
      <c r="H1567" t="s">
        <v>9085</v>
      </c>
      <c r="I1567" t="s">
        <v>1358</v>
      </c>
      <c r="J1567" t="s">
        <v>1358</v>
      </c>
      <c r="K1567" t="s">
        <v>1358</v>
      </c>
      <c r="L1567" t="s">
        <v>1358</v>
      </c>
    </row>
    <row r="1568" spans="1:12">
      <c r="F1568" t="s">
        <v>7516</v>
      </c>
      <c r="G1568" t="s">
        <v>8192</v>
      </c>
      <c r="H1568" t="s">
        <v>9035</v>
      </c>
      <c r="I1568" t="s">
        <v>1358</v>
      </c>
      <c r="J1568" t="s">
        <v>1358</v>
      </c>
      <c r="K1568" t="s">
        <v>1358</v>
      </c>
      <c r="L1568" t="s">
        <v>1358</v>
      </c>
    </row>
    <row r="1569" spans="1:12">
      <c r="H1569" t="s">
        <v>9056</v>
      </c>
      <c r="I1569" t="s">
        <v>1357</v>
      </c>
      <c r="J1569" t="s">
        <v>1357</v>
      </c>
      <c r="K1569" t="s">
        <v>1357</v>
      </c>
      <c r="L1569" t="s">
        <v>1357</v>
      </c>
    </row>
    <row r="1570" spans="1:12">
      <c r="H1570" t="s">
        <v>9060</v>
      </c>
      <c r="I1570" t="s">
        <v>1357</v>
      </c>
      <c r="J1570" t="s">
        <v>1357</v>
      </c>
      <c r="K1570" t="s">
        <v>1357</v>
      </c>
      <c r="L1570" t="s">
        <v>1357</v>
      </c>
    </row>
    <row r="1571" spans="1:12">
      <c r="H1571" t="s">
        <v>9064</v>
      </c>
      <c r="I1571" t="s">
        <v>1357</v>
      </c>
      <c r="J1571" t="s">
        <v>1357</v>
      </c>
      <c r="K1571" t="s">
        <v>1357</v>
      </c>
      <c r="L1571" t="s">
        <v>1357</v>
      </c>
    </row>
    <row r="1572" spans="1:12">
      <c r="H1572" t="s">
        <v>9065</v>
      </c>
      <c r="I1572" t="s">
        <v>1357</v>
      </c>
      <c r="J1572" t="s">
        <v>1357</v>
      </c>
      <c r="K1572" t="s">
        <v>1357</v>
      </c>
      <c r="L1572" t="s">
        <v>1357</v>
      </c>
    </row>
    <row r="1573" spans="1:12">
      <c r="F1573" t="s">
        <v>7517</v>
      </c>
      <c r="G1573" t="s">
        <v>8169</v>
      </c>
      <c r="H1573" t="s">
        <v>9092</v>
      </c>
      <c r="I1573" t="s">
        <v>1357</v>
      </c>
      <c r="J1573" t="s">
        <v>1357</v>
      </c>
      <c r="K1573" t="s">
        <v>1357</v>
      </c>
      <c r="L1573" t="s">
        <v>1357</v>
      </c>
    </row>
    <row r="1574" spans="1:12">
      <c r="A1574" t="s">
        <v>6312</v>
      </c>
      <c r="B1574">
        <f>HYPERLINK("https://github.com/pmd/pmd/commit/83dc8d6272f3fa673d44289e71e52a5a9db9eeac", "83dc8d6272f3fa673d44289e71e52a5a9db9eeac")</f>
        <v>0</v>
      </c>
      <c r="C1574">
        <f>HYPERLINK("https://github.com/pmd/pmd/commit/8af50fb169456953bdc8d74c62de07caa8d90e5c", "8af50fb169456953bdc8d74c62de07caa8d90e5c")</f>
        <v>0</v>
      </c>
      <c r="D1574" t="s">
        <v>6507</v>
      </c>
      <c r="E1574" t="s">
        <v>6769</v>
      </c>
      <c r="F1574" t="s">
        <v>7518</v>
      </c>
      <c r="G1574" t="s">
        <v>8192</v>
      </c>
      <c r="H1574" t="s">
        <v>9052</v>
      </c>
      <c r="I1574" t="s">
        <v>1357</v>
      </c>
      <c r="J1574" t="s">
        <v>1357</v>
      </c>
      <c r="K1574" t="s">
        <v>1357</v>
      </c>
      <c r="L1574" t="s">
        <v>1357</v>
      </c>
    </row>
    <row r="1575" spans="1:12">
      <c r="H1575" t="s">
        <v>9053</v>
      </c>
      <c r="I1575" t="s">
        <v>1357</v>
      </c>
      <c r="J1575" t="s">
        <v>1357</v>
      </c>
      <c r="K1575" t="s">
        <v>1357</v>
      </c>
      <c r="L1575" t="s">
        <v>1357</v>
      </c>
    </row>
    <row r="1576" spans="1:12">
      <c r="H1576" t="s">
        <v>9058</v>
      </c>
      <c r="I1576" t="s">
        <v>1359</v>
      </c>
      <c r="J1576" t="s">
        <v>1357</v>
      </c>
      <c r="K1576" t="s">
        <v>1358</v>
      </c>
      <c r="L1576" t="s">
        <v>1357</v>
      </c>
    </row>
    <row r="1577" spans="1:12">
      <c r="H1577" t="s">
        <v>9059</v>
      </c>
      <c r="I1577" t="s">
        <v>1357</v>
      </c>
      <c r="J1577" t="s">
        <v>1357</v>
      </c>
      <c r="K1577" t="s">
        <v>1357</v>
      </c>
      <c r="L1577" t="s">
        <v>1357</v>
      </c>
    </row>
    <row r="1578" spans="1:12">
      <c r="H1578" t="s">
        <v>9062</v>
      </c>
      <c r="I1578" t="s">
        <v>1357</v>
      </c>
      <c r="J1578" t="s">
        <v>1357</v>
      </c>
      <c r="K1578" t="s">
        <v>1357</v>
      </c>
      <c r="L1578" t="s">
        <v>1357</v>
      </c>
    </row>
    <row r="1579" spans="1:12">
      <c r="H1579" t="s">
        <v>9063</v>
      </c>
      <c r="I1579" t="s">
        <v>1359</v>
      </c>
      <c r="J1579" t="s">
        <v>1357</v>
      </c>
      <c r="K1579" t="s">
        <v>1358</v>
      </c>
      <c r="L1579" t="s">
        <v>1357</v>
      </c>
    </row>
    <row r="1580" spans="1:12">
      <c r="H1580" t="s">
        <v>9066</v>
      </c>
      <c r="I1580" t="s">
        <v>1357</v>
      </c>
      <c r="J1580" t="s">
        <v>1357</v>
      </c>
      <c r="K1580" t="s">
        <v>1357</v>
      </c>
      <c r="L1580" t="s">
        <v>1357</v>
      </c>
    </row>
    <row r="1581" spans="1:12">
      <c r="H1581" t="s">
        <v>9067</v>
      </c>
      <c r="I1581" t="s">
        <v>1357</v>
      </c>
      <c r="J1581" t="s">
        <v>1357</v>
      </c>
      <c r="K1581" t="s">
        <v>1357</v>
      </c>
      <c r="L1581" t="s">
        <v>1357</v>
      </c>
    </row>
    <row r="1582" spans="1:12">
      <c r="H1582" t="s">
        <v>9068</v>
      </c>
      <c r="I1582" t="s">
        <v>1357</v>
      </c>
      <c r="J1582" t="s">
        <v>1357</v>
      </c>
      <c r="K1582" t="s">
        <v>1357</v>
      </c>
      <c r="L1582" t="s">
        <v>1357</v>
      </c>
    </row>
    <row r="1583" spans="1:12">
      <c r="H1583" t="s">
        <v>9069</v>
      </c>
      <c r="I1583" t="s">
        <v>1357</v>
      </c>
      <c r="J1583" t="s">
        <v>1357</v>
      </c>
      <c r="K1583" t="s">
        <v>1357</v>
      </c>
      <c r="L1583" t="s">
        <v>1357</v>
      </c>
    </row>
    <row r="1584" spans="1:12">
      <c r="A1584" t="s">
        <v>6313</v>
      </c>
      <c r="B1584">
        <f>HYPERLINK("https://github.com/pmd/pmd/commit/cd2eb5dcf18734139323301a55fa051548ab24cb", "cd2eb5dcf18734139323301a55fa051548ab24cb")</f>
        <v>0</v>
      </c>
      <c r="C1584">
        <f>HYPERLINK("https://github.com/pmd/pmd/commit/76dda01512112d51bd57f223f0be7ae8e9b75c16", "76dda01512112d51bd57f223f0be7ae8e9b75c16")</f>
        <v>0</v>
      </c>
      <c r="D1584" t="s">
        <v>6507</v>
      </c>
      <c r="E1584" t="s">
        <v>6770</v>
      </c>
      <c r="F1584" t="s">
        <v>7518</v>
      </c>
      <c r="G1584" t="s">
        <v>8192</v>
      </c>
      <c r="H1584" t="s">
        <v>9057</v>
      </c>
      <c r="I1584" t="s">
        <v>1357</v>
      </c>
      <c r="J1584" t="s">
        <v>1357</v>
      </c>
      <c r="K1584" t="s">
        <v>1357</v>
      </c>
      <c r="L1584" t="s">
        <v>1357</v>
      </c>
    </row>
    <row r="1585" spans="1:14">
      <c r="H1585" t="s">
        <v>9078</v>
      </c>
      <c r="I1585" t="s">
        <v>1357</v>
      </c>
      <c r="J1585" t="s">
        <v>1357</v>
      </c>
      <c r="K1585" t="s">
        <v>1357</v>
      </c>
      <c r="L1585" t="s">
        <v>1357</v>
      </c>
      <c r="N1585" t="s">
        <v>9956</v>
      </c>
    </row>
    <row r="1586" spans="1:14">
      <c r="A1586" t="s">
        <v>6314</v>
      </c>
      <c r="B1586">
        <f>HYPERLINK("https://github.com/pmd/pmd/commit/1218cd5c5b949ee075ff02d1aefc6b340ae74610", "1218cd5c5b949ee075ff02d1aefc6b340ae74610")</f>
        <v>0</v>
      </c>
      <c r="C1586">
        <f>HYPERLINK("https://github.com/pmd/pmd/commit/b7974d0486a205c4e9e2848517f408a77509f81a", "b7974d0486a205c4e9e2848517f408a77509f81a")</f>
        <v>0</v>
      </c>
      <c r="D1586" t="s">
        <v>6506</v>
      </c>
      <c r="E1586" t="s">
        <v>6768</v>
      </c>
      <c r="F1586" t="s">
        <v>7513</v>
      </c>
      <c r="G1586" t="s">
        <v>8063</v>
      </c>
      <c r="H1586" t="s">
        <v>8800</v>
      </c>
      <c r="I1586" t="s">
        <v>1358</v>
      </c>
      <c r="J1586" t="s">
        <v>1358</v>
      </c>
      <c r="K1586" t="s">
        <v>1358</v>
      </c>
      <c r="L1586" t="s">
        <v>1358</v>
      </c>
    </row>
    <row r="1587" spans="1:14">
      <c r="F1587" t="s">
        <v>7514</v>
      </c>
      <c r="G1587" t="s">
        <v>8191</v>
      </c>
      <c r="H1587" t="s">
        <v>9034</v>
      </c>
      <c r="I1587" t="s">
        <v>1358</v>
      </c>
      <c r="J1587" t="s">
        <v>1358</v>
      </c>
      <c r="K1587" t="s">
        <v>1358</v>
      </c>
      <c r="L1587" t="s">
        <v>1358</v>
      </c>
    </row>
    <row r="1588" spans="1:14">
      <c r="F1588" t="s">
        <v>7515</v>
      </c>
      <c r="G1588" t="s">
        <v>8167</v>
      </c>
      <c r="H1588" t="s">
        <v>9084</v>
      </c>
      <c r="I1588" t="s">
        <v>1358</v>
      </c>
      <c r="J1588" t="s">
        <v>1358</v>
      </c>
      <c r="K1588" t="s">
        <v>1358</v>
      </c>
      <c r="L1588" t="s">
        <v>1358</v>
      </c>
      <c r="N1588" t="s">
        <v>9957</v>
      </c>
    </row>
    <row r="1589" spans="1:14">
      <c r="H1589" t="s">
        <v>9085</v>
      </c>
      <c r="I1589" t="s">
        <v>1358</v>
      </c>
      <c r="J1589" t="s">
        <v>1358</v>
      </c>
      <c r="K1589" t="s">
        <v>1358</v>
      </c>
      <c r="L1589" t="s">
        <v>1358</v>
      </c>
    </row>
    <row r="1590" spans="1:14">
      <c r="F1590" t="s">
        <v>7516</v>
      </c>
      <c r="G1590" t="s">
        <v>8192</v>
      </c>
      <c r="H1590" t="s">
        <v>9035</v>
      </c>
      <c r="I1590" t="s">
        <v>1358</v>
      </c>
      <c r="J1590" t="s">
        <v>1358</v>
      </c>
      <c r="K1590" t="s">
        <v>1358</v>
      </c>
      <c r="L1590" t="s">
        <v>1358</v>
      </c>
    </row>
    <row r="1591" spans="1:14">
      <c r="H1591" t="s">
        <v>9056</v>
      </c>
      <c r="I1591" t="s">
        <v>1357</v>
      </c>
      <c r="J1591" t="s">
        <v>1357</v>
      </c>
      <c r="K1591" t="s">
        <v>1357</v>
      </c>
      <c r="L1591" t="s">
        <v>1357</v>
      </c>
    </row>
    <row r="1592" spans="1:14">
      <c r="H1592" t="s">
        <v>9060</v>
      </c>
      <c r="I1592" t="s">
        <v>1357</v>
      </c>
      <c r="J1592" t="s">
        <v>1357</v>
      </c>
      <c r="K1592" t="s">
        <v>1357</v>
      </c>
      <c r="L1592" t="s">
        <v>1357</v>
      </c>
    </row>
    <row r="1593" spans="1:14">
      <c r="H1593" t="s">
        <v>9064</v>
      </c>
      <c r="I1593" t="s">
        <v>1357</v>
      </c>
      <c r="J1593" t="s">
        <v>1357</v>
      </c>
      <c r="K1593" t="s">
        <v>1357</v>
      </c>
      <c r="L1593" t="s">
        <v>1357</v>
      </c>
    </row>
    <row r="1594" spans="1:14">
      <c r="H1594" t="s">
        <v>9065</v>
      </c>
      <c r="I1594" t="s">
        <v>1357</v>
      </c>
      <c r="J1594" t="s">
        <v>1357</v>
      </c>
      <c r="K1594" t="s">
        <v>1357</v>
      </c>
      <c r="L1594" t="s">
        <v>1357</v>
      </c>
    </row>
    <row r="1595" spans="1:14">
      <c r="F1595" t="s">
        <v>7517</v>
      </c>
      <c r="G1595" t="s">
        <v>8169</v>
      </c>
      <c r="H1595" t="s">
        <v>9092</v>
      </c>
      <c r="I1595" t="s">
        <v>1357</v>
      </c>
      <c r="J1595" t="s">
        <v>1357</v>
      </c>
      <c r="K1595" t="s">
        <v>1357</v>
      </c>
      <c r="L1595" t="s">
        <v>1357</v>
      </c>
    </row>
    <row r="1596" spans="1:14">
      <c r="A1596" t="s">
        <v>6315</v>
      </c>
      <c r="B1596">
        <f>HYPERLINK("https://github.com/pmd/pmd/commit/7d9cd70e5531206dde733480900fdf56386a4a29", "7d9cd70e5531206dde733480900fdf56386a4a29")</f>
        <v>0</v>
      </c>
      <c r="C1596">
        <f>HYPERLINK("https://github.com/pmd/pmd/commit/72122470c7219a5874587b4c1ca33dfbd73df7a4", "72122470c7219a5874587b4c1ca33dfbd73df7a4")</f>
        <v>0</v>
      </c>
      <c r="D1596" t="s">
        <v>6506</v>
      </c>
      <c r="E1596" t="s">
        <v>6769</v>
      </c>
      <c r="F1596" t="s">
        <v>7518</v>
      </c>
      <c r="G1596" t="s">
        <v>8192</v>
      </c>
      <c r="H1596" t="s">
        <v>9052</v>
      </c>
      <c r="I1596" t="s">
        <v>1357</v>
      </c>
      <c r="J1596" t="s">
        <v>1357</v>
      </c>
      <c r="K1596" t="s">
        <v>1357</v>
      </c>
      <c r="L1596" t="s">
        <v>1357</v>
      </c>
    </row>
    <row r="1597" spans="1:14">
      <c r="H1597" t="s">
        <v>9053</v>
      </c>
      <c r="I1597" t="s">
        <v>1357</v>
      </c>
      <c r="J1597" t="s">
        <v>1357</v>
      </c>
      <c r="K1597" t="s">
        <v>1357</v>
      </c>
      <c r="L1597" t="s">
        <v>1357</v>
      </c>
    </row>
    <row r="1598" spans="1:14">
      <c r="H1598" t="s">
        <v>9058</v>
      </c>
      <c r="I1598" t="s">
        <v>1359</v>
      </c>
      <c r="J1598" t="s">
        <v>1357</v>
      </c>
      <c r="K1598" t="s">
        <v>1358</v>
      </c>
      <c r="L1598" t="s">
        <v>1357</v>
      </c>
    </row>
    <row r="1599" spans="1:14">
      <c r="H1599" t="s">
        <v>9059</v>
      </c>
      <c r="I1599" t="s">
        <v>1357</v>
      </c>
      <c r="J1599" t="s">
        <v>1357</v>
      </c>
      <c r="K1599" t="s">
        <v>1357</v>
      </c>
      <c r="L1599" t="s">
        <v>1357</v>
      </c>
    </row>
    <row r="1600" spans="1:14">
      <c r="H1600" t="s">
        <v>9062</v>
      </c>
      <c r="I1600" t="s">
        <v>1357</v>
      </c>
      <c r="J1600" t="s">
        <v>1357</v>
      </c>
      <c r="K1600" t="s">
        <v>1357</v>
      </c>
      <c r="L1600" t="s">
        <v>1357</v>
      </c>
    </row>
    <row r="1601" spans="1:14">
      <c r="H1601" t="s">
        <v>9063</v>
      </c>
      <c r="I1601" t="s">
        <v>1359</v>
      </c>
      <c r="J1601" t="s">
        <v>1357</v>
      </c>
      <c r="K1601" t="s">
        <v>1358</v>
      </c>
      <c r="L1601" t="s">
        <v>1357</v>
      </c>
    </row>
    <row r="1602" spans="1:14">
      <c r="H1602" t="s">
        <v>9066</v>
      </c>
      <c r="I1602" t="s">
        <v>1357</v>
      </c>
      <c r="J1602" t="s">
        <v>1357</v>
      </c>
      <c r="K1602" t="s">
        <v>1357</v>
      </c>
      <c r="L1602" t="s">
        <v>1357</v>
      </c>
    </row>
    <row r="1603" spans="1:14">
      <c r="H1603" t="s">
        <v>9067</v>
      </c>
      <c r="I1603" t="s">
        <v>1357</v>
      </c>
      <c r="J1603" t="s">
        <v>1357</v>
      </c>
      <c r="K1603" t="s">
        <v>1357</v>
      </c>
      <c r="L1603" t="s">
        <v>1357</v>
      </c>
    </row>
    <row r="1604" spans="1:14">
      <c r="H1604" t="s">
        <v>9068</v>
      </c>
      <c r="I1604" t="s">
        <v>1357</v>
      </c>
      <c r="J1604" t="s">
        <v>1357</v>
      </c>
      <c r="K1604" t="s">
        <v>1357</v>
      </c>
      <c r="L1604" t="s">
        <v>1357</v>
      </c>
    </row>
    <row r="1605" spans="1:14">
      <c r="H1605" t="s">
        <v>9069</v>
      </c>
      <c r="I1605" t="s">
        <v>1357</v>
      </c>
      <c r="J1605" t="s">
        <v>1357</v>
      </c>
      <c r="K1605" t="s">
        <v>1357</v>
      </c>
      <c r="L1605" t="s">
        <v>1357</v>
      </c>
    </row>
    <row r="1606" spans="1:14">
      <c r="A1606" t="s">
        <v>6315</v>
      </c>
      <c r="B1606">
        <f>HYPERLINK("https://github.com/pmd/pmd/commit/758a131454217900f2b7e45b361ca0173fcaf89b", "758a131454217900f2b7e45b361ca0173fcaf89b")</f>
        <v>0</v>
      </c>
      <c r="C1606">
        <f>HYPERLINK("https://github.com/pmd/pmd/commit/a29e77fe2914e269c547488babd07ac1bea7a01e", "a29e77fe2914e269c547488babd07ac1bea7a01e")</f>
        <v>0</v>
      </c>
      <c r="D1606" t="s">
        <v>6506</v>
      </c>
      <c r="E1606" t="s">
        <v>6770</v>
      </c>
      <c r="F1606" t="s">
        <v>7518</v>
      </c>
      <c r="G1606" t="s">
        <v>8192</v>
      </c>
      <c r="H1606" t="s">
        <v>9057</v>
      </c>
      <c r="I1606" t="s">
        <v>1357</v>
      </c>
      <c r="J1606" t="s">
        <v>1357</v>
      </c>
      <c r="K1606" t="s">
        <v>1357</v>
      </c>
      <c r="L1606" t="s">
        <v>1357</v>
      </c>
    </row>
    <row r="1607" spans="1:14">
      <c r="H1607" t="s">
        <v>9078</v>
      </c>
      <c r="I1607" t="s">
        <v>1357</v>
      </c>
      <c r="J1607" t="s">
        <v>1357</v>
      </c>
      <c r="K1607" t="s">
        <v>1357</v>
      </c>
      <c r="L1607" t="s">
        <v>1357</v>
      </c>
      <c r="M1607" t="s">
        <v>9922</v>
      </c>
      <c r="N1607" t="s">
        <v>9958</v>
      </c>
    </row>
    <row r="1608" spans="1:14">
      <c r="A1608" t="s">
        <v>6316</v>
      </c>
      <c r="B1608">
        <f>HYPERLINK("https://github.com/pmd/pmd/commit/3c5c177d952258fbb7a7776e91470078169158ce", "3c5c177d952258fbb7a7776e91470078169158ce")</f>
        <v>0</v>
      </c>
      <c r="C1608">
        <f>HYPERLINK("https://github.com/pmd/pmd/commit/4834af3089593aca74dad80ec53c3359dd705ace", "4834af3089593aca74dad80ec53c3359dd705ace")</f>
        <v>0</v>
      </c>
      <c r="D1608" t="s">
        <v>6505</v>
      </c>
      <c r="E1608" t="s">
        <v>6771</v>
      </c>
      <c r="F1608" t="s">
        <v>7519</v>
      </c>
      <c r="G1608" t="s">
        <v>7831</v>
      </c>
      <c r="H1608" t="s">
        <v>9139</v>
      </c>
      <c r="I1608" t="s">
        <v>1357</v>
      </c>
      <c r="J1608" t="s">
        <v>1357</v>
      </c>
      <c r="K1608" t="s">
        <v>1357</v>
      </c>
      <c r="L1608" t="s">
        <v>1357</v>
      </c>
      <c r="M1608" t="s">
        <v>9923</v>
      </c>
    </row>
    <row r="1609" spans="1:14">
      <c r="H1609" t="s">
        <v>9140</v>
      </c>
      <c r="I1609" t="s">
        <v>1357</v>
      </c>
      <c r="J1609" t="s">
        <v>1357</v>
      </c>
      <c r="K1609" t="s">
        <v>1357</v>
      </c>
      <c r="L1609" t="s">
        <v>1357</v>
      </c>
    </row>
    <row r="1610" spans="1:14">
      <c r="H1610" t="s">
        <v>9141</v>
      </c>
      <c r="I1610" t="s">
        <v>1357</v>
      </c>
      <c r="J1610" t="s">
        <v>1357</v>
      </c>
      <c r="K1610" t="s">
        <v>1357</v>
      </c>
      <c r="L1610" t="s">
        <v>1357</v>
      </c>
    </row>
    <row r="1611" spans="1:14">
      <c r="H1611" t="s">
        <v>9142</v>
      </c>
      <c r="I1611" t="s">
        <v>1357</v>
      </c>
      <c r="J1611" t="s">
        <v>1357</v>
      </c>
      <c r="K1611" t="s">
        <v>1357</v>
      </c>
      <c r="L1611" t="s">
        <v>1357</v>
      </c>
    </row>
    <row r="1612" spans="1:14">
      <c r="H1612" t="s">
        <v>9143</v>
      </c>
      <c r="I1612" t="s">
        <v>1359</v>
      </c>
      <c r="J1612" t="s">
        <v>1358</v>
      </c>
      <c r="K1612" t="s">
        <v>1358</v>
      </c>
      <c r="L1612" t="s">
        <v>1357</v>
      </c>
    </row>
    <row r="1613" spans="1:14">
      <c r="A1613" t="s">
        <v>6317</v>
      </c>
      <c r="B1613">
        <f>HYPERLINK("https://github.com/pmd/pmd/commit/48e4efea4b2d0a98b2f0c8732a89f122bb0649b4", "48e4efea4b2d0a98b2f0c8732a89f122bb0649b4")</f>
        <v>0</v>
      </c>
      <c r="C1613">
        <f>HYPERLINK("https://github.com/pmd/pmd/commit/44ee615cf26627593f21aa0fc430aa0786483883", "44ee615cf26627593f21aa0fc430aa0786483883")</f>
        <v>0</v>
      </c>
      <c r="D1613" t="s">
        <v>6508</v>
      </c>
      <c r="E1613" t="s">
        <v>6771</v>
      </c>
      <c r="F1613" t="s">
        <v>7519</v>
      </c>
      <c r="G1613" t="s">
        <v>7831</v>
      </c>
      <c r="H1613" t="s">
        <v>9139</v>
      </c>
      <c r="I1613" t="s">
        <v>1357</v>
      </c>
      <c r="J1613" t="s">
        <v>1357</v>
      </c>
      <c r="K1613" t="s">
        <v>1357</v>
      </c>
      <c r="L1613" t="s">
        <v>1357</v>
      </c>
      <c r="M1613" t="s">
        <v>9923</v>
      </c>
    </row>
    <row r="1614" spans="1:14">
      <c r="H1614" t="s">
        <v>9140</v>
      </c>
      <c r="I1614" t="s">
        <v>1357</v>
      </c>
      <c r="J1614" t="s">
        <v>1357</v>
      </c>
      <c r="K1614" t="s">
        <v>1357</v>
      </c>
      <c r="L1614" t="s">
        <v>1357</v>
      </c>
    </row>
    <row r="1615" spans="1:14">
      <c r="H1615" t="s">
        <v>9141</v>
      </c>
      <c r="I1615" t="s">
        <v>1357</v>
      </c>
      <c r="J1615" t="s">
        <v>1357</v>
      </c>
      <c r="K1615" t="s">
        <v>1357</v>
      </c>
      <c r="L1615" t="s">
        <v>1357</v>
      </c>
    </row>
    <row r="1616" spans="1:14">
      <c r="H1616" t="s">
        <v>9142</v>
      </c>
      <c r="I1616" t="s">
        <v>1357</v>
      </c>
      <c r="J1616" t="s">
        <v>1357</v>
      </c>
      <c r="K1616" t="s">
        <v>1357</v>
      </c>
      <c r="L1616" t="s">
        <v>1357</v>
      </c>
    </row>
    <row r="1617" spans="1:12">
      <c r="H1617" t="s">
        <v>9143</v>
      </c>
      <c r="I1617" t="s">
        <v>1359</v>
      </c>
      <c r="J1617" t="s">
        <v>1358</v>
      </c>
      <c r="K1617" t="s">
        <v>1358</v>
      </c>
      <c r="L1617" t="s">
        <v>1357</v>
      </c>
    </row>
    <row r="1618" spans="1:12">
      <c r="A1618" t="s">
        <v>6318</v>
      </c>
      <c r="B1618">
        <f>HYPERLINK("https://github.com/pmd/pmd/commit/5c8d324230957c08f25833fa187fc02b4867f99b", "5c8d324230957c08f25833fa187fc02b4867f99b")</f>
        <v>0</v>
      </c>
      <c r="C1618">
        <f>HYPERLINK("https://github.com/pmd/pmd/commit/ee0558a07c6d3731e45f926ccc135b4856ebcc03", "ee0558a07c6d3731e45f926ccc135b4856ebcc03")</f>
        <v>0</v>
      </c>
      <c r="D1618" t="s">
        <v>6507</v>
      </c>
      <c r="E1618" t="s">
        <v>6772</v>
      </c>
      <c r="F1618" t="s">
        <v>7518</v>
      </c>
      <c r="G1618" t="s">
        <v>8192</v>
      </c>
      <c r="H1618" t="s">
        <v>9040</v>
      </c>
      <c r="I1618" t="s">
        <v>1357</v>
      </c>
      <c r="J1618" t="s">
        <v>1357</v>
      </c>
      <c r="K1618" t="s">
        <v>1357</v>
      </c>
      <c r="L1618" t="s">
        <v>1357</v>
      </c>
    </row>
    <row r="1619" spans="1:12">
      <c r="A1619" t="s">
        <v>6319</v>
      </c>
      <c r="B1619">
        <f>HYPERLINK("https://github.com/pmd/pmd/commit/63ea1906afacc108871bb42c8e98d1e684df58c8", "63ea1906afacc108871bb42c8e98d1e684df58c8")</f>
        <v>0</v>
      </c>
      <c r="C1619">
        <f>HYPERLINK("https://github.com/pmd/pmd/commit/c26891a09149357ceeb05752df6d69eaac236e6e", "c26891a09149357ceeb05752df6d69eaac236e6e")</f>
        <v>0</v>
      </c>
      <c r="D1619" t="s">
        <v>6508</v>
      </c>
      <c r="E1619" t="s">
        <v>6773</v>
      </c>
      <c r="F1619" t="s">
        <v>7519</v>
      </c>
      <c r="G1619" t="s">
        <v>7831</v>
      </c>
      <c r="H1619" t="s">
        <v>9144</v>
      </c>
      <c r="I1619" t="s">
        <v>1357</v>
      </c>
      <c r="J1619" t="s">
        <v>1357</v>
      </c>
      <c r="K1619" t="s">
        <v>1357</v>
      </c>
      <c r="L1619" t="s">
        <v>1357</v>
      </c>
    </row>
    <row r="1620" spans="1:12">
      <c r="H1620" t="s">
        <v>9145</v>
      </c>
      <c r="I1620" t="s">
        <v>1357</v>
      </c>
      <c r="J1620" t="s">
        <v>1357</v>
      </c>
      <c r="K1620" t="s">
        <v>1357</v>
      </c>
      <c r="L1620" t="s">
        <v>1357</v>
      </c>
    </row>
    <row r="1621" spans="1:12">
      <c r="H1621" t="s">
        <v>9146</v>
      </c>
      <c r="I1621" t="s">
        <v>1357</v>
      </c>
      <c r="J1621" t="s">
        <v>1357</v>
      </c>
      <c r="K1621" t="s">
        <v>1357</v>
      </c>
      <c r="L1621" t="s">
        <v>1357</v>
      </c>
    </row>
    <row r="1622" spans="1:12">
      <c r="H1622" t="s">
        <v>9147</v>
      </c>
      <c r="I1622" t="s">
        <v>1357</v>
      </c>
      <c r="J1622" t="s">
        <v>1357</v>
      </c>
      <c r="K1622" t="s">
        <v>1357</v>
      </c>
      <c r="L1622" t="s">
        <v>1357</v>
      </c>
    </row>
    <row r="1623" spans="1:12">
      <c r="H1623" t="s">
        <v>9148</v>
      </c>
      <c r="I1623" t="s">
        <v>1357</v>
      </c>
      <c r="J1623" t="s">
        <v>1357</v>
      </c>
      <c r="K1623" t="s">
        <v>1357</v>
      </c>
      <c r="L1623" t="s">
        <v>1357</v>
      </c>
    </row>
    <row r="1624" spans="1:12">
      <c r="H1624" t="s">
        <v>9149</v>
      </c>
      <c r="I1624" t="s">
        <v>1357</v>
      </c>
      <c r="J1624" t="s">
        <v>1357</v>
      </c>
      <c r="K1624" t="s">
        <v>1357</v>
      </c>
      <c r="L1624" t="s">
        <v>1357</v>
      </c>
    </row>
    <row r="1625" spans="1:12">
      <c r="H1625" t="s">
        <v>9150</v>
      </c>
      <c r="I1625" t="s">
        <v>1357</v>
      </c>
      <c r="J1625" t="s">
        <v>1357</v>
      </c>
      <c r="K1625" t="s">
        <v>1357</v>
      </c>
      <c r="L1625" t="s">
        <v>1357</v>
      </c>
    </row>
    <row r="1626" spans="1:12">
      <c r="H1626" t="s">
        <v>9151</v>
      </c>
      <c r="I1626" t="s">
        <v>1357</v>
      </c>
      <c r="J1626" t="s">
        <v>1357</v>
      </c>
      <c r="K1626" t="s">
        <v>1357</v>
      </c>
      <c r="L1626" t="s">
        <v>1357</v>
      </c>
    </row>
    <row r="1627" spans="1:12">
      <c r="H1627" t="s">
        <v>9152</v>
      </c>
      <c r="I1627" t="s">
        <v>1357</v>
      </c>
      <c r="J1627" t="s">
        <v>1357</v>
      </c>
      <c r="K1627" t="s">
        <v>1357</v>
      </c>
      <c r="L1627" t="s">
        <v>1357</v>
      </c>
    </row>
    <row r="1628" spans="1:12">
      <c r="H1628" t="s">
        <v>9153</v>
      </c>
      <c r="I1628" t="s">
        <v>1357</v>
      </c>
      <c r="J1628" t="s">
        <v>1357</v>
      </c>
      <c r="K1628" t="s">
        <v>1357</v>
      </c>
      <c r="L1628" t="s">
        <v>1357</v>
      </c>
    </row>
    <row r="1629" spans="1:12">
      <c r="H1629" t="s">
        <v>9154</v>
      </c>
      <c r="I1629" t="s">
        <v>1357</v>
      </c>
      <c r="J1629" t="s">
        <v>1357</v>
      </c>
      <c r="K1629" t="s">
        <v>1357</v>
      </c>
      <c r="L1629" t="s">
        <v>1357</v>
      </c>
    </row>
    <row r="1630" spans="1:12">
      <c r="H1630" t="s">
        <v>9155</v>
      </c>
      <c r="I1630" t="s">
        <v>1357</v>
      </c>
      <c r="J1630" t="s">
        <v>1357</v>
      </c>
      <c r="K1630" t="s">
        <v>1357</v>
      </c>
      <c r="L1630" t="s">
        <v>1357</v>
      </c>
    </row>
    <row r="1631" spans="1:12">
      <c r="H1631" t="s">
        <v>9156</v>
      </c>
      <c r="I1631" t="s">
        <v>1357</v>
      </c>
      <c r="J1631" t="s">
        <v>1357</v>
      </c>
      <c r="K1631" t="s">
        <v>1357</v>
      </c>
      <c r="L1631" t="s">
        <v>1357</v>
      </c>
    </row>
    <row r="1632" spans="1:12">
      <c r="A1632" t="s">
        <v>6320</v>
      </c>
      <c r="B1632">
        <f>HYPERLINK("https://github.com/pmd/pmd/commit/0de7313b8b7bf62052db919aac706c1b4ccfb362", "0de7313b8b7bf62052db919aac706c1b4ccfb362")</f>
        <v>0</v>
      </c>
      <c r="C1632">
        <f>HYPERLINK("https://github.com/pmd/pmd/commit/bf3d5437343334060bfc76717665dd452c6e0c17", "bf3d5437343334060bfc76717665dd452c6e0c17")</f>
        <v>0</v>
      </c>
      <c r="D1632" t="s">
        <v>6502</v>
      </c>
      <c r="E1632" t="s">
        <v>6774</v>
      </c>
      <c r="F1632" t="s">
        <v>7505</v>
      </c>
      <c r="G1632" t="s">
        <v>8185</v>
      </c>
      <c r="H1632" t="s">
        <v>9127</v>
      </c>
      <c r="I1632" t="s">
        <v>1358</v>
      </c>
      <c r="J1632" t="s">
        <v>1358</v>
      </c>
      <c r="K1632" t="s">
        <v>1358</v>
      </c>
      <c r="L1632" t="s">
        <v>1358</v>
      </c>
    </row>
    <row r="1633" spans="1:14">
      <c r="H1633" t="s">
        <v>9128</v>
      </c>
      <c r="I1633" t="s">
        <v>1358</v>
      </c>
      <c r="J1633" t="s">
        <v>1358</v>
      </c>
      <c r="K1633" t="s">
        <v>1358</v>
      </c>
      <c r="L1633" t="s">
        <v>1358</v>
      </c>
    </row>
    <row r="1634" spans="1:14">
      <c r="H1634" t="s">
        <v>9129</v>
      </c>
      <c r="I1634" t="s">
        <v>1358</v>
      </c>
      <c r="J1634" t="s">
        <v>1358</v>
      </c>
      <c r="K1634" t="s">
        <v>1358</v>
      </c>
      <c r="L1634" t="s">
        <v>1358</v>
      </c>
    </row>
    <row r="1635" spans="1:14">
      <c r="A1635" t="s">
        <v>6321</v>
      </c>
      <c r="B1635">
        <f>HYPERLINK("https://github.com/pmd/pmd/commit/c543cef8b16fb80a74dfe1a42c18546001b7a781", "c543cef8b16fb80a74dfe1a42c18546001b7a781")</f>
        <v>0</v>
      </c>
      <c r="C1635">
        <f>HYPERLINK("https://github.com/pmd/pmd/commit/9ad46fbf889db8e2b5a459247b86efa9b5247160", "9ad46fbf889db8e2b5a459247b86efa9b5247160")</f>
        <v>0</v>
      </c>
      <c r="D1635" t="s">
        <v>6509</v>
      </c>
      <c r="E1635" t="s">
        <v>6775</v>
      </c>
      <c r="F1635" t="s">
        <v>7520</v>
      </c>
      <c r="G1635" t="s">
        <v>8193</v>
      </c>
      <c r="H1635" t="s">
        <v>899</v>
      </c>
      <c r="I1635" t="s">
        <v>1357</v>
      </c>
      <c r="J1635" t="s">
        <v>1357</v>
      </c>
      <c r="K1635" t="s">
        <v>1357</v>
      </c>
      <c r="L1635" t="s">
        <v>1357</v>
      </c>
    </row>
    <row r="1636" spans="1:14">
      <c r="A1636" t="s">
        <v>6322</v>
      </c>
      <c r="B1636">
        <f>HYPERLINK("https://github.com/pmd/pmd/commit/8e9313791ff00792a4068fd98b50567ad89fd7b2", "8e9313791ff00792a4068fd98b50567ad89fd7b2")</f>
        <v>0</v>
      </c>
      <c r="C1636">
        <f>HYPERLINK("https://github.com/pmd/pmd/commit/a0525501300fab02da808063043817655feee190", "a0525501300fab02da808063043817655feee190")</f>
        <v>0</v>
      </c>
      <c r="D1636" t="s">
        <v>6509</v>
      </c>
      <c r="E1636" t="s">
        <v>6776</v>
      </c>
      <c r="F1636" t="s">
        <v>7521</v>
      </c>
      <c r="G1636" t="s">
        <v>8194</v>
      </c>
      <c r="H1636" t="s">
        <v>9157</v>
      </c>
      <c r="I1636" t="s">
        <v>1358</v>
      </c>
      <c r="J1636" t="s">
        <v>1358</v>
      </c>
      <c r="K1636" t="s">
        <v>1358</v>
      </c>
      <c r="L1636" t="s">
        <v>1358</v>
      </c>
      <c r="N1636" t="s">
        <v>1374</v>
      </c>
    </row>
    <row r="1637" spans="1:14">
      <c r="F1637" t="s">
        <v>7522</v>
      </c>
      <c r="G1637" t="s">
        <v>8195</v>
      </c>
      <c r="H1637" t="s">
        <v>9158</v>
      </c>
      <c r="I1637" t="s">
        <v>1358</v>
      </c>
      <c r="J1637" t="s">
        <v>1358</v>
      </c>
      <c r="K1637" t="s">
        <v>1358</v>
      </c>
      <c r="L1637" t="s">
        <v>1358</v>
      </c>
    </row>
    <row r="1638" spans="1:14">
      <c r="H1638" t="s">
        <v>9159</v>
      </c>
      <c r="I1638" t="s">
        <v>1358</v>
      </c>
      <c r="J1638" t="s">
        <v>1358</v>
      </c>
      <c r="K1638" t="s">
        <v>1358</v>
      </c>
      <c r="L1638" t="s">
        <v>1358</v>
      </c>
    </row>
    <row r="1639" spans="1:14">
      <c r="A1639" t="s">
        <v>6323</v>
      </c>
      <c r="B1639">
        <f>HYPERLINK("https://github.com/pmd/pmd/commit/18e243447b87f203f0c0652dbee42748f10bb1d5", "18e243447b87f203f0c0652dbee42748f10bb1d5")</f>
        <v>0</v>
      </c>
      <c r="C1639">
        <f>HYPERLINK("https://github.com/pmd/pmd/commit/af284f28b59e2d9645472936beef443291158476", "af284f28b59e2d9645472936beef443291158476")</f>
        <v>0</v>
      </c>
      <c r="D1639" t="s">
        <v>6510</v>
      </c>
      <c r="E1639" t="s">
        <v>6777</v>
      </c>
      <c r="F1639" t="s">
        <v>7523</v>
      </c>
      <c r="G1639" t="s">
        <v>8196</v>
      </c>
      <c r="H1639" t="s">
        <v>9160</v>
      </c>
      <c r="I1639" t="s">
        <v>1358</v>
      </c>
      <c r="J1639" t="s">
        <v>1358</v>
      </c>
      <c r="K1639" t="s">
        <v>1358</v>
      </c>
      <c r="L1639" t="s">
        <v>1358</v>
      </c>
      <c r="N1639" t="s">
        <v>1372</v>
      </c>
    </row>
    <row r="1640" spans="1:14">
      <c r="A1640" t="s">
        <v>6324</v>
      </c>
      <c r="B1640">
        <f>HYPERLINK("https://github.com/pmd/pmd/commit/0f9a4a97c0113641af0277c8bb955afd68983e58", "0f9a4a97c0113641af0277c8bb955afd68983e58")</f>
        <v>0</v>
      </c>
      <c r="C1640">
        <f>HYPERLINK("https://github.com/pmd/pmd/commit/2c861a2f6c040b348aa6ffe9a64f2eb106c2bbfb", "2c861a2f6c040b348aa6ffe9a64f2eb106c2bbfb")</f>
        <v>0</v>
      </c>
      <c r="D1640" t="s">
        <v>6502</v>
      </c>
      <c r="E1640" t="s">
        <v>6778</v>
      </c>
      <c r="F1640" t="s">
        <v>7507</v>
      </c>
      <c r="G1640" t="s">
        <v>8187</v>
      </c>
      <c r="H1640" t="s">
        <v>9161</v>
      </c>
      <c r="I1640" t="s">
        <v>1358</v>
      </c>
      <c r="J1640" t="s">
        <v>1358</v>
      </c>
      <c r="K1640" t="s">
        <v>1358</v>
      </c>
      <c r="L1640" t="s">
        <v>1358</v>
      </c>
    </row>
    <row r="1641" spans="1:14">
      <c r="H1641" t="s">
        <v>9162</v>
      </c>
      <c r="I1641" t="s">
        <v>1358</v>
      </c>
      <c r="J1641" t="s">
        <v>1358</v>
      </c>
      <c r="K1641" t="s">
        <v>1358</v>
      </c>
      <c r="L1641" t="s">
        <v>1358</v>
      </c>
    </row>
    <row r="1642" spans="1:14">
      <c r="F1642" t="s">
        <v>7524</v>
      </c>
      <c r="G1642" t="s">
        <v>8197</v>
      </c>
      <c r="H1642" t="s">
        <v>8861</v>
      </c>
      <c r="I1642" t="s">
        <v>1357</v>
      </c>
      <c r="J1642" t="s">
        <v>1357</v>
      </c>
      <c r="K1642" t="s">
        <v>1357</v>
      </c>
      <c r="L1642" t="s">
        <v>1357</v>
      </c>
    </row>
    <row r="1643" spans="1:14">
      <c r="A1643" t="s">
        <v>6325</v>
      </c>
      <c r="B1643">
        <f>HYPERLINK("https://github.com/pmd/pmd/commit/739dccfcca05778793fc7d613b660e86fb3b7b99", "739dccfcca05778793fc7d613b660e86fb3b7b99")</f>
        <v>0</v>
      </c>
      <c r="C1643">
        <f>HYPERLINK("https://github.com/pmd/pmd/commit/bb8fe903eac94c0f0e849d14a0be86e1e2503890", "bb8fe903eac94c0f0e849d14a0be86e1e2503890")</f>
        <v>0</v>
      </c>
      <c r="D1643" t="s">
        <v>6509</v>
      </c>
      <c r="E1643" t="s">
        <v>6779</v>
      </c>
      <c r="F1643" t="s">
        <v>7525</v>
      </c>
      <c r="G1643" t="s">
        <v>8198</v>
      </c>
      <c r="H1643" t="s">
        <v>8811</v>
      </c>
      <c r="I1643" t="s">
        <v>1358</v>
      </c>
      <c r="J1643" t="s">
        <v>1358</v>
      </c>
      <c r="K1643" t="s">
        <v>1358</v>
      </c>
      <c r="L1643" t="s">
        <v>1358</v>
      </c>
    </row>
    <row r="1644" spans="1:14">
      <c r="F1644" t="s">
        <v>7526</v>
      </c>
      <c r="G1644" t="s">
        <v>8199</v>
      </c>
      <c r="H1644" t="s">
        <v>8811</v>
      </c>
      <c r="I1644" t="s">
        <v>1359</v>
      </c>
      <c r="J1644" t="s">
        <v>1357</v>
      </c>
      <c r="K1644" t="s">
        <v>1357</v>
      </c>
      <c r="L1644" t="s">
        <v>1358</v>
      </c>
      <c r="M1644" t="s">
        <v>1360</v>
      </c>
      <c r="N1644" t="s">
        <v>9959</v>
      </c>
    </row>
    <row r="1645" spans="1:14">
      <c r="F1645" t="s">
        <v>7527</v>
      </c>
      <c r="G1645" t="s">
        <v>8200</v>
      </c>
      <c r="H1645" t="s">
        <v>8811</v>
      </c>
      <c r="I1645" t="s">
        <v>1359</v>
      </c>
      <c r="J1645" t="s">
        <v>1357</v>
      </c>
      <c r="K1645" t="s">
        <v>1357</v>
      </c>
      <c r="L1645" t="s">
        <v>1358</v>
      </c>
      <c r="M1645" t="s">
        <v>1360</v>
      </c>
      <c r="N1645" t="s">
        <v>9959</v>
      </c>
    </row>
    <row r="1646" spans="1:14">
      <c r="A1646" t="s">
        <v>6326</v>
      </c>
      <c r="B1646">
        <f>HYPERLINK("https://github.com/pmd/pmd/commit/df59eb8977bd2e51f9e396cc6a2cc62fd088b7a0", "df59eb8977bd2e51f9e396cc6a2cc62fd088b7a0")</f>
        <v>0</v>
      </c>
      <c r="C1646">
        <f>HYPERLINK("https://github.com/pmd/pmd/commit/e1b12da1747de470397d4e02e01caaf4e2c81eed", "e1b12da1747de470397d4e02e01caaf4e2c81eed")</f>
        <v>0</v>
      </c>
      <c r="D1646" t="s">
        <v>6509</v>
      </c>
      <c r="E1646" t="s">
        <v>6780</v>
      </c>
      <c r="F1646" t="s">
        <v>7528</v>
      </c>
      <c r="G1646" t="s">
        <v>8201</v>
      </c>
      <c r="H1646" t="s">
        <v>9163</v>
      </c>
      <c r="I1646" t="s">
        <v>1358</v>
      </c>
      <c r="J1646" t="s">
        <v>1358</v>
      </c>
      <c r="K1646" t="s">
        <v>1358</v>
      </c>
      <c r="L1646" t="s">
        <v>1358</v>
      </c>
    </row>
    <row r="1647" spans="1:14">
      <c r="H1647" t="s">
        <v>9164</v>
      </c>
      <c r="I1647" t="s">
        <v>1358</v>
      </c>
      <c r="J1647" t="s">
        <v>1358</v>
      </c>
      <c r="K1647" t="s">
        <v>1358</v>
      </c>
      <c r="L1647" t="s">
        <v>1358</v>
      </c>
    </row>
    <row r="1648" spans="1:14">
      <c r="H1648" t="s">
        <v>9165</v>
      </c>
      <c r="I1648" t="s">
        <v>1358</v>
      </c>
      <c r="J1648" t="s">
        <v>1358</v>
      </c>
      <c r="K1648" t="s">
        <v>1358</v>
      </c>
      <c r="L1648" t="s">
        <v>1358</v>
      </c>
    </row>
    <row r="1649" spans="1:14">
      <c r="A1649" t="s">
        <v>6327</v>
      </c>
      <c r="B1649">
        <f>HYPERLINK("https://github.com/pmd/pmd/commit/8474131f5bd11c3851de4ea40e3041b60c8fe22c", "8474131f5bd11c3851de4ea40e3041b60c8fe22c")</f>
        <v>0</v>
      </c>
      <c r="C1649">
        <f>HYPERLINK("https://github.com/pmd/pmd/commit/5e57af605c6a974370efa64fc9bf6b74c90f9bf5", "5e57af605c6a974370efa64fc9bf6b74c90f9bf5")</f>
        <v>0</v>
      </c>
      <c r="D1649" t="s">
        <v>6509</v>
      </c>
      <c r="E1649" t="s">
        <v>6781</v>
      </c>
      <c r="F1649" t="s">
        <v>7529</v>
      </c>
      <c r="G1649" t="s">
        <v>8202</v>
      </c>
      <c r="H1649" t="s">
        <v>9166</v>
      </c>
      <c r="I1649" t="s">
        <v>1357</v>
      </c>
      <c r="J1649" t="s">
        <v>1357</v>
      </c>
      <c r="K1649" t="s">
        <v>1357</v>
      </c>
      <c r="L1649" t="s">
        <v>1357</v>
      </c>
      <c r="N1649" t="s">
        <v>9960</v>
      </c>
    </row>
    <row r="1650" spans="1:14">
      <c r="A1650" t="s">
        <v>6328</v>
      </c>
      <c r="B1650">
        <f>HYPERLINK("https://github.com/pmd/pmd/commit/b38dc2cd02396d6b2995249ee354dbb60f5badd5", "b38dc2cd02396d6b2995249ee354dbb60f5badd5")</f>
        <v>0</v>
      </c>
      <c r="C1650">
        <f>HYPERLINK("https://github.com/pmd/pmd/commit/6fb3b99c2c060bd67bd4c1b11281b48f8cf5536c", "6fb3b99c2c060bd67bd4c1b11281b48f8cf5536c")</f>
        <v>0</v>
      </c>
      <c r="D1650" t="s">
        <v>6510</v>
      </c>
      <c r="E1650" t="s">
        <v>6782</v>
      </c>
      <c r="F1650" t="s">
        <v>7530</v>
      </c>
      <c r="G1650" t="s">
        <v>8203</v>
      </c>
      <c r="H1650" t="s">
        <v>9167</v>
      </c>
      <c r="I1650" t="s">
        <v>1358</v>
      </c>
      <c r="J1650" t="s">
        <v>1358</v>
      </c>
      <c r="K1650" t="s">
        <v>1358</v>
      </c>
      <c r="L1650" t="s">
        <v>1358</v>
      </c>
    </row>
    <row r="1651" spans="1:14">
      <c r="H1651" t="s">
        <v>9168</v>
      </c>
      <c r="I1651" t="s">
        <v>1358</v>
      </c>
      <c r="J1651" t="s">
        <v>1358</v>
      </c>
      <c r="K1651" t="s">
        <v>1358</v>
      </c>
      <c r="L1651" t="s">
        <v>1358</v>
      </c>
    </row>
    <row r="1652" spans="1:14">
      <c r="H1652" t="s">
        <v>9169</v>
      </c>
      <c r="I1652" t="s">
        <v>1358</v>
      </c>
      <c r="J1652" t="s">
        <v>1358</v>
      </c>
      <c r="K1652" t="s">
        <v>1358</v>
      </c>
      <c r="L1652" t="s">
        <v>1358</v>
      </c>
    </row>
    <row r="1653" spans="1:14">
      <c r="H1653" t="s">
        <v>9170</v>
      </c>
      <c r="I1653" t="s">
        <v>1358</v>
      </c>
      <c r="J1653" t="s">
        <v>1358</v>
      </c>
      <c r="K1653" t="s">
        <v>1358</v>
      </c>
      <c r="L1653" t="s">
        <v>1358</v>
      </c>
    </row>
    <row r="1654" spans="1:14">
      <c r="A1654" t="s">
        <v>6329</v>
      </c>
      <c r="B1654">
        <f>HYPERLINK("https://github.com/pmd/pmd/commit/6b335b1a253dfd97822e80fb5dab13cb1c822fb1", "6b335b1a253dfd97822e80fb5dab13cb1c822fb1")</f>
        <v>0</v>
      </c>
      <c r="C1654">
        <f>HYPERLINK("https://github.com/pmd/pmd/commit/db6dc4d5bcbba81a3f9d0f85c8301ebb6762a615", "db6dc4d5bcbba81a3f9d0f85c8301ebb6762a615")</f>
        <v>0</v>
      </c>
      <c r="D1654" t="s">
        <v>6510</v>
      </c>
      <c r="E1654" t="s">
        <v>6783</v>
      </c>
      <c r="F1654" t="s">
        <v>7530</v>
      </c>
      <c r="G1654" t="s">
        <v>8203</v>
      </c>
      <c r="H1654" t="s">
        <v>9171</v>
      </c>
      <c r="I1654" t="s">
        <v>1358</v>
      </c>
      <c r="J1654" t="s">
        <v>1358</v>
      </c>
      <c r="K1654" t="s">
        <v>1358</v>
      </c>
      <c r="L1654" t="s">
        <v>1358</v>
      </c>
    </row>
    <row r="1655" spans="1:14">
      <c r="A1655" t="s">
        <v>6330</v>
      </c>
      <c r="B1655">
        <f>HYPERLINK("https://github.com/pmd/pmd/commit/6d0ebbf63d6be28efedbb0c3e4d6b8aee6b89be5", "6d0ebbf63d6be28efedbb0c3e4d6b8aee6b89be5")</f>
        <v>0</v>
      </c>
      <c r="C1655">
        <f>HYPERLINK("https://github.com/pmd/pmd/commit/aa8c21d6e94d44a5035ee7536c770a59ec8fc8ed", "aa8c21d6e94d44a5035ee7536c770a59ec8fc8ed")</f>
        <v>0</v>
      </c>
      <c r="D1655" t="s">
        <v>6509</v>
      </c>
      <c r="E1655" t="s">
        <v>6784</v>
      </c>
      <c r="F1655" t="s">
        <v>7531</v>
      </c>
      <c r="G1655" t="s">
        <v>8204</v>
      </c>
      <c r="H1655" t="s">
        <v>9172</v>
      </c>
      <c r="I1655" t="s">
        <v>1357</v>
      </c>
      <c r="J1655" t="s">
        <v>1357</v>
      </c>
      <c r="K1655" t="s">
        <v>1357</v>
      </c>
      <c r="L1655" t="s">
        <v>1357</v>
      </c>
    </row>
    <row r="1656" spans="1:14">
      <c r="H1656" t="s">
        <v>9173</v>
      </c>
      <c r="I1656" t="s">
        <v>1357</v>
      </c>
      <c r="J1656" t="s">
        <v>1357</v>
      </c>
      <c r="K1656" t="s">
        <v>1357</v>
      </c>
      <c r="L1656" t="s">
        <v>1357</v>
      </c>
    </row>
    <row r="1657" spans="1:14">
      <c r="H1657" t="s">
        <v>9174</v>
      </c>
      <c r="I1657" t="s">
        <v>1357</v>
      </c>
      <c r="J1657" t="s">
        <v>1357</v>
      </c>
      <c r="K1657" t="s">
        <v>1357</v>
      </c>
      <c r="L1657" t="s">
        <v>1357</v>
      </c>
    </row>
    <row r="1658" spans="1:14">
      <c r="H1658" t="s">
        <v>9175</v>
      </c>
      <c r="I1658" t="s">
        <v>1357</v>
      </c>
      <c r="J1658" t="s">
        <v>1357</v>
      </c>
      <c r="K1658" t="s">
        <v>1357</v>
      </c>
      <c r="L1658" t="s">
        <v>1357</v>
      </c>
    </row>
    <row r="1659" spans="1:14">
      <c r="H1659" t="s">
        <v>9176</v>
      </c>
      <c r="I1659" t="s">
        <v>1357</v>
      </c>
      <c r="J1659" t="s">
        <v>1357</v>
      </c>
      <c r="K1659" t="s">
        <v>1357</v>
      </c>
      <c r="L1659" t="s">
        <v>1357</v>
      </c>
    </row>
    <row r="1660" spans="1:14">
      <c r="F1660" t="s">
        <v>7532</v>
      </c>
      <c r="G1660" t="s">
        <v>8205</v>
      </c>
      <c r="H1660" t="s">
        <v>9177</v>
      </c>
      <c r="I1660" t="s">
        <v>1357</v>
      </c>
      <c r="J1660" t="s">
        <v>1357</v>
      </c>
      <c r="K1660" t="s">
        <v>1357</v>
      </c>
      <c r="L1660" t="s">
        <v>1357</v>
      </c>
      <c r="N1660" t="s">
        <v>5102</v>
      </c>
    </row>
    <row r="1661" spans="1:14">
      <c r="H1661" t="s">
        <v>9178</v>
      </c>
      <c r="I1661" t="s">
        <v>1357</v>
      </c>
      <c r="J1661" t="s">
        <v>1357</v>
      </c>
      <c r="K1661" t="s">
        <v>1357</v>
      </c>
      <c r="L1661" t="s">
        <v>1357</v>
      </c>
      <c r="N1661" t="s">
        <v>5102</v>
      </c>
    </row>
    <row r="1662" spans="1:14">
      <c r="H1662" t="s">
        <v>9179</v>
      </c>
      <c r="I1662" t="s">
        <v>1357</v>
      </c>
      <c r="J1662" t="s">
        <v>1357</v>
      </c>
      <c r="K1662" t="s">
        <v>1357</v>
      </c>
      <c r="L1662" t="s">
        <v>1357</v>
      </c>
      <c r="N1662" t="s">
        <v>5102</v>
      </c>
    </row>
    <row r="1663" spans="1:14">
      <c r="H1663" t="s">
        <v>9180</v>
      </c>
      <c r="I1663" t="s">
        <v>1357</v>
      </c>
      <c r="J1663" t="s">
        <v>1357</v>
      </c>
      <c r="K1663" t="s">
        <v>1357</v>
      </c>
      <c r="L1663" t="s">
        <v>1357</v>
      </c>
      <c r="N1663" t="s">
        <v>5102</v>
      </c>
    </row>
    <row r="1664" spans="1:14">
      <c r="H1664" t="s">
        <v>9181</v>
      </c>
      <c r="I1664" t="s">
        <v>1357</v>
      </c>
      <c r="J1664" t="s">
        <v>1357</v>
      </c>
      <c r="K1664" t="s">
        <v>1357</v>
      </c>
      <c r="L1664" t="s">
        <v>1357</v>
      </c>
      <c r="N1664" t="s">
        <v>5102</v>
      </c>
    </row>
    <row r="1665" spans="1:14">
      <c r="H1665" t="s">
        <v>9182</v>
      </c>
      <c r="I1665" t="s">
        <v>1357</v>
      </c>
      <c r="J1665" t="s">
        <v>1357</v>
      </c>
      <c r="K1665" t="s">
        <v>1357</v>
      </c>
      <c r="L1665" t="s">
        <v>1357</v>
      </c>
      <c r="N1665" t="s">
        <v>5102</v>
      </c>
    </row>
    <row r="1666" spans="1:14">
      <c r="H1666" t="s">
        <v>9183</v>
      </c>
      <c r="I1666" t="s">
        <v>1357</v>
      </c>
      <c r="J1666" t="s">
        <v>1357</v>
      </c>
      <c r="K1666" t="s">
        <v>1357</v>
      </c>
      <c r="L1666" t="s">
        <v>1357</v>
      </c>
      <c r="N1666" t="s">
        <v>5102</v>
      </c>
    </row>
    <row r="1667" spans="1:14">
      <c r="A1667" t="s">
        <v>6331</v>
      </c>
      <c r="B1667">
        <f>HYPERLINK("https://github.com/pmd/pmd/commit/152dddf6c550603a4b3e4902321e0acc71aeb746", "152dddf6c550603a4b3e4902321e0acc71aeb746")</f>
        <v>0</v>
      </c>
      <c r="C1667">
        <f>HYPERLINK("https://github.com/pmd/pmd/commit/909f98957134b615cf3b12b83df3de86117abaa0", "909f98957134b615cf3b12b83df3de86117abaa0")</f>
        <v>0</v>
      </c>
      <c r="D1667" t="s">
        <v>6509</v>
      </c>
      <c r="E1667" t="s">
        <v>6785</v>
      </c>
      <c r="F1667" t="s">
        <v>7533</v>
      </c>
      <c r="G1667" t="s">
        <v>8206</v>
      </c>
      <c r="H1667" t="s">
        <v>9175</v>
      </c>
      <c r="I1667" t="s">
        <v>1358</v>
      </c>
      <c r="J1667" t="s">
        <v>1358</v>
      </c>
      <c r="K1667" t="s">
        <v>1358</v>
      </c>
      <c r="L1667" t="s">
        <v>1358</v>
      </c>
    </row>
    <row r="1668" spans="1:14">
      <c r="H1668" t="s">
        <v>9176</v>
      </c>
      <c r="I1668" t="s">
        <v>1358</v>
      </c>
      <c r="J1668" t="s">
        <v>1358</v>
      </c>
      <c r="K1668" t="s">
        <v>1358</v>
      </c>
      <c r="L1668" t="s">
        <v>1358</v>
      </c>
    </row>
    <row r="1669" spans="1:14">
      <c r="A1669" t="s">
        <v>6332</v>
      </c>
      <c r="B1669">
        <f>HYPERLINK("https://github.com/pmd/pmd/commit/76b9b393689d4d5a2e3ecce2fc78ffca524e8f0d", "76b9b393689d4d5a2e3ecce2fc78ffca524e8f0d")</f>
        <v>0</v>
      </c>
      <c r="C1669">
        <f>HYPERLINK("https://github.com/pmd/pmd/commit/23a936e6548b228410c7c402265b578aaa1d3bf3", "23a936e6548b228410c7c402265b578aaa1d3bf3")</f>
        <v>0</v>
      </c>
      <c r="D1669" t="s">
        <v>6509</v>
      </c>
      <c r="E1669" t="s">
        <v>6786</v>
      </c>
      <c r="F1669" t="s">
        <v>7534</v>
      </c>
      <c r="G1669" t="s">
        <v>8207</v>
      </c>
      <c r="H1669" t="s">
        <v>9184</v>
      </c>
      <c r="I1669" t="s">
        <v>1358</v>
      </c>
      <c r="J1669" t="s">
        <v>1358</v>
      </c>
      <c r="K1669" t="s">
        <v>1358</v>
      </c>
      <c r="L1669" t="s">
        <v>1358</v>
      </c>
    </row>
    <row r="1670" spans="1:14">
      <c r="H1670" t="s">
        <v>9185</v>
      </c>
      <c r="I1670" t="s">
        <v>1358</v>
      </c>
      <c r="J1670" t="s">
        <v>1358</v>
      </c>
      <c r="K1670" t="s">
        <v>1358</v>
      </c>
      <c r="L1670" t="s">
        <v>1358</v>
      </c>
    </row>
    <row r="1671" spans="1:14">
      <c r="H1671" t="s">
        <v>9186</v>
      </c>
      <c r="I1671" t="s">
        <v>1358</v>
      </c>
      <c r="J1671" t="s">
        <v>1358</v>
      </c>
      <c r="K1671" t="s">
        <v>1358</v>
      </c>
      <c r="L1671" t="s">
        <v>1358</v>
      </c>
    </row>
    <row r="1672" spans="1:14">
      <c r="H1672" t="s">
        <v>9187</v>
      </c>
      <c r="I1672" t="s">
        <v>1357</v>
      </c>
      <c r="J1672" t="s">
        <v>1357</v>
      </c>
      <c r="K1672" t="s">
        <v>1357</v>
      </c>
      <c r="L1672" t="s">
        <v>1357</v>
      </c>
      <c r="M1672" t="s">
        <v>9924</v>
      </c>
    </row>
    <row r="1673" spans="1:14">
      <c r="A1673" t="s">
        <v>6333</v>
      </c>
      <c r="B1673">
        <f>HYPERLINK("https://github.com/pmd/pmd/commit/f7d67df4426db0a29170e3e14f2c1e84aa6008d2", "f7d67df4426db0a29170e3e14f2c1e84aa6008d2")</f>
        <v>0</v>
      </c>
      <c r="C1673">
        <f>HYPERLINK("https://github.com/pmd/pmd/commit/b42ba5ea45adddbc44e74afa2569b38a3c47c6c6", "b42ba5ea45adddbc44e74afa2569b38a3c47c6c6")</f>
        <v>0</v>
      </c>
      <c r="D1673" t="s">
        <v>6511</v>
      </c>
      <c r="E1673" t="s">
        <v>6787</v>
      </c>
      <c r="F1673" t="s">
        <v>7535</v>
      </c>
      <c r="G1673" t="s">
        <v>8208</v>
      </c>
      <c r="H1673" t="s">
        <v>9188</v>
      </c>
      <c r="I1673" t="s">
        <v>1357</v>
      </c>
      <c r="J1673" t="s">
        <v>1357</v>
      </c>
      <c r="K1673" t="s">
        <v>1357</v>
      </c>
      <c r="L1673" t="s">
        <v>1357</v>
      </c>
    </row>
    <row r="1674" spans="1:14">
      <c r="A1674" t="s">
        <v>6334</v>
      </c>
      <c r="B1674">
        <f>HYPERLINK("https://github.com/pmd/pmd/commit/15b638082b9006c274d069d1c70ff327e1bc2c04", "15b638082b9006c274d069d1c70ff327e1bc2c04")</f>
        <v>0</v>
      </c>
      <c r="C1674">
        <f>HYPERLINK("https://github.com/pmd/pmd/commit/619f19cd831fc94b2191187f2085d7556127f08b", "619f19cd831fc94b2191187f2085d7556127f08b")</f>
        <v>0</v>
      </c>
      <c r="D1674" t="s">
        <v>6509</v>
      </c>
      <c r="E1674" t="s">
        <v>6788</v>
      </c>
      <c r="F1674" t="s">
        <v>7536</v>
      </c>
      <c r="G1674" t="s">
        <v>8209</v>
      </c>
      <c r="H1674" t="s">
        <v>9189</v>
      </c>
      <c r="I1674" t="s">
        <v>1357</v>
      </c>
      <c r="J1674" t="s">
        <v>1357</v>
      </c>
      <c r="K1674" t="s">
        <v>1357</v>
      </c>
      <c r="L1674" t="s">
        <v>1357</v>
      </c>
    </row>
    <row r="1675" spans="1:14">
      <c r="A1675" t="s">
        <v>6335</v>
      </c>
      <c r="B1675">
        <f>HYPERLINK("https://github.com/pmd/pmd/commit/1308b2c7fa57160c019d5ebdb611e40539080ec0", "1308b2c7fa57160c019d5ebdb611e40539080ec0")</f>
        <v>0</v>
      </c>
      <c r="C1675">
        <f>HYPERLINK("https://github.com/pmd/pmd/commit/2d15c6dba6fb8f00f308dfb63683671a897c0374", "2d15c6dba6fb8f00f308dfb63683671a897c0374")</f>
        <v>0</v>
      </c>
      <c r="D1675" t="s">
        <v>6508</v>
      </c>
      <c r="E1675" t="s">
        <v>6789</v>
      </c>
      <c r="F1675" t="s">
        <v>7502</v>
      </c>
      <c r="G1675" t="s">
        <v>8183</v>
      </c>
      <c r="H1675" t="s">
        <v>9190</v>
      </c>
      <c r="I1675" t="s">
        <v>1358</v>
      </c>
      <c r="J1675" t="s">
        <v>1358</v>
      </c>
      <c r="K1675" t="s">
        <v>1358</v>
      </c>
      <c r="L1675" t="s">
        <v>1358</v>
      </c>
    </row>
    <row r="1676" spans="1:14">
      <c r="H1676" t="s">
        <v>9191</v>
      </c>
      <c r="I1676" t="s">
        <v>1358</v>
      </c>
      <c r="J1676" t="s">
        <v>1358</v>
      </c>
      <c r="K1676" t="s">
        <v>1358</v>
      </c>
      <c r="L1676" t="s">
        <v>1358</v>
      </c>
    </row>
    <row r="1677" spans="1:14">
      <c r="A1677" t="s">
        <v>6336</v>
      </c>
      <c r="B1677">
        <f>HYPERLINK("https://github.com/pmd/pmd/commit/c29f2a44e61e259a6103ef5ed874d3cf02c24d74", "c29f2a44e61e259a6103ef5ed874d3cf02c24d74")</f>
        <v>0</v>
      </c>
      <c r="C1677">
        <f>HYPERLINK("https://github.com/pmd/pmd/commit/1d07ad353eee6e8ccaeb0b013629571ce6663617", "1d07ad353eee6e8ccaeb0b013629571ce6663617")</f>
        <v>0</v>
      </c>
      <c r="D1677" t="s">
        <v>6511</v>
      </c>
      <c r="E1677" t="s">
        <v>6790</v>
      </c>
      <c r="F1677" t="s">
        <v>7537</v>
      </c>
      <c r="G1677" t="s">
        <v>7724</v>
      </c>
      <c r="H1677" t="s">
        <v>9192</v>
      </c>
      <c r="I1677" t="s">
        <v>1357</v>
      </c>
      <c r="J1677" t="s">
        <v>1357</v>
      </c>
      <c r="K1677" t="s">
        <v>1357</v>
      </c>
      <c r="L1677" t="s">
        <v>1357</v>
      </c>
      <c r="N1677" t="s">
        <v>9961</v>
      </c>
    </row>
    <row r="1678" spans="1:14">
      <c r="A1678" t="s">
        <v>6337</v>
      </c>
      <c r="B1678">
        <f>HYPERLINK("https://github.com/pmd/pmd/commit/109f458dbf0d6b8c64d77943f9523d98700162d9", "109f458dbf0d6b8c64d77943f9523d98700162d9")</f>
        <v>0</v>
      </c>
      <c r="C1678">
        <f>HYPERLINK("https://github.com/pmd/pmd/commit/64b862eef965aaa39c17db1808063e2f129d7057", "64b862eef965aaa39c17db1808063e2f129d7057")</f>
        <v>0</v>
      </c>
      <c r="D1678" t="s">
        <v>6511</v>
      </c>
      <c r="E1678" t="s">
        <v>6791</v>
      </c>
      <c r="F1678" t="s">
        <v>7508</v>
      </c>
      <c r="G1678" t="s">
        <v>7820</v>
      </c>
      <c r="H1678" t="s">
        <v>9193</v>
      </c>
      <c r="I1678" t="s">
        <v>1358</v>
      </c>
      <c r="J1678" t="s">
        <v>1358</v>
      </c>
      <c r="K1678" t="s">
        <v>1358</v>
      </c>
      <c r="L1678" t="s">
        <v>1358</v>
      </c>
    </row>
    <row r="1679" spans="1:14">
      <c r="A1679" t="s">
        <v>6338</v>
      </c>
      <c r="B1679">
        <f>HYPERLINK("https://github.com/pmd/pmd/commit/65a5d3f835f738fabcc424f1b6f3ee45f2a3cf54", "65a5d3f835f738fabcc424f1b6f3ee45f2a3cf54")</f>
        <v>0</v>
      </c>
      <c r="C1679">
        <f>HYPERLINK("https://github.com/pmd/pmd/commit/57e050f8c509ae873d40063a6e1783bb89380218", "57e050f8c509ae873d40063a6e1783bb89380218")</f>
        <v>0</v>
      </c>
      <c r="D1679" t="s">
        <v>6511</v>
      </c>
      <c r="E1679" t="s">
        <v>6792</v>
      </c>
      <c r="F1679" t="s">
        <v>7537</v>
      </c>
      <c r="G1679" t="s">
        <v>7724</v>
      </c>
      <c r="H1679" t="s">
        <v>9194</v>
      </c>
      <c r="I1679" t="s">
        <v>1357</v>
      </c>
      <c r="J1679" t="s">
        <v>1357</v>
      </c>
      <c r="K1679" t="s">
        <v>1357</v>
      </c>
      <c r="L1679" t="s">
        <v>1357</v>
      </c>
    </row>
    <row r="1680" spans="1:14">
      <c r="A1680" t="s">
        <v>6339</v>
      </c>
      <c r="B1680">
        <f>HYPERLINK("https://github.com/pmd/pmd/commit/ccc1443373284682809b5ae6cc0c8714701163bf", "ccc1443373284682809b5ae6cc0c8714701163bf")</f>
        <v>0</v>
      </c>
      <c r="C1680">
        <f>HYPERLINK("https://github.com/pmd/pmd/commit/eb8908796c64c84d5b8adc5de337d1325495365a", "eb8908796c64c84d5b8adc5de337d1325495365a")</f>
        <v>0</v>
      </c>
      <c r="D1680" t="s">
        <v>6509</v>
      </c>
      <c r="E1680" t="s">
        <v>6793</v>
      </c>
      <c r="F1680" t="s">
        <v>7523</v>
      </c>
      <c r="G1680" t="s">
        <v>8196</v>
      </c>
      <c r="H1680" t="s">
        <v>9195</v>
      </c>
      <c r="I1680" t="s">
        <v>1358</v>
      </c>
      <c r="J1680" t="s">
        <v>1358</v>
      </c>
      <c r="K1680" t="s">
        <v>1358</v>
      </c>
      <c r="L1680" t="s">
        <v>1358</v>
      </c>
    </row>
    <row r="1681" spans="1:14">
      <c r="A1681" t="s">
        <v>6340</v>
      </c>
      <c r="B1681">
        <f>HYPERLINK("https://github.com/pmd/pmd/commit/b9344ef6f6a75483439fea73403b7724c9e235a5", "b9344ef6f6a75483439fea73403b7724c9e235a5")</f>
        <v>0</v>
      </c>
      <c r="C1681">
        <f>HYPERLINK("https://github.com/pmd/pmd/commit/580c92c5505e1d7bc9cf5ec65342111d8d8990fb", "580c92c5505e1d7bc9cf5ec65342111d8d8990fb")</f>
        <v>0</v>
      </c>
      <c r="D1681" t="s">
        <v>6512</v>
      </c>
      <c r="E1681" t="s">
        <v>6794</v>
      </c>
      <c r="F1681" t="s">
        <v>7538</v>
      </c>
      <c r="G1681" t="s">
        <v>8210</v>
      </c>
      <c r="H1681" t="s">
        <v>9196</v>
      </c>
      <c r="I1681" t="s">
        <v>1358</v>
      </c>
      <c r="J1681" t="s">
        <v>1358</v>
      </c>
      <c r="K1681" t="s">
        <v>1358</v>
      </c>
      <c r="L1681" t="s">
        <v>1358</v>
      </c>
    </row>
    <row r="1682" spans="1:14">
      <c r="A1682" t="s">
        <v>6341</v>
      </c>
      <c r="B1682">
        <f>HYPERLINK("https://github.com/pmd/pmd/commit/ce25568664e178cd5f9535d9159e4b0793dd65c0", "ce25568664e178cd5f9535d9159e4b0793dd65c0")</f>
        <v>0</v>
      </c>
      <c r="C1682">
        <f>HYPERLINK("https://github.com/pmd/pmd/commit/e3018c3892bb34805efff9d9a2e4c6acde682887", "e3018c3892bb34805efff9d9a2e4c6acde682887")</f>
        <v>0</v>
      </c>
      <c r="D1682" t="s">
        <v>6509</v>
      </c>
      <c r="E1682" t="s">
        <v>6795</v>
      </c>
      <c r="F1682" t="s">
        <v>7539</v>
      </c>
      <c r="G1682" t="s">
        <v>8211</v>
      </c>
      <c r="H1682" t="s">
        <v>9197</v>
      </c>
      <c r="I1682" t="s">
        <v>1359</v>
      </c>
      <c r="J1682" t="s">
        <v>1358</v>
      </c>
      <c r="K1682" t="s">
        <v>1357</v>
      </c>
      <c r="L1682" t="s">
        <v>1358</v>
      </c>
      <c r="N1682" t="s">
        <v>9962</v>
      </c>
    </row>
    <row r="1683" spans="1:14">
      <c r="H1683" t="s">
        <v>9198</v>
      </c>
      <c r="I1683" t="s">
        <v>1359</v>
      </c>
      <c r="J1683" t="s">
        <v>1358</v>
      </c>
      <c r="K1683" t="s">
        <v>1357</v>
      </c>
      <c r="L1683" t="s">
        <v>1358</v>
      </c>
      <c r="N1683" t="s">
        <v>9963</v>
      </c>
    </row>
    <row r="1684" spans="1:14">
      <c r="A1684" t="s">
        <v>6342</v>
      </c>
      <c r="B1684">
        <f>HYPERLINK("https://github.com/pmd/pmd/commit/f14f00975c07a51a66f4b52623a03cf19f033c24", "f14f00975c07a51a66f4b52623a03cf19f033c24")</f>
        <v>0</v>
      </c>
      <c r="C1684">
        <f>HYPERLINK("https://github.com/pmd/pmd/commit/aaabd20173ad7add1ea4a7942e17eb4ac2c554d2", "aaabd20173ad7add1ea4a7942e17eb4ac2c554d2")</f>
        <v>0</v>
      </c>
      <c r="D1684" t="s">
        <v>6511</v>
      </c>
      <c r="E1684" t="s">
        <v>6796</v>
      </c>
      <c r="F1684" t="s">
        <v>7540</v>
      </c>
      <c r="G1684" t="s">
        <v>8212</v>
      </c>
      <c r="H1684" t="s">
        <v>9199</v>
      </c>
      <c r="I1684" t="s">
        <v>1358</v>
      </c>
      <c r="J1684" t="s">
        <v>1358</v>
      </c>
      <c r="K1684" t="s">
        <v>1358</v>
      </c>
      <c r="L1684" t="s">
        <v>1358</v>
      </c>
    </row>
    <row r="1685" spans="1:14">
      <c r="F1685" t="s">
        <v>7541</v>
      </c>
      <c r="G1685" t="s">
        <v>7793</v>
      </c>
      <c r="H1685" t="s">
        <v>9200</v>
      </c>
      <c r="I1685" t="s">
        <v>1358</v>
      </c>
      <c r="J1685" t="s">
        <v>1358</v>
      </c>
      <c r="K1685" t="s">
        <v>1358</v>
      </c>
      <c r="L1685" t="s">
        <v>1358</v>
      </c>
    </row>
    <row r="1686" spans="1:14">
      <c r="H1686" t="s">
        <v>9201</v>
      </c>
      <c r="I1686" t="s">
        <v>1358</v>
      </c>
      <c r="J1686" t="s">
        <v>1358</v>
      </c>
      <c r="K1686" t="s">
        <v>1358</v>
      </c>
      <c r="L1686" t="s">
        <v>1358</v>
      </c>
    </row>
    <row r="1687" spans="1:14">
      <c r="H1687" t="s">
        <v>9202</v>
      </c>
      <c r="I1687" t="s">
        <v>1358</v>
      </c>
      <c r="J1687" t="s">
        <v>1358</v>
      </c>
      <c r="K1687" t="s">
        <v>1358</v>
      </c>
      <c r="L1687" t="s">
        <v>1358</v>
      </c>
    </row>
    <row r="1688" spans="1:14">
      <c r="H1688" t="s">
        <v>9203</v>
      </c>
      <c r="I1688" t="s">
        <v>1358</v>
      </c>
      <c r="J1688" t="s">
        <v>1358</v>
      </c>
      <c r="K1688" t="s">
        <v>1358</v>
      </c>
      <c r="L1688" t="s">
        <v>1358</v>
      </c>
    </row>
    <row r="1689" spans="1:14">
      <c r="A1689" t="s">
        <v>6343</v>
      </c>
      <c r="B1689">
        <f>HYPERLINK("https://github.com/pmd/pmd/commit/b78af8b42c02943a0d3353f721f77c25d3dce23a", "b78af8b42c02943a0d3353f721f77c25d3dce23a")</f>
        <v>0</v>
      </c>
      <c r="C1689">
        <f>HYPERLINK("https://github.com/pmd/pmd/commit/efc22da116dffc30f22f448c95bb3dd6a89f1bd4", "efc22da116dffc30f22f448c95bb3dd6a89f1bd4")</f>
        <v>0</v>
      </c>
      <c r="D1689" t="s">
        <v>6509</v>
      </c>
      <c r="E1689" t="s">
        <v>6797</v>
      </c>
      <c r="F1689" t="s">
        <v>7542</v>
      </c>
      <c r="G1689" t="s">
        <v>8213</v>
      </c>
      <c r="H1689" t="s">
        <v>9204</v>
      </c>
      <c r="I1689" t="s">
        <v>1357</v>
      </c>
      <c r="J1689" t="s">
        <v>1357</v>
      </c>
      <c r="K1689" t="s">
        <v>1357</v>
      </c>
      <c r="L1689" t="s">
        <v>1357</v>
      </c>
    </row>
    <row r="1690" spans="1:14">
      <c r="A1690" t="s">
        <v>6344</v>
      </c>
      <c r="B1690">
        <f>HYPERLINK("https://github.com/pmd/pmd/commit/10e27ca3c09adb71bbe50877b484c53e938256ec", "10e27ca3c09adb71bbe50877b484c53e938256ec")</f>
        <v>0</v>
      </c>
      <c r="C1690">
        <f>HYPERLINK("https://github.com/pmd/pmd/commit/32002664f7cf908d1a522a21e8fa306f4485c70e", "32002664f7cf908d1a522a21e8fa306f4485c70e")</f>
        <v>0</v>
      </c>
      <c r="D1690" t="s">
        <v>6512</v>
      </c>
      <c r="E1690" t="s">
        <v>6798</v>
      </c>
      <c r="F1690" t="s">
        <v>7472</v>
      </c>
      <c r="G1690" t="s">
        <v>8063</v>
      </c>
      <c r="H1690" t="s">
        <v>9205</v>
      </c>
      <c r="I1690" t="s">
        <v>1357</v>
      </c>
      <c r="J1690" t="s">
        <v>1357</v>
      </c>
      <c r="K1690" t="s">
        <v>1357</v>
      </c>
      <c r="L1690" t="s">
        <v>1357</v>
      </c>
    </row>
    <row r="1691" spans="1:14">
      <c r="A1691" t="s">
        <v>6345</v>
      </c>
      <c r="B1691">
        <f>HYPERLINK("https://github.com/pmd/pmd/commit/4ba1eaa47a77e00538dac0f67109527464384409", "4ba1eaa47a77e00538dac0f67109527464384409")</f>
        <v>0</v>
      </c>
      <c r="C1691">
        <f>HYPERLINK("https://github.com/pmd/pmd/commit/41d52818b1f4d0c314d9053cc3aa3402c209c642", "41d52818b1f4d0c314d9053cc3aa3402c209c642")</f>
        <v>0</v>
      </c>
      <c r="D1691" t="s">
        <v>6512</v>
      </c>
      <c r="E1691" t="s">
        <v>6799</v>
      </c>
      <c r="F1691" t="s">
        <v>7543</v>
      </c>
      <c r="G1691" t="s">
        <v>8053</v>
      </c>
      <c r="H1691" t="s">
        <v>9206</v>
      </c>
      <c r="I1691" t="s">
        <v>1357</v>
      </c>
      <c r="J1691" t="s">
        <v>1357</v>
      </c>
      <c r="K1691" t="s">
        <v>1357</v>
      </c>
      <c r="L1691" t="s">
        <v>1357</v>
      </c>
    </row>
    <row r="1692" spans="1:14">
      <c r="H1692" t="s">
        <v>9207</v>
      </c>
      <c r="I1692" t="s">
        <v>1357</v>
      </c>
      <c r="J1692" t="s">
        <v>1357</v>
      </c>
      <c r="K1692" t="s">
        <v>1357</v>
      </c>
      <c r="L1692" t="s">
        <v>1357</v>
      </c>
    </row>
    <row r="1693" spans="1:14">
      <c r="H1693" t="s">
        <v>9208</v>
      </c>
      <c r="I1693" t="s">
        <v>1357</v>
      </c>
      <c r="J1693" t="s">
        <v>1357</v>
      </c>
      <c r="K1693" t="s">
        <v>1357</v>
      </c>
      <c r="L1693" t="s">
        <v>1357</v>
      </c>
      <c r="M1693" t="s">
        <v>1360</v>
      </c>
    </row>
    <row r="1694" spans="1:14">
      <c r="H1694" t="s">
        <v>9023</v>
      </c>
      <c r="I1694" t="s">
        <v>1357</v>
      </c>
      <c r="J1694" t="s">
        <v>1357</v>
      </c>
      <c r="K1694" t="s">
        <v>1357</v>
      </c>
      <c r="L1694" t="s">
        <v>1357</v>
      </c>
    </row>
    <row r="1695" spans="1:14">
      <c r="A1695" t="s">
        <v>6346</v>
      </c>
      <c r="B1695">
        <f>HYPERLINK("https://github.com/pmd/pmd/commit/9c4c0679421c63412188f3f1c86f0bcd497be90e", "9c4c0679421c63412188f3f1c86f0bcd497be90e")</f>
        <v>0</v>
      </c>
      <c r="C1695">
        <f>HYPERLINK("https://github.com/pmd/pmd/commit/db630557bac9a804b3c303be76c96169432312bd", "db630557bac9a804b3c303be76c96169432312bd")</f>
        <v>0</v>
      </c>
      <c r="D1695" t="s">
        <v>6511</v>
      </c>
      <c r="E1695" t="s">
        <v>6800</v>
      </c>
      <c r="F1695" t="s">
        <v>7511</v>
      </c>
      <c r="G1695" t="s">
        <v>8189</v>
      </c>
      <c r="H1695" t="s">
        <v>9209</v>
      </c>
      <c r="I1695" t="s">
        <v>1358</v>
      </c>
      <c r="J1695" t="s">
        <v>1358</v>
      </c>
      <c r="K1695" t="s">
        <v>1358</v>
      </c>
      <c r="L1695" t="s">
        <v>1358</v>
      </c>
    </row>
    <row r="1696" spans="1:14">
      <c r="H1696" t="s">
        <v>9210</v>
      </c>
      <c r="I1696" t="s">
        <v>1358</v>
      </c>
      <c r="J1696" t="s">
        <v>1358</v>
      </c>
      <c r="K1696" t="s">
        <v>1358</v>
      </c>
      <c r="L1696" t="s">
        <v>1358</v>
      </c>
    </row>
    <row r="1697" spans="1:14">
      <c r="F1697" t="s">
        <v>7510</v>
      </c>
      <c r="G1697" t="s">
        <v>8188</v>
      </c>
      <c r="H1697" t="s">
        <v>9211</v>
      </c>
      <c r="I1697" t="s">
        <v>1357</v>
      </c>
      <c r="J1697" t="s">
        <v>1357</v>
      </c>
      <c r="K1697" t="s">
        <v>1357</v>
      </c>
      <c r="L1697" t="s">
        <v>1357</v>
      </c>
    </row>
    <row r="1698" spans="1:14">
      <c r="A1698" t="s">
        <v>6347</v>
      </c>
      <c r="B1698">
        <f>HYPERLINK("https://github.com/pmd/pmd/commit/dc7e0236443004c7c945693749e43625aa9b2528", "dc7e0236443004c7c945693749e43625aa9b2528")</f>
        <v>0</v>
      </c>
      <c r="C1698">
        <f>HYPERLINK("https://github.com/pmd/pmd/commit/45c8f50930abd69ca6b11c229c7571d341aedbef", "45c8f50930abd69ca6b11c229c7571d341aedbef")</f>
        <v>0</v>
      </c>
      <c r="D1698" t="s">
        <v>6509</v>
      </c>
      <c r="E1698" t="s">
        <v>6801</v>
      </c>
      <c r="F1698" t="s">
        <v>7544</v>
      </c>
      <c r="G1698" t="s">
        <v>8214</v>
      </c>
      <c r="H1698" t="s">
        <v>9212</v>
      </c>
      <c r="I1698" t="s">
        <v>1357</v>
      </c>
      <c r="J1698" t="s">
        <v>1357</v>
      </c>
      <c r="K1698" t="s">
        <v>1357</v>
      </c>
      <c r="L1698" t="s">
        <v>1357</v>
      </c>
    </row>
    <row r="1699" spans="1:14">
      <c r="H1699" t="s">
        <v>9213</v>
      </c>
      <c r="I1699" t="s">
        <v>1359</v>
      </c>
      <c r="J1699" t="s">
        <v>1358</v>
      </c>
      <c r="K1699" t="s">
        <v>1357</v>
      </c>
      <c r="L1699" t="s">
        <v>1358</v>
      </c>
      <c r="N1699" t="s">
        <v>9963</v>
      </c>
    </row>
    <row r="1700" spans="1:14">
      <c r="H1700" t="s">
        <v>9214</v>
      </c>
      <c r="I1700" t="s">
        <v>1359</v>
      </c>
      <c r="J1700" t="s">
        <v>1358</v>
      </c>
      <c r="K1700" t="s">
        <v>1357</v>
      </c>
      <c r="L1700" t="s">
        <v>1358</v>
      </c>
      <c r="N1700" t="s">
        <v>9963</v>
      </c>
    </row>
    <row r="1701" spans="1:14">
      <c r="A1701" t="s">
        <v>6348</v>
      </c>
      <c r="B1701">
        <f>HYPERLINK("https://github.com/pmd/pmd/commit/fe961010557b44c36140fb070bdcd47cd2efb3b8", "fe961010557b44c36140fb070bdcd47cd2efb3b8")</f>
        <v>0</v>
      </c>
      <c r="C1701">
        <f>HYPERLINK("https://github.com/pmd/pmd/commit/66f60e23502c658cd299a3dc1837ba7a00e4e013", "66f60e23502c658cd299a3dc1837ba7a00e4e013")</f>
        <v>0</v>
      </c>
      <c r="D1701" t="s">
        <v>6509</v>
      </c>
      <c r="E1701" t="s">
        <v>6802</v>
      </c>
      <c r="F1701" t="s">
        <v>7545</v>
      </c>
      <c r="G1701" t="s">
        <v>8215</v>
      </c>
      <c r="H1701" t="s">
        <v>9215</v>
      </c>
      <c r="I1701" t="s">
        <v>1358</v>
      </c>
      <c r="J1701" t="s">
        <v>1358</v>
      </c>
      <c r="K1701" t="s">
        <v>1358</v>
      </c>
      <c r="L1701" t="s">
        <v>1358</v>
      </c>
    </row>
    <row r="1702" spans="1:14">
      <c r="A1702" t="s">
        <v>6349</v>
      </c>
      <c r="B1702">
        <f>HYPERLINK("https://github.com/pmd/pmd/commit/7c1c5d54e7e89bc8368b783d6d064ae46fb2b5b6", "7c1c5d54e7e89bc8368b783d6d064ae46fb2b5b6")</f>
        <v>0</v>
      </c>
      <c r="C1702">
        <f>HYPERLINK("https://github.com/pmd/pmd/commit/ba8f318ef9405a2e90cef78cd6e349da68f06f55", "ba8f318ef9405a2e90cef78cd6e349da68f06f55")</f>
        <v>0</v>
      </c>
      <c r="D1702" t="s">
        <v>6509</v>
      </c>
      <c r="E1702" t="s">
        <v>6803</v>
      </c>
      <c r="F1702" t="s">
        <v>7546</v>
      </c>
      <c r="G1702" t="s">
        <v>8216</v>
      </c>
      <c r="H1702" t="s">
        <v>9216</v>
      </c>
      <c r="I1702" t="s">
        <v>1357</v>
      </c>
      <c r="J1702" t="s">
        <v>1357</v>
      </c>
      <c r="K1702" t="s">
        <v>1357</v>
      </c>
      <c r="L1702" t="s">
        <v>1357</v>
      </c>
    </row>
    <row r="1703" spans="1:14">
      <c r="A1703" t="s">
        <v>6350</v>
      </c>
      <c r="B1703">
        <f>HYPERLINK("https://github.com/pmd/pmd/commit/d43e65761ba7a58025977e9e8ed414f05e3058ce", "d43e65761ba7a58025977e9e8ed414f05e3058ce")</f>
        <v>0</v>
      </c>
      <c r="C1703">
        <f>HYPERLINK("https://github.com/pmd/pmd/commit/ead4a78c3b888e47095df47bd36c0e776fa2859d", "ead4a78c3b888e47095df47bd36c0e776fa2859d")</f>
        <v>0</v>
      </c>
      <c r="D1703" t="s">
        <v>6511</v>
      </c>
      <c r="E1703" t="s">
        <v>6804</v>
      </c>
      <c r="F1703" t="s">
        <v>7547</v>
      </c>
      <c r="G1703" t="s">
        <v>7791</v>
      </c>
      <c r="H1703" t="s">
        <v>9217</v>
      </c>
      <c r="I1703" t="s">
        <v>1358</v>
      </c>
      <c r="J1703" t="s">
        <v>1358</v>
      </c>
      <c r="K1703" t="s">
        <v>1358</v>
      </c>
      <c r="L1703" t="s">
        <v>1358</v>
      </c>
      <c r="N1703" t="s">
        <v>9964</v>
      </c>
    </row>
    <row r="1704" spans="1:14">
      <c r="A1704" t="s">
        <v>6351</v>
      </c>
      <c r="B1704">
        <f>HYPERLINK("https://github.com/pmd/pmd/commit/af7ccce2361fb14da1ec630c08bb701202cda865", "af7ccce2361fb14da1ec630c08bb701202cda865")</f>
        <v>0</v>
      </c>
      <c r="C1704">
        <f>HYPERLINK("https://github.com/pmd/pmd/commit/1c73f6fd63588ba6b8be09db6b0da9b4d71a7b62", "1c73f6fd63588ba6b8be09db6b0da9b4d71a7b62")</f>
        <v>0</v>
      </c>
      <c r="D1704" t="s">
        <v>6509</v>
      </c>
      <c r="E1704" t="s">
        <v>6805</v>
      </c>
      <c r="F1704" t="s">
        <v>7548</v>
      </c>
      <c r="G1704" t="s">
        <v>8217</v>
      </c>
      <c r="H1704" t="s">
        <v>9218</v>
      </c>
      <c r="I1704" t="s">
        <v>1358</v>
      </c>
      <c r="J1704" t="s">
        <v>1358</v>
      </c>
      <c r="K1704" t="s">
        <v>1358</v>
      </c>
      <c r="L1704" t="s">
        <v>1358</v>
      </c>
    </row>
    <row r="1705" spans="1:14">
      <c r="H1705" t="s">
        <v>9219</v>
      </c>
      <c r="I1705" t="s">
        <v>1357</v>
      </c>
      <c r="J1705" t="s">
        <v>1357</v>
      </c>
      <c r="K1705" t="s">
        <v>1357</v>
      </c>
      <c r="L1705" t="s">
        <v>1357</v>
      </c>
    </row>
    <row r="1706" spans="1:14">
      <c r="H1706" t="s">
        <v>9220</v>
      </c>
      <c r="I1706" t="s">
        <v>1357</v>
      </c>
      <c r="J1706" t="s">
        <v>1357</v>
      </c>
      <c r="K1706" t="s">
        <v>1357</v>
      </c>
      <c r="L1706" t="s">
        <v>1357</v>
      </c>
    </row>
    <row r="1707" spans="1:14">
      <c r="A1707" t="s">
        <v>6352</v>
      </c>
      <c r="B1707">
        <f>HYPERLINK("https://github.com/pmd/pmd/commit/cc44bac3c3b8e0e680f8dd6c9da2898c2e39b7d9", "cc44bac3c3b8e0e680f8dd6c9da2898c2e39b7d9")</f>
        <v>0</v>
      </c>
      <c r="C1707">
        <f>HYPERLINK("https://github.com/pmd/pmd/commit/9e8fc3f4a2c74cb9ba338a2407ca3c6aeb51d657", "9e8fc3f4a2c74cb9ba338a2407ca3c6aeb51d657")</f>
        <v>0</v>
      </c>
      <c r="D1707" t="s">
        <v>6509</v>
      </c>
      <c r="E1707" t="s">
        <v>6806</v>
      </c>
      <c r="F1707" t="s">
        <v>7549</v>
      </c>
      <c r="G1707" t="s">
        <v>8218</v>
      </c>
      <c r="H1707" t="s">
        <v>9221</v>
      </c>
      <c r="I1707" t="s">
        <v>1357</v>
      </c>
      <c r="J1707" t="s">
        <v>1357</v>
      </c>
      <c r="K1707" t="s">
        <v>1357</v>
      </c>
      <c r="L1707" t="s">
        <v>1357</v>
      </c>
    </row>
    <row r="1708" spans="1:14">
      <c r="A1708" t="s">
        <v>6353</v>
      </c>
      <c r="B1708">
        <f>HYPERLINK("https://github.com/pmd/pmd/commit/5f24c07a831f80af3a46c37a76b10e4cdc0daadf", "5f24c07a831f80af3a46c37a76b10e4cdc0daadf")</f>
        <v>0</v>
      </c>
      <c r="C1708">
        <f>HYPERLINK("https://github.com/pmd/pmd/commit/d73a5505c27f0471b80d988fc57a68a9e5cee8a0", "d73a5505c27f0471b80d988fc57a68a9e5cee8a0")</f>
        <v>0</v>
      </c>
      <c r="D1708" t="s">
        <v>6513</v>
      </c>
      <c r="E1708" t="s">
        <v>6807</v>
      </c>
      <c r="F1708" t="s">
        <v>7507</v>
      </c>
      <c r="G1708" t="s">
        <v>8187</v>
      </c>
      <c r="H1708" t="s">
        <v>9222</v>
      </c>
      <c r="I1708" t="s">
        <v>1359</v>
      </c>
      <c r="J1708" t="s">
        <v>1358</v>
      </c>
      <c r="K1708" t="s">
        <v>1357</v>
      </c>
      <c r="L1708" t="s">
        <v>1358</v>
      </c>
      <c r="N1708" t="s">
        <v>1372</v>
      </c>
    </row>
    <row r="1709" spans="1:14">
      <c r="A1709" t="s">
        <v>6354</v>
      </c>
      <c r="B1709">
        <f>HYPERLINK("https://github.com/pmd/pmd/commit/8a588f565f98fb914c9b3a29fd1f43a9f6d1fe70", "8a588f565f98fb914c9b3a29fd1f43a9f6d1fe70")</f>
        <v>0</v>
      </c>
      <c r="C1709">
        <f>HYPERLINK("https://github.com/pmd/pmd/commit/4ec95b527dae8a0dc6b173d07670d6c95df3bd55", "4ec95b527dae8a0dc6b173d07670d6c95df3bd55")</f>
        <v>0</v>
      </c>
      <c r="D1709" t="s">
        <v>6514</v>
      </c>
      <c r="E1709" t="s">
        <v>6808</v>
      </c>
      <c r="F1709" t="s">
        <v>7550</v>
      </c>
      <c r="G1709" t="s">
        <v>8219</v>
      </c>
      <c r="H1709" t="s">
        <v>9212</v>
      </c>
      <c r="I1709" t="s">
        <v>1357</v>
      </c>
      <c r="J1709" t="s">
        <v>1357</v>
      </c>
      <c r="K1709" t="s">
        <v>1357</v>
      </c>
      <c r="L1709" t="s">
        <v>1357</v>
      </c>
    </row>
    <row r="1710" spans="1:14">
      <c r="A1710" t="s">
        <v>6355</v>
      </c>
      <c r="B1710">
        <f>HYPERLINK("https://github.com/pmd/pmd/commit/dc56dd0676bbf8c68310c287f953ae4a5917e0bd", "dc56dd0676bbf8c68310c287f953ae4a5917e0bd")</f>
        <v>0</v>
      </c>
      <c r="C1710">
        <f>HYPERLINK("https://github.com/pmd/pmd/commit/56b2e6c420cd8a0e9e5961ae3e2db32e27de4deb", "56b2e6c420cd8a0e9e5961ae3e2db32e27de4deb")</f>
        <v>0</v>
      </c>
      <c r="D1710" t="s">
        <v>6514</v>
      </c>
      <c r="E1710" t="s">
        <v>6809</v>
      </c>
      <c r="F1710" t="s">
        <v>7551</v>
      </c>
      <c r="G1710" t="s">
        <v>8220</v>
      </c>
      <c r="H1710" t="s">
        <v>9223</v>
      </c>
      <c r="I1710" t="s">
        <v>1357</v>
      </c>
      <c r="J1710" t="s">
        <v>1357</v>
      </c>
      <c r="K1710" t="s">
        <v>1357</v>
      </c>
      <c r="L1710" t="s">
        <v>1357</v>
      </c>
      <c r="N1710" t="s">
        <v>9965</v>
      </c>
    </row>
    <row r="1711" spans="1:14">
      <c r="H1711" t="s">
        <v>9224</v>
      </c>
      <c r="I1711" t="s">
        <v>1357</v>
      </c>
      <c r="J1711" t="s">
        <v>1357</v>
      </c>
      <c r="K1711" t="s">
        <v>1357</v>
      </c>
      <c r="L1711" t="s">
        <v>1357</v>
      </c>
      <c r="N1711" t="s">
        <v>9965</v>
      </c>
    </row>
    <row r="1712" spans="1:14">
      <c r="H1712" t="s">
        <v>9225</v>
      </c>
      <c r="I1712" t="s">
        <v>1357</v>
      </c>
      <c r="J1712" t="s">
        <v>1357</v>
      </c>
      <c r="K1712" t="s">
        <v>1357</v>
      </c>
      <c r="L1712" t="s">
        <v>1357</v>
      </c>
      <c r="N1712" t="s">
        <v>9965</v>
      </c>
    </row>
    <row r="1713" spans="1:14">
      <c r="H1713" t="s">
        <v>9226</v>
      </c>
      <c r="I1713" t="s">
        <v>1357</v>
      </c>
      <c r="J1713" t="s">
        <v>1357</v>
      </c>
      <c r="K1713" t="s">
        <v>1357</v>
      </c>
      <c r="L1713" t="s">
        <v>1357</v>
      </c>
      <c r="N1713" t="s">
        <v>9965</v>
      </c>
    </row>
    <row r="1714" spans="1:14">
      <c r="H1714" t="s">
        <v>9227</v>
      </c>
      <c r="I1714" t="s">
        <v>1357</v>
      </c>
      <c r="J1714" t="s">
        <v>1357</v>
      </c>
      <c r="K1714" t="s">
        <v>1357</v>
      </c>
      <c r="L1714" t="s">
        <v>1357</v>
      </c>
      <c r="N1714" t="s">
        <v>9965</v>
      </c>
    </row>
    <row r="1715" spans="1:14">
      <c r="H1715" t="s">
        <v>9228</v>
      </c>
      <c r="I1715" t="s">
        <v>1357</v>
      </c>
      <c r="J1715" t="s">
        <v>1357</v>
      </c>
      <c r="K1715" t="s">
        <v>1357</v>
      </c>
      <c r="L1715" t="s">
        <v>1357</v>
      </c>
      <c r="N1715" t="s">
        <v>9965</v>
      </c>
    </row>
    <row r="1716" spans="1:14">
      <c r="H1716" t="s">
        <v>9229</v>
      </c>
      <c r="I1716" t="s">
        <v>1357</v>
      </c>
      <c r="J1716" t="s">
        <v>1357</v>
      </c>
      <c r="K1716" t="s">
        <v>1357</v>
      </c>
      <c r="L1716" t="s">
        <v>1357</v>
      </c>
      <c r="N1716" t="s">
        <v>9965</v>
      </c>
    </row>
    <row r="1717" spans="1:14">
      <c r="H1717" t="s">
        <v>9230</v>
      </c>
      <c r="I1717" t="s">
        <v>1357</v>
      </c>
      <c r="J1717" t="s">
        <v>1357</v>
      </c>
      <c r="K1717" t="s">
        <v>1357</v>
      </c>
      <c r="L1717" t="s">
        <v>1357</v>
      </c>
      <c r="N1717" t="s">
        <v>9965</v>
      </c>
    </row>
    <row r="1718" spans="1:14">
      <c r="H1718" t="s">
        <v>9231</v>
      </c>
      <c r="I1718" t="s">
        <v>1357</v>
      </c>
      <c r="J1718" t="s">
        <v>1357</v>
      </c>
      <c r="K1718" t="s">
        <v>1357</v>
      </c>
      <c r="L1718" t="s">
        <v>1357</v>
      </c>
      <c r="N1718" t="s">
        <v>9965</v>
      </c>
    </row>
    <row r="1719" spans="1:14">
      <c r="H1719" t="s">
        <v>9232</v>
      </c>
      <c r="I1719" t="s">
        <v>1357</v>
      </c>
      <c r="J1719" t="s">
        <v>1357</v>
      </c>
      <c r="K1719" t="s">
        <v>1357</v>
      </c>
      <c r="L1719" t="s">
        <v>1357</v>
      </c>
      <c r="N1719" t="s">
        <v>9965</v>
      </c>
    </row>
    <row r="1720" spans="1:14">
      <c r="H1720" t="s">
        <v>9233</v>
      </c>
      <c r="I1720" t="s">
        <v>1357</v>
      </c>
      <c r="J1720" t="s">
        <v>1357</v>
      </c>
      <c r="K1720" t="s">
        <v>1357</v>
      </c>
      <c r="L1720" t="s">
        <v>1357</v>
      </c>
      <c r="N1720" t="s">
        <v>9965</v>
      </c>
    </row>
    <row r="1721" spans="1:14">
      <c r="H1721" t="s">
        <v>9234</v>
      </c>
      <c r="I1721" t="s">
        <v>1357</v>
      </c>
      <c r="J1721" t="s">
        <v>1357</v>
      </c>
      <c r="K1721" t="s">
        <v>1357</v>
      </c>
      <c r="L1721" t="s">
        <v>1357</v>
      </c>
      <c r="N1721" t="s">
        <v>9965</v>
      </c>
    </row>
    <row r="1722" spans="1:14">
      <c r="H1722" t="s">
        <v>9235</v>
      </c>
      <c r="I1722" t="s">
        <v>1357</v>
      </c>
      <c r="J1722" t="s">
        <v>1357</v>
      </c>
      <c r="K1722" t="s">
        <v>1357</v>
      </c>
      <c r="L1722" t="s">
        <v>1357</v>
      </c>
      <c r="N1722" t="s">
        <v>9965</v>
      </c>
    </row>
    <row r="1723" spans="1:14">
      <c r="H1723" t="s">
        <v>9236</v>
      </c>
      <c r="I1723" t="s">
        <v>1357</v>
      </c>
      <c r="J1723" t="s">
        <v>1357</v>
      </c>
      <c r="K1723" t="s">
        <v>1357</v>
      </c>
      <c r="L1723" t="s">
        <v>1357</v>
      </c>
      <c r="N1723" t="s">
        <v>9965</v>
      </c>
    </row>
    <row r="1724" spans="1:14">
      <c r="H1724" t="s">
        <v>9237</v>
      </c>
      <c r="I1724" t="s">
        <v>1357</v>
      </c>
      <c r="J1724" t="s">
        <v>1357</v>
      </c>
      <c r="K1724" t="s">
        <v>1357</v>
      </c>
      <c r="L1724" t="s">
        <v>1357</v>
      </c>
      <c r="N1724" t="s">
        <v>9965</v>
      </c>
    </row>
    <row r="1725" spans="1:14">
      <c r="A1725" t="s">
        <v>6356</v>
      </c>
      <c r="B1725">
        <f>HYPERLINK("https://github.com/pmd/pmd/commit/592557e948ce4876892d9fc1c848894be7f1a7a1", "592557e948ce4876892d9fc1c848894be7f1a7a1")</f>
        <v>0</v>
      </c>
      <c r="C1725">
        <f>HYPERLINK("https://github.com/pmd/pmd/commit/920b061083f489f287a2302ec12d05479a479779", "920b061083f489f287a2302ec12d05479a479779")</f>
        <v>0</v>
      </c>
      <c r="D1725" t="s">
        <v>6514</v>
      </c>
      <c r="E1725" t="s">
        <v>6810</v>
      </c>
      <c r="F1725" t="s">
        <v>7552</v>
      </c>
      <c r="G1725" t="s">
        <v>8221</v>
      </c>
      <c r="H1725" t="s">
        <v>9238</v>
      </c>
      <c r="I1725" t="s">
        <v>1357</v>
      </c>
      <c r="J1725" t="s">
        <v>1357</v>
      </c>
      <c r="K1725" t="s">
        <v>1357</v>
      </c>
      <c r="L1725" t="s">
        <v>1357</v>
      </c>
    </row>
    <row r="1726" spans="1:14">
      <c r="H1726" t="s">
        <v>9239</v>
      </c>
      <c r="I1726" t="s">
        <v>1357</v>
      </c>
      <c r="J1726" t="s">
        <v>1357</v>
      </c>
      <c r="K1726" t="s">
        <v>1357</v>
      </c>
      <c r="L1726" t="s">
        <v>1357</v>
      </c>
    </row>
    <row r="1727" spans="1:14">
      <c r="H1727" t="s">
        <v>9240</v>
      </c>
      <c r="I1727" t="s">
        <v>1357</v>
      </c>
      <c r="J1727" t="s">
        <v>1357</v>
      </c>
      <c r="K1727" t="s">
        <v>1357</v>
      </c>
      <c r="L1727" t="s">
        <v>1357</v>
      </c>
    </row>
    <row r="1728" spans="1:14">
      <c r="A1728" t="s">
        <v>6356</v>
      </c>
      <c r="B1728">
        <f>HYPERLINK("https://github.com/pmd/pmd/commit/dd5afcfc905a115fb64df4ca486ccef14fb7193c", "dd5afcfc905a115fb64df4ca486ccef14fb7193c")</f>
        <v>0</v>
      </c>
      <c r="C1728">
        <f>HYPERLINK("https://github.com/pmd/pmd/commit/ef7605ad6b8deb432c88d79abc14c65d2fbf7500", "ef7605ad6b8deb432c88d79abc14c65d2fbf7500")</f>
        <v>0</v>
      </c>
      <c r="D1728" t="s">
        <v>6514</v>
      </c>
      <c r="E1728" t="s">
        <v>6811</v>
      </c>
      <c r="F1728" t="s">
        <v>7553</v>
      </c>
      <c r="G1728" t="s">
        <v>8222</v>
      </c>
      <c r="H1728" t="s">
        <v>9241</v>
      </c>
      <c r="I1728" t="s">
        <v>1357</v>
      </c>
      <c r="J1728" t="s">
        <v>1357</v>
      </c>
      <c r="K1728" t="s">
        <v>1357</v>
      </c>
      <c r="L1728" t="s">
        <v>1357</v>
      </c>
    </row>
    <row r="1729" spans="1:12">
      <c r="H1729" t="s">
        <v>9242</v>
      </c>
      <c r="I1729" t="s">
        <v>1357</v>
      </c>
      <c r="J1729" t="s">
        <v>1357</v>
      </c>
      <c r="K1729" t="s">
        <v>1357</v>
      </c>
      <c r="L1729" t="s">
        <v>1357</v>
      </c>
    </row>
    <row r="1730" spans="1:12">
      <c r="A1730" t="s">
        <v>6357</v>
      </c>
      <c r="B1730">
        <f>HYPERLINK("https://github.com/pmd/pmd/commit/9cdb3ba27d8d249fbbd935932d13d4339db6f96b", "9cdb3ba27d8d249fbbd935932d13d4339db6f96b")</f>
        <v>0</v>
      </c>
      <c r="C1730">
        <f>HYPERLINK("https://github.com/pmd/pmd/commit/90d1467735393c8d9b9f79da1191fdfb5a3130e2", "90d1467735393c8d9b9f79da1191fdfb5a3130e2")</f>
        <v>0</v>
      </c>
      <c r="D1730" t="s">
        <v>6509</v>
      </c>
      <c r="E1730" t="s">
        <v>6812</v>
      </c>
      <c r="F1730" t="s">
        <v>7554</v>
      </c>
      <c r="G1730" t="s">
        <v>8223</v>
      </c>
      <c r="H1730" t="s">
        <v>9243</v>
      </c>
      <c r="I1730" t="s">
        <v>1357</v>
      </c>
      <c r="J1730" t="s">
        <v>1357</v>
      </c>
      <c r="K1730" t="s">
        <v>1357</v>
      </c>
      <c r="L1730" t="s">
        <v>1357</v>
      </c>
    </row>
    <row r="1731" spans="1:12">
      <c r="H1731" t="s">
        <v>9244</v>
      </c>
      <c r="I1731" t="s">
        <v>1357</v>
      </c>
      <c r="J1731" t="s">
        <v>1357</v>
      </c>
      <c r="K1731" t="s">
        <v>1357</v>
      </c>
      <c r="L1731" t="s">
        <v>1357</v>
      </c>
    </row>
    <row r="1732" spans="1:12">
      <c r="F1732" t="s">
        <v>7555</v>
      </c>
      <c r="G1732" t="s">
        <v>7734</v>
      </c>
      <c r="H1732" t="s">
        <v>8425</v>
      </c>
      <c r="I1732" t="s">
        <v>1357</v>
      </c>
      <c r="J1732" t="s">
        <v>1357</v>
      </c>
      <c r="K1732" t="s">
        <v>1357</v>
      </c>
      <c r="L1732" t="s">
        <v>1357</v>
      </c>
    </row>
    <row r="1733" spans="1:12">
      <c r="H1733" t="s">
        <v>9245</v>
      </c>
      <c r="I1733" t="s">
        <v>1357</v>
      </c>
      <c r="J1733" t="s">
        <v>1357</v>
      </c>
      <c r="K1733" t="s">
        <v>1357</v>
      </c>
      <c r="L1733" t="s">
        <v>1357</v>
      </c>
    </row>
    <row r="1734" spans="1:12">
      <c r="A1734" t="s">
        <v>6358</v>
      </c>
      <c r="B1734">
        <f>HYPERLINK("https://github.com/pmd/pmd/commit/2ba142274717238ee0862eed4aa2df3de2070218", "2ba142274717238ee0862eed4aa2df3de2070218")</f>
        <v>0</v>
      </c>
      <c r="C1734">
        <f>HYPERLINK("https://github.com/pmd/pmd/commit/ac4a0daff98634fa6b5f464ec4ce42e60e556c05", "ac4a0daff98634fa6b5f464ec4ce42e60e556c05")</f>
        <v>0</v>
      </c>
      <c r="D1734" t="s">
        <v>6514</v>
      </c>
      <c r="E1734" t="s">
        <v>6813</v>
      </c>
      <c r="F1734" t="s">
        <v>7556</v>
      </c>
      <c r="G1734" t="s">
        <v>8224</v>
      </c>
      <c r="H1734" t="s">
        <v>9246</v>
      </c>
      <c r="I1734" t="s">
        <v>1357</v>
      </c>
      <c r="J1734" t="s">
        <v>1357</v>
      </c>
      <c r="K1734" t="s">
        <v>1357</v>
      </c>
      <c r="L1734" t="s">
        <v>1357</v>
      </c>
    </row>
    <row r="1735" spans="1:12">
      <c r="A1735" t="s">
        <v>6359</v>
      </c>
      <c r="B1735">
        <f>HYPERLINK("https://github.com/pmd/pmd/commit/191f996ab8f8bc5d846b84e4715a16a6869b1ca6", "191f996ab8f8bc5d846b84e4715a16a6869b1ca6")</f>
        <v>0</v>
      </c>
      <c r="C1735">
        <f>HYPERLINK("https://github.com/pmd/pmd/commit/ab1b50a3f69edd0d08fd53ff09f675db673cce23", "ab1b50a3f69edd0d08fd53ff09f675db673cce23")</f>
        <v>0</v>
      </c>
      <c r="D1735" t="s">
        <v>6509</v>
      </c>
      <c r="E1735" t="s">
        <v>6814</v>
      </c>
      <c r="F1735" t="s">
        <v>7504</v>
      </c>
      <c r="G1735" t="s">
        <v>7701</v>
      </c>
      <c r="H1735" t="s">
        <v>9247</v>
      </c>
      <c r="I1735" t="s">
        <v>1357</v>
      </c>
      <c r="J1735" t="s">
        <v>1357</v>
      </c>
      <c r="K1735" t="s">
        <v>1357</v>
      </c>
      <c r="L1735" t="s">
        <v>1357</v>
      </c>
    </row>
    <row r="1736" spans="1:12">
      <c r="H1736" t="s">
        <v>9248</v>
      </c>
      <c r="I1736" t="s">
        <v>1357</v>
      </c>
      <c r="J1736" t="s">
        <v>1357</v>
      </c>
      <c r="K1736" t="s">
        <v>1357</v>
      </c>
      <c r="L1736" t="s">
        <v>1357</v>
      </c>
    </row>
    <row r="1737" spans="1:12">
      <c r="F1737" t="s">
        <v>7557</v>
      </c>
      <c r="G1737" t="s">
        <v>8225</v>
      </c>
      <c r="H1737" t="s">
        <v>9249</v>
      </c>
      <c r="I1737" t="s">
        <v>1357</v>
      </c>
      <c r="J1737" t="s">
        <v>1357</v>
      </c>
      <c r="K1737" t="s">
        <v>1357</v>
      </c>
      <c r="L1737" t="s">
        <v>1357</v>
      </c>
    </row>
    <row r="1738" spans="1:12">
      <c r="H1738" t="s">
        <v>9250</v>
      </c>
      <c r="I1738" t="s">
        <v>1357</v>
      </c>
      <c r="J1738" t="s">
        <v>1357</v>
      </c>
      <c r="K1738" t="s">
        <v>1357</v>
      </c>
      <c r="L1738" t="s">
        <v>1357</v>
      </c>
    </row>
    <row r="1739" spans="1:12">
      <c r="H1739" t="s">
        <v>9251</v>
      </c>
      <c r="I1739" t="s">
        <v>1357</v>
      </c>
      <c r="J1739" t="s">
        <v>1357</v>
      </c>
      <c r="K1739" t="s">
        <v>1357</v>
      </c>
      <c r="L1739" t="s">
        <v>1357</v>
      </c>
    </row>
    <row r="1740" spans="1:12">
      <c r="H1740" t="s">
        <v>9252</v>
      </c>
      <c r="I1740" t="s">
        <v>1357</v>
      </c>
      <c r="J1740" t="s">
        <v>1357</v>
      </c>
      <c r="K1740" t="s">
        <v>1357</v>
      </c>
      <c r="L1740" t="s">
        <v>1357</v>
      </c>
    </row>
    <row r="1741" spans="1:12">
      <c r="H1741" t="s">
        <v>9253</v>
      </c>
      <c r="I1741" t="s">
        <v>1357</v>
      </c>
      <c r="J1741" t="s">
        <v>1357</v>
      </c>
      <c r="K1741" t="s">
        <v>1357</v>
      </c>
      <c r="L1741" t="s">
        <v>1357</v>
      </c>
    </row>
    <row r="1742" spans="1:12">
      <c r="H1742" t="s">
        <v>9254</v>
      </c>
      <c r="I1742" t="s">
        <v>1357</v>
      </c>
      <c r="J1742" t="s">
        <v>1357</v>
      </c>
      <c r="K1742" t="s">
        <v>1357</v>
      </c>
      <c r="L1742" t="s">
        <v>1357</v>
      </c>
    </row>
    <row r="1743" spans="1:12">
      <c r="H1743" t="s">
        <v>3525</v>
      </c>
      <c r="I1743" t="s">
        <v>1357</v>
      </c>
      <c r="J1743" t="s">
        <v>1357</v>
      </c>
      <c r="K1743" t="s">
        <v>1357</v>
      </c>
      <c r="L1743" t="s">
        <v>1357</v>
      </c>
    </row>
    <row r="1744" spans="1:12">
      <c r="F1744" t="s">
        <v>7558</v>
      </c>
      <c r="G1744" t="s">
        <v>7725</v>
      </c>
      <c r="H1744" t="s">
        <v>9255</v>
      </c>
      <c r="I1744" t="s">
        <v>1357</v>
      </c>
      <c r="J1744" t="s">
        <v>1357</v>
      </c>
      <c r="K1744" t="s">
        <v>1357</v>
      </c>
      <c r="L1744" t="s">
        <v>1357</v>
      </c>
    </row>
    <row r="1745" spans="8:12">
      <c r="H1745" t="s">
        <v>9256</v>
      </c>
      <c r="I1745" t="s">
        <v>1357</v>
      </c>
      <c r="J1745" t="s">
        <v>1357</v>
      </c>
      <c r="K1745" t="s">
        <v>1357</v>
      </c>
      <c r="L1745" t="s">
        <v>1357</v>
      </c>
    </row>
    <row r="1746" spans="8:12">
      <c r="H1746" t="s">
        <v>8727</v>
      </c>
      <c r="I1746" t="s">
        <v>1357</v>
      </c>
      <c r="J1746" t="s">
        <v>1357</v>
      </c>
      <c r="K1746" t="s">
        <v>1357</v>
      </c>
      <c r="L1746" t="s">
        <v>1357</v>
      </c>
    </row>
    <row r="1747" spans="8:12">
      <c r="H1747" t="s">
        <v>9257</v>
      </c>
      <c r="I1747" t="s">
        <v>1357</v>
      </c>
      <c r="J1747" t="s">
        <v>1357</v>
      </c>
      <c r="K1747" t="s">
        <v>1357</v>
      </c>
      <c r="L1747" t="s">
        <v>1357</v>
      </c>
    </row>
    <row r="1748" spans="8:12">
      <c r="H1748" t="s">
        <v>9258</v>
      </c>
      <c r="I1748" t="s">
        <v>1357</v>
      </c>
      <c r="J1748" t="s">
        <v>1357</v>
      </c>
      <c r="K1748" t="s">
        <v>1357</v>
      </c>
      <c r="L1748" t="s">
        <v>1357</v>
      </c>
    </row>
    <row r="1749" spans="8:12">
      <c r="H1749" t="s">
        <v>9259</v>
      </c>
      <c r="I1749" t="s">
        <v>1357</v>
      </c>
      <c r="J1749" t="s">
        <v>1357</v>
      </c>
      <c r="K1749" t="s">
        <v>1357</v>
      </c>
      <c r="L1749" t="s">
        <v>1357</v>
      </c>
    </row>
    <row r="1750" spans="8:12">
      <c r="H1750" t="s">
        <v>9260</v>
      </c>
      <c r="I1750" t="s">
        <v>1357</v>
      </c>
      <c r="J1750" t="s">
        <v>1357</v>
      </c>
      <c r="K1750" t="s">
        <v>1357</v>
      </c>
      <c r="L1750" t="s">
        <v>1357</v>
      </c>
    </row>
    <row r="1751" spans="8:12">
      <c r="H1751" t="s">
        <v>9261</v>
      </c>
      <c r="I1751" t="s">
        <v>1357</v>
      </c>
      <c r="J1751" t="s">
        <v>1357</v>
      </c>
      <c r="K1751" t="s">
        <v>1357</v>
      </c>
      <c r="L1751" t="s">
        <v>1357</v>
      </c>
    </row>
    <row r="1752" spans="8:12">
      <c r="H1752" t="s">
        <v>9262</v>
      </c>
      <c r="I1752" t="s">
        <v>1357</v>
      </c>
      <c r="J1752" t="s">
        <v>1357</v>
      </c>
      <c r="K1752" t="s">
        <v>1357</v>
      </c>
      <c r="L1752" t="s">
        <v>1357</v>
      </c>
    </row>
    <row r="1753" spans="8:12">
      <c r="H1753" t="s">
        <v>3280</v>
      </c>
      <c r="I1753" t="s">
        <v>1357</v>
      </c>
      <c r="J1753" t="s">
        <v>1357</v>
      </c>
      <c r="K1753" t="s">
        <v>1357</v>
      </c>
      <c r="L1753" t="s">
        <v>1357</v>
      </c>
    </row>
    <row r="1754" spans="8:12">
      <c r="H1754" t="s">
        <v>9263</v>
      </c>
      <c r="I1754" t="s">
        <v>1357</v>
      </c>
      <c r="J1754" t="s">
        <v>1357</v>
      </c>
      <c r="K1754" t="s">
        <v>1357</v>
      </c>
      <c r="L1754" t="s">
        <v>1357</v>
      </c>
    </row>
    <row r="1755" spans="8:12">
      <c r="H1755" t="s">
        <v>9264</v>
      </c>
      <c r="I1755" t="s">
        <v>1357</v>
      </c>
      <c r="J1755" t="s">
        <v>1357</v>
      </c>
      <c r="K1755" t="s">
        <v>1357</v>
      </c>
      <c r="L1755" t="s">
        <v>1357</v>
      </c>
    </row>
    <row r="1756" spans="8:12">
      <c r="H1756" t="s">
        <v>9265</v>
      </c>
      <c r="I1756" t="s">
        <v>1357</v>
      </c>
      <c r="J1756" t="s">
        <v>1357</v>
      </c>
      <c r="K1756" t="s">
        <v>1357</v>
      </c>
      <c r="L1756" t="s">
        <v>1357</v>
      </c>
    </row>
    <row r="1757" spans="8:12">
      <c r="H1757" t="s">
        <v>9266</v>
      </c>
      <c r="I1757" t="s">
        <v>1357</v>
      </c>
      <c r="J1757" t="s">
        <v>1357</v>
      </c>
      <c r="K1757" t="s">
        <v>1357</v>
      </c>
      <c r="L1757" t="s">
        <v>1357</v>
      </c>
    </row>
    <row r="1758" spans="8:12">
      <c r="H1758" t="s">
        <v>9267</v>
      </c>
      <c r="I1758" t="s">
        <v>1357</v>
      </c>
      <c r="J1758" t="s">
        <v>1357</v>
      </c>
      <c r="K1758" t="s">
        <v>1357</v>
      </c>
      <c r="L1758" t="s">
        <v>1357</v>
      </c>
    </row>
    <row r="1759" spans="8:12">
      <c r="H1759" t="s">
        <v>9268</v>
      </c>
      <c r="I1759" t="s">
        <v>1357</v>
      </c>
      <c r="J1759" t="s">
        <v>1357</v>
      </c>
      <c r="K1759" t="s">
        <v>1357</v>
      </c>
      <c r="L1759" t="s">
        <v>1357</v>
      </c>
    </row>
    <row r="1760" spans="8:12">
      <c r="H1760" t="s">
        <v>9269</v>
      </c>
      <c r="I1760" t="s">
        <v>1357</v>
      </c>
      <c r="J1760" t="s">
        <v>1357</v>
      </c>
      <c r="K1760" t="s">
        <v>1357</v>
      </c>
      <c r="L1760" t="s">
        <v>1357</v>
      </c>
    </row>
    <row r="1761" spans="8:12">
      <c r="H1761" t="s">
        <v>9270</v>
      </c>
      <c r="I1761" t="s">
        <v>1357</v>
      </c>
      <c r="J1761" t="s">
        <v>1357</v>
      </c>
      <c r="K1761" t="s">
        <v>1357</v>
      </c>
      <c r="L1761" t="s">
        <v>1357</v>
      </c>
    </row>
    <row r="1762" spans="8:12">
      <c r="H1762" t="s">
        <v>9271</v>
      </c>
      <c r="I1762" t="s">
        <v>1357</v>
      </c>
      <c r="J1762" t="s">
        <v>1357</v>
      </c>
      <c r="K1762" t="s">
        <v>1357</v>
      </c>
      <c r="L1762" t="s">
        <v>1357</v>
      </c>
    </row>
    <row r="1763" spans="8:12">
      <c r="H1763" t="s">
        <v>9272</v>
      </c>
      <c r="I1763" t="s">
        <v>1357</v>
      </c>
      <c r="J1763" t="s">
        <v>1357</v>
      </c>
      <c r="K1763" t="s">
        <v>1357</v>
      </c>
      <c r="L1763" t="s">
        <v>1357</v>
      </c>
    </row>
    <row r="1764" spans="8:12">
      <c r="H1764" t="s">
        <v>9273</v>
      </c>
      <c r="I1764" t="s">
        <v>1357</v>
      </c>
      <c r="J1764" t="s">
        <v>1357</v>
      </c>
      <c r="K1764" t="s">
        <v>1357</v>
      </c>
      <c r="L1764" t="s">
        <v>1357</v>
      </c>
    </row>
    <row r="1765" spans="8:12">
      <c r="H1765" t="s">
        <v>9274</v>
      </c>
      <c r="I1765" t="s">
        <v>1357</v>
      </c>
      <c r="J1765" t="s">
        <v>1357</v>
      </c>
      <c r="K1765" t="s">
        <v>1357</v>
      </c>
      <c r="L1765" t="s">
        <v>1357</v>
      </c>
    </row>
    <row r="1766" spans="8:12">
      <c r="H1766" t="s">
        <v>9275</v>
      </c>
      <c r="I1766" t="s">
        <v>1357</v>
      </c>
      <c r="J1766" t="s">
        <v>1357</v>
      </c>
      <c r="K1766" t="s">
        <v>1357</v>
      </c>
      <c r="L1766" t="s">
        <v>1357</v>
      </c>
    </row>
    <row r="1767" spans="8:12">
      <c r="H1767" t="s">
        <v>9276</v>
      </c>
      <c r="I1767" t="s">
        <v>1357</v>
      </c>
      <c r="J1767" t="s">
        <v>1357</v>
      </c>
      <c r="K1767" t="s">
        <v>1357</v>
      </c>
      <c r="L1767" t="s">
        <v>1357</v>
      </c>
    </row>
    <row r="1768" spans="8:12">
      <c r="H1768" t="s">
        <v>9277</v>
      </c>
      <c r="I1768" t="s">
        <v>1357</v>
      </c>
      <c r="J1768" t="s">
        <v>1357</v>
      </c>
      <c r="K1768" t="s">
        <v>1357</v>
      </c>
      <c r="L1768" t="s">
        <v>1357</v>
      </c>
    </row>
    <row r="1769" spans="8:12">
      <c r="H1769" t="s">
        <v>9278</v>
      </c>
      <c r="I1769" t="s">
        <v>1357</v>
      </c>
      <c r="J1769" t="s">
        <v>1357</v>
      </c>
      <c r="K1769" t="s">
        <v>1357</v>
      </c>
      <c r="L1769" t="s">
        <v>1357</v>
      </c>
    </row>
    <row r="1770" spans="8:12">
      <c r="H1770" t="s">
        <v>9279</v>
      </c>
      <c r="I1770" t="s">
        <v>1357</v>
      </c>
      <c r="J1770" t="s">
        <v>1357</v>
      </c>
      <c r="K1770" t="s">
        <v>1357</v>
      </c>
      <c r="L1770" t="s">
        <v>1357</v>
      </c>
    </row>
    <row r="1771" spans="8:12">
      <c r="H1771" t="s">
        <v>9280</v>
      </c>
      <c r="I1771" t="s">
        <v>1357</v>
      </c>
      <c r="J1771" t="s">
        <v>1357</v>
      </c>
      <c r="K1771" t="s">
        <v>1357</v>
      </c>
      <c r="L1771" t="s">
        <v>1357</v>
      </c>
    </row>
    <row r="1772" spans="8:12">
      <c r="H1772" t="s">
        <v>9281</v>
      </c>
      <c r="I1772" t="s">
        <v>1357</v>
      </c>
      <c r="J1772" t="s">
        <v>1357</v>
      </c>
      <c r="K1772" t="s">
        <v>1357</v>
      </c>
      <c r="L1772" t="s">
        <v>1357</v>
      </c>
    </row>
    <row r="1773" spans="8:12">
      <c r="H1773" t="s">
        <v>9282</v>
      </c>
      <c r="I1773" t="s">
        <v>1357</v>
      </c>
      <c r="J1773" t="s">
        <v>1357</v>
      </c>
      <c r="K1773" t="s">
        <v>1357</v>
      </c>
      <c r="L1773" t="s">
        <v>1357</v>
      </c>
    </row>
    <row r="1774" spans="8:12">
      <c r="H1774" t="s">
        <v>9283</v>
      </c>
      <c r="I1774" t="s">
        <v>1357</v>
      </c>
      <c r="J1774" t="s">
        <v>1357</v>
      </c>
      <c r="K1774" t="s">
        <v>1357</v>
      </c>
      <c r="L1774" t="s">
        <v>1357</v>
      </c>
    </row>
    <row r="1775" spans="8:12">
      <c r="H1775" t="s">
        <v>9284</v>
      </c>
      <c r="I1775" t="s">
        <v>1357</v>
      </c>
      <c r="J1775" t="s">
        <v>1357</v>
      </c>
      <c r="K1775" t="s">
        <v>1357</v>
      </c>
      <c r="L1775" t="s">
        <v>1357</v>
      </c>
    </row>
    <row r="1776" spans="8:12">
      <c r="H1776" t="s">
        <v>9285</v>
      </c>
      <c r="I1776" t="s">
        <v>1357</v>
      </c>
      <c r="J1776" t="s">
        <v>1357</v>
      </c>
      <c r="K1776" t="s">
        <v>1357</v>
      </c>
      <c r="L1776" t="s">
        <v>1357</v>
      </c>
    </row>
    <row r="1777" spans="8:12">
      <c r="H1777" t="s">
        <v>9286</v>
      </c>
      <c r="I1777" t="s">
        <v>1357</v>
      </c>
      <c r="J1777" t="s">
        <v>1357</v>
      </c>
      <c r="K1777" t="s">
        <v>1357</v>
      </c>
      <c r="L1777" t="s">
        <v>1357</v>
      </c>
    </row>
    <row r="1778" spans="8:12">
      <c r="H1778" t="s">
        <v>9287</v>
      </c>
      <c r="I1778" t="s">
        <v>1357</v>
      </c>
      <c r="J1778" t="s">
        <v>1357</v>
      </c>
      <c r="K1778" t="s">
        <v>1357</v>
      </c>
      <c r="L1778" t="s">
        <v>1357</v>
      </c>
    </row>
    <row r="1779" spans="8:12">
      <c r="H1779" t="s">
        <v>9288</v>
      </c>
      <c r="I1779" t="s">
        <v>1357</v>
      </c>
      <c r="J1779" t="s">
        <v>1357</v>
      </c>
      <c r="K1779" t="s">
        <v>1357</v>
      </c>
      <c r="L1779" t="s">
        <v>1357</v>
      </c>
    </row>
    <row r="1780" spans="8:12">
      <c r="H1780" t="s">
        <v>9289</v>
      </c>
      <c r="I1780" t="s">
        <v>1357</v>
      </c>
      <c r="J1780" t="s">
        <v>1357</v>
      </c>
      <c r="K1780" t="s">
        <v>1357</v>
      </c>
      <c r="L1780" t="s">
        <v>1357</v>
      </c>
    </row>
    <row r="1781" spans="8:12">
      <c r="H1781" t="s">
        <v>9290</v>
      </c>
      <c r="I1781" t="s">
        <v>1357</v>
      </c>
      <c r="J1781" t="s">
        <v>1357</v>
      </c>
      <c r="K1781" t="s">
        <v>1357</v>
      </c>
      <c r="L1781" t="s">
        <v>1357</v>
      </c>
    </row>
    <row r="1782" spans="8:12">
      <c r="H1782" t="s">
        <v>9291</v>
      </c>
      <c r="I1782" t="s">
        <v>1357</v>
      </c>
      <c r="J1782" t="s">
        <v>1357</v>
      </c>
      <c r="K1782" t="s">
        <v>1357</v>
      </c>
      <c r="L1782" t="s">
        <v>1357</v>
      </c>
    </row>
    <row r="1783" spans="8:12">
      <c r="H1783" t="s">
        <v>9292</v>
      </c>
      <c r="I1783" t="s">
        <v>1357</v>
      </c>
      <c r="J1783" t="s">
        <v>1357</v>
      </c>
      <c r="K1783" t="s">
        <v>1357</v>
      </c>
      <c r="L1783" t="s">
        <v>1357</v>
      </c>
    </row>
    <row r="1784" spans="8:12">
      <c r="H1784" t="s">
        <v>9293</v>
      </c>
      <c r="I1784" t="s">
        <v>1357</v>
      </c>
      <c r="J1784" t="s">
        <v>1357</v>
      </c>
      <c r="K1784" t="s">
        <v>1357</v>
      </c>
      <c r="L1784" t="s">
        <v>1357</v>
      </c>
    </row>
    <row r="1785" spans="8:12">
      <c r="H1785" t="s">
        <v>9294</v>
      </c>
      <c r="I1785" t="s">
        <v>1357</v>
      </c>
      <c r="J1785" t="s">
        <v>1357</v>
      </c>
      <c r="K1785" t="s">
        <v>1357</v>
      </c>
      <c r="L1785" t="s">
        <v>1357</v>
      </c>
    </row>
    <row r="1786" spans="8:12">
      <c r="H1786" t="s">
        <v>9295</v>
      </c>
      <c r="I1786" t="s">
        <v>1357</v>
      </c>
      <c r="J1786" t="s">
        <v>1357</v>
      </c>
      <c r="K1786" t="s">
        <v>1357</v>
      </c>
      <c r="L1786" t="s">
        <v>1357</v>
      </c>
    </row>
    <row r="1787" spans="8:12">
      <c r="H1787" t="s">
        <v>9296</v>
      </c>
      <c r="I1787" t="s">
        <v>1357</v>
      </c>
      <c r="J1787" t="s">
        <v>1357</v>
      </c>
      <c r="K1787" t="s">
        <v>1357</v>
      </c>
      <c r="L1787" t="s">
        <v>1357</v>
      </c>
    </row>
    <row r="1788" spans="8:12">
      <c r="H1788" t="s">
        <v>9297</v>
      </c>
      <c r="I1788" t="s">
        <v>1357</v>
      </c>
      <c r="J1788" t="s">
        <v>1357</v>
      </c>
      <c r="K1788" t="s">
        <v>1357</v>
      </c>
      <c r="L1788" t="s">
        <v>1357</v>
      </c>
    </row>
    <row r="1789" spans="8:12">
      <c r="H1789" t="s">
        <v>9298</v>
      </c>
      <c r="I1789" t="s">
        <v>1357</v>
      </c>
      <c r="J1789" t="s">
        <v>1357</v>
      </c>
      <c r="K1789" t="s">
        <v>1357</v>
      </c>
      <c r="L1789" t="s">
        <v>1357</v>
      </c>
    </row>
    <row r="1790" spans="8:12">
      <c r="H1790" t="s">
        <v>9299</v>
      </c>
      <c r="I1790" t="s">
        <v>1357</v>
      </c>
      <c r="J1790" t="s">
        <v>1357</v>
      </c>
      <c r="K1790" t="s">
        <v>1357</v>
      </c>
      <c r="L1790" t="s">
        <v>1357</v>
      </c>
    </row>
    <row r="1791" spans="8:12">
      <c r="H1791" t="s">
        <v>9300</v>
      </c>
      <c r="I1791" t="s">
        <v>1357</v>
      </c>
      <c r="J1791" t="s">
        <v>1357</v>
      </c>
      <c r="K1791" t="s">
        <v>1357</v>
      </c>
      <c r="L1791" t="s">
        <v>1357</v>
      </c>
    </row>
    <row r="1792" spans="8:12">
      <c r="H1792" t="s">
        <v>9301</v>
      </c>
      <c r="I1792" t="s">
        <v>1357</v>
      </c>
      <c r="J1792" t="s">
        <v>1357</v>
      </c>
      <c r="K1792" t="s">
        <v>1357</v>
      </c>
      <c r="L1792" t="s">
        <v>1357</v>
      </c>
    </row>
    <row r="1793" spans="8:12">
      <c r="H1793" t="s">
        <v>9302</v>
      </c>
      <c r="I1793" t="s">
        <v>1357</v>
      </c>
      <c r="J1793" t="s">
        <v>1357</v>
      </c>
      <c r="K1793" t="s">
        <v>1357</v>
      </c>
      <c r="L1793" t="s">
        <v>1357</v>
      </c>
    </row>
    <row r="1794" spans="8:12">
      <c r="H1794" t="s">
        <v>9303</v>
      </c>
      <c r="I1794" t="s">
        <v>1357</v>
      </c>
      <c r="J1794" t="s">
        <v>1357</v>
      </c>
      <c r="K1794" t="s">
        <v>1357</v>
      </c>
      <c r="L1794" t="s">
        <v>1357</v>
      </c>
    </row>
    <row r="1795" spans="8:12">
      <c r="H1795" t="s">
        <v>9304</v>
      </c>
      <c r="I1795" t="s">
        <v>1357</v>
      </c>
      <c r="J1795" t="s">
        <v>1357</v>
      </c>
      <c r="K1795" t="s">
        <v>1357</v>
      </c>
      <c r="L1795" t="s">
        <v>1357</v>
      </c>
    </row>
    <row r="1796" spans="8:12">
      <c r="H1796" t="s">
        <v>9305</v>
      </c>
      <c r="I1796" t="s">
        <v>1357</v>
      </c>
      <c r="J1796" t="s">
        <v>1357</v>
      </c>
      <c r="K1796" t="s">
        <v>1357</v>
      </c>
      <c r="L1796" t="s">
        <v>1357</v>
      </c>
    </row>
    <row r="1797" spans="8:12">
      <c r="H1797" t="s">
        <v>9306</v>
      </c>
      <c r="I1797" t="s">
        <v>1357</v>
      </c>
      <c r="J1797" t="s">
        <v>1357</v>
      </c>
      <c r="K1797" t="s">
        <v>1357</v>
      </c>
      <c r="L1797" t="s">
        <v>1357</v>
      </c>
    </row>
    <row r="1798" spans="8:12">
      <c r="H1798" t="s">
        <v>9307</v>
      </c>
      <c r="I1798" t="s">
        <v>1357</v>
      </c>
      <c r="J1798" t="s">
        <v>1357</v>
      </c>
      <c r="K1798" t="s">
        <v>1357</v>
      </c>
      <c r="L1798" t="s">
        <v>1357</v>
      </c>
    </row>
    <row r="1799" spans="8:12">
      <c r="H1799" t="s">
        <v>9308</v>
      </c>
      <c r="I1799" t="s">
        <v>1357</v>
      </c>
      <c r="J1799" t="s">
        <v>1357</v>
      </c>
      <c r="K1799" t="s">
        <v>1357</v>
      </c>
      <c r="L1799" t="s">
        <v>1357</v>
      </c>
    </row>
    <row r="1800" spans="8:12">
      <c r="H1800" t="s">
        <v>9309</v>
      </c>
      <c r="I1800" t="s">
        <v>1357</v>
      </c>
      <c r="J1800" t="s">
        <v>1357</v>
      </c>
      <c r="K1800" t="s">
        <v>1357</v>
      </c>
      <c r="L1800" t="s">
        <v>1357</v>
      </c>
    </row>
    <row r="1801" spans="8:12">
      <c r="H1801" t="s">
        <v>9310</v>
      </c>
      <c r="I1801" t="s">
        <v>1357</v>
      </c>
      <c r="J1801" t="s">
        <v>1357</v>
      </c>
      <c r="K1801" t="s">
        <v>1357</v>
      </c>
      <c r="L1801" t="s">
        <v>1357</v>
      </c>
    </row>
    <row r="1802" spans="8:12">
      <c r="H1802" t="s">
        <v>9311</v>
      </c>
      <c r="I1802" t="s">
        <v>1357</v>
      </c>
      <c r="J1802" t="s">
        <v>1357</v>
      </c>
      <c r="K1802" t="s">
        <v>1357</v>
      </c>
      <c r="L1802" t="s">
        <v>1357</v>
      </c>
    </row>
    <row r="1803" spans="8:12">
      <c r="H1803" t="s">
        <v>9312</v>
      </c>
      <c r="I1803" t="s">
        <v>1357</v>
      </c>
      <c r="J1803" t="s">
        <v>1357</v>
      </c>
      <c r="K1803" t="s">
        <v>1357</v>
      </c>
      <c r="L1803" t="s">
        <v>1357</v>
      </c>
    </row>
    <row r="1804" spans="8:12">
      <c r="H1804" t="s">
        <v>9313</v>
      </c>
      <c r="I1804" t="s">
        <v>1357</v>
      </c>
      <c r="J1804" t="s">
        <v>1357</v>
      </c>
      <c r="K1804" t="s">
        <v>1357</v>
      </c>
      <c r="L1804" t="s">
        <v>1357</v>
      </c>
    </row>
    <row r="1805" spans="8:12">
      <c r="H1805" t="s">
        <v>9314</v>
      </c>
      <c r="I1805" t="s">
        <v>1357</v>
      </c>
      <c r="J1805" t="s">
        <v>1357</v>
      </c>
      <c r="K1805" t="s">
        <v>1357</v>
      </c>
      <c r="L1805" t="s">
        <v>1357</v>
      </c>
    </row>
    <row r="1806" spans="8:12">
      <c r="H1806" t="s">
        <v>9315</v>
      </c>
      <c r="I1806" t="s">
        <v>1357</v>
      </c>
      <c r="J1806" t="s">
        <v>1357</v>
      </c>
      <c r="K1806" t="s">
        <v>1357</v>
      </c>
      <c r="L1806" t="s">
        <v>1357</v>
      </c>
    </row>
    <row r="1807" spans="8:12">
      <c r="H1807" t="s">
        <v>9316</v>
      </c>
      <c r="I1807" t="s">
        <v>1357</v>
      </c>
      <c r="J1807" t="s">
        <v>1357</v>
      </c>
      <c r="K1807" t="s">
        <v>1357</v>
      </c>
      <c r="L1807" t="s">
        <v>1357</v>
      </c>
    </row>
    <row r="1808" spans="8:12">
      <c r="H1808" t="s">
        <v>9317</v>
      </c>
      <c r="I1808" t="s">
        <v>1357</v>
      </c>
      <c r="J1808" t="s">
        <v>1357</v>
      </c>
      <c r="K1808" t="s">
        <v>1357</v>
      </c>
      <c r="L1808" t="s">
        <v>1357</v>
      </c>
    </row>
    <row r="1809" spans="8:12">
      <c r="H1809" t="s">
        <v>9318</v>
      </c>
      <c r="I1809" t="s">
        <v>1357</v>
      </c>
      <c r="J1809" t="s">
        <v>1357</v>
      </c>
      <c r="K1809" t="s">
        <v>1357</v>
      </c>
      <c r="L1809" t="s">
        <v>1357</v>
      </c>
    </row>
    <row r="1810" spans="8:12">
      <c r="H1810" t="s">
        <v>9319</v>
      </c>
      <c r="I1810" t="s">
        <v>1357</v>
      </c>
      <c r="J1810" t="s">
        <v>1357</v>
      </c>
      <c r="K1810" t="s">
        <v>1357</v>
      </c>
      <c r="L1810" t="s">
        <v>1357</v>
      </c>
    </row>
    <row r="1811" spans="8:12">
      <c r="H1811" t="s">
        <v>9320</v>
      </c>
      <c r="I1811" t="s">
        <v>1357</v>
      </c>
      <c r="J1811" t="s">
        <v>1357</v>
      </c>
      <c r="K1811" t="s">
        <v>1357</v>
      </c>
      <c r="L1811" t="s">
        <v>1357</v>
      </c>
    </row>
    <row r="1812" spans="8:12">
      <c r="H1812" t="s">
        <v>9321</v>
      </c>
      <c r="I1812" t="s">
        <v>1357</v>
      </c>
      <c r="J1812" t="s">
        <v>1357</v>
      </c>
      <c r="K1812" t="s">
        <v>1357</v>
      </c>
      <c r="L1812" t="s">
        <v>1357</v>
      </c>
    </row>
    <row r="1813" spans="8:12">
      <c r="H1813" t="s">
        <v>9322</v>
      </c>
      <c r="I1813" t="s">
        <v>1357</v>
      </c>
      <c r="J1813" t="s">
        <v>1357</v>
      </c>
      <c r="K1813" t="s">
        <v>1357</v>
      </c>
      <c r="L1813" t="s">
        <v>1357</v>
      </c>
    </row>
    <row r="1814" spans="8:12">
      <c r="H1814" t="s">
        <v>9323</v>
      </c>
      <c r="I1814" t="s">
        <v>1357</v>
      </c>
      <c r="J1814" t="s">
        <v>1357</v>
      </c>
      <c r="K1814" t="s">
        <v>1357</v>
      </c>
      <c r="L1814" t="s">
        <v>1357</v>
      </c>
    </row>
    <row r="1815" spans="8:12">
      <c r="H1815" t="s">
        <v>9324</v>
      </c>
      <c r="I1815" t="s">
        <v>1357</v>
      </c>
      <c r="J1815" t="s">
        <v>1357</v>
      </c>
      <c r="K1815" t="s">
        <v>1357</v>
      </c>
      <c r="L1815" t="s">
        <v>1357</v>
      </c>
    </row>
    <row r="1816" spans="8:12">
      <c r="H1816" t="s">
        <v>9325</v>
      </c>
      <c r="I1816" t="s">
        <v>1357</v>
      </c>
      <c r="J1816" t="s">
        <v>1357</v>
      </c>
      <c r="K1816" t="s">
        <v>1357</v>
      </c>
      <c r="L1816" t="s">
        <v>1357</v>
      </c>
    </row>
    <row r="1817" spans="8:12">
      <c r="H1817" t="s">
        <v>9326</v>
      </c>
      <c r="I1817" t="s">
        <v>1357</v>
      </c>
      <c r="J1817" t="s">
        <v>1357</v>
      </c>
      <c r="K1817" t="s">
        <v>1357</v>
      </c>
      <c r="L1817" t="s">
        <v>1357</v>
      </c>
    </row>
    <row r="1818" spans="8:12">
      <c r="H1818" t="s">
        <v>9327</v>
      </c>
      <c r="I1818" t="s">
        <v>1357</v>
      </c>
      <c r="J1818" t="s">
        <v>1357</v>
      </c>
      <c r="K1818" t="s">
        <v>1357</v>
      </c>
      <c r="L1818" t="s">
        <v>1357</v>
      </c>
    </row>
    <row r="1819" spans="8:12">
      <c r="H1819" t="s">
        <v>9328</v>
      </c>
      <c r="I1819" t="s">
        <v>1357</v>
      </c>
      <c r="J1819" t="s">
        <v>1357</v>
      </c>
      <c r="K1819" t="s">
        <v>1357</v>
      </c>
      <c r="L1819" t="s">
        <v>1357</v>
      </c>
    </row>
    <row r="1820" spans="8:12">
      <c r="H1820" t="s">
        <v>9329</v>
      </c>
      <c r="I1820" t="s">
        <v>1357</v>
      </c>
      <c r="J1820" t="s">
        <v>1357</v>
      </c>
      <c r="K1820" t="s">
        <v>1357</v>
      </c>
      <c r="L1820" t="s">
        <v>1357</v>
      </c>
    </row>
    <row r="1821" spans="8:12">
      <c r="H1821" t="s">
        <v>9330</v>
      </c>
      <c r="I1821" t="s">
        <v>1357</v>
      </c>
      <c r="J1821" t="s">
        <v>1357</v>
      </c>
      <c r="K1821" t="s">
        <v>1357</v>
      </c>
      <c r="L1821" t="s">
        <v>1357</v>
      </c>
    </row>
    <row r="1822" spans="8:12">
      <c r="H1822" t="s">
        <v>9331</v>
      </c>
      <c r="I1822" t="s">
        <v>1357</v>
      </c>
      <c r="J1822" t="s">
        <v>1357</v>
      </c>
      <c r="K1822" t="s">
        <v>1357</v>
      </c>
      <c r="L1822" t="s">
        <v>1357</v>
      </c>
    </row>
    <row r="1823" spans="8:12">
      <c r="H1823" t="s">
        <v>9332</v>
      </c>
      <c r="I1823" t="s">
        <v>1357</v>
      </c>
      <c r="J1823" t="s">
        <v>1357</v>
      </c>
      <c r="K1823" t="s">
        <v>1357</v>
      </c>
      <c r="L1823" t="s">
        <v>1357</v>
      </c>
    </row>
    <row r="1824" spans="8:12">
      <c r="H1824" t="s">
        <v>9333</v>
      </c>
      <c r="I1824" t="s">
        <v>1357</v>
      </c>
      <c r="J1824" t="s">
        <v>1357</v>
      </c>
      <c r="K1824" t="s">
        <v>1357</v>
      </c>
      <c r="L1824" t="s">
        <v>1357</v>
      </c>
    </row>
    <row r="1825" spans="1:14">
      <c r="A1825" t="s">
        <v>6360</v>
      </c>
      <c r="B1825">
        <f>HYPERLINK("https://github.com/pmd/pmd/commit/0ef24090c4e1bd0660538037b8d6caa80318053a", "0ef24090c4e1bd0660538037b8d6caa80318053a")</f>
        <v>0</v>
      </c>
      <c r="C1825">
        <f>HYPERLINK("https://github.com/pmd/pmd/commit/6843571dbd17bb5b9ab3da4084008b326f9e52ea", "6843571dbd17bb5b9ab3da4084008b326f9e52ea")</f>
        <v>0</v>
      </c>
      <c r="D1825" t="s">
        <v>6509</v>
      </c>
      <c r="E1825" t="s">
        <v>6815</v>
      </c>
      <c r="F1825" t="s">
        <v>7559</v>
      </c>
      <c r="G1825" t="s">
        <v>8217</v>
      </c>
      <c r="H1825" t="s">
        <v>9334</v>
      </c>
      <c r="I1825" t="s">
        <v>1357</v>
      </c>
      <c r="J1825" t="s">
        <v>1357</v>
      </c>
      <c r="K1825" t="s">
        <v>1357</v>
      </c>
      <c r="L1825" t="s">
        <v>1357</v>
      </c>
    </row>
    <row r="1826" spans="1:14">
      <c r="A1826" t="s">
        <v>6361</v>
      </c>
      <c r="B1826">
        <f>HYPERLINK("https://github.com/pmd/pmd/commit/b5104768dfc5e762e3bcc4578d5aac91f98cf384", "b5104768dfc5e762e3bcc4578d5aac91f98cf384")</f>
        <v>0</v>
      </c>
      <c r="C1826">
        <f>HYPERLINK("https://github.com/pmd/pmd/commit/d3c98dd14876b161c29904df8c2d9044c929c67f", "d3c98dd14876b161c29904df8c2d9044c929c67f")</f>
        <v>0</v>
      </c>
      <c r="D1826" t="s">
        <v>6509</v>
      </c>
      <c r="E1826" t="s">
        <v>6816</v>
      </c>
      <c r="F1826" t="s">
        <v>7560</v>
      </c>
      <c r="G1826" t="s">
        <v>8154</v>
      </c>
      <c r="H1826" t="s">
        <v>9199</v>
      </c>
      <c r="I1826" t="s">
        <v>1357</v>
      </c>
      <c r="J1826" t="s">
        <v>1357</v>
      </c>
      <c r="K1826" t="s">
        <v>1357</v>
      </c>
      <c r="L1826" t="s">
        <v>1357</v>
      </c>
    </row>
    <row r="1827" spans="1:14">
      <c r="A1827" t="s">
        <v>6362</v>
      </c>
      <c r="B1827">
        <f>HYPERLINK("https://github.com/pmd/pmd/commit/0f13725b3d39e0e8884c297176e4b7b5b5ca6cff", "0f13725b3d39e0e8884c297176e4b7b5b5ca6cff")</f>
        <v>0</v>
      </c>
      <c r="C1827">
        <f>HYPERLINK("https://github.com/pmd/pmd/commit/7b7fc2bd75ef3515731bb9c13d92e8b877ce3b3a", "7b7fc2bd75ef3515731bb9c13d92e8b877ce3b3a")</f>
        <v>0</v>
      </c>
      <c r="D1827" t="s">
        <v>6509</v>
      </c>
      <c r="E1827" t="s">
        <v>6817</v>
      </c>
      <c r="F1827" t="s">
        <v>7561</v>
      </c>
      <c r="G1827" t="s">
        <v>8226</v>
      </c>
      <c r="H1827" t="s">
        <v>9335</v>
      </c>
      <c r="I1827" t="s">
        <v>1357</v>
      </c>
      <c r="J1827" t="s">
        <v>1357</v>
      </c>
      <c r="K1827" t="s">
        <v>1357</v>
      </c>
      <c r="L1827" t="s">
        <v>1357</v>
      </c>
    </row>
    <row r="1828" spans="1:14">
      <c r="H1828" t="s">
        <v>9336</v>
      </c>
      <c r="I1828" t="s">
        <v>1357</v>
      </c>
      <c r="J1828" t="s">
        <v>1357</v>
      </c>
      <c r="K1828" t="s">
        <v>1357</v>
      </c>
      <c r="L1828" t="s">
        <v>1357</v>
      </c>
    </row>
    <row r="1829" spans="1:14">
      <c r="A1829" t="s">
        <v>6363</v>
      </c>
      <c r="B1829">
        <f>HYPERLINK("https://github.com/pmd/pmd/commit/591cfc0a51febd8aa9869277f5c16914798c97e1", "591cfc0a51febd8aa9869277f5c16914798c97e1")</f>
        <v>0</v>
      </c>
      <c r="C1829">
        <f>HYPERLINK("https://github.com/pmd/pmd/commit/95d6ea3f37f72fdaa0e5eea749f64431b6591d36", "95d6ea3f37f72fdaa0e5eea749f64431b6591d36")</f>
        <v>0</v>
      </c>
      <c r="D1829" t="s">
        <v>6509</v>
      </c>
      <c r="E1829" t="s">
        <v>6818</v>
      </c>
      <c r="F1829" t="s">
        <v>7562</v>
      </c>
      <c r="G1829" t="s">
        <v>8227</v>
      </c>
      <c r="H1829" t="s">
        <v>9337</v>
      </c>
      <c r="I1829" t="s">
        <v>1357</v>
      </c>
      <c r="J1829" t="s">
        <v>1357</v>
      </c>
      <c r="K1829" t="s">
        <v>1357</v>
      </c>
      <c r="L1829" t="s">
        <v>1357</v>
      </c>
    </row>
    <row r="1830" spans="1:14">
      <c r="A1830" t="s">
        <v>6364</v>
      </c>
      <c r="B1830">
        <f>HYPERLINK("https://github.com/pmd/pmd/commit/4b4e6a247d1fd0ec108d509a02a2522de4434e49", "4b4e6a247d1fd0ec108d509a02a2522de4434e49")</f>
        <v>0</v>
      </c>
      <c r="C1830">
        <f>HYPERLINK("https://github.com/pmd/pmd/commit/e09ea8ce1a21f8c1ae0b4f265cc0b6aba1ad0ec3", "e09ea8ce1a21f8c1ae0b4f265cc0b6aba1ad0ec3")</f>
        <v>0</v>
      </c>
      <c r="D1830" t="s">
        <v>6509</v>
      </c>
      <c r="E1830" t="s">
        <v>6819</v>
      </c>
      <c r="F1830" t="s">
        <v>7562</v>
      </c>
      <c r="G1830" t="s">
        <v>8227</v>
      </c>
      <c r="H1830" t="s">
        <v>9338</v>
      </c>
      <c r="I1830" t="s">
        <v>1357</v>
      </c>
      <c r="J1830" t="s">
        <v>1357</v>
      </c>
      <c r="K1830" t="s">
        <v>1357</v>
      </c>
      <c r="L1830" t="s">
        <v>1357</v>
      </c>
    </row>
    <row r="1831" spans="1:14">
      <c r="A1831" t="s">
        <v>6365</v>
      </c>
      <c r="B1831">
        <f>HYPERLINK("https://github.com/pmd/pmd/commit/a792e5ef2525ec6e9e6b18f0caebc1e9c9841b81", "a792e5ef2525ec6e9e6b18f0caebc1e9c9841b81")</f>
        <v>0</v>
      </c>
      <c r="C1831">
        <f>HYPERLINK("https://github.com/pmd/pmd/commit/90df330e52de5d5eec9edc238307304a6e0e7f20", "90df330e52de5d5eec9edc238307304a6e0e7f20")</f>
        <v>0</v>
      </c>
      <c r="D1831" t="s">
        <v>6509</v>
      </c>
      <c r="E1831" t="s">
        <v>6820</v>
      </c>
      <c r="F1831" t="s">
        <v>7563</v>
      </c>
      <c r="G1831" t="s">
        <v>8228</v>
      </c>
      <c r="H1831" t="s">
        <v>9339</v>
      </c>
      <c r="I1831" t="s">
        <v>1357</v>
      </c>
      <c r="J1831" t="s">
        <v>1357</v>
      </c>
      <c r="K1831" t="s">
        <v>1357</v>
      </c>
      <c r="L1831" t="s">
        <v>1357</v>
      </c>
    </row>
    <row r="1832" spans="1:14">
      <c r="F1832" t="s">
        <v>7564</v>
      </c>
      <c r="G1832" t="s">
        <v>8229</v>
      </c>
      <c r="H1832" t="s">
        <v>9340</v>
      </c>
      <c r="I1832" t="s">
        <v>1357</v>
      </c>
      <c r="J1832" t="s">
        <v>1357</v>
      </c>
      <c r="K1832" t="s">
        <v>1357</v>
      </c>
      <c r="L1832" t="s">
        <v>1357</v>
      </c>
    </row>
    <row r="1833" spans="1:14">
      <c r="A1833" t="s">
        <v>6366</v>
      </c>
      <c r="B1833">
        <f>HYPERLINK("https://github.com/pmd/pmd/commit/df4ed6097155e9495c30747cfbd53579a8be10fc", "df4ed6097155e9495c30747cfbd53579a8be10fc")</f>
        <v>0</v>
      </c>
      <c r="C1833">
        <f>HYPERLINK("https://github.com/pmd/pmd/commit/7c475d64a101e2ad464802de2320263195bdcba1", "7c475d64a101e2ad464802de2320263195bdcba1")</f>
        <v>0</v>
      </c>
      <c r="D1833" t="s">
        <v>6509</v>
      </c>
      <c r="E1833" t="s">
        <v>6821</v>
      </c>
      <c r="F1833" t="s">
        <v>7565</v>
      </c>
      <c r="G1833" t="s">
        <v>7703</v>
      </c>
      <c r="H1833" t="s">
        <v>9341</v>
      </c>
      <c r="I1833" t="s">
        <v>1357</v>
      </c>
      <c r="J1833" t="s">
        <v>1357</v>
      </c>
      <c r="K1833" t="s">
        <v>1357</v>
      </c>
      <c r="L1833" t="s">
        <v>1357</v>
      </c>
    </row>
    <row r="1834" spans="1:14">
      <c r="H1834" t="s">
        <v>9342</v>
      </c>
      <c r="I1834" t="s">
        <v>1357</v>
      </c>
      <c r="J1834" t="s">
        <v>1357</v>
      </c>
      <c r="K1834" t="s">
        <v>1357</v>
      </c>
      <c r="L1834" t="s">
        <v>1357</v>
      </c>
    </row>
    <row r="1835" spans="1:14">
      <c r="A1835" t="s">
        <v>6367</v>
      </c>
      <c r="B1835">
        <f>HYPERLINK("https://github.com/pmd/pmd/commit/bc394dcf67221ea230c049cce9a420d56bbd9f74", "bc394dcf67221ea230c049cce9a420d56bbd9f74")</f>
        <v>0</v>
      </c>
      <c r="C1835">
        <f>HYPERLINK("https://github.com/pmd/pmd/commit/8c5fd6956dc406abaf57260275d5c5762bf4ed0b", "8c5fd6956dc406abaf57260275d5c5762bf4ed0b")</f>
        <v>0</v>
      </c>
      <c r="D1835" t="s">
        <v>6509</v>
      </c>
      <c r="E1835" t="s">
        <v>6822</v>
      </c>
      <c r="F1835" t="s">
        <v>7566</v>
      </c>
      <c r="G1835" t="s">
        <v>8230</v>
      </c>
      <c r="H1835" t="s">
        <v>9343</v>
      </c>
      <c r="I1835" t="s">
        <v>1357</v>
      </c>
      <c r="J1835" t="s">
        <v>1357</v>
      </c>
      <c r="K1835" t="s">
        <v>1357</v>
      </c>
      <c r="L1835" t="s">
        <v>1357</v>
      </c>
    </row>
    <row r="1836" spans="1:14">
      <c r="H1836" t="s">
        <v>9344</v>
      </c>
      <c r="I1836" t="s">
        <v>1357</v>
      </c>
      <c r="J1836" t="s">
        <v>1357</v>
      </c>
      <c r="K1836" t="s">
        <v>1357</v>
      </c>
      <c r="L1836" t="s">
        <v>1357</v>
      </c>
    </row>
    <row r="1837" spans="1:14">
      <c r="H1837" t="s">
        <v>9345</v>
      </c>
      <c r="I1837" t="s">
        <v>1357</v>
      </c>
      <c r="J1837" t="s">
        <v>1357</v>
      </c>
      <c r="K1837" t="s">
        <v>1357</v>
      </c>
      <c r="L1837" t="s">
        <v>1357</v>
      </c>
    </row>
    <row r="1838" spans="1:14">
      <c r="A1838" t="s">
        <v>6368</v>
      </c>
      <c r="B1838">
        <f>HYPERLINK("https://github.com/pmd/pmd/commit/b03e2336477b614e9bd9f6aedbca6f8a1b100453", "b03e2336477b614e9bd9f6aedbca6f8a1b100453")</f>
        <v>0</v>
      </c>
      <c r="C1838">
        <f>HYPERLINK("https://github.com/pmd/pmd/commit/5960740d1882cad84c253ad04760772225ae36d8", "5960740d1882cad84c253ad04760772225ae36d8")</f>
        <v>0</v>
      </c>
      <c r="D1838" t="s">
        <v>6509</v>
      </c>
      <c r="E1838" t="s">
        <v>6823</v>
      </c>
      <c r="F1838" t="s">
        <v>7567</v>
      </c>
      <c r="G1838" t="s">
        <v>7786</v>
      </c>
      <c r="H1838" t="s">
        <v>9346</v>
      </c>
      <c r="I1838" t="s">
        <v>1357</v>
      </c>
      <c r="J1838" t="s">
        <v>1357</v>
      </c>
      <c r="K1838" t="s">
        <v>1357</v>
      </c>
      <c r="L1838" t="s">
        <v>1357</v>
      </c>
      <c r="N1838" t="s">
        <v>1364</v>
      </c>
    </row>
    <row r="1839" spans="1:14">
      <c r="H1839" t="s">
        <v>9347</v>
      </c>
      <c r="I1839" t="s">
        <v>1357</v>
      </c>
      <c r="J1839" t="s">
        <v>1357</v>
      </c>
      <c r="K1839" t="s">
        <v>1357</v>
      </c>
      <c r="L1839" t="s">
        <v>1357</v>
      </c>
      <c r="N1839" t="s">
        <v>1364</v>
      </c>
    </row>
    <row r="1840" spans="1:14">
      <c r="H1840" t="s">
        <v>9348</v>
      </c>
      <c r="I1840" t="s">
        <v>1357</v>
      </c>
      <c r="J1840" t="s">
        <v>1357</v>
      </c>
      <c r="K1840" t="s">
        <v>1357</v>
      </c>
      <c r="L1840" t="s">
        <v>1357</v>
      </c>
      <c r="N1840" t="s">
        <v>1364</v>
      </c>
    </row>
    <row r="1841" spans="1:14">
      <c r="H1841" t="s">
        <v>9349</v>
      </c>
      <c r="I1841" t="s">
        <v>1357</v>
      </c>
      <c r="J1841" t="s">
        <v>1357</v>
      </c>
      <c r="K1841" t="s">
        <v>1357</v>
      </c>
      <c r="L1841" t="s">
        <v>1357</v>
      </c>
      <c r="N1841" t="s">
        <v>1364</v>
      </c>
    </row>
    <row r="1842" spans="1:14">
      <c r="H1842" t="s">
        <v>9350</v>
      </c>
      <c r="I1842" t="s">
        <v>1357</v>
      </c>
      <c r="J1842" t="s">
        <v>1357</v>
      </c>
      <c r="K1842" t="s">
        <v>1357</v>
      </c>
      <c r="L1842" t="s">
        <v>1357</v>
      </c>
      <c r="N1842" t="s">
        <v>1364</v>
      </c>
    </row>
    <row r="1843" spans="1:14">
      <c r="H1843" t="s">
        <v>9351</v>
      </c>
      <c r="I1843" t="s">
        <v>1357</v>
      </c>
      <c r="J1843" t="s">
        <v>1357</v>
      </c>
      <c r="K1843" t="s">
        <v>1357</v>
      </c>
      <c r="L1843" t="s">
        <v>1357</v>
      </c>
      <c r="N1843" t="s">
        <v>1364</v>
      </c>
    </row>
    <row r="1844" spans="1:14">
      <c r="H1844" t="s">
        <v>9352</v>
      </c>
      <c r="I1844" t="s">
        <v>1357</v>
      </c>
      <c r="J1844" t="s">
        <v>1357</v>
      </c>
      <c r="K1844" t="s">
        <v>1357</v>
      </c>
      <c r="L1844" t="s">
        <v>1357</v>
      </c>
      <c r="N1844" t="s">
        <v>1364</v>
      </c>
    </row>
    <row r="1845" spans="1:14">
      <c r="A1845" t="s">
        <v>6369</v>
      </c>
      <c r="B1845">
        <f>HYPERLINK("https://github.com/pmd/pmd/commit/8afe5ae7a8c7aae109955b826a5e35c12a016b77", "8afe5ae7a8c7aae109955b826a5e35c12a016b77")</f>
        <v>0</v>
      </c>
      <c r="C1845">
        <f>HYPERLINK("https://github.com/pmd/pmd/commit/f67819e05acf10b4230e1dfdd8d500a004e58aa2", "f67819e05acf10b4230e1dfdd8d500a004e58aa2")</f>
        <v>0</v>
      </c>
      <c r="D1845" t="s">
        <v>6509</v>
      </c>
      <c r="E1845" t="s">
        <v>6824</v>
      </c>
      <c r="F1845" t="s">
        <v>7479</v>
      </c>
      <c r="G1845" t="s">
        <v>8162</v>
      </c>
      <c r="H1845" t="s">
        <v>9353</v>
      </c>
      <c r="I1845" t="s">
        <v>1358</v>
      </c>
      <c r="J1845" t="s">
        <v>1358</v>
      </c>
      <c r="K1845" t="s">
        <v>1358</v>
      </c>
      <c r="L1845" t="s">
        <v>1358</v>
      </c>
      <c r="N1845" t="s">
        <v>6060</v>
      </c>
    </row>
    <row r="1846" spans="1:14">
      <c r="A1846" t="s">
        <v>6370</v>
      </c>
      <c r="B1846">
        <f>HYPERLINK("https://github.com/pmd/pmd/commit/3458c02649dd4303a8d2e25ce94dabdcefb986eb", "3458c02649dd4303a8d2e25ce94dabdcefb986eb")</f>
        <v>0</v>
      </c>
      <c r="C1846">
        <f>HYPERLINK("https://github.com/pmd/pmd/commit/86086bc04acf705e284735cf526a5898cfea826a", "86086bc04acf705e284735cf526a5898cfea826a")</f>
        <v>0</v>
      </c>
      <c r="D1846" t="s">
        <v>6509</v>
      </c>
      <c r="E1846" t="s">
        <v>6825</v>
      </c>
      <c r="F1846" t="s">
        <v>7568</v>
      </c>
      <c r="G1846" t="s">
        <v>8231</v>
      </c>
      <c r="H1846" t="s">
        <v>9354</v>
      </c>
      <c r="I1846" t="s">
        <v>1357</v>
      </c>
      <c r="J1846" t="s">
        <v>1357</v>
      </c>
      <c r="K1846" t="s">
        <v>1357</v>
      </c>
      <c r="L1846" t="s">
        <v>1357</v>
      </c>
    </row>
    <row r="1847" spans="1:14">
      <c r="H1847" t="s">
        <v>9355</v>
      </c>
      <c r="I1847" t="s">
        <v>1357</v>
      </c>
      <c r="J1847" t="s">
        <v>1357</v>
      </c>
      <c r="K1847" t="s">
        <v>1357</v>
      </c>
      <c r="L1847" t="s">
        <v>1357</v>
      </c>
    </row>
    <row r="1848" spans="1:14">
      <c r="H1848" t="s">
        <v>9356</v>
      </c>
      <c r="I1848" t="s">
        <v>1357</v>
      </c>
      <c r="J1848" t="s">
        <v>1357</v>
      </c>
      <c r="K1848" t="s">
        <v>1357</v>
      </c>
      <c r="L1848" t="s">
        <v>1357</v>
      </c>
    </row>
    <row r="1849" spans="1:14">
      <c r="H1849" t="s">
        <v>9357</v>
      </c>
      <c r="I1849" t="s">
        <v>1357</v>
      </c>
      <c r="J1849" t="s">
        <v>1357</v>
      </c>
      <c r="K1849" t="s">
        <v>1357</v>
      </c>
      <c r="L1849" t="s">
        <v>1357</v>
      </c>
    </row>
    <row r="1850" spans="1:14">
      <c r="H1850" t="s">
        <v>9358</v>
      </c>
      <c r="I1850" t="s">
        <v>1357</v>
      </c>
      <c r="J1850" t="s">
        <v>1357</v>
      </c>
      <c r="K1850" t="s">
        <v>1357</v>
      </c>
      <c r="L1850" t="s">
        <v>1357</v>
      </c>
    </row>
    <row r="1851" spans="1:14">
      <c r="A1851" t="s">
        <v>6371</v>
      </c>
      <c r="B1851">
        <f>HYPERLINK("https://github.com/pmd/pmd/commit/99cc1afd1b81fafb61c8bdbe7dadb0bfb984cb13", "99cc1afd1b81fafb61c8bdbe7dadb0bfb984cb13")</f>
        <v>0</v>
      </c>
      <c r="C1851">
        <f>HYPERLINK("https://github.com/pmd/pmd/commit/f6d25ccf3380b395932f7dd06ba430930512d6b0", "f6d25ccf3380b395932f7dd06ba430930512d6b0")</f>
        <v>0</v>
      </c>
      <c r="D1851" t="s">
        <v>6509</v>
      </c>
      <c r="E1851" t="s">
        <v>6826</v>
      </c>
      <c r="F1851" t="s">
        <v>7569</v>
      </c>
      <c r="G1851" t="s">
        <v>7825</v>
      </c>
      <c r="H1851" t="s">
        <v>9359</v>
      </c>
      <c r="I1851" t="s">
        <v>1357</v>
      </c>
      <c r="J1851" t="s">
        <v>1357</v>
      </c>
      <c r="K1851" t="s">
        <v>1357</v>
      </c>
      <c r="L1851" t="s">
        <v>1357</v>
      </c>
    </row>
    <row r="1852" spans="1:14">
      <c r="H1852" t="s">
        <v>9360</v>
      </c>
      <c r="I1852" t="s">
        <v>1357</v>
      </c>
      <c r="J1852" t="s">
        <v>1357</v>
      </c>
      <c r="K1852" t="s">
        <v>1357</v>
      </c>
      <c r="L1852" t="s">
        <v>1357</v>
      </c>
    </row>
    <row r="1853" spans="1:14">
      <c r="H1853" t="s">
        <v>9361</v>
      </c>
      <c r="I1853" t="s">
        <v>1357</v>
      </c>
      <c r="J1853" t="s">
        <v>1357</v>
      </c>
      <c r="K1853" t="s">
        <v>1357</v>
      </c>
      <c r="L1853" t="s">
        <v>1357</v>
      </c>
    </row>
    <row r="1854" spans="1:14">
      <c r="H1854" t="s">
        <v>9362</v>
      </c>
      <c r="I1854" t="s">
        <v>1357</v>
      </c>
      <c r="J1854" t="s">
        <v>1357</v>
      </c>
      <c r="K1854" t="s">
        <v>1357</v>
      </c>
      <c r="L1854" t="s">
        <v>1357</v>
      </c>
    </row>
    <row r="1855" spans="1:14">
      <c r="H1855" t="s">
        <v>9363</v>
      </c>
      <c r="I1855" t="s">
        <v>1357</v>
      </c>
      <c r="J1855" t="s">
        <v>1357</v>
      </c>
      <c r="K1855" t="s">
        <v>1357</v>
      </c>
      <c r="L1855" t="s">
        <v>1357</v>
      </c>
    </row>
    <row r="1856" spans="1:14">
      <c r="H1856" t="s">
        <v>9364</v>
      </c>
      <c r="I1856" t="s">
        <v>1357</v>
      </c>
      <c r="J1856" t="s">
        <v>1357</v>
      </c>
      <c r="K1856" t="s">
        <v>1357</v>
      </c>
      <c r="L1856" t="s">
        <v>1357</v>
      </c>
    </row>
    <row r="1857" spans="1:12">
      <c r="A1857" t="s">
        <v>6372</v>
      </c>
      <c r="B1857">
        <f>HYPERLINK("https://github.com/pmd/pmd/commit/1eab9448e720a8bf88a70583b272cd3e84fc1af3", "1eab9448e720a8bf88a70583b272cd3e84fc1af3")</f>
        <v>0</v>
      </c>
      <c r="C1857">
        <f>HYPERLINK("https://github.com/pmd/pmd/commit/d4da257dc64354b0e13956d2d9dcdbb7628ec4a8", "d4da257dc64354b0e13956d2d9dcdbb7628ec4a8")</f>
        <v>0</v>
      </c>
      <c r="D1857" t="s">
        <v>6509</v>
      </c>
      <c r="E1857" t="s">
        <v>6827</v>
      </c>
      <c r="F1857" t="s">
        <v>7550</v>
      </c>
      <c r="G1857" t="s">
        <v>8219</v>
      </c>
      <c r="H1857" t="s">
        <v>8626</v>
      </c>
      <c r="I1857" t="s">
        <v>1357</v>
      </c>
      <c r="J1857" t="s">
        <v>1357</v>
      </c>
      <c r="K1857" t="s">
        <v>1357</v>
      </c>
      <c r="L1857" t="s">
        <v>1357</v>
      </c>
    </row>
    <row r="1858" spans="1:12">
      <c r="H1858" t="s">
        <v>8628</v>
      </c>
      <c r="I1858" t="s">
        <v>1357</v>
      </c>
      <c r="J1858" t="s">
        <v>1357</v>
      </c>
      <c r="K1858" t="s">
        <v>1357</v>
      </c>
      <c r="L1858" t="s">
        <v>1357</v>
      </c>
    </row>
    <row r="1859" spans="1:12">
      <c r="H1859" t="s">
        <v>9365</v>
      </c>
      <c r="I1859" t="s">
        <v>1357</v>
      </c>
      <c r="J1859" t="s">
        <v>1357</v>
      </c>
      <c r="K1859" t="s">
        <v>1357</v>
      </c>
      <c r="L1859" t="s">
        <v>1357</v>
      </c>
    </row>
    <row r="1860" spans="1:12">
      <c r="H1860" t="s">
        <v>9366</v>
      </c>
      <c r="I1860" t="s">
        <v>1357</v>
      </c>
      <c r="J1860" t="s">
        <v>1357</v>
      </c>
      <c r="K1860" t="s">
        <v>1357</v>
      </c>
      <c r="L1860" t="s">
        <v>1357</v>
      </c>
    </row>
    <row r="1861" spans="1:12">
      <c r="H1861" t="s">
        <v>9367</v>
      </c>
      <c r="I1861" t="s">
        <v>1357</v>
      </c>
      <c r="J1861" t="s">
        <v>1357</v>
      </c>
      <c r="K1861" t="s">
        <v>1357</v>
      </c>
      <c r="L1861" t="s">
        <v>1357</v>
      </c>
    </row>
    <row r="1862" spans="1:12">
      <c r="H1862" t="s">
        <v>9368</v>
      </c>
      <c r="I1862" t="s">
        <v>1357</v>
      </c>
      <c r="J1862" t="s">
        <v>1357</v>
      </c>
      <c r="K1862" t="s">
        <v>1357</v>
      </c>
      <c r="L1862" t="s">
        <v>1357</v>
      </c>
    </row>
    <row r="1863" spans="1:12">
      <c r="F1863" t="s">
        <v>7570</v>
      </c>
      <c r="G1863" t="s">
        <v>8232</v>
      </c>
      <c r="H1863" t="s">
        <v>9369</v>
      </c>
      <c r="I1863" t="s">
        <v>1357</v>
      </c>
      <c r="J1863" t="s">
        <v>1357</v>
      </c>
      <c r="K1863" t="s">
        <v>1357</v>
      </c>
      <c r="L1863" t="s">
        <v>1357</v>
      </c>
    </row>
    <row r="1864" spans="1:12">
      <c r="H1864" t="s">
        <v>9370</v>
      </c>
      <c r="I1864" t="s">
        <v>1357</v>
      </c>
      <c r="J1864" t="s">
        <v>1357</v>
      </c>
      <c r="K1864" t="s">
        <v>1357</v>
      </c>
      <c r="L1864" t="s">
        <v>1357</v>
      </c>
    </row>
    <row r="1865" spans="1:12">
      <c r="H1865" t="s">
        <v>9371</v>
      </c>
      <c r="I1865" t="s">
        <v>1357</v>
      </c>
      <c r="J1865" t="s">
        <v>1357</v>
      </c>
      <c r="K1865" t="s">
        <v>1357</v>
      </c>
      <c r="L1865" t="s">
        <v>1357</v>
      </c>
    </row>
    <row r="1866" spans="1:12">
      <c r="A1866" t="s">
        <v>6373</v>
      </c>
      <c r="B1866">
        <f>HYPERLINK("https://github.com/pmd/pmd/commit/77664d9d7f1d4bca02bf7bb58eb6de9a14338fe7", "77664d9d7f1d4bca02bf7bb58eb6de9a14338fe7")</f>
        <v>0</v>
      </c>
      <c r="C1866">
        <f>HYPERLINK("https://github.com/pmd/pmd/commit/d4da257dc64354b0e13956d2d9dcdbb7628ec4a8", "d4da257dc64354b0e13956d2d9dcdbb7628ec4a8")</f>
        <v>0</v>
      </c>
      <c r="D1866" t="s">
        <v>6509</v>
      </c>
      <c r="E1866" t="s">
        <v>6828</v>
      </c>
      <c r="F1866" t="s">
        <v>7556</v>
      </c>
      <c r="G1866" t="s">
        <v>8224</v>
      </c>
      <c r="H1866" t="s">
        <v>9372</v>
      </c>
      <c r="I1866" t="s">
        <v>1357</v>
      </c>
      <c r="J1866" t="s">
        <v>1357</v>
      </c>
      <c r="K1866" t="s">
        <v>1357</v>
      </c>
      <c r="L1866" t="s">
        <v>1357</v>
      </c>
    </row>
    <row r="1867" spans="1:12">
      <c r="H1867" t="s">
        <v>9373</v>
      </c>
      <c r="I1867" t="s">
        <v>1357</v>
      </c>
      <c r="J1867" t="s">
        <v>1357</v>
      </c>
      <c r="K1867" t="s">
        <v>1357</v>
      </c>
      <c r="L1867" t="s">
        <v>1357</v>
      </c>
    </row>
    <row r="1868" spans="1:12">
      <c r="H1868" t="s">
        <v>9374</v>
      </c>
      <c r="I1868" t="s">
        <v>1357</v>
      </c>
      <c r="J1868" t="s">
        <v>1357</v>
      </c>
      <c r="K1868" t="s">
        <v>1357</v>
      </c>
      <c r="L1868" t="s">
        <v>1357</v>
      </c>
    </row>
    <row r="1869" spans="1:12">
      <c r="H1869" t="s">
        <v>9246</v>
      </c>
      <c r="I1869" t="s">
        <v>1357</v>
      </c>
      <c r="J1869" t="s">
        <v>1357</v>
      </c>
      <c r="K1869" t="s">
        <v>1357</v>
      </c>
      <c r="L1869" t="s">
        <v>1357</v>
      </c>
    </row>
    <row r="1870" spans="1:12">
      <c r="F1870" t="s">
        <v>7561</v>
      </c>
      <c r="G1870" t="s">
        <v>8226</v>
      </c>
      <c r="H1870" t="s">
        <v>9374</v>
      </c>
      <c r="I1870" t="s">
        <v>1357</v>
      </c>
      <c r="J1870" t="s">
        <v>1357</v>
      </c>
      <c r="K1870" t="s">
        <v>1357</v>
      </c>
      <c r="L1870" t="s">
        <v>1357</v>
      </c>
    </row>
    <row r="1871" spans="1:12">
      <c r="H1871" t="s">
        <v>9375</v>
      </c>
      <c r="I1871" t="s">
        <v>1357</v>
      </c>
      <c r="J1871" t="s">
        <v>1357</v>
      </c>
      <c r="K1871" t="s">
        <v>1357</v>
      </c>
      <c r="L1871" t="s">
        <v>1357</v>
      </c>
    </row>
    <row r="1872" spans="1:12">
      <c r="A1872" t="s">
        <v>6374</v>
      </c>
      <c r="B1872">
        <f>HYPERLINK("https://github.com/pmd/pmd/commit/99700d7526a57ece50f779ffc6f9ae75f8e37288", "99700d7526a57ece50f779ffc6f9ae75f8e37288")</f>
        <v>0</v>
      </c>
      <c r="C1872">
        <f>HYPERLINK("https://github.com/pmd/pmd/commit/d6296bd85fb3981124ebd0bbe855c7f9f2a1ec7f", "d6296bd85fb3981124ebd0bbe855c7f9f2a1ec7f")</f>
        <v>0</v>
      </c>
      <c r="D1872" t="s">
        <v>6509</v>
      </c>
      <c r="E1872" t="s">
        <v>6829</v>
      </c>
      <c r="F1872" t="s">
        <v>7551</v>
      </c>
      <c r="G1872" t="s">
        <v>8220</v>
      </c>
      <c r="H1872" t="s">
        <v>9223</v>
      </c>
      <c r="I1872" t="s">
        <v>1357</v>
      </c>
      <c r="J1872" t="s">
        <v>1357</v>
      </c>
      <c r="K1872" t="s">
        <v>1357</v>
      </c>
      <c r="L1872" t="s">
        <v>1357</v>
      </c>
    </row>
    <row r="1873" spans="1:12">
      <c r="H1873" t="s">
        <v>9224</v>
      </c>
      <c r="I1873" t="s">
        <v>1357</v>
      </c>
      <c r="J1873" t="s">
        <v>1357</v>
      </c>
      <c r="K1873" t="s">
        <v>1357</v>
      </c>
      <c r="L1873" t="s">
        <v>1357</v>
      </c>
    </row>
    <row r="1874" spans="1:12">
      <c r="H1874" t="s">
        <v>9225</v>
      </c>
      <c r="I1874" t="s">
        <v>1357</v>
      </c>
      <c r="J1874" t="s">
        <v>1357</v>
      </c>
      <c r="K1874" t="s">
        <v>1357</v>
      </c>
      <c r="L1874" t="s">
        <v>1357</v>
      </c>
    </row>
    <row r="1875" spans="1:12">
      <c r="H1875" t="s">
        <v>9226</v>
      </c>
      <c r="I1875" t="s">
        <v>1357</v>
      </c>
      <c r="J1875" t="s">
        <v>1357</v>
      </c>
      <c r="K1875" t="s">
        <v>1357</v>
      </c>
      <c r="L1875" t="s">
        <v>1357</v>
      </c>
    </row>
    <row r="1876" spans="1:12">
      <c r="H1876" t="s">
        <v>9227</v>
      </c>
      <c r="I1876" t="s">
        <v>1357</v>
      </c>
      <c r="J1876" t="s">
        <v>1357</v>
      </c>
      <c r="K1876" t="s">
        <v>1357</v>
      </c>
      <c r="L1876" t="s">
        <v>1357</v>
      </c>
    </row>
    <row r="1877" spans="1:12">
      <c r="H1877" t="s">
        <v>9228</v>
      </c>
      <c r="I1877" t="s">
        <v>1357</v>
      </c>
      <c r="J1877" t="s">
        <v>1357</v>
      </c>
      <c r="K1877" t="s">
        <v>1357</v>
      </c>
      <c r="L1877" t="s">
        <v>1357</v>
      </c>
    </row>
    <row r="1878" spans="1:12">
      <c r="H1878" t="s">
        <v>9229</v>
      </c>
      <c r="I1878" t="s">
        <v>1357</v>
      </c>
      <c r="J1878" t="s">
        <v>1357</v>
      </c>
      <c r="K1878" t="s">
        <v>1357</v>
      </c>
      <c r="L1878" t="s">
        <v>1357</v>
      </c>
    </row>
    <row r="1879" spans="1:12">
      <c r="H1879" t="s">
        <v>9230</v>
      </c>
      <c r="I1879" t="s">
        <v>1357</v>
      </c>
      <c r="J1879" t="s">
        <v>1357</v>
      </c>
      <c r="K1879" t="s">
        <v>1357</v>
      </c>
      <c r="L1879" t="s">
        <v>1357</v>
      </c>
    </row>
    <row r="1880" spans="1:12">
      <c r="H1880" t="s">
        <v>9231</v>
      </c>
      <c r="I1880" t="s">
        <v>1357</v>
      </c>
      <c r="J1880" t="s">
        <v>1357</v>
      </c>
      <c r="K1880" t="s">
        <v>1357</v>
      </c>
      <c r="L1880" t="s">
        <v>1357</v>
      </c>
    </row>
    <row r="1881" spans="1:12">
      <c r="H1881" t="s">
        <v>9232</v>
      </c>
      <c r="I1881" t="s">
        <v>1357</v>
      </c>
      <c r="J1881" t="s">
        <v>1357</v>
      </c>
      <c r="K1881" t="s">
        <v>1357</v>
      </c>
      <c r="L1881" t="s">
        <v>1357</v>
      </c>
    </row>
    <row r="1882" spans="1:12">
      <c r="H1882" t="s">
        <v>9233</v>
      </c>
      <c r="I1882" t="s">
        <v>1357</v>
      </c>
      <c r="J1882" t="s">
        <v>1357</v>
      </c>
      <c r="K1882" t="s">
        <v>1357</v>
      </c>
      <c r="L1882" t="s">
        <v>1357</v>
      </c>
    </row>
    <row r="1883" spans="1:12">
      <c r="H1883" t="s">
        <v>9234</v>
      </c>
      <c r="I1883" t="s">
        <v>1357</v>
      </c>
      <c r="J1883" t="s">
        <v>1357</v>
      </c>
      <c r="K1883" t="s">
        <v>1357</v>
      </c>
      <c r="L1883" t="s">
        <v>1357</v>
      </c>
    </row>
    <row r="1884" spans="1:12">
      <c r="H1884" t="s">
        <v>9235</v>
      </c>
      <c r="I1884" t="s">
        <v>1357</v>
      </c>
      <c r="J1884" t="s">
        <v>1357</v>
      </c>
      <c r="K1884" t="s">
        <v>1357</v>
      </c>
      <c r="L1884" t="s">
        <v>1357</v>
      </c>
    </row>
    <row r="1885" spans="1:12">
      <c r="H1885" t="s">
        <v>9236</v>
      </c>
      <c r="I1885" t="s">
        <v>1357</v>
      </c>
      <c r="J1885" t="s">
        <v>1357</v>
      </c>
      <c r="K1885" t="s">
        <v>1357</v>
      </c>
      <c r="L1885" t="s">
        <v>1357</v>
      </c>
    </row>
    <row r="1886" spans="1:12">
      <c r="H1886" t="s">
        <v>9237</v>
      </c>
      <c r="I1886" t="s">
        <v>1357</v>
      </c>
      <c r="J1886" t="s">
        <v>1357</v>
      </c>
      <c r="K1886" t="s">
        <v>1357</v>
      </c>
      <c r="L1886" t="s">
        <v>1357</v>
      </c>
    </row>
    <row r="1887" spans="1:12">
      <c r="A1887" t="s">
        <v>6375</v>
      </c>
      <c r="B1887">
        <f>HYPERLINK("https://github.com/pmd/pmd/commit/5e7b2c5721b356c3371342dfbc49d7a0b6ee57f4", "5e7b2c5721b356c3371342dfbc49d7a0b6ee57f4")</f>
        <v>0</v>
      </c>
      <c r="C1887">
        <f>HYPERLINK("https://github.com/pmd/pmd/commit/1072c49f46d9b434cbab915c3c040b7c12fcb23e", "1072c49f46d9b434cbab915c3c040b7c12fcb23e")</f>
        <v>0</v>
      </c>
      <c r="D1887" t="s">
        <v>6509</v>
      </c>
      <c r="E1887" t="s">
        <v>6830</v>
      </c>
      <c r="F1887" t="s">
        <v>7571</v>
      </c>
      <c r="G1887" t="s">
        <v>8233</v>
      </c>
      <c r="H1887" t="s">
        <v>9376</v>
      </c>
      <c r="I1887" t="s">
        <v>1357</v>
      </c>
      <c r="J1887" t="s">
        <v>1357</v>
      </c>
      <c r="K1887" t="s">
        <v>1357</v>
      </c>
      <c r="L1887" t="s">
        <v>1357</v>
      </c>
    </row>
    <row r="1888" spans="1:12">
      <c r="H1888" t="s">
        <v>9377</v>
      </c>
      <c r="I1888" t="s">
        <v>1357</v>
      </c>
      <c r="J1888" t="s">
        <v>1357</v>
      </c>
      <c r="K1888" t="s">
        <v>1357</v>
      </c>
      <c r="L1888" t="s">
        <v>1357</v>
      </c>
    </row>
    <row r="1889" spans="1:14">
      <c r="H1889" t="s">
        <v>9378</v>
      </c>
      <c r="I1889" t="s">
        <v>1357</v>
      </c>
      <c r="J1889" t="s">
        <v>1357</v>
      </c>
      <c r="K1889" t="s">
        <v>1357</v>
      </c>
      <c r="L1889" t="s">
        <v>1357</v>
      </c>
    </row>
    <row r="1890" spans="1:14">
      <c r="H1890" t="s">
        <v>9379</v>
      </c>
      <c r="I1890" t="s">
        <v>1357</v>
      </c>
      <c r="J1890" t="s">
        <v>1357</v>
      </c>
      <c r="K1890" t="s">
        <v>1357</v>
      </c>
      <c r="L1890" t="s">
        <v>1357</v>
      </c>
    </row>
    <row r="1891" spans="1:14">
      <c r="F1891" t="s">
        <v>7479</v>
      </c>
      <c r="G1891" t="s">
        <v>8162</v>
      </c>
      <c r="H1891" t="s">
        <v>9380</v>
      </c>
      <c r="I1891" t="s">
        <v>1357</v>
      </c>
      <c r="J1891" t="s">
        <v>1357</v>
      </c>
      <c r="K1891" t="s">
        <v>1357</v>
      </c>
      <c r="L1891" t="s">
        <v>1357</v>
      </c>
    </row>
    <row r="1892" spans="1:14">
      <c r="A1892" t="s">
        <v>6376</v>
      </c>
      <c r="B1892">
        <f>HYPERLINK("https://github.com/pmd/pmd/commit/23cb9f41fbe2d4b5904df04aff926cf0374620aa", "23cb9f41fbe2d4b5904df04aff926cf0374620aa")</f>
        <v>0</v>
      </c>
      <c r="C1892">
        <f>HYPERLINK("https://github.com/pmd/pmd/commit/96500f90fcbf6a9eb21b8621d046cc143f1ea603", "96500f90fcbf6a9eb21b8621d046cc143f1ea603")</f>
        <v>0</v>
      </c>
      <c r="D1892" t="s">
        <v>6509</v>
      </c>
      <c r="E1892" t="s">
        <v>6831</v>
      </c>
      <c r="F1892" t="s">
        <v>7491</v>
      </c>
      <c r="G1892" t="s">
        <v>7810</v>
      </c>
      <c r="H1892" t="s">
        <v>9104</v>
      </c>
      <c r="I1892" t="s">
        <v>1357</v>
      </c>
      <c r="J1892" t="s">
        <v>1357</v>
      </c>
      <c r="K1892" t="s">
        <v>1357</v>
      </c>
      <c r="L1892" t="s">
        <v>1357</v>
      </c>
    </row>
    <row r="1893" spans="1:14">
      <c r="A1893" t="s">
        <v>6377</v>
      </c>
      <c r="B1893">
        <f>HYPERLINK("https://github.com/pmd/pmd/commit/b5b0bcb9214e79bdaab4ba93f33cc71b7a0e30a8", "b5b0bcb9214e79bdaab4ba93f33cc71b7a0e30a8")</f>
        <v>0</v>
      </c>
      <c r="C1893">
        <f>HYPERLINK("https://github.com/pmd/pmd/commit/aa9a9c2bed2084897e4f311c8783b8a89858a876", "aa9a9c2bed2084897e4f311c8783b8a89858a876")</f>
        <v>0</v>
      </c>
      <c r="D1893" t="s">
        <v>6509</v>
      </c>
      <c r="E1893" t="s">
        <v>6832</v>
      </c>
      <c r="F1893" t="s">
        <v>7572</v>
      </c>
      <c r="G1893" t="s">
        <v>8154</v>
      </c>
      <c r="H1893" t="s">
        <v>9199</v>
      </c>
      <c r="I1893" t="s">
        <v>1357</v>
      </c>
      <c r="J1893" t="s">
        <v>1357</v>
      </c>
      <c r="K1893" t="s">
        <v>1357</v>
      </c>
      <c r="L1893" t="s">
        <v>1357</v>
      </c>
    </row>
    <row r="1894" spans="1:14">
      <c r="F1894" t="s">
        <v>7560</v>
      </c>
      <c r="G1894" t="s">
        <v>8154</v>
      </c>
      <c r="H1894" t="s">
        <v>9199</v>
      </c>
      <c r="I1894" t="s">
        <v>1357</v>
      </c>
      <c r="J1894" t="s">
        <v>1357</v>
      </c>
      <c r="K1894" t="s">
        <v>1357</v>
      </c>
      <c r="L1894" t="s">
        <v>1357</v>
      </c>
    </row>
    <row r="1895" spans="1:14">
      <c r="A1895" t="s">
        <v>6378</v>
      </c>
      <c r="B1895">
        <f>HYPERLINK("https://github.com/pmd/pmd/commit/34e6e8bf08d117e8c8924842b932290c8862b633", "34e6e8bf08d117e8c8924842b932290c8862b633")</f>
        <v>0</v>
      </c>
      <c r="C1895">
        <f>HYPERLINK("https://github.com/pmd/pmd/commit/127b232f2e9e22e6ca9b7c141332f28a6abaf3eb", "127b232f2e9e22e6ca9b7c141332f28a6abaf3eb")</f>
        <v>0</v>
      </c>
      <c r="D1895" t="s">
        <v>6509</v>
      </c>
      <c r="E1895" t="s">
        <v>6833</v>
      </c>
      <c r="F1895" t="s">
        <v>7565</v>
      </c>
      <c r="G1895" t="s">
        <v>7703</v>
      </c>
      <c r="H1895" t="s">
        <v>9381</v>
      </c>
      <c r="I1895" t="s">
        <v>1357</v>
      </c>
      <c r="J1895" t="s">
        <v>1357</v>
      </c>
      <c r="K1895" t="s">
        <v>1357</v>
      </c>
      <c r="L1895" t="s">
        <v>1357</v>
      </c>
    </row>
    <row r="1896" spans="1:14">
      <c r="H1896" t="s">
        <v>9382</v>
      </c>
      <c r="I1896" t="s">
        <v>1357</v>
      </c>
      <c r="J1896" t="s">
        <v>1357</v>
      </c>
      <c r="K1896" t="s">
        <v>1357</v>
      </c>
      <c r="L1896" t="s">
        <v>1357</v>
      </c>
    </row>
    <row r="1897" spans="1:14">
      <c r="F1897" t="s">
        <v>7573</v>
      </c>
      <c r="G1897" t="s">
        <v>7810</v>
      </c>
      <c r="H1897" t="s">
        <v>9104</v>
      </c>
      <c r="I1897" t="s">
        <v>1357</v>
      </c>
      <c r="J1897" t="s">
        <v>1357</v>
      </c>
      <c r="K1897" t="s">
        <v>1357</v>
      </c>
      <c r="L1897" t="s">
        <v>1357</v>
      </c>
    </row>
    <row r="1898" spans="1:14">
      <c r="F1898" t="s">
        <v>7574</v>
      </c>
      <c r="G1898" t="s">
        <v>7811</v>
      </c>
      <c r="H1898" t="s">
        <v>9383</v>
      </c>
      <c r="I1898" t="s">
        <v>1357</v>
      </c>
      <c r="J1898" t="s">
        <v>1357</v>
      </c>
      <c r="K1898" t="s">
        <v>1357</v>
      </c>
      <c r="L1898" t="s">
        <v>1357</v>
      </c>
    </row>
    <row r="1899" spans="1:14">
      <c r="F1899" t="s">
        <v>7491</v>
      </c>
      <c r="G1899" t="s">
        <v>7810</v>
      </c>
      <c r="H1899" t="s">
        <v>9104</v>
      </c>
      <c r="I1899" t="s">
        <v>1357</v>
      </c>
      <c r="J1899" t="s">
        <v>1357</v>
      </c>
      <c r="K1899" t="s">
        <v>1357</v>
      </c>
      <c r="L1899" t="s">
        <v>1357</v>
      </c>
    </row>
    <row r="1900" spans="1:14">
      <c r="A1900" t="s">
        <v>6378</v>
      </c>
      <c r="B1900">
        <f>HYPERLINK("https://github.com/pmd/pmd/commit/14a8eeec764c3ab4365f416c032684aa8ac42fc3", "14a8eeec764c3ab4365f416c032684aa8ac42fc3")</f>
        <v>0</v>
      </c>
      <c r="C1900">
        <f>HYPERLINK("https://github.com/pmd/pmd/commit/34e6e8bf08d117e8c8924842b932290c8862b633", "34e6e8bf08d117e8c8924842b932290c8862b633")</f>
        <v>0</v>
      </c>
      <c r="D1900" t="s">
        <v>6509</v>
      </c>
      <c r="E1900" t="s">
        <v>6834</v>
      </c>
      <c r="F1900" t="s">
        <v>7575</v>
      </c>
      <c r="G1900" t="s">
        <v>7724</v>
      </c>
      <c r="H1900" t="s">
        <v>9384</v>
      </c>
      <c r="I1900" t="s">
        <v>1357</v>
      </c>
      <c r="J1900" t="s">
        <v>1357</v>
      </c>
      <c r="K1900" t="s">
        <v>1357</v>
      </c>
      <c r="L1900" t="s">
        <v>1357</v>
      </c>
    </row>
    <row r="1901" spans="1:14">
      <c r="H1901" t="s">
        <v>9385</v>
      </c>
      <c r="I1901" t="s">
        <v>1357</v>
      </c>
      <c r="J1901" t="s">
        <v>1357</v>
      </c>
      <c r="K1901" t="s">
        <v>1357</v>
      </c>
      <c r="L1901" t="s">
        <v>1357</v>
      </c>
    </row>
    <row r="1902" spans="1:14">
      <c r="F1902" t="s">
        <v>7576</v>
      </c>
      <c r="G1902" t="s">
        <v>7750</v>
      </c>
      <c r="H1902" t="s">
        <v>9386</v>
      </c>
      <c r="I1902" t="s">
        <v>1357</v>
      </c>
      <c r="J1902" t="s">
        <v>1357</v>
      </c>
      <c r="K1902" t="s">
        <v>1357</v>
      </c>
      <c r="L1902" t="s">
        <v>1357</v>
      </c>
    </row>
    <row r="1903" spans="1:14">
      <c r="A1903" t="s">
        <v>6379</v>
      </c>
      <c r="B1903">
        <f>HYPERLINK("https://github.com/pmd/pmd/commit/3191ef360dad948ffeb7b65c9c0d45dfa3bcc40c", "3191ef360dad948ffeb7b65c9c0d45dfa3bcc40c")</f>
        <v>0</v>
      </c>
      <c r="C1903">
        <f>HYPERLINK("https://github.com/pmd/pmd/commit/01ef998d1756b1163197ca7a4e8bd84c73188786", "01ef998d1756b1163197ca7a4e8bd84c73188786")</f>
        <v>0</v>
      </c>
      <c r="D1903" t="s">
        <v>6509</v>
      </c>
      <c r="E1903" t="s">
        <v>6835</v>
      </c>
      <c r="F1903" t="s">
        <v>7577</v>
      </c>
      <c r="G1903" t="s">
        <v>8234</v>
      </c>
      <c r="H1903" t="s">
        <v>9387</v>
      </c>
      <c r="I1903" t="s">
        <v>1357</v>
      </c>
      <c r="J1903" t="s">
        <v>1357</v>
      </c>
      <c r="K1903" t="s">
        <v>1357</v>
      </c>
      <c r="L1903" t="s">
        <v>1357</v>
      </c>
      <c r="N1903" t="s">
        <v>9966</v>
      </c>
    </row>
    <row r="1904" spans="1:14">
      <c r="H1904" t="s">
        <v>9388</v>
      </c>
      <c r="I1904" t="s">
        <v>1357</v>
      </c>
      <c r="J1904" t="s">
        <v>1357</v>
      </c>
      <c r="K1904" t="s">
        <v>1357</v>
      </c>
      <c r="L1904" t="s">
        <v>1357</v>
      </c>
      <c r="N1904" t="s">
        <v>9966</v>
      </c>
    </row>
    <row r="1905" spans="6:14">
      <c r="H1905" t="s">
        <v>9389</v>
      </c>
      <c r="I1905" t="s">
        <v>1357</v>
      </c>
      <c r="J1905" t="s">
        <v>1357</v>
      </c>
      <c r="K1905" t="s">
        <v>1357</v>
      </c>
      <c r="L1905" t="s">
        <v>1357</v>
      </c>
      <c r="N1905" t="s">
        <v>9966</v>
      </c>
    </row>
    <row r="1906" spans="6:14">
      <c r="H1906" t="s">
        <v>9390</v>
      </c>
      <c r="I1906" t="s">
        <v>1357</v>
      </c>
      <c r="J1906" t="s">
        <v>1357</v>
      </c>
      <c r="K1906" t="s">
        <v>1357</v>
      </c>
      <c r="L1906" t="s">
        <v>1357</v>
      </c>
      <c r="N1906" t="s">
        <v>9966</v>
      </c>
    </row>
    <row r="1907" spans="6:14">
      <c r="H1907" t="s">
        <v>9391</v>
      </c>
      <c r="I1907" t="s">
        <v>1357</v>
      </c>
      <c r="J1907" t="s">
        <v>1357</v>
      </c>
      <c r="K1907" t="s">
        <v>1357</v>
      </c>
      <c r="L1907" t="s">
        <v>1357</v>
      </c>
      <c r="N1907" t="s">
        <v>9966</v>
      </c>
    </row>
    <row r="1908" spans="6:14">
      <c r="H1908" t="s">
        <v>9392</v>
      </c>
      <c r="I1908" t="s">
        <v>1357</v>
      </c>
      <c r="J1908" t="s">
        <v>1357</v>
      </c>
      <c r="K1908" t="s">
        <v>1357</v>
      </c>
      <c r="L1908" t="s">
        <v>1357</v>
      </c>
      <c r="N1908" t="s">
        <v>9966</v>
      </c>
    </row>
    <row r="1909" spans="6:14">
      <c r="H1909" t="s">
        <v>9393</v>
      </c>
      <c r="I1909" t="s">
        <v>1357</v>
      </c>
      <c r="J1909" t="s">
        <v>1357</v>
      </c>
      <c r="K1909" t="s">
        <v>1357</v>
      </c>
      <c r="L1909" t="s">
        <v>1357</v>
      </c>
      <c r="N1909" t="s">
        <v>9966</v>
      </c>
    </row>
    <row r="1910" spans="6:14">
      <c r="F1910" t="s">
        <v>7578</v>
      </c>
      <c r="G1910" t="s">
        <v>7817</v>
      </c>
      <c r="H1910" t="s">
        <v>9394</v>
      </c>
      <c r="I1910" t="s">
        <v>1357</v>
      </c>
      <c r="J1910" t="s">
        <v>1357</v>
      </c>
      <c r="K1910" t="s">
        <v>1357</v>
      </c>
      <c r="L1910" t="s">
        <v>1357</v>
      </c>
    </row>
    <row r="1911" spans="6:14">
      <c r="H1911" t="s">
        <v>9395</v>
      </c>
      <c r="I1911" t="s">
        <v>1357</v>
      </c>
      <c r="J1911" t="s">
        <v>1357</v>
      </c>
      <c r="K1911" t="s">
        <v>1357</v>
      </c>
      <c r="L1911" t="s">
        <v>1357</v>
      </c>
    </row>
    <row r="1912" spans="6:14">
      <c r="H1912" t="s">
        <v>9396</v>
      </c>
      <c r="I1912" t="s">
        <v>1357</v>
      </c>
      <c r="J1912" t="s">
        <v>1357</v>
      </c>
      <c r="K1912" t="s">
        <v>1357</v>
      </c>
      <c r="L1912" t="s">
        <v>1357</v>
      </c>
    </row>
    <row r="1913" spans="6:14">
      <c r="H1913" t="s">
        <v>9397</v>
      </c>
      <c r="I1913" t="s">
        <v>1357</v>
      </c>
      <c r="J1913" t="s">
        <v>1357</v>
      </c>
      <c r="K1913" t="s">
        <v>1357</v>
      </c>
      <c r="L1913" t="s">
        <v>1357</v>
      </c>
    </row>
    <row r="1914" spans="6:14">
      <c r="H1914" t="s">
        <v>8501</v>
      </c>
      <c r="I1914" t="s">
        <v>1357</v>
      </c>
      <c r="J1914" t="s">
        <v>1357</v>
      </c>
      <c r="K1914" t="s">
        <v>1357</v>
      </c>
      <c r="L1914" t="s">
        <v>1357</v>
      </c>
    </row>
    <row r="1915" spans="6:14">
      <c r="H1915" t="s">
        <v>9398</v>
      </c>
      <c r="I1915" t="s">
        <v>1357</v>
      </c>
      <c r="J1915" t="s">
        <v>1357</v>
      </c>
      <c r="K1915" t="s">
        <v>1357</v>
      </c>
      <c r="L1915" t="s">
        <v>1357</v>
      </c>
    </row>
    <row r="1916" spans="6:14">
      <c r="H1916" t="s">
        <v>9399</v>
      </c>
      <c r="I1916" t="s">
        <v>1357</v>
      </c>
      <c r="J1916" t="s">
        <v>1357</v>
      </c>
      <c r="K1916" t="s">
        <v>1357</v>
      </c>
      <c r="L1916" t="s">
        <v>1357</v>
      </c>
    </row>
    <row r="1917" spans="6:14">
      <c r="H1917" t="s">
        <v>9400</v>
      </c>
      <c r="I1917" t="s">
        <v>1357</v>
      </c>
      <c r="J1917" t="s">
        <v>1357</v>
      </c>
      <c r="K1917" t="s">
        <v>1357</v>
      </c>
      <c r="L1917" t="s">
        <v>1357</v>
      </c>
    </row>
    <row r="1918" spans="6:14">
      <c r="H1918" t="s">
        <v>9401</v>
      </c>
      <c r="I1918" t="s">
        <v>1357</v>
      </c>
      <c r="J1918" t="s">
        <v>1357</v>
      </c>
      <c r="K1918" t="s">
        <v>1357</v>
      </c>
      <c r="L1918" t="s">
        <v>1357</v>
      </c>
    </row>
    <row r="1919" spans="6:14">
      <c r="H1919" t="s">
        <v>9402</v>
      </c>
      <c r="I1919" t="s">
        <v>1357</v>
      </c>
      <c r="J1919" t="s">
        <v>1357</v>
      </c>
      <c r="K1919" t="s">
        <v>1357</v>
      </c>
      <c r="L1919" t="s">
        <v>1357</v>
      </c>
    </row>
    <row r="1920" spans="6:14">
      <c r="H1920" t="s">
        <v>5868</v>
      </c>
      <c r="I1920" t="s">
        <v>1357</v>
      </c>
      <c r="J1920" t="s">
        <v>1357</v>
      </c>
      <c r="K1920" t="s">
        <v>1357</v>
      </c>
      <c r="L1920" t="s">
        <v>1357</v>
      </c>
    </row>
    <row r="1921" spans="6:12">
      <c r="H1921" t="s">
        <v>9403</v>
      </c>
      <c r="I1921" t="s">
        <v>1357</v>
      </c>
      <c r="J1921" t="s">
        <v>1357</v>
      </c>
      <c r="K1921" t="s">
        <v>1357</v>
      </c>
      <c r="L1921" t="s">
        <v>1357</v>
      </c>
    </row>
    <row r="1922" spans="6:12">
      <c r="H1922" t="s">
        <v>9404</v>
      </c>
      <c r="I1922" t="s">
        <v>1357</v>
      </c>
      <c r="J1922" t="s">
        <v>1357</v>
      </c>
      <c r="K1922" t="s">
        <v>1357</v>
      </c>
      <c r="L1922" t="s">
        <v>1357</v>
      </c>
    </row>
    <row r="1923" spans="6:12">
      <c r="F1923" t="s">
        <v>7579</v>
      </c>
      <c r="G1923" t="s">
        <v>8235</v>
      </c>
      <c r="H1923" t="s">
        <v>9396</v>
      </c>
      <c r="I1923" t="s">
        <v>1357</v>
      </c>
      <c r="J1923" t="s">
        <v>1357</v>
      </c>
      <c r="K1923" t="s">
        <v>1357</v>
      </c>
      <c r="L1923" t="s">
        <v>1357</v>
      </c>
    </row>
    <row r="1924" spans="6:12">
      <c r="H1924" t="s">
        <v>5868</v>
      </c>
      <c r="I1924" t="s">
        <v>1357</v>
      </c>
      <c r="J1924" t="s">
        <v>1357</v>
      </c>
      <c r="K1924" t="s">
        <v>1357</v>
      </c>
      <c r="L1924" t="s">
        <v>1357</v>
      </c>
    </row>
    <row r="1925" spans="6:12">
      <c r="H1925" t="s">
        <v>9398</v>
      </c>
      <c r="I1925" t="s">
        <v>1357</v>
      </c>
      <c r="J1925" t="s">
        <v>1357</v>
      </c>
      <c r="K1925" t="s">
        <v>1357</v>
      </c>
      <c r="L1925" t="s">
        <v>1357</v>
      </c>
    </row>
    <row r="1926" spans="6:12">
      <c r="H1926" t="s">
        <v>9403</v>
      </c>
      <c r="I1926" t="s">
        <v>1357</v>
      </c>
      <c r="J1926" t="s">
        <v>1357</v>
      </c>
      <c r="K1926" t="s">
        <v>1357</v>
      </c>
      <c r="L1926" t="s">
        <v>1357</v>
      </c>
    </row>
    <row r="1927" spans="6:12">
      <c r="H1927" t="s">
        <v>9405</v>
      </c>
      <c r="I1927" t="s">
        <v>1357</v>
      </c>
      <c r="J1927" t="s">
        <v>1357</v>
      </c>
      <c r="K1927" t="s">
        <v>1357</v>
      </c>
      <c r="L1927" t="s">
        <v>1357</v>
      </c>
    </row>
    <row r="1928" spans="6:12">
      <c r="F1928" t="s">
        <v>7580</v>
      </c>
      <c r="G1928" t="s">
        <v>8236</v>
      </c>
      <c r="H1928" t="s">
        <v>9396</v>
      </c>
      <c r="I1928" t="s">
        <v>1357</v>
      </c>
      <c r="J1928" t="s">
        <v>1357</v>
      </c>
      <c r="K1928" t="s">
        <v>1357</v>
      </c>
      <c r="L1928" t="s">
        <v>1357</v>
      </c>
    </row>
    <row r="1929" spans="6:12">
      <c r="H1929" t="s">
        <v>9397</v>
      </c>
      <c r="I1929" t="s">
        <v>1357</v>
      </c>
      <c r="J1929" t="s">
        <v>1357</v>
      </c>
      <c r="K1929" t="s">
        <v>1357</v>
      </c>
      <c r="L1929" t="s">
        <v>1357</v>
      </c>
    </row>
    <row r="1930" spans="6:12">
      <c r="H1930" t="s">
        <v>8501</v>
      </c>
      <c r="I1930" t="s">
        <v>1357</v>
      </c>
      <c r="J1930" t="s">
        <v>1357</v>
      </c>
      <c r="K1930" t="s">
        <v>1357</v>
      </c>
      <c r="L1930" t="s">
        <v>1357</v>
      </c>
    </row>
    <row r="1931" spans="6:12">
      <c r="H1931" t="s">
        <v>9395</v>
      </c>
      <c r="I1931" t="s">
        <v>1357</v>
      </c>
      <c r="J1931" t="s">
        <v>1357</v>
      </c>
      <c r="K1931" t="s">
        <v>1357</v>
      </c>
      <c r="L1931" t="s">
        <v>1357</v>
      </c>
    </row>
    <row r="1932" spans="6:12">
      <c r="H1932" t="s">
        <v>9398</v>
      </c>
      <c r="I1932" t="s">
        <v>1357</v>
      </c>
      <c r="J1932" t="s">
        <v>1357</v>
      </c>
      <c r="K1932" t="s">
        <v>1357</v>
      </c>
      <c r="L1932" t="s">
        <v>1357</v>
      </c>
    </row>
    <row r="1933" spans="6:12">
      <c r="H1933" t="s">
        <v>9401</v>
      </c>
      <c r="I1933" t="s">
        <v>1357</v>
      </c>
      <c r="J1933" t="s">
        <v>1357</v>
      </c>
      <c r="K1933" t="s">
        <v>1357</v>
      </c>
      <c r="L1933" t="s">
        <v>1357</v>
      </c>
    </row>
    <row r="1934" spans="6:12">
      <c r="H1934" t="s">
        <v>9400</v>
      </c>
      <c r="I1934" t="s">
        <v>1357</v>
      </c>
      <c r="J1934" t="s">
        <v>1357</v>
      </c>
      <c r="K1934" t="s">
        <v>1357</v>
      </c>
      <c r="L1934" t="s">
        <v>1357</v>
      </c>
    </row>
    <row r="1935" spans="6:12">
      <c r="F1935" t="s">
        <v>7581</v>
      </c>
      <c r="G1935" t="s">
        <v>8237</v>
      </c>
      <c r="H1935" t="s">
        <v>9396</v>
      </c>
      <c r="I1935" t="s">
        <v>1357</v>
      </c>
      <c r="J1935" t="s">
        <v>1357</v>
      </c>
      <c r="K1935" t="s">
        <v>1357</v>
      </c>
      <c r="L1935" t="s">
        <v>1357</v>
      </c>
    </row>
    <row r="1936" spans="6:12">
      <c r="H1936" t="s">
        <v>8501</v>
      </c>
      <c r="I1936" t="s">
        <v>1357</v>
      </c>
      <c r="J1936" t="s">
        <v>1357</v>
      </c>
      <c r="K1936" t="s">
        <v>1357</v>
      </c>
      <c r="L1936" t="s">
        <v>1357</v>
      </c>
    </row>
    <row r="1937" spans="1:14">
      <c r="H1937" t="s">
        <v>9397</v>
      </c>
      <c r="I1937" t="s">
        <v>1357</v>
      </c>
      <c r="J1937" t="s">
        <v>1357</v>
      </c>
      <c r="K1937" t="s">
        <v>1357</v>
      </c>
      <c r="L1937" t="s">
        <v>1357</v>
      </c>
    </row>
    <row r="1938" spans="1:14">
      <c r="H1938" t="s">
        <v>9398</v>
      </c>
      <c r="I1938" t="s">
        <v>1357</v>
      </c>
      <c r="J1938" t="s">
        <v>1357</v>
      </c>
      <c r="K1938" t="s">
        <v>1357</v>
      </c>
      <c r="L1938" t="s">
        <v>1357</v>
      </c>
    </row>
    <row r="1939" spans="1:14">
      <c r="H1939" t="s">
        <v>9399</v>
      </c>
      <c r="I1939" t="s">
        <v>1357</v>
      </c>
      <c r="J1939" t="s">
        <v>1357</v>
      </c>
      <c r="K1939" t="s">
        <v>1357</v>
      </c>
      <c r="L1939" t="s">
        <v>1357</v>
      </c>
    </row>
    <row r="1940" spans="1:14">
      <c r="H1940" t="s">
        <v>5868</v>
      </c>
      <c r="I1940" t="s">
        <v>1357</v>
      </c>
      <c r="J1940" t="s">
        <v>1357</v>
      </c>
      <c r="K1940" t="s">
        <v>1357</v>
      </c>
      <c r="L1940" t="s">
        <v>1357</v>
      </c>
    </row>
    <row r="1941" spans="1:14">
      <c r="H1941" t="s">
        <v>9402</v>
      </c>
      <c r="I1941" t="s">
        <v>1357</v>
      </c>
      <c r="J1941" t="s">
        <v>1357</v>
      </c>
      <c r="K1941" t="s">
        <v>1357</v>
      </c>
      <c r="L1941" t="s">
        <v>1357</v>
      </c>
    </row>
    <row r="1942" spans="1:14">
      <c r="H1942" t="s">
        <v>9403</v>
      </c>
      <c r="I1942" t="s">
        <v>1357</v>
      </c>
      <c r="J1942" t="s">
        <v>1357</v>
      </c>
      <c r="K1942" t="s">
        <v>1357</v>
      </c>
      <c r="L1942" t="s">
        <v>1357</v>
      </c>
    </row>
    <row r="1943" spans="1:14">
      <c r="A1943" t="s">
        <v>6380</v>
      </c>
      <c r="B1943">
        <f>HYPERLINK("https://github.com/pmd/pmd/commit/ef1b7b410f51442b58bd669ba903dfcd5a986fec", "ef1b7b410f51442b58bd669ba903dfcd5a986fec")</f>
        <v>0</v>
      </c>
      <c r="C1943">
        <f>HYPERLINK("https://github.com/pmd/pmd/commit/91872dfe607d704bf011027e745638c5e9f1d1f8", "91872dfe607d704bf011027e745638c5e9f1d1f8")</f>
        <v>0</v>
      </c>
      <c r="D1943" t="s">
        <v>6509</v>
      </c>
      <c r="E1943" t="s">
        <v>6836</v>
      </c>
      <c r="F1943" t="s">
        <v>7582</v>
      </c>
      <c r="G1943" t="s">
        <v>8238</v>
      </c>
      <c r="H1943" t="s">
        <v>9406</v>
      </c>
      <c r="I1943" t="s">
        <v>1357</v>
      </c>
      <c r="J1943" t="s">
        <v>1357</v>
      </c>
      <c r="K1943" t="s">
        <v>1357</v>
      </c>
      <c r="L1943" t="s">
        <v>1357</v>
      </c>
    </row>
    <row r="1944" spans="1:14">
      <c r="H1944" t="s">
        <v>9407</v>
      </c>
      <c r="I1944" t="s">
        <v>1357</v>
      </c>
      <c r="J1944" t="s">
        <v>1357</v>
      </c>
      <c r="K1944" t="s">
        <v>1357</v>
      </c>
      <c r="L1944" t="s">
        <v>1357</v>
      </c>
    </row>
    <row r="1945" spans="1:14">
      <c r="H1945" t="s">
        <v>9408</v>
      </c>
      <c r="I1945" t="s">
        <v>1357</v>
      </c>
      <c r="J1945" t="s">
        <v>1357</v>
      </c>
      <c r="K1945" t="s">
        <v>1357</v>
      </c>
      <c r="L1945" t="s">
        <v>1357</v>
      </c>
    </row>
    <row r="1946" spans="1:14">
      <c r="H1946" t="s">
        <v>9409</v>
      </c>
      <c r="I1946" t="s">
        <v>1357</v>
      </c>
      <c r="J1946" t="s">
        <v>1357</v>
      </c>
      <c r="K1946" t="s">
        <v>1357</v>
      </c>
      <c r="L1946" t="s">
        <v>1357</v>
      </c>
    </row>
    <row r="1947" spans="1:14">
      <c r="H1947" t="s">
        <v>9410</v>
      </c>
      <c r="I1947" t="s">
        <v>1357</v>
      </c>
      <c r="J1947" t="s">
        <v>1357</v>
      </c>
      <c r="K1947" t="s">
        <v>1357</v>
      </c>
      <c r="L1947" t="s">
        <v>1357</v>
      </c>
    </row>
    <row r="1948" spans="1:14">
      <c r="H1948" t="s">
        <v>9411</v>
      </c>
      <c r="I1948" t="s">
        <v>1357</v>
      </c>
      <c r="J1948" t="s">
        <v>1357</v>
      </c>
      <c r="K1948" t="s">
        <v>1357</v>
      </c>
      <c r="L1948" t="s">
        <v>1357</v>
      </c>
    </row>
    <row r="1949" spans="1:14">
      <c r="H1949" t="s">
        <v>9412</v>
      </c>
      <c r="I1949" t="s">
        <v>1357</v>
      </c>
      <c r="J1949" t="s">
        <v>1357</v>
      </c>
      <c r="K1949" t="s">
        <v>1357</v>
      </c>
      <c r="L1949" t="s">
        <v>1357</v>
      </c>
    </row>
    <row r="1950" spans="1:14">
      <c r="H1950" t="s">
        <v>9413</v>
      </c>
      <c r="I1950" t="s">
        <v>1357</v>
      </c>
      <c r="J1950" t="s">
        <v>1357</v>
      </c>
      <c r="K1950" t="s">
        <v>1357</v>
      </c>
      <c r="L1950" t="s">
        <v>1357</v>
      </c>
    </row>
    <row r="1951" spans="1:14">
      <c r="H1951" t="s">
        <v>9414</v>
      </c>
      <c r="I1951" t="s">
        <v>1357</v>
      </c>
      <c r="J1951" t="s">
        <v>1357</v>
      </c>
      <c r="K1951" t="s">
        <v>1357</v>
      </c>
      <c r="L1951" t="s">
        <v>1357</v>
      </c>
    </row>
    <row r="1952" spans="1:14">
      <c r="A1952" t="s">
        <v>6381</v>
      </c>
      <c r="B1952">
        <f>HYPERLINK("https://github.com/pmd/pmd/commit/f1fe8ce5e1883f2fbeae3e93bdbabdf8eb7511e0", "f1fe8ce5e1883f2fbeae3e93bdbabdf8eb7511e0")</f>
        <v>0</v>
      </c>
      <c r="C1952">
        <f>HYPERLINK("https://github.com/pmd/pmd/commit/eae6e96db0b469e72e61e6e0cd1ee23465c7f30d", "eae6e96db0b469e72e61e6e0cd1ee23465c7f30d")</f>
        <v>0</v>
      </c>
      <c r="D1952" t="s">
        <v>6514</v>
      </c>
      <c r="E1952" t="s">
        <v>6837</v>
      </c>
      <c r="F1952" t="s">
        <v>7556</v>
      </c>
      <c r="G1952" t="s">
        <v>8224</v>
      </c>
      <c r="H1952" t="s">
        <v>9415</v>
      </c>
      <c r="I1952" t="s">
        <v>1359</v>
      </c>
      <c r="J1952" t="s">
        <v>1357</v>
      </c>
      <c r="K1952" t="s">
        <v>1357</v>
      </c>
      <c r="L1952" t="s">
        <v>1358</v>
      </c>
      <c r="N1952" t="s">
        <v>9967</v>
      </c>
    </row>
    <row r="1953" spans="1:14">
      <c r="H1953" t="s">
        <v>9416</v>
      </c>
      <c r="I1953" t="s">
        <v>1359</v>
      </c>
      <c r="J1953" t="s">
        <v>1357</v>
      </c>
      <c r="K1953" t="s">
        <v>1357</v>
      </c>
      <c r="L1953" t="s">
        <v>1358</v>
      </c>
      <c r="M1953" t="s">
        <v>9921</v>
      </c>
      <c r="N1953" t="s">
        <v>9967</v>
      </c>
    </row>
    <row r="1954" spans="1:14">
      <c r="H1954" t="s">
        <v>9417</v>
      </c>
      <c r="I1954" t="s">
        <v>1359</v>
      </c>
      <c r="J1954" t="s">
        <v>1357</v>
      </c>
      <c r="K1954" t="s">
        <v>1357</v>
      </c>
      <c r="L1954" t="s">
        <v>1358</v>
      </c>
      <c r="N1954" t="s">
        <v>9967</v>
      </c>
    </row>
    <row r="1955" spans="1:14">
      <c r="H1955" t="s">
        <v>9246</v>
      </c>
      <c r="I1955" t="s">
        <v>1357</v>
      </c>
      <c r="J1955" t="s">
        <v>1357</v>
      </c>
      <c r="K1955" t="s">
        <v>1357</v>
      </c>
      <c r="L1955" t="s">
        <v>1357</v>
      </c>
    </row>
    <row r="1956" spans="1:14">
      <c r="A1956" t="s">
        <v>6382</v>
      </c>
      <c r="B1956">
        <f>HYPERLINK("https://github.com/pmd/pmd/commit/b2b85e51bdba99f277fe8dc9ef8170020f6931a6", "b2b85e51bdba99f277fe8dc9ef8170020f6931a6")</f>
        <v>0</v>
      </c>
      <c r="C1956">
        <f>HYPERLINK("https://github.com/pmd/pmd/commit/ea0122a6560b81353f0fd381ef5d07e197139f91", "ea0122a6560b81353f0fd381ef5d07e197139f91")</f>
        <v>0</v>
      </c>
      <c r="D1956" t="s">
        <v>6509</v>
      </c>
      <c r="E1956" t="s">
        <v>6838</v>
      </c>
      <c r="F1956" t="s">
        <v>7583</v>
      </c>
      <c r="G1956" t="s">
        <v>8239</v>
      </c>
      <c r="H1956" t="s">
        <v>9418</v>
      </c>
      <c r="I1956" t="s">
        <v>1357</v>
      </c>
      <c r="J1956" t="s">
        <v>1357</v>
      </c>
      <c r="K1956" t="s">
        <v>1357</v>
      </c>
      <c r="L1956" t="s">
        <v>1357</v>
      </c>
    </row>
    <row r="1957" spans="1:14">
      <c r="F1957" t="s">
        <v>7584</v>
      </c>
      <c r="G1957" t="s">
        <v>8240</v>
      </c>
      <c r="H1957" t="s">
        <v>9184</v>
      </c>
      <c r="I1957" t="s">
        <v>1357</v>
      </c>
      <c r="J1957" t="s">
        <v>1357</v>
      </c>
      <c r="K1957" t="s">
        <v>1357</v>
      </c>
      <c r="L1957" t="s">
        <v>1357</v>
      </c>
    </row>
    <row r="1958" spans="1:14">
      <c r="H1958" t="s">
        <v>9185</v>
      </c>
      <c r="I1958" t="s">
        <v>1357</v>
      </c>
      <c r="J1958" t="s">
        <v>1357</v>
      </c>
      <c r="K1958" t="s">
        <v>1357</v>
      </c>
      <c r="L1958" t="s">
        <v>1357</v>
      </c>
    </row>
    <row r="1959" spans="1:14">
      <c r="H1959" t="s">
        <v>9186</v>
      </c>
      <c r="I1959" t="s">
        <v>1357</v>
      </c>
      <c r="J1959" t="s">
        <v>1357</v>
      </c>
      <c r="K1959" t="s">
        <v>1357</v>
      </c>
      <c r="L1959" t="s">
        <v>1357</v>
      </c>
    </row>
    <row r="1960" spans="1:14">
      <c r="H1960" t="s">
        <v>9419</v>
      </c>
      <c r="I1960" t="s">
        <v>1357</v>
      </c>
      <c r="J1960" t="s">
        <v>1357</v>
      </c>
      <c r="K1960" t="s">
        <v>1357</v>
      </c>
      <c r="L1960" t="s">
        <v>1357</v>
      </c>
    </row>
    <row r="1961" spans="1:14">
      <c r="H1961" t="s">
        <v>9420</v>
      </c>
      <c r="I1961" t="s">
        <v>1357</v>
      </c>
      <c r="J1961" t="s">
        <v>1357</v>
      </c>
      <c r="K1961" t="s">
        <v>1357</v>
      </c>
      <c r="L1961" t="s">
        <v>1357</v>
      </c>
    </row>
    <row r="1962" spans="1:14">
      <c r="F1962" t="s">
        <v>7585</v>
      </c>
      <c r="G1962" t="s">
        <v>8206</v>
      </c>
      <c r="H1962" t="s">
        <v>9172</v>
      </c>
      <c r="I1962" t="s">
        <v>1357</v>
      </c>
      <c r="J1962" t="s">
        <v>1357</v>
      </c>
      <c r="K1962" t="s">
        <v>1357</v>
      </c>
      <c r="L1962" t="s">
        <v>1357</v>
      </c>
    </row>
    <row r="1963" spans="1:14">
      <c r="H1963" t="s">
        <v>9173</v>
      </c>
      <c r="I1963" t="s">
        <v>1357</v>
      </c>
      <c r="J1963" t="s">
        <v>1357</v>
      </c>
      <c r="K1963" t="s">
        <v>1357</v>
      </c>
      <c r="L1963" t="s">
        <v>1357</v>
      </c>
    </row>
    <row r="1964" spans="1:14">
      <c r="H1964" t="s">
        <v>9174</v>
      </c>
      <c r="I1964" t="s">
        <v>1357</v>
      </c>
      <c r="J1964" t="s">
        <v>1357</v>
      </c>
      <c r="K1964" t="s">
        <v>1357</v>
      </c>
      <c r="L1964" t="s">
        <v>1357</v>
      </c>
    </row>
    <row r="1965" spans="1:14">
      <c r="A1965" t="s">
        <v>6383</v>
      </c>
      <c r="B1965">
        <f>HYPERLINK("https://github.com/pmd/pmd/commit/9c54cc3a547397baaf99a327384eb3643938c5ef", "9c54cc3a547397baaf99a327384eb3643938c5ef")</f>
        <v>0</v>
      </c>
      <c r="C1965">
        <f>HYPERLINK("https://github.com/pmd/pmd/commit/370df2512173e9ece421ea610c985ec19c7f0c4f", "370df2512173e9ece421ea610c985ec19c7f0c4f")</f>
        <v>0</v>
      </c>
      <c r="D1965" t="s">
        <v>6514</v>
      </c>
      <c r="E1965" t="s">
        <v>6839</v>
      </c>
      <c r="F1965" t="s">
        <v>7586</v>
      </c>
      <c r="G1965" t="s">
        <v>8241</v>
      </c>
      <c r="H1965" t="s">
        <v>9421</v>
      </c>
      <c r="I1965" t="s">
        <v>1357</v>
      </c>
      <c r="J1965" t="s">
        <v>1357</v>
      </c>
      <c r="K1965" t="s">
        <v>1357</v>
      </c>
      <c r="L1965" t="s">
        <v>1357</v>
      </c>
      <c r="M1965" t="s">
        <v>1366</v>
      </c>
    </row>
    <row r="1966" spans="1:14">
      <c r="H1966" t="s">
        <v>9422</v>
      </c>
      <c r="I1966" t="s">
        <v>1357</v>
      </c>
      <c r="J1966" t="s">
        <v>1357</v>
      </c>
      <c r="K1966" t="s">
        <v>1357</v>
      </c>
      <c r="L1966" t="s">
        <v>1357</v>
      </c>
    </row>
    <row r="1967" spans="1:14">
      <c r="A1967" t="s">
        <v>6384</v>
      </c>
      <c r="B1967">
        <f>HYPERLINK("https://github.com/pmd/pmd/commit/b7e317fb220cf3f39296f90766ee9e1ddf00d634", "b7e317fb220cf3f39296f90766ee9e1ddf00d634")</f>
        <v>0</v>
      </c>
      <c r="C1967">
        <f>HYPERLINK("https://github.com/pmd/pmd/commit/14bc46fe0db265814ad611881ccdc0be9aeb33d1", "14bc46fe0db265814ad611881ccdc0be9aeb33d1")</f>
        <v>0</v>
      </c>
      <c r="D1967" t="s">
        <v>6509</v>
      </c>
      <c r="E1967" t="s">
        <v>6840</v>
      </c>
      <c r="F1967" t="s">
        <v>7582</v>
      </c>
      <c r="G1967" t="s">
        <v>8238</v>
      </c>
      <c r="H1967" t="s">
        <v>9423</v>
      </c>
      <c r="I1967" t="s">
        <v>1357</v>
      </c>
      <c r="J1967" t="s">
        <v>1357</v>
      </c>
      <c r="K1967" t="s">
        <v>1357</v>
      </c>
      <c r="L1967" t="s">
        <v>1357</v>
      </c>
    </row>
    <row r="1968" spans="1:14">
      <c r="H1968" t="s">
        <v>9424</v>
      </c>
      <c r="I1968" t="s">
        <v>1357</v>
      </c>
      <c r="J1968" t="s">
        <v>1357</v>
      </c>
      <c r="K1968" t="s">
        <v>1357</v>
      </c>
      <c r="L1968" t="s">
        <v>1357</v>
      </c>
    </row>
    <row r="1969" spans="1:14">
      <c r="H1969" t="s">
        <v>795</v>
      </c>
      <c r="I1969" t="s">
        <v>1357</v>
      </c>
      <c r="J1969" t="s">
        <v>1357</v>
      </c>
      <c r="K1969" t="s">
        <v>1357</v>
      </c>
      <c r="L1969" t="s">
        <v>1357</v>
      </c>
    </row>
    <row r="1970" spans="1:14">
      <c r="H1970" t="s">
        <v>9425</v>
      </c>
      <c r="I1970" t="s">
        <v>1357</v>
      </c>
      <c r="J1970" t="s">
        <v>1357</v>
      </c>
      <c r="K1970" t="s">
        <v>1357</v>
      </c>
      <c r="L1970" t="s">
        <v>1357</v>
      </c>
    </row>
    <row r="1971" spans="1:14">
      <c r="H1971" t="s">
        <v>9426</v>
      </c>
      <c r="I1971" t="s">
        <v>1357</v>
      </c>
      <c r="J1971" t="s">
        <v>1357</v>
      </c>
      <c r="K1971" t="s">
        <v>1357</v>
      </c>
      <c r="L1971" t="s">
        <v>1357</v>
      </c>
    </row>
    <row r="1972" spans="1:14">
      <c r="H1972" t="s">
        <v>9427</v>
      </c>
      <c r="I1972" t="s">
        <v>1357</v>
      </c>
      <c r="J1972" t="s">
        <v>1357</v>
      </c>
      <c r="K1972" t="s">
        <v>1357</v>
      </c>
      <c r="L1972" t="s">
        <v>1357</v>
      </c>
    </row>
    <row r="1973" spans="1:14">
      <c r="H1973" t="s">
        <v>9428</v>
      </c>
      <c r="I1973" t="s">
        <v>1357</v>
      </c>
      <c r="J1973" t="s">
        <v>1357</v>
      </c>
      <c r="K1973" t="s">
        <v>1357</v>
      </c>
      <c r="L1973" t="s">
        <v>1357</v>
      </c>
    </row>
    <row r="1974" spans="1:14">
      <c r="H1974" t="s">
        <v>9429</v>
      </c>
      <c r="I1974" t="s">
        <v>1357</v>
      </c>
      <c r="J1974" t="s">
        <v>1357</v>
      </c>
      <c r="K1974" t="s">
        <v>1357</v>
      </c>
      <c r="L1974" t="s">
        <v>1357</v>
      </c>
    </row>
    <row r="1975" spans="1:14">
      <c r="H1975" t="s">
        <v>9430</v>
      </c>
      <c r="I1975" t="s">
        <v>1357</v>
      </c>
      <c r="J1975" t="s">
        <v>1357</v>
      </c>
      <c r="K1975" t="s">
        <v>1357</v>
      </c>
      <c r="L1975" t="s">
        <v>1357</v>
      </c>
    </row>
    <row r="1976" spans="1:14">
      <c r="H1976" t="s">
        <v>9431</v>
      </c>
      <c r="I1976" t="s">
        <v>1357</v>
      </c>
      <c r="J1976" t="s">
        <v>1357</v>
      </c>
      <c r="K1976" t="s">
        <v>1357</v>
      </c>
      <c r="L1976" t="s">
        <v>1357</v>
      </c>
    </row>
    <row r="1977" spans="1:14">
      <c r="H1977" t="s">
        <v>9432</v>
      </c>
      <c r="I1977" t="s">
        <v>1357</v>
      </c>
      <c r="J1977" t="s">
        <v>1357</v>
      </c>
      <c r="K1977" t="s">
        <v>1357</v>
      </c>
      <c r="L1977" t="s">
        <v>1357</v>
      </c>
    </row>
    <row r="1978" spans="1:14">
      <c r="H1978" t="s">
        <v>9433</v>
      </c>
      <c r="I1978" t="s">
        <v>1357</v>
      </c>
      <c r="J1978" t="s">
        <v>1357</v>
      </c>
      <c r="K1978" t="s">
        <v>1357</v>
      </c>
      <c r="L1978" t="s">
        <v>1357</v>
      </c>
    </row>
    <row r="1979" spans="1:14">
      <c r="H1979" t="s">
        <v>9434</v>
      </c>
      <c r="I1979" t="s">
        <v>1357</v>
      </c>
      <c r="J1979" t="s">
        <v>1357</v>
      </c>
      <c r="K1979" t="s">
        <v>1357</v>
      </c>
      <c r="L1979" t="s">
        <v>1357</v>
      </c>
    </row>
    <row r="1980" spans="1:14">
      <c r="H1980" t="s">
        <v>9435</v>
      </c>
      <c r="I1980" t="s">
        <v>1357</v>
      </c>
      <c r="J1980" t="s">
        <v>1357</v>
      </c>
      <c r="K1980" t="s">
        <v>1357</v>
      </c>
      <c r="L1980" t="s">
        <v>1357</v>
      </c>
    </row>
    <row r="1981" spans="1:14">
      <c r="A1981" t="s">
        <v>6385</v>
      </c>
      <c r="B1981">
        <f>HYPERLINK("https://github.com/pmd/pmd/commit/9dca569cc4efd99bca4165f1d6beb16df5467f05", "9dca569cc4efd99bca4165f1d6beb16df5467f05")</f>
        <v>0</v>
      </c>
      <c r="C1981">
        <f>HYPERLINK("https://github.com/pmd/pmd/commit/48294ae66839810d221a809fd32fb7a0c46b6285", "48294ae66839810d221a809fd32fb7a0c46b6285")</f>
        <v>0</v>
      </c>
      <c r="D1981" t="s">
        <v>6509</v>
      </c>
      <c r="E1981" t="s">
        <v>6841</v>
      </c>
      <c r="F1981" t="s">
        <v>7547</v>
      </c>
      <c r="G1981" t="s">
        <v>7791</v>
      </c>
      <c r="H1981" t="s">
        <v>9436</v>
      </c>
      <c r="I1981" t="s">
        <v>1357</v>
      </c>
      <c r="J1981" t="s">
        <v>1357</v>
      </c>
      <c r="K1981" t="s">
        <v>1357</v>
      </c>
      <c r="L1981" t="s">
        <v>1357</v>
      </c>
      <c r="N1981" t="s">
        <v>9968</v>
      </c>
    </row>
    <row r="1982" spans="1:14">
      <c r="A1982" t="s">
        <v>6386</v>
      </c>
      <c r="B1982">
        <f>HYPERLINK("https://github.com/pmd/pmd/commit/400ca5dca5a52bdc93de17b0e06290f640914bd9", "400ca5dca5a52bdc93de17b0e06290f640914bd9")</f>
        <v>0</v>
      </c>
      <c r="C1982">
        <f>HYPERLINK("https://github.com/pmd/pmd/commit/e9cc7e00ef1c5f1ead4c32a69474fa6ddfc93f7e", "e9cc7e00ef1c5f1ead4c32a69474fa6ddfc93f7e")</f>
        <v>0</v>
      </c>
      <c r="D1982" t="s">
        <v>6509</v>
      </c>
      <c r="E1982" t="s">
        <v>6842</v>
      </c>
      <c r="F1982" t="s">
        <v>7587</v>
      </c>
      <c r="G1982" t="s">
        <v>8242</v>
      </c>
      <c r="H1982" t="s">
        <v>9437</v>
      </c>
      <c r="I1982" t="s">
        <v>1357</v>
      </c>
      <c r="J1982" t="s">
        <v>1357</v>
      </c>
      <c r="K1982" t="s">
        <v>1357</v>
      </c>
      <c r="L1982" t="s">
        <v>1357</v>
      </c>
    </row>
    <row r="1983" spans="1:14">
      <c r="A1983" t="s">
        <v>6387</v>
      </c>
      <c r="B1983">
        <f>HYPERLINK("https://github.com/pmd/pmd/commit/13cacee11f5a398d0da5abb0f9e6b367296eda90", "13cacee11f5a398d0da5abb0f9e6b367296eda90")</f>
        <v>0</v>
      </c>
      <c r="C1983">
        <f>HYPERLINK("https://github.com/pmd/pmd/commit/9c9f9c458b18c4775dc5fdeba5938724b4176563", "9c9f9c458b18c4775dc5fdeba5938724b4176563")</f>
        <v>0</v>
      </c>
      <c r="D1983" t="s">
        <v>6509</v>
      </c>
      <c r="E1983" t="s">
        <v>6843</v>
      </c>
      <c r="F1983" t="s">
        <v>7587</v>
      </c>
      <c r="G1983" t="s">
        <v>8242</v>
      </c>
      <c r="H1983" t="s">
        <v>9438</v>
      </c>
      <c r="I1983" t="s">
        <v>1357</v>
      </c>
      <c r="J1983" t="s">
        <v>1357</v>
      </c>
      <c r="K1983" t="s">
        <v>1357</v>
      </c>
      <c r="L1983" t="s">
        <v>1357</v>
      </c>
    </row>
    <row r="1984" spans="1:14">
      <c r="H1984" t="s">
        <v>9439</v>
      </c>
      <c r="I1984" t="s">
        <v>1357</v>
      </c>
      <c r="J1984" t="s">
        <v>1357</v>
      </c>
      <c r="K1984" t="s">
        <v>1357</v>
      </c>
      <c r="L1984" t="s">
        <v>1357</v>
      </c>
    </row>
    <row r="1985" spans="6:12">
      <c r="H1985" t="s">
        <v>9440</v>
      </c>
      <c r="I1985" t="s">
        <v>1357</v>
      </c>
      <c r="J1985" t="s">
        <v>1357</v>
      </c>
      <c r="K1985" t="s">
        <v>1357</v>
      </c>
      <c r="L1985" t="s">
        <v>1357</v>
      </c>
    </row>
    <row r="1986" spans="6:12">
      <c r="H1986" t="s">
        <v>9441</v>
      </c>
      <c r="I1986" t="s">
        <v>1357</v>
      </c>
      <c r="J1986" t="s">
        <v>1357</v>
      </c>
      <c r="K1986" t="s">
        <v>1357</v>
      </c>
      <c r="L1986" t="s">
        <v>1357</v>
      </c>
    </row>
    <row r="1987" spans="6:12">
      <c r="H1987" t="s">
        <v>9442</v>
      </c>
      <c r="I1987" t="s">
        <v>1357</v>
      </c>
      <c r="J1987" t="s">
        <v>1357</v>
      </c>
      <c r="K1987" t="s">
        <v>1357</v>
      </c>
      <c r="L1987" t="s">
        <v>1357</v>
      </c>
    </row>
    <row r="1988" spans="6:12">
      <c r="H1988" t="s">
        <v>9443</v>
      </c>
      <c r="I1988" t="s">
        <v>1357</v>
      </c>
      <c r="J1988" t="s">
        <v>1357</v>
      </c>
      <c r="K1988" t="s">
        <v>1357</v>
      </c>
      <c r="L1988" t="s">
        <v>1357</v>
      </c>
    </row>
    <row r="1989" spans="6:12">
      <c r="H1989" t="s">
        <v>9437</v>
      </c>
      <c r="I1989" t="s">
        <v>1357</v>
      </c>
      <c r="J1989" t="s">
        <v>1357</v>
      </c>
      <c r="K1989" t="s">
        <v>1357</v>
      </c>
      <c r="L1989" t="s">
        <v>1357</v>
      </c>
    </row>
    <row r="1990" spans="6:12">
      <c r="F1990" t="s">
        <v>7567</v>
      </c>
      <c r="G1990" t="s">
        <v>7786</v>
      </c>
      <c r="H1990" t="s">
        <v>9444</v>
      </c>
      <c r="I1990" t="s">
        <v>1357</v>
      </c>
      <c r="J1990" t="s">
        <v>1357</v>
      </c>
      <c r="K1990" t="s">
        <v>1357</v>
      </c>
      <c r="L1990" t="s">
        <v>1357</v>
      </c>
    </row>
    <row r="1991" spans="6:12">
      <c r="H1991" t="s">
        <v>9445</v>
      </c>
      <c r="I1991" t="s">
        <v>1357</v>
      </c>
      <c r="J1991" t="s">
        <v>1357</v>
      </c>
      <c r="K1991" t="s">
        <v>1357</v>
      </c>
      <c r="L1991" t="s">
        <v>1357</v>
      </c>
    </row>
    <row r="1992" spans="6:12">
      <c r="H1992" t="s">
        <v>9446</v>
      </c>
      <c r="I1992" t="s">
        <v>1357</v>
      </c>
      <c r="J1992" t="s">
        <v>1357</v>
      </c>
      <c r="K1992" t="s">
        <v>1357</v>
      </c>
      <c r="L1992" t="s">
        <v>1357</v>
      </c>
    </row>
    <row r="1993" spans="6:12">
      <c r="H1993" t="s">
        <v>9447</v>
      </c>
      <c r="I1993" t="s">
        <v>1357</v>
      </c>
      <c r="J1993" t="s">
        <v>1357</v>
      </c>
      <c r="K1993" t="s">
        <v>1357</v>
      </c>
      <c r="L1993" t="s">
        <v>1357</v>
      </c>
    </row>
    <row r="1994" spans="6:12">
      <c r="H1994" t="s">
        <v>9448</v>
      </c>
      <c r="I1994" t="s">
        <v>1357</v>
      </c>
      <c r="J1994" t="s">
        <v>1357</v>
      </c>
      <c r="K1994" t="s">
        <v>1357</v>
      </c>
      <c r="L1994" t="s">
        <v>1357</v>
      </c>
    </row>
    <row r="1995" spans="6:12">
      <c r="H1995" t="s">
        <v>9449</v>
      </c>
      <c r="I1995" t="s">
        <v>1357</v>
      </c>
      <c r="J1995" t="s">
        <v>1357</v>
      </c>
      <c r="K1995" t="s">
        <v>1357</v>
      </c>
      <c r="L1995" t="s">
        <v>1357</v>
      </c>
    </row>
    <row r="1996" spans="6:12">
      <c r="H1996" t="s">
        <v>9450</v>
      </c>
      <c r="I1996" t="s">
        <v>1357</v>
      </c>
      <c r="J1996" t="s">
        <v>1357</v>
      </c>
      <c r="K1996" t="s">
        <v>1357</v>
      </c>
      <c r="L1996" t="s">
        <v>1357</v>
      </c>
    </row>
    <row r="1997" spans="6:12">
      <c r="H1997" t="s">
        <v>9451</v>
      </c>
      <c r="I1997" t="s">
        <v>1357</v>
      </c>
      <c r="J1997" t="s">
        <v>1357</v>
      </c>
      <c r="K1997" t="s">
        <v>1357</v>
      </c>
      <c r="L1997" t="s">
        <v>1357</v>
      </c>
    </row>
    <row r="1998" spans="6:12">
      <c r="H1998" t="s">
        <v>9452</v>
      </c>
      <c r="I1998" t="s">
        <v>1357</v>
      </c>
      <c r="J1998" t="s">
        <v>1357</v>
      </c>
      <c r="K1998" t="s">
        <v>1357</v>
      </c>
      <c r="L1998" t="s">
        <v>1357</v>
      </c>
    </row>
    <row r="1999" spans="6:12">
      <c r="H1999" t="s">
        <v>9346</v>
      </c>
      <c r="I1999" t="s">
        <v>1357</v>
      </c>
      <c r="J1999" t="s">
        <v>1357</v>
      </c>
      <c r="K1999" t="s">
        <v>1357</v>
      </c>
      <c r="L1999" t="s">
        <v>1357</v>
      </c>
    </row>
    <row r="2000" spans="6:12">
      <c r="H2000" t="s">
        <v>9347</v>
      </c>
      <c r="I2000" t="s">
        <v>1357</v>
      </c>
      <c r="J2000" t="s">
        <v>1357</v>
      </c>
      <c r="K2000" t="s">
        <v>1357</v>
      </c>
      <c r="L2000" t="s">
        <v>1357</v>
      </c>
    </row>
    <row r="2001" spans="1:12">
      <c r="H2001" t="s">
        <v>9348</v>
      </c>
      <c r="I2001" t="s">
        <v>1357</v>
      </c>
      <c r="J2001" t="s">
        <v>1357</v>
      </c>
      <c r="K2001" t="s">
        <v>1357</v>
      </c>
      <c r="L2001" t="s">
        <v>1357</v>
      </c>
    </row>
    <row r="2002" spans="1:12">
      <c r="H2002" t="s">
        <v>9349</v>
      </c>
      <c r="I2002" t="s">
        <v>1357</v>
      </c>
      <c r="J2002" t="s">
        <v>1357</v>
      </c>
      <c r="K2002" t="s">
        <v>1357</v>
      </c>
      <c r="L2002" t="s">
        <v>1357</v>
      </c>
    </row>
    <row r="2003" spans="1:12">
      <c r="H2003" t="s">
        <v>9350</v>
      </c>
      <c r="I2003" t="s">
        <v>1357</v>
      </c>
      <c r="J2003" t="s">
        <v>1357</v>
      </c>
      <c r="K2003" t="s">
        <v>1357</v>
      </c>
      <c r="L2003" t="s">
        <v>1357</v>
      </c>
    </row>
    <row r="2004" spans="1:12">
      <c r="H2004" t="s">
        <v>9351</v>
      </c>
      <c r="I2004" t="s">
        <v>1357</v>
      </c>
      <c r="J2004" t="s">
        <v>1357</v>
      </c>
      <c r="K2004" t="s">
        <v>1357</v>
      </c>
      <c r="L2004" t="s">
        <v>1357</v>
      </c>
    </row>
    <row r="2005" spans="1:12">
      <c r="H2005" t="s">
        <v>9352</v>
      </c>
      <c r="I2005" t="s">
        <v>1357</v>
      </c>
      <c r="J2005" t="s">
        <v>1357</v>
      </c>
      <c r="K2005" t="s">
        <v>1357</v>
      </c>
      <c r="L2005" t="s">
        <v>1357</v>
      </c>
    </row>
    <row r="2006" spans="1:12">
      <c r="H2006" t="s">
        <v>9453</v>
      </c>
      <c r="I2006" t="s">
        <v>1357</v>
      </c>
      <c r="J2006" t="s">
        <v>1357</v>
      </c>
      <c r="K2006" t="s">
        <v>1357</v>
      </c>
      <c r="L2006" t="s">
        <v>1357</v>
      </c>
    </row>
    <row r="2007" spans="1:12">
      <c r="H2007" t="s">
        <v>8731</v>
      </c>
      <c r="I2007" t="s">
        <v>1357</v>
      </c>
      <c r="J2007" t="s">
        <v>1357</v>
      </c>
      <c r="K2007" t="s">
        <v>1357</v>
      </c>
      <c r="L2007" t="s">
        <v>1357</v>
      </c>
    </row>
    <row r="2008" spans="1:12">
      <c r="H2008" t="s">
        <v>9454</v>
      </c>
      <c r="I2008" t="s">
        <v>1357</v>
      </c>
      <c r="J2008" t="s">
        <v>1357</v>
      </c>
      <c r="K2008" t="s">
        <v>1357</v>
      </c>
      <c r="L2008" t="s">
        <v>1357</v>
      </c>
    </row>
    <row r="2009" spans="1:12">
      <c r="H2009" t="s">
        <v>9455</v>
      </c>
      <c r="I2009" t="s">
        <v>1357</v>
      </c>
      <c r="J2009" t="s">
        <v>1357</v>
      </c>
      <c r="K2009" t="s">
        <v>1357</v>
      </c>
      <c r="L2009" t="s">
        <v>1357</v>
      </c>
    </row>
    <row r="2010" spans="1:12">
      <c r="H2010" t="s">
        <v>9456</v>
      </c>
      <c r="I2010" t="s">
        <v>1357</v>
      </c>
      <c r="J2010" t="s">
        <v>1357</v>
      </c>
      <c r="K2010" t="s">
        <v>1357</v>
      </c>
      <c r="L2010" t="s">
        <v>1357</v>
      </c>
    </row>
    <row r="2011" spans="1:12">
      <c r="H2011" t="s">
        <v>9457</v>
      </c>
      <c r="I2011" t="s">
        <v>1357</v>
      </c>
      <c r="J2011" t="s">
        <v>1357</v>
      </c>
      <c r="K2011" t="s">
        <v>1357</v>
      </c>
      <c r="L2011" t="s">
        <v>1357</v>
      </c>
    </row>
    <row r="2012" spans="1:12">
      <c r="A2012" t="s">
        <v>6388</v>
      </c>
      <c r="B2012">
        <f>HYPERLINK("https://github.com/pmd/pmd/commit/cda02a2754da66653bea6ea569f7739f2e954747", "cda02a2754da66653bea6ea569f7739f2e954747")</f>
        <v>0</v>
      </c>
      <c r="C2012">
        <f>HYPERLINK("https://github.com/pmd/pmd/commit/0b776f338abff64bb10ef1da30caa25ad70dbccb", "0b776f338abff64bb10ef1da30caa25ad70dbccb")</f>
        <v>0</v>
      </c>
      <c r="D2012" t="s">
        <v>6509</v>
      </c>
      <c r="E2012" t="s">
        <v>6844</v>
      </c>
      <c r="F2012" t="s">
        <v>7588</v>
      </c>
      <c r="G2012" t="s">
        <v>8243</v>
      </c>
      <c r="H2012" t="s">
        <v>9458</v>
      </c>
      <c r="I2012" t="s">
        <v>1357</v>
      </c>
      <c r="J2012" t="s">
        <v>1357</v>
      </c>
      <c r="K2012" t="s">
        <v>1357</v>
      </c>
      <c r="L2012" t="s">
        <v>1357</v>
      </c>
    </row>
    <row r="2013" spans="1:12">
      <c r="H2013" t="s">
        <v>9459</v>
      </c>
      <c r="I2013" t="s">
        <v>1357</v>
      </c>
      <c r="J2013" t="s">
        <v>1357</v>
      </c>
      <c r="K2013" t="s">
        <v>1357</v>
      </c>
      <c r="L2013" t="s">
        <v>1357</v>
      </c>
    </row>
    <row r="2014" spans="1:12">
      <c r="H2014" t="s">
        <v>9460</v>
      </c>
      <c r="I2014" t="s">
        <v>1357</v>
      </c>
      <c r="J2014" t="s">
        <v>1357</v>
      </c>
      <c r="K2014" t="s">
        <v>1357</v>
      </c>
      <c r="L2014" t="s">
        <v>1357</v>
      </c>
    </row>
    <row r="2015" spans="1:12">
      <c r="H2015" t="s">
        <v>9461</v>
      </c>
      <c r="I2015" t="s">
        <v>1357</v>
      </c>
      <c r="J2015" t="s">
        <v>1357</v>
      </c>
      <c r="K2015" t="s">
        <v>1357</v>
      </c>
      <c r="L2015" t="s">
        <v>1357</v>
      </c>
    </row>
    <row r="2016" spans="1:12">
      <c r="H2016" t="s">
        <v>9462</v>
      </c>
      <c r="I2016" t="s">
        <v>1357</v>
      </c>
      <c r="J2016" t="s">
        <v>1357</v>
      </c>
      <c r="K2016" t="s">
        <v>1357</v>
      </c>
      <c r="L2016" t="s">
        <v>1357</v>
      </c>
    </row>
    <row r="2017" spans="1:14">
      <c r="F2017" t="s">
        <v>7589</v>
      </c>
      <c r="G2017" t="s">
        <v>8244</v>
      </c>
      <c r="H2017" t="s">
        <v>9463</v>
      </c>
      <c r="I2017" t="s">
        <v>1357</v>
      </c>
      <c r="J2017" t="s">
        <v>1357</v>
      </c>
      <c r="K2017" t="s">
        <v>1357</v>
      </c>
      <c r="L2017" t="s">
        <v>1357</v>
      </c>
    </row>
    <row r="2018" spans="1:14">
      <c r="A2018" t="s">
        <v>6389</v>
      </c>
      <c r="B2018">
        <f>HYPERLINK("https://github.com/pmd/pmd/commit/e6f5b4c5f32841f17670b7ec157d33aa89451f1f", "e6f5b4c5f32841f17670b7ec157d33aa89451f1f")</f>
        <v>0</v>
      </c>
      <c r="C2018">
        <f>HYPERLINK("https://github.com/pmd/pmd/commit/7beb2824c18a245f8935ea6264b61bb117133dea", "7beb2824c18a245f8935ea6264b61bb117133dea")</f>
        <v>0</v>
      </c>
      <c r="D2018" t="s">
        <v>6509</v>
      </c>
      <c r="E2018" t="s">
        <v>6845</v>
      </c>
      <c r="F2018" t="s">
        <v>7590</v>
      </c>
      <c r="G2018" t="s">
        <v>8245</v>
      </c>
      <c r="H2018" t="s">
        <v>9464</v>
      </c>
      <c r="I2018" t="s">
        <v>1357</v>
      </c>
      <c r="J2018" t="s">
        <v>1357</v>
      </c>
      <c r="K2018" t="s">
        <v>1357</v>
      </c>
      <c r="L2018" t="s">
        <v>1357</v>
      </c>
    </row>
    <row r="2019" spans="1:14">
      <c r="A2019" t="s">
        <v>6389</v>
      </c>
      <c r="B2019">
        <f>HYPERLINK("https://github.com/pmd/pmd/commit/3a445493a1b78e0b8625f9f61359107cb56b7392", "3a445493a1b78e0b8625f9f61359107cb56b7392")</f>
        <v>0</v>
      </c>
      <c r="C2019">
        <f>HYPERLINK("https://github.com/pmd/pmd/commit/e6f5b4c5f32841f17670b7ec157d33aa89451f1f", "e6f5b4c5f32841f17670b7ec157d33aa89451f1f")</f>
        <v>0</v>
      </c>
      <c r="D2019" t="s">
        <v>6509</v>
      </c>
      <c r="E2019" t="s">
        <v>6846</v>
      </c>
      <c r="F2019" t="s">
        <v>7590</v>
      </c>
      <c r="G2019" t="s">
        <v>8245</v>
      </c>
      <c r="H2019" t="s">
        <v>9200</v>
      </c>
      <c r="I2019" t="s">
        <v>1358</v>
      </c>
      <c r="J2019" t="s">
        <v>1358</v>
      </c>
      <c r="K2019" t="s">
        <v>1358</v>
      </c>
      <c r="L2019" t="s">
        <v>1358</v>
      </c>
    </row>
    <row r="2020" spans="1:14">
      <c r="H2020" t="s">
        <v>9201</v>
      </c>
      <c r="I2020" t="s">
        <v>1358</v>
      </c>
      <c r="J2020" t="s">
        <v>1358</v>
      </c>
      <c r="K2020" t="s">
        <v>1358</v>
      </c>
      <c r="L2020" t="s">
        <v>1358</v>
      </c>
    </row>
    <row r="2021" spans="1:14">
      <c r="H2021" t="s">
        <v>9202</v>
      </c>
      <c r="I2021" t="s">
        <v>1358</v>
      </c>
      <c r="J2021" t="s">
        <v>1358</v>
      </c>
      <c r="K2021" t="s">
        <v>1358</v>
      </c>
      <c r="L2021" t="s">
        <v>1358</v>
      </c>
    </row>
    <row r="2022" spans="1:14">
      <c r="H2022" t="s">
        <v>9203</v>
      </c>
      <c r="I2022" t="s">
        <v>1358</v>
      </c>
      <c r="J2022" t="s">
        <v>1358</v>
      </c>
      <c r="K2022" t="s">
        <v>1358</v>
      </c>
      <c r="L2022" t="s">
        <v>1358</v>
      </c>
    </row>
    <row r="2023" spans="1:14">
      <c r="A2023" t="s">
        <v>6390</v>
      </c>
      <c r="B2023">
        <f>HYPERLINK("https://github.com/pmd/pmd/commit/52ed41c027e14041ca216a7bd668f65fcb72c725", "52ed41c027e14041ca216a7bd668f65fcb72c725")</f>
        <v>0</v>
      </c>
      <c r="C2023">
        <f>HYPERLINK("https://github.com/pmd/pmd/commit/87c4d84d6115fcf9040a411e876c0c7a0dd0c1c3", "87c4d84d6115fcf9040a411e876c0c7a0dd0c1c3")</f>
        <v>0</v>
      </c>
      <c r="D2023" t="s">
        <v>6509</v>
      </c>
      <c r="E2023" t="s">
        <v>6847</v>
      </c>
      <c r="F2023" t="s">
        <v>7591</v>
      </c>
      <c r="G2023" t="s">
        <v>8244</v>
      </c>
      <c r="H2023" t="s">
        <v>9458</v>
      </c>
      <c r="I2023" t="s">
        <v>1357</v>
      </c>
      <c r="J2023" t="s">
        <v>1357</v>
      </c>
      <c r="K2023" t="s">
        <v>1357</v>
      </c>
      <c r="L2023" t="s">
        <v>1357</v>
      </c>
      <c r="N2023" t="s">
        <v>1364</v>
      </c>
    </row>
    <row r="2024" spans="1:14">
      <c r="A2024" t="s">
        <v>6391</v>
      </c>
      <c r="B2024">
        <f>HYPERLINK("https://github.com/pmd/pmd/commit/8c824412656774a46ade0e9b69c3d8c33165f5e0", "8c824412656774a46ade0e9b69c3d8c33165f5e0")</f>
        <v>0</v>
      </c>
      <c r="C2024">
        <f>HYPERLINK("https://github.com/pmd/pmd/commit/9ff844921b6f41ea953f41b61d62f6ab316f4188", "9ff844921b6f41ea953f41b61d62f6ab316f4188")</f>
        <v>0</v>
      </c>
      <c r="D2024" t="s">
        <v>6509</v>
      </c>
      <c r="E2024" t="s">
        <v>6848</v>
      </c>
      <c r="F2024" t="s">
        <v>7592</v>
      </c>
      <c r="G2024" t="s">
        <v>8246</v>
      </c>
      <c r="H2024" t="s">
        <v>9465</v>
      </c>
      <c r="I2024" t="s">
        <v>1357</v>
      </c>
      <c r="J2024" t="s">
        <v>1357</v>
      </c>
      <c r="K2024" t="s">
        <v>1357</v>
      </c>
      <c r="L2024" t="s">
        <v>1357</v>
      </c>
    </row>
    <row r="2025" spans="1:14">
      <c r="A2025" t="s">
        <v>6392</v>
      </c>
      <c r="B2025">
        <f>HYPERLINK("https://github.com/pmd/pmd/commit/9af5268605a469498d6beee3767da9cc738278e3", "9af5268605a469498d6beee3767da9cc738278e3")</f>
        <v>0</v>
      </c>
      <c r="C2025">
        <f>HYPERLINK("https://github.com/pmd/pmd/commit/cc23b61b0308167ed0ea16cbc3bc30d11659b298", "cc23b61b0308167ed0ea16cbc3bc30d11659b298")</f>
        <v>0</v>
      </c>
      <c r="D2025" t="s">
        <v>6509</v>
      </c>
      <c r="E2025" t="s">
        <v>6849</v>
      </c>
      <c r="F2025" t="s">
        <v>7593</v>
      </c>
      <c r="G2025" t="s">
        <v>8247</v>
      </c>
      <c r="H2025" t="s">
        <v>9466</v>
      </c>
      <c r="I2025" t="s">
        <v>1357</v>
      </c>
      <c r="J2025" t="s">
        <v>1357</v>
      </c>
      <c r="K2025" t="s">
        <v>1357</v>
      </c>
      <c r="L2025" t="s">
        <v>1357</v>
      </c>
    </row>
    <row r="2026" spans="1:14">
      <c r="H2026" t="s">
        <v>9467</v>
      </c>
      <c r="I2026" t="s">
        <v>1357</v>
      </c>
      <c r="J2026" t="s">
        <v>1357</v>
      </c>
      <c r="K2026" t="s">
        <v>1357</v>
      </c>
      <c r="L2026" t="s">
        <v>1357</v>
      </c>
    </row>
    <row r="2027" spans="1:14">
      <c r="H2027" t="s">
        <v>9468</v>
      </c>
      <c r="I2027" t="s">
        <v>1357</v>
      </c>
      <c r="J2027" t="s">
        <v>1357</v>
      </c>
      <c r="K2027" t="s">
        <v>1357</v>
      </c>
      <c r="L2027" t="s">
        <v>1357</v>
      </c>
    </row>
    <row r="2028" spans="1:14">
      <c r="A2028" t="s">
        <v>6392</v>
      </c>
      <c r="B2028">
        <f>HYPERLINK("https://github.com/pmd/pmd/commit/28bf4d918e022309e246b59479266872b2afd151", "28bf4d918e022309e246b59479266872b2afd151")</f>
        <v>0</v>
      </c>
      <c r="C2028">
        <f>HYPERLINK("https://github.com/pmd/pmd/commit/1b68a2683ffeab873ceb6ab1919fec90e9b5a68c", "1b68a2683ffeab873ceb6ab1919fec90e9b5a68c")</f>
        <v>0</v>
      </c>
      <c r="D2028" t="s">
        <v>6509</v>
      </c>
      <c r="E2028" t="s">
        <v>6850</v>
      </c>
      <c r="F2028" t="s">
        <v>7594</v>
      </c>
      <c r="G2028" t="s">
        <v>8248</v>
      </c>
      <c r="H2028" t="s">
        <v>9469</v>
      </c>
      <c r="I2028" t="s">
        <v>1358</v>
      </c>
      <c r="J2028" t="s">
        <v>1358</v>
      </c>
      <c r="K2028" t="s">
        <v>1358</v>
      </c>
      <c r="L2028" t="s">
        <v>1358</v>
      </c>
    </row>
    <row r="2029" spans="1:14">
      <c r="A2029" t="s">
        <v>6393</v>
      </c>
      <c r="B2029">
        <f>HYPERLINK("https://github.com/pmd/pmd/commit/21aa2efbbff7993b0b451d7e74783247c273d16c", "21aa2efbbff7993b0b451d7e74783247c273d16c")</f>
        <v>0</v>
      </c>
      <c r="C2029">
        <f>HYPERLINK("https://github.com/pmd/pmd/commit/c13951ee46a630af84f599b5209cf4f8b46e912b", "c13951ee46a630af84f599b5209cf4f8b46e912b")</f>
        <v>0</v>
      </c>
      <c r="D2029" t="s">
        <v>6509</v>
      </c>
      <c r="E2029" t="s">
        <v>6851</v>
      </c>
      <c r="F2029" t="s">
        <v>7595</v>
      </c>
      <c r="G2029" t="s">
        <v>8249</v>
      </c>
      <c r="H2029" t="s">
        <v>9470</v>
      </c>
      <c r="I2029" t="s">
        <v>1357</v>
      </c>
      <c r="J2029" t="s">
        <v>1357</v>
      </c>
      <c r="K2029" t="s">
        <v>1357</v>
      </c>
      <c r="L2029" t="s">
        <v>1357</v>
      </c>
    </row>
    <row r="2030" spans="1:14">
      <c r="A2030" t="s">
        <v>6394</v>
      </c>
      <c r="B2030">
        <f>HYPERLINK("https://github.com/pmd/pmd/commit/1540ec6d9148fc14fc1673f4df1d33030d2ffcf7", "1540ec6d9148fc14fc1673f4df1d33030d2ffcf7")</f>
        <v>0</v>
      </c>
      <c r="C2030">
        <f>HYPERLINK("https://github.com/pmd/pmd/commit/ecc869926972f5437d20a72dce261497cbd2c44a", "ecc869926972f5437d20a72dce261497cbd2c44a")</f>
        <v>0</v>
      </c>
      <c r="D2030" t="s">
        <v>6509</v>
      </c>
      <c r="E2030" t="s">
        <v>6852</v>
      </c>
      <c r="F2030" t="s">
        <v>7596</v>
      </c>
      <c r="G2030" t="s">
        <v>8250</v>
      </c>
      <c r="H2030" t="s">
        <v>9033</v>
      </c>
      <c r="I2030" t="s">
        <v>1357</v>
      </c>
      <c r="J2030" t="s">
        <v>1357</v>
      </c>
      <c r="K2030" t="s">
        <v>1357</v>
      </c>
      <c r="L2030" t="s">
        <v>1357</v>
      </c>
    </row>
    <row r="2031" spans="1:14">
      <c r="A2031" t="s">
        <v>6395</v>
      </c>
      <c r="B2031">
        <f>HYPERLINK("https://github.com/pmd/pmd/commit/e48fc7cca259f0efcae7135ae27e5143b3e092af", "e48fc7cca259f0efcae7135ae27e5143b3e092af")</f>
        <v>0</v>
      </c>
      <c r="C2031">
        <f>HYPERLINK("https://github.com/pmd/pmd/commit/4e21c1a94776002778b88985529a009b0a9e56f3", "4e21c1a94776002778b88985529a009b0a9e56f3")</f>
        <v>0</v>
      </c>
      <c r="D2031" t="s">
        <v>6509</v>
      </c>
      <c r="E2031" t="s">
        <v>6853</v>
      </c>
      <c r="F2031" t="s">
        <v>7597</v>
      </c>
      <c r="G2031" t="s">
        <v>8251</v>
      </c>
      <c r="H2031" t="s">
        <v>3834</v>
      </c>
      <c r="I2031" t="s">
        <v>1358</v>
      </c>
      <c r="J2031" t="s">
        <v>1358</v>
      </c>
      <c r="K2031" t="s">
        <v>1358</v>
      </c>
      <c r="L2031" t="s">
        <v>1358</v>
      </c>
      <c r="N2031" t="s">
        <v>1369</v>
      </c>
    </row>
    <row r="2032" spans="1:14">
      <c r="H2032" t="s">
        <v>3835</v>
      </c>
      <c r="I2032" t="s">
        <v>1358</v>
      </c>
      <c r="J2032" t="s">
        <v>1358</v>
      </c>
      <c r="K2032" t="s">
        <v>1358</v>
      </c>
      <c r="L2032" t="s">
        <v>1358</v>
      </c>
      <c r="N2032" t="s">
        <v>1369</v>
      </c>
    </row>
    <row r="2033" spans="1:12">
      <c r="A2033" t="s">
        <v>6396</v>
      </c>
      <c r="B2033">
        <f>HYPERLINK("https://github.com/pmd/pmd/commit/551ab453fdf7a96f91f45cb71a209e98c26691fb", "551ab453fdf7a96f91f45cb71a209e98c26691fb")</f>
        <v>0</v>
      </c>
      <c r="C2033">
        <f>HYPERLINK("https://github.com/pmd/pmd/commit/0a1e82efad8a838da894ba8cbdbfa8d60a5fe005", "0a1e82efad8a838da894ba8cbdbfa8d60a5fe005")</f>
        <v>0</v>
      </c>
      <c r="D2033" t="s">
        <v>6509</v>
      </c>
      <c r="E2033" t="s">
        <v>6854</v>
      </c>
      <c r="F2033" t="s">
        <v>7598</v>
      </c>
      <c r="G2033" t="s">
        <v>8252</v>
      </c>
      <c r="H2033" t="s">
        <v>9471</v>
      </c>
      <c r="I2033" t="s">
        <v>1357</v>
      </c>
      <c r="J2033" t="s">
        <v>1357</v>
      </c>
      <c r="K2033" t="s">
        <v>1357</v>
      </c>
      <c r="L2033" t="s">
        <v>1357</v>
      </c>
    </row>
    <row r="2034" spans="1:12">
      <c r="H2034" t="s">
        <v>9472</v>
      </c>
      <c r="I2034" t="s">
        <v>1357</v>
      </c>
      <c r="J2034" t="s">
        <v>1357</v>
      </c>
      <c r="K2034" t="s">
        <v>1357</v>
      </c>
      <c r="L2034" t="s">
        <v>1357</v>
      </c>
    </row>
    <row r="2035" spans="1:12">
      <c r="H2035" t="s">
        <v>9161</v>
      </c>
      <c r="I2035" t="s">
        <v>1357</v>
      </c>
      <c r="J2035" t="s">
        <v>1357</v>
      </c>
      <c r="K2035" t="s">
        <v>1357</v>
      </c>
      <c r="L2035" t="s">
        <v>1357</v>
      </c>
    </row>
    <row r="2036" spans="1:12">
      <c r="H2036" t="s">
        <v>9162</v>
      </c>
      <c r="I2036" t="s">
        <v>1357</v>
      </c>
      <c r="J2036" t="s">
        <v>1357</v>
      </c>
      <c r="K2036" t="s">
        <v>1357</v>
      </c>
      <c r="L2036" t="s">
        <v>1357</v>
      </c>
    </row>
    <row r="2037" spans="1:12">
      <c r="F2037" t="s">
        <v>7507</v>
      </c>
      <c r="G2037" t="s">
        <v>8187</v>
      </c>
      <c r="H2037" t="s">
        <v>9473</v>
      </c>
      <c r="I2037" t="s">
        <v>1359</v>
      </c>
      <c r="J2037" t="s">
        <v>1358</v>
      </c>
      <c r="K2037" t="s">
        <v>1358</v>
      </c>
      <c r="L2037" t="s">
        <v>1357</v>
      </c>
    </row>
    <row r="2038" spans="1:12">
      <c r="H2038" t="s">
        <v>9474</v>
      </c>
      <c r="I2038" t="s">
        <v>1359</v>
      </c>
      <c r="J2038" t="s">
        <v>1358</v>
      </c>
      <c r="K2038" t="s">
        <v>1358</v>
      </c>
      <c r="L2038" t="s">
        <v>1357</v>
      </c>
    </row>
    <row r="2039" spans="1:12">
      <c r="H2039" t="s">
        <v>9475</v>
      </c>
      <c r="I2039" t="s">
        <v>1359</v>
      </c>
      <c r="J2039" t="s">
        <v>1358</v>
      </c>
      <c r="K2039" t="s">
        <v>1358</v>
      </c>
      <c r="L2039" t="s">
        <v>1357</v>
      </c>
    </row>
    <row r="2040" spans="1:12">
      <c r="H2040" t="s">
        <v>9476</v>
      </c>
      <c r="I2040" t="s">
        <v>1359</v>
      </c>
      <c r="J2040" t="s">
        <v>1358</v>
      </c>
      <c r="K2040" t="s">
        <v>1358</v>
      </c>
      <c r="L2040" t="s">
        <v>1357</v>
      </c>
    </row>
    <row r="2041" spans="1:12">
      <c r="H2041" t="s">
        <v>9477</v>
      </c>
      <c r="I2041" t="s">
        <v>1359</v>
      </c>
      <c r="J2041" t="s">
        <v>1358</v>
      </c>
      <c r="K2041" t="s">
        <v>1358</v>
      </c>
      <c r="L2041" t="s">
        <v>1357</v>
      </c>
    </row>
    <row r="2042" spans="1:12">
      <c r="H2042" t="s">
        <v>9478</v>
      </c>
      <c r="I2042" t="s">
        <v>1359</v>
      </c>
      <c r="J2042" t="s">
        <v>1358</v>
      </c>
      <c r="K2042" t="s">
        <v>1358</v>
      </c>
      <c r="L2042" t="s">
        <v>1357</v>
      </c>
    </row>
    <row r="2043" spans="1:12">
      <c r="H2043" t="s">
        <v>9479</v>
      </c>
      <c r="I2043" t="s">
        <v>1359</v>
      </c>
      <c r="J2043" t="s">
        <v>1358</v>
      </c>
      <c r="K2043" t="s">
        <v>1358</v>
      </c>
      <c r="L2043" t="s">
        <v>1357</v>
      </c>
    </row>
    <row r="2044" spans="1:12">
      <c r="H2044" t="s">
        <v>9480</v>
      </c>
      <c r="I2044" t="s">
        <v>1359</v>
      </c>
      <c r="J2044" t="s">
        <v>1358</v>
      </c>
      <c r="K2044" t="s">
        <v>1358</v>
      </c>
      <c r="L2044" t="s">
        <v>1357</v>
      </c>
    </row>
    <row r="2045" spans="1:12">
      <c r="H2045" t="s">
        <v>9481</v>
      </c>
      <c r="I2045" t="s">
        <v>1359</v>
      </c>
      <c r="J2045" t="s">
        <v>1358</v>
      </c>
      <c r="K2045" t="s">
        <v>1358</v>
      </c>
      <c r="L2045" t="s">
        <v>1357</v>
      </c>
    </row>
    <row r="2046" spans="1:12">
      <c r="H2046" t="s">
        <v>9482</v>
      </c>
      <c r="I2046" t="s">
        <v>1359</v>
      </c>
      <c r="J2046" t="s">
        <v>1358</v>
      </c>
      <c r="K2046" t="s">
        <v>1358</v>
      </c>
      <c r="L2046" t="s">
        <v>1357</v>
      </c>
    </row>
    <row r="2047" spans="1:12">
      <c r="H2047" t="s">
        <v>9483</v>
      </c>
      <c r="I2047" t="s">
        <v>1359</v>
      </c>
      <c r="J2047" t="s">
        <v>1358</v>
      </c>
      <c r="K2047" t="s">
        <v>1358</v>
      </c>
      <c r="L2047" t="s">
        <v>1357</v>
      </c>
    </row>
    <row r="2048" spans="1:12">
      <c r="H2048" t="s">
        <v>9484</v>
      </c>
      <c r="I2048" t="s">
        <v>1359</v>
      </c>
      <c r="J2048" t="s">
        <v>1358</v>
      </c>
      <c r="K2048" t="s">
        <v>1358</v>
      </c>
      <c r="L2048" t="s">
        <v>1357</v>
      </c>
    </row>
    <row r="2049" spans="1:14">
      <c r="H2049" t="s">
        <v>9485</v>
      </c>
      <c r="I2049" t="s">
        <v>1359</v>
      </c>
      <c r="J2049" t="s">
        <v>1358</v>
      </c>
      <c r="K2049" t="s">
        <v>1358</v>
      </c>
      <c r="L2049" t="s">
        <v>1357</v>
      </c>
    </row>
    <row r="2050" spans="1:14">
      <c r="H2050" t="s">
        <v>9486</v>
      </c>
      <c r="I2050" t="s">
        <v>1359</v>
      </c>
      <c r="J2050" t="s">
        <v>1358</v>
      </c>
      <c r="K2050" t="s">
        <v>1358</v>
      </c>
      <c r="L2050" t="s">
        <v>1357</v>
      </c>
    </row>
    <row r="2051" spans="1:14">
      <c r="H2051" t="s">
        <v>9487</v>
      </c>
      <c r="I2051" t="s">
        <v>1359</v>
      </c>
      <c r="J2051" t="s">
        <v>1358</v>
      </c>
      <c r="K2051" t="s">
        <v>1358</v>
      </c>
      <c r="L2051" t="s">
        <v>1357</v>
      </c>
      <c r="M2051" t="s">
        <v>9925</v>
      </c>
    </row>
    <row r="2052" spans="1:14">
      <c r="H2052" t="s">
        <v>9488</v>
      </c>
      <c r="I2052" t="s">
        <v>1359</v>
      </c>
      <c r="J2052" t="s">
        <v>1358</v>
      </c>
      <c r="K2052" t="s">
        <v>1358</v>
      </c>
      <c r="L2052" t="s">
        <v>1357</v>
      </c>
    </row>
    <row r="2053" spans="1:14">
      <c r="H2053" t="s">
        <v>9489</v>
      </c>
      <c r="I2053" t="s">
        <v>1359</v>
      </c>
      <c r="J2053" t="s">
        <v>1358</v>
      </c>
      <c r="K2053" t="s">
        <v>1358</v>
      </c>
      <c r="L2053" t="s">
        <v>1357</v>
      </c>
    </row>
    <row r="2054" spans="1:14">
      <c r="A2054" t="s">
        <v>6397</v>
      </c>
      <c r="B2054">
        <f>HYPERLINK("https://github.com/pmd/pmd/commit/709996fddc68c5c2ef791eb4cc9d4a18dfd9213b", "709996fddc68c5c2ef791eb4cc9d4a18dfd9213b")</f>
        <v>0</v>
      </c>
      <c r="C2054">
        <f>HYPERLINK("https://github.com/pmd/pmd/commit/551ab453fdf7a96f91f45cb71a209e98c26691fb", "551ab453fdf7a96f91f45cb71a209e98c26691fb")</f>
        <v>0</v>
      </c>
      <c r="D2054" t="s">
        <v>6509</v>
      </c>
      <c r="E2054" t="s">
        <v>6855</v>
      </c>
      <c r="F2054" t="s">
        <v>7507</v>
      </c>
      <c r="G2054" t="s">
        <v>8187</v>
      </c>
      <c r="H2054" t="s">
        <v>9490</v>
      </c>
      <c r="I2054" t="s">
        <v>1358</v>
      </c>
      <c r="J2054" t="s">
        <v>1358</v>
      </c>
      <c r="K2054" t="s">
        <v>1358</v>
      </c>
      <c r="L2054" t="s">
        <v>1358</v>
      </c>
      <c r="N2054" t="s">
        <v>1363</v>
      </c>
    </row>
    <row r="2055" spans="1:14">
      <c r="A2055" t="s">
        <v>6398</v>
      </c>
      <c r="B2055">
        <f>HYPERLINK("https://github.com/pmd/pmd/commit/344d02600c4e8551ec9b07c88eef10946aa9d07d", "344d02600c4e8551ec9b07c88eef10946aa9d07d")</f>
        <v>0</v>
      </c>
      <c r="C2055">
        <f>HYPERLINK("https://github.com/pmd/pmd/commit/709996fddc68c5c2ef791eb4cc9d4a18dfd9213b", "709996fddc68c5c2ef791eb4cc9d4a18dfd9213b")</f>
        <v>0</v>
      </c>
      <c r="D2055" t="s">
        <v>6509</v>
      </c>
      <c r="E2055" t="s">
        <v>6856</v>
      </c>
      <c r="F2055" t="s">
        <v>7599</v>
      </c>
      <c r="G2055" t="s">
        <v>8253</v>
      </c>
      <c r="H2055" t="s">
        <v>3834</v>
      </c>
      <c r="I2055" t="s">
        <v>1357</v>
      </c>
      <c r="J2055" t="s">
        <v>1357</v>
      </c>
      <c r="K2055" t="s">
        <v>1357</v>
      </c>
      <c r="L2055" t="s">
        <v>1357</v>
      </c>
    </row>
    <row r="2056" spans="1:14">
      <c r="H2056" t="s">
        <v>3835</v>
      </c>
      <c r="I2056" t="s">
        <v>1359</v>
      </c>
      <c r="J2056" t="s">
        <v>1358</v>
      </c>
      <c r="K2056" t="s">
        <v>1358</v>
      </c>
      <c r="L2056" t="s">
        <v>1357</v>
      </c>
    </row>
    <row r="2057" spans="1:14">
      <c r="H2057" t="s">
        <v>9491</v>
      </c>
      <c r="I2057" t="s">
        <v>1359</v>
      </c>
      <c r="J2057" t="s">
        <v>1358</v>
      </c>
      <c r="K2057" t="s">
        <v>1358</v>
      </c>
      <c r="L2057" t="s">
        <v>1357</v>
      </c>
    </row>
    <row r="2058" spans="1:14">
      <c r="H2058" t="s">
        <v>9492</v>
      </c>
      <c r="I2058" t="s">
        <v>1359</v>
      </c>
      <c r="J2058" t="s">
        <v>1358</v>
      </c>
      <c r="K2058" t="s">
        <v>1358</v>
      </c>
      <c r="L2058" t="s">
        <v>1357</v>
      </c>
    </row>
    <row r="2059" spans="1:14">
      <c r="H2059" t="s">
        <v>9493</v>
      </c>
      <c r="I2059" t="s">
        <v>1359</v>
      </c>
      <c r="J2059" t="s">
        <v>1358</v>
      </c>
      <c r="K2059" t="s">
        <v>1358</v>
      </c>
      <c r="L2059" t="s">
        <v>1357</v>
      </c>
    </row>
    <row r="2060" spans="1:14">
      <c r="H2060" t="s">
        <v>9494</v>
      </c>
      <c r="I2060" t="s">
        <v>1359</v>
      </c>
      <c r="J2060" t="s">
        <v>1358</v>
      </c>
      <c r="K2060" t="s">
        <v>1358</v>
      </c>
      <c r="L2060" t="s">
        <v>1357</v>
      </c>
    </row>
    <row r="2061" spans="1:14">
      <c r="H2061" t="s">
        <v>9495</v>
      </c>
      <c r="I2061" t="s">
        <v>1359</v>
      </c>
      <c r="J2061" t="s">
        <v>1358</v>
      </c>
      <c r="K2061" t="s">
        <v>1358</v>
      </c>
      <c r="L2061" t="s">
        <v>1357</v>
      </c>
    </row>
    <row r="2062" spans="1:14">
      <c r="H2062" t="s">
        <v>9496</v>
      </c>
      <c r="I2062" t="s">
        <v>1359</v>
      </c>
      <c r="J2062" t="s">
        <v>1358</v>
      </c>
      <c r="K2062" t="s">
        <v>1358</v>
      </c>
      <c r="L2062" t="s">
        <v>1357</v>
      </c>
    </row>
    <row r="2063" spans="1:14">
      <c r="H2063" t="s">
        <v>9497</v>
      </c>
      <c r="I2063" t="s">
        <v>1359</v>
      </c>
      <c r="J2063" t="s">
        <v>1358</v>
      </c>
      <c r="K2063" t="s">
        <v>1358</v>
      </c>
      <c r="L2063" t="s">
        <v>1357</v>
      </c>
    </row>
    <row r="2064" spans="1:14">
      <c r="H2064" t="s">
        <v>9498</v>
      </c>
      <c r="I2064" t="s">
        <v>1359</v>
      </c>
      <c r="J2064" t="s">
        <v>1358</v>
      </c>
      <c r="K2064" t="s">
        <v>1358</v>
      </c>
      <c r="L2064" t="s">
        <v>1357</v>
      </c>
    </row>
    <row r="2065" spans="1:14">
      <c r="A2065" t="s">
        <v>6399</v>
      </c>
      <c r="B2065">
        <f>HYPERLINK("https://github.com/pmd/pmd/commit/da371182aadaec625274f651e2a28ee6a71ff161", "da371182aadaec625274f651e2a28ee6a71ff161")</f>
        <v>0</v>
      </c>
      <c r="C2065">
        <f>HYPERLINK("https://github.com/pmd/pmd/commit/4b3d58d4c98e78ab61b9b0d5c31ede6c32707715", "4b3d58d4c98e78ab61b9b0d5c31ede6c32707715")</f>
        <v>0</v>
      </c>
      <c r="D2065" t="s">
        <v>6509</v>
      </c>
      <c r="E2065" t="s">
        <v>6857</v>
      </c>
      <c r="F2065" t="s">
        <v>7600</v>
      </c>
      <c r="G2065" t="s">
        <v>8254</v>
      </c>
      <c r="H2065" t="s">
        <v>9499</v>
      </c>
      <c r="I2065" t="s">
        <v>1357</v>
      </c>
      <c r="J2065" t="s">
        <v>1357</v>
      </c>
      <c r="K2065" t="s">
        <v>1357</v>
      </c>
      <c r="L2065" t="s">
        <v>1357</v>
      </c>
    </row>
    <row r="2066" spans="1:14">
      <c r="F2066" t="s">
        <v>7601</v>
      </c>
      <c r="G2066" t="s">
        <v>8255</v>
      </c>
      <c r="H2066" t="s">
        <v>9033</v>
      </c>
      <c r="I2066" t="s">
        <v>1357</v>
      </c>
      <c r="J2066" t="s">
        <v>1357</v>
      </c>
      <c r="K2066" t="s">
        <v>1357</v>
      </c>
      <c r="L2066" t="s">
        <v>1357</v>
      </c>
    </row>
    <row r="2067" spans="1:14">
      <c r="F2067" t="s">
        <v>7602</v>
      </c>
      <c r="G2067" t="s">
        <v>8256</v>
      </c>
      <c r="H2067" t="s">
        <v>9033</v>
      </c>
      <c r="I2067" t="s">
        <v>1357</v>
      </c>
      <c r="J2067" t="s">
        <v>1357</v>
      </c>
      <c r="K2067" t="s">
        <v>1357</v>
      </c>
      <c r="L2067" t="s">
        <v>1357</v>
      </c>
    </row>
    <row r="2068" spans="1:14">
      <c r="A2068" t="s">
        <v>6400</v>
      </c>
      <c r="B2068">
        <f>HYPERLINK("https://github.com/pmd/pmd/commit/da764abb1ee6019ba4aef1572ef4bdd8022de3b0", "da764abb1ee6019ba4aef1572ef4bdd8022de3b0")</f>
        <v>0</v>
      </c>
      <c r="C2068">
        <f>HYPERLINK("https://github.com/pmd/pmd/commit/da371182aadaec625274f651e2a28ee6a71ff161", "da371182aadaec625274f651e2a28ee6a71ff161")</f>
        <v>0</v>
      </c>
      <c r="D2068" t="s">
        <v>6509</v>
      </c>
      <c r="E2068" t="s">
        <v>6858</v>
      </c>
      <c r="F2068" t="s">
        <v>7603</v>
      </c>
      <c r="G2068" t="s">
        <v>8257</v>
      </c>
      <c r="H2068" t="s">
        <v>9033</v>
      </c>
      <c r="I2068" t="s">
        <v>1357</v>
      </c>
      <c r="J2068" t="s">
        <v>1357</v>
      </c>
      <c r="K2068" t="s">
        <v>1357</v>
      </c>
      <c r="L2068" t="s">
        <v>1357</v>
      </c>
    </row>
    <row r="2069" spans="1:14">
      <c r="A2069" t="s">
        <v>6401</v>
      </c>
      <c r="B2069">
        <f>HYPERLINK("https://github.com/pmd/pmd/commit/50725a95fc222723cc4efa89c19cbe4b574a9f52", "50725a95fc222723cc4efa89c19cbe4b574a9f52")</f>
        <v>0</v>
      </c>
      <c r="C2069">
        <f>HYPERLINK("https://github.com/pmd/pmd/commit/da764abb1ee6019ba4aef1572ef4bdd8022de3b0", "da764abb1ee6019ba4aef1572ef4bdd8022de3b0")</f>
        <v>0</v>
      </c>
      <c r="D2069" t="s">
        <v>6509</v>
      </c>
      <c r="E2069" t="s">
        <v>6859</v>
      </c>
      <c r="F2069" t="s">
        <v>7604</v>
      </c>
      <c r="G2069" t="s">
        <v>8258</v>
      </c>
      <c r="H2069" t="s">
        <v>9033</v>
      </c>
      <c r="I2069" t="s">
        <v>1357</v>
      </c>
      <c r="J2069" t="s">
        <v>1357</v>
      </c>
      <c r="K2069" t="s">
        <v>1357</v>
      </c>
      <c r="L2069" t="s">
        <v>1357</v>
      </c>
    </row>
    <row r="2070" spans="1:14">
      <c r="A2070" t="s">
        <v>6402</v>
      </c>
      <c r="B2070">
        <f>HYPERLINK("https://github.com/pmd/pmd/commit/7e594e390a05230e91d063eea7edf5d48f0da608", "7e594e390a05230e91d063eea7edf5d48f0da608")</f>
        <v>0</v>
      </c>
      <c r="C2070">
        <f>HYPERLINK("https://github.com/pmd/pmd/commit/6eba9a827fac10720d8ca9f35412c5988e4c9256", "6eba9a827fac10720d8ca9f35412c5988e4c9256")</f>
        <v>0</v>
      </c>
      <c r="D2070" t="s">
        <v>6509</v>
      </c>
      <c r="E2070" t="s">
        <v>6860</v>
      </c>
      <c r="F2070" t="s">
        <v>7481</v>
      </c>
      <c r="G2070" t="s">
        <v>8164</v>
      </c>
      <c r="H2070" t="s">
        <v>9033</v>
      </c>
      <c r="I2070" t="s">
        <v>1357</v>
      </c>
      <c r="J2070" t="s">
        <v>1357</v>
      </c>
      <c r="K2070" t="s">
        <v>1357</v>
      </c>
      <c r="L2070" t="s">
        <v>1357</v>
      </c>
    </row>
    <row r="2071" spans="1:14">
      <c r="A2071" t="s">
        <v>6403</v>
      </c>
      <c r="B2071">
        <f>HYPERLINK("https://github.com/pmd/pmd/commit/ff2aa9c038f519f0fcd49112167def7e56fad610", "ff2aa9c038f519f0fcd49112167def7e56fad610")</f>
        <v>0</v>
      </c>
      <c r="C2071">
        <f>HYPERLINK("https://github.com/pmd/pmd/commit/7e594e390a05230e91d063eea7edf5d48f0da608", "7e594e390a05230e91d063eea7edf5d48f0da608")</f>
        <v>0</v>
      </c>
      <c r="D2071" t="s">
        <v>6509</v>
      </c>
      <c r="E2071" t="s">
        <v>6861</v>
      </c>
      <c r="F2071" t="s">
        <v>7605</v>
      </c>
      <c r="G2071" t="s">
        <v>8259</v>
      </c>
      <c r="H2071" t="s">
        <v>9033</v>
      </c>
      <c r="I2071" t="s">
        <v>1357</v>
      </c>
      <c r="J2071" t="s">
        <v>1357</v>
      </c>
      <c r="K2071" t="s">
        <v>1357</v>
      </c>
      <c r="L2071" t="s">
        <v>1357</v>
      </c>
    </row>
    <row r="2072" spans="1:14">
      <c r="A2072" t="s">
        <v>6404</v>
      </c>
      <c r="B2072">
        <f>HYPERLINK("https://github.com/pmd/pmd/commit/3df4506365c0bce73d45bc426e3d8c75f3590aa4", "3df4506365c0bce73d45bc426e3d8c75f3590aa4")</f>
        <v>0</v>
      </c>
      <c r="C2072">
        <f>HYPERLINK("https://github.com/pmd/pmd/commit/ff2aa9c038f519f0fcd49112167def7e56fad610", "ff2aa9c038f519f0fcd49112167def7e56fad610")</f>
        <v>0</v>
      </c>
      <c r="D2072" t="s">
        <v>6509</v>
      </c>
      <c r="E2072" t="s">
        <v>6862</v>
      </c>
      <c r="F2072" t="s">
        <v>7606</v>
      </c>
      <c r="G2072" t="s">
        <v>8175</v>
      </c>
      <c r="H2072" t="s">
        <v>9033</v>
      </c>
      <c r="I2072" t="s">
        <v>1357</v>
      </c>
      <c r="J2072" t="s">
        <v>1357</v>
      </c>
      <c r="K2072" t="s">
        <v>1357</v>
      </c>
      <c r="L2072" t="s">
        <v>1357</v>
      </c>
    </row>
    <row r="2073" spans="1:14">
      <c r="A2073" t="s">
        <v>6405</v>
      </c>
      <c r="B2073">
        <f>HYPERLINK("https://github.com/pmd/pmd/commit/9fc15f0b915267404df6a8e25d0977f96130d9e3", "9fc15f0b915267404df6a8e25d0977f96130d9e3")</f>
        <v>0</v>
      </c>
      <c r="C2073">
        <f>HYPERLINK("https://github.com/pmd/pmd/commit/3df4506365c0bce73d45bc426e3d8c75f3590aa4", "3df4506365c0bce73d45bc426e3d8c75f3590aa4")</f>
        <v>0</v>
      </c>
      <c r="D2073" t="s">
        <v>6509</v>
      </c>
      <c r="E2073" t="s">
        <v>6863</v>
      </c>
      <c r="F2073" t="s">
        <v>7607</v>
      </c>
      <c r="G2073" t="s">
        <v>8260</v>
      </c>
      <c r="H2073" t="s">
        <v>9500</v>
      </c>
      <c r="I2073" t="s">
        <v>1357</v>
      </c>
      <c r="J2073" t="s">
        <v>1357</v>
      </c>
      <c r="K2073" t="s">
        <v>1357</v>
      </c>
      <c r="L2073" t="s">
        <v>1357</v>
      </c>
    </row>
    <row r="2074" spans="1:14">
      <c r="A2074" t="s">
        <v>6406</v>
      </c>
      <c r="B2074">
        <f>HYPERLINK("https://github.com/pmd/pmd/commit/60d028a28212be292d670253b5027824a197805b", "60d028a28212be292d670253b5027824a197805b")</f>
        <v>0</v>
      </c>
      <c r="C2074">
        <f>HYPERLINK("https://github.com/pmd/pmd/commit/9fc15f0b915267404df6a8e25d0977f96130d9e3", "9fc15f0b915267404df6a8e25d0977f96130d9e3")</f>
        <v>0</v>
      </c>
      <c r="D2074" t="s">
        <v>6509</v>
      </c>
      <c r="E2074" t="s">
        <v>6864</v>
      </c>
      <c r="F2074" t="s">
        <v>7487</v>
      </c>
      <c r="G2074" t="s">
        <v>8170</v>
      </c>
      <c r="H2074" t="s">
        <v>9033</v>
      </c>
      <c r="I2074" t="s">
        <v>1357</v>
      </c>
      <c r="J2074" t="s">
        <v>1357</v>
      </c>
      <c r="K2074" t="s">
        <v>1357</v>
      </c>
      <c r="L2074" t="s">
        <v>1357</v>
      </c>
    </row>
    <row r="2075" spans="1:14">
      <c r="A2075" t="s">
        <v>6407</v>
      </c>
      <c r="B2075">
        <f>HYPERLINK("https://github.com/pmd/pmd/commit/15d6515278453aafe3d59b8b0124c2ab8a611c55", "15d6515278453aafe3d59b8b0124c2ab8a611c55")</f>
        <v>0</v>
      </c>
      <c r="C2075">
        <f>HYPERLINK("https://github.com/pmd/pmd/commit/60d028a28212be292d670253b5027824a197805b", "60d028a28212be292d670253b5027824a197805b")</f>
        <v>0</v>
      </c>
      <c r="D2075" t="s">
        <v>6509</v>
      </c>
      <c r="E2075" t="s">
        <v>6865</v>
      </c>
      <c r="F2075" t="s">
        <v>7608</v>
      </c>
      <c r="G2075" t="s">
        <v>8261</v>
      </c>
      <c r="H2075" t="s">
        <v>9033</v>
      </c>
      <c r="I2075" t="s">
        <v>1357</v>
      </c>
      <c r="J2075" t="s">
        <v>1357</v>
      </c>
      <c r="K2075" t="s">
        <v>1357</v>
      </c>
      <c r="L2075" t="s">
        <v>1357</v>
      </c>
    </row>
    <row r="2076" spans="1:14">
      <c r="F2076" t="s">
        <v>7609</v>
      </c>
      <c r="G2076" t="s">
        <v>8262</v>
      </c>
      <c r="H2076" t="s">
        <v>9033</v>
      </c>
      <c r="I2076" t="s">
        <v>1357</v>
      </c>
      <c r="J2076" t="s">
        <v>1357</v>
      </c>
      <c r="K2076" t="s">
        <v>1357</v>
      </c>
      <c r="L2076" t="s">
        <v>1357</v>
      </c>
    </row>
    <row r="2077" spans="1:14">
      <c r="F2077" t="s">
        <v>7610</v>
      </c>
      <c r="G2077" t="s">
        <v>8263</v>
      </c>
      <c r="H2077" t="s">
        <v>9033</v>
      </c>
      <c r="I2077" t="s">
        <v>1357</v>
      </c>
      <c r="J2077" t="s">
        <v>1357</v>
      </c>
      <c r="K2077" t="s">
        <v>1357</v>
      </c>
      <c r="L2077" t="s">
        <v>1357</v>
      </c>
    </row>
    <row r="2078" spans="1:14">
      <c r="H2078" t="s">
        <v>9501</v>
      </c>
      <c r="I2078" t="s">
        <v>1357</v>
      </c>
      <c r="J2078" t="s">
        <v>1357</v>
      </c>
      <c r="K2078" t="s">
        <v>1357</v>
      </c>
      <c r="L2078" t="s">
        <v>1357</v>
      </c>
    </row>
    <row r="2079" spans="1:14">
      <c r="A2079" t="s">
        <v>6408</v>
      </c>
      <c r="B2079">
        <f>HYPERLINK("https://github.com/pmd/pmd/commit/2c563436e41067fa253f824ca0e768500dc29d34", "2c563436e41067fa253f824ca0e768500dc29d34")</f>
        <v>0</v>
      </c>
      <c r="C2079">
        <f>HYPERLINK("https://github.com/pmd/pmd/commit/15d6515278453aafe3d59b8b0124c2ab8a611c55", "15d6515278453aafe3d59b8b0124c2ab8a611c55")</f>
        <v>0</v>
      </c>
      <c r="D2079" t="s">
        <v>6509</v>
      </c>
      <c r="E2079" t="s">
        <v>6866</v>
      </c>
      <c r="F2079" t="s">
        <v>7488</v>
      </c>
      <c r="G2079" t="s">
        <v>8171</v>
      </c>
      <c r="H2079" t="s">
        <v>9033</v>
      </c>
      <c r="I2079" t="s">
        <v>1357</v>
      </c>
      <c r="J2079" t="s">
        <v>1357</v>
      </c>
      <c r="K2079" t="s">
        <v>1357</v>
      </c>
      <c r="L2079" t="s">
        <v>1357</v>
      </c>
    </row>
    <row r="2080" spans="1:14">
      <c r="H2080" t="s">
        <v>9501</v>
      </c>
      <c r="I2080" t="s">
        <v>1358</v>
      </c>
      <c r="J2080" t="s">
        <v>1358</v>
      </c>
      <c r="K2080" t="s">
        <v>1358</v>
      </c>
      <c r="L2080" t="s">
        <v>1358</v>
      </c>
      <c r="N2080" t="s">
        <v>1363</v>
      </c>
    </row>
    <row r="2081" spans="1:14">
      <c r="A2081" t="s">
        <v>6409</v>
      </c>
      <c r="B2081">
        <f>HYPERLINK("https://github.com/pmd/pmd/commit/aedd2ce49376042e3dbdcb1d9147754214ff4697", "aedd2ce49376042e3dbdcb1d9147754214ff4697")</f>
        <v>0</v>
      </c>
      <c r="C2081">
        <f>HYPERLINK("https://github.com/pmd/pmd/commit/2c563436e41067fa253f824ca0e768500dc29d34", "2c563436e41067fa253f824ca0e768500dc29d34")</f>
        <v>0</v>
      </c>
      <c r="D2081" t="s">
        <v>6509</v>
      </c>
      <c r="E2081" t="s">
        <v>6867</v>
      </c>
      <c r="F2081" t="s">
        <v>7492</v>
      </c>
      <c r="G2081" t="s">
        <v>8174</v>
      </c>
      <c r="H2081" t="s">
        <v>9033</v>
      </c>
      <c r="I2081" t="s">
        <v>1357</v>
      </c>
      <c r="J2081" t="s">
        <v>1357</v>
      </c>
      <c r="K2081" t="s">
        <v>1357</v>
      </c>
      <c r="L2081" t="s">
        <v>1357</v>
      </c>
    </row>
    <row r="2082" spans="1:14">
      <c r="H2082" t="s">
        <v>9501</v>
      </c>
      <c r="I2082" t="s">
        <v>1358</v>
      </c>
      <c r="J2082" t="s">
        <v>1358</v>
      </c>
      <c r="K2082" t="s">
        <v>1358</v>
      </c>
      <c r="L2082" t="s">
        <v>1358</v>
      </c>
    </row>
    <row r="2083" spans="1:14">
      <c r="A2083" t="s">
        <v>6410</v>
      </c>
      <c r="B2083">
        <f>HYPERLINK("https://github.com/pmd/pmd/commit/394b8665249d7c2f7f372ec754e97483d3860199", "394b8665249d7c2f7f372ec754e97483d3860199")</f>
        <v>0</v>
      </c>
      <c r="C2083">
        <f>HYPERLINK("https://github.com/pmd/pmd/commit/aedd2ce49376042e3dbdcb1d9147754214ff4697", "aedd2ce49376042e3dbdcb1d9147754214ff4697")</f>
        <v>0</v>
      </c>
      <c r="D2083" t="s">
        <v>6509</v>
      </c>
      <c r="E2083" t="s">
        <v>6868</v>
      </c>
      <c r="F2083" t="s">
        <v>7611</v>
      </c>
      <c r="G2083" t="s">
        <v>8264</v>
      </c>
      <c r="H2083" t="s">
        <v>9502</v>
      </c>
      <c r="I2083" t="s">
        <v>1357</v>
      </c>
      <c r="J2083" t="s">
        <v>1357</v>
      </c>
      <c r="K2083" t="s">
        <v>1357</v>
      </c>
      <c r="L2083" t="s">
        <v>1357</v>
      </c>
    </row>
    <row r="2084" spans="1:14">
      <c r="F2084" t="s">
        <v>7612</v>
      </c>
      <c r="G2084" t="s">
        <v>8265</v>
      </c>
      <c r="H2084" t="s">
        <v>9033</v>
      </c>
      <c r="I2084" t="s">
        <v>1357</v>
      </c>
      <c r="J2084" t="s">
        <v>1357</v>
      </c>
      <c r="K2084" t="s">
        <v>1357</v>
      </c>
      <c r="L2084" t="s">
        <v>1357</v>
      </c>
    </row>
    <row r="2085" spans="1:14">
      <c r="A2085" t="s">
        <v>6411</v>
      </c>
      <c r="B2085">
        <f>HYPERLINK("https://github.com/pmd/pmd/commit/4c378b56318541c126451db8d6ae9188c0d8cfb5", "4c378b56318541c126451db8d6ae9188c0d8cfb5")</f>
        <v>0</v>
      </c>
      <c r="C2085">
        <f>HYPERLINK("https://github.com/pmd/pmd/commit/394b8665249d7c2f7f372ec754e97483d3860199", "394b8665249d7c2f7f372ec754e97483d3860199")</f>
        <v>0</v>
      </c>
      <c r="D2085" t="s">
        <v>6509</v>
      </c>
      <c r="E2085" t="s">
        <v>6869</v>
      </c>
      <c r="F2085" t="s">
        <v>7480</v>
      </c>
      <c r="G2085" t="s">
        <v>8163</v>
      </c>
      <c r="H2085" t="s">
        <v>9021</v>
      </c>
      <c r="I2085" t="s">
        <v>1358</v>
      </c>
      <c r="J2085" t="s">
        <v>1358</v>
      </c>
      <c r="K2085" t="s">
        <v>1358</v>
      </c>
      <c r="L2085" t="s">
        <v>1358</v>
      </c>
      <c r="N2085" t="s">
        <v>6060</v>
      </c>
    </row>
    <row r="2086" spans="1:14">
      <c r="H2086" t="s">
        <v>9026</v>
      </c>
      <c r="I2086" t="s">
        <v>1358</v>
      </c>
      <c r="J2086" t="s">
        <v>1358</v>
      </c>
      <c r="K2086" t="s">
        <v>1358</v>
      </c>
      <c r="L2086" t="s">
        <v>1358</v>
      </c>
      <c r="N2086" t="s">
        <v>9969</v>
      </c>
    </row>
    <row r="2087" spans="1:14">
      <c r="H2087" t="s">
        <v>9027</v>
      </c>
      <c r="I2087" t="s">
        <v>1359</v>
      </c>
      <c r="J2087" t="s">
        <v>1358</v>
      </c>
      <c r="K2087" t="s">
        <v>1358</v>
      </c>
      <c r="L2087" t="s">
        <v>1357</v>
      </c>
      <c r="N2087" t="s">
        <v>5102</v>
      </c>
    </row>
    <row r="2088" spans="1:14">
      <c r="H2088" t="s">
        <v>9028</v>
      </c>
      <c r="I2088" t="s">
        <v>1358</v>
      </c>
      <c r="J2088" t="s">
        <v>1358</v>
      </c>
      <c r="K2088" t="s">
        <v>1358</v>
      </c>
      <c r="L2088" t="s">
        <v>1358</v>
      </c>
      <c r="N2088" t="s">
        <v>6060</v>
      </c>
    </row>
    <row r="2089" spans="1:14">
      <c r="H2089" t="s">
        <v>9029</v>
      </c>
      <c r="I2089" t="s">
        <v>1359</v>
      </c>
      <c r="J2089" t="s">
        <v>1358</v>
      </c>
      <c r="K2089" t="s">
        <v>1358</v>
      </c>
      <c r="L2089" t="s">
        <v>1357</v>
      </c>
    </row>
    <row r="2090" spans="1:14">
      <c r="H2090" t="s">
        <v>9503</v>
      </c>
      <c r="I2090" t="s">
        <v>1359</v>
      </c>
      <c r="J2090" t="s">
        <v>1358</v>
      </c>
      <c r="K2090" t="s">
        <v>1358</v>
      </c>
      <c r="L2090" t="s">
        <v>1357</v>
      </c>
    </row>
    <row r="2091" spans="1:14">
      <c r="H2091" t="s">
        <v>9032</v>
      </c>
      <c r="I2091" t="s">
        <v>1359</v>
      </c>
      <c r="J2091" t="s">
        <v>1358</v>
      </c>
      <c r="K2091" t="s">
        <v>1358</v>
      </c>
      <c r="L2091" t="s">
        <v>1357</v>
      </c>
    </row>
    <row r="2092" spans="1:14">
      <c r="H2092" t="s">
        <v>9504</v>
      </c>
      <c r="I2092" t="s">
        <v>1359</v>
      </c>
      <c r="J2092" t="s">
        <v>1358</v>
      </c>
      <c r="K2092" t="s">
        <v>1358</v>
      </c>
      <c r="L2092" t="s">
        <v>1357</v>
      </c>
    </row>
    <row r="2093" spans="1:14">
      <c r="H2093" t="s">
        <v>9505</v>
      </c>
      <c r="I2093" t="s">
        <v>1359</v>
      </c>
      <c r="J2093" t="s">
        <v>1358</v>
      </c>
      <c r="K2093" t="s">
        <v>1358</v>
      </c>
      <c r="L2093" t="s">
        <v>1357</v>
      </c>
    </row>
    <row r="2094" spans="1:14">
      <c r="A2094" t="s">
        <v>6412</v>
      </c>
      <c r="B2094">
        <f>HYPERLINK("https://github.com/pmd/pmd/commit/1bdbd4883c2751a3f4900ade0fc958d626e6e0c4", "1bdbd4883c2751a3f4900ade0fc958d626e6e0c4")</f>
        <v>0</v>
      </c>
      <c r="C2094">
        <f>HYPERLINK("https://github.com/pmd/pmd/commit/59dfa15269710bc7aeeb81b00c6e1fe63512fe4e", "59dfa15269710bc7aeeb81b00c6e1fe63512fe4e")</f>
        <v>0</v>
      </c>
      <c r="D2094" t="s">
        <v>6509</v>
      </c>
      <c r="E2094" t="s">
        <v>6870</v>
      </c>
      <c r="F2094" t="s">
        <v>7613</v>
      </c>
      <c r="G2094" t="s">
        <v>8266</v>
      </c>
      <c r="H2094" t="s">
        <v>9033</v>
      </c>
      <c r="I2094" t="s">
        <v>1357</v>
      </c>
      <c r="J2094" t="s">
        <v>1357</v>
      </c>
      <c r="K2094" t="s">
        <v>1357</v>
      </c>
      <c r="L2094" t="s">
        <v>1357</v>
      </c>
    </row>
    <row r="2095" spans="1:14">
      <c r="A2095" t="s">
        <v>6413</v>
      </c>
      <c r="B2095">
        <f>HYPERLINK("https://github.com/pmd/pmd/commit/2bf00f482d52208f5fd3c3e83b8d72c62b2bcb4e", "2bf00f482d52208f5fd3c3e83b8d72c62b2bcb4e")</f>
        <v>0</v>
      </c>
      <c r="C2095">
        <f>HYPERLINK("https://github.com/pmd/pmd/commit/abd50366f8c5c51f21c10bed22052567ee8a2ee3", "abd50366f8c5c51f21c10bed22052567ee8a2ee3")</f>
        <v>0</v>
      </c>
      <c r="D2095" t="s">
        <v>6509</v>
      </c>
      <c r="E2095" t="s">
        <v>6871</v>
      </c>
      <c r="F2095" t="s">
        <v>7614</v>
      </c>
      <c r="G2095" t="s">
        <v>7791</v>
      </c>
      <c r="H2095" t="s">
        <v>1083</v>
      </c>
      <c r="I2095" t="s">
        <v>1357</v>
      </c>
      <c r="J2095" t="s">
        <v>1357</v>
      </c>
      <c r="K2095" t="s">
        <v>1357</v>
      </c>
      <c r="L2095" t="s">
        <v>1357</v>
      </c>
    </row>
    <row r="2096" spans="1:14">
      <c r="F2096" t="s">
        <v>7615</v>
      </c>
      <c r="G2096" t="s">
        <v>7829</v>
      </c>
      <c r="H2096" t="s">
        <v>795</v>
      </c>
      <c r="I2096" t="s">
        <v>1357</v>
      </c>
      <c r="J2096" t="s">
        <v>1357</v>
      </c>
      <c r="K2096" t="s">
        <v>1357</v>
      </c>
      <c r="L2096" t="s">
        <v>1357</v>
      </c>
    </row>
    <row r="2097" spans="1:12">
      <c r="F2097" t="s">
        <v>7616</v>
      </c>
      <c r="G2097" t="s">
        <v>8267</v>
      </c>
      <c r="H2097" t="s">
        <v>9506</v>
      </c>
      <c r="I2097" t="s">
        <v>1357</v>
      </c>
      <c r="J2097" t="s">
        <v>1357</v>
      </c>
      <c r="K2097" t="s">
        <v>1357</v>
      </c>
      <c r="L2097" t="s">
        <v>1357</v>
      </c>
    </row>
    <row r="2098" spans="1:12">
      <c r="H2098" t="s">
        <v>9507</v>
      </c>
      <c r="I2098" t="s">
        <v>1357</v>
      </c>
      <c r="J2098" t="s">
        <v>1357</v>
      </c>
      <c r="K2098" t="s">
        <v>1357</v>
      </c>
      <c r="L2098" t="s">
        <v>1357</v>
      </c>
    </row>
    <row r="2099" spans="1:12">
      <c r="F2099" t="s">
        <v>7617</v>
      </c>
      <c r="G2099" t="s">
        <v>8242</v>
      </c>
      <c r="H2099" t="s">
        <v>9437</v>
      </c>
      <c r="I2099" t="s">
        <v>1357</v>
      </c>
      <c r="J2099" t="s">
        <v>1357</v>
      </c>
      <c r="K2099" t="s">
        <v>1357</v>
      </c>
      <c r="L2099" t="s">
        <v>1357</v>
      </c>
    </row>
    <row r="2100" spans="1:12">
      <c r="F2100" t="s">
        <v>7618</v>
      </c>
      <c r="G2100" t="s">
        <v>8268</v>
      </c>
      <c r="H2100" t="s">
        <v>8479</v>
      </c>
      <c r="I2100" t="s">
        <v>1357</v>
      </c>
      <c r="J2100" t="s">
        <v>1357</v>
      </c>
      <c r="K2100" t="s">
        <v>1357</v>
      </c>
      <c r="L2100" t="s">
        <v>1357</v>
      </c>
    </row>
    <row r="2101" spans="1:12">
      <c r="A2101" t="s">
        <v>6414</v>
      </c>
      <c r="B2101">
        <f>HYPERLINK("https://github.com/pmd/pmd/commit/d624ee99f0b1acb5992b5ac720d8006475644b49", "d624ee99f0b1acb5992b5ac720d8006475644b49")</f>
        <v>0</v>
      </c>
      <c r="C2101">
        <f>HYPERLINK("https://github.com/pmd/pmd/commit/7f081f0e63174e3f6d59494dde0559b174d9f14c", "7f081f0e63174e3f6d59494dde0559b174d9f14c")</f>
        <v>0</v>
      </c>
      <c r="D2101" t="s">
        <v>6509</v>
      </c>
      <c r="E2101" t="s">
        <v>6872</v>
      </c>
      <c r="F2101" t="s">
        <v>7507</v>
      </c>
      <c r="G2101" t="s">
        <v>8187</v>
      </c>
      <c r="H2101" t="s">
        <v>9508</v>
      </c>
      <c r="I2101" t="s">
        <v>1357</v>
      </c>
      <c r="J2101" t="s">
        <v>1357</v>
      </c>
      <c r="K2101" t="s">
        <v>1357</v>
      </c>
      <c r="L2101" t="s">
        <v>1357</v>
      </c>
    </row>
    <row r="2102" spans="1:12">
      <c r="A2102" t="s">
        <v>6415</v>
      </c>
      <c r="B2102">
        <f>HYPERLINK("https://github.com/pmd/pmd/commit/06904e7145fd1955f071fa8a1f3331b3ad6b2bc1", "06904e7145fd1955f071fa8a1f3331b3ad6b2bc1")</f>
        <v>0</v>
      </c>
      <c r="C2102">
        <f>HYPERLINK("https://github.com/pmd/pmd/commit/ad3e8b1fd51070f2bea1e08e1bfca5f72c64f5ff", "ad3e8b1fd51070f2bea1e08e1bfca5f72c64f5ff")</f>
        <v>0</v>
      </c>
      <c r="D2102" t="s">
        <v>6509</v>
      </c>
      <c r="E2102" t="s">
        <v>6873</v>
      </c>
      <c r="F2102" t="s">
        <v>7576</v>
      </c>
      <c r="G2102" t="s">
        <v>7750</v>
      </c>
      <c r="H2102" t="s">
        <v>9509</v>
      </c>
      <c r="I2102" t="s">
        <v>1357</v>
      </c>
      <c r="J2102" t="s">
        <v>1357</v>
      </c>
      <c r="K2102" t="s">
        <v>1357</v>
      </c>
      <c r="L2102" t="s">
        <v>1357</v>
      </c>
    </row>
    <row r="2103" spans="1:12">
      <c r="A2103" t="s">
        <v>6416</v>
      </c>
      <c r="B2103">
        <f>HYPERLINK("https://github.com/pmd/pmd/commit/1770cdc22777414ad2e10e716d079a80e8934223", "1770cdc22777414ad2e10e716d079a80e8934223")</f>
        <v>0</v>
      </c>
      <c r="C2103">
        <f>HYPERLINK("https://github.com/pmd/pmd/commit/516a3866835ada3b51fdd080bb4f9b6a5a4656b1", "516a3866835ada3b51fdd080bb4f9b6a5a4656b1")</f>
        <v>0</v>
      </c>
      <c r="D2103" t="s">
        <v>6509</v>
      </c>
      <c r="E2103" t="s">
        <v>6874</v>
      </c>
      <c r="F2103" t="s">
        <v>7619</v>
      </c>
      <c r="G2103" t="s">
        <v>8269</v>
      </c>
      <c r="H2103" t="s">
        <v>9510</v>
      </c>
      <c r="I2103" t="s">
        <v>1357</v>
      </c>
      <c r="J2103" t="s">
        <v>1357</v>
      </c>
      <c r="K2103" t="s">
        <v>1357</v>
      </c>
      <c r="L2103" t="s">
        <v>1357</v>
      </c>
    </row>
    <row r="2104" spans="1:12">
      <c r="H2104" t="s">
        <v>9511</v>
      </c>
      <c r="I2104" t="s">
        <v>1357</v>
      </c>
      <c r="J2104" t="s">
        <v>1357</v>
      </c>
      <c r="K2104" t="s">
        <v>1357</v>
      </c>
      <c r="L2104" t="s">
        <v>1357</v>
      </c>
    </row>
    <row r="2105" spans="1:12">
      <c r="A2105" t="s">
        <v>6417</v>
      </c>
      <c r="B2105">
        <f>HYPERLINK("https://github.com/pmd/pmd/commit/942493051eb3deb429b7c4a755807b5a366f2bdf", "942493051eb3deb429b7c4a755807b5a366f2bdf")</f>
        <v>0</v>
      </c>
      <c r="C2105">
        <f>HYPERLINK("https://github.com/pmd/pmd/commit/7db6f3809c07c93729a8183cf80c19a9643d0837", "7db6f3809c07c93729a8183cf80c19a9643d0837")</f>
        <v>0</v>
      </c>
      <c r="D2105" t="s">
        <v>6509</v>
      </c>
      <c r="E2105" t="s">
        <v>6875</v>
      </c>
      <c r="F2105" t="s">
        <v>7620</v>
      </c>
      <c r="G2105" t="s">
        <v>8270</v>
      </c>
      <c r="H2105" t="s">
        <v>9512</v>
      </c>
      <c r="I2105" t="s">
        <v>1357</v>
      </c>
      <c r="J2105" t="s">
        <v>1357</v>
      </c>
      <c r="K2105" t="s">
        <v>1357</v>
      </c>
      <c r="L2105" t="s">
        <v>1357</v>
      </c>
    </row>
    <row r="2106" spans="1:12">
      <c r="H2106" t="s">
        <v>9513</v>
      </c>
      <c r="I2106" t="s">
        <v>1357</v>
      </c>
      <c r="J2106" t="s">
        <v>1357</v>
      </c>
      <c r="K2106" t="s">
        <v>1357</v>
      </c>
      <c r="L2106" t="s">
        <v>1357</v>
      </c>
    </row>
    <row r="2107" spans="1:12">
      <c r="H2107" t="s">
        <v>9514</v>
      </c>
      <c r="I2107" t="s">
        <v>1357</v>
      </c>
      <c r="J2107" t="s">
        <v>1357</v>
      </c>
      <c r="K2107" t="s">
        <v>1357</v>
      </c>
      <c r="L2107" t="s">
        <v>1357</v>
      </c>
    </row>
    <row r="2108" spans="1:12">
      <c r="H2108" t="s">
        <v>9163</v>
      </c>
      <c r="I2108" t="s">
        <v>1357</v>
      </c>
      <c r="J2108" t="s">
        <v>1357</v>
      </c>
      <c r="K2108" t="s">
        <v>1357</v>
      </c>
      <c r="L2108" t="s">
        <v>1357</v>
      </c>
    </row>
    <row r="2109" spans="1:12">
      <c r="H2109" t="s">
        <v>9164</v>
      </c>
      <c r="I2109" t="s">
        <v>1357</v>
      </c>
      <c r="J2109" t="s">
        <v>1357</v>
      </c>
      <c r="K2109" t="s">
        <v>1357</v>
      </c>
      <c r="L2109" t="s">
        <v>1357</v>
      </c>
    </row>
    <row r="2110" spans="1:12">
      <c r="H2110" t="s">
        <v>9165</v>
      </c>
      <c r="I2110" t="s">
        <v>1357</v>
      </c>
      <c r="J2110" t="s">
        <v>1357</v>
      </c>
      <c r="K2110" t="s">
        <v>1357</v>
      </c>
      <c r="L2110" t="s">
        <v>1357</v>
      </c>
    </row>
    <row r="2111" spans="1:12">
      <c r="F2111" t="s">
        <v>7621</v>
      </c>
      <c r="G2111" t="s">
        <v>1589</v>
      </c>
      <c r="H2111" t="s">
        <v>9515</v>
      </c>
      <c r="I2111" t="s">
        <v>1357</v>
      </c>
      <c r="J2111" t="s">
        <v>1357</v>
      </c>
      <c r="K2111" t="s">
        <v>1357</v>
      </c>
      <c r="L2111" t="s">
        <v>1357</v>
      </c>
    </row>
    <row r="2112" spans="1:12">
      <c r="H2112" t="s">
        <v>9516</v>
      </c>
      <c r="I2112" t="s">
        <v>1357</v>
      </c>
      <c r="J2112" t="s">
        <v>1357</v>
      </c>
      <c r="K2112" t="s">
        <v>1357</v>
      </c>
      <c r="L2112" t="s">
        <v>1357</v>
      </c>
    </row>
    <row r="2113" spans="1:12">
      <c r="H2113" t="s">
        <v>828</v>
      </c>
      <c r="I2113" t="s">
        <v>1357</v>
      </c>
      <c r="J2113" t="s">
        <v>1357</v>
      </c>
      <c r="K2113" t="s">
        <v>1357</v>
      </c>
      <c r="L2113" t="s">
        <v>1357</v>
      </c>
    </row>
    <row r="2114" spans="1:12">
      <c r="H2114" t="s">
        <v>9517</v>
      </c>
      <c r="I2114" t="s">
        <v>1357</v>
      </c>
      <c r="J2114" t="s">
        <v>1357</v>
      </c>
      <c r="K2114" t="s">
        <v>1357</v>
      </c>
      <c r="L2114" t="s">
        <v>1357</v>
      </c>
    </row>
    <row r="2115" spans="1:12">
      <c r="H2115" t="s">
        <v>9518</v>
      </c>
      <c r="I2115" t="s">
        <v>1357</v>
      </c>
      <c r="J2115" t="s">
        <v>1357</v>
      </c>
      <c r="K2115" t="s">
        <v>1357</v>
      </c>
      <c r="L2115" t="s">
        <v>1357</v>
      </c>
    </row>
    <row r="2116" spans="1:12">
      <c r="A2116" t="s">
        <v>6418</v>
      </c>
      <c r="B2116">
        <f>HYPERLINK("https://github.com/pmd/pmd/commit/d650c87d8d4a60d4ad6fe2a514524d952a50bd94", "d650c87d8d4a60d4ad6fe2a514524d952a50bd94")</f>
        <v>0</v>
      </c>
      <c r="C2116">
        <f>HYPERLINK("https://github.com/pmd/pmd/commit/942493051eb3deb429b7c4a755807b5a366f2bdf", "942493051eb3deb429b7c4a755807b5a366f2bdf")</f>
        <v>0</v>
      </c>
      <c r="D2116" t="s">
        <v>6509</v>
      </c>
      <c r="E2116" t="s">
        <v>6876</v>
      </c>
      <c r="F2116" t="s">
        <v>7622</v>
      </c>
      <c r="G2116" t="s">
        <v>8271</v>
      </c>
      <c r="H2116" t="s">
        <v>9519</v>
      </c>
      <c r="I2116" t="s">
        <v>1357</v>
      </c>
      <c r="J2116" t="s">
        <v>1357</v>
      </c>
      <c r="K2116" t="s">
        <v>1357</v>
      </c>
      <c r="L2116" t="s">
        <v>1357</v>
      </c>
    </row>
    <row r="2117" spans="1:12">
      <c r="F2117" t="s">
        <v>7569</v>
      </c>
      <c r="G2117" t="s">
        <v>7825</v>
      </c>
      <c r="H2117" t="s">
        <v>9520</v>
      </c>
      <c r="I2117" t="s">
        <v>1357</v>
      </c>
      <c r="J2117" t="s">
        <v>1357</v>
      </c>
      <c r="K2117" t="s">
        <v>1357</v>
      </c>
      <c r="L2117" t="s">
        <v>1357</v>
      </c>
    </row>
    <row r="2118" spans="1:12">
      <c r="H2118" t="s">
        <v>9521</v>
      </c>
      <c r="I2118" t="s">
        <v>1357</v>
      </c>
      <c r="J2118" t="s">
        <v>1357</v>
      </c>
      <c r="K2118" t="s">
        <v>1357</v>
      </c>
      <c r="L2118" t="s">
        <v>1357</v>
      </c>
    </row>
    <row r="2119" spans="1:12">
      <c r="H2119" t="s">
        <v>9522</v>
      </c>
      <c r="I2119" t="s">
        <v>1357</v>
      </c>
      <c r="J2119" t="s">
        <v>1357</v>
      </c>
      <c r="K2119" t="s">
        <v>1357</v>
      </c>
      <c r="L2119" t="s">
        <v>1357</v>
      </c>
    </row>
    <row r="2120" spans="1:12">
      <c r="H2120" t="s">
        <v>9523</v>
      </c>
      <c r="I2120" t="s">
        <v>1357</v>
      </c>
      <c r="J2120" t="s">
        <v>1357</v>
      </c>
      <c r="K2120" t="s">
        <v>1357</v>
      </c>
      <c r="L2120" t="s">
        <v>1357</v>
      </c>
    </row>
    <row r="2121" spans="1:12">
      <c r="H2121" t="s">
        <v>9524</v>
      </c>
      <c r="I2121" t="s">
        <v>1357</v>
      </c>
      <c r="J2121" t="s">
        <v>1357</v>
      </c>
      <c r="K2121" t="s">
        <v>1357</v>
      </c>
      <c r="L2121" t="s">
        <v>1357</v>
      </c>
    </row>
    <row r="2122" spans="1:12">
      <c r="A2122" t="s">
        <v>6419</v>
      </c>
      <c r="B2122">
        <f>HYPERLINK("https://github.com/pmd/pmd/commit/e0de46652b00bc95378e8fbb3ff8913edb1673e6", "e0de46652b00bc95378e8fbb3ff8913edb1673e6")</f>
        <v>0</v>
      </c>
      <c r="C2122">
        <f>HYPERLINK("https://github.com/pmd/pmd/commit/d650c87d8d4a60d4ad6fe2a514524d952a50bd94", "d650c87d8d4a60d4ad6fe2a514524d952a50bd94")</f>
        <v>0</v>
      </c>
      <c r="D2122" t="s">
        <v>6509</v>
      </c>
      <c r="E2122" t="s">
        <v>6822</v>
      </c>
      <c r="F2122" t="s">
        <v>7623</v>
      </c>
      <c r="G2122" t="s">
        <v>8272</v>
      </c>
      <c r="H2122" t="s">
        <v>9525</v>
      </c>
      <c r="I2122" t="s">
        <v>1357</v>
      </c>
      <c r="J2122" t="s">
        <v>1357</v>
      </c>
      <c r="K2122" t="s">
        <v>1357</v>
      </c>
      <c r="L2122" t="s">
        <v>1357</v>
      </c>
    </row>
    <row r="2123" spans="1:12">
      <c r="H2123" t="s">
        <v>9526</v>
      </c>
      <c r="I2123" t="s">
        <v>1357</v>
      </c>
      <c r="J2123" t="s">
        <v>1357</v>
      </c>
      <c r="K2123" t="s">
        <v>1357</v>
      </c>
      <c r="L2123" t="s">
        <v>1357</v>
      </c>
    </row>
    <row r="2124" spans="1:12">
      <c r="H2124" t="s">
        <v>9527</v>
      </c>
      <c r="I2124" t="s">
        <v>1357</v>
      </c>
      <c r="J2124" t="s">
        <v>1357</v>
      </c>
      <c r="K2124" t="s">
        <v>1357</v>
      </c>
      <c r="L2124" t="s">
        <v>1357</v>
      </c>
    </row>
    <row r="2125" spans="1:12">
      <c r="H2125" t="s">
        <v>9528</v>
      </c>
      <c r="I2125" t="s">
        <v>1357</v>
      </c>
      <c r="J2125" t="s">
        <v>1357</v>
      </c>
      <c r="K2125" t="s">
        <v>1357</v>
      </c>
      <c r="L2125" t="s">
        <v>1357</v>
      </c>
    </row>
    <row r="2126" spans="1:12">
      <c r="H2126" t="s">
        <v>9529</v>
      </c>
      <c r="I2126" t="s">
        <v>1357</v>
      </c>
      <c r="J2126" t="s">
        <v>1357</v>
      </c>
      <c r="K2126" t="s">
        <v>1357</v>
      </c>
      <c r="L2126" t="s">
        <v>1357</v>
      </c>
    </row>
    <row r="2127" spans="1:12">
      <c r="H2127" t="s">
        <v>9530</v>
      </c>
      <c r="I2127" t="s">
        <v>1357</v>
      </c>
      <c r="J2127" t="s">
        <v>1357</v>
      </c>
      <c r="K2127" t="s">
        <v>1357</v>
      </c>
      <c r="L2127" t="s">
        <v>1357</v>
      </c>
    </row>
    <row r="2128" spans="1:12">
      <c r="H2128" t="s">
        <v>9531</v>
      </c>
      <c r="I2128" t="s">
        <v>1357</v>
      </c>
      <c r="J2128" t="s">
        <v>1357</v>
      </c>
      <c r="K2128" t="s">
        <v>1357</v>
      </c>
      <c r="L2128" t="s">
        <v>1357</v>
      </c>
    </row>
    <row r="2129" spans="1:12">
      <c r="A2129" t="s">
        <v>6420</v>
      </c>
      <c r="B2129">
        <f>HYPERLINK("https://github.com/pmd/pmd/commit/e00b208497f882c4570ae9676d814ba297aeeb95", "e00b208497f882c4570ae9676d814ba297aeeb95")</f>
        <v>0</v>
      </c>
      <c r="C2129">
        <f>HYPERLINK("https://github.com/pmd/pmd/commit/5d13e397a05057a60aa5f6501c280055c3bb8e78", "5d13e397a05057a60aa5f6501c280055c3bb8e78")</f>
        <v>0</v>
      </c>
      <c r="D2129" t="s">
        <v>6509</v>
      </c>
      <c r="E2129" t="s">
        <v>6877</v>
      </c>
      <c r="F2129" t="s">
        <v>7624</v>
      </c>
      <c r="G2129" t="s">
        <v>8189</v>
      </c>
      <c r="H2129" t="s">
        <v>9532</v>
      </c>
      <c r="I2129" t="s">
        <v>1357</v>
      </c>
      <c r="J2129" t="s">
        <v>1357</v>
      </c>
      <c r="K2129" t="s">
        <v>1357</v>
      </c>
      <c r="L2129" t="s">
        <v>1357</v>
      </c>
    </row>
    <row r="2130" spans="1:12">
      <c r="H2130" t="s">
        <v>9533</v>
      </c>
      <c r="I2130" t="s">
        <v>1357</v>
      </c>
      <c r="J2130" t="s">
        <v>1357</v>
      </c>
      <c r="K2130" t="s">
        <v>1357</v>
      </c>
      <c r="L2130" t="s">
        <v>1357</v>
      </c>
    </row>
    <row r="2131" spans="1:12">
      <c r="F2131" t="s">
        <v>7523</v>
      </c>
      <c r="G2131" t="s">
        <v>8196</v>
      </c>
      <c r="H2131" t="s">
        <v>9534</v>
      </c>
      <c r="I2131" t="s">
        <v>1357</v>
      </c>
      <c r="J2131" t="s">
        <v>1357</v>
      </c>
      <c r="K2131" t="s">
        <v>1357</v>
      </c>
      <c r="L2131" t="s">
        <v>1357</v>
      </c>
    </row>
    <row r="2132" spans="1:12">
      <c r="H2132" t="s">
        <v>9535</v>
      </c>
      <c r="I2132" t="s">
        <v>1357</v>
      </c>
      <c r="J2132" t="s">
        <v>1357</v>
      </c>
      <c r="K2132" t="s">
        <v>1357</v>
      </c>
      <c r="L2132" t="s">
        <v>1357</v>
      </c>
    </row>
    <row r="2133" spans="1:12">
      <c r="H2133" t="s">
        <v>9536</v>
      </c>
      <c r="I2133" t="s">
        <v>1357</v>
      </c>
      <c r="J2133" t="s">
        <v>1357</v>
      </c>
      <c r="K2133" t="s">
        <v>1357</v>
      </c>
      <c r="L2133" t="s">
        <v>1357</v>
      </c>
    </row>
    <row r="2134" spans="1:12">
      <c r="H2134" t="s">
        <v>9537</v>
      </c>
      <c r="I2134" t="s">
        <v>1357</v>
      </c>
      <c r="J2134" t="s">
        <v>1357</v>
      </c>
      <c r="K2134" t="s">
        <v>1357</v>
      </c>
      <c r="L2134" t="s">
        <v>1357</v>
      </c>
    </row>
    <row r="2135" spans="1:12">
      <c r="H2135" t="s">
        <v>9538</v>
      </c>
      <c r="I2135" t="s">
        <v>1357</v>
      </c>
      <c r="J2135" t="s">
        <v>1357</v>
      </c>
      <c r="K2135" t="s">
        <v>1357</v>
      </c>
      <c r="L2135" t="s">
        <v>1357</v>
      </c>
    </row>
    <row r="2136" spans="1:12">
      <c r="H2136" t="s">
        <v>9539</v>
      </c>
      <c r="I2136" t="s">
        <v>1357</v>
      </c>
      <c r="J2136" t="s">
        <v>1357</v>
      </c>
      <c r="K2136" t="s">
        <v>1357</v>
      </c>
      <c r="L2136" t="s">
        <v>1357</v>
      </c>
    </row>
    <row r="2137" spans="1:12">
      <c r="H2137" t="s">
        <v>9540</v>
      </c>
      <c r="I2137" t="s">
        <v>1357</v>
      </c>
      <c r="J2137" t="s">
        <v>1357</v>
      </c>
      <c r="K2137" t="s">
        <v>1357</v>
      </c>
      <c r="L2137" t="s">
        <v>1357</v>
      </c>
    </row>
    <row r="2138" spans="1:12">
      <c r="H2138" t="s">
        <v>9541</v>
      </c>
      <c r="I2138" t="s">
        <v>1357</v>
      </c>
      <c r="J2138" t="s">
        <v>1357</v>
      </c>
      <c r="K2138" t="s">
        <v>1357</v>
      </c>
      <c r="L2138" t="s">
        <v>1357</v>
      </c>
    </row>
    <row r="2139" spans="1:12">
      <c r="H2139" t="s">
        <v>9542</v>
      </c>
      <c r="I2139" t="s">
        <v>1357</v>
      </c>
      <c r="J2139" t="s">
        <v>1357</v>
      </c>
      <c r="K2139" t="s">
        <v>1357</v>
      </c>
      <c r="L2139" t="s">
        <v>1357</v>
      </c>
    </row>
    <row r="2140" spans="1:12">
      <c r="H2140" t="s">
        <v>9543</v>
      </c>
      <c r="I2140" t="s">
        <v>1357</v>
      </c>
      <c r="J2140" t="s">
        <v>1357</v>
      </c>
      <c r="K2140" t="s">
        <v>1357</v>
      </c>
      <c r="L2140" t="s">
        <v>1357</v>
      </c>
    </row>
    <row r="2141" spans="1:12">
      <c r="H2141" t="s">
        <v>9544</v>
      </c>
      <c r="I2141" t="s">
        <v>1357</v>
      </c>
      <c r="J2141" t="s">
        <v>1357</v>
      </c>
      <c r="K2141" t="s">
        <v>1357</v>
      </c>
      <c r="L2141" t="s">
        <v>1357</v>
      </c>
    </row>
    <row r="2142" spans="1:12">
      <c r="H2142" t="s">
        <v>9545</v>
      </c>
      <c r="I2142" t="s">
        <v>1357</v>
      </c>
      <c r="J2142" t="s">
        <v>1357</v>
      </c>
      <c r="K2142" t="s">
        <v>1357</v>
      </c>
      <c r="L2142" t="s">
        <v>1357</v>
      </c>
    </row>
    <row r="2143" spans="1:12">
      <c r="H2143" t="s">
        <v>9546</v>
      </c>
      <c r="I2143" t="s">
        <v>1357</v>
      </c>
      <c r="J2143" t="s">
        <v>1357</v>
      </c>
      <c r="K2143" t="s">
        <v>1357</v>
      </c>
      <c r="L2143" t="s">
        <v>1357</v>
      </c>
    </row>
    <row r="2144" spans="1:12">
      <c r="H2144" t="s">
        <v>9547</v>
      </c>
      <c r="I2144" t="s">
        <v>1357</v>
      </c>
      <c r="J2144" t="s">
        <v>1357</v>
      </c>
      <c r="K2144" t="s">
        <v>1357</v>
      </c>
      <c r="L2144" t="s">
        <v>1357</v>
      </c>
    </row>
    <row r="2145" spans="8:12">
      <c r="H2145" t="s">
        <v>9548</v>
      </c>
      <c r="I2145" t="s">
        <v>1357</v>
      </c>
      <c r="J2145" t="s">
        <v>1357</v>
      </c>
      <c r="K2145" t="s">
        <v>1357</v>
      </c>
      <c r="L2145" t="s">
        <v>1357</v>
      </c>
    </row>
    <row r="2146" spans="8:12">
      <c r="H2146" t="s">
        <v>9549</v>
      </c>
      <c r="I2146" t="s">
        <v>1357</v>
      </c>
      <c r="J2146" t="s">
        <v>1357</v>
      </c>
      <c r="K2146" t="s">
        <v>1357</v>
      </c>
      <c r="L2146" t="s">
        <v>1357</v>
      </c>
    </row>
    <row r="2147" spans="8:12">
      <c r="H2147" t="s">
        <v>9550</v>
      </c>
      <c r="I2147" t="s">
        <v>1357</v>
      </c>
      <c r="J2147" t="s">
        <v>1357</v>
      </c>
      <c r="K2147" t="s">
        <v>1357</v>
      </c>
      <c r="L2147" t="s">
        <v>1357</v>
      </c>
    </row>
    <row r="2148" spans="8:12">
      <c r="H2148" t="s">
        <v>9551</v>
      </c>
      <c r="I2148" t="s">
        <v>1357</v>
      </c>
      <c r="J2148" t="s">
        <v>1357</v>
      </c>
      <c r="K2148" t="s">
        <v>1357</v>
      </c>
      <c r="L2148" t="s">
        <v>1357</v>
      </c>
    </row>
    <row r="2149" spans="8:12">
      <c r="H2149" t="s">
        <v>9552</v>
      </c>
      <c r="I2149" t="s">
        <v>1357</v>
      </c>
      <c r="J2149" t="s">
        <v>1357</v>
      </c>
      <c r="K2149" t="s">
        <v>1357</v>
      </c>
      <c r="L2149" t="s">
        <v>1357</v>
      </c>
    </row>
    <row r="2150" spans="8:12">
      <c r="H2150" t="s">
        <v>9553</v>
      </c>
      <c r="I2150" t="s">
        <v>1357</v>
      </c>
      <c r="J2150" t="s">
        <v>1357</v>
      </c>
      <c r="K2150" t="s">
        <v>1357</v>
      </c>
      <c r="L2150" t="s">
        <v>1357</v>
      </c>
    </row>
    <row r="2151" spans="8:12">
      <c r="H2151" t="s">
        <v>9554</v>
      </c>
      <c r="I2151" t="s">
        <v>1357</v>
      </c>
      <c r="J2151" t="s">
        <v>1357</v>
      </c>
      <c r="K2151" t="s">
        <v>1357</v>
      </c>
      <c r="L2151" t="s">
        <v>1357</v>
      </c>
    </row>
    <row r="2152" spans="8:12">
      <c r="H2152" t="s">
        <v>9555</v>
      </c>
      <c r="I2152" t="s">
        <v>1357</v>
      </c>
      <c r="J2152" t="s">
        <v>1357</v>
      </c>
      <c r="K2152" t="s">
        <v>1357</v>
      </c>
      <c r="L2152" t="s">
        <v>1357</v>
      </c>
    </row>
    <row r="2153" spans="8:12">
      <c r="H2153" t="s">
        <v>9532</v>
      </c>
      <c r="I2153" t="s">
        <v>1357</v>
      </c>
      <c r="J2153" t="s">
        <v>1357</v>
      </c>
      <c r="K2153" t="s">
        <v>1357</v>
      </c>
      <c r="L2153" t="s">
        <v>1357</v>
      </c>
    </row>
    <row r="2154" spans="8:12">
      <c r="H2154" t="s">
        <v>9533</v>
      </c>
      <c r="I2154" t="s">
        <v>1357</v>
      </c>
      <c r="J2154" t="s">
        <v>1357</v>
      </c>
      <c r="K2154" t="s">
        <v>1357</v>
      </c>
      <c r="L2154" t="s">
        <v>1357</v>
      </c>
    </row>
    <row r="2155" spans="8:12">
      <c r="H2155" t="s">
        <v>9556</v>
      </c>
      <c r="I2155" t="s">
        <v>1357</v>
      </c>
      <c r="J2155" t="s">
        <v>1357</v>
      </c>
      <c r="K2155" t="s">
        <v>1357</v>
      </c>
      <c r="L2155" t="s">
        <v>1357</v>
      </c>
    </row>
    <row r="2156" spans="8:12">
      <c r="H2156" t="s">
        <v>9557</v>
      </c>
      <c r="I2156" t="s">
        <v>1357</v>
      </c>
      <c r="J2156" t="s">
        <v>1357</v>
      </c>
      <c r="K2156" t="s">
        <v>1357</v>
      </c>
      <c r="L2156" t="s">
        <v>1357</v>
      </c>
    </row>
    <row r="2157" spans="8:12">
      <c r="H2157" t="s">
        <v>9558</v>
      </c>
      <c r="I2157" t="s">
        <v>1357</v>
      </c>
      <c r="J2157" t="s">
        <v>1357</v>
      </c>
      <c r="K2157" t="s">
        <v>1357</v>
      </c>
      <c r="L2157" t="s">
        <v>1357</v>
      </c>
    </row>
    <row r="2158" spans="8:12">
      <c r="H2158" t="s">
        <v>9559</v>
      </c>
      <c r="I2158" t="s">
        <v>1357</v>
      </c>
      <c r="J2158" t="s">
        <v>1357</v>
      </c>
      <c r="K2158" t="s">
        <v>1357</v>
      </c>
      <c r="L2158" t="s">
        <v>1357</v>
      </c>
    </row>
    <row r="2159" spans="8:12">
      <c r="H2159" t="s">
        <v>9560</v>
      </c>
      <c r="I2159" t="s">
        <v>1357</v>
      </c>
      <c r="J2159" t="s">
        <v>1357</v>
      </c>
      <c r="K2159" t="s">
        <v>1357</v>
      </c>
      <c r="L2159" t="s">
        <v>1357</v>
      </c>
    </row>
    <row r="2160" spans="8:12">
      <c r="H2160" t="s">
        <v>9561</v>
      </c>
      <c r="I2160" t="s">
        <v>1357</v>
      </c>
      <c r="J2160" t="s">
        <v>1357</v>
      </c>
      <c r="K2160" t="s">
        <v>1357</v>
      </c>
      <c r="L2160" t="s">
        <v>1357</v>
      </c>
    </row>
    <row r="2161" spans="8:12">
      <c r="H2161" t="s">
        <v>9562</v>
      </c>
      <c r="I2161" t="s">
        <v>1357</v>
      </c>
      <c r="J2161" t="s">
        <v>1357</v>
      </c>
      <c r="K2161" t="s">
        <v>1357</v>
      </c>
      <c r="L2161" t="s">
        <v>1357</v>
      </c>
    </row>
    <row r="2162" spans="8:12">
      <c r="H2162" t="s">
        <v>9563</v>
      </c>
      <c r="I2162" t="s">
        <v>1357</v>
      </c>
      <c r="J2162" t="s">
        <v>1357</v>
      </c>
      <c r="K2162" t="s">
        <v>1357</v>
      </c>
      <c r="L2162" t="s">
        <v>1357</v>
      </c>
    </row>
    <row r="2163" spans="8:12">
      <c r="H2163" t="s">
        <v>9564</v>
      </c>
      <c r="I2163" t="s">
        <v>1357</v>
      </c>
      <c r="J2163" t="s">
        <v>1357</v>
      </c>
      <c r="K2163" t="s">
        <v>1357</v>
      </c>
      <c r="L2163" t="s">
        <v>1357</v>
      </c>
    </row>
    <row r="2164" spans="8:12">
      <c r="H2164" t="s">
        <v>9565</v>
      </c>
      <c r="I2164" t="s">
        <v>1357</v>
      </c>
      <c r="J2164" t="s">
        <v>1357</v>
      </c>
      <c r="K2164" t="s">
        <v>1357</v>
      </c>
      <c r="L2164" t="s">
        <v>1357</v>
      </c>
    </row>
    <row r="2165" spans="8:12">
      <c r="H2165" t="s">
        <v>9566</v>
      </c>
      <c r="I2165" t="s">
        <v>1357</v>
      </c>
      <c r="J2165" t="s">
        <v>1357</v>
      </c>
      <c r="K2165" t="s">
        <v>1357</v>
      </c>
      <c r="L2165" t="s">
        <v>1357</v>
      </c>
    </row>
    <row r="2166" spans="8:12">
      <c r="H2166" t="s">
        <v>9567</v>
      </c>
      <c r="I2166" t="s">
        <v>1357</v>
      </c>
      <c r="J2166" t="s">
        <v>1357</v>
      </c>
      <c r="K2166" t="s">
        <v>1357</v>
      </c>
      <c r="L2166" t="s">
        <v>1357</v>
      </c>
    </row>
    <row r="2167" spans="8:12">
      <c r="H2167" t="s">
        <v>9568</v>
      </c>
      <c r="I2167" t="s">
        <v>1357</v>
      </c>
      <c r="J2167" t="s">
        <v>1357</v>
      </c>
      <c r="K2167" t="s">
        <v>1357</v>
      </c>
      <c r="L2167" t="s">
        <v>1357</v>
      </c>
    </row>
    <row r="2168" spans="8:12">
      <c r="H2168" t="s">
        <v>9569</v>
      </c>
      <c r="I2168" t="s">
        <v>1357</v>
      </c>
      <c r="J2168" t="s">
        <v>1357</v>
      </c>
      <c r="K2168" t="s">
        <v>1357</v>
      </c>
      <c r="L2168" t="s">
        <v>1357</v>
      </c>
    </row>
    <row r="2169" spans="8:12">
      <c r="H2169" t="s">
        <v>9570</v>
      </c>
      <c r="I2169" t="s">
        <v>1357</v>
      </c>
      <c r="J2169" t="s">
        <v>1357</v>
      </c>
      <c r="K2169" t="s">
        <v>1357</v>
      </c>
      <c r="L2169" t="s">
        <v>1357</v>
      </c>
    </row>
    <row r="2170" spans="8:12">
      <c r="H2170" t="s">
        <v>9571</v>
      </c>
      <c r="I2170" t="s">
        <v>1357</v>
      </c>
      <c r="J2170" t="s">
        <v>1357</v>
      </c>
      <c r="K2170" t="s">
        <v>1357</v>
      </c>
      <c r="L2170" t="s">
        <v>1357</v>
      </c>
    </row>
    <row r="2171" spans="8:12">
      <c r="H2171" t="s">
        <v>9572</v>
      </c>
      <c r="I2171" t="s">
        <v>1357</v>
      </c>
      <c r="J2171" t="s">
        <v>1357</v>
      </c>
      <c r="K2171" t="s">
        <v>1357</v>
      </c>
      <c r="L2171" t="s">
        <v>1357</v>
      </c>
    </row>
    <row r="2172" spans="8:12">
      <c r="H2172" t="s">
        <v>9573</v>
      </c>
      <c r="I2172" t="s">
        <v>1357</v>
      </c>
      <c r="J2172" t="s">
        <v>1357</v>
      </c>
      <c r="K2172" t="s">
        <v>1357</v>
      </c>
      <c r="L2172" t="s">
        <v>1357</v>
      </c>
    </row>
    <row r="2173" spans="8:12">
      <c r="H2173" t="s">
        <v>9574</v>
      </c>
      <c r="I2173" t="s">
        <v>1357</v>
      </c>
      <c r="J2173" t="s">
        <v>1357</v>
      </c>
      <c r="K2173" t="s">
        <v>1357</v>
      </c>
      <c r="L2173" t="s">
        <v>1357</v>
      </c>
    </row>
    <row r="2174" spans="8:12">
      <c r="H2174" t="s">
        <v>9575</v>
      </c>
      <c r="I2174" t="s">
        <v>1357</v>
      </c>
      <c r="J2174" t="s">
        <v>1357</v>
      </c>
      <c r="K2174" t="s">
        <v>1357</v>
      </c>
      <c r="L2174" t="s">
        <v>1357</v>
      </c>
    </row>
    <row r="2175" spans="8:12">
      <c r="H2175" t="s">
        <v>9576</v>
      </c>
      <c r="I2175" t="s">
        <v>1357</v>
      </c>
      <c r="J2175" t="s">
        <v>1357</v>
      </c>
      <c r="K2175" t="s">
        <v>1357</v>
      </c>
      <c r="L2175" t="s">
        <v>1357</v>
      </c>
    </row>
    <row r="2176" spans="8:12">
      <c r="H2176" t="s">
        <v>9577</v>
      </c>
      <c r="I2176" t="s">
        <v>1357</v>
      </c>
      <c r="J2176" t="s">
        <v>1357</v>
      </c>
      <c r="K2176" t="s">
        <v>1357</v>
      </c>
      <c r="L2176" t="s">
        <v>1357</v>
      </c>
    </row>
    <row r="2177" spans="8:12">
      <c r="H2177" t="s">
        <v>9578</v>
      </c>
      <c r="I2177" t="s">
        <v>1357</v>
      </c>
      <c r="J2177" t="s">
        <v>1357</v>
      </c>
      <c r="K2177" t="s">
        <v>1357</v>
      </c>
      <c r="L2177" t="s">
        <v>1357</v>
      </c>
    </row>
    <row r="2178" spans="8:12">
      <c r="H2178" t="s">
        <v>9579</v>
      </c>
      <c r="I2178" t="s">
        <v>1357</v>
      </c>
      <c r="J2178" t="s">
        <v>1357</v>
      </c>
      <c r="K2178" t="s">
        <v>1357</v>
      </c>
      <c r="L2178" t="s">
        <v>1357</v>
      </c>
    </row>
    <row r="2179" spans="8:12">
      <c r="H2179" t="s">
        <v>9580</v>
      </c>
      <c r="I2179" t="s">
        <v>1357</v>
      </c>
      <c r="J2179" t="s">
        <v>1357</v>
      </c>
      <c r="K2179" t="s">
        <v>1357</v>
      </c>
      <c r="L2179" t="s">
        <v>1357</v>
      </c>
    </row>
    <row r="2180" spans="8:12">
      <c r="H2180" t="s">
        <v>9581</v>
      </c>
      <c r="I2180" t="s">
        <v>1357</v>
      </c>
      <c r="J2180" t="s">
        <v>1357</v>
      </c>
      <c r="K2180" t="s">
        <v>1357</v>
      </c>
      <c r="L2180" t="s">
        <v>1357</v>
      </c>
    </row>
    <row r="2181" spans="8:12">
      <c r="H2181" t="s">
        <v>9582</v>
      </c>
      <c r="I2181" t="s">
        <v>1357</v>
      </c>
      <c r="J2181" t="s">
        <v>1357</v>
      </c>
      <c r="K2181" t="s">
        <v>1357</v>
      </c>
      <c r="L2181" t="s">
        <v>1357</v>
      </c>
    </row>
    <row r="2182" spans="8:12">
      <c r="H2182" t="s">
        <v>9583</v>
      </c>
      <c r="I2182" t="s">
        <v>1357</v>
      </c>
      <c r="J2182" t="s">
        <v>1357</v>
      </c>
      <c r="K2182" t="s">
        <v>1357</v>
      </c>
      <c r="L2182" t="s">
        <v>1357</v>
      </c>
    </row>
    <row r="2183" spans="8:12">
      <c r="H2183" t="s">
        <v>9584</v>
      </c>
      <c r="I2183" t="s">
        <v>1357</v>
      </c>
      <c r="J2183" t="s">
        <v>1357</v>
      </c>
      <c r="K2183" t="s">
        <v>1357</v>
      </c>
      <c r="L2183" t="s">
        <v>1357</v>
      </c>
    </row>
    <row r="2184" spans="8:12">
      <c r="H2184" t="s">
        <v>9585</v>
      </c>
      <c r="I2184" t="s">
        <v>1357</v>
      </c>
      <c r="J2184" t="s">
        <v>1357</v>
      </c>
      <c r="K2184" t="s">
        <v>1357</v>
      </c>
      <c r="L2184" t="s">
        <v>1357</v>
      </c>
    </row>
    <row r="2185" spans="8:12">
      <c r="H2185" t="s">
        <v>9586</v>
      </c>
      <c r="I2185" t="s">
        <v>1357</v>
      </c>
      <c r="J2185" t="s">
        <v>1357</v>
      </c>
      <c r="K2185" t="s">
        <v>1357</v>
      </c>
      <c r="L2185" t="s">
        <v>1357</v>
      </c>
    </row>
    <row r="2186" spans="8:12">
      <c r="H2186" t="s">
        <v>9587</v>
      </c>
      <c r="I2186" t="s">
        <v>1357</v>
      </c>
      <c r="J2186" t="s">
        <v>1357</v>
      </c>
      <c r="K2186" t="s">
        <v>1357</v>
      </c>
      <c r="L2186" t="s">
        <v>1357</v>
      </c>
    </row>
    <row r="2187" spans="8:12">
      <c r="H2187" t="s">
        <v>9588</v>
      </c>
      <c r="I2187" t="s">
        <v>1357</v>
      </c>
      <c r="J2187" t="s">
        <v>1357</v>
      </c>
      <c r="K2187" t="s">
        <v>1357</v>
      </c>
      <c r="L2187" t="s">
        <v>1357</v>
      </c>
    </row>
    <row r="2188" spans="8:12">
      <c r="H2188" t="s">
        <v>9589</v>
      </c>
      <c r="I2188" t="s">
        <v>1357</v>
      </c>
      <c r="J2188" t="s">
        <v>1357</v>
      </c>
      <c r="K2188" t="s">
        <v>1357</v>
      </c>
      <c r="L2188" t="s">
        <v>1357</v>
      </c>
    </row>
    <row r="2189" spans="8:12">
      <c r="H2189" t="s">
        <v>9590</v>
      </c>
      <c r="I2189" t="s">
        <v>1357</v>
      </c>
      <c r="J2189" t="s">
        <v>1357</v>
      </c>
      <c r="K2189" t="s">
        <v>1357</v>
      </c>
      <c r="L2189" t="s">
        <v>1357</v>
      </c>
    </row>
    <row r="2190" spans="8:12">
      <c r="H2190" t="s">
        <v>9591</v>
      </c>
      <c r="I2190" t="s">
        <v>1357</v>
      </c>
      <c r="J2190" t="s">
        <v>1357</v>
      </c>
      <c r="K2190" t="s">
        <v>1357</v>
      </c>
      <c r="L2190" t="s">
        <v>1357</v>
      </c>
    </row>
    <row r="2191" spans="8:12">
      <c r="H2191" t="s">
        <v>9592</v>
      </c>
      <c r="I2191" t="s">
        <v>1357</v>
      </c>
      <c r="J2191" t="s">
        <v>1357</v>
      </c>
      <c r="K2191" t="s">
        <v>1357</v>
      </c>
      <c r="L2191" t="s">
        <v>1357</v>
      </c>
    </row>
    <row r="2192" spans="8:12">
      <c r="H2192" t="s">
        <v>9593</v>
      </c>
      <c r="I2192" t="s">
        <v>1357</v>
      </c>
      <c r="J2192" t="s">
        <v>1357</v>
      </c>
      <c r="K2192" t="s">
        <v>1357</v>
      </c>
      <c r="L2192" t="s">
        <v>1357</v>
      </c>
    </row>
    <row r="2193" spans="6:12">
      <c r="H2193" t="s">
        <v>9594</v>
      </c>
      <c r="I2193" t="s">
        <v>1357</v>
      </c>
      <c r="J2193" t="s">
        <v>1357</v>
      </c>
      <c r="K2193" t="s">
        <v>1357</v>
      </c>
      <c r="L2193" t="s">
        <v>1357</v>
      </c>
    </row>
    <row r="2194" spans="6:12">
      <c r="H2194" t="s">
        <v>9595</v>
      </c>
      <c r="I2194" t="s">
        <v>1357</v>
      </c>
      <c r="J2194" t="s">
        <v>1357</v>
      </c>
      <c r="K2194" t="s">
        <v>1357</v>
      </c>
      <c r="L2194" t="s">
        <v>1357</v>
      </c>
    </row>
    <row r="2195" spans="6:12">
      <c r="H2195" t="s">
        <v>9596</v>
      </c>
      <c r="I2195" t="s">
        <v>1357</v>
      </c>
      <c r="J2195" t="s">
        <v>1357</v>
      </c>
      <c r="K2195" t="s">
        <v>1357</v>
      </c>
      <c r="L2195" t="s">
        <v>1357</v>
      </c>
    </row>
    <row r="2196" spans="6:12">
      <c r="H2196" t="s">
        <v>9597</v>
      </c>
      <c r="I2196" t="s">
        <v>1357</v>
      </c>
      <c r="J2196" t="s">
        <v>1357</v>
      </c>
      <c r="K2196" t="s">
        <v>1357</v>
      </c>
      <c r="L2196" t="s">
        <v>1357</v>
      </c>
    </row>
    <row r="2197" spans="6:12">
      <c r="F2197" t="s">
        <v>7625</v>
      </c>
      <c r="G2197" t="s">
        <v>8273</v>
      </c>
      <c r="H2197" t="s">
        <v>9598</v>
      </c>
      <c r="I2197" t="s">
        <v>1357</v>
      </c>
      <c r="J2197" t="s">
        <v>1357</v>
      </c>
      <c r="K2197" t="s">
        <v>1357</v>
      </c>
      <c r="L2197" t="s">
        <v>1357</v>
      </c>
    </row>
    <row r="2198" spans="6:12">
      <c r="F2198" t="s">
        <v>7626</v>
      </c>
      <c r="G2198" t="s">
        <v>8274</v>
      </c>
      <c r="H2198" t="s">
        <v>9599</v>
      </c>
      <c r="I2198" t="s">
        <v>1357</v>
      </c>
      <c r="J2198" t="s">
        <v>1357</v>
      </c>
      <c r="K2198" t="s">
        <v>1357</v>
      </c>
      <c r="L2198" t="s">
        <v>1357</v>
      </c>
    </row>
    <row r="2199" spans="6:12">
      <c r="H2199" t="s">
        <v>9600</v>
      </c>
      <c r="I2199" t="s">
        <v>1357</v>
      </c>
      <c r="J2199" t="s">
        <v>1357</v>
      </c>
      <c r="K2199" t="s">
        <v>1357</v>
      </c>
      <c r="L2199" t="s">
        <v>1357</v>
      </c>
    </row>
    <row r="2200" spans="6:12">
      <c r="H2200" t="s">
        <v>9601</v>
      </c>
      <c r="I2200" t="s">
        <v>1357</v>
      </c>
      <c r="J2200" t="s">
        <v>1357</v>
      </c>
      <c r="K2200" t="s">
        <v>1357</v>
      </c>
      <c r="L2200" t="s">
        <v>1357</v>
      </c>
    </row>
    <row r="2201" spans="6:12">
      <c r="H2201" t="s">
        <v>9602</v>
      </c>
      <c r="I2201" t="s">
        <v>1357</v>
      </c>
      <c r="J2201" t="s">
        <v>1357</v>
      </c>
      <c r="K2201" t="s">
        <v>1357</v>
      </c>
      <c r="L2201" t="s">
        <v>1357</v>
      </c>
    </row>
    <row r="2202" spans="6:12">
      <c r="F2202" t="s">
        <v>7530</v>
      </c>
      <c r="G2202" t="s">
        <v>8203</v>
      </c>
      <c r="H2202" t="s">
        <v>9603</v>
      </c>
      <c r="I2202" t="s">
        <v>1357</v>
      </c>
      <c r="J2202" t="s">
        <v>1357</v>
      </c>
      <c r="K2202" t="s">
        <v>1357</v>
      </c>
      <c r="L2202" t="s">
        <v>1357</v>
      </c>
    </row>
    <row r="2203" spans="6:12">
      <c r="H2203" t="s">
        <v>9604</v>
      </c>
      <c r="I2203" t="s">
        <v>1357</v>
      </c>
      <c r="J2203" t="s">
        <v>1357</v>
      </c>
      <c r="K2203" t="s">
        <v>1357</v>
      </c>
      <c r="L2203" t="s">
        <v>1357</v>
      </c>
    </row>
    <row r="2204" spans="6:12">
      <c r="H2204" t="s">
        <v>9605</v>
      </c>
      <c r="I2204" t="s">
        <v>1357</v>
      </c>
      <c r="J2204" t="s">
        <v>1357</v>
      </c>
      <c r="K2204" t="s">
        <v>1357</v>
      </c>
      <c r="L2204" t="s">
        <v>1357</v>
      </c>
    </row>
    <row r="2205" spans="6:12">
      <c r="H2205" t="s">
        <v>9606</v>
      </c>
      <c r="I2205" t="s">
        <v>1357</v>
      </c>
      <c r="J2205" t="s">
        <v>1357</v>
      </c>
      <c r="K2205" t="s">
        <v>1357</v>
      </c>
      <c r="L2205" t="s">
        <v>1357</v>
      </c>
    </row>
    <row r="2206" spans="6:12">
      <c r="H2206" t="s">
        <v>9607</v>
      </c>
      <c r="I2206" t="s">
        <v>1357</v>
      </c>
      <c r="J2206" t="s">
        <v>1357</v>
      </c>
      <c r="K2206" t="s">
        <v>1357</v>
      </c>
      <c r="L2206" t="s">
        <v>1357</v>
      </c>
    </row>
    <row r="2207" spans="6:12">
      <c r="H2207" t="s">
        <v>9608</v>
      </c>
      <c r="I2207" t="s">
        <v>1357</v>
      </c>
      <c r="J2207" t="s">
        <v>1357</v>
      </c>
      <c r="K2207" t="s">
        <v>1357</v>
      </c>
      <c r="L2207" t="s">
        <v>1357</v>
      </c>
    </row>
    <row r="2208" spans="6:12">
      <c r="H2208" t="s">
        <v>9609</v>
      </c>
      <c r="I2208" t="s">
        <v>1357</v>
      </c>
      <c r="J2208" t="s">
        <v>1357</v>
      </c>
      <c r="K2208" t="s">
        <v>1357</v>
      </c>
      <c r="L2208" t="s">
        <v>1357</v>
      </c>
    </row>
    <row r="2209" spans="6:12">
      <c r="H2209" t="s">
        <v>9610</v>
      </c>
      <c r="I2209" t="s">
        <v>1357</v>
      </c>
      <c r="J2209" t="s">
        <v>1357</v>
      </c>
      <c r="K2209" t="s">
        <v>1357</v>
      </c>
      <c r="L2209" t="s">
        <v>1357</v>
      </c>
    </row>
    <row r="2210" spans="6:12">
      <c r="H2210" t="s">
        <v>9611</v>
      </c>
      <c r="I2210" t="s">
        <v>1357</v>
      </c>
      <c r="J2210" t="s">
        <v>1357</v>
      </c>
      <c r="K2210" t="s">
        <v>1357</v>
      </c>
      <c r="L2210" t="s">
        <v>1357</v>
      </c>
    </row>
    <row r="2211" spans="6:12">
      <c r="H2211" t="s">
        <v>9612</v>
      </c>
      <c r="I2211" t="s">
        <v>1357</v>
      </c>
      <c r="J2211" t="s">
        <v>1357</v>
      </c>
      <c r="K2211" t="s">
        <v>1357</v>
      </c>
      <c r="L2211" t="s">
        <v>1357</v>
      </c>
    </row>
    <row r="2212" spans="6:12">
      <c r="H2212" t="s">
        <v>9613</v>
      </c>
      <c r="I2212" t="s">
        <v>1357</v>
      </c>
      <c r="J2212" t="s">
        <v>1357</v>
      </c>
      <c r="K2212" t="s">
        <v>1357</v>
      </c>
      <c r="L2212" t="s">
        <v>1357</v>
      </c>
    </row>
    <row r="2213" spans="6:12">
      <c r="H2213" t="s">
        <v>9614</v>
      </c>
      <c r="I2213" t="s">
        <v>1357</v>
      </c>
      <c r="J2213" t="s">
        <v>1357</v>
      </c>
      <c r="K2213" t="s">
        <v>1357</v>
      </c>
      <c r="L2213" t="s">
        <v>1357</v>
      </c>
    </row>
    <row r="2214" spans="6:12">
      <c r="H2214" t="s">
        <v>9615</v>
      </c>
      <c r="I2214" t="s">
        <v>1357</v>
      </c>
      <c r="J2214" t="s">
        <v>1357</v>
      </c>
      <c r="K2214" t="s">
        <v>1357</v>
      </c>
      <c r="L2214" t="s">
        <v>1357</v>
      </c>
    </row>
    <row r="2215" spans="6:12">
      <c r="H2215" t="s">
        <v>9616</v>
      </c>
      <c r="I2215" t="s">
        <v>1357</v>
      </c>
      <c r="J2215" t="s">
        <v>1357</v>
      </c>
      <c r="K2215" t="s">
        <v>1357</v>
      </c>
      <c r="L2215" t="s">
        <v>1357</v>
      </c>
    </row>
    <row r="2216" spans="6:12">
      <c r="H2216" t="s">
        <v>9617</v>
      </c>
      <c r="I2216" t="s">
        <v>1357</v>
      </c>
      <c r="J2216" t="s">
        <v>1357</v>
      </c>
      <c r="K2216" t="s">
        <v>1357</v>
      </c>
      <c r="L2216" t="s">
        <v>1357</v>
      </c>
    </row>
    <row r="2217" spans="6:12">
      <c r="H2217" t="s">
        <v>9618</v>
      </c>
      <c r="I2217" t="s">
        <v>1357</v>
      </c>
      <c r="J2217" t="s">
        <v>1357</v>
      </c>
      <c r="K2217" t="s">
        <v>1357</v>
      </c>
      <c r="L2217" t="s">
        <v>1357</v>
      </c>
    </row>
    <row r="2218" spans="6:12">
      <c r="H2218" t="s">
        <v>9619</v>
      </c>
      <c r="I2218" t="s">
        <v>1357</v>
      </c>
      <c r="J2218" t="s">
        <v>1357</v>
      </c>
      <c r="K2218" t="s">
        <v>1357</v>
      </c>
      <c r="L2218" t="s">
        <v>1357</v>
      </c>
    </row>
    <row r="2219" spans="6:12">
      <c r="H2219" t="s">
        <v>9620</v>
      </c>
      <c r="I2219" t="s">
        <v>1357</v>
      </c>
      <c r="J2219" t="s">
        <v>1357</v>
      </c>
      <c r="K2219" t="s">
        <v>1357</v>
      </c>
      <c r="L2219" t="s">
        <v>1357</v>
      </c>
    </row>
    <row r="2220" spans="6:12">
      <c r="H2220" t="s">
        <v>9621</v>
      </c>
      <c r="I2220" t="s">
        <v>1357</v>
      </c>
      <c r="J2220" t="s">
        <v>1357</v>
      </c>
      <c r="K2220" t="s">
        <v>1357</v>
      </c>
      <c r="L2220" t="s">
        <v>1357</v>
      </c>
    </row>
    <row r="2221" spans="6:12">
      <c r="H2221" t="s">
        <v>9622</v>
      </c>
      <c r="I2221" t="s">
        <v>1357</v>
      </c>
      <c r="J2221" t="s">
        <v>1357</v>
      </c>
      <c r="K2221" t="s">
        <v>1357</v>
      </c>
      <c r="L2221" t="s">
        <v>1357</v>
      </c>
    </row>
    <row r="2222" spans="6:12">
      <c r="H2222" t="s">
        <v>9623</v>
      </c>
      <c r="I2222" t="s">
        <v>1357</v>
      </c>
      <c r="J2222" t="s">
        <v>1357</v>
      </c>
      <c r="K2222" t="s">
        <v>1357</v>
      </c>
      <c r="L2222" t="s">
        <v>1357</v>
      </c>
    </row>
    <row r="2223" spans="6:12">
      <c r="F2223" t="s">
        <v>7627</v>
      </c>
      <c r="G2223" t="s">
        <v>8275</v>
      </c>
      <c r="H2223" t="s">
        <v>9624</v>
      </c>
      <c r="I2223" t="s">
        <v>1357</v>
      </c>
      <c r="J2223" t="s">
        <v>1357</v>
      </c>
      <c r="K2223" t="s">
        <v>1357</v>
      </c>
      <c r="L2223" t="s">
        <v>1357</v>
      </c>
    </row>
    <row r="2224" spans="6:12">
      <c r="H2224" t="s">
        <v>9625</v>
      </c>
      <c r="I2224" t="s">
        <v>1357</v>
      </c>
      <c r="J2224" t="s">
        <v>1357</v>
      </c>
      <c r="K2224" t="s">
        <v>1357</v>
      </c>
      <c r="L2224" t="s">
        <v>1357</v>
      </c>
    </row>
    <row r="2225" spans="1:12">
      <c r="H2225" t="s">
        <v>9626</v>
      </c>
      <c r="I2225" t="s">
        <v>1357</v>
      </c>
      <c r="J2225" t="s">
        <v>1357</v>
      </c>
      <c r="K2225" t="s">
        <v>1357</v>
      </c>
      <c r="L2225" t="s">
        <v>1357</v>
      </c>
    </row>
    <row r="2226" spans="1:12">
      <c r="H2226" t="s">
        <v>9627</v>
      </c>
      <c r="I2226" t="s">
        <v>1357</v>
      </c>
      <c r="J2226" t="s">
        <v>1357</v>
      </c>
      <c r="K2226" t="s">
        <v>1357</v>
      </c>
      <c r="L2226" t="s">
        <v>1357</v>
      </c>
    </row>
    <row r="2227" spans="1:12">
      <c r="A2227" t="s">
        <v>6421</v>
      </c>
      <c r="B2227">
        <f>HYPERLINK("https://github.com/pmd/pmd/commit/bf3d3083eba32c43c836dd2920fe29a43d654ab4", "bf3d3083eba32c43c836dd2920fe29a43d654ab4")</f>
        <v>0</v>
      </c>
      <c r="C2227">
        <f>HYPERLINK("https://github.com/pmd/pmd/commit/c554aceba627ffd1c28b8a80192a7f1baddf9a7c", "c554aceba627ffd1c28b8a80192a7f1baddf9a7c")</f>
        <v>0</v>
      </c>
      <c r="D2227" t="s">
        <v>6509</v>
      </c>
      <c r="E2227" t="s">
        <v>6878</v>
      </c>
      <c r="F2227" t="s">
        <v>7509</v>
      </c>
      <c r="G2227" t="s">
        <v>7801</v>
      </c>
      <c r="H2227" t="s">
        <v>9628</v>
      </c>
      <c r="I2227" t="s">
        <v>1357</v>
      </c>
      <c r="J2227" t="s">
        <v>1357</v>
      </c>
      <c r="K2227" t="s">
        <v>1357</v>
      </c>
      <c r="L2227" t="s">
        <v>1357</v>
      </c>
    </row>
    <row r="2228" spans="1:12">
      <c r="H2228" t="s">
        <v>9629</v>
      </c>
      <c r="I2228" t="s">
        <v>1357</v>
      </c>
      <c r="J2228" t="s">
        <v>1357</v>
      </c>
      <c r="K2228" t="s">
        <v>1357</v>
      </c>
      <c r="L2228" t="s">
        <v>1357</v>
      </c>
    </row>
    <row r="2229" spans="1:12">
      <c r="H2229" t="s">
        <v>3834</v>
      </c>
      <c r="I2229" t="s">
        <v>1357</v>
      </c>
      <c r="J2229" t="s">
        <v>1357</v>
      </c>
      <c r="K2229" t="s">
        <v>1357</v>
      </c>
      <c r="L2229" t="s">
        <v>1357</v>
      </c>
    </row>
    <row r="2230" spans="1:12">
      <c r="H2230" t="s">
        <v>3835</v>
      </c>
      <c r="I2230" t="s">
        <v>1357</v>
      </c>
      <c r="J2230" t="s">
        <v>1357</v>
      </c>
      <c r="K2230" t="s">
        <v>1357</v>
      </c>
      <c r="L2230" t="s">
        <v>1357</v>
      </c>
    </row>
    <row r="2231" spans="1:12">
      <c r="H2231" t="s">
        <v>3836</v>
      </c>
      <c r="I2231" t="s">
        <v>1357</v>
      </c>
      <c r="J2231" t="s">
        <v>1357</v>
      </c>
      <c r="K2231" t="s">
        <v>1357</v>
      </c>
      <c r="L2231" t="s">
        <v>1357</v>
      </c>
    </row>
    <row r="2232" spans="1:12">
      <c r="H2232" t="s">
        <v>3837</v>
      </c>
      <c r="I2232" t="s">
        <v>1357</v>
      </c>
      <c r="J2232" t="s">
        <v>1357</v>
      </c>
      <c r="K2232" t="s">
        <v>1357</v>
      </c>
      <c r="L2232" t="s">
        <v>1357</v>
      </c>
    </row>
    <row r="2233" spans="1:12">
      <c r="H2233" t="s">
        <v>5243</v>
      </c>
      <c r="I2233" t="s">
        <v>1357</v>
      </c>
      <c r="J2233" t="s">
        <v>1357</v>
      </c>
      <c r="K2233" t="s">
        <v>1357</v>
      </c>
      <c r="L2233" t="s">
        <v>1357</v>
      </c>
    </row>
    <row r="2234" spans="1:12">
      <c r="H2234" t="s">
        <v>5244</v>
      </c>
      <c r="I2234" t="s">
        <v>1357</v>
      </c>
      <c r="J2234" t="s">
        <v>1357</v>
      </c>
      <c r="K2234" t="s">
        <v>1357</v>
      </c>
      <c r="L2234" t="s">
        <v>1357</v>
      </c>
    </row>
    <row r="2235" spans="1:12">
      <c r="H2235" t="s">
        <v>5245</v>
      </c>
      <c r="I2235" t="s">
        <v>1357</v>
      </c>
      <c r="J2235" t="s">
        <v>1357</v>
      </c>
      <c r="K2235" t="s">
        <v>1357</v>
      </c>
      <c r="L2235" t="s">
        <v>1357</v>
      </c>
    </row>
    <row r="2236" spans="1:12">
      <c r="H2236" t="s">
        <v>8437</v>
      </c>
      <c r="I2236" t="s">
        <v>1357</v>
      </c>
      <c r="J2236" t="s">
        <v>1357</v>
      </c>
      <c r="K2236" t="s">
        <v>1357</v>
      </c>
      <c r="L2236" t="s">
        <v>1357</v>
      </c>
    </row>
    <row r="2237" spans="1:12">
      <c r="H2237" t="s">
        <v>8438</v>
      </c>
      <c r="I2237" t="s">
        <v>1357</v>
      </c>
      <c r="J2237" t="s">
        <v>1357</v>
      </c>
      <c r="K2237" t="s">
        <v>1357</v>
      </c>
      <c r="L2237" t="s">
        <v>1357</v>
      </c>
    </row>
    <row r="2238" spans="1:12">
      <c r="H2238" t="s">
        <v>8439</v>
      </c>
      <c r="I2238" t="s">
        <v>1357</v>
      </c>
      <c r="J2238" t="s">
        <v>1357</v>
      </c>
      <c r="K2238" t="s">
        <v>1357</v>
      </c>
      <c r="L2238" t="s">
        <v>1357</v>
      </c>
    </row>
    <row r="2239" spans="1:12">
      <c r="H2239" t="s">
        <v>8440</v>
      </c>
      <c r="I2239" t="s">
        <v>1357</v>
      </c>
      <c r="J2239" t="s">
        <v>1357</v>
      </c>
      <c r="K2239" t="s">
        <v>1357</v>
      </c>
      <c r="L2239" t="s">
        <v>1357</v>
      </c>
    </row>
    <row r="2240" spans="1:12">
      <c r="H2240" t="s">
        <v>8441</v>
      </c>
      <c r="I2240" t="s">
        <v>1357</v>
      </c>
      <c r="J2240" t="s">
        <v>1357</v>
      </c>
      <c r="K2240" t="s">
        <v>1357</v>
      </c>
      <c r="L2240" t="s">
        <v>1357</v>
      </c>
    </row>
    <row r="2241" spans="8:12">
      <c r="H2241" t="s">
        <v>8442</v>
      </c>
      <c r="I2241" t="s">
        <v>1357</v>
      </c>
      <c r="J2241" t="s">
        <v>1357</v>
      </c>
      <c r="K2241" t="s">
        <v>1357</v>
      </c>
      <c r="L2241" t="s">
        <v>1357</v>
      </c>
    </row>
    <row r="2242" spans="8:12">
      <c r="H2242" t="s">
        <v>8443</v>
      </c>
      <c r="I2242" t="s">
        <v>1357</v>
      </c>
      <c r="J2242" t="s">
        <v>1357</v>
      </c>
      <c r="K2242" t="s">
        <v>1357</v>
      </c>
      <c r="L2242" t="s">
        <v>1357</v>
      </c>
    </row>
    <row r="2243" spans="8:12">
      <c r="H2243" t="s">
        <v>8444</v>
      </c>
      <c r="I2243" t="s">
        <v>1357</v>
      </c>
      <c r="J2243" t="s">
        <v>1357</v>
      </c>
      <c r="K2243" t="s">
        <v>1357</v>
      </c>
      <c r="L2243" t="s">
        <v>1357</v>
      </c>
    </row>
    <row r="2244" spans="8:12">
      <c r="H2244" t="s">
        <v>8445</v>
      </c>
      <c r="I2244" t="s">
        <v>1357</v>
      </c>
      <c r="J2244" t="s">
        <v>1357</v>
      </c>
      <c r="K2244" t="s">
        <v>1357</v>
      </c>
      <c r="L2244" t="s">
        <v>1357</v>
      </c>
    </row>
    <row r="2245" spans="8:12">
      <c r="H2245" t="s">
        <v>8446</v>
      </c>
      <c r="I2245" t="s">
        <v>1357</v>
      </c>
      <c r="J2245" t="s">
        <v>1357</v>
      </c>
      <c r="K2245" t="s">
        <v>1357</v>
      </c>
      <c r="L2245" t="s">
        <v>1357</v>
      </c>
    </row>
    <row r="2246" spans="8:12">
      <c r="H2246" t="s">
        <v>8447</v>
      </c>
      <c r="I2246" t="s">
        <v>1357</v>
      </c>
      <c r="J2246" t="s">
        <v>1357</v>
      </c>
      <c r="K2246" t="s">
        <v>1357</v>
      </c>
      <c r="L2246" t="s">
        <v>1357</v>
      </c>
    </row>
    <row r="2247" spans="8:12">
      <c r="H2247" t="s">
        <v>8448</v>
      </c>
      <c r="I2247" t="s">
        <v>1357</v>
      </c>
      <c r="J2247" t="s">
        <v>1357</v>
      </c>
      <c r="K2247" t="s">
        <v>1357</v>
      </c>
      <c r="L2247" t="s">
        <v>1357</v>
      </c>
    </row>
    <row r="2248" spans="8:12">
      <c r="H2248" t="s">
        <v>9630</v>
      </c>
      <c r="I2248" t="s">
        <v>1357</v>
      </c>
      <c r="J2248" t="s">
        <v>1357</v>
      </c>
      <c r="K2248" t="s">
        <v>1357</v>
      </c>
      <c r="L2248" t="s">
        <v>1357</v>
      </c>
    </row>
    <row r="2249" spans="8:12">
      <c r="H2249" t="s">
        <v>9631</v>
      </c>
      <c r="I2249" t="s">
        <v>1357</v>
      </c>
      <c r="J2249" t="s">
        <v>1357</v>
      </c>
      <c r="K2249" t="s">
        <v>1357</v>
      </c>
      <c r="L2249" t="s">
        <v>1357</v>
      </c>
    </row>
    <row r="2250" spans="8:12">
      <c r="H2250" t="s">
        <v>9632</v>
      </c>
      <c r="I2250" t="s">
        <v>1357</v>
      </c>
      <c r="J2250" t="s">
        <v>1357</v>
      </c>
      <c r="K2250" t="s">
        <v>1357</v>
      </c>
      <c r="L2250" t="s">
        <v>1357</v>
      </c>
    </row>
    <row r="2251" spans="8:12">
      <c r="H2251" t="s">
        <v>9633</v>
      </c>
      <c r="I2251" t="s">
        <v>1357</v>
      </c>
      <c r="J2251" t="s">
        <v>1357</v>
      </c>
      <c r="K2251" t="s">
        <v>1357</v>
      </c>
      <c r="L2251" t="s">
        <v>1357</v>
      </c>
    </row>
    <row r="2252" spans="8:12">
      <c r="H2252" t="s">
        <v>9634</v>
      </c>
      <c r="I2252" t="s">
        <v>1357</v>
      </c>
      <c r="J2252" t="s">
        <v>1357</v>
      </c>
      <c r="K2252" t="s">
        <v>1357</v>
      </c>
      <c r="L2252" t="s">
        <v>1357</v>
      </c>
    </row>
    <row r="2253" spans="8:12">
      <c r="H2253" t="s">
        <v>9635</v>
      </c>
      <c r="I2253" t="s">
        <v>1357</v>
      </c>
      <c r="J2253" t="s">
        <v>1357</v>
      </c>
      <c r="K2253" t="s">
        <v>1357</v>
      </c>
      <c r="L2253" t="s">
        <v>1357</v>
      </c>
    </row>
    <row r="2254" spans="8:12">
      <c r="H2254" t="s">
        <v>9636</v>
      </c>
      <c r="I2254" t="s">
        <v>1357</v>
      </c>
      <c r="J2254" t="s">
        <v>1357</v>
      </c>
      <c r="K2254" t="s">
        <v>1357</v>
      </c>
      <c r="L2254" t="s">
        <v>1357</v>
      </c>
    </row>
    <row r="2255" spans="8:12">
      <c r="H2255" t="s">
        <v>9637</v>
      </c>
      <c r="I2255" t="s">
        <v>1357</v>
      </c>
      <c r="J2255" t="s">
        <v>1357</v>
      </c>
      <c r="K2255" t="s">
        <v>1357</v>
      </c>
      <c r="L2255" t="s">
        <v>1357</v>
      </c>
    </row>
    <row r="2256" spans="8:12">
      <c r="H2256" t="s">
        <v>9638</v>
      </c>
      <c r="I2256" t="s">
        <v>1357</v>
      </c>
      <c r="J2256" t="s">
        <v>1357</v>
      </c>
      <c r="K2256" t="s">
        <v>1357</v>
      </c>
      <c r="L2256" t="s">
        <v>1357</v>
      </c>
    </row>
    <row r="2257" spans="1:12">
      <c r="H2257" t="s">
        <v>9639</v>
      </c>
      <c r="I2257" t="s">
        <v>1357</v>
      </c>
      <c r="J2257" t="s">
        <v>1357</v>
      </c>
      <c r="K2257" t="s">
        <v>1357</v>
      </c>
      <c r="L2257" t="s">
        <v>1357</v>
      </c>
    </row>
    <row r="2258" spans="1:12">
      <c r="F2258" t="s">
        <v>7628</v>
      </c>
      <c r="G2258" t="s">
        <v>8276</v>
      </c>
      <c r="H2258" t="s">
        <v>9640</v>
      </c>
      <c r="I2258" t="s">
        <v>1357</v>
      </c>
      <c r="J2258" t="s">
        <v>1357</v>
      </c>
      <c r="K2258" t="s">
        <v>1357</v>
      </c>
      <c r="L2258" t="s">
        <v>1357</v>
      </c>
    </row>
    <row r="2259" spans="1:12">
      <c r="F2259" t="s">
        <v>7629</v>
      </c>
      <c r="G2259" t="s">
        <v>8277</v>
      </c>
      <c r="H2259" t="s">
        <v>9641</v>
      </c>
      <c r="I2259" t="s">
        <v>1357</v>
      </c>
      <c r="J2259" t="s">
        <v>1357</v>
      </c>
      <c r="K2259" t="s">
        <v>1357</v>
      </c>
      <c r="L2259" t="s">
        <v>1357</v>
      </c>
    </row>
    <row r="2260" spans="1:12">
      <c r="H2260" t="s">
        <v>9642</v>
      </c>
      <c r="I2260" t="s">
        <v>1357</v>
      </c>
      <c r="J2260" t="s">
        <v>1357</v>
      </c>
      <c r="K2260" t="s">
        <v>1357</v>
      </c>
      <c r="L2260" t="s">
        <v>1357</v>
      </c>
    </row>
    <row r="2261" spans="1:12">
      <c r="H2261" t="s">
        <v>9643</v>
      </c>
      <c r="I2261" t="s">
        <v>1357</v>
      </c>
      <c r="J2261" t="s">
        <v>1357</v>
      </c>
      <c r="K2261" t="s">
        <v>1357</v>
      </c>
      <c r="L2261" t="s">
        <v>1357</v>
      </c>
    </row>
    <row r="2262" spans="1:12">
      <c r="H2262" t="s">
        <v>9644</v>
      </c>
      <c r="I2262" t="s">
        <v>1357</v>
      </c>
      <c r="J2262" t="s">
        <v>1357</v>
      </c>
      <c r="K2262" t="s">
        <v>1357</v>
      </c>
      <c r="L2262" t="s">
        <v>1357</v>
      </c>
    </row>
    <row r="2263" spans="1:12">
      <c r="H2263" t="s">
        <v>9645</v>
      </c>
      <c r="I2263" t="s">
        <v>1357</v>
      </c>
      <c r="J2263" t="s">
        <v>1357</v>
      </c>
      <c r="K2263" t="s">
        <v>1357</v>
      </c>
      <c r="L2263" t="s">
        <v>1357</v>
      </c>
    </row>
    <row r="2264" spans="1:12">
      <c r="F2264" t="s">
        <v>7630</v>
      </c>
      <c r="G2264" t="s">
        <v>8278</v>
      </c>
      <c r="H2264" t="s">
        <v>9646</v>
      </c>
      <c r="I2264" t="s">
        <v>1357</v>
      </c>
      <c r="J2264" t="s">
        <v>1357</v>
      </c>
      <c r="K2264" t="s">
        <v>1357</v>
      </c>
      <c r="L2264" t="s">
        <v>1357</v>
      </c>
    </row>
    <row r="2265" spans="1:12">
      <c r="H2265" t="s">
        <v>3834</v>
      </c>
      <c r="I2265" t="s">
        <v>1357</v>
      </c>
      <c r="J2265" t="s">
        <v>1357</v>
      </c>
      <c r="K2265" t="s">
        <v>1357</v>
      </c>
      <c r="L2265" t="s">
        <v>1357</v>
      </c>
    </row>
    <row r="2266" spans="1:12">
      <c r="F2266" t="s">
        <v>7573</v>
      </c>
      <c r="G2266" t="s">
        <v>7810</v>
      </c>
      <c r="H2266" t="s">
        <v>9647</v>
      </c>
      <c r="I2266" t="s">
        <v>1357</v>
      </c>
      <c r="J2266" t="s">
        <v>1357</v>
      </c>
      <c r="K2266" t="s">
        <v>1357</v>
      </c>
      <c r="L2266" t="s">
        <v>1357</v>
      </c>
    </row>
    <row r="2267" spans="1:12">
      <c r="H2267" t="s">
        <v>9648</v>
      </c>
      <c r="I2267" t="s">
        <v>1357</v>
      </c>
      <c r="J2267" t="s">
        <v>1357</v>
      </c>
      <c r="K2267" t="s">
        <v>1357</v>
      </c>
      <c r="L2267" t="s">
        <v>1357</v>
      </c>
    </row>
    <row r="2268" spans="1:12">
      <c r="H2268" t="s">
        <v>9099</v>
      </c>
      <c r="I2268" t="s">
        <v>1357</v>
      </c>
      <c r="J2268" t="s">
        <v>1357</v>
      </c>
      <c r="K2268" t="s">
        <v>1357</v>
      </c>
      <c r="L2268" t="s">
        <v>1357</v>
      </c>
    </row>
    <row r="2269" spans="1:12">
      <c r="H2269" t="s">
        <v>9100</v>
      </c>
      <c r="I2269" t="s">
        <v>1357</v>
      </c>
      <c r="J2269" t="s">
        <v>1357</v>
      </c>
      <c r="K2269" t="s">
        <v>1357</v>
      </c>
      <c r="L2269" t="s">
        <v>1357</v>
      </c>
    </row>
    <row r="2270" spans="1:12">
      <c r="H2270" t="s">
        <v>9101</v>
      </c>
      <c r="I2270" t="s">
        <v>1357</v>
      </c>
      <c r="J2270" t="s">
        <v>1357</v>
      </c>
      <c r="K2270" t="s">
        <v>1357</v>
      </c>
      <c r="L2270" t="s">
        <v>1357</v>
      </c>
    </row>
    <row r="2271" spans="1:12">
      <c r="F2271" t="s">
        <v>7631</v>
      </c>
      <c r="G2271" t="s">
        <v>8279</v>
      </c>
      <c r="H2271" t="s">
        <v>9212</v>
      </c>
      <c r="I2271" t="s">
        <v>1357</v>
      </c>
      <c r="J2271" t="s">
        <v>1357</v>
      </c>
      <c r="K2271" t="s">
        <v>1357</v>
      </c>
      <c r="L2271" t="s">
        <v>1357</v>
      </c>
    </row>
    <row r="2272" spans="1:12">
      <c r="A2272" t="s">
        <v>6422</v>
      </c>
      <c r="B2272">
        <f>HYPERLINK("https://github.com/pmd/pmd/commit/be98a689f74e882198adf305ee75fa17a5b67798", "be98a689f74e882198adf305ee75fa17a5b67798")</f>
        <v>0</v>
      </c>
      <c r="C2272">
        <f>HYPERLINK("https://github.com/pmd/pmd/commit/bf3d3083eba32c43c836dd2920fe29a43d654ab4", "bf3d3083eba32c43c836dd2920fe29a43d654ab4")</f>
        <v>0</v>
      </c>
      <c r="D2272" t="s">
        <v>6509</v>
      </c>
      <c r="E2272" t="s">
        <v>6879</v>
      </c>
      <c r="F2272" t="s">
        <v>7491</v>
      </c>
      <c r="G2272" t="s">
        <v>7810</v>
      </c>
      <c r="H2272" t="s">
        <v>9097</v>
      </c>
      <c r="I2272" t="s">
        <v>1357</v>
      </c>
      <c r="J2272" t="s">
        <v>1357</v>
      </c>
      <c r="K2272" t="s">
        <v>1357</v>
      </c>
      <c r="L2272" t="s">
        <v>1357</v>
      </c>
    </row>
    <row r="2273" spans="1:14">
      <c r="H2273" t="s">
        <v>9098</v>
      </c>
      <c r="I2273" t="s">
        <v>1357</v>
      </c>
      <c r="J2273" t="s">
        <v>1357</v>
      </c>
      <c r="K2273" t="s">
        <v>1357</v>
      </c>
      <c r="L2273" t="s">
        <v>1357</v>
      </c>
    </row>
    <row r="2274" spans="1:14">
      <c r="H2274" t="s">
        <v>9099</v>
      </c>
      <c r="I2274" t="s">
        <v>1357</v>
      </c>
      <c r="J2274" t="s">
        <v>1357</v>
      </c>
      <c r="K2274" t="s">
        <v>1357</v>
      </c>
      <c r="L2274" t="s">
        <v>1357</v>
      </c>
    </row>
    <row r="2275" spans="1:14">
      <c r="H2275" t="s">
        <v>9100</v>
      </c>
      <c r="I2275" t="s">
        <v>1357</v>
      </c>
      <c r="J2275" t="s">
        <v>1357</v>
      </c>
      <c r="K2275" t="s">
        <v>1357</v>
      </c>
      <c r="L2275" t="s">
        <v>1357</v>
      </c>
    </row>
    <row r="2276" spans="1:14">
      <c r="H2276" t="s">
        <v>9101</v>
      </c>
      <c r="I2276" t="s">
        <v>1357</v>
      </c>
      <c r="J2276" t="s">
        <v>1357</v>
      </c>
      <c r="K2276" t="s">
        <v>1357</v>
      </c>
      <c r="L2276" t="s">
        <v>1357</v>
      </c>
    </row>
    <row r="2277" spans="1:14">
      <c r="H2277" t="s">
        <v>9102</v>
      </c>
      <c r="I2277" t="s">
        <v>1357</v>
      </c>
      <c r="J2277" t="s">
        <v>1357</v>
      </c>
      <c r="K2277" t="s">
        <v>1357</v>
      </c>
      <c r="L2277" t="s">
        <v>1357</v>
      </c>
    </row>
    <row r="2278" spans="1:14">
      <c r="H2278" t="s">
        <v>9103</v>
      </c>
      <c r="I2278" t="s">
        <v>1357</v>
      </c>
      <c r="J2278" t="s">
        <v>1357</v>
      </c>
      <c r="K2278" t="s">
        <v>1357</v>
      </c>
      <c r="L2278" t="s">
        <v>1357</v>
      </c>
    </row>
    <row r="2279" spans="1:14">
      <c r="A2279" t="s">
        <v>6423</v>
      </c>
      <c r="B2279">
        <f>HYPERLINK("https://github.com/pmd/pmd/commit/02a78f5bea0189fbf9e25b383a9df18f2944f6b0", "02a78f5bea0189fbf9e25b383a9df18f2944f6b0")</f>
        <v>0</v>
      </c>
      <c r="C2279">
        <f>HYPERLINK("https://github.com/pmd/pmd/commit/575d1262a9dc5dbe519d3f17bb3e2b23a5864140", "575d1262a9dc5dbe519d3f17bb3e2b23a5864140")</f>
        <v>0</v>
      </c>
      <c r="D2279" t="s">
        <v>6514</v>
      </c>
      <c r="E2279" t="s">
        <v>6880</v>
      </c>
      <c r="F2279" t="s">
        <v>7561</v>
      </c>
      <c r="G2279" t="s">
        <v>8226</v>
      </c>
      <c r="H2279" t="s">
        <v>9374</v>
      </c>
      <c r="I2279" t="s">
        <v>1357</v>
      </c>
      <c r="J2279" t="s">
        <v>1357</v>
      </c>
      <c r="K2279" t="s">
        <v>1357</v>
      </c>
      <c r="L2279" t="s">
        <v>1357</v>
      </c>
    </row>
    <row r="2280" spans="1:14">
      <c r="H2280" t="s">
        <v>9375</v>
      </c>
      <c r="I2280" t="s">
        <v>1357</v>
      </c>
      <c r="J2280" t="s">
        <v>1357</v>
      </c>
      <c r="K2280" t="s">
        <v>1357</v>
      </c>
      <c r="L2280" t="s">
        <v>1357</v>
      </c>
    </row>
    <row r="2281" spans="1:14">
      <c r="H2281" t="s">
        <v>9649</v>
      </c>
      <c r="I2281" t="s">
        <v>1357</v>
      </c>
      <c r="J2281" t="s">
        <v>1357</v>
      </c>
      <c r="K2281" t="s">
        <v>1357</v>
      </c>
      <c r="L2281" t="s">
        <v>1357</v>
      </c>
    </row>
    <row r="2282" spans="1:14">
      <c r="H2282" t="s">
        <v>9335</v>
      </c>
      <c r="I2282" t="s">
        <v>1357</v>
      </c>
      <c r="J2282" t="s">
        <v>1357</v>
      </c>
      <c r="K2282" t="s">
        <v>1357</v>
      </c>
      <c r="L2282" t="s">
        <v>1357</v>
      </c>
    </row>
    <row r="2283" spans="1:14">
      <c r="H2283" t="s">
        <v>9336</v>
      </c>
      <c r="I2283" t="s">
        <v>1357</v>
      </c>
      <c r="J2283" t="s">
        <v>1357</v>
      </c>
      <c r="K2283" t="s">
        <v>1357</v>
      </c>
      <c r="L2283" t="s">
        <v>1357</v>
      </c>
    </row>
    <row r="2284" spans="1:14">
      <c r="F2284" t="s">
        <v>7632</v>
      </c>
      <c r="G2284" t="s">
        <v>8280</v>
      </c>
      <c r="H2284" t="s">
        <v>9650</v>
      </c>
      <c r="I2284" t="s">
        <v>1358</v>
      </c>
      <c r="J2284" t="s">
        <v>1358</v>
      </c>
      <c r="K2284" t="s">
        <v>1358</v>
      </c>
      <c r="L2284" t="s">
        <v>1358</v>
      </c>
      <c r="N2284" t="s">
        <v>9970</v>
      </c>
    </row>
    <row r="2285" spans="1:14">
      <c r="A2285" t="s">
        <v>6424</v>
      </c>
      <c r="B2285">
        <f>HYPERLINK("https://github.com/pmd/pmd/commit/e5bf0b3f82407e1589a4952e3b7fe2a93d583345", "e5bf0b3f82407e1589a4952e3b7fe2a93d583345")</f>
        <v>0</v>
      </c>
      <c r="C2285">
        <f>HYPERLINK("https://github.com/pmd/pmd/commit/f4cdb3bf642b864fcc5eea7ca206a418f7b7d74a", "f4cdb3bf642b864fcc5eea7ca206a418f7b7d74a")</f>
        <v>0</v>
      </c>
      <c r="D2285" t="s">
        <v>6509</v>
      </c>
      <c r="E2285" t="s">
        <v>6881</v>
      </c>
      <c r="F2285" t="s">
        <v>7479</v>
      </c>
      <c r="G2285" t="s">
        <v>8162</v>
      </c>
      <c r="H2285" t="s">
        <v>9651</v>
      </c>
      <c r="I2285" t="s">
        <v>1357</v>
      </c>
      <c r="J2285" t="s">
        <v>1357</v>
      </c>
      <c r="K2285" t="s">
        <v>1357</v>
      </c>
      <c r="L2285" t="s">
        <v>1357</v>
      </c>
    </row>
    <row r="2286" spans="1:14">
      <c r="H2286" t="s">
        <v>9652</v>
      </c>
      <c r="I2286" t="s">
        <v>1357</v>
      </c>
      <c r="J2286" t="s">
        <v>1357</v>
      </c>
      <c r="K2286" t="s">
        <v>1357</v>
      </c>
      <c r="L2286" t="s">
        <v>1357</v>
      </c>
    </row>
    <row r="2287" spans="1:14">
      <c r="H2287" t="s">
        <v>9653</v>
      </c>
      <c r="I2287" t="s">
        <v>1357</v>
      </c>
      <c r="J2287" t="s">
        <v>1357</v>
      </c>
      <c r="K2287" t="s">
        <v>1357</v>
      </c>
      <c r="L2287" t="s">
        <v>1357</v>
      </c>
    </row>
    <row r="2288" spans="1:14">
      <c r="H2288" t="s">
        <v>9654</v>
      </c>
      <c r="I2288" t="s">
        <v>1358</v>
      </c>
      <c r="J2288" t="s">
        <v>1358</v>
      </c>
      <c r="K2288" t="s">
        <v>1358</v>
      </c>
      <c r="L2288" t="s">
        <v>1358</v>
      </c>
      <c r="N2288" t="s">
        <v>1377</v>
      </c>
    </row>
    <row r="2289" spans="1:14">
      <c r="A2289" t="s">
        <v>6425</v>
      </c>
      <c r="B2289">
        <f>HYPERLINK("https://github.com/pmd/pmd/commit/226cb0f74afc46f4366797f76c2961843bd29022", "226cb0f74afc46f4366797f76c2961843bd29022")</f>
        <v>0</v>
      </c>
      <c r="C2289">
        <f>HYPERLINK("https://github.com/pmd/pmd/commit/c6536db0379500953c443284964528d431662bbc", "c6536db0379500953c443284964528d431662bbc")</f>
        <v>0</v>
      </c>
      <c r="D2289" t="s">
        <v>6509</v>
      </c>
      <c r="E2289" t="s">
        <v>6882</v>
      </c>
      <c r="F2289" t="s">
        <v>7633</v>
      </c>
      <c r="G2289" t="s">
        <v>8281</v>
      </c>
      <c r="H2289" t="s">
        <v>9655</v>
      </c>
      <c r="I2289" t="s">
        <v>1357</v>
      </c>
      <c r="J2289" t="s">
        <v>1357</v>
      </c>
      <c r="K2289" t="s">
        <v>1357</v>
      </c>
      <c r="L2289" t="s">
        <v>1357</v>
      </c>
      <c r="N2289" t="s">
        <v>5111</v>
      </c>
    </row>
    <row r="2290" spans="1:14">
      <c r="H2290" t="s">
        <v>9656</v>
      </c>
      <c r="I2290" t="s">
        <v>1357</v>
      </c>
      <c r="J2290" t="s">
        <v>1357</v>
      </c>
      <c r="K2290" t="s">
        <v>1357</v>
      </c>
      <c r="L2290" t="s">
        <v>1357</v>
      </c>
      <c r="N2290" t="s">
        <v>5111</v>
      </c>
    </row>
    <row r="2291" spans="1:14">
      <c r="H2291" t="s">
        <v>9657</v>
      </c>
      <c r="I2291" t="s">
        <v>1357</v>
      </c>
      <c r="J2291" t="s">
        <v>1357</v>
      </c>
      <c r="K2291" t="s">
        <v>1357</v>
      </c>
      <c r="L2291" t="s">
        <v>1357</v>
      </c>
      <c r="N2291" t="s">
        <v>5111</v>
      </c>
    </row>
    <row r="2292" spans="1:14">
      <c r="H2292" t="s">
        <v>9658</v>
      </c>
      <c r="I2292" t="s">
        <v>1357</v>
      </c>
      <c r="J2292" t="s">
        <v>1357</v>
      </c>
      <c r="K2292" t="s">
        <v>1357</v>
      </c>
      <c r="L2292" t="s">
        <v>1357</v>
      </c>
      <c r="N2292" t="s">
        <v>5111</v>
      </c>
    </row>
    <row r="2293" spans="1:14">
      <c r="A2293" t="s">
        <v>6426</v>
      </c>
      <c r="B2293">
        <f>HYPERLINK("https://github.com/pmd/pmd/commit/7a456e5b935242acaf16619b4ae8e9a12e4e52f6", "7a456e5b935242acaf16619b4ae8e9a12e4e52f6")</f>
        <v>0</v>
      </c>
      <c r="C2293">
        <f>HYPERLINK("https://github.com/pmd/pmd/commit/285e7f2e947de7d0177c475f5960ecc7836bda79", "285e7f2e947de7d0177c475f5960ecc7836bda79")</f>
        <v>0</v>
      </c>
      <c r="D2293" t="s">
        <v>6509</v>
      </c>
      <c r="E2293" t="s">
        <v>6883</v>
      </c>
      <c r="F2293" t="s">
        <v>7634</v>
      </c>
      <c r="G2293" t="s">
        <v>8046</v>
      </c>
      <c r="H2293" t="s">
        <v>9659</v>
      </c>
      <c r="I2293" t="s">
        <v>1357</v>
      </c>
      <c r="J2293" t="s">
        <v>1357</v>
      </c>
      <c r="K2293" t="s">
        <v>1357</v>
      </c>
      <c r="L2293" t="s">
        <v>1357</v>
      </c>
    </row>
    <row r="2294" spans="1:14">
      <c r="H2294" t="s">
        <v>9660</v>
      </c>
      <c r="I2294" t="s">
        <v>1357</v>
      </c>
      <c r="J2294" t="s">
        <v>1357</v>
      </c>
      <c r="K2294" t="s">
        <v>1357</v>
      </c>
      <c r="L2294" t="s">
        <v>1357</v>
      </c>
    </row>
    <row r="2295" spans="1:14">
      <c r="A2295" t="s">
        <v>6427</v>
      </c>
      <c r="B2295">
        <f>HYPERLINK("https://github.com/pmd/pmd/commit/dafe49f84ab9f76839c14a2ee9b904a4a309fb1b", "dafe49f84ab9f76839c14a2ee9b904a4a309fb1b")</f>
        <v>0</v>
      </c>
      <c r="C2295">
        <f>HYPERLINK("https://github.com/pmd/pmd/commit/08b19dbcdde5d6258515cf2620a855e7775d46ef", "08b19dbcdde5d6258515cf2620a855e7775d46ef")</f>
        <v>0</v>
      </c>
      <c r="D2295" t="s">
        <v>6509</v>
      </c>
      <c r="E2295" t="s">
        <v>6884</v>
      </c>
      <c r="F2295" t="s">
        <v>7635</v>
      </c>
      <c r="G2295" t="s">
        <v>8282</v>
      </c>
      <c r="H2295" t="s">
        <v>9661</v>
      </c>
      <c r="I2295" t="s">
        <v>1358</v>
      </c>
      <c r="J2295" t="s">
        <v>1358</v>
      </c>
      <c r="K2295" t="s">
        <v>1358</v>
      </c>
      <c r="L2295" t="s">
        <v>1358</v>
      </c>
    </row>
    <row r="2296" spans="1:14">
      <c r="F2296" t="s">
        <v>7636</v>
      </c>
      <c r="G2296" t="s">
        <v>8283</v>
      </c>
      <c r="H2296" t="s">
        <v>9662</v>
      </c>
      <c r="I2296" t="s">
        <v>1357</v>
      </c>
      <c r="J2296" t="s">
        <v>1357</v>
      </c>
      <c r="K2296" t="s">
        <v>1357</v>
      </c>
      <c r="L2296" t="s">
        <v>1357</v>
      </c>
    </row>
    <row r="2297" spans="1:14">
      <c r="A2297" t="s">
        <v>6428</v>
      </c>
      <c r="B2297">
        <f>HYPERLINK("https://github.com/pmd/pmd/commit/387555b4a1e3f440a04d878d9fe1fc5a5bd64c70", "387555b4a1e3f440a04d878d9fe1fc5a5bd64c70")</f>
        <v>0</v>
      </c>
      <c r="C2297">
        <f>HYPERLINK("https://github.com/pmd/pmd/commit/dafe49f84ab9f76839c14a2ee9b904a4a309fb1b", "dafe49f84ab9f76839c14a2ee9b904a4a309fb1b")</f>
        <v>0</v>
      </c>
      <c r="D2297" t="s">
        <v>6509</v>
      </c>
      <c r="E2297" t="s">
        <v>6885</v>
      </c>
      <c r="F2297" t="s">
        <v>7637</v>
      </c>
      <c r="G2297" t="s">
        <v>8284</v>
      </c>
      <c r="H2297" t="s">
        <v>9663</v>
      </c>
      <c r="I2297" t="s">
        <v>1357</v>
      </c>
      <c r="J2297" t="s">
        <v>1357</v>
      </c>
      <c r="K2297" t="s">
        <v>1357</v>
      </c>
      <c r="L2297" t="s">
        <v>1357</v>
      </c>
      <c r="N2297" t="s">
        <v>1364</v>
      </c>
    </row>
    <row r="2298" spans="1:14">
      <c r="A2298" t="s">
        <v>6428</v>
      </c>
      <c r="B2298">
        <f>HYPERLINK("https://github.com/pmd/pmd/commit/c66b3e8fa9f875cb63c25a12e88ae88b898e10a7", "c66b3e8fa9f875cb63c25a12e88ae88b898e10a7")</f>
        <v>0</v>
      </c>
      <c r="C2298">
        <f>HYPERLINK("https://github.com/pmd/pmd/commit/387555b4a1e3f440a04d878d9fe1fc5a5bd64c70", "387555b4a1e3f440a04d878d9fe1fc5a5bd64c70")</f>
        <v>0</v>
      </c>
      <c r="D2298" t="s">
        <v>6509</v>
      </c>
      <c r="E2298" t="s">
        <v>6886</v>
      </c>
      <c r="F2298" t="s">
        <v>7634</v>
      </c>
      <c r="G2298" t="s">
        <v>8046</v>
      </c>
      <c r="H2298" t="s">
        <v>9664</v>
      </c>
      <c r="I2298" t="s">
        <v>1357</v>
      </c>
      <c r="J2298" t="s">
        <v>1357</v>
      </c>
      <c r="K2298" t="s">
        <v>1357</v>
      </c>
      <c r="L2298" t="s">
        <v>1357</v>
      </c>
    </row>
    <row r="2299" spans="1:14">
      <c r="A2299" t="s">
        <v>6428</v>
      </c>
      <c r="B2299">
        <f>HYPERLINK("https://github.com/pmd/pmd/commit/094ce26227e7f064dc7b462ce952b41f3bc8cf5e", "094ce26227e7f064dc7b462ce952b41f3bc8cf5e")</f>
        <v>0</v>
      </c>
      <c r="C2299">
        <f>HYPERLINK("https://github.com/pmd/pmd/commit/e7e6793eb343fdd24f064a426b5a412ca5fb4b8c", "e7e6793eb343fdd24f064a426b5a412ca5fb4b8c")</f>
        <v>0</v>
      </c>
      <c r="D2299" t="s">
        <v>6509</v>
      </c>
      <c r="E2299" t="s">
        <v>6887</v>
      </c>
      <c r="F2299" t="s">
        <v>7634</v>
      </c>
      <c r="G2299" t="s">
        <v>8046</v>
      </c>
      <c r="H2299" t="s">
        <v>9665</v>
      </c>
      <c r="I2299" t="s">
        <v>1357</v>
      </c>
      <c r="J2299" t="s">
        <v>1357</v>
      </c>
      <c r="K2299" t="s">
        <v>1357</v>
      </c>
      <c r="L2299" t="s">
        <v>1357</v>
      </c>
    </row>
    <row r="2300" spans="1:14">
      <c r="H2300" t="s">
        <v>9666</v>
      </c>
      <c r="I2300" t="s">
        <v>1357</v>
      </c>
      <c r="J2300" t="s">
        <v>1357</v>
      </c>
      <c r="K2300" t="s">
        <v>1357</v>
      </c>
      <c r="L2300" t="s">
        <v>1357</v>
      </c>
    </row>
    <row r="2301" spans="1:14">
      <c r="A2301" t="s">
        <v>6429</v>
      </c>
      <c r="B2301">
        <f>HYPERLINK("https://github.com/pmd/pmd/commit/7af8ff452796f324df9f67fe023d1d2092889b80", "7af8ff452796f324df9f67fe023d1d2092889b80")</f>
        <v>0</v>
      </c>
      <c r="C2301">
        <f>HYPERLINK("https://github.com/pmd/pmd/commit/97f90cc3fcd93575c6cfc86db075fe360503d7c4", "97f90cc3fcd93575c6cfc86db075fe360503d7c4")</f>
        <v>0</v>
      </c>
      <c r="D2301" t="s">
        <v>6509</v>
      </c>
      <c r="E2301" t="s">
        <v>6888</v>
      </c>
      <c r="F2301" t="s">
        <v>7565</v>
      </c>
      <c r="G2301" t="s">
        <v>7703</v>
      </c>
      <c r="H2301" t="s">
        <v>9667</v>
      </c>
      <c r="I2301" t="s">
        <v>1357</v>
      </c>
      <c r="J2301" t="s">
        <v>1357</v>
      </c>
      <c r="K2301" t="s">
        <v>1357</v>
      </c>
      <c r="L2301" t="s">
        <v>1357</v>
      </c>
    </row>
    <row r="2302" spans="1:14">
      <c r="A2302" t="s">
        <v>6430</v>
      </c>
      <c r="B2302">
        <f>HYPERLINK("https://github.com/pmd/pmd/commit/6735b61c8f4b6acd407a4e846c1b8ae9972fea90", "6735b61c8f4b6acd407a4e846c1b8ae9972fea90")</f>
        <v>0</v>
      </c>
      <c r="C2302">
        <f>HYPERLINK("https://github.com/pmd/pmd/commit/35481bda4b59b2b032216cb92f94959a8742aeef", "35481bda4b59b2b032216cb92f94959a8742aeef")</f>
        <v>0</v>
      </c>
      <c r="D2302" t="s">
        <v>6509</v>
      </c>
      <c r="E2302" t="s">
        <v>6889</v>
      </c>
      <c r="F2302" t="s">
        <v>7638</v>
      </c>
      <c r="G2302" t="s">
        <v>8285</v>
      </c>
      <c r="H2302" t="s">
        <v>9175</v>
      </c>
      <c r="I2302" t="s">
        <v>1357</v>
      </c>
      <c r="J2302" t="s">
        <v>1357</v>
      </c>
      <c r="K2302" t="s">
        <v>1357</v>
      </c>
      <c r="L2302" t="s">
        <v>1357</v>
      </c>
    </row>
    <row r="2303" spans="1:14">
      <c r="H2303" t="s">
        <v>9176</v>
      </c>
      <c r="I2303" t="s">
        <v>1357</v>
      </c>
      <c r="J2303" t="s">
        <v>1357</v>
      </c>
      <c r="K2303" t="s">
        <v>1357</v>
      </c>
      <c r="L2303" t="s">
        <v>1357</v>
      </c>
    </row>
    <row r="2304" spans="1:14">
      <c r="A2304" t="s">
        <v>6431</v>
      </c>
      <c r="B2304">
        <f>HYPERLINK("https://github.com/pmd/pmd/commit/2885a457dcdc72ea41b1ebb196bfb10056816120", "2885a457dcdc72ea41b1ebb196bfb10056816120")</f>
        <v>0</v>
      </c>
      <c r="C2304">
        <f>HYPERLINK("https://github.com/pmd/pmd/commit/d10b2b6e39648bfd442dd0120bbe60dfe72adf66", "d10b2b6e39648bfd442dd0120bbe60dfe72adf66")</f>
        <v>0</v>
      </c>
      <c r="D2304" t="s">
        <v>6509</v>
      </c>
      <c r="E2304" t="s">
        <v>6890</v>
      </c>
      <c r="F2304" t="s">
        <v>7639</v>
      </c>
      <c r="G2304" t="s">
        <v>8286</v>
      </c>
      <c r="H2304" t="s">
        <v>9668</v>
      </c>
      <c r="I2304" t="s">
        <v>1358</v>
      </c>
      <c r="J2304" t="s">
        <v>1358</v>
      </c>
      <c r="K2304" t="s">
        <v>1358</v>
      </c>
      <c r="L2304" t="s">
        <v>1358</v>
      </c>
    </row>
    <row r="2305" spans="1:12">
      <c r="A2305" t="s">
        <v>6431</v>
      </c>
      <c r="B2305">
        <f>HYPERLINK("https://github.com/pmd/pmd/commit/1d7f9641262b97bd38c2be9742120b937d6c2f87", "1d7f9641262b97bd38c2be9742120b937d6c2f87")</f>
        <v>0</v>
      </c>
      <c r="C2305">
        <f>HYPERLINK("https://github.com/pmd/pmd/commit/d5d30dcae758f71bc3b487d31776f3d9a93664ed", "d5d30dcae758f71bc3b487d31776f3d9a93664ed")</f>
        <v>0</v>
      </c>
      <c r="D2305" t="s">
        <v>6509</v>
      </c>
      <c r="E2305" t="s">
        <v>6891</v>
      </c>
      <c r="F2305" t="s">
        <v>7640</v>
      </c>
      <c r="G2305" t="s">
        <v>8287</v>
      </c>
      <c r="H2305" t="s">
        <v>9669</v>
      </c>
      <c r="I2305" t="s">
        <v>1357</v>
      </c>
      <c r="J2305" t="s">
        <v>1357</v>
      </c>
      <c r="K2305" t="s">
        <v>1357</v>
      </c>
      <c r="L2305" t="s">
        <v>1357</v>
      </c>
    </row>
    <row r="2306" spans="1:12">
      <c r="H2306" t="s">
        <v>9670</v>
      </c>
      <c r="I2306" t="s">
        <v>1357</v>
      </c>
      <c r="J2306" t="s">
        <v>1357</v>
      </c>
      <c r="K2306" t="s">
        <v>1357</v>
      </c>
      <c r="L2306" t="s">
        <v>1357</v>
      </c>
    </row>
    <row r="2307" spans="1:12">
      <c r="H2307" t="s">
        <v>9671</v>
      </c>
      <c r="I2307" t="s">
        <v>1357</v>
      </c>
      <c r="J2307" t="s">
        <v>1357</v>
      </c>
      <c r="K2307" t="s">
        <v>1357</v>
      </c>
      <c r="L2307" t="s">
        <v>1357</v>
      </c>
    </row>
    <row r="2308" spans="1:12">
      <c r="H2308" t="s">
        <v>9672</v>
      </c>
      <c r="I2308" t="s">
        <v>1357</v>
      </c>
      <c r="J2308" t="s">
        <v>1357</v>
      </c>
      <c r="K2308" t="s">
        <v>1357</v>
      </c>
      <c r="L2308" t="s">
        <v>1357</v>
      </c>
    </row>
    <row r="2309" spans="1:12">
      <c r="H2309" t="s">
        <v>9673</v>
      </c>
      <c r="I2309" t="s">
        <v>1357</v>
      </c>
      <c r="J2309" t="s">
        <v>1357</v>
      </c>
      <c r="K2309" t="s">
        <v>1357</v>
      </c>
      <c r="L2309" t="s">
        <v>1357</v>
      </c>
    </row>
    <row r="2310" spans="1:12">
      <c r="H2310" t="s">
        <v>9674</v>
      </c>
      <c r="I2310" t="s">
        <v>1357</v>
      </c>
      <c r="J2310" t="s">
        <v>1357</v>
      </c>
      <c r="K2310" t="s">
        <v>1357</v>
      </c>
      <c r="L2310" t="s">
        <v>1357</v>
      </c>
    </row>
    <row r="2311" spans="1:12">
      <c r="H2311" t="s">
        <v>9675</v>
      </c>
      <c r="I2311" t="s">
        <v>1357</v>
      </c>
      <c r="J2311" t="s">
        <v>1357</v>
      </c>
      <c r="K2311" t="s">
        <v>1357</v>
      </c>
      <c r="L2311" t="s">
        <v>1357</v>
      </c>
    </row>
    <row r="2312" spans="1:12">
      <c r="A2312" t="s">
        <v>6431</v>
      </c>
      <c r="B2312">
        <f>HYPERLINK("https://github.com/pmd/pmd/commit/e89e35c261e9f8249a50ffc68ec7c0db78578476", "e89e35c261e9f8249a50ffc68ec7c0db78578476")</f>
        <v>0</v>
      </c>
      <c r="C2312">
        <f>HYPERLINK("https://github.com/pmd/pmd/commit/7d880a029040b261acff407fbd65901b9d3aba6b", "7d880a029040b261acff407fbd65901b9d3aba6b")</f>
        <v>0</v>
      </c>
      <c r="D2312" t="s">
        <v>6509</v>
      </c>
      <c r="E2312" t="s">
        <v>6892</v>
      </c>
      <c r="F2312" t="s">
        <v>7641</v>
      </c>
      <c r="G2312" t="s">
        <v>8288</v>
      </c>
      <c r="H2312" t="s">
        <v>9676</v>
      </c>
      <c r="I2312" t="s">
        <v>1357</v>
      </c>
      <c r="J2312" t="s">
        <v>1357</v>
      </c>
      <c r="K2312" t="s">
        <v>1357</v>
      </c>
      <c r="L2312" t="s">
        <v>1357</v>
      </c>
    </row>
    <row r="2313" spans="1:12">
      <c r="A2313" t="s">
        <v>6432</v>
      </c>
      <c r="B2313">
        <f>HYPERLINK("https://github.com/pmd/pmd/commit/44c9140f6c166ab813158af17ea7248498160a65", "44c9140f6c166ab813158af17ea7248498160a65")</f>
        <v>0</v>
      </c>
      <c r="C2313">
        <f>HYPERLINK("https://github.com/pmd/pmd/commit/8174e464a25ec2a0b7f9f33d4e32b79b65f1a9a5", "8174e464a25ec2a0b7f9f33d4e32b79b65f1a9a5")</f>
        <v>0</v>
      </c>
      <c r="D2313" t="s">
        <v>6509</v>
      </c>
      <c r="E2313" t="s">
        <v>6893</v>
      </c>
      <c r="F2313" t="s">
        <v>7642</v>
      </c>
      <c r="G2313" t="s">
        <v>8289</v>
      </c>
      <c r="H2313" t="s">
        <v>9677</v>
      </c>
      <c r="I2313" t="s">
        <v>1357</v>
      </c>
      <c r="J2313" t="s">
        <v>1357</v>
      </c>
      <c r="K2313" t="s">
        <v>1357</v>
      </c>
      <c r="L2313" t="s">
        <v>1357</v>
      </c>
    </row>
    <row r="2314" spans="1:12">
      <c r="A2314" t="s">
        <v>6433</v>
      </c>
      <c r="B2314">
        <f>HYPERLINK("https://github.com/pmd/pmd/commit/9ca01cdb69025cbbca32cb512d39c698ed82d4fe", "9ca01cdb69025cbbca32cb512d39c698ed82d4fe")</f>
        <v>0</v>
      </c>
      <c r="C2314">
        <f>HYPERLINK("https://github.com/pmd/pmd/commit/b958b129e4626657cb378743d23a8cf053ae7bca", "b958b129e4626657cb378743d23a8cf053ae7bca")</f>
        <v>0</v>
      </c>
      <c r="D2314" t="s">
        <v>6509</v>
      </c>
      <c r="E2314" t="s">
        <v>6894</v>
      </c>
      <c r="F2314" t="s">
        <v>7643</v>
      </c>
      <c r="G2314" t="s">
        <v>8290</v>
      </c>
      <c r="H2314" t="s">
        <v>9674</v>
      </c>
      <c r="I2314" t="s">
        <v>1357</v>
      </c>
      <c r="J2314" t="s">
        <v>1357</v>
      </c>
      <c r="K2314" t="s">
        <v>1357</v>
      </c>
      <c r="L2314" t="s">
        <v>1357</v>
      </c>
    </row>
    <row r="2315" spans="1:12">
      <c r="A2315" t="s">
        <v>6434</v>
      </c>
      <c r="B2315">
        <f>HYPERLINK("https://github.com/pmd/pmd/commit/822a98e0456cf4bdb3e6768e05d3a46e835fee99", "822a98e0456cf4bdb3e6768e05d3a46e835fee99")</f>
        <v>0</v>
      </c>
      <c r="C2315">
        <f>HYPERLINK("https://github.com/pmd/pmd/commit/5090c9ae27e311897c39b0533280a1eba475db53", "5090c9ae27e311897c39b0533280a1eba475db53")</f>
        <v>0</v>
      </c>
      <c r="D2315" t="s">
        <v>6509</v>
      </c>
      <c r="E2315" t="s">
        <v>6895</v>
      </c>
      <c r="F2315" t="s">
        <v>7643</v>
      </c>
      <c r="G2315" t="s">
        <v>8290</v>
      </c>
      <c r="H2315" t="s">
        <v>9678</v>
      </c>
      <c r="I2315" t="s">
        <v>1357</v>
      </c>
      <c r="J2315" t="s">
        <v>1357</v>
      </c>
      <c r="K2315" t="s">
        <v>1357</v>
      </c>
      <c r="L2315" t="s">
        <v>1357</v>
      </c>
    </row>
    <row r="2316" spans="1:12">
      <c r="H2316" t="s">
        <v>9679</v>
      </c>
      <c r="I2316" t="s">
        <v>1357</v>
      </c>
      <c r="J2316" t="s">
        <v>1357</v>
      </c>
      <c r="K2316" t="s">
        <v>1357</v>
      </c>
      <c r="L2316" t="s">
        <v>1357</v>
      </c>
    </row>
    <row r="2317" spans="1:12">
      <c r="H2317" t="s">
        <v>9680</v>
      </c>
      <c r="I2317" t="s">
        <v>1357</v>
      </c>
      <c r="J2317" t="s">
        <v>1357</v>
      </c>
      <c r="K2317" t="s">
        <v>1357</v>
      </c>
      <c r="L2317" t="s">
        <v>1357</v>
      </c>
    </row>
    <row r="2318" spans="1:12">
      <c r="H2318" t="s">
        <v>9681</v>
      </c>
      <c r="I2318" t="s">
        <v>1357</v>
      </c>
      <c r="J2318" t="s">
        <v>1357</v>
      </c>
      <c r="K2318" t="s">
        <v>1357</v>
      </c>
      <c r="L2318" t="s">
        <v>1357</v>
      </c>
    </row>
    <row r="2319" spans="1:12">
      <c r="H2319" t="s">
        <v>9682</v>
      </c>
      <c r="I2319" t="s">
        <v>1357</v>
      </c>
      <c r="J2319" t="s">
        <v>1357</v>
      </c>
      <c r="K2319" t="s">
        <v>1357</v>
      </c>
      <c r="L2319" t="s">
        <v>1357</v>
      </c>
    </row>
    <row r="2320" spans="1:12">
      <c r="H2320" t="s">
        <v>9683</v>
      </c>
      <c r="I2320" t="s">
        <v>1357</v>
      </c>
      <c r="J2320" t="s">
        <v>1357</v>
      </c>
      <c r="K2320" t="s">
        <v>1357</v>
      </c>
      <c r="L2320" t="s">
        <v>1357</v>
      </c>
    </row>
    <row r="2321" spans="8:12">
      <c r="H2321" t="s">
        <v>9684</v>
      </c>
      <c r="I2321" t="s">
        <v>1357</v>
      </c>
      <c r="J2321" t="s">
        <v>1357</v>
      </c>
      <c r="K2321" t="s">
        <v>1357</v>
      </c>
      <c r="L2321" t="s">
        <v>1357</v>
      </c>
    </row>
    <row r="2322" spans="8:12">
      <c r="H2322" t="s">
        <v>9685</v>
      </c>
      <c r="I2322" t="s">
        <v>1357</v>
      </c>
      <c r="J2322" t="s">
        <v>1357</v>
      </c>
      <c r="K2322" t="s">
        <v>1357</v>
      </c>
      <c r="L2322" t="s">
        <v>1357</v>
      </c>
    </row>
    <row r="2323" spans="8:12">
      <c r="H2323" t="s">
        <v>9670</v>
      </c>
      <c r="I2323" t="s">
        <v>1357</v>
      </c>
      <c r="J2323" t="s">
        <v>1357</v>
      </c>
      <c r="K2323" t="s">
        <v>1357</v>
      </c>
      <c r="L2323" t="s">
        <v>1357</v>
      </c>
    </row>
    <row r="2324" spans="8:12">
      <c r="H2324" t="s">
        <v>9671</v>
      </c>
      <c r="I2324" t="s">
        <v>1357</v>
      </c>
      <c r="J2324" t="s">
        <v>1357</v>
      </c>
      <c r="K2324" t="s">
        <v>1357</v>
      </c>
      <c r="L2324" t="s">
        <v>1357</v>
      </c>
    </row>
    <row r="2325" spans="8:12">
      <c r="H2325" t="s">
        <v>9672</v>
      </c>
      <c r="I2325" t="s">
        <v>1357</v>
      </c>
      <c r="J2325" t="s">
        <v>1357</v>
      </c>
      <c r="K2325" t="s">
        <v>1357</v>
      </c>
      <c r="L2325" t="s">
        <v>1357</v>
      </c>
    </row>
    <row r="2326" spans="8:12">
      <c r="H2326" t="s">
        <v>9673</v>
      </c>
      <c r="I2326" t="s">
        <v>1357</v>
      </c>
      <c r="J2326" t="s">
        <v>1357</v>
      </c>
      <c r="K2326" t="s">
        <v>1357</v>
      </c>
      <c r="L2326" t="s">
        <v>1357</v>
      </c>
    </row>
    <row r="2327" spans="8:12">
      <c r="H2327" t="s">
        <v>9686</v>
      </c>
      <c r="I2327" t="s">
        <v>1357</v>
      </c>
      <c r="J2327" t="s">
        <v>1357</v>
      </c>
      <c r="K2327" t="s">
        <v>1357</v>
      </c>
      <c r="L2327" t="s">
        <v>1357</v>
      </c>
    </row>
    <row r="2328" spans="8:12">
      <c r="H2328" t="s">
        <v>9675</v>
      </c>
      <c r="I2328" t="s">
        <v>1357</v>
      </c>
      <c r="J2328" t="s">
        <v>1357</v>
      </c>
      <c r="K2328" t="s">
        <v>1357</v>
      </c>
      <c r="L2328" t="s">
        <v>1357</v>
      </c>
    </row>
    <row r="2329" spans="8:12">
      <c r="H2329" t="s">
        <v>9687</v>
      </c>
      <c r="I2329" t="s">
        <v>1357</v>
      </c>
      <c r="J2329" t="s">
        <v>1357</v>
      </c>
      <c r="K2329" t="s">
        <v>1357</v>
      </c>
      <c r="L2329" t="s">
        <v>1357</v>
      </c>
    </row>
    <row r="2330" spans="8:12">
      <c r="H2330" t="s">
        <v>9688</v>
      </c>
      <c r="I2330" t="s">
        <v>1357</v>
      </c>
      <c r="J2330" t="s">
        <v>1357</v>
      </c>
      <c r="K2330" t="s">
        <v>1357</v>
      </c>
      <c r="L2330" t="s">
        <v>1357</v>
      </c>
    </row>
    <row r="2331" spans="8:12">
      <c r="H2331" t="s">
        <v>9689</v>
      </c>
      <c r="I2331" t="s">
        <v>1357</v>
      </c>
      <c r="J2331" t="s">
        <v>1357</v>
      </c>
      <c r="K2331" t="s">
        <v>1357</v>
      </c>
      <c r="L2331" t="s">
        <v>1357</v>
      </c>
    </row>
    <row r="2332" spans="8:12">
      <c r="H2332" t="s">
        <v>9690</v>
      </c>
      <c r="I2332" t="s">
        <v>1357</v>
      </c>
      <c r="J2332" t="s">
        <v>1357</v>
      </c>
      <c r="K2332" t="s">
        <v>1357</v>
      </c>
      <c r="L2332" t="s">
        <v>1357</v>
      </c>
    </row>
    <row r="2333" spans="8:12">
      <c r="H2333" t="s">
        <v>9691</v>
      </c>
      <c r="I2333" t="s">
        <v>1357</v>
      </c>
      <c r="J2333" t="s">
        <v>1357</v>
      </c>
      <c r="K2333" t="s">
        <v>1357</v>
      </c>
      <c r="L2333" t="s">
        <v>1357</v>
      </c>
    </row>
    <row r="2334" spans="8:12">
      <c r="H2334" t="s">
        <v>9692</v>
      </c>
      <c r="I2334" t="s">
        <v>1357</v>
      </c>
      <c r="J2334" t="s">
        <v>1357</v>
      </c>
      <c r="K2334" t="s">
        <v>1357</v>
      </c>
      <c r="L2334" t="s">
        <v>1357</v>
      </c>
    </row>
    <row r="2335" spans="8:12">
      <c r="H2335" t="s">
        <v>9693</v>
      </c>
      <c r="I2335" t="s">
        <v>1357</v>
      </c>
      <c r="J2335" t="s">
        <v>1357</v>
      </c>
      <c r="K2335" t="s">
        <v>1357</v>
      </c>
      <c r="L2335" t="s">
        <v>1357</v>
      </c>
    </row>
    <row r="2336" spans="8:12">
      <c r="H2336" t="s">
        <v>9694</v>
      </c>
      <c r="I2336" t="s">
        <v>1357</v>
      </c>
      <c r="J2336" t="s">
        <v>1357</v>
      </c>
      <c r="K2336" t="s">
        <v>1357</v>
      </c>
      <c r="L2336" t="s">
        <v>1357</v>
      </c>
    </row>
    <row r="2337" spans="1:14">
      <c r="A2337" t="s">
        <v>6435</v>
      </c>
      <c r="B2337">
        <f>HYPERLINK("https://github.com/pmd/pmd/commit/dfe5710aee2ec6545e7a471079ef6b4ce3d1adfa", "dfe5710aee2ec6545e7a471079ef6b4ce3d1adfa")</f>
        <v>0</v>
      </c>
      <c r="C2337">
        <f>HYPERLINK("https://github.com/pmd/pmd/commit/2356f2f69ddeae1acb7298b982667409f6350cee", "2356f2f69ddeae1acb7298b982667409f6350cee")</f>
        <v>0</v>
      </c>
      <c r="D2337" t="s">
        <v>6509</v>
      </c>
      <c r="E2337" t="s">
        <v>6896</v>
      </c>
      <c r="F2337" t="s">
        <v>7644</v>
      </c>
      <c r="G2337" t="s">
        <v>8291</v>
      </c>
      <c r="H2337" t="s">
        <v>9695</v>
      </c>
      <c r="I2337" t="s">
        <v>1357</v>
      </c>
      <c r="J2337" t="s">
        <v>1357</v>
      </c>
      <c r="K2337" t="s">
        <v>1357</v>
      </c>
      <c r="L2337" t="s">
        <v>1357</v>
      </c>
    </row>
    <row r="2338" spans="1:14">
      <c r="H2338" t="s">
        <v>9696</v>
      </c>
      <c r="I2338" t="s">
        <v>1357</v>
      </c>
      <c r="J2338" t="s">
        <v>1357</v>
      </c>
      <c r="K2338" t="s">
        <v>1357</v>
      </c>
      <c r="L2338" t="s">
        <v>1357</v>
      </c>
    </row>
    <row r="2339" spans="1:14">
      <c r="A2339" t="s">
        <v>6436</v>
      </c>
      <c r="B2339">
        <f>HYPERLINK("https://github.com/pmd/pmd/commit/e76a1d6eb8d32f620a567f76e4a8713a2d57a503", "e76a1d6eb8d32f620a567f76e4a8713a2d57a503")</f>
        <v>0</v>
      </c>
      <c r="C2339">
        <f>HYPERLINK("https://github.com/pmd/pmd/commit/3ee32effdaccdf2f0cf16dd200091b8b6da6c4d5", "3ee32effdaccdf2f0cf16dd200091b8b6da6c4d5")</f>
        <v>0</v>
      </c>
      <c r="D2339" t="s">
        <v>6509</v>
      </c>
      <c r="E2339" t="s">
        <v>6897</v>
      </c>
      <c r="F2339" t="s">
        <v>7645</v>
      </c>
      <c r="G2339" t="s">
        <v>8292</v>
      </c>
      <c r="H2339" t="s">
        <v>9697</v>
      </c>
      <c r="I2339" t="s">
        <v>1357</v>
      </c>
      <c r="J2339" t="s">
        <v>1357</v>
      </c>
      <c r="K2339" t="s">
        <v>1357</v>
      </c>
      <c r="L2339" t="s">
        <v>1357</v>
      </c>
      <c r="N2339" t="s">
        <v>9971</v>
      </c>
    </row>
    <row r="2340" spans="1:14">
      <c r="A2340" t="s">
        <v>6437</v>
      </c>
      <c r="B2340">
        <f>HYPERLINK("https://github.com/pmd/pmd/commit/c2172cc58845f8984619a1d83073fb9443ab1aa9", "c2172cc58845f8984619a1d83073fb9443ab1aa9")</f>
        <v>0</v>
      </c>
      <c r="C2340">
        <f>HYPERLINK("https://github.com/pmd/pmd/commit/bb1568317b8898683ef90f731916cbf28f507a4f", "bb1568317b8898683ef90f731916cbf28f507a4f")</f>
        <v>0</v>
      </c>
      <c r="D2340" t="s">
        <v>6509</v>
      </c>
      <c r="E2340" t="s">
        <v>6898</v>
      </c>
      <c r="F2340" t="s">
        <v>7646</v>
      </c>
      <c r="G2340" t="s">
        <v>8293</v>
      </c>
      <c r="H2340" t="s">
        <v>9698</v>
      </c>
      <c r="I2340" t="s">
        <v>1357</v>
      </c>
      <c r="J2340" t="s">
        <v>1357</v>
      </c>
      <c r="K2340" t="s">
        <v>1357</v>
      </c>
      <c r="L2340" t="s">
        <v>1357</v>
      </c>
    </row>
    <row r="2341" spans="1:14">
      <c r="A2341" t="s">
        <v>6437</v>
      </c>
      <c r="B2341">
        <f>HYPERLINK("https://github.com/pmd/pmd/commit/8b37ccfafe220e3978c77056eca7125d1ed06a1d", "8b37ccfafe220e3978c77056eca7125d1ed06a1d")</f>
        <v>0</v>
      </c>
      <c r="C2341">
        <f>HYPERLINK("https://github.com/pmd/pmd/commit/5597715b8ea71287115fd9a8030a26593b99f558", "5597715b8ea71287115fd9a8030a26593b99f558")</f>
        <v>0</v>
      </c>
      <c r="D2341" t="s">
        <v>6509</v>
      </c>
      <c r="E2341" t="s">
        <v>6899</v>
      </c>
      <c r="F2341" t="s">
        <v>7647</v>
      </c>
      <c r="G2341" t="s">
        <v>8294</v>
      </c>
      <c r="H2341" t="s">
        <v>9699</v>
      </c>
      <c r="I2341" t="s">
        <v>1357</v>
      </c>
      <c r="J2341" t="s">
        <v>1357</v>
      </c>
      <c r="K2341" t="s">
        <v>1357</v>
      </c>
      <c r="L2341" t="s">
        <v>1357</v>
      </c>
    </row>
    <row r="2342" spans="1:14">
      <c r="H2342" t="s">
        <v>9700</v>
      </c>
      <c r="I2342" t="s">
        <v>1357</v>
      </c>
      <c r="J2342" t="s">
        <v>1357</v>
      </c>
      <c r="K2342" t="s">
        <v>1357</v>
      </c>
      <c r="L2342" t="s">
        <v>1357</v>
      </c>
    </row>
    <row r="2343" spans="1:14">
      <c r="H2343" t="s">
        <v>9701</v>
      </c>
      <c r="I2343" t="s">
        <v>1357</v>
      </c>
      <c r="J2343" t="s">
        <v>1357</v>
      </c>
      <c r="K2343" t="s">
        <v>1357</v>
      </c>
      <c r="L2343" t="s">
        <v>1357</v>
      </c>
    </row>
    <row r="2344" spans="1:14">
      <c r="H2344" t="s">
        <v>9702</v>
      </c>
      <c r="I2344" t="s">
        <v>1357</v>
      </c>
      <c r="J2344" t="s">
        <v>1357</v>
      </c>
      <c r="K2344" t="s">
        <v>1357</v>
      </c>
      <c r="L2344" t="s">
        <v>1357</v>
      </c>
    </row>
    <row r="2345" spans="1:14">
      <c r="H2345" t="s">
        <v>9703</v>
      </c>
      <c r="I2345" t="s">
        <v>1357</v>
      </c>
      <c r="J2345" t="s">
        <v>1357</v>
      </c>
      <c r="K2345" t="s">
        <v>1357</v>
      </c>
      <c r="L2345" t="s">
        <v>1357</v>
      </c>
    </row>
    <row r="2346" spans="1:14">
      <c r="H2346" t="s">
        <v>9704</v>
      </c>
      <c r="I2346" t="s">
        <v>1357</v>
      </c>
      <c r="J2346" t="s">
        <v>1357</v>
      </c>
      <c r="K2346" t="s">
        <v>1357</v>
      </c>
      <c r="L2346" t="s">
        <v>1357</v>
      </c>
    </row>
    <row r="2347" spans="1:14">
      <c r="H2347" t="s">
        <v>9705</v>
      </c>
      <c r="I2347" t="s">
        <v>1357</v>
      </c>
      <c r="J2347" t="s">
        <v>1357</v>
      </c>
      <c r="K2347" t="s">
        <v>1357</v>
      </c>
      <c r="L2347" t="s">
        <v>1357</v>
      </c>
    </row>
    <row r="2348" spans="1:14">
      <c r="H2348" t="s">
        <v>9706</v>
      </c>
      <c r="I2348" t="s">
        <v>1357</v>
      </c>
      <c r="J2348" t="s">
        <v>1357</v>
      </c>
      <c r="K2348" t="s">
        <v>1357</v>
      </c>
      <c r="L2348" t="s">
        <v>1357</v>
      </c>
    </row>
    <row r="2349" spans="1:14">
      <c r="H2349" t="s">
        <v>9707</v>
      </c>
      <c r="I2349" t="s">
        <v>1357</v>
      </c>
      <c r="J2349" t="s">
        <v>1357</v>
      </c>
      <c r="K2349" t="s">
        <v>1357</v>
      </c>
      <c r="L2349" t="s">
        <v>1357</v>
      </c>
    </row>
    <row r="2350" spans="1:14">
      <c r="H2350" t="s">
        <v>9708</v>
      </c>
      <c r="I2350" t="s">
        <v>1357</v>
      </c>
      <c r="J2350" t="s">
        <v>1357</v>
      </c>
      <c r="K2350" t="s">
        <v>1357</v>
      </c>
      <c r="L2350" t="s">
        <v>1357</v>
      </c>
    </row>
    <row r="2351" spans="1:14">
      <c r="H2351" t="s">
        <v>9709</v>
      </c>
      <c r="I2351" t="s">
        <v>1357</v>
      </c>
      <c r="J2351" t="s">
        <v>1357</v>
      </c>
      <c r="K2351" t="s">
        <v>1357</v>
      </c>
      <c r="L2351" t="s">
        <v>1357</v>
      </c>
    </row>
    <row r="2352" spans="1:14">
      <c r="H2352" t="s">
        <v>9710</v>
      </c>
      <c r="I2352" t="s">
        <v>1357</v>
      </c>
      <c r="J2352" t="s">
        <v>1357</v>
      </c>
      <c r="K2352" t="s">
        <v>1357</v>
      </c>
      <c r="L2352" t="s">
        <v>1357</v>
      </c>
    </row>
    <row r="2353" spans="1:12">
      <c r="H2353" t="s">
        <v>9711</v>
      </c>
      <c r="I2353" t="s">
        <v>1357</v>
      </c>
      <c r="J2353" t="s">
        <v>1357</v>
      </c>
      <c r="K2353" t="s">
        <v>1357</v>
      </c>
      <c r="L2353" t="s">
        <v>1357</v>
      </c>
    </row>
    <row r="2354" spans="1:12">
      <c r="H2354" t="s">
        <v>9712</v>
      </c>
      <c r="I2354" t="s">
        <v>1357</v>
      </c>
      <c r="J2354" t="s">
        <v>1357</v>
      </c>
      <c r="K2354" t="s">
        <v>1357</v>
      </c>
      <c r="L2354" t="s">
        <v>1357</v>
      </c>
    </row>
    <row r="2355" spans="1:12">
      <c r="H2355" t="s">
        <v>9713</v>
      </c>
      <c r="I2355" t="s">
        <v>1357</v>
      </c>
      <c r="J2355" t="s">
        <v>1357</v>
      </c>
      <c r="K2355" t="s">
        <v>1357</v>
      </c>
      <c r="L2355" t="s">
        <v>1357</v>
      </c>
    </row>
    <row r="2356" spans="1:12">
      <c r="H2356" t="s">
        <v>9714</v>
      </c>
      <c r="I2356" t="s">
        <v>1357</v>
      </c>
      <c r="J2356" t="s">
        <v>1357</v>
      </c>
      <c r="K2356" t="s">
        <v>1357</v>
      </c>
      <c r="L2356" t="s">
        <v>1357</v>
      </c>
    </row>
    <row r="2357" spans="1:12">
      <c r="H2357" t="s">
        <v>9715</v>
      </c>
      <c r="I2357" t="s">
        <v>1357</v>
      </c>
      <c r="J2357" t="s">
        <v>1357</v>
      </c>
      <c r="K2357" t="s">
        <v>1357</v>
      </c>
      <c r="L2357" t="s">
        <v>1357</v>
      </c>
    </row>
    <row r="2358" spans="1:12">
      <c r="H2358" t="s">
        <v>9716</v>
      </c>
      <c r="I2358" t="s">
        <v>1357</v>
      </c>
      <c r="J2358" t="s">
        <v>1357</v>
      </c>
      <c r="K2358" t="s">
        <v>1357</v>
      </c>
      <c r="L2358" t="s">
        <v>1357</v>
      </c>
    </row>
    <row r="2359" spans="1:12">
      <c r="H2359" t="s">
        <v>9717</v>
      </c>
      <c r="I2359" t="s">
        <v>1357</v>
      </c>
      <c r="J2359" t="s">
        <v>1357</v>
      </c>
      <c r="K2359" t="s">
        <v>1357</v>
      </c>
      <c r="L2359" t="s">
        <v>1357</v>
      </c>
    </row>
    <row r="2360" spans="1:12">
      <c r="H2360" t="s">
        <v>9718</v>
      </c>
      <c r="I2360" t="s">
        <v>1357</v>
      </c>
      <c r="J2360" t="s">
        <v>1357</v>
      </c>
      <c r="K2360" t="s">
        <v>1357</v>
      </c>
      <c r="L2360" t="s">
        <v>1357</v>
      </c>
    </row>
    <row r="2361" spans="1:12">
      <c r="H2361" t="s">
        <v>9719</v>
      </c>
      <c r="I2361" t="s">
        <v>1357</v>
      </c>
      <c r="J2361" t="s">
        <v>1357</v>
      </c>
      <c r="K2361" t="s">
        <v>1357</v>
      </c>
      <c r="L2361" t="s">
        <v>1357</v>
      </c>
    </row>
    <row r="2362" spans="1:12">
      <c r="H2362" t="s">
        <v>9720</v>
      </c>
      <c r="I2362" t="s">
        <v>1357</v>
      </c>
      <c r="J2362" t="s">
        <v>1357</v>
      </c>
      <c r="K2362" t="s">
        <v>1357</v>
      </c>
      <c r="L2362" t="s">
        <v>1357</v>
      </c>
    </row>
    <row r="2363" spans="1:12">
      <c r="F2363" t="s">
        <v>7646</v>
      </c>
      <c r="G2363" t="s">
        <v>8293</v>
      </c>
      <c r="H2363" t="s">
        <v>9721</v>
      </c>
      <c r="I2363" t="s">
        <v>1358</v>
      </c>
      <c r="J2363" t="s">
        <v>1358</v>
      </c>
      <c r="K2363" t="s">
        <v>1358</v>
      </c>
      <c r="L2363" t="s">
        <v>1358</v>
      </c>
    </row>
    <row r="2364" spans="1:12">
      <c r="A2364" t="s">
        <v>6438</v>
      </c>
      <c r="B2364">
        <f>HYPERLINK("https://github.com/pmd/pmd/commit/05602452981517fc2ebdc02e7a0875535763606c", "05602452981517fc2ebdc02e7a0875535763606c")</f>
        <v>0</v>
      </c>
      <c r="C2364">
        <f>HYPERLINK("https://github.com/pmd/pmd/commit/d25c66137b43d2f956f94789547917298310b57e", "d25c66137b43d2f956f94789547917298310b57e")</f>
        <v>0</v>
      </c>
      <c r="D2364" t="s">
        <v>6509</v>
      </c>
      <c r="E2364" t="s">
        <v>6900</v>
      </c>
      <c r="F2364" t="s">
        <v>7635</v>
      </c>
      <c r="G2364" t="s">
        <v>8282</v>
      </c>
      <c r="H2364" t="s">
        <v>9661</v>
      </c>
      <c r="I2364" t="s">
        <v>1357</v>
      </c>
      <c r="J2364" t="s">
        <v>1357</v>
      </c>
      <c r="K2364" t="s">
        <v>1357</v>
      </c>
      <c r="L2364" t="s">
        <v>1357</v>
      </c>
    </row>
    <row r="2365" spans="1:12">
      <c r="A2365" t="s">
        <v>6439</v>
      </c>
      <c r="B2365">
        <f>HYPERLINK("https://github.com/pmd/pmd/commit/5c047b0e3e55999ea9aab0b4317cc1c976a93d60", "5c047b0e3e55999ea9aab0b4317cc1c976a93d60")</f>
        <v>0</v>
      </c>
      <c r="C2365">
        <f>HYPERLINK("https://github.com/pmd/pmd/commit/020fa899d515697f6383d1d53d399beda5352015", "020fa899d515697f6383d1d53d399beda5352015")</f>
        <v>0</v>
      </c>
      <c r="D2365" t="s">
        <v>6509</v>
      </c>
      <c r="E2365" t="s">
        <v>6901</v>
      </c>
      <c r="F2365" t="s">
        <v>7636</v>
      </c>
      <c r="G2365" t="s">
        <v>8283</v>
      </c>
      <c r="H2365" t="s">
        <v>9662</v>
      </c>
      <c r="I2365" t="s">
        <v>1357</v>
      </c>
      <c r="J2365" t="s">
        <v>1357</v>
      </c>
      <c r="K2365" t="s">
        <v>1357</v>
      </c>
      <c r="L2365" t="s">
        <v>1357</v>
      </c>
    </row>
    <row r="2366" spans="1:12">
      <c r="A2366" t="s">
        <v>6440</v>
      </c>
      <c r="B2366">
        <f>HYPERLINK("https://github.com/pmd/pmd/commit/6b23b1349780a26976b8ce0199c40db0c57fadd4", "6b23b1349780a26976b8ce0199c40db0c57fadd4")</f>
        <v>0</v>
      </c>
      <c r="C2366">
        <f>HYPERLINK("https://github.com/pmd/pmd/commit/6e3bd734b825152af5460ffc83f152b3a6140ee6", "6e3bd734b825152af5460ffc83f152b3a6140ee6")</f>
        <v>0</v>
      </c>
      <c r="D2366" t="s">
        <v>6515</v>
      </c>
      <c r="E2366" t="s">
        <v>6902</v>
      </c>
      <c r="F2366" t="s">
        <v>7648</v>
      </c>
      <c r="G2366" t="s">
        <v>8295</v>
      </c>
      <c r="H2366" t="s">
        <v>9722</v>
      </c>
      <c r="I2366" t="s">
        <v>1359</v>
      </c>
      <c r="J2366" t="s">
        <v>1357</v>
      </c>
      <c r="K2366" t="s">
        <v>1358</v>
      </c>
      <c r="L2366" t="s">
        <v>1357</v>
      </c>
    </row>
    <row r="2367" spans="1:12">
      <c r="A2367" t="s">
        <v>6441</v>
      </c>
      <c r="B2367">
        <f>HYPERLINK("https://github.com/pmd/pmd/commit/a16aed50ebd709818e3a04324e3df62b833b7485", "a16aed50ebd709818e3a04324e3df62b833b7485")</f>
        <v>0</v>
      </c>
      <c r="C2367">
        <f>HYPERLINK("https://github.com/pmd/pmd/commit/4dee15c8c363d01de12f8232185e6c5e2769d0d9", "4dee15c8c363d01de12f8232185e6c5e2769d0d9")</f>
        <v>0</v>
      </c>
      <c r="D2367" t="s">
        <v>6509</v>
      </c>
      <c r="E2367" t="s">
        <v>6903</v>
      </c>
      <c r="F2367" t="s">
        <v>7649</v>
      </c>
      <c r="G2367" t="s">
        <v>8296</v>
      </c>
      <c r="H2367" t="s">
        <v>8898</v>
      </c>
      <c r="I2367" t="s">
        <v>1357</v>
      </c>
      <c r="J2367" t="s">
        <v>1357</v>
      </c>
      <c r="K2367" t="s">
        <v>1357</v>
      </c>
      <c r="L2367" t="s">
        <v>1357</v>
      </c>
    </row>
    <row r="2368" spans="1:12">
      <c r="H2368" t="s">
        <v>795</v>
      </c>
      <c r="I2368" t="s">
        <v>1357</v>
      </c>
      <c r="J2368" t="s">
        <v>1357</v>
      </c>
      <c r="K2368" t="s">
        <v>1357</v>
      </c>
      <c r="L2368" t="s">
        <v>1357</v>
      </c>
    </row>
    <row r="2369" spans="1:14">
      <c r="H2369" t="s">
        <v>9108</v>
      </c>
      <c r="I2369" t="s">
        <v>1357</v>
      </c>
      <c r="J2369" t="s">
        <v>1357</v>
      </c>
      <c r="K2369" t="s">
        <v>1357</v>
      </c>
      <c r="L2369" t="s">
        <v>1357</v>
      </c>
    </row>
    <row r="2370" spans="1:14">
      <c r="H2370" t="s">
        <v>9109</v>
      </c>
      <c r="I2370" t="s">
        <v>1357</v>
      </c>
      <c r="J2370" t="s">
        <v>1357</v>
      </c>
      <c r="K2370" t="s">
        <v>1357</v>
      </c>
      <c r="L2370" t="s">
        <v>1357</v>
      </c>
    </row>
    <row r="2371" spans="1:14">
      <c r="A2371" t="s">
        <v>6442</v>
      </c>
      <c r="B2371">
        <f>HYPERLINK("https://github.com/pmd/pmd/commit/97a7fba7620da59969b19e329b01c603d52a0bc4", "97a7fba7620da59969b19e329b01c603d52a0bc4")</f>
        <v>0</v>
      </c>
      <c r="C2371">
        <f>HYPERLINK("https://github.com/pmd/pmd/commit/dbf3f80853c347f2114e96aba7710b77bfc4d8ff", "dbf3f80853c347f2114e96aba7710b77bfc4d8ff")</f>
        <v>0</v>
      </c>
      <c r="D2371" t="s">
        <v>6509</v>
      </c>
      <c r="E2371" t="s">
        <v>6904</v>
      </c>
      <c r="F2371" t="s">
        <v>7650</v>
      </c>
      <c r="G2371" t="s">
        <v>8297</v>
      </c>
      <c r="H2371" t="s">
        <v>9723</v>
      </c>
      <c r="I2371" t="s">
        <v>1357</v>
      </c>
      <c r="J2371" t="s">
        <v>1357</v>
      </c>
      <c r="K2371" t="s">
        <v>1357</v>
      </c>
      <c r="L2371" t="s">
        <v>1357</v>
      </c>
    </row>
    <row r="2372" spans="1:14">
      <c r="H2372" t="s">
        <v>9185</v>
      </c>
      <c r="I2372" t="s">
        <v>1357</v>
      </c>
      <c r="J2372" t="s">
        <v>1357</v>
      </c>
      <c r="K2372" t="s">
        <v>1357</v>
      </c>
      <c r="L2372" t="s">
        <v>1357</v>
      </c>
    </row>
    <row r="2373" spans="1:14">
      <c r="A2373" t="s">
        <v>6443</v>
      </c>
      <c r="B2373">
        <f>HYPERLINK("https://github.com/pmd/pmd/commit/4ef725764a163c1ec615e82343e83c059241abc7", "4ef725764a163c1ec615e82343e83c059241abc7")</f>
        <v>0</v>
      </c>
      <c r="C2373">
        <f>HYPERLINK("https://github.com/pmd/pmd/commit/148e9ac69a8a911b6958e60aad9320444333f4e3", "148e9ac69a8a911b6958e60aad9320444333f4e3")</f>
        <v>0</v>
      </c>
      <c r="D2373" t="s">
        <v>6509</v>
      </c>
      <c r="E2373" t="s">
        <v>6905</v>
      </c>
      <c r="F2373" t="s">
        <v>7651</v>
      </c>
      <c r="G2373" t="s">
        <v>8298</v>
      </c>
      <c r="H2373" t="s">
        <v>8861</v>
      </c>
      <c r="I2373" t="s">
        <v>1357</v>
      </c>
      <c r="J2373" t="s">
        <v>1357</v>
      </c>
      <c r="K2373" t="s">
        <v>1357</v>
      </c>
      <c r="L2373" t="s">
        <v>1357</v>
      </c>
    </row>
    <row r="2374" spans="1:14">
      <c r="H2374" t="s">
        <v>9724</v>
      </c>
      <c r="I2374" t="s">
        <v>1357</v>
      </c>
      <c r="J2374" t="s">
        <v>1357</v>
      </c>
      <c r="K2374" t="s">
        <v>1357</v>
      </c>
      <c r="L2374" t="s">
        <v>1357</v>
      </c>
    </row>
    <row r="2375" spans="1:14">
      <c r="H2375" t="s">
        <v>4882</v>
      </c>
      <c r="I2375" t="s">
        <v>1357</v>
      </c>
      <c r="J2375" t="s">
        <v>1357</v>
      </c>
      <c r="K2375" t="s">
        <v>1357</v>
      </c>
      <c r="L2375" t="s">
        <v>1357</v>
      </c>
    </row>
    <row r="2376" spans="1:14">
      <c r="H2376" t="s">
        <v>9725</v>
      </c>
      <c r="I2376" t="s">
        <v>1357</v>
      </c>
      <c r="J2376" t="s">
        <v>1357</v>
      </c>
      <c r="K2376" t="s">
        <v>1357</v>
      </c>
      <c r="L2376" t="s">
        <v>1357</v>
      </c>
    </row>
    <row r="2377" spans="1:14">
      <c r="H2377" t="s">
        <v>9726</v>
      </c>
      <c r="I2377" t="s">
        <v>1357</v>
      </c>
      <c r="J2377" t="s">
        <v>1357</v>
      </c>
      <c r="K2377" t="s">
        <v>1357</v>
      </c>
      <c r="L2377" t="s">
        <v>1357</v>
      </c>
    </row>
    <row r="2378" spans="1:14">
      <c r="A2378" t="s">
        <v>6444</v>
      </c>
      <c r="B2378">
        <f>HYPERLINK("https://github.com/pmd/pmd/commit/5a96c714d5e981423a4caf89b85d69cc7bf8109b", "5a96c714d5e981423a4caf89b85d69cc7bf8109b")</f>
        <v>0</v>
      </c>
      <c r="C2378">
        <f>HYPERLINK("https://github.com/pmd/pmd/commit/bbc71da28926ca6f0242eb7fe31f2298a031ba8a", "bbc71da28926ca6f0242eb7fe31f2298a031ba8a")</f>
        <v>0</v>
      </c>
      <c r="D2378" t="s">
        <v>6509</v>
      </c>
      <c r="E2378" t="s">
        <v>6906</v>
      </c>
      <c r="F2378" t="s">
        <v>7652</v>
      </c>
      <c r="G2378" t="s">
        <v>8299</v>
      </c>
      <c r="H2378" t="s">
        <v>9727</v>
      </c>
      <c r="I2378" t="s">
        <v>1357</v>
      </c>
      <c r="J2378" t="s">
        <v>1357</v>
      </c>
      <c r="K2378" t="s">
        <v>1357</v>
      </c>
      <c r="L2378" t="s">
        <v>1357</v>
      </c>
    </row>
    <row r="2379" spans="1:14">
      <c r="A2379" t="s">
        <v>6445</v>
      </c>
      <c r="B2379">
        <f>HYPERLINK("https://github.com/pmd/pmd/commit/e1c42a10ec32403cc1ccae82bce4c420694f3e2c", "e1c42a10ec32403cc1ccae82bce4c420694f3e2c")</f>
        <v>0</v>
      </c>
      <c r="C2379">
        <f>HYPERLINK("https://github.com/pmd/pmd/commit/0348b2c0d2ffefb08ea0b65a452d3746592771d8", "0348b2c0d2ffefb08ea0b65a452d3746592771d8")</f>
        <v>0</v>
      </c>
      <c r="D2379" t="s">
        <v>6516</v>
      </c>
      <c r="E2379" t="s">
        <v>6907</v>
      </c>
      <c r="F2379" t="s">
        <v>7653</v>
      </c>
      <c r="G2379" t="s">
        <v>8300</v>
      </c>
      <c r="H2379" t="s">
        <v>1850</v>
      </c>
      <c r="I2379" t="s">
        <v>1359</v>
      </c>
      <c r="J2379" t="s">
        <v>1358</v>
      </c>
      <c r="K2379" t="s">
        <v>1357</v>
      </c>
      <c r="L2379" t="s">
        <v>1358</v>
      </c>
      <c r="N2379" t="s">
        <v>1372</v>
      </c>
    </row>
    <row r="2380" spans="1:14">
      <c r="A2380" t="s">
        <v>6446</v>
      </c>
      <c r="B2380">
        <f>HYPERLINK("https://github.com/pmd/pmd/commit/2fad9bf507d5c0c4a022ce742b63b727471a4dc3", "2fad9bf507d5c0c4a022ce742b63b727471a4dc3")</f>
        <v>0</v>
      </c>
      <c r="C2380">
        <f>HYPERLINK("https://github.com/pmd/pmd/commit/a2311f1a17cd643bdeea63ec48c163d37934b2a0", "a2311f1a17cd643bdeea63ec48c163d37934b2a0")</f>
        <v>0</v>
      </c>
      <c r="D2380" t="s">
        <v>6509</v>
      </c>
      <c r="E2380" t="s">
        <v>6908</v>
      </c>
      <c r="F2380" t="s">
        <v>7654</v>
      </c>
      <c r="G2380" t="s">
        <v>8300</v>
      </c>
      <c r="H2380" t="s">
        <v>8844</v>
      </c>
      <c r="I2380" t="s">
        <v>1357</v>
      </c>
      <c r="J2380" t="s">
        <v>1357</v>
      </c>
      <c r="K2380" t="s">
        <v>1357</v>
      </c>
      <c r="L2380" t="s">
        <v>1357</v>
      </c>
    </row>
    <row r="2381" spans="1:14">
      <c r="A2381" t="s">
        <v>6447</v>
      </c>
      <c r="B2381">
        <f>HYPERLINK("https://github.com/pmd/pmd/commit/8f2054f4a4dececcbc2363f94ff2a43a281eafbd", "8f2054f4a4dececcbc2363f94ff2a43a281eafbd")</f>
        <v>0</v>
      </c>
      <c r="C2381">
        <f>HYPERLINK("https://github.com/pmd/pmd/commit/f16c56dbe8cbdc6da62d9e4162f5d05853fd3d35", "f16c56dbe8cbdc6da62d9e4162f5d05853fd3d35")</f>
        <v>0</v>
      </c>
      <c r="D2381" t="s">
        <v>6509</v>
      </c>
      <c r="E2381" t="s">
        <v>6909</v>
      </c>
      <c r="F2381" t="s">
        <v>7655</v>
      </c>
      <c r="G2381" t="s">
        <v>8301</v>
      </c>
      <c r="H2381" t="s">
        <v>9728</v>
      </c>
      <c r="I2381" t="s">
        <v>1357</v>
      </c>
      <c r="J2381" t="s">
        <v>1357</v>
      </c>
      <c r="K2381" t="s">
        <v>1357</v>
      </c>
      <c r="L2381" t="s">
        <v>1357</v>
      </c>
    </row>
    <row r="2382" spans="1:14">
      <c r="A2382" t="s">
        <v>6448</v>
      </c>
      <c r="B2382">
        <f>HYPERLINK("https://github.com/pmd/pmd/commit/86b5948f072a789d4a95b7934c0b0814021088e2", "86b5948f072a789d4a95b7934c0b0814021088e2")</f>
        <v>0</v>
      </c>
      <c r="C2382">
        <f>HYPERLINK("https://github.com/pmd/pmd/commit/e1c42a10ec32403cc1ccae82bce4c420694f3e2c", "e1c42a10ec32403cc1ccae82bce4c420694f3e2c")</f>
        <v>0</v>
      </c>
      <c r="D2382" t="s">
        <v>6516</v>
      </c>
      <c r="E2382" t="s">
        <v>6910</v>
      </c>
      <c r="F2382" t="s">
        <v>7656</v>
      </c>
      <c r="G2382" t="s">
        <v>8302</v>
      </c>
      <c r="H2382" t="s">
        <v>9729</v>
      </c>
      <c r="I2382" t="s">
        <v>1358</v>
      </c>
      <c r="J2382" t="s">
        <v>1358</v>
      </c>
      <c r="K2382" t="s">
        <v>1358</v>
      </c>
      <c r="L2382" t="s">
        <v>1358</v>
      </c>
    </row>
    <row r="2383" spans="1:14">
      <c r="A2383" t="s">
        <v>6449</v>
      </c>
      <c r="B2383">
        <f>HYPERLINK("https://github.com/pmd/pmd/commit/90c123621a03a8d017845ca94319969618c53c69", "90c123621a03a8d017845ca94319969618c53c69")</f>
        <v>0</v>
      </c>
      <c r="C2383">
        <f>HYPERLINK("https://github.com/pmd/pmd/commit/06f2c96e3c935b887df6d67fa9a14da4455c702f", "06f2c96e3c935b887df6d67fa9a14da4455c702f")</f>
        <v>0</v>
      </c>
      <c r="D2383" t="s">
        <v>6509</v>
      </c>
      <c r="E2383" t="s">
        <v>6911</v>
      </c>
      <c r="F2383" t="s">
        <v>7657</v>
      </c>
      <c r="G2383" t="s">
        <v>8303</v>
      </c>
      <c r="H2383" t="s">
        <v>9730</v>
      </c>
      <c r="I2383" t="s">
        <v>1357</v>
      </c>
      <c r="J2383" t="s">
        <v>1357</v>
      </c>
      <c r="K2383" t="s">
        <v>1357</v>
      </c>
      <c r="L2383" t="s">
        <v>1357</v>
      </c>
    </row>
    <row r="2384" spans="1:14">
      <c r="H2384" t="s">
        <v>9731</v>
      </c>
      <c r="I2384" t="s">
        <v>1357</v>
      </c>
      <c r="J2384" t="s">
        <v>1357</v>
      </c>
      <c r="K2384" t="s">
        <v>1357</v>
      </c>
      <c r="L2384" t="s">
        <v>1357</v>
      </c>
    </row>
    <row r="2385" spans="1:12">
      <c r="H2385" t="s">
        <v>9732</v>
      </c>
      <c r="I2385" t="s">
        <v>1357</v>
      </c>
      <c r="J2385" t="s">
        <v>1357</v>
      </c>
      <c r="K2385" t="s">
        <v>1357</v>
      </c>
      <c r="L2385" t="s">
        <v>1357</v>
      </c>
    </row>
    <row r="2386" spans="1:12">
      <c r="A2386" t="s">
        <v>6449</v>
      </c>
      <c r="B2386">
        <f>HYPERLINK("https://github.com/pmd/pmd/commit/16a4aa3163061011b08564c5bda50db543e3f6e9", "16a4aa3163061011b08564c5bda50db543e3f6e9")</f>
        <v>0</v>
      </c>
      <c r="C2386">
        <f>HYPERLINK("https://github.com/pmd/pmd/commit/9fa85d8e597de4c595dececf179455d06dcd239b", "9fa85d8e597de4c595dececf179455d06dcd239b")</f>
        <v>0</v>
      </c>
      <c r="D2386" t="s">
        <v>6509</v>
      </c>
      <c r="E2386" t="s">
        <v>6912</v>
      </c>
      <c r="F2386" t="s">
        <v>7658</v>
      </c>
      <c r="G2386" t="s">
        <v>8304</v>
      </c>
      <c r="H2386" t="s">
        <v>9177</v>
      </c>
      <c r="I2386" t="s">
        <v>1357</v>
      </c>
      <c r="J2386" t="s">
        <v>1357</v>
      </c>
      <c r="K2386" t="s">
        <v>1357</v>
      </c>
      <c r="L2386" t="s">
        <v>1357</v>
      </c>
    </row>
    <row r="2387" spans="1:12">
      <c r="H2387" t="s">
        <v>9178</v>
      </c>
      <c r="I2387" t="s">
        <v>1357</v>
      </c>
      <c r="J2387" t="s">
        <v>1357</v>
      </c>
      <c r="K2387" t="s">
        <v>1357</v>
      </c>
      <c r="L2387" t="s">
        <v>1357</v>
      </c>
    </row>
    <row r="2388" spans="1:12">
      <c r="H2388" t="s">
        <v>9179</v>
      </c>
      <c r="I2388" t="s">
        <v>1357</v>
      </c>
      <c r="J2388" t="s">
        <v>1357</v>
      </c>
      <c r="K2388" t="s">
        <v>1357</v>
      </c>
      <c r="L2388" t="s">
        <v>1357</v>
      </c>
    </row>
    <row r="2389" spans="1:12">
      <c r="H2389" t="s">
        <v>9180</v>
      </c>
      <c r="I2389" t="s">
        <v>1357</v>
      </c>
      <c r="J2389" t="s">
        <v>1357</v>
      </c>
      <c r="K2389" t="s">
        <v>1357</v>
      </c>
      <c r="L2389" t="s">
        <v>1357</v>
      </c>
    </row>
    <row r="2390" spans="1:12">
      <c r="H2390" t="s">
        <v>9181</v>
      </c>
      <c r="I2390" t="s">
        <v>1357</v>
      </c>
      <c r="J2390" t="s">
        <v>1357</v>
      </c>
      <c r="K2390" t="s">
        <v>1357</v>
      </c>
      <c r="L2390" t="s">
        <v>1357</v>
      </c>
    </row>
    <row r="2391" spans="1:12">
      <c r="H2391" t="s">
        <v>9182</v>
      </c>
      <c r="I2391" t="s">
        <v>1357</v>
      </c>
      <c r="J2391" t="s">
        <v>1357</v>
      </c>
      <c r="K2391" t="s">
        <v>1357</v>
      </c>
      <c r="L2391" t="s">
        <v>1357</v>
      </c>
    </row>
    <row r="2392" spans="1:12">
      <c r="H2392" t="s">
        <v>9183</v>
      </c>
      <c r="I2392" t="s">
        <v>1357</v>
      </c>
      <c r="J2392" t="s">
        <v>1357</v>
      </c>
      <c r="K2392" t="s">
        <v>1357</v>
      </c>
      <c r="L2392" t="s">
        <v>1357</v>
      </c>
    </row>
    <row r="2393" spans="1:12">
      <c r="F2393" t="s">
        <v>7659</v>
      </c>
      <c r="G2393" t="s">
        <v>8195</v>
      </c>
      <c r="H2393" t="s">
        <v>9733</v>
      </c>
      <c r="I2393" t="s">
        <v>1357</v>
      </c>
      <c r="J2393" t="s">
        <v>1357</v>
      </c>
      <c r="K2393" t="s">
        <v>1357</v>
      </c>
      <c r="L2393" t="s">
        <v>1357</v>
      </c>
    </row>
    <row r="2394" spans="1:12">
      <c r="H2394" t="s">
        <v>9734</v>
      </c>
      <c r="I2394" t="s">
        <v>1357</v>
      </c>
      <c r="J2394" t="s">
        <v>1357</v>
      </c>
      <c r="K2394" t="s">
        <v>1357</v>
      </c>
      <c r="L2394" t="s">
        <v>1357</v>
      </c>
    </row>
    <row r="2395" spans="1:12">
      <c r="H2395" t="s">
        <v>9735</v>
      </c>
      <c r="I2395" t="s">
        <v>1357</v>
      </c>
      <c r="J2395" t="s">
        <v>1357</v>
      </c>
      <c r="K2395" t="s">
        <v>1357</v>
      </c>
      <c r="L2395" t="s">
        <v>1357</v>
      </c>
    </row>
    <row r="2396" spans="1:12">
      <c r="H2396" t="s">
        <v>9736</v>
      </c>
      <c r="I2396" t="s">
        <v>1357</v>
      </c>
      <c r="J2396" t="s">
        <v>1357</v>
      </c>
      <c r="K2396" t="s">
        <v>1357</v>
      </c>
      <c r="L2396" t="s">
        <v>1357</v>
      </c>
    </row>
    <row r="2397" spans="1:12">
      <c r="H2397" t="s">
        <v>9737</v>
      </c>
      <c r="I2397" t="s">
        <v>1357</v>
      </c>
      <c r="J2397" t="s">
        <v>1357</v>
      </c>
      <c r="K2397" t="s">
        <v>1357</v>
      </c>
      <c r="L2397" t="s">
        <v>1357</v>
      </c>
    </row>
    <row r="2398" spans="1:12">
      <c r="H2398" t="s">
        <v>9738</v>
      </c>
      <c r="I2398" t="s">
        <v>1357</v>
      </c>
      <c r="J2398" t="s">
        <v>1357</v>
      </c>
      <c r="K2398" t="s">
        <v>1357</v>
      </c>
      <c r="L2398" t="s">
        <v>1357</v>
      </c>
    </row>
    <row r="2399" spans="1:12">
      <c r="H2399" t="s">
        <v>9739</v>
      </c>
      <c r="I2399" t="s">
        <v>1357</v>
      </c>
      <c r="J2399" t="s">
        <v>1357</v>
      </c>
      <c r="K2399" t="s">
        <v>1357</v>
      </c>
      <c r="L2399" t="s">
        <v>1357</v>
      </c>
    </row>
    <row r="2400" spans="1:12">
      <c r="H2400" t="s">
        <v>9740</v>
      </c>
      <c r="I2400" t="s">
        <v>1357</v>
      </c>
      <c r="J2400" t="s">
        <v>1357</v>
      </c>
      <c r="K2400" t="s">
        <v>1357</v>
      </c>
      <c r="L2400" t="s">
        <v>1357</v>
      </c>
    </row>
    <row r="2401" spans="1:14">
      <c r="H2401" t="s">
        <v>9741</v>
      </c>
      <c r="I2401" t="s">
        <v>1357</v>
      </c>
      <c r="J2401" t="s">
        <v>1357</v>
      </c>
      <c r="K2401" t="s">
        <v>1357</v>
      </c>
      <c r="L2401" t="s">
        <v>1357</v>
      </c>
    </row>
    <row r="2402" spans="1:14">
      <c r="A2402" t="s">
        <v>6450</v>
      </c>
      <c r="B2402">
        <f>HYPERLINK("https://github.com/pmd/pmd/commit/134dbed07e8fb20bc01e3543803ca72a065187da", "134dbed07e8fb20bc01e3543803ca72a065187da")</f>
        <v>0</v>
      </c>
      <c r="C2402">
        <f>HYPERLINK("https://github.com/pmd/pmd/commit/3202136bd9798bbfb10c74245779d285f7c0fad3", "3202136bd9798bbfb10c74245779d285f7c0fad3")</f>
        <v>0</v>
      </c>
      <c r="D2402" t="s">
        <v>6509</v>
      </c>
      <c r="E2402" t="s">
        <v>6913</v>
      </c>
      <c r="F2402" t="s">
        <v>7660</v>
      </c>
      <c r="G2402" t="s">
        <v>8305</v>
      </c>
      <c r="H2402" t="s">
        <v>8846</v>
      </c>
      <c r="I2402" t="s">
        <v>1357</v>
      </c>
      <c r="J2402" t="s">
        <v>1357</v>
      </c>
      <c r="K2402" t="s">
        <v>1357</v>
      </c>
      <c r="L2402" t="s">
        <v>1357</v>
      </c>
      <c r="N2402" t="s">
        <v>9972</v>
      </c>
    </row>
    <row r="2403" spans="1:14">
      <c r="A2403" t="s">
        <v>6451</v>
      </c>
      <c r="B2403">
        <f>HYPERLINK("https://github.com/pmd/pmd/commit/99ee5bdee010f1f07227f6a0b5ec00218166b784", "99ee5bdee010f1f07227f6a0b5ec00218166b784")</f>
        <v>0</v>
      </c>
      <c r="C2403">
        <f>HYPERLINK("https://github.com/pmd/pmd/commit/59fff65a857d6eb84f591fc94a9c582f427540f7", "59fff65a857d6eb84f591fc94a9c582f427540f7")</f>
        <v>0</v>
      </c>
      <c r="D2403" t="s">
        <v>6509</v>
      </c>
      <c r="E2403" t="s">
        <v>6914</v>
      </c>
      <c r="F2403" t="s">
        <v>7575</v>
      </c>
      <c r="G2403" t="s">
        <v>7724</v>
      </c>
      <c r="H2403" t="s">
        <v>9742</v>
      </c>
      <c r="I2403" t="s">
        <v>1357</v>
      </c>
      <c r="J2403" t="s">
        <v>1357</v>
      </c>
      <c r="K2403" t="s">
        <v>1357</v>
      </c>
      <c r="L2403" t="s">
        <v>1357</v>
      </c>
    </row>
    <row r="2404" spans="1:14">
      <c r="A2404" t="s">
        <v>6452</v>
      </c>
      <c r="B2404">
        <f>HYPERLINK("https://github.com/pmd/pmd/commit/86ea3a0fb7dba43965e906a702aceaaa53e24d50", "86ea3a0fb7dba43965e906a702aceaaa53e24d50")</f>
        <v>0</v>
      </c>
      <c r="C2404">
        <f>HYPERLINK("https://github.com/pmd/pmd/commit/789e4aa73004fc4e25ebf0bc2db8a3d89d510d10", "789e4aa73004fc4e25ebf0bc2db8a3d89d510d10")</f>
        <v>0</v>
      </c>
      <c r="D2404" t="s">
        <v>6509</v>
      </c>
      <c r="E2404" t="s">
        <v>6915</v>
      </c>
      <c r="F2404" t="s">
        <v>7661</v>
      </c>
      <c r="G2404" t="s">
        <v>8156</v>
      </c>
      <c r="H2404" t="s">
        <v>9743</v>
      </c>
      <c r="I2404" t="s">
        <v>1357</v>
      </c>
      <c r="J2404" t="s">
        <v>1357</v>
      </c>
      <c r="K2404" t="s">
        <v>1357</v>
      </c>
      <c r="L2404" t="s">
        <v>1357</v>
      </c>
    </row>
    <row r="2405" spans="1:14">
      <c r="A2405" t="s">
        <v>6453</v>
      </c>
      <c r="B2405">
        <f>HYPERLINK("https://github.com/pmd/pmd/commit/79def1b51d8bee8c6d75df44270b06264090bf72", "79def1b51d8bee8c6d75df44270b06264090bf72")</f>
        <v>0</v>
      </c>
      <c r="C2405">
        <f>HYPERLINK("https://github.com/pmd/pmd/commit/83edce05c1361d3189de1a38e4ed219f953e3721", "83edce05c1361d3189de1a38e4ed219f953e3721")</f>
        <v>0</v>
      </c>
      <c r="D2405" t="s">
        <v>6509</v>
      </c>
      <c r="E2405" t="s">
        <v>6916</v>
      </c>
      <c r="F2405" t="s">
        <v>7654</v>
      </c>
      <c r="G2405" t="s">
        <v>8300</v>
      </c>
      <c r="H2405" t="s">
        <v>9109</v>
      </c>
      <c r="I2405" t="s">
        <v>1357</v>
      </c>
      <c r="J2405" t="s">
        <v>1357</v>
      </c>
      <c r="K2405" t="s">
        <v>1357</v>
      </c>
      <c r="L2405" t="s">
        <v>1357</v>
      </c>
    </row>
    <row r="2406" spans="1:14">
      <c r="F2406" t="s">
        <v>7662</v>
      </c>
      <c r="G2406" t="s">
        <v>8306</v>
      </c>
      <c r="H2406" t="s">
        <v>8844</v>
      </c>
      <c r="I2406" t="s">
        <v>1357</v>
      </c>
      <c r="J2406" t="s">
        <v>1357</v>
      </c>
      <c r="K2406" t="s">
        <v>1357</v>
      </c>
      <c r="L2406" t="s">
        <v>1357</v>
      </c>
    </row>
    <row r="2407" spans="1:14">
      <c r="H2407" t="s">
        <v>9744</v>
      </c>
      <c r="I2407" t="s">
        <v>1357</v>
      </c>
      <c r="J2407" t="s">
        <v>1357</v>
      </c>
      <c r="K2407" t="s">
        <v>1357</v>
      </c>
      <c r="L2407" t="s">
        <v>1357</v>
      </c>
    </row>
    <row r="2408" spans="1:14">
      <c r="H2408" t="s">
        <v>9745</v>
      </c>
      <c r="I2408" t="s">
        <v>1357</v>
      </c>
      <c r="J2408" t="s">
        <v>1357</v>
      </c>
      <c r="K2408" t="s">
        <v>1357</v>
      </c>
      <c r="L2408" t="s">
        <v>1357</v>
      </c>
    </row>
    <row r="2409" spans="1:14">
      <c r="H2409" t="s">
        <v>9746</v>
      </c>
      <c r="I2409" t="s">
        <v>1357</v>
      </c>
      <c r="J2409" t="s">
        <v>1357</v>
      </c>
      <c r="K2409" t="s">
        <v>1357</v>
      </c>
      <c r="L2409" t="s">
        <v>1357</v>
      </c>
    </row>
    <row r="2410" spans="1:14">
      <c r="H2410" t="s">
        <v>9747</v>
      </c>
      <c r="I2410" t="s">
        <v>1357</v>
      </c>
      <c r="J2410" t="s">
        <v>1357</v>
      </c>
      <c r="K2410" t="s">
        <v>1357</v>
      </c>
      <c r="L2410" t="s">
        <v>1357</v>
      </c>
    </row>
    <row r="2411" spans="1:14">
      <c r="H2411" t="s">
        <v>9748</v>
      </c>
      <c r="I2411" t="s">
        <v>1357</v>
      </c>
      <c r="J2411" t="s">
        <v>1357</v>
      </c>
      <c r="K2411" t="s">
        <v>1357</v>
      </c>
      <c r="L2411" t="s">
        <v>1357</v>
      </c>
    </row>
    <row r="2412" spans="1:14">
      <c r="H2412" t="s">
        <v>9749</v>
      </c>
      <c r="I2412" t="s">
        <v>1357</v>
      </c>
      <c r="J2412" t="s">
        <v>1357</v>
      </c>
      <c r="K2412" t="s">
        <v>1357</v>
      </c>
      <c r="L2412" t="s">
        <v>1357</v>
      </c>
    </row>
    <row r="2413" spans="1:14">
      <c r="H2413" t="s">
        <v>9750</v>
      </c>
      <c r="I2413" t="s">
        <v>1357</v>
      </c>
      <c r="J2413" t="s">
        <v>1357</v>
      </c>
      <c r="K2413" t="s">
        <v>1357</v>
      </c>
      <c r="L2413" t="s">
        <v>1357</v>
      </c>
    </row>
    <row r="2414" spans="1:14">
      <c r="F2414" t="s">
        <v>7663</v>
      </c>
      <c r="G2414" t="s">
        <v>8307</v>
      </c>
      <c r="H2414" t="s">
        <v>9744</v>
      </c>
      <c r="I2414" t="s">
        <v>1357</v>
      </c>
      <c r="J2414" t="s">
        <v>1357</v>
      </c>
      <c r="K2414" t="s">
        <v>1357</v>
      </c>
      <c r="L2414" t="s">
        <v>1357</v>
      </c>
    </row>
    <row r="2415" spans="1:14">
      <c r="A2415" t="s">
        <v>6454</v>
      </c>
      <c r="B2415">
        <f>HYPERLINK("https://github.com/pmd/pmd/commit/70079f0842ed16d92ccaf6234104da5c6c791590", "70079f0842ed16d92ccaf6234104da5c6c791590")</f>
        <v>0</v>
      </c>
      <c r="C2415">
        <f>HYPERLINK("https://github.com/pmd/pmd/commit/3202136bd9798bbfb10c74245779d285f7c0fad3", "3202136bd9798bbfb10c74245779d285f7c0fad3")</f>
        <v>0</v>
      </c>
      <c r="D2415" t="s">
        <v>6509</v>
      </c>
      <c r="E2415" t="s">
        <v>6917</v>
      </c>
      <c r="F2415" t="s">
        <v>7499</v>
      </c>
      <c r="G2415" t="s">
        <v>8180</v>
      </c>
      <c r="H2415" t="s">
        <v>9107</v>
      </c>
      <c r="I2415" t="s">
        <v>1357</v>
      </c>
      <c r="J2415" t="s">
        <v>1357</v>
      </c>
      <c r="K2415" t="s">
        <v>1357</v>
      </c>
      <c r="L2415" t="s">
        <v>1357</v>
      </c>
    </row>
    <row r="2416" spans="1:14">
      <c r="H2416" t="s">
        <v>9120</v>
      </c>
      <c r="I2416" t="s">
        <v>1357</v>
      </c>
      <c r="J2416" t="s">
        <v>1357</v>
      </c>
      <c r="K2416" t="s">
        <v>1357</v>
      </c>
      <c r="L2416" t="s">
        <v>1357</v>
      </c>
    </row>
    <row r="2417" spans="1:12">
      <c r="H2417" t="s">
        <v>9121</v>
      </c>
      <c r="I2417" t="s">
        <v>1357</v>
      </c>
      <c r="J2417" t="s">
        <v>1357</v>
      </c>
      <c r="K2417" t="s">
        <v>1357</v>
      </c>
      <c r="L2417" t="s">
        <v>1357</v>
      </c>
    </row>
    <row r="2418" spans="1:12">
      <c r="A2418" t="s">
        <v>6455</v>
      </c>
      <c r="B2418">
        <f>HYPERLINK("https://github.com/pmd/pmd/commit/163d7af6c28491b4e569c91661d165d8db57ebcd", "163d7af6c28491b4e569c91661d165d8db57ebcd")</f>
        <v>0</v>
      </c>
      <c r="C2418">
        <f>HYPERLINK("https://github.com/pmd/pmd/commit/70079f0842ed16d92ccaf6234104da5c6c791590", "70079f0842ed16d92ccaf6234104da5c6c791590")</f>
        <v>0</v>
      </c>
      <c r="D2418" t="s">
        <v>6509</v>
      </c>
      <c r="E2418" t="s">
        <v>6918</v>
      </c>
      <c r="F2418" t="s">
        <v>7496</v>
      </c>
      <c r="G2418" t="s">
        <v>8177</v>
      </c>
      <c r="H2418" t="s">
        <v>9107</v>
      </c>
      <c r="I2418" t="s">
        <v>1357</v>
      </c>
      <c r="J2418" t="s">
        <v>1357</v>
      </c>
      <c r="K2418" t="s">
        <v>1357</v>
      </c>
      <c r="L2418" t="s">
        <v>1357</v>
      </c>
    </row>
    <row r="2419" spans="1:12">
      <c r="F2419" t="s">
        <v>7497</v>
      </c>
      <c r="G2419" t="s">
        <v>8178</v>
      </c>
      <c r="H2419" t="s">
        <v>8898</v>
      </c>
      <c r="I2419" t="s">
        <v>1357</v>
      </c>
      <c r="J2419" t="s">
        <v>1357</v>
      </c>
      <c r="K2419" t="s">
        <v>1357</v>
      </c>
      <c r="L2419" t="s">
        <v>1357</v>
      </c>
    </row>
    <row r="2420" spans="1:12">
      <c r="H2420" t="s">
        <v>795</v>
      </c>
      <c r="I2420" t="s">
        <v>1357</v>
      </c>
      <c r="J2420" t="s">
        <v>1357</v>
      </c>
      <c r="K2420" t="s">
        <v>1357</v>
      </c>
      <c r="L2420" t="s">
        <v>1357</v>
      </c>
    </row>
    <row r="2421" spans="1:12">
      <c r="H2421" t="s">
        <v>9108</v>
      </c>
      <c r="I2421" t="s">
        <v>1357</v>
      </c>
      <c r="J2421" t="s">
        <v>1357</v>
      </c>
      <c r="K2421" t="s">
        <v>1357</v>
      </c>
      <c r="L2421" t="s">
        <v>1357</v>
      </c>
    </row>
    <row r="2422" spans="1:12">
      <c r="H2422" t="s">
        <v>9109</v>
      </c>
      <c r="I2422" t="s">
        <v>1357</v>
      </c>
      <c r="J2422" t="s">
        <v>1357</v>
      </c>
      <c r="K2422" t="s">
        <v>1357</v>
      </c>
      <c r="L2422" t="s">
        <v>1357</v>
      </c>
    </row>
    <row r="2423" spans="1:12">
      <c r="F2423" t="s">
        <v>7500</v>
      </c>
      <c r="G2423" t="s">
        <v>8181</v>
      </c>
      <c r="H2423" t="s">
        <v>9107</v>
      </c>
      <c r="I2423" t="s">
        <v>1357</v>
      </c>
      <c r="J2423" t="s">
        <v>1357</v>
      </c>
      <c r="K2423" t="s">
        <v>1357</v>
      </c>
      <c r="L2423" t="s">
        <v>1357</v>
      </c>
    </row>
    <row r="2424" spans="1:12">
      <c r="A2424" t="s">
        <v>6456</v>
      </c>
      <c r="B2424">
        <f>HYPERLINK("https://github.com/pmd/pmd/commit/2ac5a4907e1e79eedb795750ffefc6e8cc5a9be4", "2ac5a4907e1e79eedb795750ffefc6e8cc5a9be4")</f>
        <v>0</v>
      </c>
      <c r="C2424">
        <f>HYPERLINK("https://github.com/pmd/pmd/commit/053c439a43d39797a08c09f7dcb17470272ab1db", "053c439a43d39797a08c09f7dcb17470272ab1db")</f>
        <v>0</v>
      </c>
      <c r="D2424" t="s">
        <v>6509</v>
      </c>
      <c r="E2424" t="s">
        <v>6917</v>
      </c>
      <c r="F2424" t="s">
        <v>7499</v>
      </c>
      <c r="G2424" t="s">
        <v>8180</v>
      </c>
      <c r="H2424" t="s">
        <v>9107</v>
      </c>
      <c r="I2424" t="s">
        <v>1357</v>
      </c>
      <c r="J2424" t="s">
        <v>1357</v>
      </c>
      <c r="K2424" t="s">
        <v>1357</v>
      </c>
      <c r="L2424" t="s">
        <v>1357</v>
      </c>
    </row>
    <row r="2425" spans="1:12">
      <c r="H2425" t="s">
        <v>9120</v>
      </c>
      <c r="I2425" t="s">
        <v>1357</v>
      </c>
      <c r="J2425" t="s">
        <v>1357</v>
      </c>
      <c r="K2425" t="s">
        <v>1357</v>
      </c>
      <c r="L2425" t="s">
        <v>1357</v>
      </c>
    </row>
    <row r="2426" spans="1:12">
      <c r="H2426" t="s">
        <v>9121</v>
      </c>
      <c r="I2426" t="s">
        <v>1357</v>
      </c>
      <c r="J2426" t="s">
        <v>1357</v>
      </c>
      <c r="K2426" t="s">
        <v>1357</v>
      </c>
      <c r="L2426" t="s">
        <v>1357</v>
      </c>
    </row>
    <row r="2427" spans="1:12">
      <c r="A2427" t="s">
        <v>6456</v>
      </c>
      <c r="B2427">
        <f>HYPERLINK("https://github.com/pmd/pmd/commit/f6b1acbdd51b007809a511e6cb23984ba7292380", "f6b1acbdd51b007809a511e6cb23984ba7292380")</f>
        <v>0</v>
      </c>
      <c r="C2427">
        <f>HYPERLINK("https://github.com/pmd/pmd/commit/2ac5a4907e1e79eedb795750ffefc6e8cc5a9be4", "2ac5a4907e1e79eedb795750ffefc6e8cc5a9be4")</f>
        <v>0</v>
      </c>
      <c r="D2427" t="s">
        <v>6509</v>
      </c>
      <c r="E2427" t="s">
        <v>6918</v>
      </c>
      <c r="F2427" t="s">
        <v>7496</v>
      </c>
      <c r="G2427" t="s">
        <v>8177</v>
      </c>
      <c r="H2427" t="s">
        <v>9107</v>
      </c>
      <c r="I2427" t="s">
        <v>1357</v>
      </c>
      <c r="J2427" t="s">
        <v>1357</v>
      </c>
      <c r="K2427" t="s">
        <v>1357</v>
      </c>
      <c r="L2427" t="s">
        <v>1357</v>
      </c>
    </row>
    <row r="2428" spans="1:12">
      <c r="F2428" t="s">
        <v>7497</v>
      </c>
      <c r="G2428" t="s">
        <v>8178</v>
      </c>
      <c r="H2428" t="s">
        <v>8898</v>
      </c>
      <c r="I2428" t="s">
        <v>1357</v>
      </c>
      <c r="J2428" t="s">
        <v>1357</v>
      </c>
      <c r="K2428" t="s">
        <v>1357</v>
      </c>
      <c r="L2428" t="s">
        <v>1357</v>
      </c>
    </row>
    <row r="2429" spans="1:12">
      <c r="H2429" t="s">
        <v>795</v>
      </c>
      <c r="I2429" t="s">
        <v>1357</v>
      </c>
      <c r="J2429" t="s">
        <v>1357</v>
      </c>
      <c r="K2429" t="s">
        <v>1357</v>
      </c>
      <c r="L2429" t="s">
        <v>1357</v>
      </c>
    </row>
    <row r="2430" spans="1:12">
      <c r="H2430" t="s">
        <v>9108</v>
      </c>
      <c r="I2430" t="s">
        <v>1357</v>
      </c>
      <c r="J2430" t="s">
        <v>1357</v>
      </c>
      <c r="K2430" t="s">
        <v>1357</v>
      </c>
      <c r="L2430" t="s">
        <v>1357</v>
      </c>
    </row>
    <row r="2431" spans="1:12">
      <c r="H2431" t="s">
        <v>9109</v>
      </c>
      <c r="I2431" t="s">
        <v>1357</v>
      </c>
      <c r="J2431" t="s">
        <v>1357</v>
      </c>
      <c r="K2431" t="s">
        <v>1357</v>
      </c>
      <c r="L2431" t="s">
        <v>1357</v>
      </c>
    </row>
    <row r="2432" spans="1:12">
      <c r="F2432" t="s">
        <v>7500</v>
      </c>
      <c r="G2432" t="s">
        <v>8181</v>
      </c>
      <c r="H2432" t="s">
        <v>9107</v>
      </c>
      <c r="I2432" t="s">
        <v>1357</v>
      </c>
      <c r="J2432" t="s">
        <v>1357</v>
      </c>
      <c r="K2432" t="s">
        <v>1357</v>
      </c>
      <c r="L2432" t="s">
        <v>1357</v>
      </c>
    </row>
    <row r="2433" spans="1:14">
      <c r="A2433" t="s">
        <v>6457</v>
      </c>
      <c r="B2433">
        <f>HYPERLINK("https://github.com/pmd/pmd/commit/fb359c290eabe8093ad21e317a4c7d9d71d20287", "fb359c290eabe8093ad21e317a4c7d9d71d20287")</f>
        <v>0</v>
      </c>
      <c r="C2433">
        <f>HYPERLINK("https://github.com/pmd/pmd/commit/7c427413a8a6c7cc3c5cc23f8d71ea2b16842373", "7c427413a8a6c7cc3c5cc23f8d71ea2b16842373")</f>
        <v>0</v>
      </c>
      <c r="D2433" t="s">
        <v>6509</v>
      </c>
      <c r="E2433" t="s">
        <v>6919</v>
      </c>
      <c r="F2433" t="s">
        <v>7661</v>
      </c>
      <c r="G2433" t="s">
        <v>8156</v>
      </c>
      <c r="H2433" t="s">
        <v>9751</v>
      </c>
      <c r="I2433" t="s">
        <v>1357</v>
      </c>
      <c r="J2433" t="s">
        <v>1357</v>
      </c>
      <c r="K2433" t="s">
        <v>1357</v>
      </c>
      <c r="L2433" t="s">
        <v>1357</v>
      </c>
    </row>
    <row r="2434" spans="1:14">
      <c r="A2434" t="s">
        <v>6458</v>
      </c>
      <c r="B2434">
        <f>HYPERLINK("https://github.com/pmd/pmd/commit/2ec77ad02fde8ceb56eed684b3ba34b7510ea9f8", "2ec77ad02fde8ceb56eed684b3ba34b7510ea9f8")</f>
        <v>0</v>
      </c>
      <c r="C2434">
        <f>HYPERLINK("https://github.com/pmd/pmd/commit/3b151e31c4138f06204d637b396747e089478f61", "3b151e31c4138f06204d637b396747e089478f61")</f>
        <v>0</v>
      </c>
      <c r="D2434" t="s">
        <v>6514</v>
      </c>
      <c r="E2434" t="s">
        <v>6920</v>
      </c>
      <c r="F2434" t="s">
        <v>7586</v>
      </c>
      <c r="G2434" t="s">
        <v>8241</v>
      </c>
      <c r="H2434" t="s">
        <v>9752</v>
      </c>
      <c r="I2434" t="s">
        <v>1357</v>
      </c>
      <c r="J2434" t="s">
        <v>1357</v>
      </c>
      <c r="K2434" t="s">
        <v>1357</v>
      </c>
      <c r="L2434" t="s">
        <v>1357</v>
      </c>
    </row>
    <row r="2435" spans="1:14">
      <c r="H2435" t="s">
        <v>9753</v>
      </c>
      <c r="I2435" t="s">
        <v>1357</v>
      </c>
      <c r="J2435" t="s">
        <v>1357</v>
      </c>
      <c r="K2435" t="s">
        <v>1357</v>
      </c>
      <c r="L2435" t="s">
        <v>1357</v>
      </c>
    </row>
    <row r="2436" spans="1:14">
      <c r="H2436" t="s">
        <v>9754</v>
      </c>
      <c r="I2436" t="s">
        <v>1357</v>
      </c>
      <c r="J2436" t="s">
        <v>1357</v>
      </c>
      <c r="K2436" t="s">
        <v>1357</v>
      </c>
      <c r="L2436" t="s">
        <v>1357</v>
      </c>
    </row>
    <row r="2437" spans="1:14">
      <c r="H2437" t="s">
        <v>9421</v>
      </c>
      <c r="I2437" t="s">
        <v>1357</v>
      </c>
      <c r="J2437" t="s">
        <v>1357</v>
      </c>
      <c r="K2437" t="s">
        <v>1357</v>
      </c>
      <c r="L2437" t="s">
        <v>1357</v>
      </c>
      <c r="M2437" t="s">
        <v>5099</v>
      </c>
    </row>
    <row r="2438" spans="1:14">
      <c r="H2438" t="s">
        <v>9422</v>
      </c>
      <c r="I2438" t="s">
        <v>1357</v>
      </c>
      <c r="J2438" t="s">
        <v>1357</v>
      </c>
      <c r="K2438" t="s">
        <v>1357</v>
      </c>
      <c r="L2438" t="s">
        <v>1357</v>
      </c>
    </row>
    <row r="2439" spans="1:14">
      <c r="H2439" t="s">
        <v>9755</v>
      </c>
      <c r="I2439" t="s">
        <v>1357</v>
      </c>
      <c r="J2439" t="s">
        <v>1357</v>
      </c>
      <c r="K2439" t="s">
        <v>1357</v>
      </c>
      <c r="L2439" t="s">
        <v>1357</v>
      </c>
    </row>
    <row r="2440" spans="1:14">
      <c r="H2440" t="s">
        <v>9756</v>
      </c>
      <c r="I2440" t="s">
        <v>1357</v>
      </c>
      <c r="J2440" t="s">
        <v>1357</v>
      </c>
      <c r="K2440" t="s">
        <v>1357</v>
      </c>
      <c r="L2440" t="s">
        <v>1357</v>
      </c>
    </row>
    <row r="2441" spans="1:14">
      <c r="H2441" t="s">
        <v>9757</v>
      </c>
      <c r="I2441" t="s">
        <v>1357</v>
      </c>
      <c r="J2441" t="s">
        <v>1357</v>
      </c>
      <c r="K2441" t="s">
        <v>1357</v>
      </c>
      <c r="L2441" t="s">
        <v>1357</v>
      </c>
    </row>
    <row r="2442" spans="1:14">
      <c r="H2442" t="s">
        <v>9758</v>
      </c>
      <c r="I2442" t="s">
        <v>1357</v>
      </c>
      <c r="J2442" t="s">
        <v>1357</v>
      </c>
      <c r="K2442" t="s">
        <v>1357</v>
      </c>
      <c r="L2442" t="s">
        <v>1357</v>
      </c>
    </row>
    <row r="2443" spans="1:14">
      <c r="H2443" t="s">
        <v>9759</v>
      </c>
      <c r="I2443" t="s">
        <v>1357</v>
      </c>
      <c r="J2443" t="s">
        <v>1357</v>
      </c>
      <c r="K2443" t="s">
        <v>1357</v>
      </c>
      <c r="L2443" t="s">
        <v>1357</v>
      </c>
    </row>
    <row r="2444" spans="1:14">
      <c r="A2444" t="s">
        <v>6459</v>
      </c>
      <c r="B2444">
        <f>HYPERLINK("https://github.com/pmd/pmd/commit/595ab390154938ed0e2f0fc160b90c3f9ba4ccdd", "595ab390154938ed0e2f0fc160b90c3f9ba4ccdd")</f>
        <v>0</v>
      </c>
      <c r="C2444">
        <f>HYPERLINK("https://github.com/pmd/pmd/commit/f77608899f30e4800346eccba69b0c3ed9c5e7d0", "f77608899f30e4800346eccba69b0c3ed9c5e7d0")</f>
        <v>0</v>
      </c>
      <c r="D2444" t="s">
        <v>6514</v>
      </c>
      <c r="E2444" t="s">
        <v>6921</v>
      </c>
      <c r="F2444" t="s">
        <v>7664</v>
      </c>
      <c r="G2444" t="s">
        <v>8308</v>
      </c>
      <c r="H2444" t="s">
        <v>9760</v>
      </c>
      <c r="I2444" t="s">
        <v>1358</v>
      </c>
      <c r="J2444" t="s">
        <v>1358</v>
      </c>
      <c r="K2444" t="s">
        <v>1358</v>
      </c>
      <c r="L2444" t="s">
        <v>1358</v>
      </c>
    </row>
    <row r="2445" spans="1:14">
      <c r="A2445" t="s">
        <v>6460</v>
      </c>
      <c r="B2445">
        <f>HYPERLINK("https://github.com/pmd/pmd/commit/f5534e47d9e3d7ff98a9d435e65904dbe81e406f", "f5534e47d9e3d7ff98a9d435e65904dbe81e406f")</f>
        <v>0</v>
      </c>
      <c r="C2445">
        <f>HYPERLINK("https://github.com/pmd/pmd/commit/670ec9a7effe25e3a508f682444777d8fa49e430", "670ec9a7effe25e3a508f682444777d8fa49e430")</f>
        <v>0</v>
      </c>
      <c r="D2445" t="s">
        <v>6509</v>
      </c>
      <c r="E2445" t="s">
        <v>6922</v>
      </c>
      <c r="F2445" t="s">
        <v>7665</v>
      </c>
      <c r="G2445" t="s">
        <v>8309</v>
      </c>
      <c r="H2445" t="s">
        <v>9761</v>
      </c>
      <c r="I2445" t="s">
        <v>1359</v>
      </c>
      <c r="J2445" t="s">
        <v>1358</v>
      </c>
      <c r="K2445" t="s">
        <v>1357</v>
      </c>
      <c r="L2445" t="s">
        <v>1358</v>
      </c>
      <c r="N2445" t="s">
        <v>9973</v>
      </c>
    </row>
    <row r="2446" spans="1:14">
      <c r="H2446" t="s">
        <v>1664</v>
      </c>
      <c r="I2446" t="s">
        <v>1359</v>
      </c>
      <c r="J2446" t="s">
        <v>1358</v>
      </c>
      <c r="K2446" t="s">
        <v>1357</v>
      </c>
      <c r="L2446" t="s">
        <v>1358</v>
      </c>
      <c r="N2446" t="s">
        <v>9973</v>
      </c>
    </row>
    <row r="2447" spans="1:14">
      <c r="H2447" t="s">
        <v>9762</v>
      </c>
      <c r="I2447" t="s">
        <v>1359</v>
      </c>
      <c r="J2447" t="s">
        <v>1358</v>
      </c>
      <c r="K2447" t="s">
        <v>1357</v>
      </c>
      <c r="L2447" t="s">
        <v>1358</v>
      </c>
      <c r="N2447" t="s">
        <v>9973</v>
      </c>
    </row>
    <row r="2448" spans="1:14">
      <c r="H2448" t="s">
        <v>9763</v>
      </c>
      <c r="I2448" t="s">
        <v>1359</v>
      </c>
      <c r="J2448" t="s">
        <v>1358</v>
      </c>
      <c r="K2448" t="s">
        <v>1357</v>
      </c>
      <c r="L2448" t="s">
        <v>1358</v>
      </c>
      <c r="N2448" t="s">
        <v>9973</v>
      </c>
    </row>
    <row r="2449" spans="1:14">
      <c r="H2449" t="s">
        <v>9764</v>
      </c>
      <c r="I2449" t="s">
        <v>1359</v>
      </c>
      <c r="J2449" t="s">
        <v>1358</v>
      </c>
      <c r="K2449" t="s">
        <v>1357</v>
      </c>
      <c r="L2449" t="s">
        <v>1358</v>
      </c>
      <c r="N2449" t="s">
        <v>9973</v>
      </c>
    </row>
    <row r="2450" spans="1:14">
      <c r="H2450" t="s">
        <v>9765</v>
      </c>
      <c r="I2450" t="s">
        <v>1359</v>
      </c>
      <c r="J2450" t="s">
        <v>1358</v>
      </c>
      <c r="K2450" t="s">
        <v>1357</v>
      </c>
      <c r="L2450" t="s">
        <v>1358</v>
      </c>
      <c r="N2450" t="s">
        <v>9973</v>
      </c>
    </row>
    <row r="2451" spans="1:14">
      <c r="A2451" t="s">
        <v>6461</v>
      </c>
      <c r="B2451">
        <f>HYPERLINK("https://github.com/pmd/pmd/commit/a5d9de59f8b966b0c1599432b0252984c4e597a0", "a5d9de59f8b966b0c1599432b0252984c4e597a0")</f>
        <v>0</v>
      </c>
      <c r="C2451">
        <f>HYPERLINK("https://github.com/pmd/pmd/commit/a4ee44f4b3eeebd58c76fa544c5743364830ad6b", "a4ee44f4b3eeebd58c76fa544c5743364830ad6b")</f>
        <v>0</v>
      </c>
      <c r="D2451" t="s">
        <v>6514</v>
      </c>
      <c r="E2451" t="s">
        <v>6923</v>
      </c>
      <c r="F2451" t="s">
        <v>7666</v>
      </c>
      <c r="G2451" t="s">
        <v>8310</v>
      </c>
      <c r="H2451" t="s">
        <v>9421</v>
      </c>
      <c r="I2451" t="s">
        <v>1357</v>
      </c>
      <c r="J2451" t="s">
        <v>1357</v>
      </c>
      <c r="K2451" t="s">
        <v>1357</v>
      </c>
      <c r="L2451" t="s">
        <v>1357</v>
      </c>
    </row>
    <row r="2452" spans="1:14">
      <c r="H2452" t="s">
        <v>9766</v>
      </c>
      <c r="I2452" t="s">
        <v>1357</v>
      </c>
      <c r="J2452" t="s">
        <v>1357</v>
      </c>
      <c r="K2452" t="s">
        <v>1357</v>
      </c>
      <c r="L2452" t="s">
        <v>1357</v>
      </c>
    </row>
    <row r="2453" spans="1:14">
      <c r="H2453" t="s">
        <v>9755</v>
      </c>
      <c r="I2453" t="s">
        <v>1357</v>
      </c>
      <c r="J2453" t="s">
        <v>1357</v>
      </c>
      <c r="K2453" t="s">
        <v>1357</v>
      </c>
      <c r="L2453" t="s">
        <v>1357</v>
      </c>
    </row>
    <row r="2454" spans="1:14">
      <c r="H2454" t="s">
        <v>9767</v>
      </c>
      <c r="I2454" t="s">
        <v>1357</v>
      </c>
      <c r="J2454" t="s">
        <v>1357</v>
      </c>
      <c r="K2454" t="s">
        <v>1357</v>
      </c>
      <c r="L2454" t="s">
        <v>1357</v>
      </c>
    </row>
    <row r="2455" spans="1:14">
      <c r="H2455" t="s">
        <v>9757</v>
      </c>
      <c r="I2455" t="s">
        <v>1357</v>
      </c>
      <c r="J2455" t="s">
        <v>1357</v>
      </c>
      <c r="K2455" t="s">
        <v>1357</v>
      </c>
      <c r="L2455" t="s">
        <v>1357</v>
      </c>
    </row>
    <row r="2456" spans="1:14">
      <c r="H2456" t="s">
        <v>9768</v>
      </c>
      <c r="I2456" t="s">
        <v>1357</v>
      </c>
      <c r="J2456" t="s">
        <v>1357</v>
      </c>
      <c r="K2456" t="s">
        <v>1357</v>
      </c>
      <c r="L2456" t="s">
        <v>1357</v>
      </c>
    </row>
    <row r="2457" spans="1:14">
      <c r="H2457" t="s">
        <v>9758</v>
      </c>
      <c r="I2457" t="s">
        <v>1357</v>
      </c>
      <c r="J2457" t="s">
        <v>1357</v>
      </c>
      <c r="K2457" t="s">
        <v>1357</v>
      </c>
      <c r="L2457" t="s">
        <v>1357</v>
      </c>
    </row>
    <row r="2458" spans="1:14">
      <c r="H2458" t="s">
        <v>9759</v>
      </c>
      <c r="I2458" t="s">
        <v>1357</v>
      </c>
      <c r="J2458" t="s">
        <v>1357</v>
      </c>
      <c r="K2458" t="s">
        <v>1357</v>
      </c>
      <c r="L2458" t="s">
        <v>1357</v>
      </c>
    </row>
    <row r="2459" spans="1:14">
      <c r="H2459" t="s">
        <v>9769</v>
      </c>
      <c r="I2459" t="s">
        <v>1357</v>
      </c>
      <c r="J2459" t="s">
        <v>1357</v>
      </c>
      <c r="K2459" t="s">
        <v>1357</v>
      </c>
      <c r="L2459" t="s">
        <v>1357</v>
      </c>
    </row>
    <row r="2460" spans="1:14">
      <c r="H2460" t="s">
        <v>9770</v>
      </c>
      <c r="I2460" t="s">
        <v>1357</v>
      </c>
      <c r="J2460" t="s">
        <v>1357</v>
      </c>
      <c r="K2460" t="s">
        <v>1357</v>
      </c>
      <c r="L2460" t="s">
        <v>1357</v>
      </c>
    </row>
    <row r="2461" spans="1:14">
      <c r="H2461" t="s">
        <v>9771</v>
      </c>
      <c r="I2461" t="s">
        <v>1357</v>
      </c>
      <c r="J2461" t="s">
        <v>1357</v>
      </c>
      <c r="K2461" t="s">
        <v>1357</v>
      </c>
      <c r="L2461" t="s">
        <v>1357</v>
      </c>
    </row>
    <row r="2462" spans="1:14">
      <c r="H2462" t="s">
        <v>9772</v>
      </c>
      <c r="I2462" t="s">
        <v>1357</v>
      </c>
      <c r="J2462" t="s">
        <v>1357</v>
      </c>
      <c r="K2462" t="s">
        <v>1357</v>
      </c>
      <c r="L2462" t="s">
        <v>1357</v>
      </c>
    </row>
    <row r="2463" spans="1:14">
      <c r="H2463" t="s">
        <v>9773</v>
      </c>
      <c r="I2463" t="s">
        <v>1357</v>
      </c>
      <c r="J2463" t="s">
        <v>1357</v>
      </c>
      <c r="K2463" t="s">
        <v>1357</v>
      </c>
      <c r="L2463" t="s">
        <v>1357</v>
      </c>
    </row>
    <row r="2464" spans="1:14">
      <c r="H2464" t="s">
        <v>9774</v>
      </c>
      <c r="I2464" t="s">
        <v>1357</v>
      </c>
      <c r="J2464" t="s">
        <v>1357</v>
      </c>
      <c r="K2464" t="s">
        <v>1357</v>
      </c>
      <c r="L2464" t="s">
        <v>1357</v>
      </c>
      <c r="M2464" t="s">
        <v>1361</v>
      </c>
    </row>
    <row r="2465" spans="1:12">
      <c r="H2465" t="s">
        <v>9775</v>
      </c>
      <c r="I2465" t="s">
        <v>1357</v>
      </c>
      <c r="J2465" t="s">
        <v>1357</v>
      </c>
      <c r="K2465" t="s">
        <v>1357</v>
      </c>
      <c r="L2465" t="s">
        <v>1357</v>
      </c>
    </row>
    <row r="2466" spans="1:12">
      <c r="H2466" t="s">
        <v>9776</v>
      </c>
      <c r="I2466" t="s">
        <v>1357</v>
      </c>
      <c r="J2466" t="s">
        <v>1357</v>
      </c>
      <c r="K2466" t="s">
        <v>1357</v>
      </c>
      <c r="L2466" t="s">
        <v>1357</v>
      </c>
    </row>
    <row r="2467" spans="1:12">
      <c r="A2467" t="s">
        <v>6462</v>
      </c>
      <c r="B2467">
        <f>HYPERLINK("https://github.com/pmd/pmd/commit/e64d48538449f34b9f42ab22376c0239b6779353", "e64d48538449f34b9f42ab22376c0239b6779353")</f>
        <v>0</v>
      </c>
      <c r="C2467">
        <f>HYPERLINK("https://github.com/pmd/pmd/commit/064c1d7aefa5b32a4ea9766eb40a5c3e064b05cf", "064c1d7aefa5b32a4ea9766eb40a5c3e064b05cf")</f>
        <v>0</v>
      </c>
      <c r="D2467" t="s">
        <v>6509</v>
      </c>
      <c r="E2467" t="s">
        <v>6924</v>
      </c>
      <c r="F2467" t="s">
        <v>7501</v>
      </c>
      <c r="G2467" t="s">
        <v>8182</v>
      </c>
      <c r="H2467" t="s">
        <v>9777</v>
      </c>
      <c r="I2467" t="s">
        <v>1358</v>
      </c>
      <c r="J2467" t="s">
        <v>1358</v>
      </c>
      <c r="K2467" t="s">
        <v>1358</v>
      </c>
      <c r="L2467" t="s">
        <v>1358</v>
      </c>
    </row>
    <row r="2468" spans="1:12">
      <c r="A2468" t="s">
        <v>6463</v>
      </c>
      <c r="B2468">
        <f>HYPERLINK("https://github.com/pmd/pmd/commit/f4468a22c1095b5c1db1aea4e6190669f6abd7d5", "f4468a22c1095b5c1db1aea4e6190669f6abd7d5")</f>
        <v>0</v>
      </c>
      <c r="C2468">
        <f>HYPERLINK("https://github.com/pmd/pmd/commit/55f301cbd774314bab2116a5b7b609e082386d1f", "55f301cbd774314bab2116a5b7b609e082386d1f")</f>
        <v>0</v>
      </c>
      <c r="D2468" t="s">
        <v>6509</v>
      </c>
      <c r="E2468" t="s">
        <v>6925</v>
      </c>
      <c r="F2468" t="s">
        <v>7667</v>
      </c>
      <c r="G2468" t="s">
        <v>8311</v>
      </c>
      <c r="H2468" t="s">
        <v>9778</v>
      </c>
      <c r="I2468" t="s">
        <v>1357</v>
      </c>
      <c r="J2468" t="s">
        <v>1357</v>
      </c>
      <c r="K2468" t="s">
        <v>1357</v>
      </c>
      <c r="L2468" t="s">
        <v>1357</v>
      </c>
    </row>
    <row r="2469" spans="1:12">
      <c r="H2469" t="s">
        <v>9779</v>
      </c>
      <c r="I2469" t="s">
        <v>1357</v>
      </c>
      <c r="J2469" t="s">
        <v>1357</v>
      </c>
      <c r="K2469" t="s">
        <v>1357</v>
      </c>
      <c r="L2469" t="s">
        <v>1357</v>
      </c>
    </row>
    <row r="2470" spans="1:12">
      <c r="A2470" t="s">
        <v>6464</v>
      </c>
      <c r="B2470">
        <f>HYPERLINK("https://github.com/pmd/pmd/commit/1f2aa739b4988e9932eb582b16a773061a1884ff", "1f2aa739b4988e9932eb582b16a773061a1884ff")</f>
        <v>0</v>
      </c>
      <c r="C2470">
        <f>HYPERLINK("https://github.com/pmd/pmd/commit/f7e4d624156197803cc09c3011a1422253b99095", "f7e4d624156197803cc09c3011a1422253b99095")</f>
        <v>0</v>
      </c>
      <c r="D2470" t="s">
        <v>6509</v>
      </c>
      <c r="E2470" t="s">
        <v>6926</v>
      </c>
      <c r="F2470" t="s">
        <v>7569</v>
      </c>
      <c r="G2470" t="s">
        <v>7825</v>
      </c>
      <c r="H2470" t="s">
        <v>9780</v>
      </c>
      <c r="I2470" t="s">
        <v>1357</v>
      </c>
      <c r="J2470" t="s">
        <v>1357</v>
      </c>
      <c r="K2470" t="s">
        <v>1357</v>
      </c>
      <c r="L2470" t="s">
        <v>1357</v>
      </c>
    </row>
    <row r="2471" spans="1:12">
      <c r="H2471" t="s">
        <v>9781</v>
      </c>
      <c r="I2471" t="s">
        <v>1357</v>
      </c>
      <c r="J2471" t="s">
        <v>1357</v>
      </c>
      <c r="K2471" t="s">
        <v>1357</v>
      </c>
      <c r="L2471" t="s">
        <v>1357</v>
      </c>
    </row>
    <row r="2472" spans="1:12">
      <c r="A2472" t="s">
        <v>6465</v>
      </c>
      <c r="B2472">
        <f>HYPERLINK("https://github.com/pmd/pmd/commit/3eed1164b48da0802d15834f69502ba50ff4a14d", "3eed1164b48da0802d15834f69502ba50ff4a14d")</f>
        <v>0</v>
      </c>
      <c r="C2472">
        <f>HYPERLINK("https://github.com/pmd/pmd/commit/6b2dde878ad62018a0cd87a4fdbccf9a3981be24", "6b2dde878ad62018a0cd87a4fdbccf9a3981be24")</f>
        <v>0</v>
      </c>
      <c r="D2472" t="s">
        <v>6514</v>
      </c>
      <c r="E2472" t="s">
        <v>6927</v>
      </c>
      <c r="F2472" t="s">
        <v>7668</v>
      </c>
      <c r="G2472" t="s">
        <v>8312</v>
      </c>
      <c r="H2472" t="s">
        <v>9782</v>
      </c>
      <c r="I2472" t="s">
        <v>1357</v>
      </c>
      <c r="J2472" t="s">
        <v>1357</v>
      </c>
      <c r="K2472" t="s">
        <v>1357</v>
      </c>
      <c r="L2472" t="s">
        <v>1357</v>
      </c>
    </row>
    <row r="2473" spans="1:12">
      <c r="A2473" t="s">
        <v>6466</v>
      </c>
      <c r="B2473">
        <f>HYPERLINK("https://github.com/pmd/pmd/commit/853942d62363b6b999c402066abd71ff8f259448", "853942d62363b6b999c402066abd71ff8f259448")</f>
        <v>0</v>
      </c>
      <c r="C2473">
        <f>HYPERLINK("https://github.com/pmd/pmd/commit/2396b890439a877f64b0d87a0aad10d5fb101fef", "2396b890439a877f64b0d87a0aad10d5fb101fef")</f>
        <v>0</v>
      </c>
      <c r="D2473" t="s">
        <v>6509</v>
      </c>
      <c r="E2473" t="s">
        <v>6928</v>
      </c>
      <c r="F2473" t="s">
        <v>7669</v>
      </c>
      <c r="G2473" t="s">
        <v>8313</v>
      </c>
      <c r="H2473" t="s">
        <v>9783</v>
      </c>
      <c r="I2473" t="s">
        <v>1357</v>
      </c>
      <c r="J2473" t="s">
        <v>1357</v>
      </c>
      <c r="K2473" t="s">
        <v>1357</v>
      </c>
      <c r="L2473" t="s">
        <v>1357</v>
      </c>
    </row>
    <row r="2474" spans="1:12">
      <c r="H2474" t="s">
        <v>3865</v>
      </c>
      <c r="I2474" t="s">
        <v>1357</v>
      </c>
      <c r="J2474" t="s">
        <v>1357</v>
      </c>
      <c r="K2474" t="s">
        <v>1357</v>
      </c>
      <c r="L2474" t="s">
        <v>1357</v>
      </c>
    </row>
    <row r="2475" spans="1:12">
      <c r="H2475" t="s">
        <v>9784</v>
      </c>
      <c r="I2475" t="s">
        <v>1357</v>
      </c>
      <c r="J2475" t="s">
        <v>1357</v>
      </c>
      <c r="K2475" t="s">
        <v>1357</v>
      </c>
      <c r="L2475" t="s">
        <v>1357</v>
      </c>
    </row>
    <row r="2476" spans="1:12">
      <c r="H2476" t="s">
        <v>9785</v>
      </c>
      <c r="I2476" t="s">
        <v>1357</v>
      </c>
      <c r="J2476" t="s">
        <v>1357</v>
      </c>
      <c r="K2476" t="s">
        <v>1357</v>
      </c>
      <c r="L2476" t="s">
        <v>1357</v>
      </c>
    </row>
    <row r="2477" spans="1:12">
      <c r="H2477" t="s">
        <v>9786</v>
      </c>
      <c r="I2477" t="s">
        <v>1357</v>
      </c>
      <c r="J2477" t="s">
        <v>1357</v>
      </c>
      <c r="K2477" t="s">
        <v>1357</v>
      </c>
      <c r="L2477" t="s">
        <v>1357</v>
      </c>
    </row>
    <row r="2478" spans="1:12">
      <c r="H2478" t="s">
        <v>9787</v>
      </c>
      <c r="I2478" t="s">
        <v>1357</v>
      </c>
      <c r="J2478" t="s">
        <v>1357</v>
      </c>
      <c r="K2478" t="s">
        <v>1357</v>
      </c>
      <c r="L2478" t="s">
        <v>1357</v>
      </c>
    </row>
    <row r="2479" spans="1:12">
      <c r="A2479" t="s">
        <v>6467</v>
      </c>
      <c r="B2479">
        <f>HYPERLINK("https://github.com/pmd/pmd/commit/bf91e70c9f8107edaf132bab5b2ce70087da7bfd", "bf91e70c9f8107edaf132bab5b2ce70087da7bfd")</f>
        <v>0</v>
      </c>
      <c r="C2479">
        <f>HYPERLINK("https://github.com/pmd/pmd/commit/bad65fe858901f06ab21bf54ecf77d7ac430c083", "bad65fe858901f06ab21bf54ecf77d7ac430c083")</f>
        <v>0</v>
      </c>
      <c r="D2479" t="s">
        <v>6509</v>
      </c>
      <c r="E2479" t="s">
        <v>6914</v>
      </c>
      <c r="F2479" t="s">
        <v>7670</v>
      </c>
      <c r="G2479" t="s">
        <v>8314</v>
      </c>
      <c r="H2479" t="s">
        <v>9788</v>
      </c>
      <c r="I2479" t="s">
        <v>1357</v>
      </c>
      <c r="J2479" t="s">
        <v>1357</v>
      </c>
      <c r="K2479" t="s">
        <v>1357</v>
      </c>
      <c r="L2479" t="s">
        <v>1357</v>
      </c>
    </row>
    <row r="2480" spans="1:12">
      <c r="A2480" t="s">
        <v>6468</v>
      </c>
      <c r="B2480">
        <f>HYPERLINK("https://github.com/pmd/pmd/commit/97402dc61d9204b66f1acec3c007adb98949b55a", "97402dc61d9204b66f1acec3c007adb98949b55a")</f>
        <v>0</v>
      </c>
      <c r="C2480">
        <f>HYPERLINK("https://github.com/pmd/pmd/commit/9808c743d235ec305c018087ce28282c7f5682f3", "9808c743d235ec305c018087ce28282c7f5682f3")</f>
        <v>0</v>
      </c>
      <c r="D2480" t="s">
        <v>6509</v>
      </c>
      <c r="E2480" t="s">
        <v>6929</v>
      </c>
      <c r="F2480" t="s">
        <v>7671</v>
      </c>
      <c r="G2480" t="s">
        <v>8315</v>
      </c>
      <c r="H2480" t="s">
        <v>9789</v>
      </c>
      <c r="I2480" t="s">
        <v>1358</v>
      </c>
      <c r="J2480" t="s">
        <v>1358</v>
      </c>
      <c r="K2480" t="s">
        <v>1358</v>
      </c>
      <c r="L2480" t="s">
        <v>1358</v>
      </c>
    </row>
    <row r="2481" spans="1:12">
      <c r="H2481" t="s">
        <v>9790</v>
      </c>
      <c r="I2481" t="s">
        <v>1358</v>
      </c>
      <c r="J2481" t="s">
        <v>1358</v>
      </c>
      <c r="K2481" t="s">
        <v>1358</v>
      </c>
      <c r="L2481" t="s">
        <v>1358</v>
      </c>
    </row>
    <row r="2482" spans="1:12">
      <c r="A2482" t="s">
        <v>6469</v>
      </c>
      <c r="B2482">
        <f>HYPERLINK("https://github.com/pmd/pmd/commit/2c0a641b2cbd82c34e950ceb4b435d55928bf53c", "2c0a641b2cbd82c34e950ceb4b435d55928bf53c")</f>
        <v>0</v>
      </c>
      <c r="C2482">
        <f>HYPERLINK("https://github.com/pmd/pmd/commit/82315427460e35067dc5610f92404e6f2c260e8d", "82315427460e35067dc5610f92404e6f2c260e8d")</f>
        <v>0</v>
      </c>
      <c r="D2482" t="s">
        <v>6509</v>
      </c>
      <c r="E2482" t="s">
        <v>6930</v>
      </c>
      <c r="F2482" t="s">
        <v>7672</v>
      </c>
      <c r="G2482" t="s">
        <v>8316</v>
      </c>
      <c r="H2482" t="s">
        <v>9791</v>
      </c>
      <c r="I2482" t="s">
        <v>1357</v>
      </c>
      <c r="J2482" t="s">
        <v>1357</v>
      </c>
      <c r="K2482" t="s">
        <v>1357</v>
      </c>
      <c r="L2482" t="s">
        <v>1357</v>
      </c>
    </row>
    <row r="2483" spans="1:12">
      <c r="A2483" t="s">
        <v>6470</v>
      </c>
      <c r="B2483">
        <f>HYPERLINK("https://github.com/pmd/pmd/commit/07549b1283165009d1c592ce8e3e3db28996bf37", "07549b1283165009d1c592ce8e3e3db28996bf37")</f>
        <v>0</v>
      </c>
      <c r="C2483">
        <f>HYPERLINK("https://github.com/pmd/pmd/commit/aead02ba890b0f89d04141bac803cd76b8fb30b9", "aead02ba890b0f89d04141bac803cd76b8fb30b9")</f>
        <v>0</v>
      </c>
      <c r="D2483" t="s">
        <v>6509</v>
      </c>
      <c r="E2483" t="s">
        <v>6931</v>
      </c>
      <c r="F2483" t="s">
        <v>7673</v>
      </c>
      <c r="G2483" t="s">
        <v>7801</v>
      </c>
      <c r="H2483" t="s">
        <v>8710</v>
      </c>
      <c r="I2483" t="s">
        <v>1357</v>
      </c>
      <c r="J2483" t="s">
        <v>1357</v>
      </c>
      <c r="K2483" t="s">
        <v>1357</v>
      </c>
      <c r="L2483" t="s">
        <v>1357</v>
      </c>
    </row>
    <row r="2484" spans="1:12">
      <c r="H2484" t="s">
        <v>8711</v>
      </c>
      <c r="I2484" t="s">
        <v>1357</v>
      </c>
      <c r="J2484" t="s">
        <v>1357</v>
      </c>
      <c r="K2484" t="s">
        <v>1357</v>
      </c>
      <c r="L2484" t="s">
        <v>1357</v>
      </c>
    </row>
    <row r="2485" spans="1:12">
      <c r="H2485" t="s">
        <v>8728</v>
      </c>
      <c r="I2485" t="s">
        <v>1357</v>
      </c>
      <c r="J2485" t="s">
        <v>1357</v>
      </c>
      <c r="K2485" t="s">
        <v>1357</v>
      </c>
      <c r="L2485" t="s">
        <v>1357</v>
      </c>
    </row>
    <row r="2486" spans="1:12">
      <c r="H2486" t="s">
        <v>8733</v>
      </c>
      <c r="I2486" t="s">
        <v>1357</v>
      </c>
      <c r="J2486" t="s">
        <v>1357</v>
      </c>
      <c r="K2486" t="s">
        <v>1357</v>
      </c>
      <c r="L2486" t="s">
        <v>1357</v>
      </c>
    </row>
    <row r="2487" spans="1:12">
      <c r="H2487" t="s">
        <v>9792</v>
      </c>
      <c r="I2487" t="s">
        <v>1357</v>
      </c>
      <c r="J2487" t="s">
        <v>1357</v>
      </c>
      <c r="K2487" t="s">
        <v>1357</v>
      </c>
      <c r="L2487" t="s">
        <v>1357</v>
      </c>
    </row>
    <row r="2488" spans="1:12">
      <c r="H2488" t="s">
        <v>8752</v>
      </c>
      <c r="I2488" t="s">
        <v>1357</v>
      </c>
      <c r="J2488" t="s">
        <v>1357</v>
      </c>
      <c r="K2488" t="s">
        <v>1357</v>
      </c>
      <c r="L2488" t="s">
        <v>1357</v>
      </c>
    </row>
    <row r="2489" spans="1:12">
      <c r="H2489" t="s">
        <v>8764</v>
      </c>
      <c r="I2489" t="s">
        <v>1357</v>
      </c>
      <c r="J2489" t="s">
        <v>1357</v>
      </c>
      <c r="K2489" t="s">
        <v>1357</v>
      </c>
      <c r="L2489" t="s">
        <v>1357</v>
      </c>
    </row>
    <row r="2490" spans="1:12">
      <c r="H2490" t="s">
        <v>9793</v>
      </c>
      <c r="I2490" t="s">
        <v>1357</v>
      </c>
      <c r="J2490" t="s">
        <v>1357</v>
      </c>
      <c r="K2490" t="s">
        <v>1357</v>
      </c>
      <c r="L2490" t="s">
        <v>1357</v>
      </c>
    </row>
    <row r="2491" spans="1:12">
      <c r="H2491" t="s">
        <v>9794</v>
      </c>
      <c r="I2491" t="s">
        <v>1357</v>
      </c>
      <c r="J2491" t="s">
        <v>1357</v>
      </c>
      <c r="K2491" t="s">
        <v>1357</v>
      </c>
      <c r="L2491" t="s">
        <v>1357</v>
      </c>
    </row>
    <row r="2492" spans="1:12">
      <c r="F2492" t="s">
        <v>7674</v>
      </c>
      <c r="G2492" t="s">
        <v>7732</v>
      </c>
      <c r="H2492" t="s">
        <v>8721</v>
      </c>
      <c r="I2492" t="s">
        <v>1357</v>
      </c>
      <c r="J2492" t="s">
        <v>1357</v>
      </c>
      <c r="K2492" t="s">
        <v>1357</v>
      </c>
      <c r="L2492" t="s">
        <v>1357</v>
      </c>
    </row>
    <row r="2493" spans="1:12">
      <c r="H2493" t="s">
        <v>9795</v>
      </c>
      <c r="I2493" t="s">
        <v>1357</v>
      </c>
      <c r="J2493" t="s">
        <v>1357</v>
      </c>
      <c r="K2493" t="s">
        <v>1357</v>
      </c>
      <c r="L2493" t="s">
        <v>1357</v>
      </c>
    </row>
    <row r="2494" spans="1:12">
      <c r="H2494" t="s">
        <v>9796</v>
      </c>
      <c r="I2494" t="s">
        <v>1357</v>
      </c>
      <c r="J2494" t="s">
        <v>1357</v>
      </c>
      <c r="K2494" t="s">
        <v>1357</v>
      </c>
      <c r="L2494" t="s">
        <v>1357</v>
      </c>
    </row>
    <row r="2495" spans="1:12">
      <c r="H2495" t="s">
        <v>8722</v>
      </c>
      <c r="I2495" t="s">
        <v>1357</v>
      </c>
      <c r="J2495" t="s">
        <v>1357</v>
      </c>
      <c r="K2495" t="s">
        <v>1357</v>
      </c>
      <c r="L2495" t="s">
        <v>1357</v>
      </c>
    </row>
    <row r="2496" spans="1:12">
      <c r="H2496" t="s">
        <v>1079</v>
      </c>
      <c r="I2496" t="s">
        <v>1357</v>
      </c>
      <c r="J2496" t="s">
        <v>1357</v>
      </c>
      <c r="K2496" t="s">
        <v>1357</v>
      </c>
      <c r="L2496" t="s">
        <v>1357</v>
      </c>
    </row>
    <row r="2497" spans="8:12">
      <c r="H2497" t="s">
        <v>8716</v>
      </c>
      <c r="I2497" t="s">
        <v>1357</v>
      </c>
      <c r="J2497" t="s">
        <v>1357</v>
      </c>
      <c r="K2497" t="s">
        <v>1357</v>
      </c>
      <c r="L2497" t="s">
        <v>1357</v>
      </c>
    </row>
    <row r="2498" spans="8:12">
      <c r="H2498" t="s">
        <v>8717</v>
      </c>
      <c r="I2498" t="s">
        <v>1357</v>
      </c>
      <c r="J2498" t="s">
        <v>1357</v>
      </c>
      <c r="K2498" t="s">
        <v>1357</v>
      </c>
      <c r="L2498" t="s">
        <v>1357</v>
      </c>
    </row>
    <row r="2499" spans="8:12">
      <c r="H2499" t="s">
        <v>8718</v>
      </c>
      <c r="I2499" t="s">
        <v>1357</v>
      </c>
      <c r="J2499" t="s">
        <v>1357</v>
      </c>
      <c r="K2499" t="s">
        <v>1357</v>
      </c>
      <c r="L2499" t="s">
        <v>1357</v>
      </c>
    </row>
    <row r="2500" spans="8:12">
      <c r="H2500" t="s">
        <v>8719</v>
      </c>
      <c r="I2500" t="s">
        <v>1357</v>
      </c>
      <c r="J2500" t="s">
        <v>1357</v>
      </c>
      <c r="K2500" t="s">
        <v>1357</v>
      </c>
      <c r="L2500" t="s">
        <v>1357</v>
      </c>
    </row>
    <row r="2501" spans="8:12">
      <c r="H2501" t="s">
        <v>8720</v>
      </c>
      <c r="I2501" t="s">
        <v>1357</v>
      </c>
      <c r="J2501" t="s">
        <v>1357</v>
      </c>
      <c r="K2501" t="s">
        <v>1357</v>
      </c>
      <c r="L2501" t="s">
        <v>1357</v>
      </c>
    </row>
    <row r="2502" spans="8:12">
      <c r="H2502" t="s">
        <v>8495</v>
      </c>
      <c r="I2502" t="s">
        <v>1357</v>
      </c>
      <c r="J2502" t="s">
        <v>1357</v>
      </c>
      <c r="K2502" t="s">
        <v>1357</v>
      </c>
      <c r="L2502" t="s">
        <v>1357</v>
      </c>
    </row>
    <row r="2503" spans="8:12">
      <c r="H2503" t="s">
        <v>9797</v>
      </c>
      <c r="I2503" t="s">
        <v>1357</v>
      </c>
      <c r="J2503" t="s">
        <v>1357</v>
      </c>
      <c r="K2503" t="s">
        <v>1357</v>
      </c>
      <c r="L2503" t="s">
        <v>1357</v>
      </c>
    </row>
    <row r="2504" spans="8:12">
      <c r="H2504" t="s">
        <v>9798</v>
      </c>
      <c r="I2504" t="s">
        <v>1357</v>
      </c>
      <c r="J2504" t="s">
        <v>1357</v>
      </c>
      <c r="K2504" t="s">
        <v>1357</v>
      </c>
      <c r="L2504" t="s">
        <v>1357</v>
      </c>
    </row>
    <row r="2505" spans="8:12">
      <c r="H2505" t="s">
        <v>9799</v>
      </c>
      <c r="I2505" t="s">
        <v>1357</v>
      </c>
      <c r="J2505" t="s">
        <v>1357</v>
      </c>
      <c r="K2505" t="s">
        <v>1357</v>
      </c>
      <c r="L2505" t="s">
        <v>1357</v>
      </c>
    </row>
    <row r="2506" spans="8:12">
      <c r="H2506" t="s">
        <v>9800</v>
      </c>
      <c r="I2506" t="s">
        <v>1357</v>
      </c>
      <c r="J2506" t="s">
        <v>1357</v>
      </c>
      <c r="K2506" t="s">
        <v>1357</v>
      </c>
      <c r="L2506" t="s">
        <v>1357</v>
      </c>
    </row>
    <row r="2507" spans="8:12">
      <c r="H2507" t="s">
        <v>9801</v>
      </c>
      <c r="I2507" t="s">
        <v>1357</v>
      </c>
      <c r="J2507" t="s">
        <v>1357</v>
      </c>
      <c r="K2507" t="s">
        <v>1357</v>
      </c>
      <c r="L2507" t="s">
        <v>1357</v>
      </c>
    </row>
    <row r="2508" spans="8:12">
      <c r="H2508" t="s">
        <v>9802</v>
      </c>
      <c r="I2508" t="s">
        <v>1357</v>
      </c>
      <c r="J2508" t="s">
        <v>1357</v>
      </c>
      <c r="K2508" t="s">
        <v>1357</v>
      </c>
      <c r="L2508" t="s">
        <v>1357</v>
      </c>
    </row>
    <row r="2509" spans="8:12">
      <c r="H2509" t="s">
        <v>9803</v>
      </c>
      <c r="I2509" t="s">
        <v>1357</v>
      </c>
      <c r="J2509" t="s">
        <v>1357</v>
      </c>
      <c r="K2509" t="s">
        <v>1357</v>
      </c>
      <c r="L2509" t="s">
        <v>1357</v>
      </c>
    </row>
    <row r="2510" spans="8:12">
      <c r="H2510" t="s">
        <v>9804</v>
      </c>
      <c r="I2510" t="s">
        <v>1357</v>
      </c>
      <c r="J2510" t="s">
        <v>1357</v>
      </c>
      <c r="K2510" t="s">
        <v>1357</v>
      </c>
      <c r="L2510" t="s">
        <v>1357</v>
      </c>
    </row>
    <row r="2511" spans="8:12">
      <c r="H2511" t="s">
        <v>9805</v>
      </c>
      <c r="I2511" t="s">
        <v>1357</v>
      </c>
      <c r="J2511" t="s">
        <v>1357</v>
      </c>
      <c r="K2511" t="s">
        <v>1357</v>
      </c>
      <c r="L2511" t="s">
        <v>1357</v>
      </c>
    </row>
    <row r="2512" spans="8:12">
      <c r="H2512" t="s">
        <v>9806</v>
      </c>
      <c r="I2512" t="s">
        <v>1357</v>
      </c>
      <c r="J2512" t="s">
        <v>1357</v>
      </c>
      <c r="K2512" t="s">
        <v>1357</v>
      </c>
      <c r="L2512" t="s">
        <v>1357</v>
      </c>
    </row>
    <row r="2513" spans="6:12">
      <c r="H2513" t="s">
        <v>9807</v>
      </c>
      <c r="I2513" t="s">
        <v>1357</v>
      </c>
      <c r="J2513" t="s">
        <v>1357</v>
      </c>
      <c r="K2513" t="s">
        <v>1357</v>
      </c>
      <c r="L2513" t="s">
        <v>1357</v>
      </c>
    </row>
    <row r="2514" spans="6:12">
      <c r="H2514" t="s">
        <v>9808</v>
      </c>
      <c r="I2514" t="s">
        <v>1357</v>
      </c>
      <c r="J2514" t="s">
        <v>1357</v>
      </c>
      <c r="K2514" t="s">
        <v>1357</v>
      </c>
      <c r="L2514" t="s">
        <v>1357</v>
      </c>
    </row>
    <row r="2515" spans="6:12">
      <c r="H2515" t="s">
        <v>9809</v>
      </c>
      <c r="I2515" t="s">
        <v>1357</v>
      </c>
      <c r="J2515" t="s">
        <v>1357</v>
      </c>
      <c r="K2515" t="s">
        <v>1357</v>
      </c>
      <c r="L2515" t="s">
        <v>1357</v>
      </c>
    </row>
    <row r="2516" spans="6:12">
      <c r="H2516" t="s">
        <v>9810</v>
      </c>
      <c r="I2516" t="s">
        <v>1357</v>
      </c>
      <c r="J2516" t="s">
        <v>1357</v>
      </c>
      <c r="K2516" t="s">
        <v>1357</v>
      </c>
      <c r="L2516" t="s">
        <v>1357</v>
      </c>
    </row>
    <row r="2517" spans="6:12">
      <c r="F2517" t="s">
        <v>7675</v>
      </c>
      <c r="G2517" t="s">
        <v>8317</v>
      </c>
      <c r="H2517" t="s">
        <v>9811</v>
      </c>
      <c r="I2517" t="s">
        <v>1357</v>
      </c>
      <c r="J2517" t="s">
        <v>1357</v>
      </c>
      <c r="K2517" t="s">
        <v>1357</v>
      </c>
      <c r="L2517" t="s">
        <v>1357</v>
      </c>
    </row>
    <row r="2518" spans="6:12">
      <c r="H2518" t="s">
        <v>9812</v>
      </c>
      <c r="I2518" t="s">
        <v>1357</v>
      </c>
      <c r="J2518" t="s">
        <v>1357</v>
      </c>
      <c r="K2518" t="s">
        <v>1357</v>
      </c>
      <c r="L2518" t="s">
        <v>1357</v>
      </c>
    </row>
    <row r="2519" spans="6:12">
      <c r="F2519" t="s">
        <v>7676</v>
      </c>
      <c r="G2519" t="s">
        <v>8318</v>
      </c>
      <c r="H2519" t="s">
        <v>9813</v>
      </c>
      <c r="I2519" t="s">
        <v>1357</v>
      </c>
      <c r="J2519" t="s">
        <v>1357</v>
      </c>
      <c r="K2519" t="s">
        <v>1357</v>
      </c>
      <c r="L2519" t="s">
        <v>1357</v>
      </c>
    </row>
    <row r="2520" spans="6:12">
      <c r="H2520" t="s">
        <v>9814</v>
      </c>
      <c r="I2520" t="s">
        <v>1357</v>
      </c>
      <c r="J2520" t="s">
        <v>1357</v>
      </c>
      <c r="K2520" t="s">
        <v>1357</v>
      </c>
      <c r="L2520" t="s">
        <v>1357</v>
      </c>
    </row>
    <row r="2521" spans="6:12">
      <c r="F2521" t="s">
        <v>7555</v>
      </c>
      <c r="G2521" t="s">
        <v>7734</v>
      </c>
      <c r="H2521" t="s">
        <v>9815</v>
      </c>
      <c r="I2521" t="s">
        <v>1357</v>
      </c>
      <c r="J2521" t="s">
        <v>1357</v>
      </c>
      <c r="K2521" t="s">
        <v>1357</v>
      </c>
      <c r="L2521" t="s">
        <v>1357</v>
      </c>
    </row>
    <row r="2522" spans="6:12">
      <c r="H2522" t="s">
        <v>9816</v>
      </c>
      <c r="I2522" t="s">
        <v>1357</v>
      </c>
      <c r="J2522" t="s">
        <v>1357</v>
      </c>
      <c r="K2522" t="s">
        <v>1357</v>
      </c>
      <c r="L2522" t="s">
        <v>1357</v>
      </c>
    </row>
    <row r="2523" spans="6:12">
      <c r="H2523" t="s">
        <v>9817</v>
      </c>
      <c r="I2523" t="s">
        <v>1357</v>
      </c>
      <c r="J2523" t="s">
        <v>1357</v>
      </c>
      <c r="K2523" t="s">
        <v>1357</v>
      </c>
      <c r="L2523" t="s">
        <v>1357</v>
      </c>
    </row>
    <row r="2524" spans="6:12">
      <c r="H2524" t="s">
        <v>9818</v>
      </c>
      <c r="I2524" t="s">
        <v>1357</v>
      </c>
      <c r="J2524" t="s">
        <v>1357</v>
      </c>
      <c r="K2524" t="s">
        <v>1357</v>
      </c>
      <c r="L2524" t="s">
        <v>1357</v>
      </c>
    </row>
    <row r="2525" spans="6:12">
      <c r="H2525" t="s">
        <v>9819</v>
      </c>
      <c r="I2525" t="s">
        <v>1357</v>
      </c>
      <c r="J2525" t="s">
        <v>1357</v>
      </c>
      <c r="K2525" t="s">
        <v>1357</v>
      </c>
      <c r="L2525" t="s">
        <v>1357</v>
      </c>
    </row>
    <row r="2526" spans="6:12">
      <c r="H2526" t="s">
        <v>9820</v>
      </c>
      <c r="I2526" t="s">
        <v>1357</v>
      </c>
      <c r="J2526" t="s">
        <v>1357</v>
      </c>
      <c r="K2526" t="s">
        <v>1357</v>
      </c>
      <c r="L2526" t="s">
        <v>1357</v>
      </c>
    </row>
    <row r="2527" spans="6:12">
      <c r="F2527" t="s">
        <v>7677</v>
      </c>
      <c r="G2527" t="s">
        <v>8319</v>
      </c>
      <c r="H2527" t="s">
        <v>1214</v>
      </c>
      <c r="I2527" t="s">
        <v>1357</v>
      </c>
      <c r="J2527" t="s">
        <v>1357</v>
      </c>
      <c r="K2527" t="s">
        <v>1357</v>
      </c>
      <c r="L2527" t="s">
        <v>1357</v>
      </c>
    </row>
    <row r="2528" spans="6:12">
      <c r="F2528" t="s">
        <v>7678</v>
      </c>
      <c r="G2528" t="s">
        <v>8320</v>
      </c>
      <c r="H2528" t="s">
        <v>9821</v>
      </c>
      <c r="I2528" t="s">
        <v>1357</v>
      </c>
      <c r="J2528" t="s">
        <v>1357</v>
      </c>
      <c r="K2528" t="s">
        <v>1357</v>
      </c>
      <c r="L2528" t="s">
        <v>1357</v>
      </c>
    </row>
    <row r="2529" spans="6:12">
      <c r="H2529" t="s">
        <v>9822</v>
      </c>
      <c r="I2529" t="s">
        <v>1357</v>
      </c>
      <c r="J2529" t="s">
        <v>1357</v>
      </c>
      <c r="K2529" t="s">
        <v>1357</v>
      </c>
      <c r="L2529" t="s">
        <v>1357</v>
      </c>
    </row>
    <row r="2530" spans="6:12">
      <c r="H2530" t="s">
        <v>8765</v>
      </c>
      <c r="I2530" t="s">
        <v>1357</v>
      </c>
      <c r="J2530" t="s">
        <v>1357</v>
      </c>
      <c r="K2530" t="s">
        <v>1357</v>
      </c>
      <c r="L2530" t="s">
        <v>1357</v>
      </c>
    </row>
    <row r="2531" spans="6:12">
      <c r="F2531" t="s">
        <v>7679</v>
      </c>
      <c r="G2531" t="s">
        <v>7804</v>
      </c>
      <c r="H2531" t="s">
        <v>8677</v>
      </c>
      <c r="I2531" t="s">
        <v>1357</v>
      </c>
      <c r="J2531" t="s">
        <v>1357</v>
      </c>
      <c r="K2531" t="s">
        <v>1357</v>
      </c>
      <c r="L2531" t="s">
        <v>1357</v>
      </c>
    </row>
    <row r="2532" spans="6:12">
      <c r="H2532" t="s">
        <v>9823</v>
      </c>
      <c r="I2532" t="s">
        <v>1357</v>
      </c>
      <c r="J2532" t="s">
        <v>1357</v>
      </c>
      <c r="K2532" t="s">
        <v>1357</v>
      </c>
      <c r="L2532" t="s">
        <v>1357</v>
      </c>
    </row>
    <row r="2533" spans="6:12">
      <c r="H2533" t="s">
        <v>9824</v>
      </c>
      <c r="I2533" t="s">
        <v>1357</v>
      </c>
      <c r="J2533" t="s">
        <v>1357</v>
      </c>
      <c r="K2533" t="s">
        <v>1357</v>
      </c>
      <c r="L2533" t="s">
        <v>1357</v>
      </c>
    </row>
    <row r="2534" spans="6:12">
      <c r="H2534" t="s">
        <v>9825</v>
      </c>
      <c r="I2534" t="s">
        <v>1357</v>
      </c>
      <c r="J2534" t="s">
        <v>1357</v>
      </c>
      <c r="K2534" t="s">
        <v>1357</v>
      </c>
      <c r="L2534" t="s">
        <v>1357</v>
      </c>
    </row>
    <row r="2535" spans="6:12">
      <c r="H2535" t="s">
        <v>9826</v>
      </c>
      <c r="I2535" t="s">
        <v>1357</v>
      </c>
      <c r="J2535" t="s">
        <v>1357</v>
      </c>
      <c r="K2535" t="s">
        <v>1357</v>
      </c>
      <c r="L2535" t="s">
        <v>1357</v>
      </c>
    </row>
    <row r="2536" spans="6:12">
      <c r="H2536" t="s">
        <v>9827</v>
      </c>
      <c r="I2536" t="s">
        <v>1357</v>
      </c>
      <c r="J2536" t="s">
        <v>1357</v>
      </c>
      <c r="K2536" t="s">
        <v>1357</v>
      </c>
      <c r="L2536" t="s">
        <v>1357</v>
      </c>
    </row>
    <row r="2537" spans="6:12">
      <c r="H2537" t="s">
        <v>9828</v>
      </c>
      <c r="I2537" t="s">
        <v>1357</v>
      </c>
      <c r="J2537" t="s">
        <v>1357</v>
      </c>
      <c r="K2537" t="s">
        <v>1357</v>
      </c>
      <c r="L2537" t="s">
        <v>1357</v>
      </c>
    </row>
    <row r="2538" spans="6:12">
      <c r="F2538" t="s">
        <v>7680</v>
      </c>
      <c r="G2538" t="s">
        <v>8321</v>
      </c>
      <c r="H2538" t="s">
        <v>9829</v>
      </c>
      <c r="I2538" t="s">
        <v>1357</v>
      </c>
      <c r="J2538" t="s">
        <v>1357</v>
      </c>
      <c r="K2538" t="s">
        <v>1357</v>
      </c>
      <c r="L2538" t="s">
        <v>1357</v>
      </c>
    </row>
    <row r="2539" spans="6:12">
      <c r="H2539" t="s">
        <v>9830</v>
      </c>
      <c r="I2539" t="s">
        <v>1357</v>
      </c>
      <c r="J2539" t="s">
        <v>1357</v>
      </c>
      <c r="K2539" t="s">
        <v>1357</v>
      </c>
      <c r="L2539" t="s">
        <v>1357</v>
      </c>
    </row>
    <row r="2540" spans="6:12">
      <c r="H2540" t="s">
        <v>9831</v>
      </c>
      <c r="I2540" t="s">
        <v>1357</v>
      </c>
      <c r="J2540" t="s">
        <v>1357</v>
      </c>
      <c r="K2540" t="s">
        <v>1357</v>
      </c>
      <c r="L2540" t="s">
        <v>1357</v>
      </c>
    </row>
    <row r="2541" spans="6:12">
      <c r="F2541" t="s">
        <v>7681</v>
      </c>
      <c r="G2541" t="s">
        <v>7821</v>
      </c>
      <c r="H2541" t="s">
        <v>8556</v>
      </c>
      <c r="I2541" t="s">
        <v>1357</v>
      </c>
      <c r="J2541" t="s">
        <v>1357</v>
      </c>
      <c r="K2541" t="s">
        <v>1357</v>
      </c>
      <c r="L2541" t="s">
        <v>1357</v>
      </c>
    </row>
    <row r="2542" spans="6:12">
      <c r="F2542" t="s">
        <v>7682</v>
      </c>
      <c r="G2542" t="s">
        <v>8322</v>
      </c>
      <c r="H2542" t="s">
        <v>899</v>
      </c>
      <c r="I2542" t="s">
        <v>1357</v>
      </c>
      <c r="J2542" t="s">
        <v>1357</v>
      </c>
      <c r="K2542" t="s">
        <v>1357</v>
      </c>
      <c r="L2542" t="s">
        <v>1357</v>
      </c>
    </row>
    <row r="2543" spans="6:12">
      <c r="F2543" t="s">
        <v>7683</v>
      </c>
      <c r="G2543" t="s">
        <v>8323</v>
      </c>
      <c r="H2543" t="s">
        <v>9811</v>
      </c>
      <c r="I2543" t="s">
        <v>1357</v>
      </c>
      <c r="J2543" t="s">
        <v>1357</v>
      </c>
      <c r="K2543" t="s">
        <v>1357</v>
      </c>
      <c r="L2543" t="s">
        <v>1357</v>
      </c>
    </row>
    <row r="2544" spans="6:12">
      <c r="H2544" t="s">
        <v>9832</v>
      </c>
      <c r="I2544" t="s">
        <v>1357</v>
      </c>
      <c r="J2544" t="s">
        <v>1357</v>
      </c>
      <c r="K2544" t="s">
        <v>1357</v>
      </c>
      <c r="L2544" t="s">
        <v>1357</v>
      </c>
    </row>
    <row r="2545" spans="6:12">
      <c r="H2545" t="s">
        <v>9833</v>
      </c>
      <c r="I2545" t="s">
        <v>1357</v>
      </c>
      <c r="J2545" t="s">
        <v>1357</v>
      </c>
      <c r="K2545" t="s">
        <v>1357</v>
      </c>
      <c r="L2545" t="s">
        <v>1357</v>
      </c>
    </row>
    <row r="2546" spans="6:12">
      <c r="H2546" t="s">
        <v>9834</v>
      </c>
      <c r="I2546" t="s">
        <v>1357</v>
      </c>
      <c r="J2546" t="s">
        <v>1357</v>
      </c>
      <c r="K2546" t="s">
        <v>1357</v>
      </c>
      <c r="L2546" t="s">
        <v>1357</v>
      </c>
    </row>
    <row r="2547" spans="6:12">
      <c r="F2547" t="s">
        <v>7684</v>
      </c>
      <c r="G2547" t="s">
        <v>7707</v>
      </c>
      <c r="H2547" t="s">
        <v>9835</v>
      </c>
      <c r="I2547" t="s">
        <v>1357</v>
      </c>
      <c r="J2547" t="s">
        <v>1357</v>
      </c>
      <c r="K2547" t="s">
        <v>1357</v>
      </c>
      <c r="L2547" t="s">
        <v>1357</v>
      </c>
    </row>
    <row r="2548" spans="6:12">
      <c r="H2548" t="s">
        <v>9836</v>
      </c>
      <c r="I2548" t="s">
        <v>1357</v>
      </c>
      <c r="J2548" t="s">
        <v>1357</v>
      </c>
      <c r="K2548" t="s">
        <v>1357</v>
      </c>
      <c r="L2548" t="s">
        <v>1357</v>
      </c>
    </row>
    <row r="2549" spans="6:12">
      <c r="H2549" t="s">
        <v>9837</v>
      </c>
      <c r="I2549" t="s">
        <v>1357</v>
      </c>
      <c r="J2549" t="s">
        <v>1357</v>
      </c>
      <c r="K2549" t="s">
        <v>1357</v>
      </c>
      <c r="L2549" t="s">
        <v>1357</v>
      </c>
    </row>
    <row r="2550" spans="6:12">
      <c r="H2550" t="s">
        <v>9838</v>
      </c>
      <c r="I2550" t="s">
        <v>1357</v>
      </c>
      <c r="J2550" t="s">
        <v>1357</v>
      </c>
      <c r="K2550" t="s">
        <v>1357</v>
      </c>
      <c r="L2550" t="s">
        <v>1357</v>
      </c>
    </row>
    <row r="2551" spans="6:12">
      <c r="H2551" t="s">
        <v>9839</v>
      </c>
      <c r="I2551" t="s">
        <v>1357</v>
      </c>
      <c r="J2551" t="s">
        <v>1357</v>
      </c>
      <c r="K2551" t="s">
        <v>1357</v>
      </c>
      <c r="L2551" t="s">
        <v>1357</v>
      </c>
    </row>
    <row r="2552" spans="6:12">
      <c r="H2552" t="s">
        <v>9840</v>
      </c>
      <c r="I2552" t="s">
        <v>1357</v>
      </c>
      <c r="J2552" t="s">
        <v>1357</v>
      </c>
      <c r="K2552" t="s">
        <v>1357</v>
      </c>
      <c r="L2552" t="s">
        <v>1357</v>
      </c>
    </row>
    <row r="2553" spans="6:12">
      <c r="H2553" t="s">
        <v>9841</v>
      </c>
      <c r="I2553" t="s">
        <v>1357</v>
      </c>
      <c r="J2553" t="s">
        <v>1357</v>
      </c>
      <c r="K2553" t="s">
        <v>1357</v>
      </c>
      <c r="L2553" t="s">
        <v>1357</v>
      </c>
    </row>
    <row r="2554" spans="6:12">
      <c r="H2554" t="s">
        <v>9842</v>
      </c>
      <c r="I2554" t="s">
        <v>1357</v>
      </c>
      <c r="J2554" t="s">
        <v>1357</v>
      </c>
      <c r="K2554" t="s">
        <v>1357</v>
      </c>
      <c r="L2554" t="s">
        <v>1357</v>
      </c>
    </row>
    <row r="2555" spans="6:12">
      <c r="H2555" t="s">
        <v>9843</v>
      </c>
      <c r="I2555" t="s">
        <v>1357</v>
      </c>
      <c r="J2555" t="s">
        <v>1357</v>
      </c>
      <c r="K2555" t="s">
        <v>1357</v>
      </c>
      <c r="L2555" t="s">
        <v>1357</v>
      </c>
    </row>
    <row r="2556" spans="6:12">
      <c r="H2556" t="s">
        <v>9844</v>
      </c>
      <c r="I2556" t="s">
        <v>1357</v>
      </c>
      <c r="J2556" t="s">
        <v>1357</v>
      </c>
      <c r="K2556" t="s">
        <v>1357</v>
      </c>
      <c r="L2556" t="s">
        <v>1357</v>
      </c>
    </row>
    <row r="2557" spans="6:12">
      <c r="H2557" t="s">
        <v>9845</v>
      </c>
      <c r="I2557" t="s">
        <v>1357</v>
      </c>
      <c r="J2557" t="s">
        <v>1357</v>
      </c>
      <c r="K2557" t="s">
        <v>1357</v>
      </c>
      <c r="L2557" t="s">
        <v>1357</v>
      </c>
    </row>
    <row r="2558" spans="6:12">
      <c r="H2558" t="s">
        <v>9846</v>
      </c>
      <c r="I2558" t="s">
        <v>1357</v>
      </c>
      <c r="J2558" t="s">
        <v>1357</v>
      </c>
      <c r="K2558" t="s">
        <v>1357</v>
      </c>
      <c r="L2558" t="s">
        <v>1357</v>
      </c>
    </row>
    <row r="2559" spans="6:12">
      <c r="H2559" t="s">
        <v>9847</v>
      </c>
      <c r="I2559" t="s">
        <v>1357</v>
      </c>
      <c r="J2559" t="s">
        <v>1357</v>
      </c>
      <c r="K2559" t="s">
        <v>1357</v>
      </c>
      <c r="L2559" t="s">
        <v>1357</v>
      </c>
    </row>
    <row r="2560" spans="6:12">
      <c r="H2560" t="s">
        <v>9848</v>
      </c>
      <c r="I2560" t="s">
        <v>1357</v>
      </c>
      <c r="J2560" t="s">
        <v>1357</v>
      </c>
      <c r="K2560" t="s">
        <v>1357</v>
      </c>
      <c r="L2560" t="s">
        <v>1357</v>
      </c>
    </row>
    <row r="2561" spans="6:12">
      <c r="H2561" t="s">
        <v>9849</v>
      </c>
      <c r="I2561" t="s">
        <v>1357</v>
      </c>
      <c r="J2561" t="s">
        <v>1357</v>
      </c>
      <c r="K2561" t="s">
        <v>1357</v>
      </c>
      <c r="L2561" t="s">
        <v>1357</v>
      </c>
    </row>
    <row r="2562" spans="6:12">
      <c r="H2562" t="s">
        <v>9850</v>
      </c>
      <c r="I2562" t="s">
        <v>1357</v>
      </c>
      <c r="J2562" t="s">
        <v>1357</v>
      </c>
      <c r="K2562" t="s">
        <v>1357</v>
      </c>
      <c r="L2562" t="s">
        <v>1357</v>
      </c>
    </row>
    <row r="2563" spans="6:12">
      <c r="H2563" t="s">
        <v>9851</v>
      </c>
      <c r="I2563" t="s">
        <v>1357</v>
      </c>
      <c r="J2563" t="s">
        <v>1357</v>
      </c>
      <c r="K2563" t="s">
        <v>1357</v>
      </c>
      <c r="L2563" t="s">
        <v>1357</v>
      </c>
    </row>
    <row r="2564" spans="6:12">
      <c r="H2564" t="s">
        <v>9852</v>
      </c>
      <c r="I2564" t="s">
        <v>1357</v>
      </c>
      <c r="J2564" t="s">
        <v>1357</v>
      </c>
      <c r="K2564" t="s">
        <v>1357</v>
      </c>
      <c r="L2564" t="s">
        <v>1357</v>
      </c>
    </row>
    <row r="2565" spans="6:12">
      <c r="H2565" t="s">
        <v>9853</v>
      </c>
      <c r="I2565" t="s">
        <v>1357</v>
      </c>
      <c r="J2565" t="s">
        <v>1357</v>
      </c>
      <c r="K2565" t="s">
        <v>1357</v>
      </c>
      <c r="L2565" t="s">
        <v>1357</v>
      </c>
    </row>
    <row r="2566" spans="6:12">
      <c r="H2566" t="s">
        <v>9854</v>
      </c>
      <c r="I2566" t="s">
        <v>1357</v>
      </c>
      <c r="J2566" t="s">
        <v>1357</v>
      </c>
      <c r="K2566" t="s">
        <v>1357</v>
      </c>
      <c r="L2566" t="s">
        <v>1357</v>
      </c>
    </row>
    <row r="2567" spans="6:12">
      <c r="H2567" t="s">
        <v>9855</v>
      </c>
      <c r="I2567" t="s">
        <v>1357</v>
      </c>
      <c r="J2567" t="s">
        <v>1357</v>
      </c>
      <c r="K2567" t="s">
        <v>1357</v>
      </c>
      <c r="L2567" t="s">
        <v>1357</v>
      </c>
    </row>
    <row r="2568" spans="6:12">
      <c r="H2568" t="s">
        <v>9856</v>
      </c>
      <c r="I2568" t="s">
        <v>1357</v>
      </c>
      <c r="J2568" t="s">
        <v>1357</v>
      </c>
      <c r="K2568" t="s">
        <v>1357</v>
      </c>
      <c r="L2568" t="s">
        <v>1357</v>
      </c>
    </row>
    <row r="2569" spans="6:12">
      <c r="H2569" t="s">
        <v>9857</v>
      </c>
      <c r="I2569" t="s">
        <v>1357</v>
      </c>
      <c r="J2569" t="s">
        <v>1357</v>
      </c>
      <c r="K2569" t="s">
        <v>1357</v>
      </c>
      <c r="L2569" t="s">
        <v>1357</v>
      </c>
    </row>
    <row r="2570" spans="6:12">
      <c r="H2570" t="s">
        <v>9858</v>
      </c>
      <c r="I2570" t="s">
        <v>1357</v>
      </c>
      <c r="J2570" t="s">
        <v>1357</v>
      </c>
      <c r="K2570" t="s">
        <v>1357</v>
      </c>
      <c r="L2570" t="s">
        <v>1357</v>
      </c>
    </row>
    <row r="2571" spans="6:12">
      <c r="H2571" t="s">
        <v>9859</v>
      </c>
      <c r="I2571" t="s">
        <v>1357</v>
      </c>
      <c r="J2571" t="s">
        <v>1357</v>
      </c>
      <c r="K2571" t="s">
        <v>1357</v>
      </c>
      <c r="L2571" t="s">
        <v>1357</v>
      </c>
    </row>
    <row r="2572" spans="6:12">
      <c r="H2572" t="s">
        <v>9860</v>
      </c>
      <c r="I2572" t="s">
        <v>1357</v>
      </c>
      <c r="J2572" t="s">
        <v>1357</v>
      </c>
      <c r="K2572" t="s">
        <v>1357</v>
      </c>
      <c r="L2572" t="s">
        <v>1357</v>
      </c>
    </row>
    <row r="2573" spans="6:12">
      <c r="F2573" t="s">
        <v>7685</v>
      </c>
      <c r="G2573" t="s">
        <v>7822</v>
      </c>
      <c r="H2573" t="s">
        <v>795</v>
      </c>
      <c r="I2573" t="s">
        <v>1357</v>
      </c>
      <c r="J2573" t="s">
        <v>1357</v>
      </c>
      <c r="K2573" t="s">
        <v>1357</v>
      </c>
      <c r="L2573" t="s">
        <v>1357</v>
      </c>
    </row>
    <row r="2574" spans="6:12">
      <c r="H2574" t="s">
        <v>9861</v>
      </c>
      <c r="I2574" t="s">
        <v>1357</v>
      </c>
      <c r="J2574" t="s">
        <v>1357</v>
      </c>
      <c r="K2574" t="s">
        <v>1357</v>
      </c>
      <c r="L2574" t="s">
        <v>1357</v>
      </c>
    </row>
    <row r="2575" spans="6:12">
      <c r="H2575" t="s">
        <v>8626</v>
      </c>
      <c r="I2575" t="s">
        <v>1357</v>
      </c>
      <c r="J2575" t="s">
        <v>1357</v>
      </c>
      <c r="K2575" t="s">
        <v>1357</v>
      </c>
      <c r="L2575" t="s">
        <v>1357</v>
      </c>
    </row>
    <row r="2576" spans="6:12">
      <c r="H2576" t="s">
        <v>1693</v>
      </c>
      <c r="I2576" t="s">
        <v>1357</v>
      </c>
      <c r="J2576" t="s">
        <v>1357</v>
      </c>
      <c r="K2576" t="s">
        <v>1357</v>
      </c>
      <c r="L2576" t="s">
        <v>1357</v>
      </c>
    </row>
    <row r="2577" spans="1:13">
      <c r="H2577" t="s">
        <v>9862</v>
      </c>
      <c r="I2577" t="s">
        <v>1357</v>
      </c>
      <c r="J2577" t="s">
        <v>1357</v>
      </c>
      <c r="K2577" t="s">
        <v>1357</v>
      </c>
      <c r="L2577" t="s">
        <v>1357</v>
      </c>
    </row>
    <row r="2578" spans="1:13">
      <c r="H2578" t="s">
        <v>9863</v>
      </c>
      <c r="I2578" t="s">
        <v>1357</v>
      </c>
      <c r="J2578" t="s">
        <v>1357</v>
      </c>
      <c r="K2578" t="s">
        <v>1357</v>
      </c>
      <c r="L2578" t="s">
        <v>1357</v>
      </c>
    </row>
    <row r="2579" spans="1:13">
      <c r="H2579" t="s">
        <v>9864</v>
      </c>
      <c r="I2579" t="s">
        <v>1357</v>
      </c>
      <c r="J2579" t="s">
        <v>1357</v>
      </c>
      <c r="K2579" t="s">
        <v>1357</v>
      </c>
      <c r="L2579" t="s">
        <v>1357</v>
      </c>
    </row>
    <row r="2580" spans="1:13">
      <c r="H2580" t="s">
        <v>9865</v>
      </c>
      <c r="I2580" t="s">
        <v>1357</v>
      </c>
      <c r="J2580" t="s">
        <v>1357</v>
      </c>
      <c r="K2580" t="s">
        <v>1357</v>
      </c>
      <c r="L2580" t="s">
        <v>1357</v>
      </c>
    </row>
    <row r="2581" spans="1:13">
      <c r="H2581" t="s">
        <v>9866</v>
      </c>
      <c r="I2581" t="s">
        <v>1357</v>
      </c>
      <c r="J2581" t="s">
        <v>1357</v>
      </c>
      <c r="K2581" t="s">
        <v>1357</v>
      </c>
      <c r="L2581" t="s">
        <v>1357</v>
      </c>
    </row>
    <row r="2582" spans="1:13">
      <c r="H2582" t="s">
        <v>9867</v>
      </c>
      <c r="I2582" t="s">
        <v>1357</v>
      </c>
      <c r="J2582" t="s">
        <v>1357</v>
      </c>
      <c r="K2582" t="s">
        <v>1357</v>
      </c>
      <c r="L2582" t="s">
        <v>1357</v>
      </c>
    </row>
    <row r="2583" spans="1:13">
      <c r="H2583" t="s">
        <v>9868</v>
      </c>
      <c r="I2583" t="s">
        <v>1357</v>
      </c>
      <c r="J2583" t="s">
        <v>1357</v>
      </c>
      <c r="K2583" t="s">
        <v>1357</v>
      </c>
      <c r="L2583" t="s">
        <v>1357</v>
      </c>
    </row>
    <row r="2584" spans="1:13">
      <c r="H2584" t="s">
        <v>9869</v>
      </c>
      <c r="I2584" t="s">
        <v>1357</v>
      </c>
      <c r="J2584" t="s">
        <v>1357</v>
      </c>
      <c r="K2584" t="s">
        <v>1357</v>
      </c>
      <c r="L2584" t="s">
        <v>1357</v>
      </c>
    </row>
    <row r="2585" spans="1:13">
      <c r="A2585" t="s">
        <v>6471</v>
      </c>
      <c r="B2585">
        <f>HYPERLINK("https://github.com/pmd/pmd/commit/937eb90a705bf7a2e009c4a61ef229e2709e98fa", "937eb90a705bf7a2e009c4a61ef229e2709e98fa")</f>
        <v>0</v>
      </c>
      <c r="C2585">
        <f>HYPERLINK("https://github.com/pmd/pmd/commit/b769594fc76bbbb26530928721d827e60e4e0756", "b769594fc76bbbb26530928721d827e60e4e0756")</f>
        <v>0</v>
      </c>
      <c r="D2585" t="s">
        <v>6514</v>
      </c>
      <c r="E2585" t="s">
        <v>6932</v>
      </c>
      <c r="F2585" t="s">
        <v>7686</v>
      </c>
      <c r="G2585" t="s">
        <v>8324</v>
      </c>
      <c r="H2585" t="s">
        <v>9870</v>
      </c>
      <c r="I2585" t="s">
        <v>1357</v>
      </c>
      <c r="J2585" t="s">
        <v>1357</v>
      </c>
      <c r="K2585" t="s">
        <v>1357</v>
      </c>
      <c r="L2585" t="s">
        <v>1357</v>
      </c>
    </row>
    <row r="2586" spans="1:13">
      <c r="H2586" t="s">
        <v>9771</v>
      </c>
      <c r="I2586" t="s">
        <v>1357</v>
      </c>
      <c r="J2586" t="s">
        <v>1357</v>
      </c>
      <c r="K2586" t="s">
        <v>1357</v>
      </c>
      <c r="L2586" t="s">
        <v>1357</v>
      </c>
    </row>
    <row r="2587" spans="1:13">
      <c r="H2587" t="s">
        <v>9772</v>
      </c>
      <c r="I2587" t="s">
        <v>1357</v>
      </c>
      <c r="J2587" t="s">
        <v>1357</v>
      </c>
      <c r="K2587" t="s">
        <v>1357</v>
      </c>
      <c r="L2587" t="s">
        <v>1357</v>
      </c>
      <c r="M2587" t="s">
        <v>1361</v>
      </c>
    </row>
    <row r="2588" spans="1:13">
      <c r="H2588" t="s">
        <v>9773</v>
      </c>
      <c r="I2588" t="s">
        <v>1357</v>
      </c>
      <c r="J2588" t="s">
        <v>1357</v>
      </c>
      <c r="K2588" t="s">
        <v>1357</v>
      </c>
      <c r="L2588" t="s">
        <v>1357</v>
      </c>
    </row>
    <row r="2589" spans="1:13">
      <c r="H2589" t="s">
        <v>9774</v>
      </c>
      <c r="I2589" t="s">
        <v>1357</v>
      </c>
      <c r="J2589" t="s">
        <v>1357</v>
      </c>
      <c r="K2589" t="s">
        <v>1357</v>
      </c>
      <c r="L2589" t="s">
        <v>1357</v>
      </c>
    </row>
    <row r="2590" spans="1:13">
      <c r="A2590" t="s">
        <v>6472</v>
      </c>
      <c r="B2590">
        <f>HYPERLINK("https://github.com/pmd/pmd/commit/bc19d2cc406ab626f75a1150baeaab07f0b909fd", "bc19d2cc406ab626f75a1150baeaab07f0b909fd")</f>
        <v>0</v>
      </c>
      <c r="C2590">
        <f>HYPERLINK("https://github.com/pmd/pmd/commit/9d816d28b979006e8c6454c03932beb754b079bb", "9d816d28b979006e8c6454c03932beb754b079bb")</f>
        <v>0</v>
      </c>
      <c r="D2590" t="s">
        <v>6509</v>
      </c>
      <c r="E2590" t="s">
        <v>6933</v>
      </c>
      <c r="F2590" t="s">
        <v>7687</v>
      </c>
      <c r="G2590" t="s">
        <v>8325</v>
      </c>
      <c r="H2590" t="s">
        <v>9871</v>
      </c>
      <c r="I2590" t="s">
        <v>1357</v>
      </c>
      <c r="J2590" t="s">
        <v>1357</v>
      </c>
      <c r="K2590" t="s">
        <v>1357</v>
      </c>
      <c r="L2590" t="s">
        <v>1357</v>
      </c>
    </row>
    <row r="2591" spans="1:13">
      <c r="F2591" t="s">
        <v>7567</v>
      </c>
      <c r="G2591" t="s">
        <v>7786</v>
      </c>
      <c r="H2591" t="s">
        <v>9451</v>
      </c>
      <c r="I2591" t="s">
        <v>1357</v>
      </c>
      <c r="J2591" t="s">
        <v>1357</v>
      </c>
      <c r="K2591" t="s">
        <v>1357</v>
      </c>
      <c r="L2591" t="s">
        <v>1357</v>
      </c>
    </row>
    <row r="2592" spans="1:13">
      <c r="H2592" t="s">
        <v>9452</v>
      </c>
      <c r="I2592" t="s">
        <v>1357</v>
      </c>
      <c r="J2592" t="s">
        <v>1357</v>
      </c>
      <c r="K2592" t="s">
        <v>1357</v>
      </c>
      <c r="L2592" t="s">
        <v>1357</v>
      </c>
    </row>
    <row r="2593" spans="1:14">
      <c r="H2593" t="s">
        <v>9453</v>
      </c>
      <c r="I2593" t="s">
        <v>1357</v>
      </c>
      <c r="J2593" t="s">
        <v>1357</v>
      </c>
      <c r="K2593" t="s">
        <v>1357</v>
      </c>
      <c r="L2593" t="s">
        <v>1357</v>
      </c>
    </row>
    <row r="2594" spans="1:14">
      <c r="A2594" t="s">
        <v>6473</v>
      </c>
      <c r="B2594">
        <f>HYPERLINK("https://github.com/pmd/pmd/commit/b7c3e47591a5d7d11a8cce6061e34ae546da78b5", "b7c3e47591a5d7d11a8cce6061e34ae546da78b5")</f>
        <v>0</v>
      </c>
      <c r="C2594">
        <f>HYPERLINK("https://github.com/pmd/pmd/commit/bc19d2cc406ab626f75a1150baeaab07f0b909fd", "bc19d2cc406ab626f75a1150baeaab07f0b909fd")</f>
        <v>0</v>
      </c>
      <c r="D2594" t="s">
        <v>6509</v>
      </c>
      <c r="E2594" t="s">
        <v>6934</v>
      </c>
      <c r="F2594" t="s">
        <v>7687</v>
      </c>
      <c r="G2594" t="s">
        <v>8325</v>
      </c>
      <c r="H2594" t="s">
        <v>9872</v>
      </c>
      <c r="I2594" t="s">
        <v>1359</v>
      </c>
      <c r="J2594" t="s">
        <v>1358</v>
      </c>
      <c r="K2594" t="s">
        <v>1357</v>
      </c>
      <c r="L2594" t="s">
        <v>1358</v>
      </c>
      <c r="N2594" t="s">
        <v>9974</v>
      </c>
    </row>
    <row r="2595" spans="1:14">
      <c r="A2595" t="s">
        <v>6474</v>
      </c>
      <c r="B2595">
        <f>HYPERLINK("https://github.com/pmd/pmd/commit/5485794da51bfbe2f4ed039ade630eb4b4a26f90", "5485794da51bfbe2f4ed039ade630eb4b4a26f90")</f>
        <v>0</v>
      </c>
      <c r="C2595">
        <f>HYPERLINK("https://github.com/pmd/pmd/commit/13e2b3342c42dedae00353c78b4109a67b9be18f", "13e2b3342c42dedae00353c78b4109a67b9be18f")</f>
        <v>0</v>
      </c>
      <c r="D2595" t="s">
        <v>6509</v>
      </c>
      <c r="E2595" t="s">
        <v>6935</v>
      </c>
      <c r="F2595" t="s">
        <v>7688</v>
      </c>
      <c r="G2595" t="s">
        <v>8326</v>
      </c>
      <c r="H2595" t="s">
        <v>9873</v>
      </c>
      <c r="I2595" t="s">
        <v>1357</v>
      </c>
      <c r="J2595" t="s">
        <v>1357</v>
      </c>
      <c r="K2595" t="s">
        <v>1357</v>
      </c>
      <c r="L2595" t="s">
        <v>1357</v>
      </c>
    </row>
    <row r="2596" spans="1:14">
      <c r="H2596" t="s">
        <v>9874</v>
      </c>
      <c r="I2596" t="s">
        <v>1357</v>
      </c>
      <c r="J2596" t="s">
        <v>1357</v>
      </c>
      <c r="K2596" t="s">
        <v>1357</v>
      </c>
      <c r="L2596" t="s">
        <v>1357</v>
      </c>
    </row>
    <row r="2597" spans="1:14">
      <c r="A2597" t="s">
        <v>6475</v>
      </c>
      <c r="B2597">
        <f>HYPERLINK("https://github.com/pmd/pmd/commit/b6ac0aadee31944fa1bec0f9c2aa7eab2f1e38c9", "b6ac0aadee31944fa1bec0f9c2aa7eab2f1e38c9")</f>
        <v>0</v>
      </c>
      <c r="C2597">
        <f>HYPERLINK("https://github.com/pmd/pmd/commit/32a02cecaafab30deb61a30f187ffb8d3b87fc15", "32a02cecaafab30deb61a30f187ffb8d3b87fc15")</f>
        <v>0</v>
      </c>
      <c r="D2597" t="s">
        <v>6509</v>
      </c>
      <c r="E2597" t="s">
        <v>6936</v>
      </c>
      <c r="F2597" t="s">
        <v>7567</v>
      </c>
      <c r="G2597" t="s">
        <v>7786</v>
      </c>
      <c r="H2597" t="s">
        <v>9444</v>
      </c>
      <c r="I2597" t="s">
        <v>1357</v>
      </c>
      <c r="J2597" t="s">
        <v>1357</v>
      </c>
      <c r="K2597" t="s">
        <v>1357</v>
      </c>
      <c r="L2597" t="s">
        <v>1357</v>
      </c>
    </row>
    <row r="2598" spans="1:14">
      <c r="H2598" t="s">
        <v>9445</v>
      </c>
      <c r="I2598" t="s">
        <v>1357</v>
      </c>
      <c r="J2598" t="s">
        <v>1357</v>
      </c>
      <c r="K2598" t="s">
        <v>1357</v>
      </c>
      <c r="L2598" t="s">
        <v>1357</v>
      </c>
    </row>
    <row r="2599" spans="1:14">
      <c r="H2599" t="s">
        <v>9446</v>
      </c>
      <c r="I2599" t="s">
        <v>1357</v>
      </c>
      <c r="J2599" t="s">
        <v>1357</v>
      </c>
      <c r="K2599" t="s">
        <v>1357</v>
      </c>
      <c r="L2599" t="s">
        <v>1357</v>
      </c>
    </row>
    <row r="2600" spans="1:14">
      <c r="H2600" t="s">
        <v>9447</v>
      </c>
      <c r="I2600" t="s">
        <v>1357</v>
      </c>
      <c r="J2600" t="s">
        <v>1357</v>
      </c>
      <c r="K2600" t="s">
        <v>1357</v>
      </c>
      <c r="L2600" t="s">
        <v>1357</v>
      </c>
    </row>
    <row r="2601" spans="1:14">
      <c r="H2601" t="s">
        <v>9448</v>
      </c>
      <c r="I2601" t="s">
        <v>1357</v>
      </c>
      <c r="J2601" t="s">
        <v>1357</v>
      </c>
      <c r="K2601" t="s">
        <v>1357</v>
      </c>
      <c r="L2601" t="s">
        <v>1357</v>
      </c>
    </row>
    <row r="2602" spans="1:14">
      <c r="H2602" t="s">
        <v>9449</v>
      </c>
      <c r="I2602" t="s">
        <v>1357</v>
      </c>
      <c r="J2602" t="s">
        <v>1357</v>
      </c>
      <c r="K2602" t="s">
        <v>1357</v>
      </c>
      <c r="L2602" t="s">
        <v>1357</v>
      </c>
    </row>
    <row r="2603" spans="1:14">
      <c r="H2603" t="s">
        <v>9450</v>
      </c>
      <c r="I2603" t="s">
        <v>1357</v>
      </c>
      <c r="J2603" t="s">
        <v>1357</v>
      </c>
      <c r="K2603" t="s">
        <v>1357</v>
      </c>
      <c r="L2603" t="s">
        <v>1357</v>
      </c>
    </row>
    <row r="2604" spans="1:14">
      <c r="H2604" t="s">
        <v>9451</v>
      </c>
      <c r="I2604" t="s">
        <v>1357</v>
      </c>
      <c r="J2604" t="s">
        <v>1357</v>
      </c>
      <c r="K2604" t="s">
        <v>1357</v>
      </c>
      <c r="L2604" t="s">
        <v>1357</v>
      </c>
    </row>
    <row r="2605" spans="1:14">
      <c r="H2605" t="s">
        <v>9452</v>
      </c>
      <c r="I2605" t="s">
        <v>1357</v>
      </c>
      <c r="J2605" t="s">
        <v>1357</v>
      </c>
      <c r="K2605" t="s">
        <v>1357</v>
      </c>
      <c r="L2605" t="s">
        <v>1357</v>
      </c>
    </row>
    <row r="2606" spans="1:14">
      <c r="H2606" t="s">
        <v>9453</v>
      </c>
      <c r="I2606" t="s">
        <v>1357</v>
      </c>
      <c r="J2606" t="s">
        <v>1357</v>
      </c>
      <c r="K2606" t="s">
        <v>1357</v>
      </c>
      <c r="L2606" t="s">
        <v>1357</v>
      </c>
    </row>
    <row r="2607" spans="1:14">
      <c r="H2607" t="s">
        <v>8731</v>
      </c>
      <c r="I2607" t="s">
        <v>1357</v>
      </c>
      <c r="J2607" t="s">
        <v>1357</v>
      </c>
      <c r="K2607" t="s">
        <v>1357</v>
      </c>
      <c r="L2607" t="s">
        <v>1357</v>
      </c>
    </row>
    <row r="2608" spans="1:14">
      <c r="H2608" t="s">
        <v>9454</v>
      </c>
      <c r="I2608" t="s">
        <v>1357</v>
      </c>
      <c r="J2608" t="s">
        <v>1357</v>
      </c>
      <c r="K2608" t="s">
        <v>1357</v>
      </c>
      <c r="L2608" t="s">
        <v>1357</v>
      </c>
    </row>
    <row r="2609" spans="1:14">
      <c r="H2609" t="s">
        <v>9455</v>
      </c>
      <c r="I2609" t="s">
        <v>1357</v>
      </c>
      <c r="J2609" t="s">
        <v>1357</v>
      </c>
      <c r="K2609" t="s">
        <v>1357</v>
      </c>
      <c r="L2609" t="s">
        <v>1357</v>
      </c>
    </row>
    <row r="2610" spans="1:14">
      <c r="H2610" t="s">
        <v>9456</v>
      </c>
      <c r="I2610" t="s">
        <v>1357</v>
      </c>
      <c r="J2610" t="s">
        <v>1357</v>
      </c>
      <c r="K2610" t="s">
        <v>1357</v>
      </c>
      <c r="L2610" t="s">
        <v>1357</v>
      </c>
    </row>
    <row r="2611" spans="1:14">
      <c r="A2611" t="s">
        <v>6476</v>
      </c>
      <c r="B2611">
        <f>HYPERLINK("https://github.com/pmd/pmd/commit/9f163ed9a15bbe9b73d02d165deeb5448948eca8", "9f163ed9a15bbe9b73d02d165deeb5448948eca8")</f>
        <v>0</v>
      </c>
      <c r="C2611">
        <f>HYPERLINK("https://github.com/pmd/pmd/commit/7e8b5e37fc1237250ba24f98f3192f2c0ac15e5b", "7e8b5e37fc1237250ba24f98f3192f2c0ac15e5b")</f>
        <v>0</v>
      </c>
      <c r="D2611" t="s">
        <v>6509</v>
      </c>
      <c r="E2611" t="s">
        <v>6937</v>
      </c>
      <c r="F2611" t="s">
        <v>7563</v>
      </c>
      <c r="G2611" t="s">
        <v>8228</v>
      </c>
      <c r="H2611" t="s">
        <v>9875</v>
      </c>
      <c r="I2611" t="s">
        <v>1357</v>
      </c>
      <c r="J2611" t="s">
        <v>1357</v>
      </c>
      <c r="K2611" t="s">
        <v>1357</v>
      </c>
      <c r="L2611" t="s">
        <v>1357</v>
      </c>
    </row>
    <row r="2612" spans="1:14">
      <c r="A2612" t="s">
        <v>6477</v>
      </c>
      <c r="B2612">
        <f>HYPERLINK("https://github.com/pmd/pmd/commit/a09cc0578178fdb517d073a37536f0b5d71e0b08", "a09cc0578178fdb517d073a37536f0b5d71e0b08")</f>
        <v>0</v>
      </c>
      <c r="C2612">
        <f>HYPERLINK("https://github.com/pmd/pmd/commit/fc81d649b84e1e7bb030a0dc4d95f1f195d71669", "fc81d649b84e1e7bb030a0dc4d95f1f195d71669")</f>
        <v>0</v>
      </c>
      <c r="D2612" t="s">
        <v>6509</v>
      </c>
      <c r="E2612" t="s">
        <v>6938</v>
      </c>
      <c r="F2612" t="s">
        <v>7575</v>
      </c>
      <c r="G2612" t="s">
        <v>7724</v>
      </c>
      <c r="H2612" t="s">
        <v>9876</v>
      </c>
      <c r="I2612" t="s">
        <v>1357</v>
      </c>
      <c r="J2612" t="s">
        <v>1357</v>
      </c>
      <c r="K2612" t="s">
        <v>1357</v>
      </c>
      <c r="L2612" t="s">
        <v>1357</v>
      </c>
    </row>
    <row r="2613" spans="1:14">
      <c r="A2613" t="s">
        <v>6478</v>
      </c>
      <c r="B2613">
        <f>HYPERLINK("https://github.com/pmd/pmd/commit/13d0ddad1be69bdda5f04ebe8068b3f5e9e194b7", "13d0ddad1be69bdda5f04ebe8068b3f5e9e194b7")</f>
        <v>0</v>
      </c>
      <c r="C2613">
        <f>HYPERLINK("https://github.com/pmd/pmd/commit/fa60ad93177b77177219d5bcd4561b3dbe1b006f", "fa60ad93177b77177219d5bcd4561b3dbe1b006f")</f>
        <v>0</v>
      </c>
      <c r="D2613" t="s">
        <v>6509</v>
      </c>
      <c r="E2613" t="s">
        <v>6939</v>
      </c>
      <c r="F2613" t="s">
        <v>7689</v>
      </c>
      <c r="G2613" t="s">
        <v>8289</v>
      </c>
      <c r="H2613" t="s">
        <v>9877</v>
      </c>
      <c r="I2613" t="s">
        <v>1357</v>
      </c>
      <c r="J2613" t="s">
        <v>1357</v>
      </c>
      <c r="K2613" t="s">
        <v>1357</v>
      </c>
      <c r="L2613" t="s">
        <v>1357</v>
      </c>
    </row>
    <row r="2614" spans="1:14">
      <c r="H2614" t="s">
        <v>9878</v>
      </c>
      <c r="I2614" t="s">
        <v>1357</v>
      </c>
      <c r="J2614" t="s">
        <v>1357</v>
      </c>
      <c r="K2614" t="s">
        <v>1357</v>
      </c>
      <c r="L2614" t="s">
        <v>1357</v>
      </c>
    </row>
    <row r="2615" spans="1:14">
      <c r="H2615" t="s">
        <v>9879</v>
      </c>
      <c r="I2615" t="s">
        <v>1357</v>
      </c>
      <c r="J2615" t="s">
        <v>1357</v>
      </c>
      <c r="K2615" t="s">
        <v>1357</v>
      </c>
      <c r="L2615" t="s">
        <v>1357</v>
      </c>
    </row>
    <row r="2616" spans="1:14">
      <c r="A2616" t="s">
        <v>6479</v>
      </c>
      <c r="B2616">
        <f>HYPERLINK("https://github.com/pmd/pmd/commit/871fcc3cedd77943c721ac26935ec62219f8f988", "871fcc3cedd77943c721ac26935ec62219f8f988")</f>
        <v>0</v>
      </c>
      <c r="C2616">
        <f>HYPERLINK("https://github.com/pmd/pmd/commit/e4627fb8411571aec24de0aed522a0b44ad5b54b", "e4627fb8411571aec24de0aed522a0b44ad5b54b")</f>
        <v>0</v>
      </c>
      <c r="D2616" t="s">
        <v>6509</v>
      </c>
      <c r="E2616" t="s">
        <v>6940</v>
      </c>
      <c r="F2616" t="s">
        <v>7569</v>
      </c>
      <c r="G2616" t="s">
        <v>7825</v>
      </c>
      <c r="H2616" t="s">
        <v>9880</v>
      </c>
      <c r="I2616" t="s">
        <v>1357</v>
      </c>
      <c r="J2616" t="s">
        <v>1357</v>
      </c>
      <c r="K2616" t="s">
        <v>1357</v>
      </c>
      <c r="L2616" t="s">
        <v>1357</v>
      </c>
      <c r="M2616" t="s">
        <v>1360</v>
      </c>
      <c r="N2616" t="s">
        <v>1371</v>
      </c>
    </row>
    <row r="2617" spans="1:14">
      <c r="A2617" t="s">
        <v>6480</v>
      </c>
      <c r="B2617">
        <f>HYPERLINK("https://github.com/pmd/pmd/commit/7ed2b6610ae8bb7aca8200922d74ac731815227c", "7ed2b6610ae8bb7aca8200922d74ac731815227c")</f>
        <v>0</v>
      </c>
      <c r="C2617">
        <f>HYPERLINK("https://github.com/pmd/pmd/commit/772ccb3386c8203b0e180291472f1134476630a4", "772ccb3386c8203b0e180291472f1134476630a4")</f>
        <v>0</v>
      </c>
      <c r="D2617" t="s">
        <v>6509</v>
      </c>
      <c r="E2617" t="s">
        <v>6941</v>
      </c>
      <c r="F2617" t="s">
        <v>7690</v>
      </c>
      <c r="G2617" t="s">
        <v>8327</v>
      </c>
      <c r="H2617" t="s">
        <v>9881</v>
      </c>
      <c r="I2617" t="s">
        <v>1357</v>
      </c>
      <c r="J2617" t="s">
        <v>1357</v>
      </c>
      <c r="K2617" t="s">
        <v>1357</v>
      </c>
      <c r="L2617" t="s">
        <v>1357</v>
      </c>
    </row>
    <row r="2618" spans="1:14">
      <c r="A2618" t="s">
        <v>6481</v>
      </c>
      <c r="B2618">
        <f>HYPERLINK("https://github.com/pmd/pmd/commit/06d0d6b0fba0a0fcec3b323f5da008fa1f6bc966", "06d0d6b0fba0a0fcec3b323f5da008fa1f6bc966")</f>
        <v>0</v>
      </c>
      <c r="C2618">
        <f>HYPERLINK("https://github.com/pmd/pmd/commit/686e878caf2ccf67e998697cd06193c0fd640083", "686e878caf2ccf67e998697cd06193c0fd640083")</f>
        <v>0</v>
      </c>
      <c r="D2618" t="s">
        <v>6509</v>
      </c>
      <c r="E2618" t="s">
        <v>6942</v>
      </c>
      <c r="F2618" t="s">
        <v>7691</v>
      </c>
      <c r="G2618" t="s">
        <v>8328</v>
      </c>
      <c r="H2618" t="s">
        <v>9882</v>
      </c>
      <c r="I2618" t="s">
        <v>1357</v>
      </c>
      <c r="J2618" t="s">
        <v>1357</v>
      </c>
      <c r="K2618" t="s">
        <v>1357</v>
      </c>
      <c r="L2618" t="s">
        <v>1357</v>
      </c>
    </row>
    <row r="2619" spans="1:14">
      <c r="H2619" t="s">
        <v>9883</v>
      </c>
      <c r="I2619" t="s">
        <v>1357</v>
      </c>
      <c r="J2619" t="s">
        <v>1357</v>
      </c>
      <c r="K2619" t="s">
        <v>1357</v>
      </c>
      <c r="L2619" t="s">
        <v>1357</v>
      </c>
    </row>
    <row r="2620" spans="1:14">
      <c r="A2620" t="s">
        <v>6482</v>
      </c>
      <c r="B2620">
        <f>HYPERLINK("https://github.com/pmd/pmd/commit/32a76bd602fcdb947bbca3465403c6ee7430ec89", "32a76bd602fcdb947bbca3465403c6ee7430ec89")</f>
        <v>0</v>
      </c>
      <c r="C2620">
        <f>HYPERLINK("https://github.com/pmd/pmd/commit/a5b68ddfcf81ef01c94ac8af88dc10fc7a7002be", "a5b68ddfcf81ef01c94ac8af88dc10fc7a7002be")</f>
        <v>0</v>
      </c>
      <c r="D2620" t="s">
        <v>6514</v>
      </c>
      <c r="E2620" t="s">
        <v>6943</v>
      </c>
      <c r="F2620" t="s">
        <v>7692</v>
      </c>
      <c r="G2620" t="s">
        <v>8329</v>
      </c>
      <c r="H2620" t="s">
        <v>9884</v>
      </c>
      <c r="I2620" t="s">
        <v>1357</v>
      </c>
      <c r="J2620" t="s">
        <v>1357</v>
      </c>
      <c r="K2620" t="s">
        <v>1357</v>
      </c>
      <c r="L2620" t="s">
        <v>1357</v>
      </c>
    </row>
    <row r="2621" spans="1:14">
      <c r="H2621" t="s">
        <v>9885</v>
      </c>
      <c r="I2621" t="s">
        <v>1357</v>
      </c>
      <c r="J2621" t="s">
        <v>1357</v>
      </c>
      <c r="K2621" t="s">
        <v>1357</v>
      </c>
      <c r="L2621" t="s">
        <v>1357</v>
      </c>
    </row>
    <row r="2622" spans="1:14">
      <c r="H2622" t="s">
        <v>9886</v>
      </c>
      <c r="I2622" t="s">
        <v>1357</v>
      </c>
      <c r="J2622" t="s">
        <v>1357</v>
      </c>
      <c r="K2622" t="s">
        <v>1357</v>
      </c>
      <c r="L2622" t="s">
        <v>1357</v>
      </c>
    </row>
    <row r="2623" spans="1:14">
      <c r="H2623" t="s">
        <v>9887</v>
      </c>
      <c r="I2623" t="s">
        <v>1357</v>
      </c>
      <c r="J2623" t="s">
        <v>1357</v>
      </c>
      <c r="K2623" t="s">
        <v>1357</v>
      </c>
      <c r="L2623" t="s">
        <v>1357</v>
      </c>
    </row>
    <row r="2624" spans="1:14">
      <c r="H2624" t="s">
        <v>9888</v>
      </c>
      <c r="I2624" t="s">
        <v>1357</v>
      </c>
      <c r="J2624" t="s">
        <v>1357</v>
      </c>
      <c r="K2624" t="s">
        <v>1357</v>
      </c>
      <c r="L2624" t="s">
        <v>1357</v>
      </c>
    </row>
    <row r="2625" spans="1:14">
      <c r="H2625" t="s">
        <v>9889</v>
      </c>
      <c r="I2625" t="s">
        <v>1357</v>
      </c>
      <c r="J2625" t="s">
        <v>1357</v>
      </c>
      <c r="K2625" t="s">
        <v>1357</v>
      </c>
      <c r="L2625" t="s">
        <v>1357</v>
      </c>
    </row>
    <row r="2626" spans="1:14">
      <c r="H2626" t="s">
        <v>9890</v>
      </c>
      <c r="I2626" t="s">
        <v>1357</v>
      </c>
      <c r="J2626" t="s">
        <v>1357</v>
      </c>
      <c r="K2626" t="s">
        <v>1357</v>
      </c>
      <c r="L2626" t="s">
        <v>1357</v>
      </c>
    </row>
    <row r="2627" spans="1:14">
      <c r="H2627" t="s">
        <v>9891</v>
      </c>
      <c r="I2627" t="s">
        <v>1357</v>
      </c>
      <c r="J2627" t="s">
        <v>1357</v>
      </c>
      <c r="K2627" t="s">
        <v>1357</v>
      </c>
      <c r="L2627" t="s">
        <v>1357</v>
      </c>
    </row>
    <row r="2628" spans="1:14">
      <c r="A2628" t="s">
        <v>6483</v>
      </c>
      <c r="B2628">
        <f>HYPERLINK("https://github.com/pmd/pmd/commit/ba105a646c4f43c4680886002d932139f0448668", "ba105a646c4f43c4680886002d932139f0448668")</f>
        <v>0</v>
      </c>
      <c r="C2628">
        <f>HYPERLINK("https://github.com/pmd/pmd/commit/8587844c1c650506140d64c3916e094845ee6883", "8587844c1c650506140d64c3916e094845ee6883")</f>
        <v>0</v>
      </c>
      <c r="D2628" t="s">
        <v>6509</v>
      </c>
      <c r="E2628" t="s">
        <v>6944</v>
      </c>
      <c r="F2628" t="s">
        <v>7693</v>
      </c>
      <c r="G2628" t="s">
        <v>8063</v>
      </c>
      <c r="H2628" t="s">
        <v>8800</v>
      </c>
      <c r="I2628" t="s">
        <v>1358</v>
      </c>
      <c r="J2628" t="s">
        <v>1358</v>
      </c>
      <c r="K2628" t="s">
        <v>1358</v>
      </c>
      <c r="L2628" t="s">
        <v>1358</v>
      </c>
      <c r="N2628" t="s">
        <v>1369</v>
      </c>
    </row>
    <row r="2629" spans="1:14">
      <c r="F2629" t="s">
        <v>7482</v>
      </c>
      <c r="G2629" t="s">
        <v>8165</v>
      </c>
      <c r="H2629" t="s">
        <v>9892</v>
      </c>
      <c r="I2629" t="s">
        <v>1358</v>
      </c>
      <c r="J2629" t="s">
        <v>1358</v>
      </c>
      <c r="K2629" t="s">
        <v>1358</v>
      </c>
      <c r="L2629" t="s">
        <v>1358</v>
      </c>
    </row>
    <row r="2630" spans="1:14">
      <c r="H2630" t="s">
        <v>9893</v>
      </c>
      <c r="I2630" t="s">
        <v>1357</v>
      </c>
      <c r="J2630" t="s">
        <v>1357</v>
      </c>
      <c r="K2630" t="s">
        <v>1357</v>
      </c>
      <c r="L2630" t="s">
        <v>1357</v>
      </c>
    </row>
    <row r="2631" spans="1:14">
      <c r="H2631" t="s">
        <v>9894</v>
      </c>
      <c r="I2631" t="s">
        <v>1358</v>
      </c>
      <c r="J2631" t="s">
        <v>1358</v>
      </c>
      <c r="K2631" t="s">
        <v>1358</v>
      </c>
      <c r="L2631" t="s">
        <v>1358</v>
      </c>
    </row>
    <row r="2632" spans="1:14">
      <c r="A2632" t="s">
        <v>6484</v>
      </c>
      <c r="B2632">
        <f>HYPERLINK("https://github.com/pmd/pmd/commit/2f3f0d69609c5a27c07b56e2220801c6700ac40e", "2f3f0d69609c5a27c07b56e2220801c6700ac40e")</f>
        <v>0</v>
      </c>
      <c r="C2632">
        <f>HYPERLINK("https://github.com/pmd/pmd/commit/bc7bbed1b49e5f8eef0e58d87f698328621ae152", "bc7bbed1b49e5f8eef0e58d87f698328621ae152")</f>
        <v>0</v>
      </c>
      <c r="D2632" t="s">
        <v>6514</v>
      </c>
      <c r="E2632" t="s">
        <v>6945</v>
      </c>
      <c r="F2632" t="s">
        <v>7618</v>
      </c>
      <c r="G2632" t="s">
        <v>8268</v>
      </c>
      <c r="H2632" t="s">
        <v>8479</v>
      </c>
      <c r="I2632" t="s">
        <v>1357</v>
      </c>
      <c r="J2632" t="s">
        <v>1357</v>
      </c>
      <c r="K2632" t="s">
        <v>1357</v>
      </c>
      <c r="L2632" t="s">
        <v>1357</v>
      </c>
    </row>
    <row r="2633" spans="1:14">
      <c r="A2633" t="s">
        <v>6485</v>
      </c>
      <c r="B2633">
        <f>HYPERLINK("https://github.com/pmd/pmd/commit/3ba63285ac7d4a4a4a2ddd610df44551a798d1df", "3ba63285ac7d4a4a4a2ddd610df44551a798d1df")</f>
        <v>0</v>
      </c>
      <c r="C2633">
        <f>HYPERLINK("https://github.com/pmd/pmd/commit/58c9f361d3447e10e0ebcfe3cd00c7709a361267", "58c9f361d3447e10e0ebcfe3cd00c7709a361267")</f>
        <v>0</v>
      </c>
      <c r="D2633" t="s">
        <v>6514</v>
      </c>
      <c r="E2633" t="s">
        <v>6946</v>
      </c>
      <c r="F2633" t="s">
        <v>7694</v>
      </c>
      <c r="G2633" t="s">
        <v>8330</v>
      </c>
      <c r="H2633" t="s">
        <v>9895</v>
      </c>
      <c r="I2633" t="s">
        <v>1357</v>
      </c>
      <c r="J2633" t="s">
        <v>1357</v>
      </c>
      <c r="K2633" t="s">
        <v>1357</v>
      </c>
      <c r="L2633" t="s">
        <v>1357</v>
      </c>
    </row>
    <row r="2634" spans="1:14">
      <c r="H2634" t="s">
        <v>9896</v>
      </c>
      <c r="I2634" t="s">
        <v>1357</v>
      </c>
      <c r="J2634" t="s">
        <v>1357</v>
      </c>
      <c r="K2634" t="s">
        <v>1357</v>
      </c>
      <c r="L2634" t="s">
        <v>1357</v>
      </c>
    </row>
    <row r="2635" spans="1:14">
      <c r="H2635" t="s">
        <v>9897</v>
      </c>
      <c r="I2635" t="s">
        <v>1357</v>
      </c>
      <c r="J2635" t="s">
        <v>1357</v>
      </c>
      <c r="K2635" t="s">
        <v>1357</v>
      </c>
      <c r="L2635" t="s">
        <v>1357</v>
      </c>
    </row>
    <row r="2636" spans="1:14">
      <c r="A2636" t="s">
        <v>6486</v>
      </c>
      <c r="B2636">
        <f>HYPERLINK("https://github.com/pmd/pmd/commit/675710d0e790def5ffdb521d95ab3e3892b0f5b7", "675710d0e790def5ffdb521d95ab3e3892b0f5b7")</f>
        <v>0</v>
      </c>
      <c r="C2636">
        <f>HYPERLINK("https://github.com/pmd/pmd/commit/704102cd80d0169bb26f112c00005c4dba9a4049", "704102cd80d0169bb26f112c00005c4dba9a4049")</f>
        <v>0</v>
      </c>
      <c r="D2636" t="s">
        <v>6509</v>
      </c>
      <c r="E2636" t="s">
        <v>6947</v>
      </c>
      <c r="F2636" t="s">
        <v>7695</v>
      </c>
      <c r="G2636" t="s">
        <v>8331</v>
      </c>
      <c r="H2636" t="s">
        <v>9898</v>
      </c>
      <c r="I2636" t="s">
        <v>1357</v>
      </c>
      <c r="J2636" t="s">
        <v>1357</v>
      </c>
      <c r="K2636" t="s">
        <v>1357</v>
      </c>
      <c r="L2636" t="s">
        <v>1357</v>
      </c>
    </row>
    <row r="2637" spans="1:14">
      <c r="A2637" t="s">
        <v>6487</v>
      </c>
      <c r="B2637">
        <f>HYPERLINK("https://github.com/pmd/pmd/commit/20eb129dfed093c40e4649dcbd8c2aa2da7267ff", "20eb129dfed093c40e4649dcbd8c2aa2da7267ff")</f>
        <v>0</v>
      </c>
      <c r="C2637">
        <f>HYPERLINK("https://github.com/pmd/pmd/commit/675710d0e790def5ffdb521d95ab3e3892b0f5b7", "675710d0e790def5ffdb521d95ab3e3892b0f5b7")</f>
        <v>0</v>
      </c>
      <c r="D2637" t="s">
        <v>6509</v>
      </c>
      <c r="E2637" t="s">
        <v>6948</v>
      </c>
      <c r="F2637" t="s">
        <v>7696</v>
      </c>
      <c r="G2637" t="s">
        <v>8331</v>
      </c>
      <c r="H2637" t="s">
        <v>9899</v>
      </c>
      <c r="I2637" t="s">
        <v>1357</v>
      </c>
      <c r="J2637" t="s">
        <v>1357</v>
      </c>
      <c r="K2637" t="s">
        <v>1357</v>
      </c>
      <c r="L2637" t="s">
        <v>1357</v>
      </c>
    </row>
    <row r="2638" spans="1:14">
      <c r="H2638" t="s">
        <v>9900</v>
      </c>
      <c r="I2638" t="s">
        <v>1357</v>
      </c>
      <c r="J2638" t="s">
        <v>1357</v>
      </c>
      <c r="K2638" t="s">
        <v>1357</v>
      </c>
      <c r="L2638" t="s">
        <v>1357</v>
      </c>
    </row>
    <row r="2639" spans="1:14">
      <c r="H2639" t="s">
        <v>9901</v>
      </c>
      <c r="I2639" t="s">
        <v>1357</v>
      </c>
      <c r="J2639" t="s">
        <v>1357</v>
      </c>
      <c r="K2639" t="s">
        <v>1357</v>
      </c>
      <c r="L2639" t="s">
        <v>1357</v>
      </c>
    </row>
    <row r="2640" spans="1:14">
      <c r="H2640" t="s">
        <v>9902</v>
      </c>
      <c r="I2640" t="s">
        <v>1357</v>
      </c>
      <c r="J2640" t="s">
        <v>1357</v>
      </c>
      <c r="K2640" t="s">
        <v>1357</v>
      </c>
      <c r="L2640" t="s">
        <v>1357</v>
      </c>
    </row>
    <row r="2641" spans="1:14">
      <c r="H2641" t="s">
        <v>9903</v>
      </c>
      <c r="I2641" t="s">
        <v>1357</v>
      </c>
      <c r="J2641" t="s">
        <v>1357</v>
      </c>
      <c r="K2641" t="s">
        <v>1357</v>
      </c>
      <c r="L2641" t="s">
        <v>1357</v>
      </c>
    </row>
    <row r="2642" spans="1:14">
      <c r="H2642" t="s">
        <v>9904</v>
      </c>
      <c r="I2642" t="s">
        <v>1357</v>
      </c>
      <c r="J2642" t="s">
        <v>1357</v>
      </c>
      <c r="K2642" t="s">
        <v>1357</v>
      </c>
      <c r="L2642" t="s">
        <v>1357</v>
      </c>
    </row>
    <row r="2643" spans="1:14">
      <c r="H2643" t="s">
        <v>9905</v>
      </c>
      <c r="I2643" t="s">
        <v>1358</v>
      </c>
      <c r="J2643" t="s">
        <v>1358</v>
      </c>
      <c r="K2643" t="s">
        <v>1358</v>
      </c>
      <c r="L2643" t="s">
        <v>1358</v>
      </c>
    </row>
    <row r="2644" spans="1:14">
      <c r="H2644" t="s">
        <v>9906</v>
      </c>
      <c r="I2644" t="s">
        <v>1358</v>
      </c>
      <c r="J2644" t="s">
        <v>1358</v>
      </c>
      <c r="K2644" t="s">
        <v>1358</v>
      </c>
      <c r="L2644" t="s">
        <v>1358</v>
      </c>
    </row>
    <row r="2645" spans="1:14">
      <c r="H2645" t="s">
        <v>9907</v>
      </c>
      <c r="I2645" t="s">
        <v>1357</v>
      </c>
      <c r="J2645" t="s">
        <v>1357</v>
      </c>
      <c r="K2645" t="s">
        <v>1357</v>
      </c>
      <c r="L2645" t="s">
        <v>1357</v>
      </c>
    </row>
    <row r="2646" spans="1:14">
      <c r="H2646" t="s">
        <v>9908</v>
      </c>
      <c r="I2646" t="s">
        <v>1358</v>
      </c>
      <c r="J2646" t="s">
        <v>1358</v>
      </c>
      <c r="K2646" t="s">
        <v>1358</v>
      </c>
      <c r="L2646" t="s">
        <v>1358</v>
      </c>
    </row>
    <row r="2647" spans="1:14">
      <c r="H2647" t="s">
        <v>9909</v>
      </c>
      <c r="I2647" t="s">
        <v>1358</v>
      </c>
      <c r="J2647" t="s">
        <v>1358</v>
      </c>
      <c r="K2647" t="s">
        <v>1358</v>
      </c>
      <c r="L2647" t="s">
        <v>1358</v>
      </c>
    </row>
    <row r="2648" spans="1:14">
      <c r="H2648" t="s">
        <v>9910</v>
      </c>
      <c r="I2648" t="s">
        <v>1358</v>
      </c>
      <c r="J2648" t="s">
        <v>1358</v>
      </c>
      <c r="K2648" t="s">
        <v>1358</v>
      </c>
      <c r="L2648" t="s">
        <v>1358</v>
      </c>
    </row>
    <row r="2649" spans="1:14">
      <c r="A2649" t="s">
        <v>6488</v>
      </c>
      <c r="B2649">
        <f>HYPERLINK("https://github.com/pmd/pmd/commit/d29a2b093f0afe7a3e3121c9235cdde4243fdb52", "d29a2b093f0afe7a3e3121c9235cdde4243fdb52")</f>
        <v>0</v>
      </c>
      <c r="C2649">
        <f>HYPERLINK("https://github.com/pmd/pmd/commit/191f14e6c01771c8d0af87ec9c73ce4aa5b49bb2", "191f14e6c01771c8d0af87ec9c73ce4aa5b49bb2")</f>
        <v>0</v>
      </c>
      <c r="D2649" t="s">
        <v>6509</v>
      </c>
      <c r="E2649" t="s">
        <v>6949</v>
      </c>
      <c r="F2649" t="s">
        <v>7697</v>
      </c>
      <c r="G2649" t="s">
        <v>8332</v>
      </c>
      <c r="H2649" t="s">
        <v>9911</v>
      </c>
      <c r="I2649" t="s">
        <v>1359</v>
      </c>
      <c r="J2649" t="s">
        <v>1357</v>
      </c>
      <c r="K2649" t="s">
        <v>1357</v>
      </c>
      <c r="L2649" t="s">
        <v>1358</v>
      </c>
      <c r="N2649" t="s">
        <v>9975</v>
      </c>
    </row>
    <row r="2650" spans="1:14">
      <c r="A2650" t="s">
        <v>6489</v>
      </c>
      <c r="B2650">
        <f>HYPERLINK("https://github.com/pmd/pmd/commit/71ab585220387429c8b2c0660d9f8e0e70464aca", "71ab585220387429c8b2c0660d9f8e0e70464aca")</f>
        <v>0</v>
      </c>
      <c r="C2650">
        <f>HYPERLINK("https://github.com/pmd/pmd/commit/c431b56f971d4a0ed9e52d4e482aca6b4adbf899", "c431b56f971d4a0ed9e52d4e482aca6b4adbf899")</f>
        <v>0</v>
      </c>
      <c r="D2650" t="s">
        <v>6508</v>
      </c>
      <c r="E2650" t="s">
        <v>6950</v>
      </c>
      <c r="F2650" t="s">
        <v>7697</v>
      </c>
      <c r="G2650" t="s">
        <v>8332</v>
      </c>
      <c r="H2650" t="s">
        <v>9912</v>
      </c>
      <c r="I2650" t="s">
        <v>1358</v>
      </c>
      <c r="J2650" t="s">
        <v>1358</v>
      </c>
      <c r="K2650" t="s">
        <v>1358</v>
      </c>
      <c r="L2650" t="s">
        <v>1358</v>
      </c>
      <c r="M2650" t="s">
        <v>1361</v>
      </c>
      <c r="N2650" t="s">
        <v>1369</v>
      </c>
    </row>
    <row r="2651" spans="1:14">
      <c r="H2651" t="s">
        <v>9913</v>
      </c>
      <c r="I2651" t="s">
        <v>1359</v>
      </c>
      <c r="J2651" t="s">
        <v>1357</v>
      </c>
      <c r="K2651" t="s">
        <v>1357</v>
      </c>
      <c r="L2651" t="s">
        <v>1358</v>
      </c>
      <c r="N2651" t="s">
        <v>1369</v>
      </c>
    </row>
    <row r="2652" spans="1:14">
      <c r="A2652" t="s">
        <v>6490</v>
      </c>
      <c r="B2652">
        <f>HYPERLINK("https://github.com/pmd/pmd/commit/f5b059faddd3094898807800267d2cfa71295d39", "f5b059faddd3094898807800267d2cfa71295d39")</f>
        <v>0</v>
      </c>
      <c r="C2652">
        <f>HYPERLINK("https://github.com/pmd/pmd/commit/9e84c8748a5000d359515e06aa27dd86f4e1a7de", "9e84c8748a5000d359515e06aa27dd86f4e1a7de")</f>
        <v>0</v>
      </c>
      <c r="D2652" t="s">
        <v>6508</v>
      </c>
      <c r="E2652" t="s">
        <v>6951</v>
      </c>
      <c r="F2652" t="s">
        <v>7698</v>
      </c>
      <c r="G2652" t="s">
        <v>8333</v>
      </c>
      <c r="H2652" t="s">
        <v>9914</v>
      </c>
      <c r="I2652" t="s">
        <v>1358</v>
      </c>
      <c r="J2652" t="s">
        <v>1358</v>
      </c>
      <c r="K2652" t="s">
        <v>1358</v>
      </c>
      <c r="L2652" t="s">
        <v>1358</v>
      </c>
    </row>
    <row r="2653" spans="1:14">
      <c r="A2653" t="s">
        <v>6491</v>
      </c>
      <c r="B2653">
        <f>HYPERLINK("https://github.com/pmd/pmd/commit/67240f986373c6b8034a4e5b1cf104ea7464962a", "67240f986373c6b8034a4e5b1cf104ea7464962a")</f>
        <v>0</v>
      </c>
      <c r="C2653">
        <f>HYPERLINK("https://github.com/pmd/pmd/commit/eacaa6e2089f513cebd3295a8c599319da42b523", "eacaa6e2089f513cebd3295a8c599319da42b523")</f>
        <v>0</v>
      </c>
      <c r="D2653" t="s">
        <v>6509</v>
      </c>
      <c r="E2653" t="s">
        <v>6952</v>
      </c>
      <c r="F2653" t="s">
        <v>7699</v>
      </c>
      <c r="G2653" t="s">
        <v>8334</v>
      </c>
      <c r="H2653" t="s">
        <v>9915</v>
      </c>
      <c r="I2653" t="s">
        <v>1357</v>
      </c>
      <c r="J2653" t="s">
        <v>1357</v>
      </c>
      <c r="K2653" t="s">
        <v>1357</v>
      </c>
      <c r="L2653" t="s">
        <v>1357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0396"/>
  <sheetViews>
    <sheetView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9976</v>
      </c>
      <c r="B2">
        <f>HYPERLINK("https://android.googlesource.com/platform/cts/+/7ca56dfb7d78d0050a3da3d87c040ca7910b3344", "7ca56dfb7d78d0050a3da3d87c040ca7910b3344")</f>
        <v>0</v>
      </c>
      <c r="C2">
        <f>HYPERLINK("https://android.googlesource.com/platform/cts/+/f8057104af9cae031b544e971a52adafa7c0d9e1", "f8057104af9cae031b544e971a52adafa7c0d9e1")</f>
        <v>0</v>
      </c>
      <c r="D2" t="s">
        <v>11971</v>
      </c>
      <c r="E2" t="s">
        <v>12545</v>
      </c>
      <c r="F2" t="s">
        <v>14467</v>
      </c>
      <c r="G2" t="s">
        <v>17314</v>
      </c>
      <c r="H2" t="s">
        <v>19888</v>
      </c>
      <c r="I2" t="s">
        <v>1357</v>
      </c>
      <c r="J2" t="s">
        <v>1357</v>
      </c>
      <c r="K2" t="s">
        <v>1357</v>
      </c>
      <c r="L2" t="s">
        <v>1357</v>
      </c>
      <c r="M2" s="2" t="s">
        <v>27475</v>
      </c>
    </row>
    <row r="3" spans="1:14">
      <c r="A3" t="s">
        <v>9977</v>
      </c>
      <c r="B3">
        <f>HYPERLINK("https://android.googlesource.com/platform/cts/+/309d0e9b1af033a536fd208720fed9b98a1a605d", "309d0e9b1af033a536fd208720fed9b98a1a605d")</f>
        <v>0</v>
      </c>
      <c r="C3">
        <f>HYPERLINK("https://android.googlesource.com/platform/cts/+/2d8a0a39019939e66b412fa528007d666316686c", "2d8a0a39019939e66b412fa528007d666316686c")</f>
        <v>0</v>
      </c>
      <c r="D3" t="s">
        <v>11971</v>
      </c>
      <c r="E3" t="s">
        <v>12546</v>
      </c>
      <c r="F3" t="s">
        <v>14468</v>
      </c>
      <c r="G3" t="s">
        <v>17315</v>
      </c>
      <c r="H3" t="s">
        <v>19889</v>
      </c>
      <c r="I3" t="s">
        <v>1358</v>
      </c>
      <c r="J3" t="s">
        <v>1358</v>
      </c>
      <c r="K3" t="s">
        <v>1358</v>
      </c>
      <c r="L3" t="s">
        <v>1358</v>
      </c>
      <c r="N3" t="s">
        <v>1369</v>
      </c>
    </row>
    <row r="4" spans="1:14">
      <c r="A4" t="s">
        <v>9978</v>
      </c>
      <c r="B4">
        <f>HYPERLINK("https://android.googlesource.com/platform/cts/+/77357827ec785b86132b4ee135189beb96595729", "77357827ec785b86132b4ee135189beb96595729")</f>
        <v>0</v>
      </c>
      <c r="C4">
        <f>HYPERLINK("https://android.googlesource.com/platform/cts/+/3b518328bf6595230c0cf460801d53406b1084b3", "3b518328bf6595230c0cf460801d53406b1084b3")</f>
        <v>0</v>
      </c>
      <c r="D4" t="s">
        <v>11971</v>
      </c>
      <c r="E4" t="s">
        <v>12547</v>
      </c>
      <c r="F4" t="s">
        <v>14468</v>
      </c>
      <c r="G4" t="s">
        <v>17315</v>
      </c>
      <c r="H4" t="s">
        <v>19889</v>
      </c>
      <c r="I4" t="s">
        <v>1358</v>
      </c>
      <c r="J4" t="s">
        <v>1358</v>
      </c>
      <c r="K4" t="s">
        <v>1358</v>
      </c>
      <c r="L4" t="s">
        <v>1358</v>
      </c>
      <c r="N4" t="s">
        <v>27476</v>
      </c>
    </row>
    <row r="5" spans="1:14">
      <c r="A5" t="s">
        <v>9979</v>
      </c>
      <c r="B5">
        <f>HYPERLINK("https://android.googlesource.com/platform/cts/+/2ef9a889f8ecd5e543cde0f87163544a5bb9265e", "2ef9a889f8ecd5e543cde0f87163544a5bb9265e")</f>
        <v>0</v>
      </c>
      <c r="C5">
        <f>HYPERLINK("https://android.googlesource.com/platform/cts/+/cb2832b92dbe9c57f5d283cfb4bd596528eb3917", "cb2832b92dbe9c57f5d283cfb4bd596528eb3917")</f>
        <v>0</v>
      </c>
      <c r="D5" t="s">
        <v>11971</v>
      </c>
      <c r="E5" t="s">
        <v>12548</v>
      </c>
      <c r="F5" t="s">
        <v>14468</v>
      </c>
      <c r="G5" t="s">
        <v>17315</v>
      </c>
      <c r="H5" t="s">
        <v>19889</v>
      </c>
      <c r="I5" t="s">
        <v>1358</v>
      </c>
      <c r="J5" t="s">
        <v>1358</v>
      </c>
      <c r="K5" t="s">
        <v>1358</v>
      </c>
      <c r="L5" t="s">
        <v>1358</v>
      </c>
      <c r="N5" t="s">
        <v>27476</v>
      </c>
    </row>
    <row r="6" spans="1:14">
      <c r="A6" t="s">
        <v>9980</v>
      </c>
      <c r="B6">
        <f>HYPERLINK("https://android.googlesource.com/platform/cts/+/7ae786780ba025c5f49bff98109882b222c3806a", "7ae786780ba025c5f49bff98109882b222c3806a")</f>
        <v>0</v>
      </c>
      <c r="C6">
        <f>HYPERLINK("https://android.googlesource.com/platform/cts/+/ba45315bb7ce4d2b420067f8e157760c266374f1", "ba45315bb7ce4d2b420067f8e157760c266374f1")</f>
        <v>0</v>
      </c>
      <c r="D6" t="s">
        <v>11971</v>
      </c>
      <c r="E6" t="s">
        <v>12549</v>
      </c>
      <c r="F6" t="s">
        <v>14469</v>
      </c>
      <c r="G6" t="s">
        <v>17316</v>
      </c>
      <c r="H6" t="s">
        <v>19890</v>
      </c>
      <c r="I6" t="s">
        <v>1357</v>
      </c>
      <c r="J6" t="s">
        <v>1357</v>
      </c>
      <c r="K6" t="s">
        <v>1357</v>
      </c>
      <c r="L6" t="s">
        <v>1357</v>
      </c>
      <c r="N6" t="s">
        <v>27503</v>
      </c>
    </row>
    <row r="7" spans="1:14">
      <c r="A7" t="s">
        <v>9981</v>
      </c>
      <c r="B7">
        <f>HYPERLINK("https://android.googlesource.com/platform/cts/+/5bf9da14fdf3608fc801a060b0956bf4a152e135", "5bf9da14fdf3608fc801a060b0956bf4a152e135")</f>
        <v>0</v>
      </c>
      <c r="C7">
        <f>HYPERLINK("https://android.googlesource.com/platform/cts/+/58a3e998f87ababe32253c888c1fa83a84132e02", "58a3e998f87ababe32253c888c1fa83a84132e02")</f>
        <v>0</v>
      </c>
      <c r="D7" t="s">
        <v>11971</v>
      </c>
      <c r="E7" t="s">
        <v>12550</v>
      </c>
      <c r="F7" t="s">
        <v>14469</v>
      </c>
      <c r="G7" t="s">
        <v>17316</v>
      </c>
      <c r="H7" t="s">
        <v>795</v>
      </c>
      <c r="I7" t="s">
        <v>1357</v>
      </c>
      <c r="J7" t="s">
        <v>1357</v>
      </c>
      <c r="K7" t="s">
        <v>1357</v>
      </c>
      <c r="L7" t="s">
        <v>1357</v>
      </c>
    </row>
    <row r="8" spans="1:14">
      <c r="A8" t="s">
        <v>9982</v>
      </c>
      <c r="B8">
        <f>HYPERLINK("https://android.googlesource.com/platform/cts/+/ab14214fd9813884722925098f4c914a2e6f4632", "ab14214fd9813884722925098f4c914a2e6f4632")</f>
        <v>0</v>
      </c>
      <c r="C8">
        <f>HYPERLINK("https://android.googlesource.com/platform/cts/+/5164ae32d55870a2a47b650ea1f81fae3bd415ea", "5164ae32d55870a2a47b650ea1f81fae3bd415ea")</f>
        <v>0</v>
      </c>
      <c r="D8" t="s">
        <v>11971</v>
      </c>
      <c r="E8" t="s">
        <v>12551</v>
      </c>
      <c r="F8" t="s">
        <v>14469</v>
      </c>
      <c r="G8" t="s">
        <v>17316</v>
      </c>
      <c r="H8" t="s">
        <v>19890</v>
      </c>
      <c r="I8" t="s">
        <v>1357</v>
      </c>
      <c r="J8" t="s">
        <v>1357</v>
      </c>
      <c r="K8" t="s">
        <v>1357</v>
      </c>
      <c r="L8" t="s">
        <v>1357</v>
      </c>
      <c r="M8" t="s">
        <v>27476</v>
      </c>
    </row>
    <row r="9" spans="1:14">
      <c r="A9" t="s">
        <v>9983</v>
      </c>
      <c r="B9">
        <f>HYPERLINK("https://android.googlesource.com/platform/cts/+/d57807eb896c462d3c52b69e9f3280179f35f1e0", "d57807eb896c462d3c52b69e9f3280179f35f1e0")</f>
        <v>0</v>
      </c>
      <c r="C9">
        <f>HYPERLINK("https://android.googlesource.com/platform/cts/+/863f7d8a3af9f8a31fc1de391457afc3682efaaf", "863f7d8a3af9f8a31fc1de391457afc3682efaaf")</f>
        <v>0</v>
      </c>
      <c r="D9" t="s">
        <v>11971</v>
      </c>
      <c r="E9" t="s">
        <v>12552</v>
      </c>
      <c r="F9" t="s">
        <v>14469</v>
      </c>
      <c r="G9" t="s">
        <v>17316</v>
      </c>
      <c r="H9" t="s">
        <v>795</v>
      </c>
      <c r="I9" t="s">
        <v>1357</v>
      </c>
      <c r="J9" t="s">
        <v>1357</v>
      </c>
      <c r="K9" t="s">
        <v>1357</v>
      </c>
      <c r="L9" t="s">
        <v>1357</v>
      </c>
      <c r="M9" t="s">
        <v>27476</v>
      </c>
    </row>
    <row r="10" spans="1:14">
      <c r="A10" t="s">
        <v>9984</v>
      </c>
      <c r="B10">
        <f>HYPERLINK("https://android.googlesource.com/platform/cts/+/2cc3145e1b66d5e759346240708fd4dcb712ec62", "2cc3145e1b66d5e759346240708fd4dcb712ec62")</f>
        <v>0</v>
      </c>
      <c r="C10">
        <f>HYPERLINK("https://android.googlesource.com/platform/cts/+/39ef24a4f32d952686ade6e64e92f76ebb268e58", "39ef24a4f32d952686ade6e64e92f76ebb268e58")</f>
        <v>0</v>
      </c>
      <c r="D10" t="s">
        <v>11971</v>
      </c>
      <c r="E10" t="s">
        <v>12553</v>
      </c>
      <c r="F10" t="s">
        <v>14469</v>
      </c>
      <c r="G10" t="s">
        <v>17316</v>
      </c>
      <c r="H10" t="s">
        <v>19890</v>
      </c>
      <c r="I10" t="s">
        <v>1357</v>
      </c>
      <c r="J10" t="s">
        <v>1357</v>
      </c>
      <c r="K10" t="s">
        <v>1357</v>
      </c>
      <c r="L10" t="s">
        <v>1357</v>
      </c>
      <c r="M10" t="s">
        <v>27476</v>
      </c>
    </row>
    <row r="11" spans="1:14">
      <c r="A11" t="s">
        <v>9985</v>
      </c>
      <c r="B11">
        <f>HYPERLINK("https://android.googlesource.com/platform/cts/+/31fb751e85a60b168139dd8f986f68c5066474e9", "31fb751e85a60b168139dd8f986f68c5066474e9")</f>
        <v>0</v>
      </c>
      <c r="C11">
        <f>HYPERLINK("https://android.googlesource.com/platform/cts/+/da7d28e55d788988c699cef67d3ef18accf42aa1", "da7d28e55d788988c699cef67d3ef18accf42aa1")</f>
        <v>0</v>
      </c>
      <c r="D11" t="s">
        <v>11971</v>
      </c>
      <c r="E11" t="s">
        <v>12554</v>
      </c>
      <c r="F11" t="s">
        <v>14469</v>
      </c>
      <c r="G11" t="s">
        <v>17316</v>
      </c>
      <c r="H11" t="s">
        <v>795</v>
      </c>
      <c r="I11" t="s">
        <v>1357</v>
      </c>
      <c r="J11" t="s">
        <v>1357</v>
      </c>
      <c r="K11" t="s">
        <v>1357</v>
      </c>
      <c r="L11" t="s">
        <v>1357</v>
      </c>
      <c r="M11" t="s">
        <v>27476</v>
      </c>
    </row>
    <row r="12" spans="1:14">
      <c r="A12" t="s">
        <v>9986</v>
      </c>
      <c r="B12">
        <f>HYPERLINK("https://android.googlesource.com/platform/cts/+/5461caa9e82511581178730ff7d3913050e62d27", "5461caa9e82511581178730ff7d3913050e62d27")</f>
        <v>0</v>
      </c>
      <c r="C12">
        <f>HYPERLINK("https://android.googlesource.com/platform/cts/+/c8a5cde6a4f8f126d29fd48a9c76ca205e46d6fc", "c8a5cde6a4f8f126d29fd48a9c76ca205e46d6fc")</f>
        <v>0</v>
      </c>
      <c r="D12" t="s">
        <v>11971</v>
      </c>
      <c r="E12" t="s">
        <v>12555</v>
      </c>
      <c r="F12" t="s">
        <v>14470</v>
      </c>
      <c r="G12" t="s">
        <v>17317</v>
      </c>
      <c r="H12" t="s">
        <v>19891</v>
      </c>
      <c r="I12" t="s">
        <v>1358</v>
      </c>
      <c r="J12" t="s">
        <v>1358</v>
      </c>
      <c r="K12" t="s">
        <v>1358</v>
      </c>
      <c r="L12" t="s">
        <v>1358</v>
      </c>
    </row>
    <row r="13" spans="1:14">
      <c r="H13" t="s">
        <v>19892</v>
      </c>
      <c r="I13" t="s">
        <v>1358</v>
      </c>
      <c r="J13" t="s">
        <v>1358</v>
      </c>
      <c r="K13" t="s">
        <v>1358</v>
      </c>
      <c r="L13" t="s">
        <v>1358</v>
      </c>
    </row>
    <row r="14" spans="1:14">
      <c r="H14" t="s">
        <v>19893</v>
      </c>
      <c r="I14" t="s">
        <v>1358</v>
      </c>
      <c r="J14" t="s">
        <v>1358</v>
      </c>
      <c r="K14" t="s">
        <v>1358</v>
      </c>
      <c r="L14" t="s">
        <v>1358</v>
      </c>
    </row>
    <row r="15" spans="1:14">
      <c r="H15" t="s">
        <v>19894</v>
      </c>
      <c r="I15" t="s">
        <v>1358</v>
      </c>
      <c r="J15" t="s">
        <v>1358</v>
      </c>
      <c r="K15" t="s">
        <v>1358</v>
      </c>
      <c r="L15" t="s">
        <v>1358</v>
      </c>
    </row>
    <row r="16" spans="1:14">
      <c r="H16" t="s">
        <v>19895</v>
      </c>
      <c r="I16" t="s">
        <v>1358</v>
      </c>
      <c r="J16" t="s">
        <v>1358</v>
      </c>
      <c r="K16" t="s">
        <v>1358</v>
      </c>
      <c r="L16" t="s">
        <v>1358</v>
      </c>
    </row>
    <row r="17" spans="1:13">
      <c r="H17" t="s">
        <v>19896</v>
      </c>
      <c r="I17" t="s">
        <v>1358</v>
      </c>
      <c r="J17" t="s">
        <v>1358</v>
      </c>
      <c r="K17" t="s">
        <v>1358</v>
      </c>
      <c r="L17" t="s">
        <v>1358</v>
      </c>
    </row>
    <row r="18" spans="1:13">
      <c r="H18" t="s">
        <v>19897</v>
      </c>
      <c r="I18" t="s">
        <v>1358</v>
      </c>
      <c r="J18" t="s">
        <v>1358</v>
      </c>
      <c r="K18" t="s">
        <v>1358</v>
      </c>
      <c r="L18" t="s">
        <v>1358</v>
      </c>
    </row>
    <row r="19" spans="1:13">
      <c r="H19" t="s">
        <v>19898</v>
      </c>
      <c r="I19" t="s">
        <v>1358</v>
      </c>
      <c r="J19" t="s">
        <v>1358</v>
      </c>
      <c r="K19" t="s">
        <v>1358</v>
      </c>
      <c r="L19" t="s">
        <v>1358</v>
      </c>
    </row>
    <row r="20" spans="1:13">
      <c r="H20" t="s">
        <v>19899</v>
      </c>
      <c r="I20" t="s">
        <v>1358</v>
      </c>
      <c r="J20" t="s">
        <v>1358</v>
      </c>
      <c r="K20" t="s">
        <v>1358</v>
      </c>
      <c r="L20" t="s">
        <v>1358</v>
      </c>
    </row>
    <row r="21" spans="1:13">
      <c r="A21" t="s">
        <v>9987</v>
      </c>
      <c r="B21">
        <f>HYPERLINK("https://android.googlesource.com/platform/cts/+/7bdb3e9acf6a4f8250a79b9d1d0d75899f6bd430", "7bdb3e9acf6a4f8250a79b9d1d0d75899f6bd430")</f>
        <v>0</v>
      </c>
      <c r="C21">
        <f>HYPERLINK("https://android.googlesource.com/platform/cts/+/e42765e10fbb0d480460b9a640f3130ffbd0f0e4", "e42765e10fbb0d480460b9a640f3130ffbd0f0e4")</f>
        <v>0</v>
      </c>
      <c r="D21" t="s">
        <v>11971</v>
      </c>
      <c r="E21" t="s">
        <v>12556</v>
      </c>
      <c r="F21" t="s">
        <v>14470</v>
      </c>
      <c r="G21" t="s">
        <v>17317</v>
      </c>
      <c r="H21" t="s">
        <v>19891</v>
      </c>
      <c r="I21" t="s">
        <v>1358</v>
      </c>
      <c r="J21" t="s">
        <v>1358</v>
      </c>
      <c r="K21" t="s">
        <v>1358</v>
      </c>
      <c r="L21" t="s">
        <v>1358</v>
      </c>
      <c r="M21" t="s">
        <v>27476</v>
      </c>
    </row>
    <row r="22" spans="1:13">
      <c r="H22" t="s">
        <v>19892</v>
      </c>
      <c r="I22" t="s">
        <v>1358</v>
      </c>
      <c r="J22" t="s">
        <v>1358</v>
      </c>
      <c r="K22" t="s">
        <v>1358</v>
      </c>
      <c r="L22" t="s">
        <v>1358</v>
      </c>
    </row>
    <row r="23" spans="1:13">
      <c r="H23" t="s">
        <v>19893</v>
      </c>
      <c r="I23" t="s">
        <v>1358</v>
      </c>
      <c r="J23" t="s">
        <v>1358</v>
      </c>
      <c r="K23" t="s">
        <v>1358</v>
      </c>
      <c r="L23" t="s">
        <v>1358</v>
      </c>
    </row>
    <row r="24" spans="1:13">
      <c r="H24" t="s">
        <v>19894</v>
      </c>
      <c r="I24" t="s">
        <v>1358</v>
      </c>
      <c r="J24" t="s">
        <v>1358</v>
      </c>
      <c r="K24" t="s">
        <v>1358</v>
      </c>
      <c r="L24" t="s">
        <v>1358</v>
      </c>
    </row>
    <row r="25" spans="1:13">
      <c r="H25" t="s">
        <v>19895</v>
      </c>
      <c r="I25" t="s">
        <v>1358</v>
      </c>
      <c r="J25" t="s">
        <v>1358</v>
      </c>
      <c r="K25" t="s">
        <v>1358</v>
      </c>
      <c r="L25" t="s">
        <v>1358</v>
      </c>
    </row>
    <row r="26" spans="1:13">
      <c r="H26" t="s">
        <v>19896</v>
      </c>
      <c r="I26" t="s">
        <v>1358</v>
      </c>
      <c r="J26" t="s">
        <v>1358</v>
      </c>
      <c r="K26" t="s">
        <v>1358</v>
      </c>
      <c r="L26" t="s">
        <v>1358</v>
      </c>
    </row>
    <row r="27" spans="1:13">
      <c r="H27" t="s">
        <v>19897</v>
      </c>
      <c r="I27" t="s">
        <v>1358</v>
      </c>
      <c r="J27" t="s">
        <v>1358</v>
      </c>
      <c r="K27" t="s">
        <v>1358</v>
      </c>
      <c r="L27" t="s">
        <v>1358</v>
      </c>
    </row>
    <row r="28" spans="1:13">
      <c r="H28" t="s">
        <v>19898</v>
      </c>
      <c r="I28" t="s">
        <v>1358</v>
      </c>
      <c r="J28" t="s">
        <v>1358</v>
      </c>
      <c r="K28" t="s">
        <v>1358</v>
      </c>
      <c r="L28" t="s">
        <v>1358</v>
      </c>
    </row>
    <row r="29" spans="1:13">
      <c r="H29" t="s">
        <v>19899</v>
      </c>
      <c r="I29" t="s">
        <v>1358</v>
      </c>
      <c r="J29" t="s">
        <v>1358</v>
      </c>
      <c r="K29" t="s">
        <v>1358</v>
      </c>
      <c r="L29" t="s">
        <v>1358</v>
      </c>
    </row>
    <row r="30" spans="1:13">
      <c r="A30" t="s">
        <v>9988</v>
      </c>
      <c r="B30">
        <f>HYPERLINK("https://android.googlesource.com/platform/cts/+/23546ce4f79a5fbc4bb6efba0e537425e419366b", "23546ce4f79a5fbc4bb6efba0e537425e419366b")</f>
        <v>0</v>
      </c>
      <c r="C30">
        <f>HYPERLINK("https://android.googlesource.com/platform/cts/+/3058575c7c48aab21858e969e070466160e65ef1", "3058575c7c48aab21858e969e070466160e65ef1")</f>
        <v>0</v>
      </c>
      <c r="D30" t="s">
        <v>11971</v>
      </c>
      <c r="E30" t="s">
        <v>12557</v>
      </c>
      <c r="F30" t="s">
        <v>14470</v>
      </c>
      <c r="G30" t="s">
        <v>17317</v>
      </c>
      <c r="H30" t="s">
        <v>19891</v>
      </c>
      <c r="I30" t="s">
        <v>1358</v>
      </c>
      <c r="J30" t="s">
        <v>1358</v>
      </c>
      <c r="K30" t="s">
        <v>1358</v>
      </c>
      <c r="L30" t="s">
        <v>1358</v>
      </c>
    </row>
    <row r="31" spans="1:13">
      <c r="H31" t="s">
        <v>19892</v>
      </c>
      <c r="I31" t="s">
        <v>1358</v>
      </c>
      <c r="J31" t="s">
        <v>1358</v>
      </c>
      <c r="K31" t="s">
        <v>1358</v>
      </c>
      <c r="L31" t="s">
        <v>1358</v>
      </c>
    </row>
    <row r="32" spans="1:13">
      <c r="H32" t="s">
        <v>19893</v>
      </c>
      <c r="I32" t="s">
        <v>1358</v>
      </c>
      <c r="J32" t="s">
        <v>1358</v>
      </c>
      <c r="K32" t="s">
        <v>1358</v>
      </c>
      <c r="L32" t="s">
        <v>1358</v>
      </c>
      <c r="M32" t="s">
        <v>27476</v>
      </c>
    </row>
    <row r="33" spans="1:14">
      <c r="H33" t="s">
        <v>19894</v>
      </c>
      <c r="I33" t="s">
        <v>1358</v>
      </c>
      <c r="J33" t="s">
        <v>1358</v>
      </c>
      <c r="K33" t="s">
        <v>1358</v>
      </c>
      <c r="L33" t="s">
        <v>1358</v>
      </c>
    </row>
    <row r="34" spans="1:14">
      <c r="H34" t="s">
        <v>19895</v>
      </c>
      <c r="I34" t="s">
        <v>1358</v>
      </c>
      <c r="J34" t="s">
        <v>1358</v>
      </c>
      <c r="K34" t="s">
        <v>1358</v>
      </c>
      <c r="L34" t="s">
        <v>1358</v>
      </c>
    </row>
    <row r="35" spans="1:14">
      <c r="H35" t="s">
        <v>19896</v>
      </c>
      <c r="I35" t="s">
        <v>1358</v>
      </c>
      <c r="J35" t="s">
        <v>1358</v>
      </c>
      <c r="K35" t="s">
        <v>1358</v>
      </c>
      <c r="L35" t="s">
        <v>1358</v>
      </c>
    </row>
    <row r="36" spans="1:14">
      <c r="H36" t="s">
        <v>19897</v>
      </c>
      <c r="I36" t="s">
        <v>1358</v>
      </c>
      <c r="J36" t="s">
        <v>1358</v>
      </c>
      <c r="K36" t="s">
        <v>1358</v>
      </c>
      <c r="L36" t="s">
        <v>1358</v>
      </c>
    </row>
    <row r="37" spans="1:14">
      <c r="H37" t="s">
        <v>19898</v>
      </c>
      <c r="I37" t="s">
        <v>1358</v>
      </c>
      <c r="J37" t="s">
        <v>1358</v>
      </c>
      <c r="K37" t="s">
        <v>1358</v>
      </c>
      <c r="L37" t="s">
        <v>1358</v>
      </c>
    </row>
    <row r="38" spans="1:14">
      <c r="H38" t="s">
        <v>19899</v>
      </c>
      <c r="I38" t="s">
        <v>1358</v>
      </c>
      <c r="J38" t="s">
        <v>1358</v>
      </c>
      <c r="K38" t="s">
        <v>1358</v>
      </c>
      <c r="L38" t="s">
        <v>1358</v>
      </c>
    </row>
    <row r="39" spans="1:14">
      <c r="A39" t="s">
        <v>9989</v>
      </c>
      <c r="B39">
        <f>HYPERLINK("https://android.googlesource.com/platform/cts/+/86ed74f939f577097fa1069965fa6268581d914f", "86ed74f939f577097fa1069965fa6268581d914f")</f>
        <v>0</v>
      </c>
      <c r="C39">
        <f>HYPERLINK("https://android.googlesource.com/platform/cts/+/2cc27de07eb0cbb9196cc8d23a23e313b0861390", "2cc27de07eb0cbb9196cc8d23a23e313b0861390")</f>
        <v>0</v>
      </c>
      <c r="D39" t="s">
        <v>11971</v>
      </c>
      <c r="E39" t="s">
        <v>12558</v>
      </c>
      <c r="F39" t="s">
        <v>14471</v>
      </c>
      <c r="G39" t="s">
        <v>17318</v>
      </c>
      <c r="H39" t="s">
        <v>19900</v>
      </c>
      <c r="I39" t="s">
        <v>1357</v>
      </c>
      <c r="J39" t="s">
        <v>1357</v>
      </c>
      <c r="K39" t="s">
        <v>1357</v>
      </c>
      <c r="L39" t="s">
        <v>1357</v>
      </c>
    </row>
    <row r="40" spans="1:14">
      <c r="A40" t="s">
        <v>9990</v>
      </c>
      <c r="B40">
        <f>HYPERLINK("https://android.googlesource.com/platform/cts/+/60db5a8fec187a5533b574ea408dd235595d28c5", "60db5a8fec187a5533b574ea408dd235595d28c5")</f>
        <v>0</v>
      </c>
      <c r="C40">
        <f>HYPERLINK("https://android.googlesource.com/platform/cts/+/cdeeb5b288e9c6a250884b3a9f7974ea91c42d24", "cdeeb5b288e9c6a250884b3a9f7974ea91c42d24")</f>
        <v>0</v>
      </c>
      <c r="D40" t="s">
        <v>11971</v>
      </c>
      <c r="E40" t="s">
        <v>12559</v>
      </c>
      <c r="F40" t="s">
        <v>14472</v>
      </c>
      <c r="G40" t="s">
        <v>17319</v>
      </c>
      <c r="H40" t="s">
        <v>19901</v>
      </c>
      <c r="I40" t="s">
        <v>1358</v>
      </c>
      <c r="J40" t="s">
        <v>1358</v>
      </c>
      <c r="K40" t="s">
        <v>1358</v>
      </c>
      <c r="L40" t="s">
        <v>1358</v>
      </c>
      <c r="N40" t="s">
        <v>9968</v>
      </c>
    </row>
    <row r="41" spans="1:14">
      <c r="H41" t="s">
        <v>19902</v>
      </c>
      <c r="I41" t="s">
        <v>1358</v>
      </c>
      <c r="J41" t="s">
        <v>1358</v>
      </c>
      <c r="K41" t="s">
        <v>1358</v>
      </c>
      <c r="L41" t="s">
        <v>1358</v>
      </c>
      <c r="N41" t="s">
        <v>9968</v>
      </c>
    </row>
    <row r="42" spans="1:14">
      <c r="H42" t="s">
        <v>19903</v>
      </c>
      <c r="I42" t="s">
        <v>1358</v>
      </c>
      <c r="J42" t="s">
        <v>1358</v>
      </c>
      <c r="K42" t="s">
        <v>1358</v>
      </c>
      <c r="L42" t="s">
        <v>1358</v>
      </c>
      <c r="N42" t="s">
        <v>9968</v>
      </c>
    </row>
    <row r="43" spans="1:14">
      <c r="H43" t="s">
        <v>19904</v>
      </c>
      <c r="I43" t="s">
        <v>1358</v>
      </c>
      <c r="J43" t="s">
        <v>1358</v>
      </c>
      <c r="K43" t="s">
        <v>1358</v>
      </c>
      <c r="L43" t="s">
        <v>1358</v>
      </c>
      <c r="N43" t="s">
        <v>9968</v>
      </c>
    </row>
    <row r="44" spans="1:14">
      <c r="H44" t="s">
        <v>19905</v>
      </c>
      <c r="I44" t="s">
        <v>1358</v>
      </c>
      <c r="J44" t="s">
        <v>1358</v>
      </c>
      <c r="K44" t="s">
        <v>1358</v>
      </c>
      <c r="L44" t="s">
        <v>1358</v>
      </c>
      <c r="N44" t="s">
        <v>9968</v>
      </c>
    </row>
    <row r="45" spans="1:14">
      <c r="H45" t="s">
        <v>19906</v>
      </c>
      <c r="I45" t="s">
        <v>1358</v>
      </c>
      <c r="J45" t="s">
        <v>1358</v>
      </c>
      <c r="K45" t="s">
        <v>1358</v>
      </c>
      <c r="L45" t="s">
        <v>1358</v>
      </c>
      <c r="N45" t="s">
        <v>9968</v>
      </c>
    </row>
    <row r="46" spans="1:14">
      <c r="A46" t="s">
        <v>9991</v>
      </c>
      <c r="B46">
        <f>HYPERLINK("https://android.googlesource.com/platform/cts/+/35074ac61cf15ed16fa1cb3cbcaa60d29db7f4c8", "35074ac61cf15ed16fa1cb3cbcaa60d29db7f4c8")</f>
        <v>0</v>
      </c>
      <c r="C46">
        <f>HYPERLINK("https://android.googlesource.com/platform/cts/+/ea0ecf0189315993a707aa7c3a807bf215536932", "ea0ecf0189315993a707aa7c3a807bf215536932")</f>
        <v>0</v>
      </c>
      <c r="D46" t="s">
        <v>11972</v>
      </c>
      <c r="E46" t="s">
        <v>12560</v>
      </c>
      <c r="F46" t="s">
        <v>14473</v>
      </c>
      <c r="G46" t="s">
        <v>17320</v>
      </c>
      <c r="H46" t="s">
        <v>19907</v>
      </c>
      <c r="I46" t="s">
        <v>1357</v>
      </c>
      <c r="J46" t="s">
        <v>1357</v>
      </c>
      <c r="K46" t="s">
        <v>1357</v>
      </c>
      <c r="L46" t="s">
        <v>1357</v>
      </c>
    </row>
    <row r="47" spans="1:14">
      <c r="A47" t="s">
        <v>9992</v>
      </c>
      <c r="B47">
        <f>HYPERLINK("https://android.googlesource.com/platform/cts/+/707e13f29c58725e8cd8b2feae36c989bf78dabb", "707e13f29c58725e8cd8b2feae36c989bf78dabb")</f>
        <v>0</v>
      </c>
      <c r="C47">
        <f>HYPERLINK("https://android.googlesource.com/platform/cts/+/debd3ce7a51a51bafa414bca3dd63f98fb9d978c", "debd3ce7a51a51bafa414bca3dd63f98fb9d978c")</f>
        <v>0</v>
      </c>
      <c r="D47" t="s">
        <v>11971</v>
      </c>
      <c r="E47" t="s">
        <v>12561</v>
      </c>
      <c r="F47" t="s">
        <v>14474</v>
      </c>
      <c r="G47" t="s">
        <v>17321</v>
      </c>
      <c r="H47" t="s">
        <v>19900</v>
      </c>
      <c r="I47" t="s">
        <v>1357</v>
      </c>
      <c r="J47" t="s">
        <v>1357</v>
      </c>
      <c r="K47" t="s">
        <v>1357</v>
      </c>
      <c r="L47" t="s">
        <v>1357</v>
      </c>
    </row>
    <row r="48" spans="1:14">
      <c r="A48" t="s">
        <v>9993</v>
      </c>
      <c r="B48">
        <f>HYPERLINK("https://android.googlesource.com/platform/cts/+/b99c55b1a4098b369496068399f5f9eb7664f8e1", "b99c55b1a4098b369496068399f5f9eb7664f8e1")</f>
        <v>0</v>
      </c>
      <c r="C48">
        <f>HYPERLINK("https://android.googlesource.com/platform/cts/+/9c8b7ebce1208a6b5b788199b8d5cab7f78221d9", "9c8b7ebce1208a6b5b788199b8d5cab7f78221d9")</f>
        <v>0</v>
      </c>
      <c r="D48" t="s">
        <v>11973</v>
      </c>
      <c r="E48" t="s">
        <v>12562</v>
      </c>
      <c r="F48" t="s">
        <v>14475</v>
      </c>
      <c r="G48" t="s">
        <v>17322</v>
      </c>
      <c r="H48" t="s">
        <v>19908</v>
      </c>
      <c r="I48" t="s">
        <v>1357</v>
      </c>
      <c r="J48" t="s">
        <v>1357</v>
      </c>
      <c r="K48" t="s">
        <v>1357</v>
      </c>
      <c r="L48" t="s">
        <v>1357</v>
      </c>
    </row>
    <row r="49" spans="1:13">
      <c r="F49" t="s">
        <v>14476</v>
      </c>
      <c r="G49" t="s">
        <v>17323</v>
      </c>
      <c r="H49" t="s">
        <v>19908</v>
      </c>
      <c r="I49" t="s">
        <v>1357</v>
      </c>
      <c r="J49" t="s">
        <v>1357</v>
      </c>
      <c r="K49" t="s">
        <v>1357</v>
      </c>
      <c r="L49" t="s">
        <v>1357</v>
      </c>
    </row>
    <row r="50" spans="1:13">
      <c r="H50" t="s">
        <v>19909</v>
      </c>
      <c r="I50" t="s">
        <v>1357</v>
      </c>
      <c r="J50" t="s">
        <v>1357</v>
      </c>
      <c r="K50" t="s">
        <v>1357</v>
      </c>
      <c r="L50" t="s">
        <v>1357</v>
      </c>
    </row>
    <row r="51" spans="1:13">
      <c r="A51" t="s">
        <v>9994</v>
      </c>
      <c r="B51">
        <f>HYPERLINK("https://android.googlesource.com/platform/cts/+/72b705b4df314c5cb81a9db2347fb6a6f9384b9a", "72b705b4df314c5cb81a9db2347fb6a6f9384b9a")</f>
        <v>0</v>
      </c>
      <c r="C51">
        <f>HYPERLINK("https://android.googlesource.com/platform/cts/+/5d79c6fabf27d80d9373fd10e1d5dbbb58370c22", "5d79c6fabf27d80d9373fd10e1d5dbbb58370c22")</f>
        <v>0</v>
      </c>
      <c r="D51" t="s">
        <v>11974</v>
      </c>
      <c r="E51" t="s">
        <v>12563</v>
      </c>
      <c r="F51" t="s">
        <v>14477</v>
      </c>
      <c r="G51" t="s">
        <v>17324</v>
      </c>
      <c r="H51" t="s">
        <v>19910</v>
      </c>
      <c r="I51" t="s">
        <v>1357</v>
      </c>
      <c r="J51" t="s">
        <v>1357</v>
      </c>
      <c r="K51" t="s">
        <v>1357</v>
      </c>
      <c r="L51" t="s">
        <v>1357</v>
      </c>
    </row>
    <row r="52" spans="1:13">
      <c r="H52" t="s">
        <v>19911</v>
      </c>
      <c r="I52" t="s">
        <v>1357</v>
      </c>
      <c r="J52" t="s">
        <v>1357</v>
      </c>
      <c r="K52" t="s">
        <v>1357</v>
      </c>
      <c r="L52" t="s">
        <v>1357</v>
      </c>
    </row>
    <row r="53" spans="1:13">
      <c r="A53" t="s">
        <v>9995</v>
      </c>
      <c r="B53">
        <f>HYPERLINK("https://android.googlesource.com/platform/cts/+/ce5353465568cca84f2a0998cdc3eb27750aeaa0", "ce5353465568cca84f2a0998cdc3eb27750aeaa0")</f>
        <v>0</v>
      </c>
      <c r="C53">
        <f>HYPERLINK("https://android.googlesource.com/platform/cts/+/d9e4c123f8d24a1ae4395a0e649bf57c9d02a837", "d9e4c123f8d24a1ae4395a0e649bf57c9d02a837")</f>
        <v>0</v>
      </c>
      <c r="D53" t="s">
        <v>11975</v>
      </c>
      <c r="E53" t="s">
        <v>12564</v>
      </c>
      <c r="F53" t="s">
        <v>14478</v>
      </c>
      <c r="G53" t="s">
        <v>17325</v>
      </c>
      <c r="H53" t="s">
        <v>19912</v>
      </c>
      <c r="I53" t="s">
        <v>1357</v>
      </c>
      <c r="J53" t="s">
        <v>1357</v>
      </c>
      <c r="K53" t="s">
        <v>1357</v>
      </c>
      <c r="L53" t="s">
        <v>1357</v>
      </c>
    </row>
    <row r="54" spans="1:13">
      <c r="H54" t="s">
        <v>19913</v>
      </c>
      <c r="I54" t="s">
        <v>1359</v>
      </c>
      <c r="J54" t="s">
        <v>1358</v>
      </c>
      <c r="K54" t="s">
        <v>1357</v>
      </c>
      <c r="L54" t="s">
        <v>1358</v>
      </c>
    </row>
    <row r="55" spans="1:13">
      <c r="H55" t="s">
        <v>19914</v>
      </c>
      <c r="I55" t="s">
        <v>1357</v>
      </c>
      <c r="J55" t="s">
        <v>1357</v>
      </c>
      <c r="K55" t="s">
        <v>1357</v>
      </c>
      <c r="L55" t="s">
        <v>1357</v>
      </c>
    </row>
    <row r="56" spans="1:13">
      <c r="H56" t="s">
        <v>19915</v>
      </c>
      <c r="I56" t="s">
        <v>1357</v>
      </c>
      <c r="J56" t="s">
        <v>1357</v>
      </c>
      <c r="K56" t="s">
        <v>1357</v>
      </c>
      <c r="L56" t="s">
        <v>1357</v>
      </c>
    </row>
    <row r="57" spans="1:13">
      <c r="H57" t="s">
        <v>19916</v>
      </c>
      <c r="I57" t="s">
        <v>1357</v>
      </c>
      <c r="J57" t="s">
        <v>1357</v>
      </c>
      <c r="K57" t="s">
        <v>1357</v>
      </c>
      <c r="L57" t="s">
        <v>1357</v>
      </c>
    </row>
    <row r="58" spans="1:13">
      <c r="H58" t="s">
        <v>19917</v>
      </c>
      <c r="I58" t="s">
        <v>1357</v>
      </c>
      <c r="J58" t="s">
        <v>1357</v>
      </c>
      <c r="K58" t="s">
        <v>1357</v>
      </c>
      <c r="L58" t="s">
        <v>1357</v>
      </c>
    </row>
    <row r="59" spans="1:13">
      <c r="H59" t="s">
        <v>19918</v>
      </c>
      <c r="I59" t="s">
        <v>1358</v>
      </c>
      <c r="J59" t="s">
        <v>1358</v>
      </c>
      <c r="K59" t="s">
        <v>1358</v>
      </c>
      <c r="L59" t="s">
        <v>1358</v>
      </c>
    </row>
    <row r="60" spans="1:13">
      <c r="H60" t="s">
        <v>19919</v>
      </c>
      <c r="I60" t="s">
        <v>1357</v>
      </c>
      <c r="J60" t="s">
        <v>1357</v>
      </c>
      <c r="K60" t="s">
        <v>1357</v>
      </c>
      <c r="L60" t="s">
        <v>1357</v>
      </c>
    </row>
    <row r="61" spans="1:13">
      <c r="H61" t="s">
        <v>19920</v>
      </c>
      <c r="I61" t="s">
        <v>1359</v>
      </c>
      <c r="J61" t="s">
        <v>1358</v>
      </c>
      <c r="K61" t="s">
        <v>1357</v>
      </c>
      <c r="L61" t="s">
        <v>1358</v>
      </c>
    </row>
    <row r="62" spans="1:13">
      <c r="H62" t="s">
        <v>19921</v>
      </c>
      <c r="I62" t="s">
        <v>1358</v>
      </c>
      <c r="J62" t="s">
        <v>1358</v>
      </c>
      <c r="K62" t="s">
        <v>1357</v>
      </c>
      <c r="L62" t="s">
        <v>1358</v>
      </c>
      <c r="M62" t="s">
        <v>1361</v>
      </c>
    </row>
    <row r="63" spans="1:13">
      <c r="A63" t="s">
        <v>9996</v>
      </c>
      <c r="B63">
        <f>HYPERLINK("https://android.googlesource.com/platform/cts/+/3ba0b6150db73d97daedc177f99ed480778ecf41", "3ba0b6150db73d97daedc177f99ed480778ecf41")</f>
        <v>0</v>
      </c>
      <c r="C63">
        <f>HYPERLINK("https://android.googlesource.com/platform/cts/+/7facad782078e7787e96b3992222ad1ff75a4573", "7facad782078e7787e96b3992222ad1ff75a4573")</f>
        <v>0</v>
      </c>
      <c r="D63" t="s">
        <v>11974</v>
      </c>
      <c r="E63" t="s">
        <v>12565</v>
      </c>
      <c r="F63" t="s">
        <v>14479</v>
      </c>
      <c r="G63" t="s">
        <v>17326</v>
      </c>
      <c r="H63" t="s">
        <v>19900</v>
      </c>
      <c r="I63" t="s">
        <v>1357</v>
      </c>
      <c r="J63" t="s">
        <v>1357</v>
      </c>
      <c r="K63" t="s">
        <v>1357</v>
      </c>
      <c r="L63" t="s">
        <v>1357</v>
      </c>
      <c r="M63" t="s">
        <v>1360</v>
      </c>
    </row>
    <row r="64" spans="1:13">
      <c r="F64" t="s">
        <v>14480</v>
      </c>
      <c r="G64" t="s">
        <v>17327</v>
      </c>
      <c r="H64" t="s">
        <v>19900</v>
      </c>
      <c r="I64" t="s">
        <v>1357</v>
      </c>
      <c r="J64" t="s">
        <v>1357</v>
      </c>
      <c r="K64" t="s">
        <v>1357</v>
      </c>
      <c r="L64" t="s">
        <v>1357</v>
      </c>
    </row>
    <row r="65" spans="1:13">
      <c r="F65" t="s">
        <v>14481</v>
      </c>
      <c r="G65" t="s">
        <v>17328</v>
      </c>
      <c r="H65" t="s">
        <v>19922</v>
      </c>
      <c r="I65" t="s">
        <v>1357</v>
      </c>
      <c r="J65" t="s">
        <v>1357</v>
      </c>
      <c r="K65" t="s">
        <v>1357</v>
      </c>
      <c r="L65" t="s">
        <v>1357</v>
      </c>
      <c r="M65" t="s">
        <v>1360</v>
      </c>
    </row>
    <row r="66" spans="1:13">
      <c r="F66" t="s">
        <v>14482</v>
      </c>
      <c r="G66" t="s">
        <v>2915</v>
      </c>
      <c r="H66" t="s">
        <v>19900</v>
      </c>
      <c r="I66" t="s">
        <v>1357</v>
      </c>
      <c r="J66" t="s">
        <v>1357</v>
      </c>
      <c r="K66" t="s">
        <v>1357</v>
      </c>
      <c r="L66" t="s">
        <v>1357</v>
      </c>
    </row>
    <row r="67" spans="1:13">
      <c r="H67" t="s">
        <v>19923</v>
      </c>
      <c r="I67" t="s">
        <v>1358</v>
      </c>
      <c r="J67" t="s">
        <v>1358</v>
      </c>
      <c r="K67" t="s">
        <v>1358</v>
      </c>
      <c r="L67" t="s">
        <v>1358</v>
      </c>
    </row>
    <row r="68" spans="1:13">
      <c r="H68" t="s">
        <v>19924</v>
      </c>
      <c r="I68" t="s">
        <v>1358</v>
      </c>
      <c r="J68" t="s">
        <v>1358</v>
      </c>
      <c r="K68" t="s">
        <v>1358</v>
      </c>
      <c r="L68" t="s">
        <v>1358</v>
      </c>
    </row>
    <row r="69" spans="1:13">
      <c r="F69" t="s">
        <v>14483</v>
      </c>
      <c r="G69" t="s">
        <v>17329</v>
      </c>
      <c r="H69" t="s">
        <v>19900</v>
      </c>
      <c r="I69" t="s">
        <v>1357</v>
      </c>
      <c r="J69" t="s">
        <v>1357</v>
      </c>
      <c r="K69" t="s">
        <v>1357</v>
      </c>
      <c r="L69" t="s">
        <v>1357</v>
      </c>
    </row>
    <row r="70" spans="1:13">
      <c r="F70" t="s">
        <v>14484</v>
      </c>
      <c r="G70" t="s">
        <v>17330</v>
      </c>
      <c r="H70" t="s">
        <v>19900</v>
      </c>
      <c r="I70" t="s">
        <v>1357</v>
      </c>
      <c r="J70" t="s">
        <v>1357</v>
      </c>
      <c r="K70" t="s">
        <v>1357</v>
      </c>
      <c r="L70" t="s">
        <v>1357</v>
      </c>
    </row>
    <row r="71" spans="1:13">
      <c r="F71" t="s">
        <v>14485</v>
      </c>
      <c r="G71" t="s">
        <v>17331</v>
      </c>
      <c r="H71" t="s">
        <v>19900</v>
      </c>
      <c r="I71" t="s">
        <v>1357</v>
      </c>
      <c r="J71" t="s">
        <v>1357</v>
      </c>
      <c r="K71" t="s">
        <v>1357</v>
      </c>
      <c r="L71" t="s">
        <v>1357</v>
      </c>
    </row>
    <row r="72" spans="1:13">
      <c r="A72" t="s">
        <v>9997</v>
      </c>
      <c r="B72">
        <f>HYPERLINK("https://android.googlesource.com/platform/cts/+/746033319bd79b766bd82fca4a13ed66ff4aadec", "746033319bd79b766bd82fca4a13ed66ff4aadec")</f>
        <v>0</v>
      </c>
      <c r="C72">
        <f>HYPERLINK("https://android.googlesource.com/platform/cts/+/703563d0016f3cf307920d24f5151b0cdbf862dd", "703563d0016f3cf307920d24f5151b0cdbf862dd")</f>
        <v>0</v>
      </c>
      <c r="D72" t="s">
        <v>11974</v>
      </c>
      <c r="E72" t="s">
        <v>12566</v>
      </c>
      <c r="F72" t="s">
        <v>14486</v>
      </c>
      <c r="G72" t="s">
        <v>17332</v>
      </c>
      <c r="H72" t="s">
        <v>19925</v>
      </c>
      <c r="I72" t="s">
        <v>1359</v>
      </c>
      <c r="J72" t="s">
        <v>1358</v>
      </c>
      <c r="K72" t="s">
        <v>1357</v>
      </c>
      <c r="L72" t="s">
        <v>1358</v>
      </c>
      <c r="M72" t="s">
        <v>1360</v>
      </c>
    </row>
    <row r="73" spans="1:13">
      <c r="H73" t="s">
        <v>19926</v>
      </c>
      <c r="I73" t="s">
        <v>1359</v>
      </c>
      <c r="J73" t="s">
        <v>1358</v>
      </c>
      <c r="K73" t="s">
        <v>1357</v>
      </c>
      <c r="L73" t="s">
        <v>1358</v>
      </c>
      <c r="M73" t="s">
        <v>1360</v>
      </c>
    </row>
    <row r="74" spans="1:13">
      <c r="H74" t="s">
        <v>19927</v>
      </c>
      <c r="I74" t="s">
        <v>1359</v>
      </c>
      <c r="J74" t="s">
        <v>1358</v>
      </c>
      <c r="K74" t="s">
        <v>1357</v>
      </c>
      <c r="L74" t="s">
        <v>1358</v>
      </c>
      <c r="M74" t="s">
        <v>1360</v>
      </c>
    </row>
    <row r="75" spans="1:13">
      <c r="H75" t="s">
        <v>19928</v>
      </c>
      <c r="I75" t="s">
        <v>1359</v>
      </c>
      <c r="J75" t="s">
        <v>1358</v>
      </c>
      <c r="K75" t="s">
        <v>1357</v>
      </c>
      <c r="L75" t="s">
        <v>1358</v>
      </c>
      <c r="M75" t="s">
        <v>1360</v>
      </c>
    </row>
    <row r="76" spans="1:13">
      <c r="H76" t="s">
        <v>19929</v>
      </c>
      <c r="I76" t="s">
        <v>1359</v>
      </c>
      <c r="J76" t="s">
        <v>1358</v>
      </c>
      <c r="K76" t="s">
        <v>1357</v>
      </c>
      <c r="L76" t="s">
        <v>1358</v>
      </c>
      <c r="M76" t="s">
        <v>1360</v>
      </c>
    </row>
    <row r="77" spans="1:13">
      <c r="H77" t="s">
        <v>19930</v>
      </c>
      <c r="I77" t="s">
        <v>1359</v>
      </c>
      <c r="J77" t="s">
        <v>1358</v>
      </c>
      <c r="K77" t="s">
        <v>1357</v>
      </c>
      <c r="L77" t="s">
        <v>1358</v>
      </c>
      <c r="M77" t="s">
        <v>1360</v>
      </c>
    </row>
    <row r="78" spans="1:13">
      <c r="A78" t="s">
        <v>9998</v>
      </c>
      <c r="B78">
        <f>HYPERLINK("https://android.googlesource.com/platform/cts/+/80b2b0414cfb461c562d4133e242daa341ed3bcb", "80b2b0414cfb461c562d4133e242daa341ed3bcb")</f>
        <v>0</v>
      </c>
      <c r="C78">
        <f>HYPERLINK("https://android.googlesource.com/platform/cts/+/4dd61d245f7903f483a74c3ce0261b7355c9a3c9", "4dd61d245f7903f483a74c3ce0261b7355c9a3c9")</f>
        <v>0</v>
      </c>
      <c r="D78" t="s">
        <v>11974</v>
      </c>
      <c r="E78" t="s">
        <v>12567</v>
      </c>
      <c r="F78" t="s">
        <v>14487</v>
      </c>
      <c r="G78" t="s">
        <v>17333</v>
      </c>
      <c r="H78" t="s">
        <v>19931</v>
      </c>
      <c r="I78" t="s">
        <v>1357</v>
      </c>
      <c r="J78" t="s">
        <v>1357</v>
      </c>
      <c r="K78" t="s">
        <v>1357</v>
      </c>
      <c r="L78" t="s">
        <v>1357</v>
      </c>
    </row>
    <row r="79" spans="1:13">
      <c r="H79" t="s">
        <v>19932</v>
      </c>
      <c r="I79" t="s">
        <v>1357</v>
      </c>
      <c r="J79" t="s">
        <v>1357</v>
      </c>
      <c r="K79" t="s">
        <v>1357</v>
      </c>
      <c r="L79" t="s">
        <v>1357</v>
      </c>
    </row>
    <row r="80" spans="1:13">
      <c r="H80" t="s">
        <v>3843</v>
      </c>
      <c r="I80" t="s">
        <v>1357</v>
      </c>
      <c r="J80" t="s">
        <v>1357</v>
      </c>
      <c r="K80" t="s">
        <v>1357</v>
      </c>
      <c r="L80" t="s">
        <v>1357</v>
      </c>
    </row>
    <row r="81" spans="1:12">
      <c r="F81" t="s">
        <v>14488</v>
      </c>
      <c r="G81" t="s">
        <v>17334</v>
      </c>
      <c r="H81" t="s">
        <v>19933</v>
      </c>
      <c r="I81" t="s">
        <v>1358</v>
      </c>
      <c r="J81" t="s">
        <v>1358</v>
      </c>
      <c r="K81" t="s">
        <v>1358</v>
      </c>
      <c r="L81" t="s">
        <v>1358</v>
      </c>
    </row>
    <row r="82" spans="1:12">
      <c r="H82" t="s">
        <v>19934</v>
      </c>
      <c r="I82" t="s">
        <v>1357</v>
      </c>
      <c r="J82" t="s">
        <v>1357</v>
      </c>
      <c r="K82" t="s">
        <v>1357</v>
      </c>
      <c r="L82" t="s">
        <v>1357</v>
      </c>
    </row>
    <row r="83" spans="1:12">
      <c r="H83" t="s">
        <v>19935</v>
      </c>
      <c r="I83" t="s">
        <v>1357</v>
      </c>
      <c r="J83" t="s">
        <v>1357</v>
      </c>
      <c r="K83" t="s">
        <v>1357</v>
      </c>
      <c r="L83" t="s">
        <v>1357</v>
      </c>
    </row>
    <row r="84" spans="1:12">
      <c r="F84" t="s">
        <v>14489</v>
      </c>
      <c r="G84" t="s">
        <v>17335</v>
      </c>
      <c r="H84" t="s">
        <v>19936</v>
      </c>
      <c r="I84" t="s">
        <v>1359</v>
      </c>
      <c r="J84" t="s">
        <v>1358</v>
      </c>
      <c r="K84" t="s">
        <v>1357</v>
      </c>
      <c r="L84" t="s">
        <v>1358</v>
      </c>
    </row>
    <row r="85" spans="1:12">
      <c r="A85" t="s">
        <v>9999</v>
      </c>
      <c r="B85">
        <f>HYPERLINK("https://android.googlesource.com/platform/cts/+/e1a07a3a6fdd90d85ce7347a5fad4e4996942c3d", "e1a07a3a6fdd90d85ce7347a5fad4e4996942c3d")</f>
        <v>0</v>
      </c>
      <c r="C85">
        <f>HYPERLINK("https://android.googlesource.com/platform/cts/+/253ba6235e47a4b5b62e548be22b360fde0d593f", "253ba6235e47a4b5b62e548be22b360fde0d593f")</f>
        <v>0</v>
      </c>
      <c r="D85" t="s">
        <v>11976</v>
      </c>
      <c r="E85" t="s">
        <v>12568</v>
      </c>
      <c r="F85" t="s">
        <v>14490</v>
      </c>
      <c r="G85" t="s">
        <v>17336</v>
      </c>
      <c r="H85" t="s">
        <v>19937</v>
      </c>
      <c r="I85" t="s">
        <v>1358</v>
      </c>
      <c r="J85" t="s">
        <v>1358</v>
      </c>
      <c r="K85" t="s">
        <v>1358</v>
      </c>
      <c r="L85" t="s">
        <v>1358</v>
      </c>
    </row>
    <row r="86" spans="1:12">
      <c r="A86" t="s">
        <v>10000</v>
      </c>
      <c r="B86">
        <f>HYPERLINK("https://android.googlesource.com/platform/cts/+/e15a994531cd2f8db19ce0bdd8baed98ba2bfef3", "e15a994531cd2f8db19ce0bdd8baed98ba2bfef3")</f>
        <v>0</v>
      </c>
      <c r="C86">
        <f>HYPERLINK("https://android.googlesource.com/platform/cts/+/ae9efdf0063cf26d5d148dc9bee645d23d95edc0", "ae9efdf0063cf26d5d148dc9bee645d23d95edc0")</f>
        <v>0</v>
      </c>
      <c r="D86" t="s">
        <v>11975</v>
      </c>
      <c r="E86" t="s">
        <v>12569</v>
      </c>
      <c r="F86" t="s">
        <v>14491</v>
      </c>
      <c r="G86" t="s">
        <v>17337</v>
      </c>
      <c r="H86" t="s">
        <v>19938</v>
      </c>
      <c r="I86" t="s">
        <v>1358</v>
      </c>
      <c r="J86" t="s">
        <v>1358</v>
      </c>
      <c r="K86" t="s">
        <v>1358</v>
      </c>
      <c r="L86" t="s">
        <v>1358</v>
      </c>
    </row>
    <row r="87" spans="1:12">
      <c r="F87" t="s">
        <v>14492</v>
      </c>
      <c r="G87" t="s">
        <v>17338</v>
      </c>
      <c r="H87" t="s">
        <v>795</v>
      </c>
      <c r="I87" t="s">
        <v>1357</v>
      </c>
      <c r="J87" t="s">
        <v>1357</v>
      </c>
      <c r="K87" t="s">
        <v>1357</v>
      </c>
      <c r="L87" t="s">
        <v>1357</v>
      </c>
    </row>
    <row r="88" spans="1:12">
      <c r="H88" t="s">
        <v>19939</v>
      </c>
      <c r="I88" t="s">
        <v>1357</v>
      </c>
      <c r="J88" t="s">
        <v>1357</v>
      </c>
      <c r="K88" t="s">
        <v>1357</v>
      </c>
      <c r="L88" t="s">
        <v>1357</v>
      </c>
    </row>
    <row r="89" spans="1:12">
      <c r="H89" t="s">
        <v>19940</v>
      </c>
      <c r="I89" t="s">
        <v>1357</v>
      </c>
      <c r="J89" t="s">
        <v>1357</v>
      </c>
      <c r="K89" t="s">
        <v>1357</v>
      </c>
      <c r="L89" t="s">
        <v>1357</v>
      </c>
    </row>
    <row r="90" spans="1:12">
      <c r="H90" t="s">
        <v>19941</v>
      </c>
      <c r="I90" t="s">
        <v>1357</v>
      </c>
      <c r="J90" t="s">
        <v>1357</v>
      </c>
      <c r="K90" t="s">
        <v>1357</v>
      </c>
      <c r="L90" t="s">
        <v>1357</v>
      </c>
    </row>
    <row r="91" spans="1:12">
      <c r="H91" t="s">
        <v>19942</v>
      </c>
      <c r="I91" t="s">
        <v>1357</v>
      </c>
      <c r="J91" t="s">
        <v>1357</v>
      </c>
      <c r="K91" t="s">
        <v>1357</v>
      </c>
      <c r="L91" t="s">
        <v>1357</v>
      </c>
    </row>
    <row r="92" spans="1:12">
      <c r="F92" t="s">
        <v>14493</v>
      </c>
      <c r="G92" t="s">
        <v>17339</v>
      </c>
      <c r="H92" t="s">
        <v>795</v>
      </c>
      <c r="I92" t="s">
        <v>1357</v>
      </c>
      <c r="J92" t="s">
        <v>1357</v>
      </c>
      <c r="K92" t="s">
        <v>1357</v>
      </c>
      <c r="L92" t="s">
        <v>1357</v>
      </c>
    </row>
    <row r="93" spans="1:12">
      <c r="H93" t="s">
        <v>19943</v>
      </c>
      <c r="I93" t="s">
        <v>1357</v>
      </c>
      <c r="J93" t="s">
        <v>1357</v>
      </c>
      <c r="K93" t="s">
        <v>1357</v>
      </c>
      <c r="L93" t="s">
        <v>1357</v>
      </c>
    </row>
    <row r="94" spans="1:12">
      <c r="H94" t="s">
        <v>1077</v>
      </c>
      <c r="I94" t="s">
        <v>1357</v>
      </c>
      <c r="J94" t="s">
        <v>1357</v>
      </c>
      <c r="K94" t="s">
        <v>1357</v>
      </c>
      <c r="L94" t="s">
        <v>1357</v>
      </c>
    </row>
    <row r="95" spans="1:12">
      <c r="H95" t="s">
        <v>19944</v>
      </c>
      <c r="I95" t="s">
        <v>1357</v>
      </c>
      <c r="J95" t="s">
        <v>1357</v>
      </c>
      <c r="K95" t="s">
        <v>1357</v>
      </c>
      <c r="L95" t="s">
        <v>1357</v>
      </c>
    </row>
    <row r="96" spans="1:12">
      <c r="H96" t="s">
        <v>19945</v>
      </c>
      <c r="I96" t="s">
        <v>1357</v>
      </c>
      <c r="J96" t="s">
        <v>1357</v>
      </c>
      <c r="K96" t="s">
        <v>1357</v>
      </c>
      <c r="L96" t="s">
        <v>1357</v>
      </c>
    </row>
    <row r="97" spans="1:12">
      <c r="H97" t="s">
        <v>901</v>
      </c>
      <c r="I97" t="s">
        <v>1357</v>
      </c>
      <c r="J97" t="s">
        <v>1357</v>
      </c>
      <c r="K97" t="s">
        <v>1357</v>
      </c>
      <c r="L97" t="s">
        <v>1357</v>
      </c>
    </row>
    <row r="98" spans="1:12">
      <c r="H98" t="s">
        <v>19946</v>
      </c>
      <c r="I98" t="s">
        <v>1357</v>
      </c>
      <c r="J98" t="s">
        <v>1357</v>
      </c>
      <c r="K98" t="s">
        <v>1357</v>
      </c>
      <c r="L98" t="s">
        <v>1357</v>
      </c>
    </row>
    <row r="99" spans="1:12">
      <c r="H99" t="s">
        <v>19890</v>
      </c>
      <c r="I99" t="s">
        <v>1357</v>
      </c>
      <c r="J99" t="s">
        <v>1357</v>
      </c>
      <c r="K99" t="s">
        <v>1357</v>
      </c>
      <c r="L99" t="s">
        <v>1357</v>
      </c>
    </row>
    <row r="100" spans="1:12">
      <c r="H100" t="s">
        <v>19947</v>
      </c>
      <c r="I100" t="s">
        <v>1357</v>
      </c>
      <c r="J100" t="s">
        <v>1357</v>
      </c>
      <c r="K100" t="s">
        <v>1357</v>
      </c>
      <c r="L100" t="s">
        <v>1357</v>
      </c>
    </row>
    <row r="101" spans="1:12">
      <c r="H101" t="s">
        <v>19948</v>
      </c>
      <c r="I101" t="s">
        <v>1357</v>
      </c>
      <c r="J101" t="s">
        <v>1357</v>
      </c>
      <c r="K101" t="s">
        <v>1357</v>
      </c>
      <c r="L101" t="s">
        <v>1357</v>
      </c>
    </row>
    <row r="102" spans="1:12">
      <c r="H102" t="s">
        <v>19949</v>
      </c>
      <c r="I102" t="s">
        <v>1357</v>
      </c>
      <c r="J102" t="s">
        <v>1357</v>
      </c>
      <c r="K102" t="s">
        <v>1357</v>
      </c>
      <c r="L102" t="s">
        <v>1357</v>
      </c>
    </row>
    <row r="103" spans="1:12">
      <c r="F103" t="s">
        <v>14494</v>
      </c>
      <c r="G103" t="s">
        <v>17340</v>
      </c>
      <c r="H103" t="s">
        <v>795</v>
      </c>
      <c r="I103" t="s">
        <v>1357</v>
      </c>
      <c r="J103" t="s">
        <v>1357</v>
      </c>
      <c r="K103" t="s">
        <v>1357</v>
      </c>
      <c r="L103" t="s">
        <v>1357</v>
      </c>
    </row>
    <row r="104" spans="1:12">
      <c r="H104" t="s">
        <v>19890</v>
      </c>
      <c r="I104" t="s">
        <v>1357</v>
      </c>
      <c r="J104" t="s">
        <v>1357</v>
      </c>
      <c r="K104" t="s">
        <v>1357</v>
      </c>
      <c r="L104" t="s">
        <v>1357</v>
      </c>
    </row>
    <row r="105" spans="1:12">
      <c r="H105" t="s">
        <v>1077</v>
      </c>
      <c r="I105" t="s">
        <v>1357</v>
      </c>
      <c r="J105" t="s">
        <v>1357</v>
      </c>
      <c r="K105" t="s">
        <v>1357</v>
      </c>
      <c r="L105" t="s">
        <v>1357</v>
      </c>
    </row>
    <row r="106" spans="1:12">
      <c r="H106" t="s">
        <v>901</v>
      </c>
      <c r="I106" t="s">
        <v>1357</v>
      </c>
      <c r="J106" t="s">
        <v>1357</v>
      </c>
      <c r="K106" t="s">
        <v>1357</v>
      </c>
      <c r="L106" t="s">
        <v>1357</v>
      </c>
    </row>
    <row r="107" spans="1:12">
      <c r="H107" t="s">
        <v>19948</v>
      </c>
      <c r="I107" t="s">
        <v>1357</v>
      </c>
      <c r="J107" t="s">
        <v>1357</v>
      </c>
      <c r="K107" t="s">
        <v>1357</v>
      </c>
      <c r="L107" t="s">
        <v>1357</v>
      </c>
    </row>
    <row r="108" spans="1:12">
      <c r="A108" t="s">
        <v>10001</v>
      </c>
      <c r="B108">
        <f>HYPERLINK("https://android.googlesource.com/platform/cts/+/e091316b9f7e7c1dfffa80623188b8496769d398", "e091316b9f7e7c1dfffa80623188b8496769d398")</f>
        <v>0</v>
      </c>
      <c r="C108">
        <f>HYPERLINK("https://android.googlesource.com/platform/cts/+/93dbdba7785edccaac70679a2e67b510912db056", "93dbdba7785edccaac70679a2e67b510912db056")</f>
        <v>0</v>
      </c>
      <c r="D108" t="s">
        <v>11977</v>
      </c>
      <c r="E108" t="s">
        <v>12570</v>
      </c>
      <c r="F108" t="s">
        <v>14495</v>
      </c>
      <c r="G108" t="s">
        <v>17341</v>
      </c>
      <c r="H108" t="s">
        <v>19950</v>
      </c>
      <c r="I108" t="s">
        <v>1357</v>
      </c>
      <c r="J108" t="s">
        <v>1357</v>
      </c>
      <c r="K108" t="s">
        <v>1357</v>
      </c>
      <c r="L108" t="s">
        <v>1357</v>
      </c>
    </row>
    <row r="109" spans="1:12">
      <c r="A109" t="s">
        <v>10002</v>
      </c>
      <c r="B109">
        <f>HYPERLINK("https://android.googlesource.com/platform/cts/+/9fe411b2080259f227fbc90621bc2061572c8de4", "9fe411b2080259f227fbc90621bc2061572c8de4")</f>
        <v>0</v>
      </c>
      <c r="C109">
        <f>HYPERLINK("https://android.googlesource.com/platform/cts/+/455061f0b4c594e796084b7ee0afd7b98248d8aa", "455061f0b4c594e796084b7ee0afd7b98248d8aa")</f>
        <v>0</v>
      </c>
      <c r="D109" t="s">
        <v>11977</v>
      </c>
      <c r="E109" t="s">
        <v>12571</v>
      </c>
      <c r="F109" t="s">
        <v>14496</v>
      </c>
      <c r="G109" t="s">
        <v>17342</v>
      </c>
      <c r="H109" t="s">
        <v>19951</v>
      </c>
      <c r="I109" t="s">
        <v>1357</v>
      </c>
      <c r="J109" t="s">
        <v>1357</v>
      </c>
      <c r="K109" t="s">
        <v>1357</v>
      </c>
      <c r="L109" t="s">
        <v>1357</v>
      </c>
    </row>
    <row r="110" spans="1:12">
      <c r="H110" t="s">
        <v>19952</v>
      </c>
      <c r="I110" t="s">
        <v>1357</v>
      </c>
      <c r="J110" t="s">
        <v>1357</v>
      </c>
      <c r="K110" t="s">
        <v>1357</v>
      </c>
      <c r="L110" t="s">
        <v>1357</v>
      </c>
    </row>
    <row r="111" spans="1:12">
      <c r="A111" t="s">
        <v>10003</v>
      </c>
      <c r="B111">
        <f>HYPERLINK("https://android.googlesource.com/platform/cts/+/199ed6a44ac161ab32cbab3f69c0fe5fdf3401c5", "199ed6a44ac161ab32cbab3f69c0fe5fdf3401c5")</f>
        <v>0</v>
      </c>
      <c r="C111">
        <f>HYPERLINK("https://android.googlesource.com/platform/cts/+/fb4736d7c9c802a16705843dfafd4c775a4f2226", "fb4736d7c9c802a16705843dfafd4c775a4f2226")</f>
        <v>0</v>
      </c>
      <c r="D111" t="s">
        <v>11978</v>
      </c>
      <c r="E111" t="s">
        <v>12572</v>
      </c>
      <c r="F111" t="s">
        <v>14497</v>
      </c>
      <c r="G111" t="s">
        <v>17343</v>
      </c>
      <c r="H111" t="s">
        <v>19953</v>
      </c>
      <c r="I111" t="s">
        <v>1357</v>
      </c>
      <c r="J111" t="s">
        <v>1357</v>
      </c>
      <c r="K111" t="s">
        <v>1357</v>
      </c>
      <c r="L111" t="s">
        <v>1357</v>
      </c>
    </row>
    <row r="112" spans="1:12">
      <c r="A112" t="s">
        <v>10004</v>
      </c>
      <c r="B112">
        <f>HYPERLINK("https://android.googlesource.com/platform/cts/+/915bd6accb19cc43c295a313a556c0c9316a8259", "915bd6accb19cc43c295a313a556c0c9316a8259")</f>
        <v>0</v>
      </c>
      <c r="C112">
        <f>HYPERLINK("https://android.googlesource.com/platform/cts/+/b5e916bc4402ba3fa3411c4c52fc4af73ea61a43", "b5e916bc4402ba3fa3411c4c52fc4af73ea61a43")</f>
        <v>0</v>
      </c>
      <c r="D112" t="s">
        <v>11979</v>
      </c>
      <c r="E112" t="s">
        <v>12573</v>
      </c>
      <c r="F112" t="s">
        <v>14498</v>
      </c>
      <c r="G112" t="s">
        <v>17344</v>
      </c>
      <c r="H112" t="s">
        <v>19954</v>
      </c>
      <c r="I112" t="s">
        <v>1357</v>
      </c>
      <c r="J112" t="s">
        <v>1357</v>
      </c>
      <c r="K112" t="s">
        <v>1357</v>
      </c>
      <c r="L112" t="s">
        <v>1357</v>
      </c>
    </row>
    <row r="113" spans="1:13">
      <c r="A113" t="s">
        <v>10005</v>
      </c>
      <c r="B113">
        <f>HYPERLINK("https://android.googlesource.com/platform/cts/+/d7af06ff44ee93a819dfa560fb6669e6c5e1d218", "d7af06ff44ee93a819dfa560fb6669e6c5e1d218")</f>
        <v>0</v>
      </c>
      <c r="C113">
        <f>HYPERLINK("https://android.googlesource.com/platform/cts/+/ec611467d3133d3c38af549a3cafa70567d5ec83", "ec611467d3133d3c38af549a3cafa70567d5ec83")</f>
        <v>0</v>
      </c>
      <c r="D113" t="s">
        <v>11977</v>
      </c>
      <c r="E113" t="s">
        <v>12574</v>
      </c>
      <c r="F113" t="s">
        <v>14499</v>
      </c>
      <c r="G113" t="s">
        <v>17345</v>
      </c>
      <c r="H113" t="s">
        <v>19955</v>
      </c>
      <c r="I113" t="s">
        <v>1357</v>
      </c>
      <c r="J113" t="s">
        <v>1357</v>
      </c>
      <c r="K113" t="s">
        <v>1357</v>
      </c>
      <c r="L113" t="s">
        <v>1357</v>
      </c>
    </row>
    <row r="114" spans="1:13">
      <c r="A114" t="s">
        <v>10006</v>
      </c>
      <c r="B114">
        <f>HYPERLINK("https://android.googlesource.com/platform/cts/+/11ef4caff62219aedb606c44183712ff2f5458ab", "11ef4caff62219aedb606c44183712ff2f5458ab")</f>
        <v>0</v>
      </c>
      <c r="C114">
        <f>HYPERLINK("https://android.googlesource.com/platform/cts/+/ac48191873770c2f2652e41bb176e88fced6ac9a", "ac48191873770c2f2652e41bb176e88fced6ac9a")</f>
        <v>0</v>
      </c>
      <c r="D114" t="s">
        <v>11980</v>
      </c>
      <c r="E114" t="s">
        <v>12575</v>
      </c>
      <c r="F114" t="s">
        <v>14500</v>
      </c>
      <c r="G114" t="s">
        <v>17346</v>
      </c>
      <c r="H114" t="s">
        <v>19956</v>
      </c>
      <c r="I114" t="s">
        <v>1357</v>
      </c>
      <c r="J114" t="s">
        <v>1357</v>
      </c>
      <c r="K114" t="s">
        <v>1357</v>
      </c>
      <c r="L114" t="s">
        <v>1357</v>
      </c>
    </row>
    <row r="115" spans="1:13">
      <c r="H115" t="s">
        <v>19957</v>
      </c>
      <c r="I115" t="s">
        <v>1357</v>
      </c>
      <c r="J115" t="s">
        <v>1357</v>
      </c>
      <c r="K115" t="s">
        <v>1357</v>
      </c>
      <c r="L115" t="s">
        <v>1357</v>
      </c>
    </row>
    <row r="116" spans="1:13">
      <c r="A116" t="s">
        <v>10007</v>
      </c>
      <c r="B116">
        <f>HYPERLINK("https://android.googlesource.com/platform/cts/+/26d49be7708dae2d53f29ec5c166ef6c75566a84", "26d49be7708dae2d53f29ec5c166ef6c75566a84")</f>
        <v>0</v>
      </c>
      <c r="C116">
        <f>HYPERLINK("https://android.googlesource.com/platform/cts/+/dfb26176839bc0727c4eec422f7579d9af2df948", "dfb26176839bc0727c4eec422f7579d9af2df948")</f>
        <v>0</v>
      </c>
      <c r="D116" t="s">
        <v>11981</v>
      </c>
      <c r="E116" t="s">
        <v>12576</v>
      </c>
      <c r="F116" t="s">
        <v>14501</v>
      </c>
      <c r="G116" t="s">
        <v>17347</v>
      </c>
      <c r="H116" t="s">
        <v>19958</v>
      </c>
      <c r="I116" t="s">
        <v>1357</v>
      </c>
      <c r="J116" t="s">
        <v>1357</v>
      </c>
      <c r="K116" t="s">
        <v>1357</v>
      </c>
      <c r="L116" t="s">
        <v>1357</v>
      </c>
    </row>
    <row r="117" spans="1:13">
      <c r="A117" t="s">
        <v>10008</v>
      </c>
      <c r="B117">
        <f>HYPERLINK("https://android.googlesource.com/platform/cts/+/f6e0aac2f1cfa1a6c56dd38bcbb1b0f8d767ed5d", "f6e0aac2f1cfa1a6c56dd38bcbb1b0f8d767ed5d")</f>
        <v>0</v>
      </c>
      <c r="C117">
        <f>HYPERLINK("https://android.googlesource.com/platform/cts/+/e458cce47ae52437ab2c476fe4b62d6146a4d5fe", "e458cce47ae52437ab2c476fe4b62d6146a4d5fe")</f>
        <v>0</v>
      </c>
      <c r="D117" t="s">
        <v>11982</v>
      </c>
      <c r="E117" t="s">
        <v>12577</v>
      </c>
      <c r="F117" t="s">
        <v>14502</v>
      </c>
      <c r="G117" t="s">
        <v>17348</v>
      </c>
      <c r="H117" t="s">
        <v>19959</v>
      </c>
      <c r="I117" t="s">
        <v>1357</v>
      </c>
      <c r="J117" t="s">
        <v>1357</v>
      </c>
      <c r="K117" t="s">
        <v>1357</v>
      </c>
      <c r="L117" t="s">
        <v>1357</v>
      </c>
      <c r="M117" t="s">
        <v>1360</v>
      </c>
    </row>
    <row r="118" spans="1:13">
      <c r="A118" t="s">
        <v>10009</v>
      </c>
      <c r="B118">
        <f>HYPERLINK("https://android.googlesource.com/platform/cts/+/719bcd0dfdbe2c015746dc9738390c59c53f8268", "719bcd0dfdbe2c015746dc9738390c59c53f8268")</f>
        <v>0</v>
      </c>
      <c r="C118">
        <f>HYPERLINK("https://android.googlesource.com/platform/cts/+/e458cce47ae52437ab2c476fe4b62d6146a4d5fe", "e458cce47ae52437ab2c476fe4b62d6146a4d5fe")</f>
        <v>0</v>
      </c>
      <c r="D118" t="s">
        <v>11982</v>
      </c>
      <c r="E118" t="s">
        <v>12578</v>
      </c>
      <c r="F118" t="s">
        <v>14503</v>
      </c>
      <c r="G118" t="s">
        <v>17349</v>
      </c>
      <c r="H118" t="s">
        <v>19960</v>
      </c>
      <c r="I118" t="s">
        <v>1357</v>
      </c>
      <c r="J118" t="s">
        <v>1357</v>
      </c>
      <c r="K118" t="s">
        <v>1357</v>
      </c>
      <c r="L118" t="s">
        <v>1357</v>
      </c>
    </row>
    <row r="119" spans="1:13">
      <c r="A119" t="s">
        <v>10010</v>
      </c>
      <c r="B119">
        <f>HYPERLINK("https://android.googlesource.com/platform/cts/+/ffa439bfca7d15ee4d9e203d39e87a1cc0432dd1", "ffa439bfca7d15ee4d9e203d39e87a1cc0432dd1")</f>
        <v>0</v>
      </c>
      <c r="C119">
        <f>HYPERLINK("https://android.googlesource.com/platform/cts/+/e458cce47ae52437ab2c476fe4b62d6146a4d5fe", "e458cce47ae52437ab2c476fe4b62d6146a4d5fe")</f>
        <v>0</v>
      </c>
      <c r="D119" t="s">
        <v>11982</v>
      </c>
      <c r="E119" t="s">
        <v>12579</v>
      </c>
      <c r="F119" t="s">
        <v>14504</v>
      </c>
      <c r="G119" t="s">
        <v>17350</v>
      </c>
      <c r="H119" t="s">
        <v>19961</v>
      </c>
      <c r="I119" t="s">
        <v>1357</v>
      </c>
      <c r="J119" t="s">
        <v>1357</v>
      </c>
      <c r="K119" t="s">
        <v>1357</v>
      </c>
      <c r="L119" t="s">
        <v>1357</v>
      </c>
    </row>
    <row r="120" spans="1:13">
      <c r="A120" t="s">
        <v>10011</v>
      </c>
      <c r="B120">
        <f>HYPERLINK("https://android.googlesource.com/platform/cts/+/799b05108a00f86f3e05292972a2e308b2b19c84", "799b05108a00f86f3e05292972a2e308b2b19c84")</f>
        <v>0</v>
      </c>
      <c r="C120">
        <f>HYPERLINK("https://android.googlesource.com/platform/cts/+/8ac9cae79f735bef473520c4675e666eb99f6820", "8ac9cae79f735bef473520c4675e666eb99f6820")</f>
        <v>0</v>
      </c>
      <c r="D120" t="s">
        <v>11982</v>
      </c>
      <c r="E120" t="s">
        <v>12580</v>
      </c>
      <c r="F120" t="s">
        <v>14505</v>
      </c>
      <c r="G120" t="s">
        <v>17351</v>
      </c>
      <c r="H120" t="s">
        <v>19962</v>
      </c>
      <c r="I120" t="s">
        <v>1357</v>
      </c>
      <c r="J120" t="s">
        <v>1357</v>
      </c>
      <c r="K120" t="s">
        <v>1357</v>
      </c>
      <c r="L120" t="s">
        <v>1357</v>
      </c>
    </row>
    <row r="121" spans="1:13">
      <c r="A121" t="s">
        <v>10012</v>
      </c>
      <c r="B121">
        <f>HYPERLINK("https://android.googlesource.com/platform/cts/+/df56b8fd6e80dc2d9d487b86f5b71c54314ad475", "df56b8fd6e80dc2d9d487b86f5b71c54314ad475")</f>
        <v>0</v>
      </c>
      <c r="C121">
        <f>HYPERLINK("https://android.googlesource.com/platform/cts/+/33d66d69997986ee55b19ab216756e6df04b8fe1", "33d66d69997986ee55b19ab216756e6df04b8fe1")</f>
        <v>0</v>
      </c>
      <c r="D121" t="s">
        <v>11983</v>
      </c>
      <c r="E121" t="s">
        <v>12581</v>
      </c>
      <c r="F121" t="s">
        <v>14506</v>
      </c>
      <c r="G121" t="s">
        <v>17352</v>
      </c>
      <c r="H121" t="s">
        <v>19963</v>
      </c>
      <c r="I121" t="s">
        <v>1357</v>
      </c>
      <c r="J121" t="s">
        <v>1357</v>
      </c>
      <c r="K121" t="s">
        <v>1357</v>
      </c>
      <c r="L121" t="s">
        <v>1357</v>
      </c>
    </row>
    <row r="122" spans="1:13">
      <c r="H122" t="s">
        <v>19964</v>
      </c>
      <c r="I122" t="s">
        <v>1357</v>
      </c>
      <c r="J122" t="s">
        <v>1357</v>
      </c>
      <c r="K122" t="s">
        <v>1357</v>
      </c>
      <c r="L122" t="s">
        <v>1357</v>
      </c>
    </row>
    <row r="123" spans="1:13">
      <c r="H123" t="s">
        <v>19965</v>
      </c>
      <c r="I123" t="s">
        <v>1357</v>
      </c>
      <c r="J123" t="s">
        <v>1357</v>
      </c>
      <c r="K123" t="s">
        <v>1357</v>
      </c>
      <c r="L123" t="s">
        <v>1357</v>
      </c>
    </row>
    <row r="124" spans="1:13">
      <c r="H124" t="s">
        <v>19966</v>
      </c>
      <c r="I124" t="s">
        <v>1357</v>
      </c>
      <c r="J124" t="s">
        <v>1357</v>
      </c>
      <c r="K124" t="s">
        <v>1357</v>
      </c>
      <c r="L124" t="s">
        <v>1357</v>
      </c>
    </row>
    <row r="125" spans="1:13">
      <c r="H125" t="s">
        <v>19967</v>
      </c>
      <c r="I125" t="s">
        <v>1357</v>
      </c>
      <c r="J125" t="s">
        <v>1357</v>
      </c>
      <c r="K125" t="s">
        <v>1357</v>
      </c>
      <c r="L125" t="s">
        <v>1357</v>
      </c>
    </row>
    <row r="126" spans="1:13">
      <c r="A126" t="s">
        <v>10013</v>
      </c>
      <c r="B126">
        <f>HYPERLINK("https://android.googlesource.com/platform/cts/+/0ad4bf40b2f105f372485b8fc5b83ed3c65b1ee7", "0ad4bf40b2f105f372485b8fc5b83ed3c65b1ee7")</f>
        <v>0</v>
      </c>
      <c r="C126">
        <f>HYPERLINK("https://android.googlesource.com/platform/cts/+/4bfdf82ee70de8e6fb674929cf973186d90a427c", "4bfdf82ee70de8e6fb674929cf973186d90a427c")</f>
        <v>0</v>
      </c>
      <c r="D126" t="s">
        <v>11977</v>
      </c>
      <c r="E126" t="s">
        <v>12582</v>
      </c>
      <c r="F126" t="s">
        <v>14475</v>
      </c>
      <c r="G126" t="s">
        <v>17322</v>
      </c>
      <c r="H126" t="s">
        <v>19968</v>
      </c>
      <c r="I126" t="s">
        <v>1358</v>
      </c>
      <c r="J126" t="s">
        <v>1358</v>
      </c>
      <c r="K126" t="s">
        <v>1358</v>
      </c>
      <c r="L126" t="s">
        <v>1358</v>
      </c>
    </row>
    <row r="127" spans="1:13">
      <c r="A127" t="s">
        <v>10014</v>
      </c>
      <c r="B127">
        <f>HYPERLINK("https://android.googlesource.com/platform/cts/+/a202fccb97a003b35cf66f525d4963511614dae1", "a202fccb97a003b35cf66f525d4963511614dae1")</f>
        <v>0</v>
      </c>
      <c r="C127">
        <f>HYPERLINK("https://android.googlesource.com/platform/cts/+/a9629dbcc8eadddde0d4a2af6d9620bd293d2ec8", "a9629dbcc8eadddde0d4a2af6d9620bd293d2ec8")</f>
        <v>0</v>
      </c>
      <c r="D127" t="s">
        <v>11984</v>
      </c>
      <c r="E127" t="s">
        <v>12583</v>
      </c>
      <c r="F127" t="s">
        <v>14507</v>
      </c>
      <c r="G127" t="s">
        <v>17353</v>
      </c>
      <c r="H127" t="s">
        <v>19969</v>
      </c>
      <c r="I127" t="s">
        <v>1357</v>
      </c>
      <c r="J127" t="s">
        <v>1357</v>
      </c>
      <c r="K127" t="s">
        <v>1357</v>
      </c>
      <c r="L127" t="s">
        <v>1357</v>
      </c>
    </row>
    <row r="128" spans="1:13">
      <c r="H128" t="s">
        <v>19970</v>
      </c>
      <c r="I128" t="s">
        <v>1357</v>
      </c>
      <c r="J128" t="s">
        <v>1357</v>
      </c>
      <c r="K128" t="s">
        <v>1357</v>
      </c>
      <c r="L128" t="s">
        <v>1357</v>
      </c>
    </row>
    <row r="129" spans="1:12">
      <c r="H129" t="s">
        <v>19971</v>
      </c>
      <c r="I129" t="s">
        <v>1357</v>
      </c>
      <c r="J129" t="s">
        <v>1357</v>
      </c>
      <c r="K129" t="s">
        <v>1357</v>
      </c>
      <c r="L129" t="s">
        <v>1357</v>
      </c>
    </row>
    <row r="130" spans="1:12">
      <c r="H130" t="s">
        <v>19972</v>
      </c>
      <c r="I130" t="s">
        <v>1357</v>
      </c>
      <c r="J130" t="s">
        <v>1357</v>
      </c>
      <c r="K130" t="s">
        <v>1357</v>
      </c>
      <c r="L130" t="s">
        <v>1357</v>
      </c>
    </row>
    <row r="131" spans="1:12">
      <c r="H131" t="s">
        <v>19973</v>
      </c>
      <c r="I131" t="s">
        <v>1357</v>
      </c>
      <c r="J131" t="s">
        <v>1357</v>
      </c>
      <c r="K131" t="s">
        <v>1357</v>
      </c>
      <c r="L131" t="s">
        <v>1357</v>
      </c>
    </row>
    <row r="132" spans="1:12">
      <c r="H132" t="s">
        <v>19974</v>
      </c>
      <c r="I132" t="s">
        <v>1357</v>
      </c>
      <c r="J132" t="s">
        <v>1357</v>
      </c>
      <c r="K132" t="s">
        <v>1357</v>
      </c>
      <c r="L132" t="s">
        <v>1357</v>
      </c>
    </row>
    <row r="133" spans="1:12">
      <c r="H133" t="s">
        <v>19975</v>
      </c>
      <c r="I133" t="s">
        <v>1357</v>
      </c>
      <c r="J133" t="s">
        <v>1357</v>
      </c>
      <c r="K133" t="s">
        <v>1357</v>
      </c>
      <c r="L133" t="s">
        <v>1357</v>
      </c>
    </row>
    <row r="134" spans="1:12">
      <c r="H134" t="s">
        <v>19976</v>
      </c>
      <c r="I134" t="s">
        <v>1357</v>
      </c>
      <c r="J134" t="s">
        <v>1357</v>
      </c>
      <c r="K134" t="s">
        <v>1357</v>
      </c>
      <c r="L134" t="s">
        <v>1357</v>
      </c>
    </row>
    <row r="135" spans="1:12">
      <c r="H135" t="s">
        <v>19977</v>
      </c>
      <c r="I135" t="s">
        <v>1357</v>
      </c>
      <c r="J135" t="s">
        <v>1357</v>
      </c>
      <c r="K135" t="s">
        <v>1357</v>
      </c>
      <c r="L135" t="s">
        <v>1357</v>
      </c>
    </row>
    <row r="136" spans="1:12">
      <c r="H136" t="s">
        <v>19978</v>
      </c>
      <c r="I136" t="s">
        <v>1357</v>
      </c>
      <c r="J136" t="s">
        <v>1357</v>
      </c>
      <c r="K136" t="s">
        <v>1357</v>
      </c>
      <c r="L136" t="s">
        <v>1357</v>
      </c>
    </row>
    <row r="137" spans="1:12">
      <c r="A137" t="s">
        <v>10015</v>
      </c>
      <c r="B137">
        <f>HYPERLINK("https://android.googlesource.com/platform/cts/+/2980da2061f1ae72280bcf5074888cbea4132fc1", "2980da2061f1ae72280bcf5074888cbea4132fc1")</f>
        <v>0</v>
      </c>
      <c r="C137">
        <f>HYPERLINK("https://android.googlesource.com/platform/cts/+/90c418e81f9deb7408f5927c39ca241685b2a2dd", "90c418e81f9deb7408f5927c39ca241685b2a2dd")</f>
        <v>0</v>
      </c>
      <c r="D137" t="s">
        <v>11985</v>
      </c>
      <c r="E137" t="s">
        <v>12584</v>
      </c>
      <c r="F137" t="s">
        <v>14508</v>
      </c>
      <c r="G137" t="s">
        <v>17327</v>
      </c>
      <c r="H137" t="s">
        <v>19979</v>
      </c>
      <c r="I137" t="s">
        <v>1357</v>
      </c>
      <c r="J137" t="s">
        <v>1357</v>
      </c>
      <c r="K137" t="s">
        <v>1357</v>
      </c>
      <c r="L137" t="s">
        <v>1357</v>
      </c>
    </row>
    <row r="138" spans="1:12">
      <c r="A138" t="s">
        <v>10016</v>
      </c>
      <c r="B138">
        <f>HYPERLINK("https://android.googlesource.com/platform/cts/+/d97d17a43f5bb2cc383224bc5bd0dc04c406a010", "d97d17a43f5bb2cc383224bc5bd0dc04c406a010")</f>
        <v>0</v>
      </c>
      <c r="C138">
        <f>HYPERLINK("https://android.googlesource.com/platform/cts/+/c6384c5b383ba95bf39a360d2d480b0bc915c2a4", "c6384c5b383ba95bf39a360d2d480b0bc915c2a4")</f>
        <v>0</v>
      </c>
      <c r="D138" t="s">
        <v>11986</v>
      </c>
      <c r="E138" t="s">
        <v>12585</v>
      </c>
      <c r="F138" t="s">
        <v>14509</v>
      </c>
      <c r="G138" t="s">
        <v>17354</v>
      </c>
      <c r="H138" t="s">
        <v>19980</v>
      </c>
      <c r="I138" t="s">
        <v>1357</v>
      </c>
      <c r="J138" t="s">
        <v>1357</v>
      </c>
      <c r="K138" t="s">
        <v>1357</v>
      </c>
      <c r="L138" t="s">
        <v>1357</v>
      </c>
    </row>
    <row r="139" spans="1:12">
      <c r="A139" t="s">
        <v>10017</v>
      </c>
      <c r="B139">
        <f>HYPERLINK("https://android.googlesource.com/platform/cts/+/89674de7bedbd28ae02a65ca7021f3c6be71a823", "89674de7bedbd28ae02a65ca7021f3c6be71a823")</f>
        <v>0</v>
      </c>
      <c r="C139">
        <f>HYPERLINK("https://android.googlesource.com/platform/cts/+/034fce8ab87890a3800fbf1c07fbc498132e5e54", "034fce8ab87890a3800fbf1c07fbc498132e5e54")</f>
        <v>0</v>
      </c>
      <c r="D139" t="s">
        <v>11983</v>
      </c>
      <c r="E139" t="s">
        <v>12586</v>
      </c>
      <c r="F139" t="s">
        <v>14510</v>
      </c>
      <c r="G139" t="s">
        <v>17355</v>
      </c>
      <c r="H139" t="s">
        <v>19981</v>
      </c>
      <c r="I139" t="s">
        <v>1357</v>
      </c>
      <c r="J139" t="s">
        <v>1357</v>
      </c>
      <c r="K139" t="s">
        <v>1357</v>
      </c>
      <c r="L139" t="s">
        <v>1357</v>
      </c>
    </row>
    <row r="140" spans="1:12">
      <c r="H140" t="s">
        <v>19982</v>
      </c>
      <c r="I140" t="s">
        <v>1357</v>
      </c>
      <c r="J140" t="s">
        <v>1357</v>
      </c>
      <c r="K140" t="s">
        <v>1357</v>
      </c>
      <c r="L140" t="s">
        <v>1357</v>
      </c>
    </row>
    <row r="141" spans="1:12">
      <c r="F141" t="s">
        <v>14511</v>
      </c>
      <c r="G141" t="s">
        <v>17356</v>
      </c>
      <c r="H141" t="s">
        <v>19982</v>
      </c>
      <c r="I141" t="s">
        <v>1357</v>
      </c>
      <c r="J141" t="s">
        <v>1357</v>
      </c>
      <c r="K141" t="s">
        <v>1357</v>
      </c>
      <c r="L141" t="s">
        <v>1357</v>
      </c>
    </row>
    <row r="142" spans="1:12">
      <c r="H142" t="s">
        <v>19983</v>
      </c>
      <c r="I142" t="s">
        <v>1357</v>
      </c>
      <c r="J142" t="s">
        <v>1357</v>
      </c>
      <c r="K142" t="s">
        <v>1357</v>
      </c>
      <c r="L142" t="s">
        <v>1357</v>
      </c>
    </row>
    <row r="143" spans="1:12">
      <c r="H143" t="s">
        <v>19981</v>
      </c>
      <c r="I143" t="s">
        <v>1357</v>
      </c>
      <c r="J143" t="s">
        <v>1357</v>
      </c>
      <c r="K143" t="s">
        <v>1357</v>
      </c>
      <c r="L143" t="s">
        <v>1357</v>
      </c>
    </row>
    <row r="144" spans="1:12">
      <c r="H144" t="s">
        <v>19984</v>
      </c>
      <c r="I144" t="s">
        <v>1357</v>
      </c>
      <c r="J144" t="s">
        <v>1357</v>
      </c>
      <c r="K144" t="s">
        <v>1357</v>
      </c>
      <c r="L144" t="s">
        <v>1357</v>
      </c>
    </row>
    <row r="145" spans="1:13">
      <c r="A145" t="s">
        <v>10018</v>
      </c>
      <c r="B145">
        <f>HYPERLINK("https://android.googlesource.com/platform/cts/+/22cf08bd0066ec45b9f49c2f3a3cdce04f88fbed", "22cf08bd0066ec45b9f49c2f3a3cdce04f88fbed")</f>
        <v>0</v>
      </c>
      <c r="C145">
        <f>HYPERLINK("https://android.googlesource.com/platform/cts/+/83a4a1c6a6afafeddb1b4e38a012dc66b09f3a53", "83a4a1c6a6afafeddb1b4e38a012dc66b09f3a53")</f>
        <v>0</v>
      </c>
      <c r="D145" t="s">
        <v>11977</v>
      </c>
      <c r="E145" t="s">
        <v>12587</v>
      </c>
      <c r="F145" t="s">
        <v>14476</v>
      </c>
      <c r="G145" t="s">
        <v>17323</v>
      </c>
      <c r="H145" t="s">
        <v>19985</v>
      </c>
      <c r="I145" t="s">
        <v>1357</v>
      </c>
      <c r="J145" t="s">
        <v>1357</v>
      </c>
      <c r="K145" t="s">
        <v>1357</v>
      </c>
      <c r="L145" t="s">
        <v>1357</v>
      </c>
    </row>
    <row r="146" spans="1:13">
      <c r="H146" t="s">
        <v>19986</v>
      </c>
      <c r="I146" t="s">
        <v>1357</v>
      </c>
      <c r="J146" t="s">
        <v>1357</v>
      </c>
      <c r="K146" t="s">
        <v>1357</v>
      </c>
      <c r="L146" t="s">
        <v>1357</v>
      </c>
    </row>
    <row r="147" spans="1:13">
      <c r="A147" t="s">
        <v>10019</v>
      </c>
      <c r="B147">
        <f>HYPERLINK("https://android.googlesource.com/platform/cts/+/3b3a92fec3aff9c20510b6e8703714164589ce26", "3b3a92fec3aff9c20510b6e8703714164589ce26")</f>
        <v>0</v>
      </c>
      <c r="C147">
        <f>HYPERLINK("https://android.googlesource.com/platform/cts/+/0f33a087b88c03b7b3f9fce146ae7251987936d2", "0f33a087b88c03b7b3f9fce146ae7251987936d2")</f>
        <v>0</v>
      </c>
      <c r="D147" t="s">
        <v>11980</v>
      </c>
      <c r="E147" t="s">
        <v>12588</v>
      </c>
      <c r="F147" t="s">
        <v>14512</v>
      </c>
      <c r="G147" t="s">
        <v>17357</v>
      </c>
      <c r="H147" t="s">
        <v>19987</v>
      </c>
      <c r="I147" t="s">
        <v>1357</v>
      </c>
      <c r="J147" t="s">
        <v>1357</v>
      </c>
      <c r="K147" t="s">
        <v>1357</v>
      </c>
      <c r="L147" t="s">
        <v>1357</v>
      </c>
    </row>
    <row r="148" spans="1:13">
      <c r="A148" t="s">
        <v>10020</v>
      </c>
      <c r="B148">
        <f>HYPERLINK("https://android.googlesource.com/platform/cts/+/80b0625e9cf342c8bdc7eedb67cccc1f88131992", "80b0625e9cf342c8bdc7eedb67cccc1f88131992")</f>
        <v>0</v>
      </c>
      <c r="C148">
        <f>HYPERLINK("https://android.googlesource.com/platform/cts/+/213bcbfc082996cfd5096e6a67d3a160e0c46da1", "213bcbfc082996cfd5096e6a67d3a160e0c46da1")</f>
        <v>0</v>
      </c>
      <c r="D148" t="s">
        <v>11980</v>
      </c>
      <c r="E148" t="s">
        <v>12589</v>
      </c>
      <c r="F148" t="s">
        <v>14500</v>
      </c>
      <c r="G148" t="s">
        <v>17346</v>
      </c>
      <c r="H148" t="s">
        <v>19988</v>
      </c>
      <c r="I148" t="s">
        <v>1357</v>
      </c>
      <c r="J148" t="s">
        <v>1357</v>
      </c>
      <c r="K148" t="s">
        <v>1357</v>
      </c>
      <c r="L148" t="s">
        <v>1357</v>
      </c>
    </row>
    <row r="149" spans="1:13">
      <c r="H149" t="s">
        <v>19989</v>
      </c>
      <c r="I149" t="s">
        <v>1357</v>
      </c>
      <c r="J149" t="s">
        <v>1357</v>
      </c>
      <c r="K149" t="s">
        <v>1357</v>
      </c>
      <c r="L149" t="s">
        <v>1357</v>
      </c>
    </row>
    <row r="150" spans="1:13">
      <c r="H150" t="s">
        <v>19990</v>
      </c>
      <c r="I150" t="s">
        <v>1357</v>
      </c>
      <c r="J150" t="s">
        <v>1357</v>
      </c>
      <c r="K150" t="s">
        <v>1357</v>
      </c>
      <c r="L150" t="s">
        <v>1357</v>
      </c>
    </row>
    <row r="151" spans="1:13">
      <c r="H151" t="s">
        <v>19991</v>
      </c>
      <c r="I151" t="s">
        <v>1357</v>
      </c>
      <c r="J151" t="s">
        <v>1357</v>
      </c>
      <c r="K151" t="s">
        <v>1357</v>
      </c>
      <c r="L151" t="s">
        <v>1357</v>
      </c>
      <c r="M151" t="s">
        <v>1360</v>
      </c>
    </row>
    <row r="152" spans="1:13">
      <c r="A152" t="s">
        <v>10021</v>
      </c>
      <c r="B152">
        <f>HYPERLINK("https://android.googlesource.com/platform/cts/+/622c658f450fa016b356756f90ab8911e6f2ab5d", "622c658f450fa016b356756f90ab8911e6f2ab5d")</f>
        <v>0</v>
      </c>
      <c r="C152">
        <f>HYPERLINK("https://android.googlesource.com/platform/cts/+/e9532898011d556124ec843b98fe8728f8e13fee", "e9532898011d556124ec843b98fe8728f8e13fee")</f>
        <v>0</v>
      </c>
      <c r="D152" t="s">
        <v>11983</v>
      </c>
      <c r="E152" t="s">
        <v>12590</v>
      </c>
      <c r="F152" t="s">
        <v>14475</v>
      </c>
      <c r="G152" t="s">
        <v>17322</v>
      </c>
      <c r="H152" t="s">
        <v>19985</v>
      </c>
      <c r="I152" t="s">
        <v>1357</v>
      </c>
      <c r="J152" t="s">
        <v>1357</v>
      </c>
      <c r="K152" t="s">
        <v>1357</v>
      </c>
      <c r="L152" t="s">
        <v>1357</v>
      </c>
    </row>
    <row r="153" spans="1:13">
      <c r="H153" t="s">
        <v>19986</v>
      </c>
      <c r="I153" t="s">
        <v>1357</v>
      </c>
      <c r="J153" t="s">
        <v>1357</v>
      </c>
      <c r="K153" t="s">
        <v>1357</v>
      </c>
      <c r="L153" t="s">
        <v>1357</v>
      </c>
    </row>
    <row r="154" spans="1:13">
      <c r="A154" t="s">
        <v>10022</v>
      </c>
      <c r="B154">
        <f>HYPERLINK("https://android.googlesource.com/platform/cts/+/542d74c7677830fde06c2dc1e21397b241c5ca3c", "542d74c7677830fde06c2dc1e21397b241c5ca3c")</f>
        <v>0</v>
      </c>
      <c r="C154">
        <f>HYPERLINK("https://android.googlesource.com/platform/cts/+/1842a6238ce349ce5c610b43542cfc94cf6b078b", "1842a6238ce349ce5c610b43542cfc94cf6b078b")</f>
        <v>0</v>
      </c>
      <c r="D154" t="s">
        <v>11980</v>
      </c>
      <c r="E154" t="s">
        <v>12591</v>
      </c>
      <c r="F154" t="s">
        <v>14513</v>
      </c>
      <c r="G154" t="s">
        <v>17358</v>
      </c>
      <c r="H154" t="s">
        <v>19992</v>
      </c>
      <c r="I154" t="s">
        <v>1357</v>
      </c>
      <c r="J154" t="s">
        <v>1357</v>
      </c>
      <c r="K154" t="s">
        <v>1357</v>
      </c>
      <c r="L154" t="s">
        <v>1357</v>
      </c>
    </row>
    <row r="155" spans="1:13">
      <c r="H155" t="s">
        <v>19993</v>
      </c>
      <c r="I155" t="s">
        <v>1357</v>
      </c>
      <c r="J155" t="s">
        <v>1357</v>
      </c>
      <c r="K155" t="s">
        <v>1357</v>
      </c>
      <c r="L155" t="s">
        <v>1357</v>
      </c>
    </row>
    <row r="156" spans="1:13">
      <c r="A156" t="s">
        <v>10023</v>
      </c>
      <c r="B156">
        <f>HYPERLINK("https://android.googlesource.com/platform/cts/+/f176eafe119e8065c29f6eb99d62d01274581174", "f176eafe119e8065c29f6eb99d62d01274581174")</f>
        <v>0</v>
      </c>
      <c r="C156">
        <f>HYPERLINK("https://android.googlesource.com/platform/cts/+/7ee6163b6a1a2cd0565f59b87c4b121df205443d", "7ee6163b6a1a2cd0565f59b87c4b121df205443d")</f>
        <v>0</v>
      </c>
      <c r="D156" t="s">
        <v>11987</v>
      </c>
      <c r="E156" t="s">
        <v>12592</v>
      </c>
      <c r="F156" t="s">
        <v>14510</v>
      </c>
      <c r="G156" t="s">
        <v>17355</v>
      </c>
      <c r="H156" t="s">
        <v>19981</v>
      </c>
      <c r="I156" t="s">
        <v>1357</v>
      </c>
      <c r="J156" t="s">
        <v>1357</v>
      </c>
      <c r="K156" t="s">
        <v>1357</v>
      </c>
      <c r="L156" t="s">
        <v>1357</v>
      </c>
    </row>
    <row r="157" spans="1:13">
      <c r="H157" t="s">
        <v>19982</v>
      </c>
      <c r="I157" t="s">
        <v>1357</v>
      </c>
      <c r="J157" t="s">
        <v>1357</v>
      </c>
      <c r="K157" t="s">
        <v>1357</v>
      </c>
      <c r="L157" t="s">
        <v>1357</v>
      </c>
    </row>
    <row r="158" spans="1:13">
      <c r="F158" t="s">
        <v>14506</v>
      </c>
      <c r="G158" t="s">
        <v>17352</v>
      </c>
      <c r="H158" t="s">
        <v>19963</v>
      </c>
      <c r="I158" t="s">
        <v>1357</v>
      </c>
      <c r="J158" t="s">
        <v>1357</v>
      </c>
      <c r="K158" t="s">
        <v>1357</v>
      </c>
      <c r="L158" t="s">
        <v>1357</v>
      </c>
    </row>
    <row r="159" spans="1:13">
      <c r="H159" t="s">
        <v>19964</v>
      </c>
      <c r="I159" t="s">
        <v>1357</v>
      </c>
      <c r="J159" t="s">
        <v>1357</v>
      </c>
      <c r="K159" t="s">
        <v>1357</v>
      </c>
      <c r="L159" t="s">
        <v>1357</v>
      </c>
    </row>
    <row r="160" spans="1:13">
      <c r="H160" t="s">
        <v>19965</v>
      </c>
      <c r="I160" t="s">
        <v>1357</v>
      </c>
      <c r="J160" t="s">
        <v>1357</v>
      </c>
      <c r="K160" t="s">
        <v>1357</v>
      </c>
      <c r="L160" t="s">
        <v>1357</v>
      </c>
    </row>
    <row r="161" spans="1:12">
      <c r="H161" t="s">
        <v>19966</v>
      </c>
      <c r="I161" t="s">
        <v>1357</v>
      </c>
      <c r="J161" t="s">
        <v>1357</v>
      </c>
      <c r="K161" t="s">
        <v>1357</v>
      </c>
      <c r="L161" t="s">
        <v>1357</v>
      </c>
    </row>
    <row r="162" spans="1:12">
      <c r="H162" t="s">
        <v>19967</v>
      </c>
      <c r="I162" t="s">
        <v>1357</v>
      </c>
      <c r="J162" t="s">
        <v>1357</v>
      </c>
      <c r="K162" t="s">
        <v>1357</v>
      </c>
      <c r="L162" t="s">
        <v>1357</v>
      </c>
    </row>
    <row r="163" spans="1:12">
      <c r="F163" t="s">
        <v>14511</v>
      </c>
      <c r="G163" t="s">
        <v>17356</v>
      </c>
      <c r="H163" t="s">
        <v>19982</v>
      </c>
      <c r="I163" t="s">
        <v>1357</v>
      </c>
      <c r="J163" t="s">
        <v>1357</v>
      </c>
      <c r="K163" t="s">
        <v>1357</v>
      </c>
      <c r="L163" t="s">
        <v>1357</v>
      </c>
    </row>
    <row r="164" spans="1:12">
      <c r="H164" t="s">
        <v>19983</v>
      </c>
      <c r="I164" t="s">
        <v>1357</v>
      </c>
      <c r="J164" t="s">
        <v>1357</v>
      </c>
      <c r="K164" t="s">
        <v>1357</v>
      </c>
      <c r="L164" t="s">
        <v>1357</v>
      </c>
    </row>
    <row r="165" spans="1:12">
      <c r="H165" t="s">
        <v>19981</v>
      </c>
      <c r="I165" t="s">
        <v>1357</v>
      </c>
      <c r="J165" t="s">
        <v>1357</v>
      </c>
      <c r="K165" t="s">
        <v>1357</v>
      </c>
      <c r="L165" t="s">
        <v>1357</v>
      </c>
    </row>
    <row r="166" spans="1:12">
      <c r="H166" t="s">
        <v>19984</v>
      </c>
      <c r="I166" t="s">
        <v>1357</v>
      </c>
      <c r="J166" t="s">
        <v>1357</v>
      </c>
      <c r="K166" t="s">
        <v>1357</v>
      </c>
      <c r="L166" t="s">
        <v>1357</v>
      </c>
    </row>
    <row r="167" spans="1:12">
      <c r="A167" t="s">
        <v>10024</v>
      </c>
      <c r="B167">
        <f>HYPERLINK("https://android.googlesource.com/platform/cts/+/eac6cf4a3984ac8503794d24f54eda6282f037a5", "eac6cf4a3984ac8503794d24f54eda6282f037a5")</f>
        <v>0</v>
      </c>
      <c r="C167">
        <f>HYPERLINK("https://android.googlesource.com/platform/cts/+/23ada699c007cca6183b86dba8d563cc6f35e8dd", "23ada699c007cca6183b86dba8d563cc6f35e8dd")</f>
        <v>0</v>
      </c>
      <c r="D167" t="s">
        <v>11988</v>
      </c>
      <c r="E167" t="s">
        <v>12593</v>
      </c>
      <c r="F167" t="s">
        <v>14481</v>
      </c>
      <c r="G167" t="s">
        <v>17328</v>
      </c>
      <c r="H167" t="s">
        <v>19994</v>
      </c>
      <c r="I167" t="s">
        <v>1357</v>
      </c>
      <c r="J167" t="s">
        <v>1357</v>
      </c>
      <c r="K167" t="s">
        <v>1357</v>
      </c>
      <c r="L167" t="s">
        <v>1357</v>
      </c>
    </row>
    <row r="168" spans="1:12">
      <c r="H168" t="s">
        <v>19995</v>
      </c>
      <c r="I168" t="s">
        <v>1357</v>
      </c>
      <c r="J168" t="s">
        <v>1357</v>
      </c>
      <c r="K168" t="s">
        <v>1357</v>
      </c>
      <c r="L168" t="s">
        <v>1357</v>
      </c>
    </row>
    <row r="169" spans="1:12">
      <c r="H169" t="s">
        <v>19996</v>
      </c>
      <c r="I169" t="s">
        <v>1357</v>
      </c>
      <c r="J169" t="s">
        <v>1357</v>
      </c>
      <c r="K169" t="s">
        <v>1357</v>
      </c>
      <c r="L169" t="s">
        <v>1357</v>
      </c>
    </row>
    <row r="170" spans="1:12">
      <c r="A170" t="s">
        <v>10025</v>
      </c>
      <c r="B170">
        <f>HYPERLINK("https://android.googlesource.com/platform/cts/+/fa6eb9e0cfdb6e4af6aa1e47f271ec04162feb83", "fa6eb9e0cfdb6e4af6aa1e47f271ec04162feb83")</f>
        <v>0</v>
      </c>
      <c r="C170">
        <f>HYPERLINK("https://android.googlesource.com/platform/cts/+/4ac2b06c8cb4128d7d6d9d6464accbb90208161b", "4ac2b06c8cb4128d7d6d9d6464accbb90208161b")</f>
        <v>0</v>
      </c>
      <c r="D170" t="s">
        <v>11989</v>
      </c>
      <c r="E170" t="s">
        <v>12594</v>
      </c>
      <c r="F170" t="s">
        <v>14514</v>
      </c>
      <c r="G170" t="s">
        <v>17359</v>
      </c>
      <c r="H170" t="s">
        <v>19997</v>
      </c>
      <c r="I170" t="s">
        <v>1357</v>
      </c>
      <c r="J170" t="s">
        <v>1357</v>
      </c>
      <c r="K170" t="s">
        <v>1357</v>
      </c>
      <c r="L170" t="s">
        <v>1357</v>
      </c>
    </row>
    <row r="171" spans="1:12">
      <c r="A171" t="s">
        <v>10026</v>
      </c>
      <c r="B171">
        <f>HYPERLINK("https://android.googlesource.com/platform/cts/+/ac0073708acb7a7f6060189a71c4343092a64229", "ac0073708acb7a7f6060189a71c4343092a64229")</f>
        <v>0</v>
      </c>
      <c r="C171">
        <f>HYPERLINK("https://android.googlesource.com/platform/cts/+/bd7116f6d8917718675b670e41a7e6d76cf67f1c", "bd7116f6d8917718675b670e41a7e6d76cf67f1c")</f>
        <v>0</v>
      </c>
      <c r="D171" t="s">
        <v>11983</v>
      </c>
      <c r="E171" t="s">
        <v>12595</v>
      </c>
      <c r="F171" t="s">
        <v>14515</v>
      </c>
      <c r="G171" t="s">
        <v>17360</v>
      </c>
      <c r="H171" t="s">
        <v>19998</v>
      </c>
      <c r="I171" t="s">
        <v>1358</v>
      </c>
      <c r="J171" t="s">
        <v>1358</v>
      </c>
      <c r="K171" t="s">
        <v>1358</v>
      </c>
      <c r="L171" t="s">
        <v>1358</v>
      </c>
    </row>
    <row r="172" spans="1:12">
      <c r="A172" t="s">
        <v>10027</v>
      </c>
      <c r="B172">
        <f>HYPERLINK("https://android.googlesource.com/platform/cts/+/214bcdba0dd3fca2db5a69eebfd56bd453786f54", "214bcdba0dd3fca2db5a69eebfd56bd453786f54")</f>
        <v>0</v>
      </c>
      <c r="C172">
        <f>HYPERLINK("https://android.googlesource.com/platform/cts/+/d77ea9ba42095ac336fbef72f5f638a92a7bac9f", "d77ea9ba42095ac336fbef72f5f638a92a7bac9f")</f>
        <v>0</v>
      </c>
      <c r="D172" t="s">
        <v>11973</v>
      </c>
      <c r="E172" t="s">
        <v>12596</v>
      </c>
      <c r="F172" t="s">
        <v>14516</v>
      </c>
      <c r="G172" t="s">
        <v>17361</v>
      </c>
      <c r="H172" t="s">
        <v>19999</v>
      </c>
      <c r="I172" t="s">
        <v>1358</v>
      </c>
      <c r="J172" t="s">
        <v>1358</v>
      </c>
      <c r="K172" t="s">
        <v>1358</v>
      </c>
      <c r="L172" t="s">
        <v>1358</v>
      </c>
    </row>
    <row r="173" spans="1:12">
      <c r="H173" t="s">
        <v>20000</v>
      </c>
      <c r="I173" t="s">
        <v>1358</v>
      </c>
      <c r="J173" t="s">
        <v>1358</v>
      </c>
      <c r="K173" t="s">
        <v>1358</v>
      </c>
      <c r="L173" t="s">
        <v>1358</v>
      </c>
    </row>
    <row r="174" spans="1:12">
      <c r="A174" t="s">
        <v>10028</v>
      </c>
      <c r="B174">
        <f>HYPERLINK("https://android.googlesource.com/platform/cts/+/3f0ef587c512b19900b4d2c74f845f46815f14e1", "3f0ef587c512b19900b4d2c74f845f46815f14e1")</f>
        <v>0</v>
      </c>
      <c r="C174">
        <f>HYPERLINK("https://android.googlesource.com/platform/cts/+/bc9f17789ed0b12892920646b642161cf2a279fc", "bc9f17789ed0b12892920646b642161cf2a279fc")</f>
        <v>0</v>
      </c>
      <c r="D174" t="s">
        <v>11980</v>
      </c>
      <c r="E174" t="s">
        <v>12597</v>
      </c>
      <c r="F174" t="s">
        <v>14513</v>
      </c>
      <c r="G174" t="s">
        <v>17358</v>
      </c>
      <c r="H174" t="s">
        <v>20001</v>
      </c>
      <c r="I174" t="s">
        <v>1357</v>
      </c>
      <c r="J174" t="s">
        <v>1357</v>
      </c>
      <c r="K174" t="s">
        <v>1357</v>
      </c>
      <c r="L174" t="s">
        <v>1357</v>
      </c>
    </row>
    <row r="175" spans="1:12">
      <c r="A175" t="s">
        <v>10029</v>
      </c>
      <c r="B175">
        <f>HYPERLINK("https://android.googlesource.com/platform/cts/+/450e99ae682d860d25a178be72fa0abf53ddf3e6", "450e99ae682d860d25a178be72fa0abf53ddf3e6")</f>
        <v>0</v>
      </c>
      <c r="C175">
        <f>HYPERLINK("https://android.googlesource.com/platform/cts/+/5248dea95549ed3b7607c76e6c76185771ddda9d", "5248dea95549ed3b7607c76e6c76185771ddda9d")</f>
        <v>0</v>
      </c>
      <c r="D175" t="s">
        <v>11977</v>
      </c>
      <c r="E175" t="s">
        <v>12598</v>
      </c>
      <c r="F175" t="s">
        <v>14517</v>
      </c>
      <c r="G175" t="s">
        <v>17362</v>
      </c>
      <c r="H175" t="s">
        <v>20002</v>
      </c>
      <c r="I175" t="s">
        <v>1357</v>
      </c>
      <c r="J175" t="s">
        <v>1357</v>
      </c>
      <c r="K175" t="s">
        <v>1357</v>
      </c>
      <c r="L175" t="s">
        <v>1357</v>
      </c>
    </row>
    <row r="176" spans="1:12">
      <c r="A176" t="s">
        <v>10030</v>
      </c>
      <c r="B176">
        <f>HYPERLINK("https://android.googlesource.com/platform/cts/+/deef330158a6e3a94bbc13a97f892ad08386091b", "deef330158a6e3a94bbc13a97f892ad08386091b")</f>
        <v>0</v>
      </c>
      <c r="C176">
        <f>HYPERLINK("https://android.googlesource.com/platform/cts/+/0bb0f8bcf30ee2915ea5f25c49912b382d1e44e5", "0bb0f8bcf30ee2915ea5f25c49912b382d1e44e5")</f>
        <v>0</v>
      </c>
      <c r="D176" t="s">
        <v>11977</v>
      </c>
      <c r="E176" t="s">
        <v>12599</v>
      </c>
      <c r="F176" t="s">
        <v>14518</v>
      </c>
      <c r="G176" t="s">
        <v>17363</v>
      </c>
      <c r="H176" t="s">
        <v>20003</v>
      </c>
      <c r="I176" t="s">
        <v>1357</v>
      </c>
      <c r="J176" t="s">
        <v>1357</v>
      </c>
      <c r="K176" t="s">
        <v>1357</v>
      </c>
      <c r="L176" t="s">
        <v>1357</v>
      </c>
    </row>
    <row r="177" spans="1:12">
      <c r="A177" t="s">
        <v>10031</v>
      </c>
      <c r="B177">
        <f>HYPERLINK("https://android.googlesource.com/platform/cts/+/1cb6e06af811b4d967c5dd08f19c8b8cdeedc9e8", "1cb6e06af811b4d967c5dd08f19c8b8cdeedc9e8")</f>
        <v>0</v>
      </c>
      <c r="C177">
        <f>HYPERLINK("https://android.googlesource.com/platform/cts/+/9518a7b53d9059de8f61614c88dac3eb8ed1cc52", "9518a7b53d9059de8f61614c88dac3eb8ed1cc52")</f>
        <v>0</v>
      </c>
      <c r="D177" t="s">
        <v>11982</v>
      </c>
      <c r="E177" t="s">
        <v>12600</v>
      </c>
      <c r="F177" t="s">
        <v>14519</v>
      </c>
      <c r="G177" t="s">
        <v>17364</v>
      </c>
      <c r="H177" t="s">
        <v>20004</v>
      </c>
      <c r="I177" t="s">
        <v>1357</v>
      </c>
      <c r="J177" t="s">
        <v>1357</v>
      </c>
      <c r="K177" t="s">
        <v>1357</v>
      </c>
      <c r="L177" t="s">
        <v>1357</v>
      </c>
    </row>
    <row r="178" spans="1:12">
      <c r="A178" t="s">
        <v>10032</v>
      </c>
      <c r="B178">
        <f>HYPERLINK("https://android.googlesource.com/platform/cts/+/561e5e11c900b09b086bf8e40ba3d3bccc847758", "561e5e11c900b09b086bf8e40ba3d3bccc847758")</f>
        <v>0</v>
      </c>
      <c r="C178">
        <f>HYPERLINK("https://android.googlesource.com/platform/cts/+/41988d0a1ec52a13956b00df49a9a8e61ca8ebd9", "41988d0a1ec52a13956b00df49a9a8e61ca8ebd9")</f>
        <v>0</v>
      </c>
      <c r="D178" t="s">
        <v>11982</v>
      </c>
      <c r="E178" t="s">
        <v>12601</v>
      </c>
      <c r="F178" t="s">
        <v>14520</v>
      </c>
      <c r="G178" t="s">
        <v>17365</v>
      </c>
      <c r="H178" t="s">
        <v>20005</v>
      </c>
      <c r="I178" t="s">
        <v>1357</v>
      </c>
      <c r="J178" t="s">
        <v>1357</v>
      </c>
      <c r="K178" t="s">
        <v>1357</v>
      </c>
      <c r="L178" t="s">
        <v>1357</v>
      </c>
    </row>
    <row r="179" spans="1:12">
      <c r="F179" t="s">
        <v>14521</v>
      </c>
      <c r="G179" t="s">
        <v>17366</v>
      </c>
      <c r="H179" t="s">
        <v>20005</v>
      </c>
      <c r="I179" t="s">
        <v>1357</v>
      </c>
      <c r="J179" t="s">
        <v>1357</v>
      </c>
      <c r="K179" t="s">
        <v>1357</v>
      </c>
      <c r="L179" t="s">
        <v>1357</v>
      </c>
    </row>
    <row r="180" spans="1:12">
      <c r="A180" t="s">
        <v>10033</v>
      </c>
      <c r="B180">
        <f>HYPERLINK("https://android.googlesource.com/platform/cts/+/d719cf92dfd46857dd90b83530b4c2f25c4f91c5", "d719cf92dfd46857dd90b83530b4c2f25c4f91c5")</f>
        <v>0</v>
      </c>
      <c r="C180">
        <f>HYPERLINK("https://android.googlesource.com/platform/cts/+/561e5e11c900b09b086bf8e40ba3d3bccc847758", "561e5e11c900b09b086bf8e40ba3d3bccc847758")</f>
        <v>0</v>
      </c>
      <c r="D180" t="s">
        <v>11982</v>
      </c>
      <c r="E180" t="s">
        <v>12602</v>
      </c>
      <c r="F180" t="s">
        <v>14521</v>
      </c>
      <c r="G180" t="s">
        <v>17366</v>
      </c>
      <c r="H180" t="s">
        <v>20006</v>
      </c>
      <c r="I180" t="s">
        <v>1357</v>
      </c>
      <c r="J180" t="s">
        <v>1357</v>
      </c>
      <c r="K180" t="s">
        <v>1357</v>
      </c>
      <c r="L180" t="s">
        <v>1357</v>
      </c>
    </row>
    <row r="181" spans="1:12">
      <c r="A181" t="s">
        <v>10034</v>
      </c>
      <c r="B181">
        <f>HYPERLINK("https://android.googlesource.com/platform/cts/+/ef07f61a84dc70d668883edcbede50639038cb93", "ef07f61a84dc70d668883edcbede50639038cb93")</f>
        <v>0</v>
      </c>
      <c r="C181">
        <f>HYPERLINK("https://android.googlesource.com/platform/cts/+/61a7ca892ee196da93eb665b66622b60769da00c", "61a7ca892ee196da93eb665b66622b60769da00c")</f>
        <v>0</v>
      </c>
      <c r="D181" t="s">
        <v>11982</v>
      </c>
      <c r="E181" t="s">
        <v>12603</v>
      </c>
      <c r="F181" t="s">
        <v>14522</v>
      </c>
      <c r="G181" t="s">
        <v>17367</v>
      </c>
      <c r="H181" t="s">
        <v>20007</v>
      </c>
      <c r="I181" t="s">
        <v>1357</v>
      </c>
      <c r="J181" t="s">
        <v>1357</v>
      </c>
      <c r="K181" t="s">
        <v>1357</v>
      </c>
      <c r="L181" t="s">
        <v>1357</v>
      </c>
    </row>
    <row r="182" spans="1:12">
      <c r="A182" t="s">
        <v>10035</v>
      </c>
      <c r="B182">
        <f>HYPERLINK("https://android.googlesource.com/platform/cts/+/7567b204d44b9b2d955effc1e941ea38236a9a03", "7567b204d44b9b2d955effc1e941ea38236a9a03")</f>
        <v>0</v>
      </c>
      <c r="C182">
        <f>HYPERLINK("https://android.googlesource.com/platform/cts/+/2f8435cd13a7f295d09e9e9372aff5b781b66bde", "2f8435cd13a7f295d09e9e9372aff5b781b66bde")</f>
        <v>0</v>
      </c>
      <c r="D182" t="s">
        <v>11983</v>
      </c>
      <c r="E182" t="s">
        <v>12604</v>
      </c>
      <c r="F182" t="s">
        <v>14523</v>
      </c>
      <c r="G182" t="s">
        <v>17368</v>
      </c>
      <c r="H182" t="s">
        <v>20008</v>
      </c>
      <c r="I182" t="s">
        <v>1357</v>
      </c>
      <c r="J182" t="s">
        <v>1357</v>
      </c>
      <c r="K182" t="s">
        <v>1357</v>
      </c>
      <c r="L182" t="s">
        <v>1357</v>
      </c>
    </row>
    <row r="183" spans="1:12">
      <c r="F183" t="s">
        <v>14524</v>
      </c>
      <c r="G183" t="s">
        <v>17369</v>
      </c>
      <c r="H183" t="s">
        <v>20008</v>
      </c>
      <c r="I183" t="s">
        <v>1357</v>
      </c>
      <c r="J183" t="s">
        <v>1357</v>
      </c>
      <c r="K183" t="s">
        <v>1357</v>
      </c>
      <c r="L183" t="s">
        <v>1357</v>
      </c>
    </row>
    <row r="184" spans="1:12">
      <c r="A184" t="s">
        <v>10036</v>
      </c>
      <c r="B184">
        <f>HYPERLINK("https://android.googlesource.com/platform/cts/+/4005ea57a928432b803c268358fe9de709c65615", "4005ea57a928432b803c268358fe9de709c65615")</f>
        <v>0</v>
      </c>
      <c r="C184">
        <f>HYPERLINK("https://android.googlesource.com/platform/cts/+/48fa39dc596c026c182716675be5f4c613ee2190", "48fa39dc596c026c182716675be5f4c613ee2190")</f>
        <v>0</v>
      </c>
      <c r="D184" t="s">
        <v>11983</v>
      </c>
      <c r="E184" t="s">
        <v>12605</v>
      </c>
      <c r="F184" t="s">
        <v>14525</v>
      </c>
      <c r="G184" t="s">
        <v>17370</v>
      </c>
      <c r="H184" t="s">
        <v>20009</v>
      </c>
      <c r="I184" t="s">
        <v>1357</v>
      </c>
      <c r="J184" t="s">
        <v>1357</v>
      </c>
      <c r="K184" t="s">
        <v>1357</v>
      </c>
      <c r="L184" t="s">
        <v>1357</v>
      </c>
    </row>
    <row r="185" spans="1:12">
      <c r="F185" t="s">
        <v>14526</v>
      </c>
      <c r="G185" t="s">
        <v>17371</v>
      </c>
      <c r="H185" t="s">
        <v>20009</v>
      </c>
      <c r="I185" t="s">
        <v>1357</v>
      </c>
      <c r="J185" t="s">
        <v>1357</v>
      </c>
      <c r="K185" t="s">
        <v>1357</v>
      </c>
      <c r="L185" t="s">
        <v>1357</v>
      </c>
    </row>
    <row r="186" spans="1:12">
      <c r="F186" t="s">
        <v>14527</v>
      </c>
      <c r="G186" t="s">
        <v>17372</v>
      </c>
      <c r="H186" t="s">
        <v>20009</v>
      </c>
      <c r="I186" t="s">
        <v>1357</v>
      </c>
      <c r="J186" t="s">
        <v>1357</v>
      </c>
      <c r="K186" t="s">
        <v>1357</v>
      </c>
      <c r="L186" t="s">
        <v>1357</v>
      </c>
    </row>
    <row r="187" spans="1:12">
      <c r="F187" t="s">
        <v>14528</v>
      </c>
      <c r="G187" t="s">
        <v>17373</v>
      </c>
      <c r="H187" t="s">
        <v>20009</v>
      </c>
      <c r="I187" t="s">
        <v>1357</v>
      </c>
      <c r="J187" t="s">
        <v>1357</v>
      </c>
      <c r="K187" t="s">
        <v>1357</v>
      </c>
      <c r="L187" t="s">
        <v>1357</v>
      </c>
    </row>
    <row r="188" spans="1:12">
      <c r="A188" t="s">
        <v>10037</v>
      </c>
      <c r="B188">
        <f>HYPERLINK("https://android.googlesource.com/platform/cts/+/f8c0a36cd3130cde3808790cfe5a1a31ff5807aa", "f8c0a36cd3130cde3808790cfe5a1a31ff5807aa")</f>
        <v>0</v>
      </c>
      <c r="C188">
        <f>HYPERLINK("https://android.googlesource.com/platform/cts/+/2bcf2450cc9c532a9416106565c75f10d46ecdf2", "2bcf2450cc9c532a9416106565c75f10d46ecdf2")</f>
        <v>0</v>
      </c>
      <c r="D188" t="s">
        <v>11983</v>
      </c>
      <c r="E188" t="s">
        <v>12606</v>
      </c>
      <c r="F188" t="s">
        <v>14529</v>
      </c>
      <c r="G188" t="s">
        <v>17374</v>
      </c>
      <c r="H188" t="s">
        <v>20010</v>
      </c>
      <c r="I188" t="s">
        <v>1357</v>
      </c>
      <c r="J188" t="s">
        <v>1357</v>
      </c>
      <c r="K188" t="s">
        <v>1357</v>
      </c>
      <c r="L188" t="s">
        <v>1357</v>
      </c>
    </row>
    <row r="189" spans="1:12">
      <c r="H189" t="s">
        <v>20011</v>
      </c>
      <c r="I189" t="s">
        <v>1357</v>
      </c>
      <c r="J189" t="s">
        <v>1357</v>
      </c>
      <c r="K189" t="s">
        <v>1357</v>
      </c>
      <c r="L189" t="s">
        <v>1357</v>
      </c>
    </row>
    <row r="190" spans="1:12">
      <c r="H190" t="s">
        <v>20012</v>
      </c>
      <c r="I190" t="s">
        <v>1357</v>
      </c>
      <c r="J190" t="s">
        <v>1357</v>
      </c>
      <c r="K190" t="s">
        <v>1357</v>
      </c>
      <c r="L190" t="s">
        <v>1357</v>
      </c>
    </row>
    <row r="191" spans="1:12">
      <c r="A191" t="s">
        <v>10038</v>
      </c>
      <c r="B191">
        <f>HYPERLINK("https://android.googlesource.com/platform/cts/+/1e1ceaa036e58fa23148386bf7a32d02cfc66cdd", "1e1ceaa036e58fa23148386bf7a32d02cfc66cdd")</f>
        <v>0</v>
      </c>
      <c r="C191">
        <f>HYPERLINK("https://android.googlesource.com/platform/cts/+/9807ece9ab368c44f7519c320ca0e6a9930000e8", "9807ece9ab368c44f7519c320ca0e6a9930000e8")</f>
        <v>0</v>
      </c>
      <c r="D191" t="s">
        <v>11982</v>
      </c>
      <c r="E191" t="s">
        <v>12607</v>
      </c>
      <c r="F191" t="s">
        <v>14530</v>
      </c>
      <c r="G191" t="s">
        <v>17375</v>
      </c>
      <c r="H191" t="s">
        <v>20013</v>
      </c>
      <c r="I191" t="s">
        <v>1357</v>
      </c>
      <c r="J191" t="s">
        <v>1357</v>
      </c>
      <c r="K191" t="s">
        <v>1357</v>
      </c>
      <c r="L191" t="s">
        <v>1357</v>
      </c>
    </row>
    <row r="192" spans="1:12">
      <c r="A192" t="s">
        <v>10039</v>
      </c>
      <c r="B192">
        <f>HYPERLINK("https://android.googlesource.com/platform/cts/+/498494b60da0c9f3ebef24af934c23bb8b3de3b3", "498494b60da0c9f3ebef24af934c23bb8b3de3b3")</f>
        <v>0</v>
      </c>
      <c r="C192">
        <f>HYPERLINK("https://android.googlesource.com/platform/cts/+/11a052eae5264365d8641e17c5ec2830c012a9ff", "11a052eae5264365d8641e17c5ec2830c012a9ff")</f>
        <v>0</v>
      </c>
      <c r="D192" t="s">
        <v>11982</v>
      </c>
      <c r="E192" t="s">
        <v>12608</v>
      </c>
      <c r="F192" t="s">
        <v>14531</v>
      </c>
      <c r="G192" t="s">
        <v>17376</v>
      </c>
      <c r="H192" t="s">
        <v>20014</v>
      </c>
      <c r="I192" t="s">
        <v>1357</v>
      </c>
      <c r="J192" t="s">
        <v>1357</v>
      </c>
      <c r="K192" t="s">
        <v>1357</v>
      </c>
      <c r="L192" t="s">
        <v>1357</v>
      </c>
    </row>
    <row r="193" spans="1:12">
      <c r="H193" t="s">
        <v>3380</v>
      </c>
      <c r="I193" t="s">
        <v>1357</v>
      </c>
      <c r="J193" t="s">
        <v>1357</v>
      </c>
      <c r="K193" t="s">
        <v>1357</v>
      </c>
      <c r="L193" t="s">
        <v>1357</v>
      </c>
    </row>
    <row r="194" spans="1:12">
      <c r="A194" t="s">
        <v>10040</v>
      </c>
      <c r="B194">
        <f>HYPERLINK("https://android.googlesource.com/platform/cts/+/113cf67f683cba95e36af06e134511b363373abe", "113cf67f683cba95e36af06e134511b363373abe")</f>
        <v>0</v>
      </c>
      <c r="C194">
        <f>HYPERLINK("https://android.googlesource.com/platform/cts/+/d4edc186d4e8f69b4967f694dc8baf28534d566b", "d4edc186d4e8f69b4967f694dc8baf28534d566b")</f>
        <v>0</v>
      </c>
      <c r="D194" t="s">
        <v>11983</v>
      </c>
      <c r="E194" t="s">
        <v>12609</v>
      </c>
      <c r="F194" t="s">
        <v>14532</v>
      </c>
      <c r="G194" t="s">
        <v>17377</v>
      </c>
      <c r="H194" t="s">
        <v>20015</v>
      </c>
      <c r="I194" t="s">
        <v>1357</v>
      </c>
      <c r="J194" t="s">
        <v>1357</v>
      </c>
      <c r="K194" t="s">
        <v>1357</v>
      </c>
      <c r="L194" t="s">
        <v>1357</v>
      </c>
    </row>
    <row r="195" spans="1:12">
      <c r="H195" t="s">
        <v>20016</v>
      </c>
      <c r="I195" t="s">
        <v>1357</v>
      </c>
      <c r="J195" t="s">
        <v>1357</v>
      </c>
      <c r="K195" t="s">
        <v>1357</v>
      </c>
      <c r="L195" t="s">
        <v>1357</v>
      </c>
    </row>
    <row r="196" spans="1:12">
      <c r="A196" t="s">
        <v>10041</v>
      </c>
      <c r="B196">
        <f>HYPERLINK("https://android.googlesource.com/platform/cts/+/8384c12edac19c20b8ffc115e2fb1c623d500e29", "8384c12edac19c20b8ffc115e2fb1c623d500e29")</f>
        <v>0</v>
      </c>
      <c r="C196">
        <f>HYPERLINK("https://android.googlesource.com/platform/cts/+/b9f9c181bbb3f0f00ca3e061560229f8a064cd8a", "b9f9c181bbb3f0f00ca3e061560229f8a064cd8a")</f>
        <v>0</v>
      </c>
      <c r="D196" t="s">
        <v>11982</v>
      </c>
      <c r="E196" t="s">
        <v>12610</v>
      </c>
      <c r="F196" t="s">
        <v>14520</v>
      </c>
      <c r="G196" t="s">
        <v>17365</v>
      </c>
      <c r="H196" t="s">
        <v>20017</v>
      </c>
      <c r="I196" t="s">
        <v>1358</v>
      </c>
      <c r="J196" t="s">
        <v>1358</v>
      </c>
      <c r="K196" t="s">
        <v>1358</v>
      </c>
      <c r="L196" t="s">
        <v>1358</v>
      </c>
    </row>
    <row r="197" spans="1:12">
      <c r="H197" t="s">
        <v>20018</v>
      </c>
      <c r="I197" t="s">
        <v>1358</v>
      </c>
      <c r="J197" t="s">
        <v>1358</v>
      </c>
      <c r="K197" t="s">
        <v>1358</v>
      </c>
      <c r="L197" t="s">
        <v>1358</v>
      </c>
    </row>
    <row r="198" spans="1:12">
      <c r="A198" t="s">
        <v>10042</v>
      </c>
      <c r="B198">
        <f>HYPERLINK("https://android.googlesource.com/platform/cts/+/77cf8e683cfeb9a4c35c48a9ad62d9ffd48840d3", "77cf8e683cfeb9a4c35c48a9ad62d9ffd48840d3")</f>
        <v>0</v>
      </c>
      <c r="C198">
        <f>HYPERLINK("https://android.googlesource.com/platform/cts/+/8476626a9e9fd100a1238258250b7043927d9a1d", "8476626a9e9fd100a1238258250b7043927d9a1d")</f>
        <v>0</v>
      </c>
      <c r="D198" t="s">
        <v>11981</v>
      </c>
      <c r="E198" t="s">
        <v>12611</v>
      </c>
      <c r="F198" t="s">
        <v>14533</v>
      </c>
      <c r="G198" t="s">
        <v>17378</v>
      </c>
      <c r="H198" t="s">
        <v>20019</v>
      </c>
      <c r="I198" t="s">
        <v>1359</v>
      </c>
      <c r="J198" t="s">
        <v>1358</v>
      </c>
      <c r="K198" t="s">
        <v>1358</v>
      </c>
      <c r="L198" t="s">
        <v>1357</v>
      </c>
    </row>
    <row r="199" spans="1:12">
      <c r="A199" t="s">
        <v>10043</v>
      </c>
      <c r="B199">
        <f>HYPERLINK("https://android.googlesource.com/platform/cts/+/0b9aac058d4f69e209c25a0ae382a62567c68ec7", "0b9aac058d4f69e209c25a0ae382a62567c68ec7")</f>
        <v>0</v>
      </c>
      <c r="C199">
        <f>HYPERLINK("https://android.googlesource.com/platform/cts/+/2ad4648a054aa57fd9092ab880be4c38850863d8", "2ad4648a054aa57fd9092ab880be4c38850863d8")</f>
        <v>0</v>
      </c>
      <c r="D199" t="s">
        <v>11983</v>
      </c>
      <c r="E199" t="s">
        <v>12612</v>
      </c>
      <c r="F199" t="s">
        <v>14534</v>
      </c>
      <c r="G199" t="s">
        <v>17379</v>
      </c>
      <c r="H199" t="s">
        <v>20020</v>
      </c>
      <c r="I199" t="s">
        <v>1358</v>
      </c>
      <c r="J199" t="s">
        <v>1358</v>
      </c>
      <c r="K199" t="s">
        <v>1358</v>
      </c>
      <c r="L199" t="s">
        <v>1358</v>
      </c>
    </row>
    <row r="200" spans="1:12">
      <c r="A200" t="s">
        <v>10044</v>
      </c>
      <c r="B200">
        <f>HYPERLINK("https://android.googlesource.com/platform/cts/+/5c5c4c4625b08ff76d9369cb8faed9771cabe4ac", "5c5c4c4625b08ff76d9369cb8faed9771cabe4ac")</f>
        <v>0</v>
      </c>
      <c r="C200">
        <f>HYPERLINK("https://android.googlesource.com/platform/cts/+/2ad4648a054aa57fd9092ab880be4c38850863d8", "2ad4648a054aa57fd9092ab880be4c38850863d8")</f>
        <v>0</v>
      </c>
      <c r="D200" t="s">
        <v>11983</v>
      </c>
      <c r="E200" t="s">
        <v>12613</v>
      </c>
      <c r="F200" t="s">
        <v>14535</v>
      </c>
      <c r="G200" t="s">
        <v>17380</v>
      </c>
      <c r="H200" t="s">
        <v>20021</v>
      </c>
      <c r="I200" t="s">
        <v>1357</v>
      </c>
      <c r="J200" t="s">
        <v>1357</v>
      </c>
      <c r="K200" t="s">
        <v>1357</v>
      </c>
      <c r="L200" t="s">
        <v>1357</v>
      </c>
    </row>
    <row r="201" spans="1:12">
      <c r="A201" t="s">
        <v>10045</v>
      </c>
      <c r="B201">
        <f>HYPERLINK("https://android.googlesource.com/platform/cts/+/f6ef098cd3a59a2f5af6f19278d0cf796f5b2f02", "f6ef098cd3a59a2f5af6f19278d0cf796f5b2f02")</f>
        <v>0</v>
      </c>
      <c r="C201">
        <f>HYPERLINK("https://android.googlesource.com/platform/cts/+/2ad4648a054aa57fd9092ab880be4c38850863d8", "2ad4648a054aa57fd9092ab880be4c38850863d8")</f>
        <v>0</v>
      </c>
      <c r="D201" t="s">
        <v>11983</v>
      </c>
      <c r="E201" t="s">
        <v>12614</v>
      </c>
      <c r="F201" t="s">
        <v>14509</v>
      </c>
      <c r="G201" t="s">
        <v>17354</v>
      </c>
      <c r="H201" t="s">
        <v>20022</v>
      </c>
      <c r="I201" t="s">
        <v>1357</v>
      </c>
      <c r="J201" t="s">
        <v>1357</v>
      </c>
      <c r="K201" t="s">
        <v>1357</v>
      </c>
      <c r="L201" t="s">
        <v>1357</v>
      </c>
    </row>
    <row r="202" spans="1:12">
      <c r="H202" t="s">
        <v>20023</v>
      </c>
      <c r="I202" t="s">
        <v>1357</v>
      </c>
      <c r="J202" t="s">
        <v>1357</v>
      </c>
      <c r="K202" t="s">
        <v>1357</v>
      </c>
      <c r="L202" t="s">
        <v>1357</v>
      </c>
    </row>
    <row r="203" spans="1:12">
      <c r="A203" t="s">
        <v>10046</v>
      </c>
      <c r="B203">
        <f>HYPERLINK("https://android.googlesource.com/platform/cts/+/6aca89963bb79ca88941c79bd7d7316066eb8ec3", "6aca89963bb79ca88941c79bd7d7316066eb8ec3")</f>
        <v>0</v>
      </c>
      <c r="C203">
        <f>HYPERLINK("https://android.googlesource.com/platform/cts/+/2ad4648a054aa57fd9092ab880be4c38850863d8", "2ad4648a054aa57fd9092ab880be4c38850863d8")</f>
        <v>0</v>
      </c>
      <c r="D203" t="s">
        <v>11983</v>
      </c>
      <c r="E203" t="s">
        <v>12615</v>
      </c>
      <c r="F203" t="s">
        <v>14536</v>
      </c>
      <c r="G203" t="s">
        <v>17381</v>
      </c>
      <c r="H203" t="s">
        <v>20024</v>
      </c>
      <c r="I203" t="s">
        <v>1357</v>
      </c>
      <c r="J203" t="s">
        <v>1357</v>
      </c>
      <c r="K203" t="s">
        <v>1357</v>
      </c>
      <c r="L203" t="s">
        <v>1357</v>
      </c>
    </row>
    <row r="204" spans="1:12">
      <c r="A204" t="s">
        <v>10047</v>
      </c>
      <c r="B204">
        <f>HYPERLINK("https://android.googlesource.com/platform/cts/+/8301a50347223c940cf4775497d92eac1935532f", "8301a50347223c940cf4775497d92eac1935532f")</f>
        <v>0</v>
      </c>
      <c r="C204">
        <f>HYPERLINK("https://android.googlesource.com/platform/cts/+/a59ff92b4dab5b9bfb301d0a49b5f6d0188b4389", "a59ff92b4dab5b9bfb301d0a49b5f6d0188b4389")</f>
        <v>0</v>
      </c>
      <c r="D204" t="s">
        <v>11983</v>
      </c>
      <c r="E204" t="s">
        <v>12616</v>
      </c>
      <c r="F204" t="s">
        <v>14537</v>
      </c>
      <c r="G204" t="s">
        <v>17382</v>
      </c>
      <c r="H204" t="s">
        <v>20025</v>
      </c>
      <c r="I204" t="s">
        <v>1358</v>
      </c>
      <c r="J204" t="s">
        <v>1358</v>
      </c>
      <c r="K204" t="s">
        <v>1358</v>
      </c>
      <c r="L204" t="s">
        <v>1358</v>
      </c>
    </row>
    <row r="205" spans="1:12">
      <c r="H205" t="s">
        <v>20026</v>
      </c>
      <c r="I205" t="s">
        <v>1358</v>
      </c>
      <c r="J205" t="s">
        <v>1358</v>
      </c>
      <c r="K205" t="s">
        <v>1358</v>
      </c>
      <c r="L205" t="s">
        <v>1358</v>
      </c>
    </row>
    <row r="206" spans="1:12">
      <c r="F206" t="s">
        <v>14538</v>
      </c>
      <c r="G206" t="s">
        <v>17383</v>
      </c>
      <c r="H206" t="s">
        <v>20027</v>
      </c>
      <c r="I206" t="s">
        <v>1358</v>
      </c>
      <c r="J206" t="s">
        <v>1358</v>
      </c>
      <c r="K206" t="s">
        <v>1358</v>
      </c>
      <c r="L206" t="s">
        <v>1358</v>
      </c>
    </row>
    <row r="207" spans="1:12">
      <c r="A207" t="s">
        <v>10048</v>
      </c>
      <c r="B207">
        <f>HYPERLINK("https://android.googlesource.com/platform/cts/+/0dee316c165ec017d0456eb7fa041a839ef72190", "0dee316c165ec017d0456eb7fa041a839ef72190")</f>
        <v>0</v>
      </c>
      <c r="C207">
        <f>HYPERLINK("https://android.googlesource.com/platform/cts/+/b39a05306c3a46d9ca1cf434941c9bf44e3bf5dd", "b39a05306c3a46d9ca1cf434941c9bf44e3bf5dd")</f>
        <v>0</v>
      </c>
      <c r="D207" t="s">
        <v>11990</v>
      </c>
      <c r="E207" t="s">
        <v>12617</v>
      </c>
      <c r="F207" t="s">
        <v>14539</v>
      </c>
      <c r="G207" t="s">
        <v>17384</v>
      </c>
      <c r="H207" t="s">
        <v>20028</v>
      </c>
      <c r="I207" t="s">
        <v>1357</v>
      </c>
      <c r="J207" t="s">
        <v>1357</v>
      </c>
      <c r="K207" t="s">
        <v>1357</v>
      </c>
      <c r="L207" t="s">
        <v>1357</v>
      </c>
    </row>
    <row r="208" spans="1:12">
      <c r="A208" t="s">
        <v>10049</v>
      </c>
      <c r="B208">
        <f>HYPERLINK("https://android.googlesource.com/platform/cts/+/3dcf631658eb54e51aa60a682134f40ee3bf9ad5", "3dcf631658eb54e51aa60a682134f40ee3bf9ad5")</f>
        <v>0</v>
      </c>
      <c r="C208">
        <f>HYPERLINK("https://android.googlesource.com/platform/cts/+/e0550b02f42dfa086e9515ee0ab9909aefd68473", "e0550b02f42dfa086e9515ee0ab9909aefd68473")</f>
        <v>0</v>
      </c>
      <c r="D208" t="s">
        <v>11983</v>
      </c>
      <c r="E208" t="s">
        <v>12618</v>
      </c>
      <c r="F208" t="s">
        <v>14472</v>
      </c>
      <c r="G208" t="s">
        <v>17319</v>
      </c>
      <c r="H208" t="s">
        <v>20029</v>
      </c>
      <c r="I208" t="s">
        <v>1357</v>
      </c>
      <c r="J208" t="s">
        <v>1357</v>
      </c>
      <c r="K208" t="s">
        <v>1357</v>
      </c>
      <c r="L208" t="s">
        <v>1357</v>
      </c>
    </row>
    <row r="209" spans="1:12">
      <c r="H209" t="s">
        <v>20030</v>
      </c>
      <c r="I209" t="s">
        <v>1357</v>
      </c>
      <c r="J209" t="s">
        <v>1357</v>
      </c>
      <c r="K209" t="s">
        <v>1357</v>
      </c>
      <c r="L209" t="s">
        <v>1357</v>
      </c>
    </row>
    <row r="210" spans="1:12">
      <c r="A210" t="s">
        <v>10050</v>
      </c>
      <c r="B210">
        <f>HYPERLINK("https://android.googlesource.com/platform/cts/+/f7f1742e301a825b10ff14d1f03b1c38fc696c04", "f7f1742e301a825b10ff14d1f03b1c38fc696c04")</f>
        <v>0</v>
      </c>
      <c r="C210">
        <f>HYPERLINK("https://android.googlesource.com/platform/cts/+/e0550b02f42dfa086e9515ee0ab9909aefd68473", "e0550b02f42dfa086e9515ee0ab9909aefd68473")</f>
        <v>0</v>
      </c>
      <c r="D210" t="s">
        <v>11983</v>
      </c>
      <c r="E210" t="s">
        <v>12619</v>
      </c>
      <c r="F210" t="s">
        <v>14540</v>
      </c>
      <c r="G210" t="s">
        <v>17385</v>
      </c>
      <c r="H210" t="s">
        <v>20031</v>
      </c>
      <c r="I210" t="s">
        <v>1357</v>
      </c>
      <c r="J210" t="s">
        <v>1357</v>
      </c>
      <c r="K210" t="s">
        <v>1357</v>
      </c>
      <c r="L210" t="s">
        <v>1357</v>
      </c>
    </row>
    <row r="211" spans="1:12">
      <c r="H211" t="s">
        <v>20032</v>
      </c>
      <c r="I211" t="s">
        <v>1357</v>
      </c>
      <c r="J211" t="s">
        <v>1357</v>
      </c>
      <c r="K211" t="s">
        <v>1357</v>
      </c>
      <c r="L211" t="s">
        <v>1357</v>
      </c>
    </row>
    <row r="212" spans="1:12">
      <c r="A212" t="s">
        <v>10051</v>
      </c>
      <c r="B212">
        <f>HYPERLINK("https://android.googlesource.com/platform/cts/+/8dc2b80b06032addf4a93543c90c3603bb6be023", "8dc2b80b06032addf4a93543c90c3603bb6be023")</f>
        <v>0</v>
      </c>
      <c r="C212">
        <f>HYPERLINK("https://android.googlesource.com/platform/cts/+/ace35f36291fdfc0bc49b39a395b8bea71a6c67b", "ace35f36291fdfc0bc49b39a395b8bea71a6c67b")</f>
        <v>0</v>
      </c>
      <c r="D212" t="s">
        <v>11991</v>
      </c>
      <c r="E212" t="s">
        <v>12620</v>
      </c>
      <c r="F212" t="s">
        <v>14541</v>
      </c>
      <c r="G212" t="s">
        <v>17386</v>
      </c>
      <c r="H212" t="s">
        <v>20033</v>
      </c>
      <c r="I212" t="s">
        <v>1358</v>
      </c>
      <c r="J212" t="s">
        <v>1358</v>
      </c>
      <c r="K212" t="s">
        <v>1358</v>
      </c>
      <c r="L212" t="s">
        <v>1358</v>
      </c>
    </row>
    <row r="213" spans="1:12">
      <c r="A213" t="s">
        <v>10052</v>
      </c>
      <c r="B213">
        <f>HYPERLINK("https://android.googlesource.com/platform/cts/+/2b724c769821d931e8ba1dd3e1861378194c46f5", "2b724c769821d931e8ba1dd3e1861378194c46f5")</f>
        <v>0</v>
      </c>
      <c r="C213">
        <f>HYPERLINK("https://android.googlesource.com/platform/cts/+/56129c167239bd7beeb2562ed088bc81d6a684df", "56129c167239bd7beeb2562ed088bc81d6a684df")</f>
        <v>0</v>
      </c>
      <c r="D213" t="s">
        <v>11982</v>
      </c>
      <c r="E213" t="s">
        <v>12621</v>
      </c>
      <c r="F213" t="s">
        <v>14507</v>
      </c>
      <c r="G213" t="s">
        <v>17353</v>
      </c>
      <c r="H213" t="s">
        <v>19969</v>
      </c>
      <c r="I213" t="s">
        <v>1357</v>
      </c>
      <c r="J213" t="s">
        <v>1357</v>
      </c>
      <c r="K213" t="s">
        <v>1357</v>
      </c>
      <c r="L213" t="s">
        <v>1357</v>
      </c>
    </row>
    <row r="214" spans="1:12">
      <c r="H214" t="s">
        <v>19970</v>
      </c>
      <c r="I214" t="s">
        <v>1357</v>
      </c>
      <c r="J214" t="s">
        <v>1357</v>
      </c>
      <c r="K214" t="s">
        <v>1357</v>
      </c>
      <c r="L214" t="s">
        <v>1357</v>
      </c>
    </row>
    <row r="215" spans="1:12">
      <c r="H215" t="s">
        <v>19971</v>
      </c>
      <c r="I215" t="s">
        <v>1357</v>
      </c>
      <c r="J215" t="s">
        <v>1357</v>
      </c>
      <c r="K215" t="s">
        <v>1357</v>
      </c>
      <c r="L215" t="s">
        <v>1357</v>
      </c>
    </row>
    <row r="216" spans="1:12">
      <c r="H216" t="s">
        <v>19972</v>
      </c>
      <c r="I216" t="s">
        <v>1357</v>
      </c>
      <c r="J216" t="s">
        <v>1357</v>
      </c>
      <c r="K216" t="s">
        <v>1357</v>
      </c>
      <c r="L216" t="s">
        <v>1357</v>
      </c>
    </row>
    <row r="217" spans="1:12">
      <c r="H217" t="s">
        <v>19973</v>
      </c>
      <c r="I217" t="s">
        <v>1357</v>
      </c>
      <c r="J217" t="s">
        <v>1357</v>
      </c>
      <c r="K217" t="s">
        <v>1357</v>
      </c>
      <c r="L217" t="s">
        <v>1357</v>
      </c>
    </row>
    <row r="218" spans="1:12">
      <c r="H218" t="s">
        <v>19974</v>
      </c>
      <c r="I218" t="s">
        <v>1357</v>
      </c>
      <c r="J218" t="s">
        <v>1357</v>
      </c>
      <c r="K218" t="s">
        <v>1357</v>
      </c>
      <c r="L218" t="s">
        <v>1357</v>
      </c>
    </row>
    <row r="219" spans="1:12">
      <c r="H219" t="s">
        <v>19975</v>
      </c>
      <c r="I219" t="s">
        <v>1357</v>
      </c>
      <c r="J219" t="s">
        <v>1357</v>
      </c>
      <c r="K219" t="s">
        <v>1357</v>
      </c>
      <c r="L219" t="s">
        <v>1357</v>
      </c>
    </row>
    <row r="220" spans="1:12">
      <c r="H220" t="s">
        <v>19976</v>
      </c>
      <c r="I220" t="s">
        <v>1357</v>
      </c>
      <c r="J220" t="s">
        <v>1357</v>
      </c>
      <c r="K220" t="s">
        <v>1357</v>
      </c>
      <c r="L220" t="s">
        <v>1357</v>
      </c>
    </row>
    <row r="221" spans="1:12">
      <c r="H221" t="s">
        <v>19977</v>
      </c>
      <c r="I221" t="s">
        <v>1357</v>
      </c>
      <c r="J221" t="s">
        <v>1357</v>
      </c>
      <c r="K221" t="s">
        <v>1357</v>
      </c>
      <c r="L221" t="s">
        <v>1357</v>
      </c>
    </row>
    <row r="222" spans="1:12">
      <c r="H222" t="s">
        <v>19978</v>
      </c>
      <c r="I222" t="s">
        <v>1357</v>
      </c>
      <c r="J222" t="s">
        <v>1357</v>
      </c>
      <c r="K222" t="s">
        <v>1357</v>
      </c>
      <c r="L222" t="s">
        <v>1357</v>
      </c>
    </row>
    <row r="223" spans="1:12">
      <c r="A223" t="s">
        <v>10053</v>
      </c>
      <c r="B223">
        <f>HYPERLINK("https://android.googlesource.com/platform/cts/+/56d8ae53f99e13b8b1dae7fdc505897ece31759d", "56d8ae53f99e13b8b1dae7fdc505897ece31759d")</f>
        <v>0</v>
      </c>
      <c r="C223">
        <f>HYPERLINK("https://android.googlesource.com/platform/cts/+/e0550b02f42dfa086e9515ee0ab9909aefd68473", "e0550b02f42dfa086e9515ee0ab9909aefd68473")</f>
        <v>0</v>
      </c>
      <c r="D223" t="s">
        <v>11983</v>
      </c>
      <c r="E223" t="s">
        <v>12622</v>
      </c>
      <c r="F223" t="s">
        <v>14517</v>
      </c>
      <c r="G223" t="s">
        <v>17362</v>
      </c>
      <c r="H223" t="s">
        <v>20034</v>
      </c>
      <c r="I223" t="s">
        <v>1357</v>
      </c>
      <c r="J223" t="s">
        <v>1357</v>
      </c>
      <c r="K223" t="s">
        <v>1357</v>
      </c>
      <c r="L223" t="s">
        <v>1357</v>
      </c>
    </row>
    <row r="224" spans="1:12">
      <c r="A224" t="s">
        <v>10054</v>
      </c>
      <c r="B224">
        <f>HYPERLINK("https://android.googlesource.com/platform/cts/+/977522004dcea20d5e45fafa8e20e5d8502fab9c", "977522004dcea20d5e45fafa8e20e5d8502fab9c")</f>
        <v>0</v>
      </c>
      <c r="C224">
        <f>HYPERLINK("https://android.googlesource.com/platform/cts/+/e0550b02f42dfa086e9515ee0ab9909aefd68473", "e0550b02f42dfa086e9515ee0ab9909aefd68473")</f>
        <v>0</v>
      </c>
      <c r="D224" t="s">
        <v>11983</v>
      </c>
      <c r="E224" t="s">
        <v>12623</v>
      </c>
      <c r="F224" t="s">
        <v>14542</v>
      </c>
      <c r="G224" t="s">
        <v>17387</v>
      </c>
      <c r="H224" t="s">
        <v>20035</v>
      </c>
      <c r="I224" t="s">
        <v>1357</v>
      </c>
      <c r="J224" t="s">
        <v>1357</v>
      </c>
      <c r="K224" t="s">
        <v>1357</v>
      </c>
      <c r="L224" t="s">
        <v>1357</v>
      </c>
    </row>
    <row r="225" spans="1:12">
      <c r="H225" t="s">
        <v>20036</v>
      </c>
      <c r="I225" t="s">
        <v>1357</v>
      </c>
      <c r="J225" t="s">
        <v>1357</v>
      </c>
      <c r="K225" t="s">
        <v>1357</v>
      </c>
      <c r="L225" t="s">
        <v>1357</v>
      </c>
    </row>
    <row r="226" spans="1:12">
      <c r="A226" t="s">
        <v>10055</v>
      </c>
      <c r="B226">
        <f>HYPERLINK("https://android.googlesource.com/platform/cts/+/0a32c81efdde76a4c95be703edbec65cdeeb8381", "0a32c81efdde76a4c95be703edbec65cdeeb8381")</f>
        <v>0</v>
      </c>
      <c r="C226">
        <f>HYPERLINK("https://android.googlesource.com/platform/cts/+/25d543e4f28575bd9deebdc7ddb7b05e9848bcd3", "25d543e4f28575bd9deebdc7ddb7b05e9848bcd3")</f>
        <v>0</v>
      </c>
      <c r="D226" t="s">
        <v>11983</v>
      </c>
      <c r="E226" t="s">
        <v>12624</v>
      </c>
      <c r="F226" t="s">
        <v>14543</v>
      </c>
      <c r="G226" t="s">
        <v>17388</v>
      </c>
      <c r="H226" t="s">
        <v>20037</v>
      </c>
      <c r="I226" t="s">
        <v>1357</v>
      </c>
      <c r="J226" t="s">
        <v>1357</v>
      </c>
      <c r="K226" t="s">
        <v>1357</v>
      </c>
      <c r="L226" t="s">
        <v>1357</v>
      </c>
    </row>
    <row r="227" spans="1:12">
      <c r="A227" t="s">
        <v>10056</v>
      </c>
      <c r="B227">
        <f>HYPERLINK("https://android.googlesource.com/platform/cts/+/9393f4891ee3642b6268ec009a8552ff567d35b5", "9393f4891ee3642b6268ec009a8552ff567d35b5")</f>
        <v>0</v>
      </c>
      <c r="C227">
        <f>HYPERLINK("https://android.googlesource.com/platform/cts/+/25d543e4f28575bd9deebdc7ddb7b05e9848bcd3", "25d543e4f28575bd9deebdc7ddb7b05e9848bcd3")</f>
        <v>0</v>
      </c>
      <c r="D227" t="s">
        <v>11983</v>
      </c>
      <c r="E227" t="s">
        <v>12625</v>
      </c>
      <c r="F227" t="s">
        <v>14544</v>
      </c>
      <c r="G227" t="s">
        <v>17389</v>
      </c>
      <c r="H227" t="s">
        <v>20038</v>
      </c>
      <c r="I227" t="s">
        <v>1357</v>
      </c>
      <c r="J227" t="s">
        <v>1357</v>
      </c>
      <c r="K227" t="s">
        <v>1357</v>
      </c>
      <c r="L227" t="s">
        <v>1357</v>
      </c>
    </row>
    <row r="228" spans="1:12">
      <c r="A228" t="s">
        <v>10057</v>
      </c>
      <c r="B228">
        <f>HYPERLINK("https://android.googlesource.com/platform/cts/+/dc9b86b38e05bc12e20137540285316dc3835e26", "dc9b86b38e05bc12e20137540285316dc3835e26")</f>
        <v>0</v>
      </c>
      <c r="C228">
        <f>HYPERLINK("https://android.googlesource.com/platform/cts/+/25d543e4f28575bd9deebdc7ddb7b05e9848bcd3", "25d543e4f28575bd9deebdc7ddb7b05e9848bcd3")</f>
        <v>0</v>
      </c>
      <c r="D228" t="s">
        <v>11983</v>
      </c>
      <c r="E228" t="s">
        <v>12626</v>
      </c>
      <c r="F228" t="s">
        <v>14545</v>
      </c>
      <c r="G228" t="s">
        <v>17390</v>
      </c>
      <c r="H228" t="s">
        <v>20039</v>
      </c>
      <c r="I228" t="s">
        <v>1357</v>
      </c>
      <c r="J228" t="s">
        <v>1357</v>
      </c>
      <c r="K228" t="s">
        <v>1357</v>
      </c>
      <c r="L228" t="s">
        <v>1357</v>
      </c>
    </row>
    <row r="229" spans="1:12">
      <c r="A229" t="s">
        <v>10058</v>
      </c>
      <c r="B229">
        <f>HYPERLINK("https://android.googlesource.com/platform/cts/+/41d2452e4163df531046bab552faceeae45243dc", "41d2452e4163df531046bab552faceeae45243dc")</f>
        <v>0</v>
      </c>
      <c r="C229">
        <f>HYPERLINK("https://android.googlesource.com/platform/cts/+/8326d122c51d9eff2c9e8b08463851c7c50f5f26", "8326d122c51d9eff2c9e8b08463851c7c50f5f26")</f>
        <v>0</v>
      </c>
      <c r="D229" t="s">
        <v>11983</v>
      </c>
      <c r="E229" t="s">
        <v>12627</v>
      </c>
      <c r="F229" t="s">
        <v>14546</v>
      </c>
      <c r="G229" t="s">
        <v>17391</v>
      </c>
      <c r="H229" t="s">
        <v>19978</v>
      </c>
      <c r="I229" t="s">
        <v>1359</v>
      </c>
      <c r="J229" t="s">
        <v>1357</v>
      </c>
      <c r="K229" t="s">
        <v>1358</v>
      </c>
      <c r="L229" t="s">
        <v>1357</v>
      </c>
    </row>
    <row r="230" spans="1:12">
      <c r="A230" t="s">
        <v>10059</v>
      </c>
      <c r="B230">
        <f>HYPERLINK("https://android.googlesource.com/platform/cts/+/36b78c1a9a9da0f938fed721602f164834b66f4d", "36b78c1a9a9da0f938fed721602f164834b66f4d")</f>
        <v>0</v>
      </c>
      <c r="C230">
        <f>HYPERLINK("https://android.googlesource.com/platform/cts/+/7ca0842d074c7b165e2f6f6fa45da6219c9fe288", "7ca0842d074c7b165e2f6f6fa45da6219c9fe288")</f>
        <v>0</v>
      </c>
      <c r="D230" t="s">
        <v>11983</v>
      </c>
      <c r="E230" t="s">
        <v>12628</v>
      </c>
      <c r="F230" t="s">
        <v>14547</v>
      </c>
      <c r="G230" t="s">
        <v>17392</v>
      </c>
      <c r="H230" t="s">
        <v>4029</v>
      </c>
      <c r="I230" t="s">
        <v>1357</v>
      </c>
      <c r="J230" t="s">
        <v>1357</v>
      </c>
      <c r="K230" t="s">
        <v>1357</v>
      </c>
      <c r="L230" t="s">
        <v>1357</v>
      </c>
    </row>
    <row r="231" spans="1:12">
      <c r="A231" t="s">
        <v>10060</v>
      </c>
      <c r="B231">
        <f>HYPERLINK("https://android.googlesource.com/platform/cts/+/7a338e4eac14fd1b21c0d54a89c6ff9c3207f6c9", "7a338e4eac14fd1b21c0d54a89c6ff9c3207f6c9")</f>
        <v>0</v>
      </c>
      <c r="C231">
        <f>HYPERLINK("https://android.googlesource.com/platform/cts/+/17aa488bd56e5aeab5f28e3de5d95525c8694714", "17aa488bd56e5aeab5f28e3de5d95525c8694714")</f>
        <v>0</v>
      </c>
      <c r="D231" t="s">
        <v>11983</v>
      </c>
      <c r="E231" t="s">
        <v>12629</v>
      </c>
      <c r="F231" t="s">
        <v>14548</v>
      </c>
      <c r="G231" t="s">
        <v>17393</v>
      </c>
      <c r="H231" t="s">
        <v>20040</v>
      </c>
      <c r="I231" t="s">
        <v>1357</v>
      </c>
      <c r="J231" t="s">
        <v>1357</v>
      </c>
      <c r="K231" t="s">
        <v>1357</v>
      </c>
      <c r="L231" t="s">
        <v>1357</v>
      </c>
    </row>
    <row r="232" spans="1:12">
      <c r="A232" t="s">
        <v>10061</v>
      </c>
      <c r="B232">
        <f>HYPERLINK("https://android.googlesource.com/platform/cts/+/2616419c0ddfd92b6ae9751ca4beef127bd16e7f", "2616419c0ddfd92b6ae9751ca4beef127bd16e7f")</f>
        <v>0</v>
      </c>
      <c r="C232">
        <f>HYPERLINK("https://android.googlesource.com/platform/cts/+/3e6372cabe2c3a5a7a7339bad98f7b9b8783bc04", "3e6372cabe2c3a5a7a7339bad98f7b9b8783bc04")</f>
        <v>0</v>
      </c>
      <c r="D232" t="s">
        <v>11983</v>
      </c>
      <c r="E232" t="s">
        <v>12630</v>
      </c>
      <c r="F232" t="s">
        <v>14517</v>
      </c>
      <c r="G232" t="s">
        <v>17362</v>
      </c>
      <c r="H232" t="s">
        <v>20002</v>
      </c>
      <c r="I232" t="s">
        <v>1357</v>
      </c>
      <c r="J232" t="s">
        <v>1357</v>
      </c>
      <c r="K232" t="s">
        <v>1357</v>
      </c>
      <c r="L232" t="s">
        <v>1357</v>
      </c>
    </row>
    <row r="233" spans="1:12">
      <c r="A233" t="s">
        <v>10062</v>
      </c>
      <c r="B233">
        <f>HYPERLINK("https://android.googlesource.com/platform/cts/+/6cc97966e394e443fb65910766d8b3bd30ea2257", "6cc97966e394e443fb65910766d8b3bd30ea2257")</f>
        <v>0</v>
      </c>
      <c r="C233">
        <f>HYPERLINK("https://android.googlesource.com/platform/cts/+/e0973f3b254051cd7eaa3db843e1969c39019c48", "e0973f3b254051cd7eaa3db843e1969c39019c48")</f>
        <v>0</v>
      </c>
      <c r="D233" t="s">
        <v>11982</v>
      </c>
      <c r="E233" t="s">
        <v>12631</v>
      </c>
      <c r="F233" t="s">
        <v>14549</v>
      </c>
      <c r="G233" t="s">
        <v>17394</v>
      </c>
      <c r="H233" t="s">
        <v>20041</v>
      </c>
      <c r="I233" t="s">
        <v>1357</v>
      </c>
      <c r="J233" t="s">
        <v>1357</v>
      </c>
      <c r="K233" t="s">
        <v>1357</v>
      </c>
      <c r="L233" t="s">
        <v>1357</v>
      </c>
    </row>
    <row r="234" spans="1:12">
      <c r="A234" t="s">
        <v>10063</v>
      </c>
      <c r="B234">
        <f>HYPERLINK("https://android.googlesource.com/platform/cts/+/ad74169a2048f5e0a1de5c17ead65743f71293b8", "ad74169a2048f5e0a1de5c17ead65743f71293b8")</f>
        <v>0</v>
      </c>
      <c r="C234">
        <f>HYPERLINK("https://android.googlesource.com/platform/cts/+/7cd393e2a59c7e392b15c40861c1852c90781101", "7cd393e2a59c7e392b15c40861c1852c90781101")</f>
        <v>0</v>
      </c>
      <c r="D234" t="s">
        <v>11982</v>
      </c>
      <c r="E234" t="s">
        <v>12632</v>
      </c>
      <c r="F234" t="s">
        <v>14540</v>
      </c>
      <c r="G234" t="s">
        <v>17385</v>
      </c>
      <c r="H234" t="s">
        <v>20042</v>
      </c>
      <c r="I234" t="s">
        <v>1357</v>
      </c>
      <c r="J234" t="s">
        <v>1357</v>
      </c>
      <c r="K234" t="s">
        <v>1357</v>
      </c>
      <c r="L234" t="s">
        <v>1357</v>
      </c>
    </row>
    <row r="235" spans="1:12">
      <c r="H235" t="s">
        <v>20043</v>
      </c>
      <c r="I235" t="s">
        <v>1357</v>
      </c>
      <c r="J235" t="s">
        <v>1357</v>
      </c>
      <c r="K235" t="s">
        <v>1357</v>
      </c>
      <c r="L235" t="s">
        <v>1357</v>
      </c>
    </row>
    <row r="236" spans="1:12">
      <c r="H236" t="s">
        <v>20044</v>
      </c>
      <c r="I236" t="s">
        <v>1357</v>
      </c>
      <c r="J236" t="s">
        <v>1357</v>
      </c>
      <c r="K236" t="s">
        <v>1357</v>
      </c>
      <c r="L236" t="s">
        <v>1357</v>
      </c>
    </row>
    <row r="237" spans="1:12">
      <c r="H237" t="s">
        <v>20045</v>
      </c>
      <c r="I237" t="s">
        <v>1357</v>
      </c>
      <c r="J237" t="s">
        <v>1357</v>
      </c>
      <c r="K237" t="s">
        <v>1357</v>
      </c>
      <c r="L237" t="s">
        <v>1357</v>
      </c>
    </row>
    <row r="238" spans="1:12">
      <c r="H238" t="s">
        <v>20046</v>
      </c>
      <c r="I238" t="s">
        <v>1357</v>
      </c>
      <c r="J238" t="s">
        <v>1357</v>
      </c>
      <c r="K238" t="s">
        <v>1357</v>
      </c>
      <c r="L238" t="s">
        <v>1357</v>
      </c>
    </row>
    <row r="239" spans="1:12">
      <c r="H239" t="s">
        <v>20047</v>
      </c>
      <c r="I239" t="s">
        <v>1357</v>
      </c>
      <c r="J239" t="s">
        <v>1357</v>
      </c>
      <c r="K239" t="s">
        <v>1357</v>
      </c>
      <c r="L239" t="s">
        <v>1357</v>
      </c>
    </row>
    <row r="240" spans="1:12">
      <c r="H240" t="s">
        <v>20048</v>
      </c>
      <c r="I240" t="s">
        <v>1357</v>
      </c>
      <c r="J240" t="s">
        <v>1357</v>
      </c>
      <c r="K240" t="s">
        <v>1357</v>
      </c>
      <c r="L240" t="s">
        <v>1357</v>
      </c>
    </row>
    <row r="241" spans="1:12">
      <c r="H241" t="s">
        <v>20049</v>
      </c>
      <c r="I241" t="s">
        <v>1357</v>
      </c>
      <c r="J241" t="s">
        <v>1357</v>
      </c>
      <c r="K241" t="s">
        <v>1357</v>
      </c>
      <c r="L241" t="s">
        <v>1357</v>
      </c>
    </row>
    <row r="242" spans="1:12">
      <c r="H242" t="s">
        <v>20050</v>
      </c>
      <c r="I242" t="s">
        <v>1357</v>
      </c>
      <c r="J242" t="s">
        <v>1357</v>
      </c>
      <c r="K242" t="s">
        <v>1357</v>
      </c>
      <c r="L242" t="s">
        <v>1357</v>
      </c>
    </row>
    <row r="243" spans="1:12">
      <c r="H243" t="s">
        <v>20051</v>
      </c>
      <c r="I243" t="s">
        <v>1357</v>
      </c>
      <c r="J243" t="s">
        <v>1357</v>
      </c>
      <c r="K243" t="s">
        <v>1357</v>
      </c>
      <c r="L243" t="s">
        <v>1357</v>
      </c>
    </row>
    <row r="244" spans="1:12">
      <c r="H244" t="s">
        <v>20052</v>
      </c>
      <c r="I244" t="s">
        <v>1357</v>
      </c>
      <c r="J244" t="s">
        <v>1357</v>
      </c>
      <c r="K244" t="s">
        <v>1357</v>
      </c>
      <c r="L244" t="s">
        <v>1357</v>
      </c>
    </row>
    <row r="245" spans="1:12">
      <c r="A245" t="s">
        <v>10064</v>
      </c>
      <c r="B245">
        <f>HYPERLINK("https://android.googlesource.com/platform/cts/+/c9a13f11de7b1dd08bc05c84810eb17ce051c8f3", "c9a13f11de7b1dd08bc05c84810eb17ce051c8f3")</f>
        <v>0</v>
      </c>
      <c r="C245">
        <f>HYPERLINK("https://android.googlesource.com/platform/cts/+/77b77e65ce4be5b4c60053f901d5f245447c86bc", "77b77e65ce4be5b4c60053f901d5f245447c86bc")</f>
        <v>0</v>
      </c>
      <c r="D245" t="s">
        <v>11983</v>
      </c>
      <c r="E245" t="s">
        <v>12633</v>
      </c>
      <c r="F245" t="s">
        <v>14550</v>
      </c>
      <c r="G245" t="s">
        <v>17395</v>
      </c>
      <c r="H245" t="s">
        <v>20053</v>
      </c>
      <c r="I245" t="s">
        <v>1357</v>
      </c>
      <c r="J245" t="s">
        <v>1357</v>
      </c>
      <c r="K245" t="s">
        <v>1357</v>
      </c>
      <c r="L245" t="s">
        <v>1357</v>
      </c>
    </row>
    <row r="246" spans="1:12">
      <c r="A246" t="s">
        <v>10065</v>
      </c>
      <c r="B246">
        <f>HYPERLINK("https://android.googlesource.com/platform/cts/+/2c3bd2c8b7dd410e8e774d1a0d5516c66ea3aaa0", "2c3bd2c8b7dd410e8e774d1a0d5516c66ea3aaa0")</f>
        <v>0</v>
      </c>
      <c r="C246">
        <f>HYPERLINK("https://android.googlesource.com/platform/cts/+/77b77e65ce4be5b4c60053f901d5f245447c86bc", "77b77e65ce4be5b4c60053f901d5f245447c86bc")</f>
        <v>0</v>
      </c>
      <c r="D246" t="s">
        <v>11983</v>
      </c>
      <c r="E246" t="s">
        <v>12634</v>
      </c>
      <c r="F246" t="s">
        <v>14551</v>
      </c>
      <c r="G246" t="s">
        <v>17396</v>
      </c>
      <c r="H246" t="s">
        <v>5638</v>
      </c>
      <c r="I246" t="s">
        <v>1357</v>
      </c>
      <c r="J246" t="s">
        <v>1357</v>
      </c>
      <c r="K246" t="s">
        <v>1357</v>
      </c>
      <c r="L246" t="s">
        <v>1357</v>
      </c>
    </row>
    <row r="247" spans="1:12">
      <c r="A247" t="s">
        <v>10066</v>
      </c>
      <c r="B247">
        <f>HYPERLINK("https://android.googlesource.com/platform/cts/+/e4d5a1b752a009e87e73f0cabe70a22330b89e8e", "e4d5a1b752a009e87e73f0cabe70a22330b89e8e")</f>
        <v>0</v>
      </c>
      <c r="C247">
        <f>HYPERLINK("https://android.googlesource.com/platform/cts/+/8efbbfcffd5b440d476b9aa52496a83b8db70e41", "8efbbfcffd5b440d476b9aa52496a83b8db70e41")</f>
        <v>0</v>
      </c>
      <c r="D247" t="s">
        <v>11982</v>
      </c>
      <c r="E247" t="s">
        <v>12635</v>
      </c>
      <c r="F247" t="s">
        <v>14552</v>
      </c>
      <c r="G247" t="s">
        <v>17397</v>
      </c>
      <c r="H247" t="s">
        <v>20054</v>
      </c>
      <c r="I247" t="s">
        <v>1357</v>
      </c>
      <c r="J247" t="s">
        <v>1357</v>
      </c>
      <c r="K247" t="s">
        <v>1357</v>
      </c>
      <c r="L247" t="s">
        <v>1357</v>
      </c>
    </row>
    <row r="248" spans="1:12">
      <c r="H248" t="s">
        <v>20055</v>
      </c>
      <c r="I248" t="s">
        <v>1357</v>
      </c>
      <c r="J248" t="s">
        <v>1357</v>
      </c>
      <c r="K248" t="s">
        <v>1357</v>
      </c>
      <c r="L248" t="s">
        <v>1357</v>
      </c>
    </row>
    <row r="249" spans="1:12">
      <c r="H249" t="s">
        <v>20056</v>
      </c>
      <c r="I249" t="s">
        <v>1357</v>
      </c>
      <c r="J249" t="s">
        <v>1357</v>
      </c>
      <c r="K249" t="s">
        <v>1357</v>
      </c>
      <c r="L249" t="s">
        <v>1357</v>
      </c>
    </row>
    <row r="250" spans="1:12">
      <c r="H250" t="s">
        <v>20057</v>
      </c>
      <c r="I250" t="s">
        <v>1357</v>
      </c>
      <c r="J250" t="s">
        <v>1357</v>
      </c>
      <c r="K250" t="s">
        <v>1357</v>
      </c>
      <c r="L250" t="s">
        <v>1357</v>
      </c>
    </row>
    <row r="251" spans="1:12">
      <c r="A251" t="s">
        <v>10067</v>
      </c>
      <c r="B251">
        <f>HYPERLINK("https://android.googlesource.com/platform/cts/+/d74adf607816b5a0df3ab90fc578400a8129756a", "d74adf607816b5a0df3ab90fc578400a8129756a")</f>
        <v>0</v>
      </c>
      <c r="C251">
        <f>HYPERLINK("https://android.googlesource.com/platform/cts/+/8efbbfcffd5b440d476b9aa52496a83b8db70e41", "8efbbfcffd5b440d476b9aa52496a83b8db70e41")</f>
        <v>0</v>
      </c>
      <c r="D251" t="s">
        <v>11982</v>
      </c>
      <c r="E251" t="s">
        <v>12636</v>
      </c>
      <c r="F251" t="s">
        <v>14553</v>
      </c>
      <c r="G251" t="s">
        <v>17398</v>
      </c>
      <c r="H251" t="s">
        <v>20058</v>
      </c>
      <c r="I251" t="s">
        <v>1357</v>
      </c>
      <c r="J251" t="s">
        <v>1357</v>
      </c>
      <c r="K251" t="s">
        <v>1357</v>
      </c>
      <c r="L251" t="s">
        <v>1357</v>
      </c>
    </row>
    <row r="252" spans="1:12">
      <c r="A252" t="s">
        <v>10068</v>
      </c>
      <c r="B252">
        <f>HYPERLINK("https://android.googlesource.com/platform/cts/+/2fc80bc5a8f0e3d053491f8547264f15d166eb7f", "2fc80bc5a8f0e3d053491f8547264f15d166eb7f")</f>
        <v>0</v>
      </c>
      <c r="C252">
        <f>HYPERLINK("https://android.googlesource.com/platform/cts/+/b881d63217ba5609879256dddf916e2f8f8b7131", "b881d63217ba5609879256dddf916e2f8f8b7131")</f>
        <v>0</v>
      </c>
      <c r="D252" t="s">
        <v>11982</v>
      </c>
      <c r="E252" t="s">
        <v>12637</v>
      </c>
      <c r="F252" t="s">
        <v>14554</v>
      </c>
      <c r="G252" t="s">
        <v>17399</v>
      </c>
      <c r="H252" t="s">
        <v>20059</v>
      </c>
      <c r="I252" t="s">
        <v>1357</v>
      </c>
      <c r="J252" t="s">
        <v>1357</v>
      </c>
      <c r="K252" t="s">
        <v>1357</v>
      </c>
      <c r="L252" t="s">
        <v>1357</v>
      </c>
    </row>
    <row r="253" spans="1:12">
      <c r="A253" t="s">
        <v>10069</v>
      </c>
      <c r="B253">
        <f>HYPERLINK("https://android.googlesource.com/platform/cts/+/4348bffb5f262c6026a5abbe440ee97524d22fb0", "4348bffb5f262c6026a5abbe440ee97524d22fb0")</f>
        <v>0</v>
      </c>
      <c r="C253">
        <f>HYPERLINK("https://android.googlesource.com/platform/cts/+/b881d63217ba5609879256dddf916e2f8f8b7131", "b881d63217ba5609879256dddf916e2f8f8b7131")</f>
        <v>0</v>
      </c>
      <c r="D253" t="s">
        <v>11982</v>
      </c>
      <c r="E253" t="s">
        <v>12638</v>
      </c>
      <c r="F253" t="s">
        <v>14555</v>
      </c>
      <c r="G253" t="s">
        <v>17400</v>
      </c>
      <c r="H253" t="s">
        <v>20060</v>
      </c>
      <c r="I253" t="s">
        <v>1357</v>
      </c>
      <c r="J253" t="s">
        <v>1357</v>
      </c>
      <c r="K253" t="s">
        <v>1357</v>
      </c>
      <c r="L253" t="s">
        <v>1357</v>
      </c>
    </row>
    <row r="254" spans="1:12">
      <c r="H254" t="s">
        <v>20061</v>
      </c>
      <c r="I254" t="s">
        <v>1357</v>
      </c>
      <c r="J254" t="s">
        <v>1357</v>
      </c>
      <c r="K254" t="s">
        <v>1357</v>
      </c>
      <c r="L254" t="s">
        <v>1357</v>
      </c>
    </row>
    <row r="255" spans="1:12">
      <c r="H255" t="s">
        <v>20062</v>
      </c>
      <c r="I255" t="s">
        <v>1357</v>
      </c>
      <c r="J255" t="s">
        <v>1357</v>
      </c>
      <c r="K255" t="s">
        <v>1357</v>
      </c>
      <c r="L255" t="s">
        <v>1357</v>
      </c>
    </row>
    <row r="256" spans="1:12">
      <c r="H256" t="s">
        <v>20063</v>
      </c>
      <c r="I256" t="s">
        <v>1357</v>
      </c>
      <c r="J256" t="s">
        <v>1357</v>
      </c>
      <c r="K256" t="s">
        <v>1357</v>
      </c>
      <c r="L256" t="s">
        <v>1357</v>
      </c>
    </row>
    <row r="257" spans="1:14">
      <c r="A257" t="s">
        <v>10070</v>
      </c>
      <c r="B257">
        <f>HYPERLINK("https://android.googlesource.com/platform/cts/+/5df58d9a4a0c7a01a7a54c09730ee800ea3a600f", "5df58d9a4a0c7a01a7a54c09730ee800ea3a600f")</f>
        <v>0</v>
      </c>
      <c r="C257">
        <f>HYPERLINK("https://android.googlesource.com/platform/cts/+/6e4e6839f9fc6558a905cdafa31ecdc001c6c33c", "6e4e6839f9fc6558a905cdafa31ecdc001c6c33c")</f>
        <v>0</v>
      </c>
      <c r="D257" t="s">
        <v>11982</v>
      </c>
      <c r="E257" t="s">
        <v>12639</v>
      </c>
      <c r="F257" t="s">
        <v>14520</v>
      </c>
      <c r="G257" t="s">
        <v>17365</v>
      </c>
      <c r="H257" t="s">
        <v>20064</v>
      </c>
      <c r="I257" t="s">
        <v>1357</v>
      </c>
      <c r="J257" t="s">
        <v>1357</v>
      </c>
      <c r="K257" t="s">
        <v>1357</v>
      </c>
      <c r="L257" t="s">
        <v>1357</v>
      </c>
    </row>
    <row r="258" spans="1:14">
      <c r="A258" t="s">
        <v>10071</v>
      </c>
      <c r="B258">
        <f>HYPERLINK("https://android.googlesource.com/platform/cts/+/f0083a84622e04d05b1eaf4bfb6e4777f76fc05b", "f0083a84622e04d05b1eaf4bfb6e4777f76fc05b")</f>
        <v>0</v>
      </c>
      <c r="C258">
        <f>HYPERLINK("https://android.googlesource.com/platform/cts/+/acbf1acfbf0ca165981c301fbf1627392d911a97", "acbf1acfbf0ca165981c301fbf1627392d911a97")</f>
        <v>0</v>
      </c>
      <c r="D258" t="s">
        <v>11983</v>
      </c>
      <c r="E258" t="s">
        <v>12640</v>
      </c>
      <c r="F258" t="s">
        <v>14556</v>
      </c>
      <c r="G258" t="s">
        <v>8156</v>
      </c>
      <c r="H258" t="s">
        <v>20065</v>
      </c>
      <c r="I258" t="s">
        <v>1358</v>
      </c>
      <c r="J258" t="s">
        <v>1358</v>
      </c>
      <c r="K258" t="s">
        <v>1358</v>
      </c>
      <c r="L258" t="s">
        <v>1358</v>
      </c>
      <c r="N258" t="s">
        <v>9968</v>
      </c>
    </row>
    <row r="259" spans="1:14">
      <c r="A259" t="s">
        <v>10072</v>
      </c>
      <c r="B259">
        <f>HYPERLINK("https://android.googlesource.com/platform/cts/+/a4a1b97d3ca31d493d66dd9e45720c320d7d0943", "a4a1b97d3ca31d493d66dd9e45720c320d7d0943")</f>
        <v>0</v>
      </c>
      <c r="C259">
        <f>HYPERLINK("https://android.googlesource.com/platform/cts/+/9a9e583f1e863b55c4a38409d0ee03827bdb4ff3", "9a9e583f1e863b55c4a38409d0ee03827bdb4ff3")</f>
        <v>0</v>
      </c>
      <c r="D259" t="s">
        <v>11983</v>
      </c>
      <c r="E259" t="s">
        <v>12641</v>
      </c>
      <c r="F259" t="s">
        <v>14557</v>
      </c>
      <c r="G259" t="s">
        <v>17401</v>
      </c>
      <c r="H259" t="s">
        <v>20066</v>
      </c>
      <c r="I259" t="s">
        <v>1357</v>
      </c>
      <c r="J259" t="s">
        <v>1357</v>
      </c>
      <c r="K259" t="s">
        <v>1357</v>
      </c>
      <c r="L259" t="s">
        <v>1357</v>
      </c>
    </row>
    <row r="260" spans="1:14">
      <c r="H260" t="s">
        <v>20067</v>
      </c>
      <c r="I260" t="s">
        <v>1357</v>
      </c>
      <c r="J260" t="s">
        <v>1357</v>
      </c>
      <c r="K260" t="s">
        <v>1357</v>
      </c>
      <c r="L260" t="s">
        <v>1357</v>
      </c>
    </row>
    <row r="261" spans="1:14">
      <c r="H261" t="s">
        <v>20068</v>
      </c>
      <c r="I261" t="s">
        <v>1357</v>
      </c>
      <c r="J261" t="s">
        <v>1357</v>
      </c>
      <c r="K261" t="s">
        <v>1357</v>
      </c>
      <c r="L261" t="s">
        <v>1357</v>
      </c>
    </row>
    <row r="262" spans="1:14">
      <c r="A262" t="s">
        <v>10073</v>
      </c>
      <c r="B262">
        <f>HYPERLINK("https://android.googlesource.com/platform/cts/+/bf0a74c6616cec161cd2820c4de2e3f2b43d8c03", "bf0a74c6616cec161cd2820c4de2e3f2b43d8c03")</f>
        <v>0</v>
      </c>
      <c r="C262">
        <f>HYPERLINK("https://android.googlesource.com/platform/cts/+/9a9e583f1e863b55c4a38409d0ee03827bdb4ff3", "9a9e583f1e863b55c4a38409d0ee03827bdb4ff3")</f>
        <v>0</v>
      </c>
      <c r="D262" t="s">
        <v>11983</v>
      </c>
      <c r="E262" t="s">
        <v>12642</v>
      </c>
      <c r="F262" t="s">
        <v>14558</v>
      </c>
      <c r="G262" t="s">
        <v>17402</v>
      </c>
      <c r="H262" t="s">
        <v>20069</v>
      </c>
      <c r="I262" t="s">
        <v>1357</v>
      </c>
      <c r="J262" t="s">
        <v>1357</v>
      </c>
      <c r="K262" t="s">
        <v>1357</v>
      </c>
      <c r="L262" t="s">
        <v>1357</v>
      </c>
    </row>
    <row r="263" spans="1:14">
      <c r="A263" t="s">
        <v>10074</v>
      </c>
      <c r="B263">
        <f>HYPERLINK("https://android.googlesource.com/platform/cts/+/3fc406b283b622a22fff58666e0a8d7936434fd9", "3fc406b283b622a22fff58666e0a8d7936434fd9")</f>
        <v>0</v>
      </c>
      <c r="C263">
        <f>HYPERLINK("https://android.googlesource.com/platform/cts/+/653f4c3d61b58419d10d15f88f0a7b47d25b50d3", "653f4c3d61b58419d10d15f88f0a7b47d25b50d3")</f>
        <v>0</v>
      </c>
      <c r="D263" t="s">
        <v>11977</v>
      </c>
      <c r="E263" t="s">
        <v>12643</v>
      </c>
      <c r="F263" t="s">
        <v>14559</v>
      </c>
      <c r="G263" t="s">
        <v>17403</v>
      </c>
      <c r="H263" t="s">
        <v>20070</v>
      </c>
      <c r="I263" t="s">
        <v>1357</v>
      </c>
      <c r="J263" t="s">
        <v>1357</v>
      </c>
      <c r="K263" t="s">
        <v>1357</v>
      </c>
      <c r="L263" t="s">
        <v>1357</v>
      </c>
    </row>
    <row r="264" spans="1:14">
      <c r="A264" t="s">
        <v>10075</v>
      </c>
      <c r="B264">
        <f>HYPERLINK("https://android.googlesource.com/platform/cts/+/c2fcc332aa2b84e9aeb95a1819b92df67449ca3c", "c2fcc332aa2b84e9aeb95a1819b92df67449ca3c")</f>
        <v>0</v>
      </c>
      <c r="C264">
        <f>HYPERLINK("https://android.googlesource.com/platform/cts/+/60d865967ce492e25840458045a0f23f68e41aa7", "60d865967ce492e25840458045a0f23f68e41aa7")</f>
        <v>0</v>
      </c>
      <c r="D264" t="s">
        <v>11983</v>
      </c>
      <c r="E264" t="s">
        <v>12644</v>
      </c>
      <c r="F264" t="s">
        <v>14471</v>
      </c>
      <c r="G264" t="s">
        <v>17318</v>
      </c>
      <c r="H264" t="s">
        <v>20071</v>
      </c>
      <c r="I264" t="s">
        <v>1358</v>
      </c>
      <c r="J264" t="s">
        <v>1358</v>
      </c>
      <c r="K264" t="s">
        <v>1358</v>
      </c>
      <c r="L264" t="s">
        <v>1358</v>
      </c>
    </row>
    <row r="265" spans="1:14">
      <c r="A265" t="s">
        <v>10076</v>
      </c>
      <c r="B265">
        <f>HYPERLINK("https://android.googlesource.com/platform/cts/+/4a6fd724e96fea039184fd74bde97d7f840f32d8", "4a6fd724e96fea039184fd74bde97d7f840f32d8")</f>
        <v>0</v>
      </c>
      <c r="C265">
        <f>HYPERLINK("https://android.googlesource.com/platform/cts/+/60d865967ce492e25840458045a0f23f68e41aa7", "60d865967ce492e25840458045a0f23f68e41aa7")</f>
        <v>0</v>
      </c>
      <c r="D265" t="s">
        <v>11983</v>
      </c>
      <c r="E265" t="s">
        <v>12645</v>
      </c>
      <c r="F265" t="s">
        <v>14560</v>
      </c>
      <c r="G265" t="s">
        <v>17404</v>
      </c>
      <c r="H265" t="s">
        <v>20072</v>
      </c>
      <c r="I265" t="s">
        <v>1357</v>
      </c>
      <c r="J265" t="s">
        <v>1357</v>
      </c>
      <c r="K265" t="s">
        <v>1357</v>
      </c>
      <c r="L265" t="s">
        <v>1357</v>
      </c>
    </row>
    <row r="266" spans="1:14">
      <c r="A266" t="s">
        <v>10077</v>
      </c>
      <c r="B266">
        <f>HYPERLINK("https://android.googlesource.com/platform/cts/+/7254f1e86a40d67adda0bda99ef8457c40e09a80", "7254f1e86a40d67adda0bda99ef8457c40e09a80")</f>
        <v>0</v>
      </c>
      <c r="C266">
        <f>HYPERLINK("https://android.googlesource.com/platform/cts/+/cc475551e4b72cf5d653bb29ba286ec1de171689", "cc475551e4b72cf5d653bb29ba286ec1de171689")</f>
        <v>0</v>
      </c>
      <c r="D266" t="s">
        <v>11983</v>
      </c>
      <c r="E266" t="s">
        <v>12646</v>
      </c>
      <c r="F266" t="s">
        <v>14471</v>
      </c>
      <c r="G266" t="s">
        <v>17318</v>
      </c>
      <c r="H266" t="s">
        <v>20073</v>
      </c>
      <c r="I266" t="s">
        <v>1358</v>
      </c>
      <c r="J266" t="s">
        <v>1358</v>
      </c>
      <c r="K266" t="s">
        <v>1358</v>
      </c>
      <c r="L266" t="s">
        <v>1358</v>
      </c>
    </row>
    <row r="267" spans="1:14">
      <c r="H267" t="s">
        <v>20074</v>
      </c>
      <c r="I267" t="s">
        <v>1358</v>
      </c>
      <c r="J267" t="s">
        <v>1358</v>
      </c>
      <c r="K267" t="s">
        <v>1358</v>
      </c>
      <c r="L267" t="s">
        <v>1358</v>
      </c>
    </row>
    <row r="268" spans="1:14">
      <c r="H268" t="s">
        <v>20075</v>
      </c>
      <c r="I268" t="s">
        <v>1358</v>
      </c>
      <c r="J268" t="s">
        <v>1358</v>
      </c>
      <c r="K268" t="s">
        <v>1358</v>
      </c>
      <c r="L268" t="s">
        <v>1358</v>
      </c>
    </row>
    <row r="269" spans="1:14">
      <c r="H269" t="s">
        <v>20076</v>
      </c>
      <c r="I269" t="s">
        <v>1358</v>
      </c>
      <c r="J269" t="s">
        <v>1358</v>
      </c>
      <c r="K269" t="s">
        <v>1358</v>
      </c>
      <c r="L269" t="s">
        <v>1358</v>
      </c>
    </row>
    <row r="270" spans="1:14">
      <c r="A270" t="s">
        <v>10078</v>
      </c>
      <c r="B270">
        <f>HYPERLINK("https://android.googlesource.com/platform/cts/+/a8cd4da434335a265bfb4bca1f96fa44d65ab109", "a8cd4da434335a265bfb4bca1f96fa44d65ab109")</f>
        <v>0</v>
      </c>
      <c r="C270">
        <f>HYPERLINK("https://android.googlesource.com/platform/cts/+/394154b7ffa923facf69969c84b7425f56d4f005", "394154b7ffa923facf69969c84b7425f56d4f005")</f>
        <v>0</v>
      </c>
      <c r="D270" t="s">
        <v>11982</v>
      </c>
      <c r="E270" t="s">
        <v>12647</v>
      </c>
      <c r="F270" t="s">
        <v>14561</v>
      </c>
      <c r="G270" t="s">
        <v>17405</v>
      </c>
      <c r="H270" t="s">
        <v>20077</v>
      </c>
      <c r="I270" t="s">
        <v>1357</v>
      </c>
      <c r="J270" t="s">
        <v>1357</v>
      </c>
      <c r="K270" t="s">
        <v>1357</v>
      </c>
      <c r="L270" t="s">
        <v>1357</v>
      </c>
    </row>
    <row r="271" spans="1:14">
      <c r="H271" t="s">
        <v>20078</v>
      </c>
      <c r="I271" t="s">
        <v>1357</v>
      </c>
      <c r="J271" t="s">
        <v>1357</v>
      </c>
      <c r="K271" t="s">
        <v>1357</v>
      </c>
      <c r="L271" t="s">
        <v>1357</v>
      </c>
    </row>
    <row r="272" spans="1:14">
      <c r="A272" t="s">
        <v>10079</v>
      </c>
      <c r="B272">
        <f>HYPERLINK("https://android.googlesource.com/platform/cts/+/03b5b3969ad30306d539e6fc6fd1c992099b1a3b", "03b5b3969ad30306d539e6fc6fd1c992099b1a3b")</f>
        <v>0</v>
      </c>
      <c r="C272">
        <f>HYPERLINK("https://android.googlesource.com/platform/cts/+/f776e7d14dd531a0b27baf6c3f8cdaebdd7820dd", "f776e7d14dd531a0b27baf6c3f8cdaebdd7820dd")</f>
        <v>0</v>
      </c>
      <c r="D272" t="s">
        <v>11992</v>
      </c>
      <c r="E272" t="s">
        <v>12648</v>
      </c>
      <c r="F272" t="s">
        <v>14562</v>
      </c>
      <c r="G272" t="s">
        <v>17406</v>
      </c>
      <c r="H272" t="s">
        <v>20079</v>
      </c>
      <c r="I272" t="s">
        <v>1358</v>
      </c>
      <c r="J272" t="s">
        <v>1358</v>
      </c>
      <c r="K272" t="s">
        <v>1358</v>
      </c>
      <c r="L272" t="s">
        <v>1358</v>
      </c>
    </row>
    <row r="273" spans="1:12">
      <c r="A273" t="s">
        <v>10080</v>
      </c>
      <c r="B273">
        <f>HYPERLINK("https://android.googlesource.com/platform/cts/+/02e6f82ac5d07e52ef3a314eefb0b62dadcf4b4d", "02e6f82ac5d07e52ef3a314eefb0b62dadcf4b4d")</f>
        <v>0</v>
      </c>
      <c r="C273">
        <f>HYPERLINK("https://android.googlesource.com/platform/cts/+/d764b34d21f8d88421741d61bbe47c726dab089e", "d764b34d21f8d88421741d61bbe47c726dab089e")</f>
        <v>0</v>
      </c>
      <c r="D273" t="s">
        <v>11983</v>
      </c>
      <c r="E273" t="s">
        <v>12649</v>
      </c>
      <c r="F273" t="s">
        <v>14471</v>
      </c>
      <c r="G273" t="s">
        <v>17318</v>
      </c>
      <c r="H273" t="s">
        <v>20080</v>
      </c>
      <c r="I273" t="s">
        <v>1359</v>
      </c>
      <c r="J273" t="s">
        <v>1357</v>
      </c>
      <c r="K273" t="s">
        <v>1357</v>
      </c>
      <c r="L273" t="s">
        <v>1358</v>
      </c>
    </row>
    <row r="274" spans="1:12">
      <c r="H274" t="s">
        <v>20081</v>
      </c>
      <c r="I274" t="s">
        <v>1359</v>
      </c>
      <c r="J274" t="s">
        <v>1357</v>
      </c>
      <c r="K274" t="s">
        <v>1357</v>
      </c>
      <c r="L274" t="s">
        <v>1358</v>
      </c>
    </row>
    <row r="275" spans="1:12">
      <c r="A275" t="s">
        <v>10081</v>
      </c>
      <c r="B275">
        <f>HYPERLINK("https://android.googlesource.com/platform/cts/+/e14b2966aa778de618898eb9cedc92b883868d91", "e14b2966aa778de618898eb9cedc92b883868d91")</f>
        <v>0</v>
      </c>
      <c r="C275">
        <f>HYPERLINK("https://android.googlesource.com/platform/cts/+/d764b34d21f8d88421741d61bbe47c726dab089e", "d764b34d21f8d88421741d61bbe47c726dab089e")</f>
        <v>0</v>
      </c>
      <c r="D275" t="s">
        <v>11983</v>
      </c>
      <c r="E275" t="s">
        <v>12650</v>
      </c>
      <c r="F275" t="s">
        <v>14563</v>
      </c>
      <c r="G275" t="s">
        <v>17407</v>
      </c>
      <c r="H275" t="s">
        <v>20082</v>
      </c>
      <c r="I275" t="s">
        <v>1357</v>
      </c>
      <c r="J275" t="s">
        <v>1357</v>
      </c>
      <c r="K275" t="s">
        <v>1357</v>
      </c>
      <c r="L275" t="s">
        <v>1357</v>
      </c>
    </row>
    <row r="276" spans="1:12">
      <c r="A276" t="s">
        <v>10082</v>
      </c>
      <c r="B276">
        <f>HYPERLINK("https://android.googlesource.com/platform/cts/+/99718555204b181fdefc1af1fa5fbe7bb435d710", "99718555204b181fdefc1af1fa5fbe7bb435d710")</f>
        <v>0</v>
      </c>
      <c r="C276">
        <f>HYPERLINK("https://android.googlesource.com/platform/cts/+/d764b34d21f8d88421741d61bbe47c726dab089e", "d764b34d21f8d88421741d61bbe47c726dab089e")</f>
        <v>0</v>
      </c>
      <c r="D276" t="s">
        <v>11983</v>
      </c>
      <c r="E276" t="s">
        <v>12651</v>
      </c>
      <c r="F276" t="s">
        <v>14564</v>
      </c>
      <c r="G276" t="s">
        <v>17408</v>
      </c>
      <c r="H276" t="s">
        <v>20083</v>
      </c>
      <c r="I276" t="s">
        <v>1357</v>
      </c>
      <c r="J276" t="s">
        <v>1357</v>
      </c>
      <c r="K276" t="s">
        <v>1357</v>
      </c>
      <c r="L276" t="s">
        <v>1357</v>
      </c>
    </row>
    <row r="277" spans="1:12">
      <c r="H277" t="s">
        <v>20084</v>
      </c>
      <c r="I277" t="s">
        <v>1357</v>
      </c>
      <c r="J277" t="s">
        <v>1357</v>
      </c>
      <c r="K277" t="s">
        <v>1357</v>
      </c>
      <c r="L277" t="s">
        <v>1357</v>
      </c>
    </row>
    <row r="278" spans="1:12">
      <c r="A278" t="s">
        <v>10083</v>
      </c>
      <c r="B278">
        <f>HYPERLINK("https://android.googlesource.com/platform/cts/+/ba6ba576280c6f9d0d8531be17a666415bdec5d9", "ba6ba576280c6f9d0d8531be17a666415bdec5d9")</f>
        <v>0</v>
      </c>
      <c r="C278">
        <f>HYPERLINK("https://android.googlesource.com/platform/cts/+/8fcbb1cee83ffa9b0c9146f59a5f265f086ef452", "8fcbb1cee83ffa9b0c9146f59a5f265f086ef452")</f>
        <v>0</v>
      </c>
      <c r="D278" t="s">
        <v>11983</v>
      </c>
      <c r="E278" t="s">
        <v>12652</v>
      </c>
      <c r="F278" t="s">
        <v>14547</v>
      </c>
      <c r="G278" t="s">
        <v>17392</v>
      </c>
      <c r="H278" t="s">
        <v>20085</v>
      </c>
      <c r="I278" t="s">
        <v>1357</v>
      </c>
      <c r="J278" t="s">
        <v>1357</v>
      </c>
      <c r="K278" t="s">
        <v>1357</v>
      </c>
      <c r="L278" t="s">
        <v>1357</v>
      </c>
    </row>
    <row r="279" spans="1:12">
      <c r="F279" t="s">
        <v>14565</v>
      </c>
      <c r="G279" t="s">
        <v>17409</v>
      </c>
      <c r="H279" t="s">
        <v>20086</v>
      </c>
      <c r="I279" t="s">
        <v>1357</v>
      </c>
      <c r="J279" t="s">
        <v>1357</v>
      </c>
      <c r="K279" t="s">
        <v>1357</v>
      </c>
      <c r="L279" t="s">
        <v>1357</v>
      </c>
    </row>
    <row r="280" spans="1:12">
      <c r="H280" t="s">
        <v>20087</v>
      </c>
      <c r="I280" t="s">
        <v>1357</v>
      </c>
      <c r="J280" t="s">
        <v>1357</v>
      </c>
      <c r="K280" t="s">
        <v>1357</v>
      </c>
      <c r="L280" t="s">
        <v>1357</v>
      </c>
    </row>
    <row r="281" spans="1:12">
      <c r="H281" t="s">
        <v>20088</v>
      </c>
      <c r="I281" t="s">
        <v>1357</v>
      </c>
      <c r="J281" t="s">
        <v>1357</v>
      </c>
      <c r="K281" t="s">
        <v>1357</v>
      </c>
      <c r="L281" t="s">
        <v>1357</v>
      </c>
    </row>
    <row r="282" spans="1:12">
      <c r="H282" t="s">
        <v>20089</v>
      </c>
      <c r="I282" t="s">
        <v>1357</v>
      </c>
      <c r="J282" t="s">
        <v>1357</v>
      </c>
      <c r="K282" t="s">
        <v>1357</v>
      </c>
      <c r="L282" t="s">
        <v>1357</v>
      </c>
    </row>
    <row r="283" spans="1:12">
      <c r="F283" t="s">
        <v>14519</v>
      </c>
      <c r="G283" t="s">
        <v>17364</v>
      </c>
      <c r="H283" t="s">
        <v>20090</v>
      </c>
      <c r="I283" t="s">
        <v>1357</v>
      </c>
      <c r="J283" t="s">
        <v>1357</v>
      </c>
      <c r="K283" t="s">
        <v>1357</v>
      </c>
      <c r="L283" t="s">
        <v>1357</v>
      </c>
    </row>
    <row r="284" spans="1:12">
      <c r="H284" t="s">
        <v>20091</v>
      </c>
      <c r="I284" t="s">
        <v>1357</v>
      </c>
      <c r="J284" t="s">
        <v>1357</v>
      </c>
      <c r="K284" t="s">
        <v>1357</v>
      </c>
      <c r="L284" t="s">
        <v>1357</v>
      </c>
    </row>
    <row r="285" spans="1:12">
      <c r="A285" t="s">
        <v>10084</v>
      </c>
      <c r="B285">
        <f>HYPERLINK("https://android.googlesource.com/platform/cts/+/82c09945e8d6d7acdd65f505a3c0edcfa201537f", "82c09945e8d6d7acdd65f505a3c0edcfa201537f")</f>
        <v>0</v>
      </c>
      <c r="C285">
        <f>HYPERLINK("https://android.googlesource.com/platform/cts/+/8fcbb1cee83ffa9b0c9146f59a5f265f086ef452", "8fcbb1cee83ffa9b0c9146f59a5f265f086ef452")</f>
        <v>0</v>
      </c>
      <c r="D285" t="s">
        <v>11983</v>
      </c>
      <c r="E285" t="s">
        <v>12653</v>
      </c>
      <c r="F285" t="s">
        <v>14504</v>
      </c>
      <c r="G285" t="s">
        <v>17350</v>
      </c>
      <c r="H285" t="s">
        <v>20092</v>
      </c>
      <c r="I285" t="s">
        <v>1357</v>
      </c>
      <c r="J285" t="s">
        <v>1357</v>
      </c>
      <c r="K285" t="s">
        <v>1357</v>
      </c>
      <c r="L285" t="s">
        <v>1357</v>
      </c>
    </row>
    <row r="286" spans="1:12">
      <c r="F286" t="s">
        <v>14566</v>
      </c>
      <c r="G286" t="s">
        <v>17410</v>
      </c>
      <c r="H286" t="s">
        <v>20093</v>
      </c>
      <c r="I286" t="s">
        <v>1357</v>
      </c>
      <c r="J286" t="s">
        <v>1357</v>
      </c>
      <c r="K286" t="s">
        <v>1357</v>
      </c>
      <c r="L286" t="s">
        <v>1357</v>
      </c>
    </row>
    <row r="287" spans="1:12">
      <c r="F287" t="s">
        <v>14567</v>
      </c>
      <c r="G287" t="s">
        <v>17411</v>
      </c>
      <c r="H287" t="s">
        <v>20094</v>
      </c>
      <c r="I287" t="s">
        <v>1357</v>
      </c>
      <c r="J287" t="s">
        <v>1357</v>
      </c>
      <c r="K287" t="s">
        <v>1357</v>
      </c>
      <c r="L287" t="s">
        <v>1357</v>
      </c>
    </row>
    <row r="288" spans="1:12">
      <c r="A288" t="s">
        <v>10085</v>
      </c>
      <c r="B288">
        <f>HYPERLINK("https://android.googlesource.com/platform/cts/+/40e62a6c4143d6312e2bf2e01d39c2bdf704949b", "40e62a6c4143d6312e2bf2e01d39c2bdf704949b")</f>
        <v>0</v>
      </c>
      <c r="C288">
        <f>HYPERLINK("https://android.googlesource.com/platform/cts/+/8fcbb1cee83ffa9b0c9146f59a5f265f086ef452", "8fcbb1cee83ffa9b0c9146f59a5f265f086ef452")</f>
        <v>0</v>
      </c>
      <c r="D288" t="s">
        <v>11983</v>
      </c>
      <c r="E288" t="s">
        <v>12654</v>
      </c>
      <c r="F288" t="s">
        <v>14471</v>
      </c>
      <c r="G288" t="s">
        <v>17318</v>
      </c>
      <c r="H288" t="s">
        <v>20095</v>
      </c>
      <c r="I288" t="s">
        <v>1357</v>
      </c>
      <c r="J288" t="s">
        <v>1357</v>
      </c>
      <c r="K288" t="s">
        <v>1357</v>
      </c>
      <c r="L288" t="s">
        <v>1357</v>
      </c>
    </row>
    <row r="289" spans="1:13">
      <c r="H289" t="s">
        <v>20096</v>
      </c>
      <c r="I289" t="s">
        <v>1357</v>
      </c>
      <c r="J289" t="s">
        <v>1357</v>
      </c>
      <c r="K289" t="s">
        <v>1357</v>
      </c>
      <c r="L289" t="s">
        <v>1357</v>
      </c>
    </row>
    <row r="290" spans="1:13">
      <c r="H290" t="s">
        <v>20097</v>
      </c>
      <c r="I290" t="s">
        <v>1357</v>
      </c>
      <c r="J290" t="s">
        <v>1357</v>
      </c>
      <c r="K290" t="s">
        <v>1357</v>
      </c>
      <c r="L290" t="s">
        <v>1357</v>
      </c>
    </row>
    <row r="291" spans="1:13">
      <c r="H291" t="s">
        <v>20098</v>
      </c>
      <c r="I291" t="s">
        <v>1357</v>
      </c>
      <c r="J291" t="s">
        <v>1357</v>
      </c>
      <c r="K291" t="s">
        <v>1357</v>
      </c>
      <c r="L291" t="s">
        <v>1357</v>
      </c>
    </row>
    <row r="292" spans="1:13">
      <c r="H292" t="s">
        <v>20099</v>
      </c>
      <c r="I292" t="s">
        <v>1357</v>
      </c>
      <c r="J292" t="s">
        <v>1357</v>
      </c>
      <c r="K292" t="s">
        <v>1357</v>
      </c>
      <c r="L292" t="s">
        <v>1357</v>
      </c>
    </row>
    <row r="293" spans="1:13">
      <c r="A293" t="s">
        <v>10086</v>
      </c>
      <c r="B293">
        <f>HYPERLINK("https://android.googlesource.com/platform/cts/+/ad3337dad5c632e8eb55b7ac4b27f0cace622966", "ad3337dad5c632e8eb55b7ac4b27f0cace622966")</f>
        <v>0</v>
      </c>
      <c r="C293">
        <f>HYPERLINK("https://android.googlesource.com/platform/cts/+/88f05039c6b25935a7c6be796a7072df3821bc8f", "88f05039c6b25935a7c6be796a7072df3821bc8f")</f>
        <v>0</v>
      </c>
      <c r="D293" t="s">
        <v>11983</v>
      </c>
      <c r="E293" t="s">
        <v>12655</v>
      </c>
      <c r="F293" t="s">
        <v>14471</v>
      </c>
      <c r="G293" t="s">
        <v>17318</v>
      </c>
      <c r="H293" t="s">
        <v>20100</v>
      </c>
      <c r="I293" t="s">
        <v>1358</v>
      </c>
      <c r="J293" t="s">
        <v>1358</v>
      </c>
      <c r="K293" t="s">
        <v>1358</v>
      </c>
      <c r="L293" t="s">
        <v>1358</v>
      </c>
    </row>
    <row r="294" spans="1:13">
      <c r="A294" t="s">
        <v>10087</v>
      </c>
      <c r="B294">
        <f>HYPERLINK("https://android.googlesource.com/platform/cts/+/014b13b2ddaf10beff931ee38c4396b1c06df3bd", "014b13b2ddaf10beff931ee38c4396b1c06df3bd")</f>
        <v>0</v>
      </c>
      <c r="C294">
        <f>HYPERLINK("https://android.googlesource.com/platform/cts/+/49bca3aafbcc877e4ea06bcdfab8dab060ef7244", "49bca3aafbcc877e4ea06bcdfab8dab060ef7244")</f>
        <v>0</v>
      </c>
      <c r="D294" t="s">
        <v>11983</v>
      </c>
      <c r="E294" t="s">
        <v>12656</v>
      </c>
      <c r="F294" t="s">
        <v>14567</v>
      </c>
      <c r="G294" t="s">
        <v>17411</v>
      </c>
      <c r="H294" t="s">
        <v>20083</v>
      </c>
      <c r="I294" t="s">
        <v>1357</v>
      </c>
      <c r="J294" t="s">
        <v>1357</v>
      </c>
      <c r="K294" t="s">
        <v>1357</v>
      </c>
      <c r="L294" t="s">
        <v>1357</v>
      </c>
    </row>
    <row r="295" spans="1:13">
      <c r="H295" t="s">
        <v>20101</v>
      </c>
      <c r="I295" t="s">
        <v>1357</v>
      </c>
      <c r="J295" t="s">
        <v>1357</v>
      </c>
      <c r="K295" t="s">
        <v>1357</v>
      </c>
      <c r="L295" t="s">
        <v>1357</v>
      </c>
    </row>
    <row r="296" spans="1:13">
      <c r="H296" t="s">
        <v>19960</v>
      </c>
      <c r="I296" t="s">
        <v>1357</v>
      </c>
      <c r="J296" t="s">
        <v>1357</v>
      </c>
      <c r="K296" t="s">
        <v>1357</v>
      </c>
      <c r="L296" t="s">
        <v>1357</v>
      </c>
    </row>
    <row r="297" spans="1:13">
      <c r="H297" t="s">
        <v>20102</v>
      </c>
      <c r="I297" t="s">
        <v>1357</v>
      </c>
      <c r="J297" t="s">
        <v>1357</v>
      </c>
      <c r="K297" t="s">
        <v>1357</v>
      </c>
      <c r="L297" t="s">
        <v>1357</v>
      </c>
    </row>
    <row r="298" spans="1:13">
      <c r="A298" t="s">
        <v>10088</v>
      </c>
      <c r="B298">
        <f>HYPERLINK("https://android.googlesource.com/platform/cts/+/9cdd2ef81a52aac44660e10c97bf8d9d7e713a7e", "9cdd2ef81a52aac44660e10c97bf8d9d7e713a7e")</f>
        <v>0</v>
      </c>
      <c r="C298">
        <f>HYPERLINK("https://android.googlesource.com/platform/cts/+/49bca3aafbcc877e4ea06bcdfab8dab060ef7244", "49bca3aafbcc877e4ea06bcdfab8dab060ef7244")</f>
        <v>0</v>
      </c>
      <c r="D298" t="s">
        <v>11983</v>
      </c>
      <c r="E298" t="s">
        <v>12657</v>
      </c>
      <c r="F298" t="s">
        <v>14568</v>
      </c>
      <c r="G298" t="s">
        <v>17412</v>
      </c>
      <c r="H298" t="s">
        <v>20103</v>
      </c>
      <c r="I298" t="s">
        <v>1357</v>
      </c>
      <c r="J298" t="s">
        <v>1357</v>
      </c>
      <c r="K298" t="s">
        <v>1357</v>
      </c>
      <c r="L298" t="s">
        <v>1357</v>
      </c>
      <c r="M298" t="s">
        <v>27477</v>
      </c>
    </row>
    <row r="299" spans="1:13">
      <c r="A299" t="s">
        <v>10089</v>
      </c>
      <c r="B299">
        <f>HYPERLINK("https://android.googlesource.com/platform/cts/+/e94b30f509953a7bc868a92ea03895129d33ed3e", "e94b30f509953a7bc868a92ea03895129d33ed3e")</f>
        <v>0</v>
      </c>
      <c r="C299">
        <f>HYPERLINK("https://android.googlesource.com/platform/cts/+/5491f0455b209e5fd9cc9f037b614a02dc2ddb5d", "5491f0455b209e5fd9cc9f037b614a02dc2ddb5d")</f>
        <v>0</v>
      </c>
      <c r="D299" t="s">
        <v>11982</v>
      </c>
      <c r="E299" t="s">
        <v>12658</v>
      </c>
      <c r="F299" t="s">
        <v>14569</v>
      </c>
      <c r="G299" t="s">
        <v>17413</v>
      </c>
      <c r="H299" t="s">
        <v>795</v>
      </c>
      <c r="I299" t="s">
        <v>1357</v>
      </c>
      <c r="J299" t="s">
        <v>1357</v>
      </c>
      <c r="K299" t="s">
        <v>1357</v>
      </c>
      <c r="L299" t="s">
        <v>1357</v>
      </c>
    </row>
    <row r="300" spans="1:13">
      <c r="H300" t="s">
        <v>20104</v>
      </c>
      <c r="I300" t="s">
        <v>1357</v>
      </c>
      <c r="J300" t="s">
        <v>1357</v>
      </c>
      <c r="K300" t="s">
        <v>1357</v>
      </c>
      <c r="L300" t="s">
        <v>1357</v>
      </c>
    </row>
    <row r="301" spans="1:13">
      <c r="A301" t="s">
        <v>10090</v>
      </c>
      <c r="B301">
        <f>HYPERLINK("https://android.googlesource.com/platform/cts/+/31dffc44798a121cd86fe1aa9d45fa717c455405", "31dffc44798a121cd86fe1aa9d45fa717c455405")</f>
        <v>0</v>
      </c>
      <c r="C301">
        <f>HYPERLINK("https://android.googlesource.com/platform/cts/+/0c0b54c704610067ab706ce5b7bd570ec3d1676d", "0c0b54c704610067ab706ce5b7bd570ec3d1676d")</f>
        <v>0</v>
      </c>
      <c r="D301" t="s">
        <v>11983</v>
      </c>
      <c r="E301" t="s">
        <v>12659</v>
      </c>
      <c r="F301" t="s">
        <v>14570</v>
      </c>
      <c r="G301" t="s">
        <v>17414</v>
      </c>
      <c r="H301" t="s">
        <v>3880</v>
      </c>
      <c r="I301" t="s">
        <v>1357</v>
      </c>
      <c r="J301" t="s">
        <v>1357</v>
      </c>
      <c r="K301" t="s">
        <v>1357</v>
      </c>
      <c r="L301" t="s">
        <v>1357</v>
      </c>
    </row>
    <row r="302" spans="1:13">
      <c r="H302" t="s">
        <v>20105</v>
      </c>
      <c r="I302" t="s">
        <v>1357</v>
      </c>
      <c r="J302" t="s">
        <v>1357</v>
      </c>
      <c r="K302" t="s">
        <v>1357</v>
      </c>
      <c r="L302" t="s">
        <v>1357</v>
      </c>
    </row>
    <row r="303" spans="1:13">
      <c r="H303" t="s">
        <v>20106</v>
      </c>
      <c r="I303" t="s">
        <v>1357</v>
      </c>
      <c r="J303" t="s">
        <v>1357</v>
      </c>
      <c r="K303" t="s">
        <v>1357</v>
      </c>
      <c r="L303" t="s">
        <v>1357</v>
      </c>
    </row>
    <row r="304" spans="1:13">
      <c r="F304" t="s">
        <v>14515</v>
      </c>
      <c r="G304" t="s">
        <v>17360</v>
      </c>
      <c r="H304" t="s">
        <v>20107</v>
      </c>
      <c r="I304" t="s">
        <v>1357</v>
      </c>
      <c r="J304" t="s">
        <v>1357</v>
      </c>
      <c r="K304" t="s">
        <v>1357</v>
      </c>
      <c r="L304" t="s">
        <v>1357</v>
      </c>
    </row>
    <row r="305" spans="1:14">
      <c r="H305" t="s">
        <v>20108</v>
      </c>
      <c r="I305" t="s">
        <v>1357</v>
      </c>
      <c r="J305" t="s">
        <v>1357</v>
      </c>
      <c r="K305" t="s">
        <v>1357</v>
      </c>
      <c r="L305" t="s">
        <v>1357</v>
      </c>
    </row>
    <row r="306" spans="1:14">
      <c r="F306" t="s">
        <v>14571</v>
      </c>
      <c r="G306" t="s">
        <v>17415</v>
      </c>
      <c r="H306" t="s">
        <v>20109</v>
      </c>
      <c r="I306" t="s">
        <v>1357</v>
      </c>
      <c r="J306" t="s">
        <v>1357</v>
      </c>
      <c r="K306" t="s">
        <v>1357</v>
      </c>
      <c r="L306" t="s">
        <v>1357</v>
      </c>
    </row>
    <row r="307" spans="1:14">
      <c r="F307" t="s">
        <v>14572</v>
      </c>
      <c r="G307" t="s">
        <v>17416</v>
      </c>
      <c r="H307" t="s">
        <v>20110</v>
      </c>
      <c r="I307" t="s">
        <v>1357</v>
      </c>
      <c r="J307" t="s">
        <v>1357</v>
      </c>
      <c r="K307" t="s">
        <v>1357</v>
      </c>
      <c r="L307" t="s">
        <v>1357</v>
      </c>
    </row>
    <row r="308" spans="1:14">
      <c r="A308" t="s">
        <v>10091</v>
      </c>
      <c r="B308">
        <f>HYPERLINK("https://android.googlesource.com/platform/cts/+/96209017c2d7664ca607aedc19ba87ff322c6368", "96209017c2d7664ca607aedc19ba87ff322c6368")</f>
        <v>0</v>
      </c>
      <c r="C308">
        <f>HYPERLINK("https://android.googlesource.com/platform/cts/+/cfc435a9f0ab0197897d7d68b9c02edd79a78083", "cfc435a9f0ab0197897d7d68b9c02edd79a78083")</f>
        <v>0</v>
      </c>
      <c r="D308" t="s">
        <v>11993</v>
      </c>
      <c r="E308" t="s">
        <v>12660</v>
      </c>
      <c r="F308" t="s">
        <v>14519</v>
      </c>
      <c r="G308" t="s">
        <v>17364</v>
      </c>
      <c r="H308" t="s">
        <v>20111</v>
      </c>
      <c r="I308" t="s">
        <v>1357</v>
      </c>
      <c r="J308" t="s">
        <v>1357</v>
      </c>
      <c r="K308" t="s">
        <v>1357</v>
      </c>
      <c r="L308" t="s">
        <v>1357</v>
      </c>
    </row>
    <row r="309" spans="1:14">
      <c r="A309" t="s">
        <v>10092</v>
      </c>
      <c r="B309">
        <f>HYPERLINK("https://android.googlesource.com/platform/cts/+/f583fe9b174699df169b4311d79499071786ee5f", "f583fe9b174699df169b4311d79499071786ee5f")</f>
        <v>0</v>
      </c>
      <c r="C309">
        <f>HYPERLINK("https://android.googlesource.com/platform/cts/+/4a66ef4ace3d9518b519cd5a44b0ce6e6d116930", "4a66ef4ace3d9518b519cd5a44b0ce6e6d116930")</f>
        <v>0</v>
      </c>
      <c r="D309" t="s">
        <v>11973</v>
      </c>
      <c r="E309" t="s">
        <v>12661</v>
      </c>
      <c r="F309" t="s">
        <v>14496</v>
      </c>
      <c r="G309" t="s">
        <v>17342</v>
      </c>
      <c r="H309" t="s">
        <v>20112</v>
      </c>
      <c r="I309" t="s">
        <v>1357</v>
      </c>
      <c r="J309" t="s">
        <v>1357</v>
      </c>
      <c r="K309" t="s">
        <v>1357</v>
      </c>
      <c r="L309" t="s">
        <v>1357</v>
      </c>
    </row>
    <row r="310" spans="1:14">
      <c r="A310" t="s">
        <v>10093</v>
      </c>
      <c r="B310">
        <f>HYPERLINK("https://android.googlesource.com/platform/cts/+/476bd99d8a0ec86071e41af96bf6e1d0f98aefa9", "476bd99d8a0ec86071e41af96bf6e1d0f98aefa9")</f>
        <v>0</v>
      </c>
      <c r="C310">
        <f>HYPERLINK("https://android.googlesource.com/platform/cts/+/d9f4846f8eba556b85de3beaa57118ebdb926d6b", "d9f4846f8eba556b85de3beaa57118ebdb926d6b")</f>
        <v>0</v>
      </c>
      <c r="D310" t="s">
        <v>11994</v>
      </c>
      <c r="E310" t="s">
        <v>12662</v>
      </c>
      <c r="F310" t="s">
        <v>14573</v>
      </c>
      <c r="G310" t="s">
        <v>17417</v>
      </c>
      <c r="H310" t="s">
        <v>20113</v>
      </c>
      <c r="I310" t="s">
        <v>1358</v>
      </c>
      <c r="J310" t="s">
        <v>1358</v>
      </c>
      <c r="K310" t="s">
        <v>1358</v>
      </c>
      <c r="L310" t="s">
        <v>1358</v>
      </c>
    </row>
    <row r="311" spans="1:14">
      <c r="A311" t="s">
        <v>10094</v>
      </c>
      <c r="B311">
        <f>HYPERLINK("https://android.googlesource.com/platform/cts/+/d05a0e34781c6b32624ef8eef98079e99a845283", "d05a0e34781c6b32624ef8eef98079e99a845283")</f>
        <v>0</v>
      </c>
      <c r="C311">
        <f>HYPERLINK("https://android.googlesource.com/platform/cts/+/81484bb31b4588198cbe6b01fd496d544a48f327", "81484bb31b4588198cbe6b01fd496d544a48f327")</f>
        <v>0</v>
      </c>
      <c r="D311" t="s">
        <v>11983</v>
      </c>
      <c r="E311" t="s">
        <v>12663</v>
      </c>
      <c r="F311" t="s">
        <v>14534</v>
      </c>
      <c r="G311" t="s">
        <v>17379</v>
      </c>
      <c r="H311" t="s">
        <v>20114</v>
      </c>
      <c r="I311" t="s">
        <v>1357</v>
      </c>
      <c r="J311" t="s">
        <v>1357</v>
      </c>
      <c r="K311" t="s">
        <v>1357</v>
      </c>
      <c r="L311" t="s">
        <v>1357</v>
      </c>
    </row>
    <row r="312" spans="1:14">
      <c r="A312" t="s">
        <v>10095</v>
      </c>
      <c r="B312">
        <f>HYPERLINK("https://android.googlesource.com/platform/cts/+/0866696a341f481adb1d07e9a92eb634b942e10b", "0866696a341f481adb1d07e9a92eb634b942e10b")</f>
        <v>0</v>
      </c>
      <c r="C312">
        <f>HYPERLINK("https://android.googlesource.com/platform/cts/+/7c2e6b1c889a298839ce793382e73256262c13a9", "7c2e6b1c889a298839ce793382e73256262c13a9")</f>
        <v>0</v>
      </c>
      <c r="D312" t="s">
        <v>11983</v>
      </c>
      <c r="E312" t="s">
        <v>12664</v>
      </c>
      <c r="F312" t="s">
        <v>14534</v>
      </c>
      <c r="G312" t="s">
        <v>17379</v>
      </c>
      <c r="H312" t="s">
        <v>20114</v>
      </c>
      <c r="I312" t="s">
        <v>1357</v>
      </c>
      <c r="J312" t="s">
        <v>1357</v>
      </c>
      <c r="K312" t="s">
        <v>1357</v>
      </c>
      <c r="L312" t="s">
        <v>1357</v>
      </c>
    </row>
    <row r="313" spans="1:14">
      <c r="A313" t="s">
        <v>10096</v>
      </c>
      <c r="B313">
        <f>HYPERLINK("https://android.googlesource.com/platform/cts/+/bb47ff02d552e5920d82dcc4716fcec9b196d9f2", "bb47ff02d552e5920d82dcc4716fcec9b196d9f2")</f>
        <v>0</v>
      </c>
      <c r="C313">
        <f>HYPERLINK("https://android.googlesource.com/platform/cts/+/0aa52f6ad574949f38315213af2fea0c0fd70cd4", "0aa52f6ad574949f38315213af2fea0c0fd70cd4")</f>
        <v>0</v>
      </c>
      <c r="D313" t="s">
        <v>11995</v>
      </c>
      <c r="E313" t="s">
        <v>12665</v>
      </c>
      <c r="F313" t="s">
        <v>14508</v>
      </c>
      <c r="G313" t="s">
        <v>17327</v>
      </c>
      <c r="H313" t="s">
        <v>20115</v>
      </c>
      <c r="I313" t="s">
        <v>1358</v>
      </c>
      <c r="J313" t="s">
        <v>1358</v>
      </c>
      <c r="K313" t="s">
        <v>1358</v>
      </c>
      <c r="L313" t="s">
        <v>1358</v>
      </c>
    </row>
    <row r="314" spans="1:14">
      <c r="A314" t="s">
        <v>10097</v>
      </c>
      <c r="B314">
        <f>HYPERLINK("https://android.googlesource.com/platform/cts/+/cf4dd1c99ec3dfdfb08e38b76d69fbb12c65861a", "cf4dd1c99ec3dfdfb08e38b76d69fbb12c65861a")</f>
        <v>0</v>
      </c>
      <c r="C314">
        <f>HYPERLINK("https://android.googlesource.com/platform/cts/+/4c567436d5e6e8fd9c52e6086d26d67223948a68", "4c567436d5e6e8fd9c52e6086d26d67223948a68")</f>
        <v>0</v>
      </c>
      <c r="D314" t="s">
        <v>11993</v>
      </c>
      <c r="E314" t="s">
        <v>12666</v>
      </c>
      <c r="F314" t="s">
        <v>14574</v>
      </c>
      <c r="G314" t="s">
        <v>17418</v>
      </c>
      <c r="H314" t="s">
        <v>20116</v>
      </c>
      <c r="I314" t="s">
        <v>1357</v>
      </c>
      <c r="J314" t="s">
        <v>1357</v>
      </c>
      <c r="K314" t="s">
        <v>1357</v>
      </c>
      <c r="L314" t="s">
        <v>1357</v>
      </c>
    </row>
    <row r="315" spans="1:14">
      <c r="A315" t="s">
        <v>10098</v>
      </c>
      <c r="B315">
        <f>HYPERLINK("https://android.googlesource.com/platform/cts/+/abd17ae36aa7c115b156f7910bc765539f2dc004", "abd17ae36aa7c115b156f7910bc765539f2dc004")</f>
        <v>0</v>
      </c>
      <c r="C315">
        <f>HYPERLINK("https://android.googlesource.com/platform/cts/+/2bb244906e847897e7cdebc896c72019c9d2fe48", "2bb244906e847897e7cdebc896c72019c9d2fe48")</f>
        <v>0</v>
      </c>
      <c r="D315" t="s">
        <v>11996</v>
      </c>
      <c r="E315" t="s">
        <v>12667</v>
      </c>
      <c r="F315" t="s">
        <v>14575</v>
      </c>
      <c r="G315" t="s">
        <v>17419</v>
      </c>
      <c r="H315" t="s">
        <v>20117</v>
      </c>
      <c r="I315" t="s">
        <v>1357</v>
      </c>
      <c r="J315" t="s">
        <v>1357</v>
      </c>
      <c r="K315" t="s">
        <v>1357</v>
      </c>
      <c r="L315" t="s">
        <v>1357</v>
      </c>
    </row>
    <row r="316" spans="1:14">
      <c r="H316" t="s">
        <v>20118</v>
      </c>
      <c r="I316" t="s">
        <v>1357</v>
      </c>
      <c r="J316" t="s">
        <v>1357</v>
      </c>
      <c r="K316" t="s">
        <v>1357</v>
      </c>
      <c r="L316" t="s">
        <v>1357</v>
      </c>
    </row>
    <row r="317" spans="1:14">
      <c r="A317" t="s">
        <v>10099</v>
      </c>
      <c r="B317">
        <f>HYPERLINK("https://android.googlesource.com/platform/cts/+/677fe3459b2facdf1da53f106688e5f5ec3924eb", "677fe3459b2facdf1da53f106688e5f5ec3924eb")</f>
        <v>0</v>
      </c>
      <c r="C317">
        <f>HYPERLINK("https://android.googlesource.com/platform/cts/+/d1a9ec6b670009c6597b7d45015b2181daac3d72", "d1a9ec6b670009c6597b7d45015b2181daac3d72")</f>
        <v>0</v>
      </c>
      <c r="D317" t="s">
        <v>11982</v>
      </c>
      <c r="E317" t="s">
        <v>12668</v>
      </c>
      <c r="F317" t="s">
        <v>14576</v>
      </c>
      <c r="G317" t="s">
        <v>17420</v>
      </c>
      <c r="H317" t="s">
        <v>20119</v>
      </c>
      <c r="I317" t="s">
        <v>1357</v>
      </c>
      <c r="J317" t="s">
        <v>1357</v>
      </c>
      <c r="K317" t="s">
        <v>1357</v>
      </c>
      <c r="L317" t="s">
        <v>1357</v>
      </c>
    </row>
    <row r="318" spans="1:14">
      <c r="A318" t="s">
        <v>10100</v>
      </c>
      <c r="B318">
        <f>HYPERLINK("https://android.googlesource.com/platform/cts/+/399ffdacc357d863058baa8de926e57dbedc4fc8", "399ffdacc357d863058baa8de926e57dbedc4fc8")</f>
        <v>0</v>
      </c>
      <c r="C318">
        <f>HYPERLINK("https://android.googlesource.com/platform/cts/+/f5a36645c1ed3cb3087f76d9cbb20f6271ead68f", "f5a36645c1ed3cb3087f76d9cbb20f6271ead68f")</f>
        <v>0</v>
      </c>
      <c r="D318" t="s">
        <v>11997</v>
      </c>
      <c r="E318" t="s">
        <v>12669</v>
      </c>
      <c r="F318" t="s">
        <v>14577</v>
      </c>
      <c r="G318" t="s">
        <v>17421</v>
      </c>
      <c r="H318" t="s">
        <v>20120</v>
      </c>
      <c r="I318" t="s">
        <v>1357</v>
      </c>
      <c r="J318" t="s">
        <v>1357</v>
      </c>
      <c r="K318" t="s">
        <v>1357</v>
      </c>
      <c r="L318" t="s">
        <v>1357</v>
      </c>
    </row>
    <row r="319" spans="1:14">
      <c r="A319" t="s">
        <v>10101</v>
      </c>
      <c r="B319">
        <f>HYPERLINK("https://android.googlesource.com/platform/cts/+/b9d1670d9885556385811f4e52b0bb4b9b0076dc", "b9d1670d9885556385811f4e52b0bb4b9b0076dc")</f>
        <v>0</v>
      </c>
      <c r="C319">
        <f>HYPERLINK("https://android.googlesource.com/platform/cts/+/48c39254eb518647711af34ccfc462bbfffbe66b", "48c39254eb518647711af34ccfc462bbfffbe66b")</f>
        <v>0</v>
      </c>
      <c r="D319" t="s">
        <v>11998</v>
      </c>
      <c r="E319" t="s">
        <v>12670</v>
      </c>
      <c r="F319" t="s">
        <v>14578</v>
      </c>
      <c r="G319" t="s">
        <v>17422</v>
      </c>
      <c r="H319" t="s">
        <v>20121</v>
      </c>
      <c r="I319" t="s">
        <v>1358</v>
      </c>
      <c r="J319" t="s">
        <v>1358</v>
      </c>
      <c r="K319" t="s">
        <v>1358</v>
      </c>
      <c r="L319" t="s">
        <v>1358</v>
      </c>
      <c r="N319" t="s">
        <v>27504</v>
      </c>
    </row>
    <row r="320" spans="1:14">
      <c r="H320" t="s">
        <v>20122</v>
      </c>
      <c r="I320" t="s">
        <v>1358</v>
      </c>
      <c r="J320" t="s">
        <v>1358</v>
      </c>
      <c r="K320" t="s">
        <v>1358</v>
      </c>
      <c r="L320" t="s">
        <v>1358</v>
      </c>
      <c r="N320" t="s">
        <v>27504</v>
      </c>
    </row>
    <row r="321" spans="1:12">
      <c r="A321" t="s">
        <v>10102</v>
      </c>
      <c r="B321">
        <f>HYPERLINK("https://android.googlesource.com/platform/cts/+/6adf2742b8fde0b80e9ae9b8891a18002cad72d0", "6adf2742b8fde0b80e9ae9b8891a18002cad72d0")</f>
        <v>0</v>
      </c>
      <c r="C321">
        <f>HYPERLINK("https://android.googlesource.com/platform/cts/+/d885c092aa25381fc060f4e825de7743f1aabe2c", "d885c092aa25381fc060f4e825de7743f1aabe2c")</f>
        <v>0</v>
      </c>
      <c r="D321" t="s">
        <v>11999</v>
      </c>
      <c r="E321" t="s">
        <v>12671</v>
      </c>
      <c r="F321" t="s">
        <v>14579</v>
      </c>
      <c r="G321" t="s">
        <v>17423</v>
      </c>
      <c r="H321" t="s">
        <v>20123</v>
      </c>
      <c r="I321" t="s">
        <v>1357</v>
      </c>
      <c r="J321" t="s">
        <v>1357</v>
      </c>
      <c r="K321" t="s">
        <v>1357</v>
      </c>
      <c r="L321" t="s">
        <v>1357</v>
      </c>
    </row>
    <row r="322" spans="1:12">
      <c r="H322" t="s">
        <v>20124</v>
      </c>
      <c r="I322" t="s">
        <v>1357</v>
      </c>
      <c r="J322" t="s">
        <v>1357</v>
      </c>
      <c r="K322" t="s">
        <v>1357</v>
      </c>
      <c r="L322" t="s">
        <v>1357</v>
      </c>
    </row>
    <row r="323" spans="1:12">
      <c r="H323" t="s">
        <v>20125</v>
      </c>
      <c r="I323" t="s">
        <v>1357</v>
      </c>
      <c r="J323" t="s">
        <v>1357</v>
      </c>
      <c r="K323" t="s">
        <v>1357</v>
      </c>
      <c r="L323" t="s">
        <v>1357</v>
      </c>
    </row>
    <row r="324" spans="1:12">
      <c r="H324" t="s">
        <v>20126</v>
      </c>
      <c r="I324" t="s">
        <v>1357</v>
      </c>
      <c r="J324" t="s">
        <v>1357</v>
      </c>
      <c r="K324" t="s">
        <v>1357</v>
      </c>
      <c r="L324" t="s">
        <v>1357</v>
      </c>
    </row>
    <row r="325" spans="1:12">
      <c r="H325" t="s">
        <v>20127</v>
      </c>
      <c r="I325" t="s">
        <v>1357</v>
      </c>
      <c r="J325" t="s">
        <v>1357</v>
      </c>
      <c r="K325" t="s">
        <v>1357</v>
      </c>
      <c r="L325" t="s">
        <v>1357</v>
      </c>
    </row>
    <row r="326" spans="1:12">
      <c r="H326" t="s">
        <v>20128</v>
      </c>
      <c r="I326" t="s">
        <v>1357</v>
      </c>
      <c r="J326" t="s">
        <v>1357</v>
      </c>
      <c r="K326" t="s">
        <v>1357</v>
      </c>
      <c r="L326" t="s">
        <v>1357</v>
      </c>
    </row>
    <row r="327" spans="1:12">
      <c r="H327" t="s">
        <v>20129</v>
      </c>
      <c r="I327" t="s">
        <v>1357</v>
      </c>
      <c r="J327" t="s">
        <v>1357</v>
      </c>
      <c r="K327" t="s">
        <v>1357</v>
      </c>
      <c r="L327" t="s">
        <v>1357</v>
      </c>
    </row>
    <row r="328" spans="1:12">
      <c r="H328" t="s">
        <v>20130</v>
      </c>
      <c r="I328" t="s">
        <v>1357</v>
      </c>
      <c r="J328" t="s">
        <v>1357</v>
      </c>
      <c r="K328" t="s">
        <v>1357</v>
      </c>
      <c r="L328" t="s">
        <v>1357</v>
      </c>
    </row>
    <row r="329" spans="1:12">
      <c r="H329" t="s">
        <v>20131</v>
      </c>
      <c r="I329" t="s">
        <v>1357</v>
      </c>
      <c r="J329" t="s">
        <v>1357</v>
      </c>
      <c r="K329" t="s">
        <v>1357</v>
      </c>
      <c r="L329" t="s">
        <v>1357</v>
      </c>
    </row>
    <row r="330" spans="1:12">
      <c r="H330" t="s">
        <v>20132</v>
      </c>
      <c r="I330" t="s">
        <v>1357</v>
      </c>
      <c r="J330" t="s">
        <v>1357</v>
      </c>
      <c r="K330" t="s">
        <v>1357</v>
      </c>
      <c r="L330" t="s">
        <v>1357</v>
      </c>
    </row>
    <row r="331" spans="1:12">
      <c r="H331" t="s">
        <v>20133</v>
      </c>
      <c r="I331" t="s">
        <v>1357</v>
      </c>
      <c r="J331" t="s">
        <v>1357</v>
      </c>
      <c r="K331" t="s">
        <v>1357</v>
      </c>
      <c r="L331" t="s">
        <v>1357</v>
      </c>
    </row>
    <row r="332" spans="1:12">
      <c r="H332" t="s">
        <v>20134</v>
      </c>
      <c r="I332" t="s">
        <v>1357</v>
      </c>
      <c r="J332" t="s">
        <v>1357</v>
      </c>
      <c r="K332" t="s">
        <v>1357</v>
      </c>
      <c r="L332" t="s">
        <v>1357</v>
      </c>
    </row>
    <row r="333" spans="1:12">
      <c r="H333" t="s">
        <v>20135</v>
      </c>
      <c r="I333" t="s">
        <v>1357</v>
      </c>
      <c r="J333" t="s">
        <v>1357</v>
      </c>
      <c r="K333" t="s">
        <v>1357</v>
      </c>
      <c r="L333" t="s">
        <v>1357</v>
      </c>
    </row>
    <row r="334" spans="1:12">
      <c r="H334" t="s">
        <v>20136</v>
      </c>
      <c r="I334" t="s">
        <v>1357</v>
      </c>
      <c r="J334" t="s">
        <v>1357</v>
      </c>
      <c r="K334" t="s">
        <v>1357</v>
      </c>
      <c r="L334" t="s">
        <v>1357</v>
      </c>
    </row>
    <row r="335" spans="1:12">
      <c r="H335" t="s">
        <v>20137</v>
      </c>
      <c r="I335" t="s">
        <v>1357</v>
      </c>
      <c r="J335" t="s">
        <v>1357</v>
      </c>
      <c r="K335" t="s">
        <v>1357</v>
      </c>
      <c r="L335" t="s">
        <v>1357</v>
      </c>
    </row>
    <row r="336" spans="1:12">
      <c r="H336" t="s">
        <v>20138</v>
      </c>
      <c r="I336" t="s">
        <v>1357</v>
      </c>
      <c r="J336" t="s">
        <v>1357</v>
      </c>
      <c r="K336" t="s">
        <v>1357</v>
      </c>
      <c r="L336" t="s">
        <v>1357</v>
      </c>
    </row>
    <row r="337" spans="8:12">
      <c r="H337" t="s">
        <v>20139</v>
      </c>
      <c r="I337" t="s">
        <v>1357</v>
      </c>
      <c r="J337" t="s">
        <v>1357</v>
      </c>
      <c r="K337" t="s">
        <v>1357</v>
      </c>
      <c r="L337" t="s">
        <v>1357</v>
      </c>
    </row>
    <row r="338" spans="8:12">
      <c r="H338" t="s">
        <v>4750</v>
      </c>
      <c r="I338" t="s">
        <v>1357</v>
      </c>
      <c r="J338" t="s">
        <v>1357</v>
      </c>
      <c r="K338" t="s">
        <v>1357</v>
      </c>
      <c r="L338" t="s">
        <v>1357</v>
      </c>
    </row>
    <row r="339" spans="8:12">
      <c r="H339" t="s">
        <v>20140</v>
      </c>
      <c r="I339" t="s">
        <v>1357</v>
      </c>
      <c r="J339" t="s">
        <v>1357</v>
      </c>
      <c r="K339" t="s">
        <v>1357</v>
      </c>
      <c r="L339" t="s">
        <v>1357</v>
      </c>
    </row>
    <row r="340" spans="8:12">
      <c r="H340" t="s">
        <v>20141</v>
      </c>
      <c r="I340" t="s">
        <v>1357</v>
      </c>
      <c r="J340" t="s">
        <v>1357</v>
      </c>
      <c r="K340" t="s">
        <v>1357</v>
      </c>
      <c r="L340" t="s">
        <v>1357</v>
      </c>
    </row>
    <row r="341" spans="8:12">
      <c r="H341" t="s">
        <v>20142</v>
      </c>
      <c r="I341" t="s">
        <v>1357</v>
      </c>
      <c r="J341" t="s">
        <v>1357</v>
      </c>
      <c r="K341" t="s">
        <v>1357</v>
      </c>
      <c r="L341" t="s">
        <v>1357</v>
      </c>
    </row>
    <row r="342" spans="8:12">
      <c r="H342" t="s">
        <v>20143</v>
      </c>
      <c r="I342" t="s">
        <v>1357</v>
      </c>
      <c r="J342" t="s">
        <v>1357</v>
      </c>
      <c r="K342" t="s">
        <v>1357</v>
      </c>
      <c r="L342" t="s">
        <v>1357</v>
      </c>
    </row>
    <row r="343" spans="8:12">
      <c r="H343" t="s">
        <v>20144</v>
      </c>
      <c r="I343" t="s">
        <v>1357</v>
      </c>
      <c r="J343" t="s">
        <v>1357</v>
      </c>
      <c r="K343" t="s">
        <v>1357</v>
      </c>
      <c r="L343" t="s">
        <v>1357</v>
      </c>
    </row>
    <row r="344" spans="8:12">
      <c r="H344" t="s">
        <v>1077</v>
      </c>
      <c r="I344" t="s">
        <v>1357</v>
      </c>
      <c r="J344" t="s">
        <v>1357</v>
      </c>
      <c r="K344" t="s">
        <v>1357</v>
      </c>
      <c r="L344" t="s">
        <v>1357</v>
      </c>
    </row>
    <row r="345" spans="8:12">
      <c r="H345" t="s">
        <v>20145</v>
      </c>
      <c r="I345" t="s">
        <v>1357</v>
      </c>
      <c r="J345" t="s">
        <v>1357</v>
      </c>
      <c r="K345" t="s">
        <v>1357</v>
      </c>
      <c r="L345" t="s">
        <v>1357</v>
      </c>
    </row>
    <row r="346" spans="8:12">
      <c r="H346" t="s">
        <v>20146</v>
      </c>
      <c r="I346" t="s">
        <v>1357</v>
      </c>
      <c r="J346" t="s">
        <v>1357</v>
      </c>
      <c r="K346" t="s">
        <v>1357</v>
      </c>
      <c r="L346" t="s">
        <v>1357</v>
      </c>
    </row>
    <row r="347" spans="8:12">
      <c r="H347" t="s">
        <v>20147</v>
      </c>
      <c r="I347" t="s">
        <v>1357</v>
      </c>
      <c r="J347" t="s">
        <v>1357</v>
      </c>
      <c r="K347" t="s">
        <v>1357</v>
      </c>
      <c r="L347" t="s">
        <v>1357</v>
      </c>
    </row>
    <row r="348" spans="8:12">
      <c r="H348" t="s">
        <v>20148</v>
      </c>
      <c r="I348" t="s">
        <v>1357</v>
      </c>
      <c r="J348" t="s">
        <v>1357</v>
      </c>
      <c r="K348" t="s">
        <v>1357</v>
      </c>
      <c r="L348" t="s">
        <v>1357</v>
      </c>
    </row>
    <row r="349" spans="8:12">
      <c r="H349" t="s">
        <v>20149</v>
      </c>
      <c r="I349" t="s">
        <v>1357</v>
      </c>
      <c r="J349" t="s">
        <v>1357</v>
      </c>
      <c r="K349" t="s">
        <v>1357</v>
      </c>
      <c r="L349" t="s">
        <v>1357</v>
      </c>
    </row>
    <row r="350" spans="8:12">
      <c r="H350" t="s">
        <v>20150</v>
      </c>
      <c r="I350" t="s">
        <v>1357</v>
      </c>
      <c r="J350" t="s">
        <v>1357</v>
      </c>
      <c r="K350" t="s">
        <v>1357</v>
      </c>
      <c r="L350" t="s">
        <v>1357</v>
      </c>
    </row>
    <row r="351" spans="8:12">
      <c r="H351" t="s">
        <v>20151</v>
      </c>
      <c r="I351" t="s">
        <v>1357</v>
      </c>
      <c r="J351" t="s">
        <v>1357</v>
      </c>
      <c r="K351" t="s">
        <v>1357</v>
      </c>
      <c r="L351" t="s">
        <v>1357</v>
      </c>
    </row>
    <row r="352" spans="8:12">
      <c r="H352" t="s">
        <v>20152</v>
      </c>
      <c r="I352" t="s">
        <v>1357</v>
      </c>
      <c r="J352" t="s">
        <v>1357</v>
      </c>
      <c r="K352" t="s">
        <v>1357</v>
      </c>
      <c r="L352" t="s">
        <v>1357</v>
      </c>
    </row>
    <row r="353" spans="8:13">
      <c r="H353" t="s">
        <v>20153</v>
      </c>
      <c r="I353" t="s">
        <v>1357</v>
      </c>
      <c r="J353" t="s">
        <v>1357</v>
      </c>
      <c r="K353" t="s">
        <v>1357</v>
      </c>
      <c r="L353" t="s">
        <v>1357</v>
      </c>
    </row>
    <row r="354" spans="8:13">
      <c r="H354" t="s">
        <v>20154</v>
      </c>
      <c r="I354" t="s">
        <v>1357</v>
      </c>
      <c r="J354" t="s">
        <v>1357</v>
      </c>
      <c r="K354" t="s">
        <v>1357</v>
      </c>
      <c r="L354" t="s">
        <v>1357</v>
      </c>
    </row>
    <row r="355" spans="8:13">
      <c r="H355" t="s">
        <v>20155</v>
      </c>
      <c r="I355" t="s">
        <v>1357</v>
      </c>
      <c r="J355" t="s">
        <v>1357</v>
      </c>
      <c r="K355" t="s">
        <v>1357</v>
      </c>
      <c r="L355" t="s">
        <v>1357</v>
      </c>
    </row>
    <row r="356" spans="8:13">
      <c r="H356" t="s">
        <v>20156</v>
      </c>
      <c r="I356" t="s">
        <v>1357</v>
      </c>
      <c r="J356" t="s">
        <v>1357</v>
      </c>
      <c r="K356" t="s">
        <v>1357</v>
      </c>
      <c r="L356" t="s">
        <v>1357</v>
      </c>
    </row>
    <row r="357" spans="8:13">
      <c r="H357" t="s">
        <v>20157</v>
      </c>
      <c r="I357" t="s">
        <v>1357</v>
      </c>
      <c r="J357" t="s">
        <v>1357</v>
      </c>
      <c r="K357" t="s">
        <v>1357</v>
      </c>
      <c r="L357" t="s">
        <v>1357</v>
      </c>
    </row>
    <row r="358" spans="8:13">
      <c r="H358" t="s">
        <v>20158</v>
      </c>
      <c r="I358" t="s">
        <v>1357</v>
      </c>
      <c r="J358" t="s">
        <v>1357</v>
      </c>
      <c r="K358" t="s">
        <v>1357</v>
      </c>
      <c r="L358" t="s">
        <v>1357</v>
      </c>
    </row>
    <row r="359" spans="8:13">
      <c r="H359" t="s">
        <v>20159</v>
      </c>
      <c r="I359" t="s">
        <v>1357</v>
      </c>
      <c r="J359" t="s">
        <v>1357</v>
      </c>
      <c r="K359" t="s">
        <v>1357</v>
      </c>
      <c r="L359" t="s">
        <v>1357</v>
      </c>
      <c r="M359" t="s">
        <v>1365</v>
      </c>
    </row>
    <row r="360" spans="8:13">
      <c r="H360" t="s">
        <v>20160</v>
      </c>
      <c r="I360" t="s">
        <v>1357</v>
      </c>
      <c r="J360" t="s">
        <v>1357</v>
      </c>
      <c r="K360" t="s">
        <v>1357</v>
      </c>
      <c r="L360" t="s">
        <v>1357</v>
      </c>
    </row>
    <row r="361" spans="8:13">
      <c r="H361" t="s">
        <v>20161</v>
      </c>
      <c r="I361" t="s">
        <v>1357</v>
      </c>
      <c r="J361" t="s">
        <v>1357</v>
      </c>
      <c r="K361" t="s">
        <v>1357</v>
      </c>
      <c r="L361" t="s">
        <v>1357</v>
      </c>
    </row>
    <row r="362" spans="8:13">
      <c r="H362" t="s">
        <v>20162</v>
      </c>
      <c r="I362" t="s">
        <v>1357</v>
      </c>
      <c r="J362" t="s">
        <v>1357</v>
      </c>
      <c r="K362" t="s">
        <v>1357</v>
      </c>
      <c r="L362" t="s">
        <v>1357</v>
      </c>
    </row>
    <row r="363" spans="8:13">
      <c r="H363" t="s">
        <v>20163</v>
      </c>
      <c r="I363" t="s">
        <v>1357</v>
      </c>
      <c r="J363" t="s">
        <v>1357</v>
      </c>
      <c r="K363" t="s">
        <v>1357</v>
      </c>
      <c r="L363" t="s">
        <v>1357</v>
      </c>
    </row>
    <row r="364" spans="8:13">
      <c r="H364" t="s">
        <v>20164</v>
      </c>
      <c r="I364" t="s">
        <v>1357</v>
      </c>
      <c r="J364" t="s">
        <v>1357</v>
      </c>
      <c r="K364" t="s">
        <v>1357</v>
      </c>
      <c r="L364" t="s">
        <v>1357</v>
      </c>
    </row>
    <row r="365" spans="8:13">
      <c r="H365" t="s">
        <v>20165</v>
      </c>
      <c r="I365" t="s">
        <v>1357</v>
      </c>
      <c r="J365" t="s">
        <v>1357</v>
      </c>
      <c r="K365" t="s">
        <v>1357</v>
      </c>
      <c r="L365" t="s">
        <v>1357</v>
      </c>
    </row>
    <row r="366" spans="8:13">
      <c r="H366" t="s">
        <v>20166</v>
      </c>
      <c r="I366" t="s">
        <v>1357</v>
      </c>
      <c r="J366" t="s">
        <v>1357</v>
      </c>
      <c r="K366" t="s">
        <v>1357</v>
      </c>
      <c r="L366" t="s">
        <v>1357</v>
      </c>
    </row>
    <row r="367" spans="8:13">
      <c r="H367" t="s">
        <v>20167</v>
      </c>
      <c r="I367" t="s">
        <v>1357</v>
      </c>
      <c r="J367" t="s">
        <v>1357</v>
      </c>
      <c r="K367" t="s">
        <v>1357</v>
      </c>
      <c r="L367" t="s">
        <v>1357</v>
      </c>
    </row>
    <row r="368" spans="8:13">
      <c r="H368" t="s">
        <v>20168</v>
      </c>
      <c r="I368" t="s">
        <v>1357</v>
      </c>
      <c r="J368" t="s">
        <v>1357</v>
      </c>
      <c r="K368" t="s">
        <v>1357</v>
      </c>
      <c r="L368" t="s">
        <v>1357</v>
      </c>
    </row>
    <row r="369" spans="8:12">
      <c r="H369" t="s">
        <v>20169</v>
      </c>
      <c r="I369" t="s">
        <v>1357</v>
      </c>
      <c r="J369" t="s">
        <v>1357</v>
      </c>
      <c r="K369" t="s">
        <v>1357</v>
      </c>
      <c r="L369" t="s">
        <v>1357</v>
      </c>
    </row>
    <row r="370" spans="8:12">
      <c r="H370" t="s">
        <v>20170</v>
      </c>
      <c r="I370" t="s">
        <v>1357</v>
      </c>
      <c r="J370" t="s">
        <v>1357</v>
      </c>
      <c r="K370" t="s">
        <v>1357</v>
      </c>
      <c r="L370" t="s">
        <v>1357</v>
      </c>
    </row>
    <row r="371" spans="8:12">
      <c r="H371" t="s">
        <v>20171</v>
      </c>
      <c r="I371" t="s">
        <v>1357</v>
      </c>
      <c r="J371" t="s">
        <v>1357</v>
      </c>
      <c r="K371" t="s">
        <v>1357</v>
      </c>
      <c r="L371" t="s">
        <v>1357</v>
      </c>
    </row>
    <row r="372" spans="8:12">
      <c r="H372" t="s">
        <v>20172</v>
      </c>
      <c r="I372" t="s">
        <v>1357</v>
      </c>
      <c r="J372" t="s">
        <v>1357</v>
      </c>
      <c r="K372" t="s">
        <v>1357</v>
      </c>
      <c r="L372" t="s">
        <v>1357</v>
      </c>
    </row>
    <row r="373" spans="8:12">
      <c r="H373" t="s">
        <v>20173</v>
      </c>
      <c r="I373" t="s">
        <v>1357</v>
      </c>
      <c r="J373" t="s">
        <v>1357</v>
      </c>
      <c r="K373" t="s">
        <v>1357</v>
      </c>
      <c r="L373" t="s">
        <v>1357</v>
      </c>
    </row>
    <row r="374" spans="8:12">
      <c r="H374" t="s">
        <v>20174</v>
      </c>
      <c r="I374" t="s">
        <v>1357</v>
      </c>
      <c r="J374" t="s">
        <v>1357</v>
      </c>
      <c r="K374" t="s">
        <v>1357</v>
      </c>
      <c r="L374" t="s">
        <v>1357</v>
      </c>
    </row>
    <row r="375" spans="8:12">
      <c r="H375" t="s">
        <v>20175</v>
      </c>
      <c r="I375" t="s">
        <v>1357</v>
      </c>
      <c r="J375" t="s">
        <v>1357</v>
      </c>
      <c r="K375" t="s">
        <v>1357</v>
      </c>
      <c r="L375" t="s">
        <v>1357</v>
      </c>
    </row>
    <row r="376" spans="8:12">
      <c r="H376" t="s">
        <v>20176</v>
      </c>
      <c r="I376" t="s">
        <v>1357</v>
      </c>
      <c r="J376" t="s">
        <v>1357</v>
      </c>
      <c r="K376" t="s">
        <v>1357</v>
      </c>
      <c r="L376" t="s">
        <v>1357</v>
      </c>
    </row>
    <row r="377" spans="8:12">
      <c r="H377" t="s">
        <v>20177</v>
      </c>
      <c r="I377" t="s">
        <v>1357</v>
      </c>
      <c r="J377" t="s">
        <v>1357</v>
      </c>
      <c r="K377" t="s">
        <v>1357</v>
      </c>
      <c r="L377" t="s">
        <v>1357</v>
      </c>
    </row>
    <row r="378" spans="8:12">
      <c r="H378" t="s">
        <v>20178</v>
      </c>
      <c r="I378" t="s">
        <v>1357</v>
      </c>
      <c r="J378" t="s">
        <v>1357</v>
      </c>
      <c r="K378" t="s">
        <v>1357</v>
      </c>
      <c r="L378" t="s">
        <v>1357</v>
      </c>
    </row>
    <row r="379" spans="8:12">
      <c r="H379" t="s">
        <v>20179</v>
      </c>
      <c r="I379" t="s">
        <v>1357</v>
      </c>
      <c r="J379" t="s">
        <v>1357</v>
      </c>
      <c r="K379" t="s">
        <v>1357</v>
      </c>
      <c r="L379" t="s">
        <v>1357</v>
      </c>
    </row>
    <row r="380" spans="8:12">
      <c r="H380" t="s">
        <v>20180</v>
      </c>
      <c r="I380" t="s">
        <v>1357</v>
      </c>
      <c r="J380" t="s">
        <v>1357</v>
      </c>
      <c r="K380" t="s">
        <v>1357</v>
      </c>
      <c r="L380" t="s">
        <v>1357</v>
      </c>
    </row>
    <row r="381" spans="8:12">
      <c r="H381" t="s">
        <v>20181</v>
      </c>
      <c r="I381" t="s">
        <v>1357</v>
      </c>
      <c r="J381" t="s">
        <v>1357</v>
      </c>
      <c r="K381" t="s">
        <v>1357</v>
      </c>
      <c r="L381" t="s">
        <v>1357</v>
      </c>
    </row>
    <row r="382" spans="8:12">
      <c r="H382" t="s">
        <v>20182</v>
      </c>
      <c r="I382" t="s">
        <v>1357</v>
      </c>
      <c r="J382" t="s">
        <v>1357</v>
      </c>
      <c r="K382" t="s">
        <v>1357</v>
      </c>
      <c r="L382" t="s">
        <v>1357</v>
      </c>
    </row>
    <row r="383" spans="8:12">
      <c r="H383" t="s">
        <v>20183</v>
      </c>
      <c r="I383" t="s">
        <v>1357</v>
      </c>
      <c r="J383" t="s">
        <v>1357</v>
      </c>
      <c r="K383" t="s">
        <v>1357</v>
      </c>
      <c r="L383" t="s">
        <v>1357</v>
      </c>
    </row>
    <row r="384" spans="8:12">
      <c r="H384" t="s">
        <v>20184</v>
      </c>
      <c r="I384" t="s">
        <v>1357</v>
      </c>
      <c r="J384" t="s">
        <v>1357</v>
      </c>
      <c r="K384" t="s">
        <v>1357</v>
      </c>
      <c r="L384" t="s">
        <v>1357</v>
      </c>
    </row>
    <row r="385" spans="8:12">
      <c r="H385" t="s">
        <v>20185</v>
      </c>
      <c r="I385" t="s">
        <v>1357</v>
      </c>
      <c r="J385" t="s">
        <v>1357</v>
      </c>
      <c r="K385" t="s">
        <v>1357</v>
      </c>
      <c r="L385" t="s">
        <v>1357</v>
      </c>
    </row>
    <row r="386" spans="8:12">
      <c r="H386" t="s">
        <v>20186</v>
      </c>
      <c r="I386" t="s">
        <v>1357</v>
      </c>
      <c r="J386" t="s">
        <v>1357</v>
      </c>
      <c r="K386" t="s">
        <v>1357</v>
      </c>
      <c r="L386" t="s">
        <v>1357</v>
      </c>
    </row>
    <row r="387" spans="8:12">
      <c r="H387" t="s">
        <v>20187</v>
      </c>
      <c r="I387" t="s">
        <v>1357</v>
      </c>
      <c r="J387" t="s">
        <v>1357</v>
      </c>
      <c r="K387" t="s">
        <v>1357</v>
      </c>
      <c r="L387" t="s">
        <v>1357</v>
      </c>
    </row>
    <row r="388" spans="8:12">
      <c r="H388" t="s">
        <v>20188</v>
      </c>
      <c r="I388" t="s">
        <v>1357</v>
      </c>
      <c r="J388" t="s">
        <v>1357</v>
      </c>
      <c r="K388" t="s">
        <v>1357</v>
      </c>
      <c r="L388" t="s">
        <v>1357</v>
      </c>
    </row>
    <row r="389" spans="8:12">
      <c r="H389" t="s">
        <v>20189</v>
      </c>
      <c r="I389" t="s">
        <v>1357</v>
      </c>
      <c r="J389" t="s">
        <v>1357</v>
      </c>
      <c r="K389" t="s">
        <v>1357</v>
      </c>
      <c r="L389" t="s">
        <v>1357</v>
      </c>
    </row>
    <row r="390" spans="8:12">
      <c r="H390" t="s">
        <v>20190</v>
      </c>
      <c r="I390" t="s">
        <v>1357</v>
      </c>
      <c r="J390" t="s">
        <v>1357</v>
      </c>
      <c r="K390" t="s">
        <v>1357</v>
      </c>
      <c r="L390" t="s">
        <v>1357</v>
      </c>
    </row>
    <row r="391" spans="8:12">
      <c r="H391" t="s">
        <v>20191</v>
      </c>
      <c r="I391" t="s">
        <v>1357</v>
      </c>
      <c r="J391" t="s">
        <v>1357</v>
      </c>
      <c r="K391" t="s">
        <v>1357</v>
      </c>
      <c r="L391" t="s">
        <v>1357</v>
      </c>
    </row>
    <row r="392" spans="8:12">
      <c r="H392" t="s">
        <v>20192</v>
      </c>
      <c r="I392" t="s">
        <v>1357</v>
      </c>
      <c r="J392" t="s">
        <v>1357</v>
      </c>
      <c r="K392" t="s">
        <v>1357</v>
      </c>
      <c r="L392" t="s">
        <v>1357</v>
      </c>
    </row>
    <row r="393" spans="8:12">
      <c r="H393" t="s">
        <v>20193</v>
      </c>
      <c r="I393" t="s">
        <v>1357</v>
      </c>
      <c r="J393" t="s">
        <v>1357</v>
      </c>
      <c r="K393" t="s">
        <v>1357</v>
      </c>
      <c r="L393" t="s">
        <v>1357</v>
      </c>
    </row>
    <row r="394" spans="8:12">
      <c r="H394" t="s">
        <v>20194</v>
      </c>
      <c r="I394" t="s">
        <v>1357</v>
      </c>
      <c r="J394" t="s">
        <v>1357</v>
      </c>
      <c r="K394" t="s">
        <v>1357</v>
      </c>
      <c r="L394" t="s">
        <v>1357</v>
      </c>
    </row>
    <row r="395" spans="8:12">
      <c r="H395" t="s">
        <v>20195</v>
      </c>
      <c r="I395" t="s">
        <v>1357</v>
      </c>
      <c r="J395" t="s">
        <v>1357</v>
      </c>
      <c r="K395" t="s">
        <v>1357</v>
      </c>
      <c r="L395" t="s">
        <v>1357</v>
      </c>
    </row>
    <row r="396" spans="8:12">
      <c r="H396" t="s">
        <v>20196</v>
      </c>
      <c r="I396" t="s">
        <v>1357</v>
      </c>
      <c r="J396" t="s">
        <v>1357</v>
      </c>
      <c r="K396" t="s">
        <v>1357</v>
      </c>
      <c r="L396" t="s">
        <v>1357</v>
      </c>
    </row>
    <row r="397" spans="8:12">
      <c r="H397" t="s">
        <v>20197</v>
      </c>
      <c r="I397" t="s">
        <v>1357</v>
      </c>
      <c r="J397" t="s">
        <v>1357</v>
      </c>
      <c r="K397" t="s">
        <v>1357</v>
      </c>
      <c r="L397" t="s">
        <v>1357</v>
      </c>
    </row>
    <row r="398" spans="8:12">
      <c r="H398" t="s">
        <v>20198</v>
      </c>
      <c r="I398" t="s">
        <v>1357</v>
      </c>
      <c r="J398" t="s">
        <v>1357</v>
      </c>
      <c r="K398" t="s">
        <v>1357</v>
      </c>
      <c r="L398" t="s">
        <v>1357</v>
      </c>
    </row>
    <row r="399" spans="8:12">
      <c r="H399" t="s">
        <v>20199</v>
      </c>
      <c r="I399" t="s">
        <v>1357</v>
      </c>
      <c r="J399" t="s">
        <v>1357</v>
      </c>
      <c r="K399" t="s">
        <v>1357</v>
      </c>
      <c r="L399" t="s">
        <v>1357</v>
      </c>
    </row>
    <row r="400" spans="8:12">
      <c r="H400" t="s">
        <v>20200</v>
      </c>
      <c r="I400" t="s">
        <v>1357</v>
      </c>
      <c r="J400" t="s">
        <v>1357</v>
      </c>
      <c r="K400" t="s">
        <v>1357</v>
      </c>
      <c r="L400" t="s">
        <v>1357</v>
      </c>
    </row>
    <row r="401" spans="8:12">
      <c r="H401" t="s">
        <v>20201</v>
      </c>
      <c r="I401" t="s">
        <v>1357</v>
      </c>
      <c r="J401" t="s">
        <v>1357</v>
      </c>
      <c r="K401" t="s">
        <v>1357</v>
      </c>
      <c r="L401" t="s">
        <v>1357</v>
      </c>
    </row>
    <row r="402" spans="8:12">
      <c r="H402" t="s">
        <v>20202</v>
      </c>
      <c r="I402" t="s">
        <v>1357</v>
      </c>
      <c r="J402" t="s">
        <v>1357</v>
      </c>
      <c r="K402" t="s">
        <v>1357</v>
      </c>
      <c r="L402" t="s">
        <v>1357</v>
      </c>
    </row>
    <row r="403" spans="8:12">
      <c r="H403" t="s">
        <v>20203</v>
      </c>
      <c r="I403" t="s">
        <v>1357</v>
      </c>
      <c r="J403" t="s">
        <v>1357</v>
      </c>
      <c r="K403" t="s">
        <v>1357</v>
      </c>
      <c r="L403" t="s">
        <v>1357</v>
      </c>
    </row>
    <row r="404" spans="8:12">
      <c r="H404" t="s">
        <v>20204</v>
      </c>
      <c r="I404" t="s">
        <v>1357</v>
      </c>
      <c r="J404" t="s">
        <v>1357</v>
      </c>
      <c r="K404" t="s">
        <v>1357</v>
      </c>
      <c r="L404" t="s">
        <v>1357</v>
      </c>
    </row>
    <row r="405" spans="8:12">
      <c r="H405" t="s">
        <v>20205</v>
      </c>
      <c r="I405" t="s">
        <v>1357</v>
      </c>
      <c r="J405" t="s">
        <v>1357</v>
      </c>
      <c r="K405" t="s">
        <v>1357</v>
      </c>
      <c r="L405" t="s">
        <v>1357</v>
      </c>
    </row>
    <row r="406" spans="8:12">
      <c r="H406" t="s">
        <v>20206</v>
      </c>
      <c r="I406" t="s">
        <v>1357</v>
      </c>
      <c r="J406" t="s">
        <v>1357</v>
      </c>
      <c r="K406" t="s">
        <v>1357</v>
      </c>
      <c r="L406" t="s">
        <v>1357</v>
      </c>
    </row>
    <row r="407" spans="8:12">
      <c r="H407" t="s">
        <v>20207</v>
      </c>
      <c r="I407" t="s">
        <v>1357</v>
      </c>
      <c r="J407" t="s">
        <v>1357</v>
      </c>
      <c r="K407" t="s">
        <v>1357</v>
      </c>
      <c r="L407" t="s">
        <v>1357</v>
      </c>
    </row>
    <row r="408" spans="8:12">
      <c r="H408" t="s">
        <v>20208</v>
      </c>
      <c r="I408" t="s">
        <v>1357</v>
      </c>
      <c r="J408" t="s">
        <v>1357</v>
      </c>
      <c r="K408" t="s">
        <v>1357</v>
      </c>
      <c r="L408" t="s">
        <v>1357</v>
      </c>
    </row>
    <row r="409" spans="8:12">
      <c r="H409" t="s">
        <v>20209</v>
      </c>
      <c r="I409" t="s">
        <v>1357</v>
      </c>
      <c r="J409" t="s">
        <v>1357</v>
      </c>
      <c r="K409" t="s">
        <v>1357</v>
      </c>
      <c r="L409" t="s">
        <v>1357</v>
      </c>
    </row>
    <row r="410" spans="8:12">
      <c r="H410" t="s">
        <v>20210</v>
      </c>
      <c r="I410" t="s">
        <v>1357</v>
      </c>
      <c r="J410" t="s">
        <v>1357</v>
      </c>
      <c r="K410" t="s">
        <v>1357</v>
      </c>
      <c r="L410" t="s">
        <v>1357</v>
      </c>
    </row>
    <row r="411" spans="8:12">
      <c r="H411" t="s">
        <v>20211</v>
      </c>
      <c r="I411" t="s">
        <v>1357</v>
      </c>
      <c r="J411" t="s">
        <v>1357</v>
      </c>
      <c r="K411" t="s">
        <v>1357</v>
      </c>
      <c r="L411" t="s">
        <v>1357</v>
      </c>
    </row>
    <row r="412" spans="8:12">
      <c r="H412" t="s">
        <v>20212</v>
      </c>
      <c r="I412" t="s">
        <v>1357</v>
      </c>
      <c r="J412" t="s">
        <v>1357</v>
      </c>
      <c r="K412" t="s">
        <v>1357</v>
      </c>
      <c r="L412" t="s">
        <v>1357</v>
      </c>
    </row>
    <row r="413" spans="8:12">
      <c r="H413" t="s">
        <v>20213</v>
      </c>
      <c r="I413" t="s">
        <v>1357</v>
      </c>
      <c r="J413" t="s">
        <v>1357</v>
      </c>
      <c r="K413" t="s">
        <v>1357</v>
      </c>
      <c r="L413" t="s">
        <v>1357</v>
      </c>
    </row>
    <row r="414" spans="8:12">
      <c r="H414" t="s">
        <v>20214</v>
      </c>
      <c r="I414" t="s">
        <v>1357</v>
      </c>
      <c r="J414" t="s">
        <v>1357</v>
      </c>
      <c r="K414" t="s">
        <v>1357</v>
      </c>
      <c r="L414" t="s">
        <v>1357</v>
      </c>
    </row>
    <row r="415" spans="8:12">
      <c r="H415" t="s">
        <v>20215</v>
      </c>
      <c r="I415" t="s">
        <v>1357</v>
      </c>
      <c r="J415" t="s">
        <v>1357</v>
      </c>
      <c r="K415" t="s">
        <v>1357</v>
      </c>
      <c r="L415" t="s">
        <v>1357</v>
      </c>
    </row>
    <row r="416" spans="8:12">
      <c r="H416" t="s">
        <v>20216</v>
      </c>
      <c r="I416" t="s">
        <v>1357</v>
      </c>
      <c r="J416" t="s">
        <v>1357</v>
      </c>
      <c r="K416" t="s">
        <v>1357</v>
      </c>
      <c r="L416" t="s">
        <v>1357</v>
      </c>
    </row>
    <row r="417" spans="1:14">
      <c r="H417" t="s">
        <v>20217</v>
      </c>
      <c r="I417" t="s">
        <v>1357</v>
      </c>
      <c r="J417" t="s">
        <v>1357</v>
      </c>
      <c r="K417" t="s">
        <v>1357</v>
      </c>
      <c r="L417" t="s">
        <v>1357</v>
      </c>
    </row>
    <row r="418" spans="1:14">
      <c r="H418" t="s">
        <v>20218</v>
      </c>
      <c r="I418" t="s">
        <v>1357</v>
      </c>
      <c r="J418" t="s">
        <v>1357</v>
      </c>
      <c r="K418" t="s">
        <v>1357</v>
      </c>
      <c r="L418" t="s">
        <v>1357</v>
      </c>
    </row>
    <row r="419" spans="1:14">
      <c r="A419" t="s">
        <v>10103</v>
      </c>
      <c r="B419">
        <f>HYPERLINK("https://android.googlesource.com/platform/cts/+/45dd2f15092680526902b37d7118f039783fe893", "45dd2f15092680526902b37d7118f039783fe893")</f>
        <v>0</v>
      </c>
      <c r="C419">
        <f>HYPERLINK("https://android.googlesource.com/platform/cts/+/4c29d970b828238a25b4b708692bff0fe47d5449", "4c29d970b828238a25b4b708692bff0fe47d5449")</f>
        <v>0</v>
      </c>
      <c r="D419" t="s">
        <v>12000</v>
      </c>
      <c r="E419" t="s">
        <v>12672</v>
      </c>
      <c r="F419" t="s">
        <v>14580</v>
      </c>
      <c r="G419" t="s">
        <v>17424</v>
      </c>
      <c r="H419" t="s">
        <v>20219</v>
      </c>
      <c r="I419" t="s">
        <v>1358</v>
      </c>
      <c r="J419" t="s">
        <v>1358</v>
      </c>
      <c r="K419" t="s">
        <v>1358</v>
      </c>
      <c r="L419" t="s">
        <v>1358</v>
      </c>
    </row>
    <row r="420" spans="1:14">
      <c r="H420" t="s">
        <v>20220</v>
      </c>
      <c r="I420" t="s">
        <v>1358</v>
      </c>
      <c r="J420" t="s">
        <v>1358</v>
      </c>
      <c r="K420" t="s">
        <v>1358</v>
      </c>
      <c r="L420" t="s">
        <v>1358</v>
      </c>
    </row>
    <row r="421" spans="1:14">
      <c r="H421" t="s">
        <v>20221</v>
      </c>
      <c r="I421" t="s">
        <v>1358</v>
      </c>
      <c r="J421" t="s">
        <v>1358</v>
      </c>
      <c r="K421" t="s">
        <v>1358</v>
      </c>
      <c r="L421" t="s">
        <v>1358</v>
      </c>
    </row>
    <row r="422" spans="1:14">
      <c r="H422" t="s">
        <v>20222</v>
      </c>
      <c r="I422" t="s">
        <v>1358</v>
      </c>
      <c r="J422" t="s">
        <v>1358</v>
      </c>
      <c r="K422" t="s">
        <v>1358</v>
      </c>
      <c r="L422" t="s">
        <v>1358</v>
      </c>
    </row>
    <row r="423" spans="1:14">
      <c r="H423" t="s">
        <v>20223</v>
      </c>
      <c r="I423" t="s">
        <v>1358</v>
      </c>
      <c r="J423" t="s">
        <v>1358</v>
      </c>
      <c r="K423" t="s">
        <v>1358</v>
      </c>
      <c r="L423" t="s">
        <v>1358</v>
      </c>
    </row>
    <row r="424" spans="1:14">
      <c r="H424" t="s">
        <v>20224</v>
      </c>
      <c r="I424" t="s">
        <v>1358</v>
      </c>
      <c r="J424" t="s">
        <v>1358</v>
      </c>
      <c r="K424" t="s">
        <v>1358</v>
      </c>
      <c r="L424" t="s">
        <v>1358</v>
      </c>
    </row>
    <row r="425" spans="1:14">
      <c r="H425" t="s">
        <v>20225</v>
      </c>
      <c r="I425" t="s">
        <v>1358</v>
      </c>
      <c r="J425" t="s">
        <v>1358</v>
      </c>
      <c r="K425" t="s">
        <v>1358</v>
      </c>
      <c r="L425" t="s">
        <v>1358</v>
      </c>
    </row>
    <row r="426" spans="1:14">
      <c r="A426" t="s">
        <v>10104</v>
      </c>
      <c r="B426">
        <f>HYPERLINK("https://android.googlesource.com/platform/cts/+/04b3c8e6f32aec2af720fee0e3a417b0433b5050", "04b3c8e6f32aec2af720fee0e3a417b0433b5050")</f>
        <v>0</v>
      </c>
      <c r="C426">
        <f>HYPERLINK("https://android.googlesource.com/platform/cts/+/9ea14d091071d56aef036237bf548998d62835b3", "9ea14d091071d56aef036237bf548998d62835b3")</f>
        <v>0</v>
      </c>
      <c r="D426" t="s">
        <v>11993</v>
      </c>
      <c r="E426" t="s">
        <v>12673</v>
      </c>
      <c r="F426" t="s">
        <v>14581</v>
      </c>
      <c r="G426" t="s">
        <v>17425</v>
      </c>
      <c r="H426" t="s">
        <v>20226</v>
      </c>
      <c r="I426" t="s">
        <v>1357</v>
      </c>
      <c r="J426" t="s">
        <v>1357</v>
      </c>
      <c r="K426" t="s">
        <v>1357</v>
      </c>
      <c r="L426" t="s">
        <v>1357</v>
      </c>
      <c r="N426" t="s">
        <v>1360</v>
      </c>
    </row>
    <row r="427" spans="1:14">
      <c r="A427" t="s">
        <v>10105</v>
      </c>
      <c r="B427">
        <f>HYPERLINK("https://android.googlesource.com/platform/cts/+/4fda9ca3a281ea399282a3fb080c77dbdbb723bd", "4fda9ca3a281ea399282a3fb080c77dbdbb723bd")</f>
        <v>0</v>
      </c>
      <c r="C427">
        <f>HYPERLINK("https://android.googlesource.com/platform/cts/+/071f7991ee0ed8ffdaa0f29588a020a5c03364fe", "071f7991ee0ed8ffdaa0f29588a020a5c03364fe")</f>
        <v>0</v>
      </c>
      <c r="D427" t="s">
        <v>12001</v>
      </c>
      <c r="E427" t="s">
        <v>12674</v>
      </c>
      <c r="F427" t="s">
        <v>14582</v>
      </c>
      <c r="G427" t="s">
        <v>17426</v>
      </c>
      <c r="H427" t="s">
        <v>20227</v>
      </c>
      <c r="I427" t="s">
        <v>1358</v>
      </c>
      <c r="J427" t="s">
        <v>1358</v>
      </c>
      <c r="K427" t="s">
        <v>1358</v>
      </c>
      <c r="L427" t="s">
        <v>1358</v>
      </c>
    </row>
    <row r="428" spans="1:14">
      <c r="F428" t="s">
        <v>14583</v>
      </c>
      <c r="G428" t="s">
        <v>17427</v>
      </c>
      <c r="H428" t="s">
        <v>20227</v>
      </c>
      <c r="I428" t="s">
        <v>1358</v>
      </c>
      <c r="J428" t="s">
        <v>1358</v>
      </c>
      <c r="K428" t="s">
        <v>1358</v>
      </c>
      <c r="L428" t="s">
        <v>1358</v>
      </c>
    </row>
    <row r="429" spans="1:14">
      <c r="F429" t="s">
        <v>14584</v>
      </c>
      <c r="G429" t="s">
        <v>17428</v>
      </c>
      <c r="H429" t="s">
        <v>20228</v>
      </c>
      <c r="I429" t="s">
        <v>1358</v>
      </c>
      <c r="J429" t="s">
        <v>1358</v>
      </c>
      <c r="K429" t="s">
        <v>1358</v>
      </c>
      <c r="L429" t="s">
        <v>1358</v>
      </c>
    </row>
    <row r="430" spans="1:14">
      <c r="F430" t="s">
        <v>14585</v>
      </c>
      <c r="G430" t="s">
        <v>17429</v>
      </c>
      <c r="H430" t="s">
        <v>20228</v>
      </c>
      <c r="I430" t="s">
        <v>1358</v>
      </c>
      <c r="J430" t="s">
        <v>1358</v>
      </c>
      <c r="K430" t="s">
        <v>1358</v>
      </c>
      <c r="L430" t="s">
        <v>1358</v>
      </c>
    </row>
    <row r="431" spans="1:14">
      <c r="F431" t="s">
        <v>14586</v>
      </c>
      <c r="G431" t="s">
        <v>17430</v>
      </c>
      <c r="H431" t="s">
        <v>20229</v>
      </c>
      <c r="I431" t="s">
        <v>1358</v>
      </c>
      <c r="J431" t="s">
        <v>1358</v>
      </c>
      <c r="K431" t="s">
        <v>1358</v>
      </c>
      <c r="L431" t="s">
        <v>1358</v>
      </c>
    </row>
    <row r="432" spans="1:14">
      <c r="F432" t="s">
        <v>14587</v>
      </c>
      <c r="G432" t="s">
        <v>17431</v>
      </c>
      <c r="H432" t="s">
        <v>20229</v>
      </c>
      <c r="I432" t="s">
        <v>1358</v>
      </c>
      <c r="J432" t="s">
        <v>1358</v>
      </c>
      <c r="K432" t="s">
        <v>1358</v>
      </c>
      <c r="L432" t="s">
        <v>1358</v>
      </c>
    </row>
    <row r="433" spans="6:12">
      <c r="F433" t="s">
        <v>14588</v>
      </c>
      <c r="G433" t="s">
        <v>17432</v>
      </c>
      <c r="H433" t="s">
        <v>20229</v>
      </c>
      <c r="I433" t="s">
        <v>1358</v>
      </c>
      <c r="J433" t="s">
        <v>1358</v>
      </c>
      <c r="K433" t="s">
        <v>1358</v>
      </c>
      <c r="L433" t="s">
        <v>1358</v>
      </c>
    </row>
    <row r="434" spans="6:12">
      <c r="F434" t="s">
        <v>14589</v>
      </c>
      <c r="G434" t="s">
        <v>17433</v>
      </c>
      <c r="H434" t="s">
        <v>20229</v>
      </c>
      <c r="I434" t="s">
        <v>1358</v>
      </c>
      <c r="J434" t="s">
        <v>1358</v>
      </c>
      <c r="K434" t="s">
        <v>1358</v>
      </c>
      <c r="L434" t="s">
        <v>1358</v>
      </c>
    </row>
    <row r="435" spans="6:12">
      <c r="F435" t="s">
        <v>14590</v>
      </c>
      <c r="G435" t="s">
        <v>17434</v>
      </c>
      <c r="H435" t="s">
        <v>20227</v>
      </c>
      <c r="I435" t="s">
        <v>1358</v>
      </c>
      <c r="J435" t="s">
        <v>1358</v>
      </c>
      <c r="K435" t="s">
        <v>1358</v>
      </c>
      <c r="L435" t="s">
        <v>1358</v>
      </c>
    </row>
    <row r="436" spans="6:12">
      <c r="F436" t="s">
        <v>14591</v>
      </c>
      <c r="G436" t="s">
        <v>17435</v>
      </c>
      <c r="H436" t="s">
        <v>20227</v>
      </c>
      <c r="I436" t="s">
        <v>1358</v>
      </c>
      <c r="J436" t="s">
        <v>1358</v>
      </c>
      <c r="K436" t="s">
        <v>1358</v>
      </c>
      <c r="L436" t="s">
        <v>1358</v>
      </c>
    </row>
    <row r="437" spans="6:12">
      <c r="F437" t="s">
        <v>14592</v>
      </c>
      <c r="G437" t="s">
        <v>17436</v>
      </c>
      <c r="H437" t="s">
        <v>20230</v>
      </c>
      <c r="I437" t="s">
        <v>1358</v>
      </c>
      <c r="J437" t="s">
        <v>1358</v>
      </c>
      <c r="K437" t="s">
        <v>1358</v>
      </c>
      <c r="L437" t="s">
        <v>1358</v>
      </c>
    </row>
    <row r="438" spans="6:12">
      <c r="F438" t="s">
        <v>14593</v>
      </c>
      <c r="G438" t="s">
        <v>17437</v>
      </c>
      <c r="H438" t="s">
        <v>20230</v>
      </c>
      <c r="I438" t="s">
        <v>1358</v>
      </c>
      <c r="J438" t="s">
        <v>1358</v>
      </c>
      <c r="K438" t="s">
        <v>1358</v>
      </c>
      <c r="L438" t="s">
        <v>1358</v>
      </c>
    </row>
    <row r="439" spans="6:12">
      <c r="F439" t="s">
        <v>14594</v>
      </c>
      <c r="G439" t="s">
        <v>17438</v>
      </c>
      <c r="H439" t="s">
        <v>20230</v>
      </c>
      <c r="I439" t="s">
        <v>1358</v>
      </c>
      <c r="J439" t="s">
        <v>1358</v>
      </c>
      <c r="K439" t="s">
        <v>1358</v>
      </c>
      <c r="L439" t="s">
        <v>1358</v>
      </c>
    </row>
    <row r="440" spans="6:12">
      <c r="F440" t="s">
        <v>14595</v>
      </c>
      <c r="G440" t="s">
        <v>17439</v>
      </c>
      <c r="H440" t="s">
        <v>20230</v>
      </c>
      <c r="I440" t="s">
        <v>1358</v>
      </c>
      <c r="J440" t="s">
        <v>1358</v>
      </c>
      <c r="K440" t="s">
        <v>1358</v>
      </c>
      <c r="L440" t="s">
        <v>1358</v>
      </c>
    </row>
    <row r="441" spans="6:12">
      <c r="F441" t="s">
        <v>14596</v>
      </c>
      <c r="G441" t="s">
        <v>17440</v>
      </c>
      <c r="H441" t="s">
        <v>20230</v>
      </c>
      <c r="I441" t="s">
        <v>1358</v>
      </c>
      <c r="J441" t="s">
        <v>1358</v>
      </c>
      <c r="K441" t="s">
        <v>1358</v>
      </c>
      <c r="L441" t="s">
        <v>1358</v>
      </c>
    </row>
    <row r="442" spans="6:12">
      <c r="F442" t="s">
        <v>14597</v>
      </c>
      <c r="G442" t="s">
        <v>17441</v>
      </c>
      <c r="H442" t="s">
        <v>20230</v>
      </c>
      <c r="I442" t="s">
        <v>1358</v>
      </c>
      <c r="J442" t="s">
        <v>1358</v>
      </c>
      <c r="K442" t="s">
        <v>1358</v>
      </c>
      <c r="L442" t="s">
        <v>1358</v>
      </c>
    </row>
    <row r="443" spans="6:12">
      <c r="F443" t="s">
        <v>14598</v>
      </c>
      <c r="G443" t="s">
        <v>17442</v>
      </c>
      <c r="H443" t="s">
        <v>20227</v>
      </c>
      <c r="I443" t="s">
        <v>1358</v>
      </c>
      <c r="J443" t="s">
        <v>1358</v>
      </c>
      <c r="K443" t="s">
        <v>1358</v>
      </c>
      <c r="L443" t="s">
        <v>1358</v>
      </c>
    </row>
    <row r="444" spans="6:12">
      <c r="F444" t="s">
        <v>14599</v>
      </c>
      <c r="G444" t="s">
        <v>17443</v>
      </c>
      <c r="H444" t="s">
        <v>20227</v>
      </c>
      <c r="I444" t="s">
        <v>1358</v>
      </c>
      <c r="J444" t="s">
        <v>1358</v>
      </c>
      <c r="K444" t="s">
        <v>1358</v>
      </c>
      <c r="L444" t="s">
        <v>1358</v>
      </c>
    </row>
    <row r="445" spans="6:12">
      <c r="F445" t="s">
        <v>14600</v>
      </c>
      <c r="G445" t="s">
        <v>17444</v>
      </c>
      <c r="H445" t="s">
        <v>20227</v>
      </c>
      <c r="I445" t="s">
        <v>1358</v>
      </c>
      <c r="J445" t="s">
        <v>1358</v>
      </c>
      <c r="K445" t="s">
        <v>1358</v>
      </c>
      <c r="L445" t="s">
        <v>1358</v>
      </c>
    </row>
    <row r="446" spans="6:12">
      <c r="F446" t="s">
        <v>14601</v>
      </c>
      <c r="G446" t="s">
        <v>17445</v>
      </c>
      <c r="H446" t="s">
        <v>20227</v>
      </c>
      <c r="I446" t="s">
        <v>1358</v>
      </c>
      <c r="J446" t="s">
        <v>1358</v>
      </c>
      <c r="K446" t="s">
        <v>1358</v>
      </c>
      <c r="L446" t="s">
        <v>1358</v>
      </c>
    </row>
    <row r="447" spans="6:12">
      <c r="F447" t="s">
        <v>14602</v>
      </c>
      <c r="G447" t="s">
        <v>17446</v>
      </c>
      <c r="H447" t="s">
        <v>20227</v>
      </c>
      <c r="I447" t="s">
        <v>1358</v>
      </c>
      <c r="J447" t="s">
        <v>1358</v>
      </c>
      <c r="K447" t="s">
        <v>1358</v>
      </c>
      <c r="L447" t="s">
        <v>1358</v>
      </c>
    </row>
    <row r="448" spans="6:12">
      <c r="F448" t="s">
        <v>14603</v>
      </c>
      <c r="G448" t="s">
        <v>17447</v>
      </c>
      <c r="H448" t="s">
        <v>20227</v>
      </c>
      <c r="I448" t="s">
        <v>1358</v>
      </c>
      <c r="J448" t="s">
        <v>1358</v>
      </c>
      <c r="K448" t="s">
        <v>1358</v>
      </c>
      <c r="L448" t="s">
        <v>1358</v>
      </c>
    </row>
    <row r="449" spans="6:12">
      <c r="F449" t="s">
        <v>14604</v>
      </c>
      <c r="G449" t="s">
        <v>17448</v>
      </c>
      <c r="H449" t="s">
        <v>20227</v>
      </c>
      <c r="I449" t="s">
        <v>1358</v>
      </c>
      <c r="J449" t="s">
        <v>1358</v>
      </c>
      <c r="K449" t="s">
        <v>1358</v>
      </c>
      <c r="L449" t="s">
        <v>1358</v>
      </c>
    </row>
    <row r="450" spans="6:12">
      <c r="F450" t="s">
        <v>14605</v>
      </c>
      <c r="G450" t="s">
        <v>17449</v>
      </c>
      <c r="H450" t="s">
        <v>20230</v>
      </c>
      <c r="I450" t="s">
        <v>1358</v>
      </c>
      <c r="J450" t="s">
        <v>1358</v>
      </c>
      <c r="K450" t="s">
        <v>1358</v>
      </c>
      <c r="L450" t="s">
        <v>1358</v>
      </c>
    </row>
    <row r="451" spans="6:12">
      <c r="F451" t="s">
        <v>14606</v>
      </c>
      <c r="G451" t="s">
        <v>17450</v>
      </c>
      <c r="H451" t="s">
        <v>20230</v>
      </c>
      <c r="I451" t="s">
        <v>1358</v>
      </c>
      <c r="J451" t="s">
        <v>1358</v>
      </c>
      <c r="K451" t="s">
        <v>1358</v>
      </c>
      <c r="L451" t="s">
        <v>1358</v>
      </c>
    </row>
    <row r="452" spans="6:12">
      <c r="F452" t="s">
        <v>14607</v>
      </c>
      <c r="G452" t="s">
        <v>17451</v>
      </c>
      <c r="H452" t="s">
        <v>20230</v>
      </c>
      <c r="I452" t="s">
        <v>1358</v>
      </c>
      <c r="J452" t="s">
        <v>1358</v>
      </c>
      <c r="K452" t="s">
        <v>1358</v>
      </c>
      <c r="L452" t="s">
        <v>1358</v>
      </c>
    </row>
    <row r="453" spans="6:12">
      <c r="F453" t="s">
        <v>14608</v>
      </c>
      <c r="G453" t="s">
        <v>17452</v>
      </c>
      <c r="H453" t="s">
        <v>20230</v>
      </c>
      <c r="I453" t="s">
        <v>1358</v>
      </c>
      <c r="J453" t="s">
        <v>1358</v>
      </c>
      <c r="K453" t="s">
        <v>1358</v>
      </c>
      <c r="L453" t="s">
        <v>1358</v>
      </c>
    </row>
    <row r="454" spans="6:12">
      <c r="F454" t="s">
        <v>14609</v>
      </c>
      <c r="G454" t="s">
        <v>17453</v>
      </c>
      <c r="H454" t="s">
        <v>20228</v>
      </c>
      <c r="I454" t="s">
        <v>1358</v>
      </c>
      <c r="J454" t="s">
        <v>1358</v>
      </c>
      <c r="K454" t="s">
        <v>1358</v>
      </c>
      <c r="L454" t="s">
        <v>1358</v>
      </c>
    </row>
    <row r="455" spans="6:12">
      <c r="F455" t="s">
        <v>14610</v>
      </c>
      <c r="G455" t="s">
        <v>17454</v>
      </c>
      <c r="H455" t="s">
        <v>20230</v>
      </c>
      <c r="I455" t="s">
        <v>1358</v>
      </c>
      <c r="J455" t="s">
        <v>1358</v>
      </c>
      <c r="K455" t="s">
        <v>1358</v>
      </c>
      <c r="L455" t="s">
        <v>1358</v>
      </c>
    </row>
    <row r="456" spans="6:12">
      <c r="F456" t="s">
        <v>14611</v>
      </c>
      <c r="G456" t="s">
        <v>17455</v>
      </c>
      <c r="H456" t="s">
        <v>20227</v>
      </c>
      <c r="I456" t="s">
        <v>1358</v>
      </c>
      <c r="J456" t="s">
        <v>1358</v>
      </c>
      <c r="K456" t="s">
        <v>1358</v>
      </c>
      <c r="L456" t="s">
        <v>1358</v>
      </c>
    </row>
    <row r="457" spans="6:12">
      <c r="H457" t="s">
        <v>20228</v>
      </c>
      <c r="I457" t="s">
        <v>1358</v>
      </c>
      <c r="J457" t="s">
        <v>1358</v>
      </c>
      <c r="K457" t="s">
        <v>1358</v>
      </c>
      <c r="L457" t="s">
        <v>1358</v>
      </c>
    </row>
    <row r="458" spans="6:12">
      <c r="F458" t="s">
        <v>14612</v>
      </c>
      <c r="G458" t="s">
        <v>17456</v>
      </c>
      <c r="H458" t="s">
        <v>20227</v>
      </c>
      <c r="I458" t="s">
        <v>1358</v>
      </c>
      <c r="J458" t="s">
        <v>1358</v>
      </c>
      <c r="K458" t="s">
        <v>1358</v>
      </c>
      <c r="L458" t="s">
        <v>1358</v>
      </c>
    </row>
    <row r="459" spans="6:12">
      <c r="F459" t="s">
        <v>14613</v>
      </c>
      <c r="G459" t="s">
        <v>17457</v>
      </c>
      <c r="H459" t="s">
        <v>20227</v>
      </c>
      <c r="I459" t="s">
        <v>1358</v>
      </c>
      <c r="J459" t="s">
        <v>1358</v>
      </c>
      <c r="K459" t="s">
        <v>1358</v>
      </c>
      <c r="L459" t="s">
        <v>1358</v>
      </c>
    </row>
    <row r="460" spans="6:12">
      <c r="F460" t="s">
        <v>14614</v>
      </c>
      <c r="G460" t="s">
        <v>17458</v>
      </c>
      <c r="H460" t="s">
        <v>20227</v>
      </c>
      <c r="I460" t="s">
        <v>1358</v>
      </c>
      <c r="J460" t="s">
        <v>1358</v>
      </c>
      <c r="K460" t="s">
        <v>1358</v>
      </c>
      <c r="L460" t="s">
        <v>1358</v>
      </c>
    </row>
    <row r="461" spans="6:12">
      <c r="F461" t="s">
        <v>14615</v>
      </c>
      <c r="G461" t="s">
        <v>17459</v>
      </c>
      <c r="H461" t="s">
        <v>20227</v>
      </c>
      <c r="I461" t="s">
        <v>1358</v>
      </c>
      <c r="J461" t="s">
        <v>1358</v>
      </c>
      <c r="K461" t="s">
        <v>1358</v>
      </c>
      <c r="L461" t="s">
        <v>1358</v>
      </c>
    </row>
    <row r="462" spans="6:12">
      <c r="F462" t="s">
        <v>14616</v>
      </c>
      <c r="G462" t="s">
        <v>17460</v>
      </c>
      <c r="H462" t="s">
        <v>20227</v>
      </c>
      <c r="I462" t="s">
        <v>1358</v>
      </c>
      <c r="J462" t="s">
        <v>1358</v>
      </c>
      <c r="K462" t="s">
        <v>1358</v>
      </c>
      <c r="L462" t="s">
        <v>1358</v>
      </c>
    </row>
    <row r="463" spans="6:12">
      <c r="F463" t="s">
        <v>14617</v>
      </c>
      <c r="G463" t="s">
        <v>17461</v>
      </c>
      <c r="H463" t="s">
        <v>20228</v>
      </c>
      <c r="I463" t="s">
        <v>1358</v>
      </c>
      <c r="J463" t="s">
        <v>1358</v>
      </c>
      <c r="K463" t="s">
        <v>1358</v>
      </c>
      <c r="L463" t="s">
        <v>1358</v>
      </c>
    </row>
    <row r="464" spans="6:12">
      <c r="F464" t="s">
        <v>14618</v>
      </c>
      <c r="G464" t="s">
        <v>17462</v>
      </c>
      <c r="H464" t="s">
        <v>20228</v>
      </c>
      <c r="I464" t="s">
        <v>1358</v>
      </c>
      <c r="J464" t="s">
        <v>1358</v>
      </c>
      <c r="K464" t="s">
        <v>1358</v>
      </c>
      <c r="L464" t="s">
        <v>1358</v>
      </c>
    </row>
    <row r="465" spans="6:12">
      <c r="F465" t="s">
        <v>14619</v>
      </c>
      <c r="G465" t="s">
        <v>17463</v>
      </c>
      <c r="H465" t="s">
        <v>20227</v>
      </c>
      <c r="I465" t="s">
        <v>1358</v>
      </c>
      <c r="J465" t="s">
        <v>1358</v>
      </c>
      <c r="K465" t="s">
        <v>1358</v>
      </c>
      <c r="L465" t="s">
        <v>1358</v>
      </c>
    </row>
    <row r="466" spans="6:12">
      <c r="F466" t="s">
        <v>14620</v>
      </c>
      <c r="G466" t="s">
        <v>17464</v>
      </c>
      <c r="H466" t="s">
        <v>20227</v>
      </c>
      <c r="I466" t="s">
        <v>1358</v>
      </c>
      <c r="J466" t="s">
        <v>1358</v>
      </c>
      <c r="K466" t="s">
        <v>1358</v>
      </c>
      <c r="L466" t="s">
        <v>1358</v>
      </c>
    </row>
    <row r="467" spans="6:12">
      <c r="F467" t="s">
        <v>14621</v>
      </c>
      <c r="G467" t="s">
        <v>17465</v>
      </c>
      <c r="H467" t="s">
        <v>20229</v>
      </c>
      <c r="I467" t="s">
        <v>1358</v>
      </c>
      <c r="J467" t="s">
        <v>1358</v>
      </c>
      <c r="K467" t="s">
        <v>1358</v>
      </c>
      <c r="L467" t="s">
        <v>1358</v>
      </c>
    </row>
    <row r="468" spans="6:12">
      <c r="F468" t="s">
        <v>14622</v>
      </c>
      <c r="G468" t="s">
        <v>17466</v>
      </c>
      <c r="H468" t="s">
        <v>20229</v>
      </c>
      <c r="I468" t="s">
        <v>1358</v>
      </c>
      <c r="J468" t="s">
        <v>1358</v>
      </c>
      <c r="K468" t="s">
        <v>1358</v>
      </c>
      <c r="L468" t="s">
        <v>1358</v>
      </c>
    </row>
    <row r="469" spans="6:12">
      <c r="F469" t="s">
        <v>14623</v>
      </c>
      <c r="G469" t="s">
        <v>17467</v>
      </c>
      <c r="H469" t="s">
        <v>20229</v>
      </c>
      <c r="I469" t="s">
        <v>1358</v>
      </c>
      <c r="J469" t="s">
        <v>1358</v>
      </c>
      <c r="K469" t="s">
        <v>1358</v>
      </c>
      <c r="L469" t="s">
        <v>1358</v>
      </c>
    </row>
    <row r="470" spans="6:12">
      <c r="F470" t="s">
        <v>14624</v>
      </c>
      <c r="G470" t="s">
        <v>17468</v>
      </c>
      <c r="H470" t="s">
        <v>20229</v>
      </c>
      <c r="I470" t="s">
        <v>1358</v>
      </c>
      <c r="J470" t="s">
        <v>1358</v>
      </c>
      <c r="K470" t="s">
        <v>1358</v>
      </c>
      <c r="L470" t="s">
        <v>1358</v>
      </c>
    </row>
    <row r="471" spans="6:12">
      <c r="F471" t="s">
        <v>14625</v>
      </c>
      <c r="G471" t="s">
        <v>17469</v>
      </c>
      <c r="H471" t="s">
        <v>20229</v>
      </c>
      <c r="I471" t="s">
        <v>1358</v>
      </c>
      <c r="J471" t="s">
        <v>1358</v>
      </c>
      <c r="K471" t="s">
        <v>1358</v>
      </c>
      <c r="L471" t="s">
        <v>1358</v>
      </c>
    </row>
    <row r="472" spans="6:12">
      <c r="F472" t="s">
        <v>14626</v>
      </c>
      <c r="G472" t="s">
        <v>17470</v>
      </c>
      <c r="H472" t="s">
        <v>20229</v>
      </c>
      <c r="I472" t="s">
        <v>1358</v>
      </c>
      <c r="J472" t="s">
        <v>1358</v>
      </c>
      <c r="K472" t="s">
        <v>1358</v>
      </c>
      <c r="L472" t="s">
        <v>1358</v>
      </c>
    </row>
    <row r="473" spans="6:12">
      <c r="F473" t="s">
        <v>14627</v>
      </c>
      <c r="G473" t="s">
        <v>17471</v>
      </c>
      <c r="H473" t="s">
        <v>20227</v>
      </c>
      <c r="I473" t="s">
        <v>1358</v>
      </c>
      <c r="J473" t="s">
        <v>1358</v>
      </c>
      <c r="K473" t="s">
        <v>1358</v>
      </c>
      <c r="L473" t="s">
        <v>1358</v>
      </c>
    </row>
    <row r="474" spans="6:12">
      <c r="F474" t="s">
        <v>14628</v>
      </c>
      <c r="G474" t="s">
        <v>17472</v>
      </c>
      <c r="H474" t="s">
        <v>20227</v>
      </c>
      <c r="I474" t="s">
        <v>1358</v>
      </c>
      <c r="J474" t="s">
        <v>1358</v>
      </c>
      <c r="K474" t="s">
        <v>1358</v>
      </c>
      <c r="L474" t="s">
        <v>1358</v>
      </c>
    </row>
    <row r="475" spans="6:12">
      <c r="F475" t="s">
        <v>14629</v>
      </c>
      <c r="G475" t="s">
        <v>17473</v>
      </c>
      <c r="H475" t="s">
        <v>20227</v>
      </c>
      <c r="I475" t="s">
        <v>1358</v>
      </c>
      <c r="J475" t="s">
        <v>1358</v>
      </c>
      <c r="K475" t="s">
        <v>1358</v>
      </c>
      <c r="L475" t="s">
        <v>1358</v>
      </c>
    </row>
    <row r="476" spans="6:12">
      <c r="F476" t="s">
        <v>14630</v>
      </c>
      <c r="G476" t="s">
        <v>17474</v>
      </c>
      <c r="H476" t="s">
        <v>20227</v>
      </c>
      <c r="I476" t="s">
        <v>1358</v>
      </c>
      <c r="J476" t="s">
        <v>1358</v>
      </c>
      <c r="K476" t="s">
        <v>1358</v>
      </c>
      <c r="L476" t="s">
        <v>1358</v>
      </c>
    </row>
    <row r="477" spans="6:12">
      <c r="F477" t="s">
        <v>14631</v>
      </c>
      <c r="G477" t="s">
        <v>17475</v>
      </c>
      <c r="H477" t="s">
        <v>20227</v>
      </c>
      <c r="I477" t="s">
        <v>1358</v>
      </c>
      <c r="J477" t="s">
        <v>1358</v>
      </c>
      <c r="K477" t="s">
        <v>1358</v>
      </c>
      <c r="L477" t="s">
        <v>1358</v>
      </c>
    </row>
    <row r="478" spans="6:12">
      <c r="F478" t="s">
        <v>14632</v>
      </c>
      <c r="G478" t="s">
        <v>17476</v>
      </c>
      <c r="H478" t="s">
        <v>20227</v>
      </c>
      <c r="I478" t="s">
        <v>1358</v>
      </c>
      <c r="J478" t="s">
        <v>1358</v>
      </c>
      <c r="K478" t="s">
        <v>1358</v>
      </c>
      <c r="L478" t="s">
        <v>1358</v>
      </c>
    </row>
    <row r="479" spans="6:12">
      <c r="F479" t="s">
        <v>14633</v>
      </c>
      <c r="G479" t="s">
        <v>17477</v>
      </c>
      <c r="H479" t="s">
        <v>20229</v>
      </c>
      <c r="I479" t="s">
        <v>1358</v>
      </c>
      <c r="J479" t="s">
        <v>1358</v>
      </c>
      <c r="K479" t="s">
        <v>1358</v>
      </c>
      <c r="L479" t="s">
        <v>1358</v>
      </c>
    </row>
    <row r="480" spans="6:12">
      <c r="F480" t="s">
        <v>14634</v>
      </c>
      <c r="G480" t="s">
        <v>17478</v>
      </c>
      <c r="H480" t="s">
        <v>20230</v>
      </c>
      <c r="I480" t="s">
        <v>1358</v>
      </c>
      <c r="J480" t="s">
        <v>1358</v>
      </c>
      <c r="K480" t="s">
        <v>1358</v>
      </c>
      <c r="L480" t="s">
        <v>1358</v>
      </c>
    </row>
    <row r="481" spans="6:12">
      <c r="F481" t="s">
        <v>14635</v>
      </c>
      <c r="G481" t="s">
        <v>17479</v>
      </c>
      <c r="H481" t="s">
        <v>20227</v>
      </c>
      <c r="I481" t="s">
        <v>1358</v>
      </c>
      <c r="J481" t="s">
        <v>1358</v>
      </c>
      <c r="K481" t="s">
        <v>1358</v>
      </c>
      <c r="L481" t="s">
        <v>1358</v>
      </c>
    </row>
    <row r="482" spans="6:12">
      <c r="F482" t="s">
        <v>14636</v>
      </c>
      <c r="G482" t="s">
        <v>17480</v>
      </c>
      <c r="H482" t="s">
        <v>20230</v>
      </c>
      <c r="I482" t="s">
        <v>1358</v>
      </c>
      <c r="J482" t="s">
        <v>1358</v>
      </c>
      <c r="K482" t="s">
        <v>1358</v>
      </c>
      <c r="L482" t="s">
        <v>1358</v>
      </c>
    </row>
    <row r="483" spans="6:12">
      <c r="F483" t="s">
        <v>14637</v>
      </c>
      <c r="G483" t="s">
        <v>17481</v>
      </c>
      <c r="H483" t="s">
        <v>20227</v>
      </c>
      <c r="I483" t="s">
        <v>1358</v>
      </c>
      <c r="J483" t="s">
        <v>1358</v>
      </c>
      <c r="K483" t="s">
        <v>1358</v>
      </c>
      <c r="L483" t="s">
        <v>1358</v>
      </c>
    </row>
    <row r="484" spans="6:12">
      <c r="F484" t="s">
        <v>14638</v>
      </c>
      <c r="G484" t="s">
        <v>17482</v>
      </c>
      <c r="H484" t="s">
        <v>20230</v>
      </c>
      <c r="I484" t="s">
        <v>1358</v>
      </c>
      <c r="J484" t="s">
        <v>1358</v>
      </c>
      <c r="K484" t="s">
        <v>1358</v>
      </c>
      <c r="L484" t="s">
        <v>1358</v>
      </c>
    </row>
    <row r="485" spans="6:12">
      <c r="F485" t="s">
        <v>14639</v>
      </c>
      <c r="G485" t="s">
        <v>17483</v>
      </c>
      <c r="H485" t="s">
        <v>20227</v>
      </c>
      <c r="I485" t="s">
        <v>1358</v>
      </c>
      <c r="J485" t="s">
        <v>1358</v>
      </c>
      <c r="K485" t="s">
        <v>1358</v>
      </c>
      <c r="L485" t="s">
        <v>1358</v>
      </c>
    </row>
    <row r="486" spans="6:12">
      <c r="F486" t="s">
        <v>14640</v>
      </c>
      <c r="G486" t="s">
        <v>17484</v>
      </c>
      <c r="H486" t="s">
        <v>20230</v>
      </c>
      <c r="I486" t="s">
        <v>1358</v>
      </c>
      <c r="J486" t="s">
        <v>1358</v>
      </c>
      <c r="K486" t="s">
        <v>1358</v>
      </c>
      <c r="L486" t="s">
        <v>1358</v>
      </c>
    </row>
    <row r="487" spans="6:12">
      <c r="F487" t="s">
        <v>14641</v>
      </c>
      <c r="G487" t="s">
        <v>17485</v>
      </c>
      <c r="H487" t="s">
        <v>20227</v>
      </c>
      <c r="I487" t="s">
        <v>1358</v>
      </c>
      <c r="J487" t="s">
        <v>1358</v>
      </c>
      <c r="K487" t="s">
        <v>1358</v>
      </c>
      <c r="L487" t="s">
        <v>1358</v>
      </c>
    </row>
    <row r="488" spans="6:12">
      <c r="F488" t="s">
        <v>14642</v>
      </c>
      <c r="G488" t="s">
        <v>17486</v>
      </c>
      <c r="H488" t="s">
        <v>20230</v>
      </c>
      <c r="I488" t="s">
        <v>1358</v>
      </c>
      <c r="J488" t="s">
        <v>1358</v>
      </c>
      <c r="K488" t="s">
        <v>1358</v>
      </c>
      <c r="L488" t="s">
        <v>1358</v>
      </c>
    </row>
    <row r="489" spans="6:12">
      <c r="F489" t="s">
        <v>14643</v>
      </c>
      <c r="G489" t="s">
        <v>17487</v>
      </c>
      <c r="H489" t="s">
        <v>20229</v>
      </c>
      <c r="I489" t="s">
        <v>1358</v>
      </c>
      <c r="J489" t="s">
        <v>1358</v>
      </c>
      <c r="K489" t="s">
        <v>1358</v>
      </c>
      <c r="L489" t="s">
        <v>1358</v>
      </c>
    </row>
    <row r="490" spans="6:12">
      <c r="F490" t="s">
        <v>14644</v>
      </c>
      <c r="G490" t="s">
        <v>17488</v>
      </c>
      <c r="H490" t="s">
        <v>20227</v>
      </c>
      <c r="I490" t="s">
        <v>1358</v>
      </c>
      <c r="J490" t="s">
        <v>1358</v>
      </c>
      <c r="K490" t="s">
        <v>1358</v>
      </c>
      <c r="L490" t="s">
        <v>1358</v>
      </c>
    </row>
    <row r="491" spans="6:12">
      <c r="F491" t="s">
        <v>14645</v>
      </c>
      <c r="G491" t="s">
        <v>17489</v>
      </c>
      <c r="H491" t="s">
        <v>20229</v>
      </c>
      <c r="I491" t="s">
        <v>1358</v>
      </c>
      <c r="J491" t="s">
        <v>1358</v>
      </c>
      <c r="K491" t="s">
        <v>1358</v>
      </c>
      <c r="L491" t="s">
        <v>1358</v>
      </c>
    </row>
    <row r="492" spans="6:12">
      <c r="F492" t="s">
        <v>14646</v>
      </c>
      <c r="G492" t="s">
        <v>17490</v>
      </c>
      <c r="H492" t="s">
        <v>20228</v>
      </c>
      <c r="I492" t="s">
        <v>1358</v>
      </c>
      <c r="J492" t="s">
        <v>1358</v>
      </c>
      <c r="K492" t="s">
        <v>1358</v>
      </c>
      <c r="L492" t="s">
        <v>1358</v>
      </c>
    </row>
    <row r="493" spans="6:12">
      <c r="F493" t="s">
        <v>14647</v>
      </c>
      <c r="G493" t="s">
        <v>17491</v>
      </c>
      <c r="H493" t="s">
        <v>20231</v>
      </c>
      <c r="I493" t="s">
        <v>1358</v>
      </c>
      <c r="J493" t="s">
        <v>1358</v>
      </c>
      <c r="K493" t="s">
        <v>1358</v>
      </c>
      <c r="L493" t="s">
        <v>1358</v>
      </c>
    </row>
    <row r="494" spans="6:12">
      <c r="F494" t="s">
        <v>14648</v>
      </c>
      <c r="G494" t="s">
        <v>17492</v>
      </c>
      <c r="H494" t="s">
        <v>20228</v>
      </c>
      <c r="I494" t="s">
        <v>1358</v>
      </c>
      <c r="J494" t="s">
        <v>1358</v>
      </c>
      <c r="K494" t="s">
        <v>1358</v>
      </c>
      <c r="L494" t="s">
        <v>1358</v>
      </c>
    </row>
    <row r="495" spans="6:12">
      <c r="F495" t="s">
        <v>14649</v>
      </c>
      <c r="G495" t="s">
        <v>17493</v>
      </c>
      <c r="H495" t="s">
        <v>20231</v>
      </c>
      <c r="I495" t="s">
        <v>1358</v>
      </c>
      <c r="J495" t="s">
        <v>1358</v>
      </c>
      <c r="K495" t="s">
        <v>1358</v>
      </c>
      <c r="L495" t="s">
        <v>1358</v>
      </c>
    </row>
    <row r="496" spans="6:12">
      <c r="F496" t="s">
        <v>14650</v>
      </c>
      <c r="G496" t="s">
        <v>17494</v>
      </c>
      <c r="H496" t="s">
        <v>20231</v>
      </c>
      <c r="I496" t="s">
        <v>1358</v>
      </c>
      <c r="J496" t="s">
        <v>1358</v>
      </c>
      <c r="K496" t="s">
        <v>1358</v>
      </c>
      <c r="L496" t="s">
        <v>1358</v>
      </c>
    </row>
    <row r="497" spans="6:12">
      <c r="F497" t="s">
        <v>14651</v>
      </c>
      <c r="G497" t="s">
        <v>17495</v>
      </c>
      <c r="H497" t="s">
        <v>20232</v>
      </c>
      <c r="I497" t="s">
        <v>1358</v>
      </c>
      <c r="J497" t="s">
        <v>1358</v>
      </c>
      <c r="K497" t="s">
        <v>1358</v>
      </c>
      <c r="L497" t="s">
        <v>1358</v>
      </c>
    </row>
    <row r="498" spans="6:12">
      <c r="F498" t="s">
        <v>14652</v>
      </c>
      <c r="G498" t="s">
        <v>17496</v>
      </c>
      <c r="H498" t="s">
        <v>20227</v>
      </c>
      <c r="I498" t="s">
        <v>1358</v>
      </c>
      <c r="J498" t="s">
        <v>1358</v>
      </c>
      <c r="K498" t="s">
        <v>1358</v>
      </c>
      <c r="L498" t="s">
        <v>1358</v>
      </c>
    </row>
    <row r="499" spans="6:12">
      <c r="F499" t="s">
        <v>14653</v>
      </c>
      <c r="G499" t="s">
        <v>17497</v>
      </c>
      <c r="H499" t="s">
        <v>20227</v>
      </c>
      <c r="I499" t="s">
        <v>1358</v>
      </c>
      <c r="J499" t="s">
        <v>1358</v>
      </c>
      <c r="K499" t="s">
        <v>1358</v>
      </c>
      <c r="L499" t="s">
        <v>1358</v>
      </c>
    </row>
    <row r="500" spans="6:12">
      <c r="F500" t="s">
        <v>14654</v>
      </c>
      <c r="G500" t="s">
        <v>17498</v>
      </c>
      <c r="H500" t="s">
        <v>20228</v>
      </c>
      <c r="I500" t="s">
        <v>1358</v>
      </c>
      <c r="J500" t="s">
        <v>1358</v>
      </c>
      <c r="K500" t="s">
        <v>1358</v>
      </c>
      <c r="L500" t="s">
        <v>1358</v>
      </c>
    </row>
    <row r="501" spans="6:12">
      <c r="F501" t="s">
        <v>14655</v>
      </c>
      <c r="G501" t="s">
        <v>17499</v>
      </c>
      <c r="H501" t="s">
        <v>20227</v>
      </c>
      <c r="I501" t="s">
        <v>1358</v>
      </c>
      <c r="J501" t="s">
        <v>1358</v>
      </c>
      <c r="K501" t="s">
        <v>1358</v>
      </c>
      <c r="L501" t="s">
        <v>1358</v>
      </c>
    </row>
    <row r="502" spans="6:12">
      <c r="F502" t="s">
        <v>14656</v>
      </c>
      <c r="G502" t="s">
        <v>17500</v>
      </c>
      <c r="H502" t="s">
        <v>20227</v>
      </c>
      <c r="I502" t="s">
        <v>1358</v>
      </c>
      <c r="J502" t="s">
        <v>1358</v>
      </c>
      <c r="K502" t="s">
        <v>1358</v>
      </c>
      <c r="L502" t="s">
        <v>1358</v>
      </c>
    </row>
    <row r="503" spans="6:12">
      <c r="F503" t="s">
        <v>14657</v>
      </c>
      <c r="G503" t="s">
        <v>17501</v>
      </c>
      <c r="H503" t="s">
        <v>20227</v>
      </c>
      <c r="I503" t="s">
        <v>1358</v>
      </c>
      <c r="J503" t="s">
        <v>1358</v>
      </c>
      <c r="K503" t="s">
        <v>1358</v>
      </c>
      <c r="L503" t="s">
        <v>1358</v>
      </c>
    </row>
    <row r="504" spans="6:12">
      <c r="F504" t="s">
        <v>14658</v>
      </c>
      <c r="G504" t="s">
        <v>17502</v>
      </c>
      <c r="H504" t="s">
        <v>20227</v>
      </c>
      <c r="I504" t="s">
        <v>1358</v>
      </c>
      <c r="J504" t="s">
        <v>1358</v>
      </c>
      <c r="K504" t="s">
        <v>1358</v>
      </c>
      <c r="L504" t="s">
        <v>1358</v>
      </c>
    </row>
    <row r="505" spans="6:12">
      <c r="F505" t="s">
        <v>14659</v>
      </c>
      <c r="G505" t="s">
        <v>17503</v>
      </c>
      <c r="H505" t="s">
        <v>20228</v>
      </c>
      <c r="I505" t="s">
        <v>1358</v>
      </c>
      <c r="J505" t="s">
        <v>1358</v>
      </c>
      <c r="K505" t="s">
        <v>1358</v>
      </c>
      <c r="L505" t="s">
        <v>1358</v>
      </c>
    </row>
    <row r="506" spans="6:12">
      <c r="F506" t="s">
        <v>14660</v>
      </c>
      <c r="G506" t="s">
        <v>17504</v>
      </c>
      <c r="H506" t="s">
        <v>20228</v>
      </c>
      <c r="I506" t="s">
        <v>1358</v>
      </c>
      <c r="J506" t="s">
        <v>1358</v>
      </c>
      <c r="K506" t="s">
        <v>1358</v>
      </c>
      <c r="L506" t="s">
        <v>1358</v>
      </c>
    </row>
    <row r="507" spans="6:12">
      <c r="F507" t="s">
        <v>14661</v>
      </c>
      <c r="G507" t="s">
        <v>17505</v>
      </c>
      <c r="H507" t="s">
        <v>20228</v>
      </c>
      <c r="I507" t="s">
        <v>1358</v>
      </c>
      <c r="J507" t="s">
        <v>1358</v>
      </c>
      <c r="K507" t="s">
        <v>1358</v>
      </c>
      <c r="L507" t="s">
        <v>1358</v>
      </c>
    </row>
    <row r="508" spans="6:12">
      <c r="F508" t="s">
        <v>14662</v>
      </c>
      <c r="G508" t="s">
        <v>17506</v>
      </c>
      <c r="H508" t="s">
        <v>20228</v>
      </c>
      <c r="I508" t="s">
        <v>1358</v>
      </c>
      <c r="J508" t="s">
        <v>1358</v>
      </c>
      <c r="K508" t="s">
        <v>1358</v>
      </c>
      <c r="L508" t="s">
        <v>1358</v>
      </c>
    </row>
    <row r="509" spans="6:12">
      <c r="F509" t="s">
        <v>14663</v>
      </c>
      <c r="G509" t="s">
        <v>17507</v>
      </c>
      <c r="H509" t="s">
        <v>20227</v>
      </c>
      <c r="I509" t="s">
        <v>1358</v>
      </c>
      <c r="J509" t="s">
        <v>1358</v>
      </c>
      <c r="K509" t="s">
        <v>1358</v>
      </c>
      <c r="L509" t="s">
        <v>1358</v>
      </c>
    </row>
    <row r="510" spans="6:12">
      <c r="F510" t="s">
        <v>14664</v>
      </c>
      <c r="G510" t="s">
        <v>17508</v>
      </c>
      <c r="H510" t="s">
        <v>20227</v>
      </c>
      <c r="I510" t="s">
        <v>1358</v>
      </c>
      <c r="J510" t="s">
        <v>1358</v>
      </c>
      <c r="K510" t="s">
        <v>1358</v>
      </c>
      <c r="L510" t="s">
        <v>1358</v>
      </c>
    </row>
    <row r="511" spans="6:12">
      <c r="F511" t="s">
        <v>14665</v>
      </c>
      <c r="G511" t="s">
        <v>17509</v>
      </c>
      <c r="H511" t="s">
        <v>20228</v>
      </c>
      <c r="I511" t="s">
        <v>1358</v>
      </c>
      <c r="J511" t="s">
        <v>1358</v>
      </c>
      <c r="K511" t="s">
        <v>1358</v>
      </c>
      <c r="L511" t="s">
        <v>1358</v>
      </c>
    </row>
    <row r="512" spans="6:12">
      <c r="F512" t="s">
        <v>14666</v>
      </c>
      <c r="G512" t="s">
        <v>17510</v>
      </c>
      <c r="H512" t="s">
        <v>20228</v>
      </c>
      <c r="I512" t="s">
        <v>1358</v>
      </c>
      <c r="J512" t="s">
        <v>1358</v>
      </c>
      <c r="K512" t="s">
        <v>1358</v>
      </c>
      <c r="L512" t="s">
        <v>1358</v>
      </c>
    </row>
    <row r="513" spans="6:12">
      <c r="F513" t="s">
        <v>14667</v>
      </c>
      <c r="G513" t="s">
        <v>17511</v>
      </c>
      <c r="H513" t="s">
        <v>20232</v>
      </c>
      <c r="I513" t="s">
        <v>1358</v>
      </c>
      <c r="J513" t="s">
        <v>1358</v>
      </c>
      <c r="K513" t="s">
        <v>1358</v>
      </c>
      <c r="L513" t="s">
        <v>1358</v>
      </c>
    </row>
    <row r="514" spans="6:12">
      <c r="F514" t="s">
        <v>14668</v>
      </c>
      <c r="G514" t="s">
        <v>17512</v>
      </c>
      <c r="H514" t="s">
        <v>20228</v>
      </c>
      <c r="I514" t="s">
        <v>1358</v>
      </c>
      <c r="J514" t="s">
        <v>1358</v>
      </c>
      <c r="K514" t="s">
        <v>1358</v>
      </c>
      <c r="L514" t="s">
        <v>1358</v>
      </c>
    </row>
    <row r="515" spans="6:12">
      <c r="F515" t="s">
        <v>14669</v>
      </c>
      <c r="G515" t="s">
        <v>17513</v>
      </c>
      <c r="H515" t="s">
        <v>20227</v>
      </c>
      <c r="I515" t="s">
        <v>1358</v>
      </c>
      <c r="J515" t="s">
        <v>1358</v>
      </c>
      <c r="K515" t="s">
        <v>1358</v>
      </c>
      <c r="L515" t="s">
        <v>1358</v>
      </c>
    </row>
    <row r="516" spans="6:12">
      <c r="F516" t="s">
        <v>14670</v>
      </c>
      <c r="G516" t="s">
        <v>17514</v>
      </c>
      <c r="H516" t="s">
        <v>20227</v>
      </c>
      <c r="I516" t="s">
        <v>1358</v>
      </c>
      <c r="J516" t="s">
        <v>1358</v>
      </c>
      <c r="K516" t="s">
        <v>1358</v>
      </c>
      <c r="L516" t="s">
        <v>1358</v>
      </c>
    </row>
    <row r="517" spans="6:12">
      <c r="F517" t="s">
        <v>14671</v>
      </c>
      <c r="G517" t="s">
        <v>17515</v>
      </c>
      <c r="H517" t="s">
        <v>20227</v>
      </c>
      <c r="I517" t="s">
        <v>1358</v>
      </c>
      <c r="J517" t="s">
        <v>1358</v>
      </c>
      <c r="K517" t="s">
        <v>1358</v>
      </c>
      <c r="L517" t="s">
        <v>1358</v>
      </c>
    </row>
    <row r="518" spans="6:12">
      <c r="F518" t="s">
        <v>14672</v>
      </c>
      <c r="G518" t="s">
        <v>17516</v>
      </c>
      <c r="H518" t="s">
        <v>20227</v>
      </c>
      <c r="I518" t="s">
        <v>1358</v>
      </c>
      <c r="J518" t="s">
        <v>1358</v>
      </c>
      <c r="K518" t="s">
        <v>1358</v>
      </c>
      <c r="L518" t="s">
        <v>1358</v>
      </c>
    </row>
    <row r="519" spans="6:12">
      <c r="F519" t="s">
        <v>14673</v>
      </c>
      <c r="G519" t="s">
        <v>17517</v>
      </c>
      <c r="H519" t="s">
        <v>20227</v>
      </c>
      <c r="I519" t="s">
        <v>1358</v>
      </c>
      <c r="J519" t="s">
        <v>1358</v>
      </c>
      <c r="K519" t="s">
        <v>1358</v>
      </c>
      <c r="L519" t="s">
        <v>1358</v>
      </c>
    </row>
    <row r="520" spans="6:12">
      <c r="F520" t="s">
        <v>14674</v>
      </c>
      <c r="G520" t="s">
        <v>17518</v>
      </c>
      <c r="H520" t="s">
        <v>20227</v>
      </c>
      <c r="I520" t="s">
        <v>1358</v>
      </c>
      <c r="J520" t="s">
        <v>1358</v>
      </c>
      <c r="K520" t="s">
        <v>1358</v>
      </c>
      <c r="L520" t="s">
        <v>1358</v>
      </c>
    </row>
    <row r="521" spans="6:12">
      <c r="F521" t="s">
        <v>14675</v>
      </c>
      <c r="G521" t="s">
        <v>17519</v>
      </c>
      <c r="H521" t="s">
        <v>20227</v>
      </c>
      <c r="I521" t="s">
        <v>1358</v>
      </c>
      <c r="J521" t="s">
        <v>1358</v>
      </c>
      <c r="K521" t="s">
        <v>1358</v>
      </c>
      <c r="L521" t="s">
        <v>1358</v>
      </c>
    </row>
    <row r="522" spans="6:12">
      <c r="F522" t="s">
        <v>14676</v>
      </c>
      <c r="G522" t="s">
        <v>17520</v>
      </c>
      <c r="H522" t="s">
        <v>20227</v>
      </c>
      <c r="I522" t="s">
        <v>1358</v>
      </c>
      <c r="J522" t="s">
        <v>1358</v>
      </c>
      <c r="K522" t="s">
        <v>1358</v>
      </c>
      <c r="L522" t="s">
        <v>1358</v>
      </c>
    </row>
    <row r="523" spans="6:12">
      <c r="F523" t="s">
        <v>14677</v>
      </c>
      <c r="G523" t="s">
        <v>17521</v>
      </c>
      <c r="H523" t="s">
        <v>20233</v>
      </c>
      <c r="I523" t="s">
        <v>1358</v>
      </c>
      <c r="J523" t="s">
        <v>1358</v>
      </c>
      <c r="K523" t="s">
        <v>1358</v>
      </c>
      <c r="L523" t="s">
        <v>1358</v>
      </c>
    </row>
    <row r="524" spans="6:12">
      <c r="F524" t="s">
        <v>14678</v>
      </c>
      <c r="G524" t="s">
        <v>17522</v>
      </c>
      <c r="H524" t="s">
        <v>20227</v>
      </c>
      <c r="I524" t="s">
        <v>1358</v>
      </c>
      <c r="J524" t="s">
        <v>1358</v>
      </c>
      <c r="K524" t="s">
        <v>1358</v>
      </c>
      <c r="L524" t="s">
        <v>1358</v>
      </c>
    </row>
    <row r="525" spans="6:12">
      <c r="F525" t="s">
        <v>14679</v>
      </c>
      <c r="G525" t="s">
        <v>17523</v>
      </c>
      <c r="H525" t="s">
        <v>20227</v>
      </c>
      <c r="I525" t="s">
        <v>1358</v>
      </c>
      <c r="J525" t="s">
        <v>1358</v>
      </c>
      <c r="K525" t="s">
        <v>1358</v>
      </c>
      <c r="L525" t="s">
        <v>1358</v>
      </c>
    </row>
    <row r="526" spans="6:12">
      <c r="F526" t="s">
        <v>14680</v>
      </c>
      <c r="G526" t="s">
        <v>17524</v>
      </c>
      <c r="H526" t="s">
        <v>20227</v>
      </c>
      <c r="I526" t="s">
        <v>1358</v>
      </c>
      <c r="J526" t="s">
        <v>1358</v>
      </c>
      <c r="K526" t="s">
        <v>1358</v>
      </c>
      <c r="L526" t="s">
        <v>1358</v>
      </c>
    </row>
    <row r="527" spans="6:12">
      <c r="F527" t="s">
        <v>14681</v>
      </c>
      <c r="G527" t="s">
        <v>17525</v>
      </c>
      <c r="H527" t="s">
        <v>20227</v>
      </c>
      <c r="I527" t="s">
        <v>1358</v>
      </c>
      <c r="J527" t="s">
        <v>1358</v>
      </c>
      <c r="K527" t="s">
        <v>1358</v>
      </c>
      <c r="L527" t="s">
        <v>1358</v>
      </c>
    </row>
    <row r="528" spans="6:12">
      <c r="F528" t="s">
        <v>14682</v>
      </c>
      <c r="G528" t="s">
        <v>17526</v>
      </c>
      <c r="H528" t="s">
        <v>20229</v>
      </c>
      <c r="I528" t="s">
        <v>1358</v>
      </c>
      <c r="J528" t="s">
        <v>1358</v>
      </c>
      <c r="K528" t="s">
        <v>1358</v>
      </c>
      <c r="L528" t="s">
        <v>1358</v>
      </c>
    </row>
    <row r="529" spans="6:12">
      <c r="F529" t="s">
        <v>14683</v>
      </c>
      <c r="G529" t="s">
        <v>17527</v>
      </c>
      <c r="H529" t="s">
        <v>20229</v>
      </c>
      <c r="I529" t="s">
        <v>1358</v>
      </c>
      <c r="J529" t="s">
        <v>1358</v>
      </c>
      <c r="K529" t="s">
        <v>1358</v>
      </c>
      <c r="L529" t="s">
        <v>1358</v>
      </c>
    </row>
    <row r="530" spans="6:12">
      <c r="F530" t="s">
        <v>14684</v>
      </c>
      <c r="G530" t="s">
        <v>17528</v>
      </c>
      <c r="H530" t="s">
        <v>20229</v>
      </c>
      <c r="I530" t="s">
        <v>1358</v>
      </c>
      <c r="J530" t="s">
        <v>1358</v>
      </c>
      <c r="K530" t="s">
        <v>1358</v>
      </c>
      <c r="L530" t="s">
        <v>1358</v>
      </c>
    </row>
    <row r="531" spans="6:12">
      <c r="F531" t="s">
        <v>14685</v>
      </c>
      <c r="G531" t="s">
        <v>17529</v>
      </c>
      <c r="H531" t="s">
        <v>20229</v>
      </c>
      <c r="I531" t="s">
        <v>1358</v>
      </c>
      <c r="J531" t="s">
        <v>1358</v>
      </c>
      <c r="K531" t="s">
        <v>1358</v>
      </c>
      <c r="L531" t="s">
        <v>1358</v>
      </c>
    </row>
    <row r="532" spans="6:12">
      <c r="F532" t="s">
        <v>14686</v>
      </c>
      <c r="G532" t="s">
        <v>17530</v>
      </c>
      <c r="H532" t="s">
        <v>20229</v>
      </c>
      <c r="I532" t="s">
        <v>1358</v>
      </c>
      <c r="J532" t="s">
        <v>1358</v>
      </c>
      <c r="K532" t="s">
        <v>1358</v>
      </c>
      <c r="L532" t="s">
        <v>1358</v>
      </c>
    </row>
    <row r="533" spans="6:12">
      <c r="F533" t="s">
        <v>14687</v>
      </c>
      <c r="G533" t="s">
        <v>17531</v>
      </c>
      <c r="H533" t="s">
        <v>20229</v>
      </c>
      <c r="I533" t="s">
        <v>1358</v>
      </c>
      <c r="J533" t="s">
        <v>1358</v>
      </c>
      <c r="K533" t="s">
        <v>1358</v>
      </c>
      <c r="L533" t="s">
        <v>1358</v>
      </c>
    </row>
    <row r="534" spans="6:12">
      <c r="F534" t="s">
        <v>14688</v>
      </c>
      <c r="G534" t="s">
        <v>17532</v>
      </c>
      <c r="H534" t="s">
        <v>20230</v>
      </c>
      <c r="I534" t="s">
        <v>1358</v>
      </c>
      <c r="J534" t="s">
        <v>1358</v>
      </c>
      <c r="K534" t="s">
        <v>1358</v>
      </c>
      <c r="L534" t="s">
        <v>1358</v>
      </c>
    </row>
    <row r="535" spans="6:12">
      <c r="F535" t="s">
        <v>14689</v>
      </c>
      <c r="G535" t="s">
        <v>17533</v>
      </c>
      <c r="H535" t="s">
        <v>20230</v>
      </c>
      <c r="I535" t="s">
        <v>1358</v>
      </c>
      <c r="J535" t="s">
        <v>1358</v>
      </c>
      <c r="K535" t="s">
        <v>1358</v>
      </c>
      <c r="L535" t="s">
        <v>1358</v>
      </c>
    </row>
    <row r="536" spans="6:12">
      <c r="F536" t="s">
        <v>14690</v>
      </c>
      <c r="G536" t="s">
        <v>17534</v>
      </c>
      <c r="H536" t="s">
        <v>20232</v>
      </c>
      <c r="I536" t="s">
        <v>1358</v>
      </c>
      <c r="J536" t="s">
        <v>1358</v>
      </c>
      <c r="K536" t="s">
        <v>1358</v>
      </c>
      <c r="L536" t="s">
        <v>1358</v>
      </c>
    </row>
    <row r="537" spans="6:12">
      <c r="F537" t="s">
        <v>14691</v>
      </c>
      <c r="G537" t="s">
        <v>17535</v>
      </c>
      <c r="H537" t="s">
        <v>20232</v>
      </c>
      <c r="I537" t="s">
        <v>1358</v>
      </c>
      <c r="J537" t="s">
        <v>1358</v>
      </c>
      <c r="K537" t="s">
        <v>1358</v>
      </c>
      <c r="L537" t="s">
        <v>1358</v>
      </c>
    </row>
    <row r="538" spans="6:12">
      <c r="F538" t="s">
        <v>14692</v>
      </c>
      <c r="G538" t="s">
        <v>17536</v>
      </c>
      <c r="H538" t="s">
        <v>20232</v>
      </c>
      <c r="I538" t="s">
        <v>1358</v>
      </c>
      <c r="J538" t="s">
        <v>1358</v>
      </c>
      <c r="K538" t="s">
        <v>1358</v>
      </c>
      <c r="L538" t="s">
        <v>1358</v>
      </c>
    </row>
    <row r="539" spans="6:12">
      <c r="F539" t="s">
        <v>14693</v>
      </c>
      <c r="G539" t="s">
        <v>17537</v>
      </c>
      <c r="H539" t="s">
        <v>20232</v>
      </c>
      <c r="I539" t="s">
        <v>1358</v>
      </c>
      <c r="J539" t="s">
        <v>1358</v>
      </c>
      <c r="K539" t="s">
        <v>1358</v>
      </c>
      <c r="L539" t="s">
        <v>1358</v>
      </c>
    </row>
    <row r="540" spans="6:12">
      <c r="F540" t="s">
        <v>14694</v>
      </c>
      <c r="G540" t="s">
        <v>17538</v>
      </c>
      <c r="H540" t="s">
        <v>20232</v>
      </c>
      <c r="I540" t="s">
        <v>1358</v>
      </c>
      <c r="J540" t="s">
        <v>1358</v>
      </c>
      <c r="K540" t="s">
        <v>1358</v>
      </c>
      <c r="L540" t="s">
        <v>1358</v>
      </c>
    </row>
    <row r="541" spans="6:12">
      <c r="F541" t="s">
        <v>14695</v>
      </c>
      <c r="G541" t="s">
        <v>17539</v>
      </c>
      <c r="H541" t="s">
        <v>20232</v>
      </c>
      <c r="I541" t="s">
        <v>1358</v>
      </c>
      <c r="J541" t="s">
        <v>1358</v>
      </c>
      <c r="K541" t="s">
        <v>1358</v>
      </c>
      <c r="L541" t="s">
        <v>1358</v>
      </c>
    </row>
    <row r="542" spans="6:12">
      <c r="F542" t="s">
        <v>14696</v>
      </c>
      <c r="G542" t="s">
        <v>17540</v>
      </c>
      <c r="H542" t="s">
        <v>20232</v>
      </c>
      <c r="I542" t="s">
        <v>1358</v>
      </c>
      <c r="J542" t="s">
        <v>1358</v>
      </c>
      <c r="K542" t="s">
        <v>1358</v>
      </c>
      <c r="L542" t="s">
        <v>1358</v>
      </c>
    </row>
    <row r="543" spans="6:12">
      <c r="F543" t="s">
        <v>14697</v>
      </c>
      <c r="G543" t="s">
        <v>17541</v>
      </c>
      <c r="H543" t="s">
        <v>20232</v>
      </c>
      <c r="I543" t="s">
        <v>1358</v>
      </c>
      <c r="J543" t="s">
        <v>1358</v>
      </c>
      <c r="K543" t="s">
        <v>1358</v>
      </c>
      <c r="L543" t="s">
        <v>1358</v>
      </c>
    </row>
    <row r="544" spans="6:12">
      <c r="F544" t="s">
        <v>14698</v>
      </c>
      <c r="G544" t="s">
        <v>17542</v>
      </c>
      <c r="H544" t="s">
        <v>20232</v>
      </c>
      <c r="I544" t="s">
        <v>1358</v>
      </c>
      <c r="J544" t="s">
        <v>1358</v>
      </c>
      <c r="K544" t="s">
        <v>1358</v>
      </c>
      <c r="L544" t="s">
        <v>1358</v>
      </c>
    </row>
    <row r="545" spans="6:12">
      <c r="F545" t="s">
        <v>14699</v>
      </c>
      <c r="G545" t="s">
        <v>17543</v>
      </c>
      <c r="H545" t="s">
        <v>20232</v>
      </c>
      <c r="I545" t="s">
        <v>1358</v>
      </c>
      <c r="J545" t="s">
        <v>1358</v>
      </c>
      <c r="K545" t="s">
        <v>1358</v>
      </c>
      <c r="L545" t="s">
        <v>1358</v>
      </c>
    </row>
    <row r="546" spans="6:12">
      <c r="F546" t="s">
        <v>14700</v>
      </c>
      <c r="G546" t="s">
        <v>17544</v>
      </c>
      <c r="H546" t="s">
        <v>20233</v>
      </c>
      <c r="I546" t="s">
        <v>1358</v>
      </c>
      <c r="J546" t="s">
        <v>1358</v>
      </c>
      <c r="K546" t="s">
        <v>1358</v>
      </c>
      <c r="L546" t="s">
        <v>1358</v>
      </c>
    </row>
    <row r="547" spans="6:12">
      <c r="F547" t="s">
        <v>14701</v>
      </c>
      <c r="G547" t="s">
        <v>17545</v>
      </c>
      <c r="H547" t="s">
        <v>20232</v>
      </c>
      <c r="I547" t="s">
        <v>1358</v>
      </c>
      <c r="J547" t="s">
        <v>1358</v>
      </c>
      <c r="K547" t="s">
        <v>1358</v>
      </c>
      <c r="L547" t="s">
        <v>1358</v>
      </c>
    </row>
    <row r="548" spans="6:12">
      <c r="F548" t="s">
        <v>14702</v>
      </c>
      <c r="G548" t="s">
        <v>17546</v>
      </c>
      <c r="H548" t="s">
        <v>20227</v>
      </c>
      <c r="I548" t="s">
        <v>1358</v>
      </c>
      <c r="J548" t="s">
        <v>1358</v>
      </c>
      <c r="K548" t="s">
        <v>1358</v>
      </c>
      <c r="L548" t="s">
        <v>1358</v>
      </c>
    </row>
    <row r="549" spans="6:12">
      <c r="F549" t="s">
        <v>14703</v>
      </c>
      <c r="G549" t="s">
        <v>17547</v>
      </c>
      <c r="H549" t="s">
        <v>20227</v>
      </c>
      <c r="I549" t="s">
        <v>1358</v>
      </c>
      <c r="J549" t="s">
        <v>1358</v>
      </c>
      <c r="K549" t="s">
        <v>1358</v>
      </c>
      <c r="L549" t="s">
        <v>1358</v>
      </c>
    </row>
    <row r="550" spans="6:12">
      <c r="F550" t="s">
        <v>14704</v>
      </c>
      <c r="G550" t="s">
        <v>17548</v>
      </c>
      <c r="H550" t="s">
        <v>20227</v>
      </c>
      <c r="I550" t="s">
        <v>1358</v>
      </c>
      <c r="J550" t="s">
        <v>1358</v>
      </c>
      <c r="K550" t="s">
        <v>1358</v>
      </c>
      <c r="L550" t="s">
        <v>1358</v>
      </c>
    </row>
    <row r="551" spans="6:12">
      <c r="F551" t="s">
        <v>14705</v>
      </c>
      <c r="G551" t="s">
        <v>17549</v>
      </c>
      <c r="H551" t="s">
        <v>20227</v>
      </c>
      <c r="I551" t="s">
        <v>1358</v>
      </c>
      <c r="J551" t="s">
        <v>1358</v>
      </c>
      <c r="K551" t="s">
        <v>1358</v>
      </c>
      <c r="L551" t="s">
        <v>1358</v>
      </c>
    </row>
    <row r="552" spans="6:12">
      <c r="F552" t="s">
        <v>14706</v>
      </c>
      <c r="G552" t="s">
        <v>17550</v>
      </c>
      <c r="H552" t="s">
        <v>20228</v>
      </c>
      <c r="I552" t="s">
        <v>1358</v>
      </c>
      <c r="J552" t="s">
        <v>1358</v>
      </c>
      <c r="K552" t="s">
        <v>1358</v>
      </c>
      <c r="L552" t="s">
        <v>1358</v>
      </c>
    </row>
    <row r="553" spans="6:12">
      <c r="F553" t="s">
        <v>14707</v>
      </c>
      <c r="G553" t="s">
        <v>17551</v>
      </c>
      <c r="H553" t="s">
        <v>20228</v>
      </c>
      <c r="I553" t="s">
        <v>1358</v>
      </c>
      <c r="J553" t="s">
        <v>1358</v>
      </c>
      <c r="K553" t="s">
        <v>1358</v>
      </c>
      <c r="L553" t="s">
        <v>1358</v>
      </c>
    </row>
    <row r="554" spans="6:12">
      <c r="F554" t="s">
        <v>14708</v>
      </c>
      <c r="G554" t="s">
        <v>17552</v>
      </c>
      <c r="H554" t="s">
        <v>20227</v>
      </c>
      <c r="I554" t="s">
        <v>1358</v>
      </c>
      <c r="J554" t="s">
        <v>1358</v>
      </c>
      <c r="K554" t="s">
        <v>1358</v>
      </c>
      <c r="L554" t="s">
        <v>1358</v>
      </c>
    </row>
    <row r="555" spans="6:12">
      <c r="F555" t="s">
        <v>14709</v>
      </c>
      <c r="G555" t="s">
        <v>17553</v>
      </c>
      <c r="H555" t="s">
        <v>20227</v>
      </c>
      <c r="I555" t="s">
        <v>1358</v>
      </c>
      <c r="J555" t="s">
        <v>1358</v>
      </c>
      <c r="K555" t="s">
        <v>1358</v>
      </c>
      <c r="L555" t="s">
        <v>1358</v>
      </c>
    </row>
    <row r="556" spans="6:12">
      <c r="F556" t="s">
        <v>14710</v>
      </c>
      <c r="G556" t="s">
        <v>17554</v>
      </c>
      <c r="H556" t="s">
        <v>20232</v>
      </c>
      <c r="I556" t="s">
        <v>1358</v>
      </c>
      <c r="J556" t="s">
        <v>1358</v>
      </c>
      <c r="K556" t="s">
        <v>1358</v>
      </c>
      <c r="L556" t="s">
        <v>1358</v>
      </c>
    </row>
    <row r="557" spans="6:12">
      <c r="F557" t="s">
        <v>14711</v>
      </c>
      <c r="G557" t="s">
        <v>17555</v>
      </c>
      <c r="H557" t="s">
        <v>20232</v>
      </c>
      <c r="I557" t="s">
        <v>1358</v>
      </c>
      <c r="J557" t="s">
        <v>1358</v>
      </c>
      <c r="K557" t="s">
        <v>1358</v>
      </c>
      <c r="L557" t="s">
        <v>1358</v>
      </c>
    </row>
    <row r="558" spans="6:12">
      <c r="F558" t="s">
        <v>14712</v>
      </c>
      <c r="G558" t="s">
        <v>17556</v>
      </c>
      <c r="H558" t="s">
        <v>20232</v>
      </c>
      <c r="I558" t="s">
        <v>1358</v>
      </c>
      <c r="J558" t="s">
        <v>1358</v>
      </c>
      <c r="K558" t="s">
        <v>1358</v>
      </c>
      <c r="L558" t="s">
        <v>1358</v>
      </c>
    </row>
    <row r="559" spans="6:12">
      <c r="F559" t="s">
        <v>14713</v>
      </c>
      <c r="G559" t="s">
        <v>17557</v>
      </c>
      <c r="H559" t="s">
        <v>20229</v>
      </c>
      <c r="I559" t="s">
        <v>1358</v>
      </c>
      <c r="J559" t="s">
        <v>1358</v>
      </c>
      <c r="K559" t="s">
        <v>1358</v>
      </c>
      <c r="L559" t="s">
        <v>1358</v>
      </c>
    </row>
    <row r="560" spans="6:12">
      <c r="F560" t="s">
        <v>14714</v>
      </c>
      <c r="G560" t="s">
        <v>17558</v>
      </c>
      <c r="H560" t="s">
        <v>20229</v>
      </c>
      <c r="I560" t="s">
        <v>1358</v>
      </c>
      <c r="J560" t="s">
        <v>1358</v>
      </c>
      <c r="K560" t="s">
        <v>1358</v>
      </c>
      <c r="L560" t="s">
        <v>1358</v>
      </c>
    </row>
    <row r="561" spans="1:12">
      <c r="F561" t="s">
        <v>14715</v>
      </c>
      <c r="G561" t="s">
        <v>17559</v>
      </c>
      <c r="H561" t="s">
        <v>20227</v>
      </c>
      <c r="I561" t="s">
        <v>1358</v>
      </c>
      <c r="J561" t="s">
        <v>1358</v>
      </c>
      <c r="K561" t="s">
        <v>1358</v>
      </c>
      <c r="L561" t="s">
        <v>1358</v>
      </c>
    </row>
    <row r="562" spans="1:12">
      <c r="F562" t="s">
        <v>14716</v>
      </c>
      <c r="G562" t="s">
        <v>17560</v>
      </c>
      <c r="H562" t="s">
        <v>20227</v>
      </c>
      <c r="I562" t="s">
        <v>1358</v>
      </c>
      <c r="J562" t="s">
        <v>1358</v>
      </c>
      <c r="K562" t="s">
        <v>1358</v>
      </c>
      <c r="L562" t="s">
        <v>1358</v>
      </c>
    </row>
    <row r="563" spans="1:12">
      <c r="F563" t="s">
        <v>14717</v>
      </c>
      <c r="G563" t="s">
        <v>17561</v>
      </c>
      <c r="H563" t="s">
        <v>20230</v>
      </c>
      <c r="I563" t="s">
        <v>1358</v>
      </c>
      <c r="J563" t="s">
        <v>1358</v>
      </c>
      <c r="K563" t="s">
        <v>1358</v>
      </c>
      <c r="L563" t="s">
        <v>1358</v>
      </c>
    </row>
    <row r="564" spans="1:12">
      <c r="F564" t="s">
        <v>14718</v>
      </c>
      <c r="G564" t="s">
        <v>17562</v>
      </c>
      <c r="H564" t="s">
        <v>20230</v>
      </c>
      <c r="I564" t="s">
        <v>1358</v>
      </c>
      <c r="J564" t="s">
        <v>1358</v>
      </c>
      <c r="K564" t="s">
        <v>1358</v>
      </c>
      <c r="L564" t="s">
        <v>1358</v>
      </c>
    </row>
    <row r="565" spans="1:12">
      <c r="F565" t="s">
        <v>14719</v>
      </c>
      <c r="G565" t="s">
        <v>17563</v>
      </c>
      <c r="H565" t="s">
        <v>20227</v>
      </c>
      <c r="I565" t="s">
        <v>1358</v>
      </c>
      <c r="J565" t="s">
        <v>1358</v>
      </c>
      <c r="K565" t="s">
        <v>1358</v>
      </c>
      <c r="L565" t="s">
        <v>1358</v>
      </c>
    </row>
    <row r="566" spans="1:12">
      <c r="F566" t="s">
        <v>14720</v>
      </c>
      <c r="G566" t="s">
        <v>17564</v>
      </c>
      <c r="H566" t="s">
        <v>20227</v>
      </c>
      <c r="I566" t="s">
        <v>1358</v>
      </c>
      <c r="J566" t="s">
        <v>1358</v>
      </c>
      <c r="K566" t="s">
        <v>1358</v>
      </c>
      <c r="L566" t="s">
        <v>1358</v>
      </c>
    </row>
    <row r="567" spans="1:12">
      <c r="A567" t="s">
        <v>10106</v>
      </c>
      <c r="B567">
        <f>HYPERLINK("https://android.googlesource.com/platform/cts/+/56f494ed9757c19bf9db6c608d66f9202b63a4ac", "56f494ed9757c19bf9db6c608d66f9202b63a4ac")</f>
        <v>0</v>
      </c>
      <c r="C567">
        <f>HYPERLINK("https://android.googlesource.com/platform/cts/+/4fda9ca3a281ea399282a3fb080c77dbdbb723bd", "4fda9ca3a281ea399282a3fb080c77dbdbb723bd")</f>
        <v>0</v>
      </c>
      <c r="D567" t="s">
        <v>12001</v>
      </c>
      <c r="E567" t="s">
        <v>12675</v>
      </c>
      <c r="F567" t="s">
        <v>14634</v>
      </c>
      <c r="G567" t="s">
        <v>17478</v>
      </c>
      <c r="H567" t="s">
        <v>20234</v>
      </c>
      <c r="I567" t="s">
        <v>1357</v>
      </c>
      <c r="J567" t="s">
        <v>1357</v>
      </c>
      <c r="K567" t="s">
        <v>1357</v>
      </c>
      <c r="L567" t="s">
        <v>1357</v>
      </c>
    </row>
    <row r="568" spans="1:12">
      <c r="H568" t="s">
        <v>20235</v>
      </c>
      <c r="I568" t="s">
        <v>1357</v>
      </c>
      <c r="J568" t="s">
        <v>1357</v>
      </c>
      <c r="K568" t="s">
        <v>1357</v>
      </c>
      <c r="L568" t="s">
        <v>1357</v>
      </c>
    </row>
    <row r="569" spans="1:12">
      <c r="A569" t="s">
        <v>10107</v>
      </c>
      <c r="B569">
        <f>HYPERLINK("https://android.googlesource.com/platform/cts/+/40fbbf16e3e741950e337bcb3435de670dbe502d", "40fbbf16e3e741950e337bcb3435de670dbe502d")</f>
        <v>0</v>
      </c>
      <c r="C569">
        <f>HYPERLINK("https://android.googlesource.com/platform/cts/+/4081e7b9b8e3a522e1f5e99b7622b3afa3df083f", "4081e7b9b8e3a522e1f5e99b7622b3afa3df083f")</f>
        <v>0</v>
      </c>
      <c r="D569" t="s">
        <v>12002</v>
      </c>
      <c r="E569" t="s">
        <v>12676</v>
      </c>
      <c r="F569" t="s">
        <v>14509</v>
      </c>
      <c r="G569" t="s">
        <v>17354</v>
      </c>
      <c r="H569" t="s">
        <v>20236</v>
      </c>
      <c r="I569" t="s">
        <v>1357</v>
      </c>
      <c r="J569" t="s">
        <v>1357</v>
      </c>
      <c r="K569" t="s">
        <v>1357</v>
      </c>
      <c r="L569" t="s">
        <v>1357</v>
      </c>
    </row>
    <row r="570" spans="1:12">
      <c r="H570" t="s">
        <v>20237</v>
      </c>
      <c r="I570" t="s">
        <v>1357</v>
      </c>
      <c r="J570" t="s">
        <v>1357</v>
      </c>
      <c r="K570" t="s">
        <v>1357</v>
      </c>
      <c r="L570" t="s">
        <v>1357</v>
      </c>
    </row>
    <row r="571" spans="1:12">
      <c r="A571" t="s">
        <v>10108</v>
      </c>
      <c r="B571">
        <f>HYPERLINK("https://android.googlesource.com/platform/cts/+/cf4b7436f9264b918abd49415de1c4eceb298bb3", "cf4b7436f9264b918abd49415de1c4eceb298bb3")</f>
        <v>0</v>
      </c>
      <c r="C571">
        <f>HYPERLINK("https://android.googlesource.com/platform/cts/+/5f5688987fe6049a7ac116fa588bbe8cd00c7858", "5f5688987fe6049a7ac116fa588bbe8cd00c7858")</f>
        <v>0</v>
      </c>
      <c r="D571" t="s">
        <v>11982</v>
      </c>
      <c r="E571" t="s">
        <v>12677</v>
      </c>
      <c r="F571" t="s">
        <v>14721</v>
      </c>
      <c r="G571" t="s">
        <v>17565</v>
      </c>
      <c r="H571" t="s">
        <v>20238</v>
      </c>
      <c r="I571" t="s">
        <v>1357</v>
      </c>
      <c r="J571" t="s">
        <v>1357</v>
      </c>
      <c r="K571" t="s">
        <v>1357</v>
      </c>
      <c r="L571" t="s">
        <v>1357</v>
      </c>
    </row>
    <row r="572" spans="1:12">
      <c r="A572" t="s">
        <v>10109</v>
      </c>
      <c r="B572">
        <f>HYPERLINK("https://android.googlesource.com/platform/cts/+/fcfd502de1270c2d5565b386799240d9b68c2df5", "fcfd502de1270c2d5565b386799240d9b68c2df5")</f>
        <v>0</v>
      </c>
      <c r="C572">
        <f>HYPERLINK("https://android.googlesource.com/platform/cts/+/2c483d9492ac6014faea10f14b2f2743c081b75d", "2c483d9492ac6014faea10f14b2f2743c081b75d")</f>
        <v>0</v>
      </c>
      <c r="D572" t="s">
        <v>12002</v>
      </c>
      <c r="E572" t="s">
        <v>12678</v>
      </c>
      <c r="F572" t="s">
        <v>14722</v>
      </c>
      <c r="G572" t="s">
        <v>17566</v>
      </c>
      <c r="H572" t="s">
        <v>20239</v>
      </c>
      <c r="I572" t="s">
        <v>1357</v>
      </c>
      <c r="J572" t="s">
        <v>1357</v>
      </c>
      <c r="K572" t="s">
        <v>1357</v>
      </c>
      <c r="L572" t="s">
        <v>1357</v>
      </c>
    </row>
    <row r="573" spans="1:12">
      <c r="A573" t="s">
        <v>10110</v>
      </c>
      <c r="B573">
        <f>HYPERLINK("https://android.googlesource.com/platform/cts/+/18dae332020a4123392230cac2ea609d4a895a01", "18dae332020a4123392230cac2ea609d4a895a01")</f>
        <v>0</v>
      </c>
      <c r="C573">
        <f>HYPERLINK("https://android.googlesource.com/platform/cts/+/33a1e5c6c64d246d27f4a8166586c7b846ad6784", "33a1e5c6c64d246d27f4a8166586c7b846ad6784")</f>
        <v>0</v>
      </c>
      <c r="D573" t="s">
        <v>11982</v>
      </c>
      <c r="E573" t="s">
        <v>12679</v>
      </c>
      <c r="F573" t="s">
        <v>14723</v>
      </c>
      <c r="G573" t="s">
        <v>17567</v>
      </c>
      <c r="H573" t="s">
        <v>20240</v>
      </c>
      <c r="I573" t="s">
        <v>1357</v>
      </c>
      <c r="J573" t="s">
        <v>1357</v>
      </c>
      <c r="K573" t="s">
        <v>1357</v>
      </c>
      <c r="L573" t="s">
        <v>1357</v>
      </c>
    </row>
    <row r="574" spans="1:12">
      <c r="A574" t="s">
        <v>10111</v>
      </c>
      <c r="B574">
        <f>HYPERLINK("https://android.googlesource.com/platform/cts/+/358dc567fdf3b1d623659980f83c8085b702dc13", "358dc567fdf3b1d623659980f83c8085b702dc13")</f>
        <v>0</v>
      </c>
      <c r="C574">
        <f>HYPERLINK("https://android.googlesource.com/platform/cts/+/64011e7a0c6eb6945db3730652db792978ebfda0", "64011e7a0c6eb6945db3730652db792978ebfda0")</f>
        <v>0</v>
      </c>
      <c r="D574" t="s">
        <v>11977</v>
      </c>
      <c r="E574" t="s">
        <v>12680</v>
      </c>
      <c r="F574" t="s">
        <v>14559</v>
      </c>
      <c r="G574" t="s">
        <v>17403</v>
      </c>
      <c r="H574" t="s">
        <v>20241</v>
      </c>
      <c r="I574" t="s">
        <v>1357</v>
      </c>
      <c r="J574" t="s">
        <v>1357</v>
      </c>
      <c r="K574" t="s">
        <v>1357</v>
      </c>
      <c r="L574" t="s">
        <v>1357</v>
      </c>
    </row>
    <row r="575" spans="1:12">
      <c r="H575" t="s">
        <v>20242</v>
      </c>
      <c r="I575" t="s">
        <v>1357</v>
      </c>
      <c r="J575" t="s">
        <v>1357</v>
      </c>
      <c r="K575" t="s">
        <v>1357</v>
      </c>
      <c r="L575" t="s">
        <v>1357</v>
      </c>
    </row>
    <row r="576" spans="1:12">
      <c r="A576" t="s">
        <v>10112</v>
      </c>
      <c r="B576">
        <f>HYPERLINK("https://android.googlesource.com/platform/cts/+/0953b3b17e715550651689f5256aaa60663812dc", "0953b3b17e715550651689f5256aaa60663812dc")</f>
        <v>0</v>
      </c>
      <c r="C576">
        <f>HYPERLINK("https://android.googlesource.com/platform/cts/+/8e88654143c3c8dacea2676d7cf8398b024aa136", "8e88654143c3c8dacea2676d7cf8398b024aa136")</f>
        <v>0</v>
      </c>
      <c r="D576" t="s">
        <v>11977</v>
      </c>
      <c r="E576" t="s">
        <v>12681</v>
      </c>
      <c r="F576" t="s">
        <v>14559</v>
      </c>
      <c r="G576" t="s">
        <v>17403</v>
      </c>
      <c r="H576" t="s">
        <v>20241</v>
      </c>
      <c r="I576" t="s">
        <v>1357</v>
      </c>
      <c r="J576" t="s">
        <v>1357</v>
      </c>
      <c r="K576" t="s">
        <v>1357</v>
      </c>
      <c r="L576" t="s">
        <v>1357</v>
      </c>
    </row>
    <row r="577" spans="1:12">
      <c r="H577" t="s">
        <v>20242</v>
      </c>
      <c r="I577" t="s">
        <v>1357</v>
      </c>
      <c r="J577" t="s">
        <v>1357</v>
      </c>
      <c r="K577" t="s">
        <v>1357</v>
      </c>
      <c r="L577" t="s">
        <v>1357</v>
      </c>
    </row>
    <row r="578" spans="1:12">
      <c r="A578" t="s">
        <v>10113</v>
      </c>
      <c r="B578">
        <f>HYPERLINK("https://android.googlesource.com/platform/cts/+/e7cc8fd94d5bc32f5f70aa71aa8792376fd90b1f", "e7cc8fd94d5bc32f5f70aa71aa8792376fd90b1f")</f>
        <v>0</v>
      </c>
      <c r="C578">
        <f>HYPERLINK("https://android.googlesource.com/platform/cts/+/3e5a7ea50aa94819ca8defb2b6e7b4b78d94af2b", "3e5a7ea50aa94819ca8defb2b6e7b4b78d94af2b")</f>
        <v>0</v>
      </c>
      <c r="D578" t="s">
        <v>11982</v>
      </c>
      <c r="E578" t="s">
        <v>12682</v>
      </c>
      <c r="F578" t="s">
        <v>14724</v>
      </c>
      <c r="G578" t="s">
        <v>17568</v>
      </c>
      <c r="H578" t="s">
        <v>20243</v>
      </c>
      <c r="I578" t="s">
        <v>1357</v>
      </c>
      <c r="J578" t="s">
        <v>1357</v>
      </c>
      <c r="K578" t="s">
        <v>1357</v>
      </c>
      <c r="L578" t="s">
        <v>1357</v>
      </c>
    </row>
    <row r="579" spans="1:12">
      <c r="H579" t="s">
        <v>20244</v>
      </c>
      <c r="I579" t="s">
        <v>1357</v>
      </c>
      <c r="J579" t="s">
        <v>1357</v>
      </c>
      <c r="K579" t="s">
        <v>1357</v>
      </c>
      <c r="L579" t="s">
        <v>1357</v>
      </c>
    </row>
    <row r="580" spans="1:12">
      <c r="H580" t="s">
        <v>20245</v>
      </c>
      <c r="I580" t="s">
        <v>1357</v>
      </c>
      <c r="J580" t="s">
        <v>1357</v>
      </c>
      <c r="K580" t="s">
        <v>1357</v>
      </c>
      <c r="L580" t="s">
        <v>1357</v>
      </c>
    </row>
    <row r="581" spans="1:12">
      <c r="H581" t="s">
        <v>20246</v>
      </c>
      <c r="I581" t="s">
        <v>1357</v>
      </c>
      <c r="J581" t="s">
        <v>1357</v>
      </c>
      <c r="K581" t="s">
        <v>1357</v>
      </c>
      <c r="L581" t="s">
        <v>1357</v>
      </c>
    </row>
    <row r="582" spans="1:12">
      <c r="H582" t="s">
        <v>20247</v>
      </c>
      <c r="I582" t="s">
        <v>1357</v>
      </c>
      <c r="J582" t="s">
        <v>1357</v>
      </c>
      <c r="K582" t="s">
        <v>1357</v>
      </c>
      <c r="L582" t="s">
        <v>1357</v>
      </c>
    </row>
    <row r="583" spans="1:12">
      <c r="H583" t="s">
        <v>20248</v>
      </c>
      <c r="I583" t="s">
        <v>1357</v>
      </c>
      <c r="J583" t="s">
        <v>1357</v>
      </c>
      <c r="K583" t="s">
        <v>1357</v>
      </c>
      <c r="L583" t="s">
        <v>1357</v>
      </c>
    </row>
    <row r="584" spans="1:12">
      <c r="H584" t="s">
        <v>20249</v>
      </c>
      <c r="I584" t="s">
        <v>1357</v>
      </c>
      <c r="J584" t="s">
        <v>1357</v>
      </c>
      <c r="K584" t="s">
        <v>1357</v>
      </c>
      <c r="L584" t="s">
        <v>1357</v>
      </c>
    </row>
    <row r="585" spans="1:12">
      <c r="H585" t="s">
        <v>20250</v>
      </c>
      <c r="I585" t="s">
        <v>1357</v>
      </c>
      <c r="J585" t="s">
        <v>1357</v>
      </c>
      <c r="K585" t="s">
        <v>1357</v>
      </c>
      <c r="L585" t="s">
        <v>1357</v>
      </c>
    </row>
    <row r="586" spans="1:12">
      <c r="H586" t="s">
        <v>20251</v>
      </c>
      <c r="I586" t="s">
        <v>1357</v>
      </c>
      <c r="J586" t="s">
        <v>1357</v>
      </c>
      <c r="K586" t="s">
        <v>1357</v>
      </c>
      <c r="L586" t="s">
        <v>1357</v>
      </c>
    </row>
    <row r="587" spans="1:12">
      <c r="H587" t="s">
        <v>20252</v>
      </c>
      <c r="I587" t="s">
        <v>1357</v>
      </c>
      <c r="J587" t="s">
        <v>1357</v>
      </c>
      <c r="K587" t="s">
        <v>1357</v>
      </c>
      <c r="L587" t="s">
        <v>1357</v>
      </c>
    </row>
    <row r="588" spans="1:12">
      <c r="H588" t="s">
        <v>20253</v>
      </c>
      <c r="I588" t="s">
        <v>1357</v>
      </c>
      <c r="J588" t="s">
        <v>1357</v>
      </c>
      <c r="K588" t="s">
        <v>1357</v>
      </c>
      <c r="L588" t="s">
        <v>1357</v>
      </c>
    </row>
    <row r="589" spans="1:12">
      <c r="H589" t="s">
        <v>20254</v>
      </c>
      <c r="I589" t="s">
        <v>1357</v>
      </c>
      <c r="J589" t="s">
        <v>1357</v>
      </c>
      <c r="K589" t="s">
        <v>1357</v>
      </c>
      <c r="L589" t="s">
        <v>1357</v>
      </c>
    </row>
    <row r="590" spans="1:12">
      <c r="H590" t="s">
        <v>20255</v>
      </c>
      <c r="I590" t="s">
        <v>1357</v>
      </c>
      <c r="J590" t="s">
        <v>1357</v>
      </c>
      <c r="K590" t="s">
        <v>1357</v>
      </c>
      <c r="L590" t="s">
        <v>1357</v>
      </c>
    </row>
    <row r="591" spans="1:12">
      <c r="H591" t="s">
        <v>20256</v>
      </c>
      <c r="I591" t="s">
        <v>1357</v>
      </c>
      <c r="J591" t="s">
        <v>1357</v>
      </c>
      <c r="K591" t="s">
        <v>1357</v>
      </c>
      <c r="L591" t="s">
        <v>1357</v>
      </c>
    </row>
    <row r="592" spans="1:12">
      <c r="F592" t="s">
        <v>14725</v>
      </c>
      <c r="G592" t="s">
        <v>17569</v>
      </c>
      <c r="H592" t="s">
        <v>20257</v>
      </c>
      <c r="I592" t="s">
        <v>1357</v>
      </c>
      <c r="J592" t="s">
        <v>1357</v>
      </c>
      <c r="K592" t="s">
        <v>1357</v>
      </c>
      <c r="L592" t="s">
        <v>1357</v>
      </c>
    </row>
    <row r="593" spans="6:12">
      <c r="H593" t="s">
        <v>20258</v>
      </c>
      <c r="I593" t="s">
        <v>1357</v>
      </c>
      <c r="J593" t="s">
        <v>1357</v>
      </c>
      <c r="K593" t="s">
        <v>1357</v>
      </c>
      <c r="L593" t="s">
        <v>1357</v>
      </c>
    </row>
    <row r="594" spans="6:12">
      <c r="H594" t="s">
        <v>20259</v>
      </c>
      <c r="I594" t="s">
        <v>1357</v>
      </c>
      <c r="J594" t="s">
        <v>1357</v>
      </c>
      <c r="K594" t="s">
        <v>1357</v>
      </c>
      <c r="L594" t="s">
        <v>1357</v>
      </c>
    </row>
    <row r="595" spans="6:12">
      <c r="F595" t="s">
        <v>14726</v>
      </c>
      <c r="G595" t="s">
        <v>17570</v>
      </c>
      <c r="H595" t="s">
        <v>20260</v>
      </c>
      <c r="I595" t="s">
        <v>1357</v>
      </c>
      <c r="J595" t="s">
        <v>1357</v>
      </c>
      <c r="K595" t="s">
        <v>1357</v>
      </c>
      <c r="L595" t="s">
        <v>1357</v>
      </c>
    </row>
    <row r="596" spans="6:12">
      <c r="H596" t="s">
        <v>20261</v>
      </c>
      <c r="I596" t="s">
        <v>1357</v>
      </c>
      <c r="J596" t="s">
        <v>1357</v>
      </c>
      <c r="K596" t="s">
        <v>1357</v>
      </c>
      <c r="L596" t="s">
        <v>1357</v>
      </c>
    </row>
    <row r="597" spans="6:12">
      <c r="H597" t="s">
        <v>20262</v>
      </c>
      <c r="I597" t="s">
        <v>1357</v>
      </c>
      <c r="J597" t="s">
        <v>1357</v>
      </c>
      <c r="K597" t="s">
        <v>1357</v>
      </c>
      <c r="L597" t="s">
        <v>1357</v>
      </c>
    </row>
    <row r="598" spans="6:12">
      <c r="H598" t="s">
        <v>20263</v>
      </c>
      <c r="I598" t="s">
        <v>1357</v>
      </c>
      <c r="J598" t="s">
        <v>1357</v>
      </c>
      <c r="K598" t="s">
        <v>1357</v>
      </c>
      <c r="L598" t="s">
        <v>1357</v>
      </c>
    </row>
    <row r="599" spans="6:12">
      <c r="H599" t="s">
        <v>20264</v>
      </c>
      <c r="I599" t="s">
        <v>1357</v>
      </c>
      <c r="J599" t="s">
        <v>1357</v>
      </c>
      <c r="K599" t="s">
        <v>1357</v>
      </c>
      <c r="L599" t="s">
        <v>1357</v>
      </c>
    </row>
    <row r="600" spans="6:12">
      <c r="H600" t="s">
        <v>20265</v>
      </c>
      <c r="I600" t="s">
        <v>1357</v>
      </c>
      <c r="J600" t="s">
        <v>1357</v>
      </c>
      <c r="K600" t="s">
        <v>1357</v>
      </c>
      <c r="L600" t="s">
        <v>1357</v>
      </c>
    </row>
    <row r="601" spans="6:12">
      <c r="H601" t="s">
        <v>20266</v>
      </c>
      <c r="I601" t="s">
        <v>1357</v>
      </c>
      <c r="J601" t="s">
        <v>1357</v>
      </c>
      <c r="K601" t="s">
        <v>1357</v>
      </c>
      <c r="L601" t="s">
        <v>1357</v>
      </c>
    </row>
    <row r="602" spans="6:12">
      <c r="H602" t="s">
        <v>20267</v>
      </c>
      <c r="I602" t="s">
        <v>1357</v>
      </c>
      <c r="J602" t="s">
        <v>1357</v>
      </c>
      <c r="K602" t="s">
        <v>1357</v>
      </c>
      <c r="L602" t="s">
        <v>1357</v>
      </c>
    </row>
    <row r="603" spans="6:12">
      <c r="H603" t="s">
        <v>20268</v>
      </c>
      <c r="I603" t="s">
        <v>1357</v>
      </c>
      <c r="J603" t="s">
        <v>1357</v>
      </c>
      <c r="K603" t="s">
        <v>1357</v>
      </c>
      <c r="L603" t="s">
        <v>1357</v>
      </c>
    </row>
    <row r="604" spans="6:12">
      <c r="H604" t="s">
        <v>20269</v>
      </c>
      <c r="I604" t="s">
        <v>1357</v>
      </c>
      <c r="J604" t="s">
        <v>1357</v>
      </c>
      <c r="K604" t="s">
        <v>1357</v>
      </c>
      <c r="L604" t="s">
        <v>1357</v>
      </c>
    </row>
    <row r="605" spans="6:12">
      <c r="H605" t="s">
        <v>20270</v>
      </c>
      <c r="I605" t="s">
        <v>1357</v>
      </c>
      <c r="J605" t="s">
        <v>1357</v>
      </c>
      <c r="K605" t="s">
        <v>1357</v>
      </c>
      <c r="L605" t="s">
        <v>1357</v>
      </c>
    </row>
    <row r="606" spans="6:12">
      <c r="H606" t="s">
        <v>20271</v>
      </c>
      <c r="I606" t="s">
        <v>1357</v>
      </c>
      <c r="J606" t="s">
        <v>1357</v>
      </c>
      <c r="K606" t="s">
        <v>1357</v>
      </c>
      <c r="L606" t="s">
        <v>1357</v>
      </c>
    </row>
    <row r="607" spans="6:12">
      <c r="H607" t="s">
        <v>20272</v>
      </c>
      <c r="I607" t="s">
        <v>1357</v>
      </c>
      <c r="J607" t="s">
        <v>1357</v>
      </c>
      <c r="K607" t="s">
        <v>1357</v>
      </c>
      <c r="L607" t="s">
        <v>1357</v>
      </c>
    </row>
    <row r="608" spans="6:12">
      <c r="H608" t="s">
        <v>20273</v>
      </c>
      <c r="I608" t="s">
        <v>1357</v>
      </c>
      <c r="J608" t="s">
        <v>1357</v>
      </c>
      <c r="K608" t="s">
        <v>1357</v>
      </c>
      <c r="L608" t="s">
        <v>1357</v>
      </c>
    </row>
    <row r="609" spans="1:12">
      <c r="H609" t="s">
        <v>20274</v>
      </c>
      <c r="I609" t="s">
        <v>1357</v>
      </c>
      <c r="J609" t="s">
        <v>1357</v>
      </c>
      <c r="K609" t="s">
        <v>1357</v>
      </c>
      <c r="L609" t="s">
        <v>1357</v>
      </c>
    </row>
    <row r="610" spans="1:12">
      <c r="H610" t="s">
        <v>3960</v>
      </c>
      <c r="I610" t="s">
        <v>1357</v>
      </c>
      <c r="J610" t="s">
        <v>1357</v>
      </c>
      <c r="K610" t="s">
        <v>1357</v>
      </c>
      <c r="L610" t="s">
        <v>1357</v>
      </c>
    </row>
    <row r="611" spans="1:12">
      <c r="H611" t="s">
        <v>20275</v>
      </c>
      <c r="I611" t="s">
        <v>1357</v>
      </c>
      <c r="J611" t="s">
        <v>1357</v>
      </c>
      <c r="K611" t="s">
        <v>1357</v>
      </c>
      <c r="L611" t="s">
        <v>1357</v>
      </c>
    </row>
    <row r="612" spans="1:12">
      <c r="H612" t="s">
        <v>20276</v>
      </c>
      <c r="I612" t="s">
        <v>1357</v>
      </c>
      <c r="J612" t="s">
        <v>1357</v>
      </c>
      <c r="K612" t="s">
        <v>1357</v>
      </c>
      <c r="L612" t="s">
        <v>1357</v>
      </c>
    </row>
    <row r="613" spans="1:12">
      <c r="H613" t="s">
        <v>20277</v>
      </c>
      <c r="I613" t="s">
        <v>1357</v>
      </c>
      <c r="J613" t="s">
        <v>1357</v>
      </c>
      <c r="K613" t="s">
        <v>1357</v>
      </c>
      <c r="L613" t="s">
        <v>1357</v>
      </c>
    </row>
    <row r="614" spans="1:12">
      <c r="F614" t="s">
        <v>14727</v>
      </c>
      <c r="G614" t="s">
        <v>17571</v>
      </c>
      <c r="H614" t="s">
        <v>20278</v>
      </c>
      <c r="I614" t="s">
        <v>1357</v>
      </c>
      <c r="J614" t="s">
        <v>1357</v>
      </c>
      <c r="K614" t="s">
        <v>1357</v>
      </c>
      <c r="L614" t="s">
        <v>1357</v>
      </c>
    </row>
    <row r="615" spans="1:12">
      <c r="A615" t="s">
        <v>10114</v>
      </c>
      <c r="B615">
        <f>HYPERLINK("https://android.googlesource.com/platform/cts/+/98b49198af2b7180b34d17378c0cee20a4f1ccaf", "98b49198af2b7180b34d17378c0cee20a4f1ccaf")</f>
        <v>0</v>
      </c>
      <c r="C615">
        <f>HYPERLINK("https://android.googlesource.com/platform/cts/+/36d4da20ca84a24d2d655b6b49bcca5ca973b73c", "36d4da20ca84a24d2d655b6b49bcca5ca973b73c")</f>
        <v>0</v>
      </c>
      <c r="D615" t="s">
        <v>11982</v>
      </c>
      <c r="E615" t="s">
        <v>12683</v>
      </c>
      <c r="F615" t="s">
        <v>14578</v>
      </c>
      <c r="G615" t="s">
        <v>17422</v>
      </c>
      <c r="H615" t="s">
        <v>20279</v>
      </c>
      <c r="I615" t="s">
        <v>1357</v>
      </c>
      <c r="J615" t="s">
        <v>1357</v>
      </c>
      <c r="K615" t="s">
        <v>1357</v>
      </c>
      <c r="L615" t="s">
        <v>1357</v>
      </c>
    </row>
    <row r="616" spans="1:12">
      <c r="A616" t="s">
        <v>10115</v>
      </c>
      <c r="B616">
        <f>HYPERLINK("https://android.googlesource.com/platform/cts/+/9ba909f8ab7f3abd082bfdf7ffcdeba930ed1b9a", "9ba909f8ab7f3abd082bfdf7ffcdeba930ed1b9a")</f>
        <v>0</v>
      </c>
      <c r="C616">
        <f>HYPERLINK("https://android.googlesource.com/platform/cts/+/36d4da20ca84a24d2d655b6b49bcca5ca973b73c", "36d4da20ca84a24d2d655b6b49bcca5ca973b73c")</f>
        <v>0</v>
      </c>
      <c r="D616" t="s">
        <v>11982</v>
      </c>
      <c r="E616" t="s">
        <v>12684</v>
      </c>
      <c r="F616" t="s">
        <v>14728</v>
      </c>
      <c r="G616" t="s">
        <v>17572</v>
      </c>
      <c r="H616" t="s">
        <v>20280</v>
      </c>
      <c r="I616" t="s">
        <v>1357</v>
      </c>
      <c r="J616" t="s">
        <v>1357</v>
      </c>
      <c r="K616" t="s">
        <v>1357</v>
      </c>
      <c r="L616" t="s">
        <v>1357</v>
      </c>
    </row>
    <row r="617" spans="1:12">
      <c r="H617" t="s">
        <v>20233</v>
      </c>
      <c r="I617" t="s">
        <v>1357</v>
      </c>
      <c r="J617" t="s">
        <v>1357</v>
      </c>
      <c r="K617" t="s">
        <v>1357</v>
      </c>
      <c r="L617" t="s">
        <v>1357</v>
      </c>
    </row>
    <row r="618" spans="1:12">
      <c r="H618" t="s">
        <v>20230</v>
      </c>
      <c r="I618" t="s">
        <v>1357</v>
      </c>
      <c r="J618" t="s">
        <v>1357</v>
      </c>
      <c r="K618" t="s">
        <v>1357</v>
      </c>
      <c r="L618" t="s">
        <v>1357</v>
      </c>
    </row>
    <row r="619" spans="1:12">
      <c r="H619" t="s">
        <v>20227</v>
      </c>
      <c r="I619" t="s">
        <v>1357</v>
      </c>
      <c r="J619" t="s">
        <v>1357</v>
      </c>
      <c r="K619" t="s">
        <v>1357</v>
      </c>
      <c r="L619" t="s">
        <v>1357</v>
      </c>
    </row>
    <row r="620" spans="1:12">
      <c r="F620" t="s">
        <v>14729</v>
      </c>
      <c r="G620" t="s">
        <v>17573</v>
      </c>
      <c r="H620" t="s">
        <v>20280</v>
      </c>
      <c r="I620" t="s">
        <v>1357</v>
      </c>
      <c r="J620" t="s">
        <v>1357</v>
      </c>
      <c r="K620" t="s">
        <v>1357</v>
      </c>
      <c r="L620" t="s">
        <v>1357</v>
      </c>
    </row>
    <row r="621" spans="1:12">
      <c r="H621" t="s">
        <v>20233</v>
      </c>
      <c r="I621" t="s">
        <v>1357</v>
      </c>
      <c r="J621" t="s">
        <v>1357</v>
      </c>
      <c r="K621" t="s">
        <v>1357</v>
      </c>
      <c r="L621" t="s">
        <v>1357</v>
      </c>
    </row>
    <row r="622" spans="1:12">
      <c r="H622" t="s">
        <v>20281</v>
      </c>
      <c r="I622" t="s">
        <v>1357</v>
      </c>
      <c r="J622" t="s">
        <v>1357</v>
      </c>
      <c r="K622" t="s">
        <v>1357</v>
      </c>
      <c r="L622" t="s">
        <v>1357</v>
      </c>
    </row>
    <row r="623" spans="1:12">
      <c r="H623" t="s">
        <v>20282</v>
      </c>
      <c r="I623" t="s">
        <v>1357</v>
      </c>
      <c r="J623" t="s">
        <v>1357</v>
      </c>
      <c r="K623" t="s">
        <v>1357</v>
      </c>
      <c r="L623" t="s">
        <v>1357</v>
      </c>
    </row>
    <row r="624" spans="1:12">
      <c r="H624" t="s">
        <v>20283</v>
      </c>
      <c r="I624" t="s">
        <v>1357</v>
      </c>
      <c r="J624" t="s">
        <v>1357</v>
      </c>
      <c r="K624" t="s">
        <v>1357</v>
      </c>
      <c r="L624" t="s">
        <v>1357</v>
      </c>
    </row>
    <row r="625" spans="6:12">
      <c r="H625" t="s">
        <v>20284</v>
      </c>
      <c r="I625" t="s">
        <v>1357</v>
      </c>
      <c r="J625" t="s">
        <v>1357</v>
      </c>
      <c r="K625" t="s">
        <v>1357</v>
      </c>
      <c r="L625" t="s">
        <v>1357</v>
      </c>
    </row>
    <row r="626" spans="6:12">
      <c r="H626" t="s">
        <v>20285</v>
      </c>
      <c r="I626" t="s">
        <v>1357</v>
      </c>
      <c r="J626" t="s">
        <v>1357</v>
      </c>
      <c r="K626" t="s">
        <v>1357</v>
      </c>
      <c r="L626" t="s">
        <v>1357</v>
      </c>
    </row>
    <row r="627" spans="6:12">
      <c r="H627" t="s">
        <v>20286</v>
      </c>
      <c r="I627" t="s">
        <v>1357</v>
      </c>
      <c r="J627" t="s">
        <v>1357</v>
      </c>
      <c r="K627" t="s">
        <v>1357</v>
      </c>
      <c r="L627" t="s">
        <v>1357</v>
      </c>
    </row>
    <row r="628" spans="6:12">
      <c r="H628" t="s">
        <v>20287</v>
      </c>
      <c r="I628" t="s">
        <v>1357</v>
      </c>
      <c r="J628" t="s">
        <v>1357</v>
      </c>
      <c r="K628" t="s">
        <v>1357</v>
      </c>
      <c r="L628" t="s">
        <v>1357</v>
      </c>
    </row>
    <row r="629" spans="6:12">
      <c r="H629" t="s">
        <v>20288</v>
      </c>
      <c r="I629" t="s">
        <v>1357</v>
      </c>
      <c r="J629" t="s">
        <v>1357</v>
      </c>
      <c r="K629" t="s">
        <v>1357</v>
      </c>
      <c r="L629" t="s">
        <v>1357</v>
      </c>
    </row>
    <row r="630" spans="6:12">
      <c r="H630" t="s">
        <v>20289</v>
      </c>
      <c r="I630" t="s">
        <v>1357</v>
      </c>
      <c r="J630" t="s">
        <v>1357</v>
      </c>
      <c r="K630" t="s">
        <v>1357</v>
      </c>
      <c r="L630" t="s">
        <v>1357</v>
      </c>
    </row>
    <row r="631" spans="6:12">
      <c r="H631" t="s">
        <v>20290</v>
      </c>
      <c r="I631" t="s">
        <v>1357</v>
      </c>
      <c r="J631" t="s">
        <v>1357</v>
      </c>
      <c r="K631" t="s">
        <v>1357</v>
      </c>
      <c r="L631" t="s">
        <v>1357</v>
      </c>
    </row>
    <row r="632" spans="6:12">
      <c r="H632" t="s">
        <v>20291</v>
      </c>
      <c r="I632" t="s">
        <v>1357</v>
      </c>
      <c r="J632" t="s">
        <v>1357</v>
      </c>
      <c r="K632" t="s">
        <v>1357</v>
      </c>
      <c r="L632" t="s">
        <v>1357</v>
      </c>
    </row>
    <row r="633" spans="6:12">
      <c r="F633" t="s">
        <v>14730</v>
      </c>
      <c r="G633" t="s">
        <v>17574</v>
      </c>
      <c r="H633" t="s">
        <v>20280</v>
      </c>
      <c r="I633" t="s">
        <v>1357</v>
      </c>
      <c r="J633" t="s">
        <v>1357</v>
      </c>
      <c r="K633" t="s">
        <v>1357</v>
      </c>
      <c r="L633" t="s">
        <v>1357</v>
      </c>
    </row>
    <row r="634" spans="6:12">
      <c r="H634" t="s">
        <v>20233</v>
      </c>
      <c r="I634" t="s">
        <v>1357</v>
      </c>
      <c r="J634" t="s">
        <v>1357</v>
      </c>
      <c r="K634" t="s">
        <v>1357</v>
      </c>
      <c r="L634" t="s">
        <v>1357</v>
      </c>
    </row>
    <row r="635" spans="6:12">
      <c r="H635" t="s">
        <v>20230</v>
      </c>
      <c r="I635" t="s">
        <v>1357</v>
      </c>
      <c r="J635" t="s">
        <v>1357</v>
      </c>
      <c r="K635" t="s">
        <v>1357</v>
      </c>
      <c r="L635" t="s">
        <v>1357</v>
      </c>
    </row>
    <row r="636" spans="6:12">
      <c r="H636" t="s">
        <v>20227</v>
      </c>
      <c r="I636" t="s">
        <v>1357</v>
      </c>
      <c r="J636" t="s">
        <v>1357</v>
      </c>
      <c r="K636" t="s">
        <v>1357</v>
      </c>
      <c r="L636" t="s">
        <v>1357</v>
      </c>
    </row>
    <row r="637" spans="6:12">
      <c r="H637" t="s">
        <v>20281</v>
      </c>
      <c r="I637" t="s">
        <v>1357</v>
      </c>
      <c r="J637" t="s">
        <v>1357</v>
      </c>
      <c r="K637" t="s">
        <v>1357</v>
      </c>
      <c r="L637" t="s">
        <v>1357</v>
      </c>
    </row>
    <row r="638" spans="6:12">
      <c r="H638" t="s">
        <v>20282</v>
      </c>
      <c r="I638" t="s">
        <v>1357</v>
      </c>
      <c r="J638" t="s">
        <v>1357</v>
      </c>
      <c r="K638" t="s">
        <v>1357</v>
      </c>
      <c r="L638" t="s">
        <v>1357</v>
      </c>
    </row>
    <row r="639" spans="6:12">
      <c r="H639" t="s">
        <v>20283</v>
      </c>
      <c r="I639" t="s">
        <v>1357</v>
      </c>
      <c r="J639" t="s">
        <v>1357</v>
      </c>
      <c r="K639" t="s">
        <v>1357</v>
      </c>
      <c r="L639" t="s">
        <v>1357</v>
      </c>
    </row>
    <row r="640" spans="6:12">
      <c r="H640" t="s">
        <v>20292</v>
      </c>
      <c r="I640" t="s">
        <v>1357</v>
      </c>
      <c r="J640" t="s">
        <v>1357</v>
      </c>
      <c r="K640" t="s">
        <v>1357</v>
      </c>
      <c r="L640" t="s">
        <v>1357</v>
      </c>
    </row>
    <row r="641" spans="6:12">
      <c r="H641" t="s">
        <v>20284</v>
      </c>
      <c r="I641" t="s">
        <v>1357</v>
      </c>
      <c r="J641" t="s">
        <v>1357</v>
      </c>
      <c r="K641" t="s">
        <v>1357</v>
      </c>
      <c r="L641" t="s">
        <v>1357</v>
      </c>
    </row>
    <row r="642" spans="6:12">
      <c r="H642" t="s">
        <v>20285</v>
      </c>
      <c r="I642" t="s">
        <v>1357</v>
      </c>
      <c r="J642" t="s">
        <v>1357</v>
      </c>
      <c r="K642" t="s">
        <v>1357</v>
      </c>
      <c r="L642" t="s">
        <v>1357</v>
      </c>
    </row>
    <row r="643" spans="6:12">
      <c r="H643" t="s">
        <v>20286</v>
      </c>
      <c r="I643" t="s">
        <v>1357</v>
      </c>
      <c r="J643" t="s">
        <v>1357</v>
      </c>
      <c r="K643" t="s">
        <v>1357</v>
      </c>
      <c r="L643" t="s">
        <v>1357</v>
      </c>
    </row>
    <row r="644" spans="6:12">
      <c r="H644" t="s">
        <v>20287</v>
      </c>
      <c r="I644" t="s">
        <v>1357</v>
      </c>
      <c r="J644" t="s">
        <v>1357</v>
      </c>
      <c r="K644" t="s">
        <v>1357</v>
      </c>
      <c r="L644" t="s">
        <v>1357</v>
      </c>
    </row>
    <row r="645" spans="6:12">
      <c r="H645" t="s">
        <v>20288</v>
      </c>
      <c r="I645" t="s">
        <v>1357</v>
      </c>
      <c r="J645" t="s">
        <v>1357</v>
      </c>
      <c r="K645" t="s">
        <v>1357</v>
      </c>
      <c r="L645" t="s">
        <v>1357</v>
      </c>
    </row>
    <row r="646" spans="6:12">
      <c r="H646" t="s">
        <v>20289</v>
      </c>
      <c r="I646" t="s">
        <v>1357</v>
      </c>
      <c r="J646" t="s">
        <v>1357</v>
      </c>
      <c r="K646" t="s">
        <v>1357</v>
      </c>
      <c r="L646" t="s">
        <v>1357</v>
      </c>
    </row>
    <row r="647" spans="6:12">
      <c r="H647" t="s">
        <v>20290</v>
      </c>
      <c r="I647" t="s">
        <v>1357</v>
      </c>
      <c r="J647" t="s">
        <v>1357</v>
      </c>
      <c r="K647" t="s">
        <v>1357</v>
      </c>
      <c r="L647" t="s">
        <v>1357</v>
      </c>
    </row>
    <row r="648" spans="6:12">
      <c r="H648" t="s">
        <v>20291</v>
      </c>
      <c r="I648" t="s">
        <v>1357</v>
      </c>
      <c r="J648" t="s">
        <v>1357</v>
      </c>
      <c r="K648" t="s">
        <v>1357</v>
      </c>
      <c r="L648" t="s">
        <v>1357</v>
      </c>
    </row>
    <row r="649" spans="6:12">
      <c r="F649" t="s">
        <v>14731</v>
      </c>
      <c r="G649" t="s">
        <v>17575</v>
      </c>
      <c r="H649" t="s">
        <v>20280</v>
      </c>
      <c r="I649" t="s">
        <v>1357</v>
      </c>
      <c r="J649" t="s">
        <v>1357</v>
      </c>
      <c r="K649" t="s">
        <v>1357</v>
      </c>
      <c r="L649" t="s">
        <v>1357</v>
      </c>
    </row>
    <row r="650" spans="6:12">
      <c r="H650" t="s">
        <v>20284</v>
      </c>
      <c r="I650" t="s">
        <v>1357</v>
      </c>
      <c r="J650" t="s">
        <v>1357</v>
      </c>
      <c r="K650" t="s">
        <v>1357</v>
      </c>
      <c r="L650" t="s">
        <v>1357</v>
      </c>
    </row>
    <row r="651" spans="6:12">
      <c r="F651" t="s">
        <v>14732</v>
      </c>
      <c r="G651" t="s">
        <v>17576</v>
      </c>
      <c r="H651" t="s">
        <v>20280</v>
      </c>
      <c r="I651" t="s">
        <v>1357</v>
      </c>
      <c r="J651" t="s">
        <v>1357</v>
      </c>
      <c r="K651" t="s">
        <v>1357</v>
      </c>
      <c r="L651" t="s">
        <v>1357</v>
      </c>
    </row>
    <row r="652" spans="6:12">
      <c r="H652" t="s">
        <v>20233</v>
      </c>
      <c r="I652" t="s">
        <v>1357</v>
      </c>
      <c r="J652" t="s">
        <v>1357</v>
      </c>
      <c r="K652" t="s">
        <v>1357</v>
      </c>
      <c r="L652" t="s">
        <v>1357</v>
      </c>
    </row>
    <row r="653" spans="6:12">
      <c r="H653" t="s">
        <v>20284</v>
      </c>
      <c r="I653" t="s">
        <v>1357</v>
      </c>
      <c r="J653" t="s">
        <v>1357</v>
      </c>
      <c r="K653" t="s">
        <v>1357</v>
      </c>
      <c r="L653" t="s">
        <v>1357</v>
      </c>
    </row>
    <row r="654" spans="6:12">
      <c r="H654" t="s">
        <v>20285</v>
      </c>
      <c r="I654" t="s">
        <v>1357</v>
      </c>
      <c r="J654" t="s">
        <v>1357</v>
      </c>
      <c r="K654" t="s">
        <v>1357</v>
      </c>
      <c r="L654" t="s">
        <v>1357</v>
      </c>
    </row>
    <row r="655" spans="6:12">
      <c r="H655" t="s">
        <v>20286</v>
      </c>
      <c r="I655" t="s">
        <v>1357</v>
      </c>
      <c r="J655" t="s">
        <v>1357</v>
      </c>
      <c r="K655" t="s">
        <v>1357</v>
      </c>
      <c r="L655" t="s">
        <v>1357</v>
      </c>
    </row>
    <row r="656" spans="6:12">
      <c r="H656" t="s">
        <v>20287</v>
      </c>
      <c r="I656" t="s">
        <v>1357</v>
      </c>
      <c r="J656" t="s">
        <v>1357</v>
      </c>
      <c r="K656" t="s">
        <v>1357</v>
      </c>
      <c r="L656" t="s">
        <v>1357</v>
      </c>
    </row>
    <row r="657" spans="6:12">
      <c r="H657" t="s">
        <v>20288</v>
      </c>
      <c r="I657" t="s">
        <v>1357</v>
      </c>
      <c r="J657" t="s">
        <v>1357</v>
      </c>
      <c r="K657" t="s">
        <v>1357</v>
      </c>
      <c r="L657" t="s">
        <v>1357</v>
      </c>
    </row>
    <row r="658" spans="6:12">
      <c r="H658" t="s">
        <v>20230</v>
      </c>
      <c r="I658" t="s">
        <v>1357</v>
      </c>
      <c r="J658" t="s">
        <v>1357</v>
      </c>
      <c r="K658" t="s">
        <v>1357</v>
      </c>
      <c r="L658" t="s">
        <v>1357</v>
      </c>
    </row>
    <row r="659" spans="6:12">
      <c r="H659" t="s">
        <v>20227</v>
      </c>
      <c r="I659" t="s">
        <v>1357</v>
      </c>
      <c r="J659" t="s">
        <v>1357</v>
      </c>
      <c r="K659" t="s">
        <v>1357</v>
      </c>
      <c r="L659" t="s">
        <v>1357</v>
      </c>
    </row>
    <row r="660" spans="6:12">
      <c r="H660" t="s">
        <v>20289</v>
      </c>
      <c r="I660" t="s">
        <v>1357</v>
      </c>
      <c r="J660" t="s">
        <v>1357</v>
      </c>
      <c r="K660" t="s">
        <v>1357</v>
      </c>
      <c r="L660" t="s">
        <v>1357</v>
      </c>
    </row>
    <row r="661" spans="6:12">
      <c r="H661" t="s">
        <v>20290</v>
      </c>
      <c r="I661" t="s">
        <v>1357</v>
      </c>
      <c r="J661" t="s">
        <v>1357</v>
      </c>
      <c r="K661" t="s">
        <v>1357</v>
      </c>
      <c r="L661" t="s">
        <v>1357</v>
      </c>
    </row>
    <row r="662" spans="6:12">
      <c r="H662" t="s">
        <v>20291</v>
      </c>
      <c r="I662" t="s">
        <v>1357</v>
      </c>
      <c r="J662" t="s">
        <v>1357</v>
      </c>
      <c r="K662" t="s">
        <v>1357</v>
      </c>
      <c r="L662" t="s">
        <v>1357</v>
      </c>
    </row>
    <row r="663" spans="6:12">
      <c r="H663" t="s">
        <v>20293</v>
      </c>
      <c r="I663" t="s">
        <v>1357</v>
      </c>
      <c r="J663" t="s">
        <v>1357</v>
      </c>
      <c r="K663" t="s">
        <v>1357</v>
      </c>
      <c r="L663" t="s">
        <v>1357</v>
      </c>
    </row>
    <row r="664" spans="6:12">
      <c r="H664" t="s">
        <v>20294</v>
      </c>
      <c r="I664" t="s">
        <v>1357</v>
      </c>
      <c r="J664" t="s">
        <v>1357</v>
      </c>
      <c r="K664" t="s">
        <v>1357</v>
      </c>
      <c r="L664" t="s">
        <v>1357</v>
      </c>
    </row>
    <row r="665" spans="6:12">
      <c r="F665" t="s">
        <v>14733</v>
      </c>
      <c r="G665" t="s">
        <v>17577</v>
      </c>
      <c r="H665" t="s">
        <v>20280</v>
      </c>
      <c r="I665" t="s">
        <v>1357</v>
      </c>
      <c r="J665" t="s">
        <v>1357</v>
      </c>
      <c r="K665" t="s">
        <v>1357</v>
      </c>
      <c r="L665" t="s">
        <v>1357</v>
      </c>
    </row>
    <row r="666" spans="6:12">
      <c r="H666" t="s">
        <v>20233</v>
      </c>
      <c r="I666" t="s">
        <v>1357</v>
      </c>
      <c r="J666" t="s">
        <v>1357</v>
      </c>
      <c r="K666" t="s">
        <v>1357</v>
      </c>
      <c r="L666" t="s">
        <v>1357</v>
      </c>
    </row>
    <row r="667" spans="6:12">
      <c r="H667" t="s">
        <v>20284</v>
      </c>
      <c r="I667" t="s">
        <v>1357</v>
      </c>
      <c r="J667" t="s">
        <v>1357</v>
      </c>
      <c r="K667" t="s">
        <v>1357</v>
      </c>
      <c r="L667" t="s">
        <v>1357</v>
      </c>
    </row>
    <row r="668" spans="6:12">
      <c r="H668" t="s">
        <v>20285</v>
      </c>
      <c r="I668" t="s">
        <v>1357</v>
      </c>
      <c r="J668" t="s">
        <v>1357</v>
      </c>
      <c r="K668" t="s">
        <v>1357</v>
      </c>
      <c r="L668" t="s">
        <v>1357</v>
      </c>
    </row>
    <row r="669" spans="6:12">
      <c r="H669" t="s">
        <v>20286</v>
      </c>
      <c r="I669" t="s">
        <v>1357</v>
      </c>
      <c r="J669" t="s">
        <v>1357</v>
      </c>
      <c r="K669" t="s">
        <v>1357</v>
      </c>
      <c r="L669" t="s">
        <v>1357</v>
      </c>
    </row>
    <row r="670" spans="6:12">
      <c r="H670" t="s">
        <v>20287</v>
      </c>
      <c r="I670" t="s">
        <v>1357</v>
      </c>
      <c r="J670" t="s">
        <v>1357</v>
      </c>
      <c r="K670" t="s">
        <v>1357</v>
      </c>
      <c r="L670" t="s">
        <v>1357</v>
      </c>
    </row>
    <row r="671" spans="6:12">
      <c r="H671" t="s">
        <v>20288</v>
      </c>
      <c r="I671" t="s">
        <v>1357</v>
      </c>
      <c r="J671" t="s">
        <v>1357</v>
      </c>
      <c r="K671" t="s">
        <v>1357</v>
      </c>
      <c r="L671" t="s">
        <v>1357</v>
      </c>
    </row>
    <row r="672" spans="6:12">
      <c r="H672" t="s">
        <v>20289</v>
      </c>
      <c r="I672" t="s">
        <v>1357</v>
      </c>
      <c r="J672" t="s">
        <v>1357</v>
      </c>
      <c r="K672" t="s">
        <v>1357</v>
      </c>
      <c r="L672" t="s">
        <v>1357</v>
      </c>
    </row>
    <row r="673" spans="6:12">
      <c r="F673" t="s">
        <v>14734</v>
      </c>
      <c r="G673" t="s">
        <v>17578</v>
      </c>
      <c r="H673" t="s">
        <v>20280</v>
      </c>
      <c r="I673" t="s">
        <v>1357</v>
      </c>
      <c r="J673" t="s">
        <v>1357</v>
      </c>
      <c r="K673" t="s">
        <v>1357</v>
      </c>
      <c r="L673" t="s">
        <v>1357</v>
      </c>
    </row>
    <row r="674" spans="6:12">
      <c r="H674" t="s">
        <v>20233</v>
      </c>
      <c r="I674" t="s">
        <v>1357</v>
      </c>
      <c r="J674" t="s">
        <v>1357</v>
      </c>
      <c r="K674" t="s">
        <v>1357</v>
      </c>
      <c r="L674" t="s">
        <v>1357</v>
      </c>
    </row>
    <row r="675" spans="6:12">
      <c r="H675" t="s">
        <v>20284</v>
      </c>
      <c r="I675" t="s">
        <v>1357</v>
      </c>
      <c r="J675" t="s">
        <v>1357</v>
      </c>
      <c r="K675" t="s">
        <v>1357</v>
      </c>
      <c r="L675" t="s">
        <v>1357</v>
      </c>
    </row>
    <row r="676" spans="6:12">
      <c r="H676" t="s">
        <v>20285</v>
      </c>
      <c r="I676" t="s">
        <v>1357</v>
      </c>
      <c r="J676" t="s">
        <v>1357</v>
      </c>
      <c r="K676" t="s">
        <v>1357</v>
      </c>
      <c r="L676" t="s">
        <v>1357</v>
      </c>
    </row>
    <row r="677" spans="6:12">
      <c r="H677" t="s">
        <v>20286</v>
      </c>
      <c r="I677" t="s">
        <v>1357</v>
      </c>
      <c r="J677" t="s">
        <v>1357</v>
      </c>
      <c r="K677" t="s">
        <v>1357</v>
      </c>
      <c r="L677" t="s">
        <v>1357</v>
      </c>
    </row>
    <row r="678" spans="6:12">
      <c r="H678" t="s">
        <v>20287</v>
      </c>
      <c r="I678" t="s">
        <v>1357</v>
      </c>
      <c r="J678" t="s">
        <v>1357</v>
      </c>
      <c r="K678" t="s">
        <v>1357</v>
      </c>
      <c r="L678" t="s">
        <v>1357</v>
      </c>
    </row>
    <row r="679" spans="6:12">
      <c r="H679" t="s">
        <v>20288</v>
      </c>
      <c r="I679" t="s">
        <v>1357</v>
      </c>
      <c r="J679" t="s">
        <v>1357</v>
      </c>
      <c r="K679" t="s">
        <v>1357</v>
      </c>
      <c r="L679" t="s">
        <v>1357</v>
      </c>
    </row>
    <row r="680" spans="6:12">
      <c r="H680" t="s">
        <v>20289</v>
      </c>
      <c r="I680" t="s">
        <v>1357</v>
      </c>
      <c r="J680" t="s">
        <v>1357</v>
      </c>
      <c r="K680" t="s">
        <v>1357</v>
      </c>
      <c r="L680" t="s">
        <v>1357</v>
      </c>
    </row>
    <row r="681" spans="6:12">
      <c r="F681" t="s">
        <v>14735</v>
      </c>
      <c r="G681" t="s">
        <v>17579</v>
      </c>
      <c r="H681" t="s">
        <v>20280</v>
      </c>
      <c r="I681" t="s">
        <v>1357</v>
      </c>
      <c r="J681" t="s">
        <v>1357</v>
      </c>
      <c r="K681" t="s">
        <v>1357</v>
      </c>
      <c r="L681" t="s">
        <v>1357</v>
      </c>
    </row>
    <row r="682" spans="6:12">
      <c r="H682" t="s">
        <v>20233</v>
      </c>
      <c r="I682" t="s">
        <v>1357</v>
      </c>
      <c r="J682" t="s">
        <v>1357</v>
      </c>
      <c r="K682" t="s">
        <v>1357</v>
      </c>
      <c r="L682" t="s">
        <v>1357</v>
      </c>
    </row>
    <row r="683" spans="6:12">
      <c r="H683" t="s">
        <v>20284</v>
      </c>
      <c r="I683" t="s">
        <v>1357</v>
      </c>
      <c r="J683" t="s">
        <v>1357</v>
      </c>
      <c r="K683" t="s">
        <v>1357</v>
      </c>
      <c r="L683" t="s">
        <v>1357</v>
      </c>
    </row>
    <row r="684" spans="6:12">
      <c r="H684" t="s">
        <v>20285</v>
      </c>
      <c r="I684" t="s">
        <v>1357</v>
      </c>
      <c r="J684" t="s">
        <v>1357</v>
      </c>
      <c r="K684" t="s">
        <v>1357</v>
      </c>
      <c r="L684" t="s">
        <v>1357</v>
      </c>
    </row>
    <row r="685" spans="6:12">
      <c r="H685" t="s">
        <v>20286</v>
      </c>
      <c r="I685" t="s">
        <v>1357</v>
      </c>
      <c r="J685" t="s">
        <v>1357</v>
      </c>
      <c r="K685" t="s">
        <v>1357</v>
      </c>
      <c r="L685" t="s">
        <v>1357</v>
      </c>
    </row>
    <row r="686" spans="6:12">
      <c r="H686" t="s">
        <v>20287</v>
      </c>
      <c r="I686" t="s">
        <v>1357</v>
      </c>
      <c r="J686" t="s">
        <v>1357</v>
      </c>
      <c r="K686" t="s">
        <v>1357</v>
      </c>
      <c r="L686" t="s">
        <v>1357</v>
      </c>
    </row>
    <row r="687" spans="6:12">
      <c r="H687" t="s">
        <v>20288</v>
      </c>
      <c r="I687" t="s">
        <v>1357</v>
      </c>
      <c r="J687" t="s">
        <v>1357</v>
      </c>
      <c r="K687" t="s">
        <v>1357</v>
      </c>
      <c r="L687" t="s">
        <v>1357</v>
      </c>
    </row>
    <row r="688" spans="6:12">
      <c r="H688" t="s">
        <v>20289</v>
      </c>
      <c r="I688" t="s">
        <v>1357</v>
      </c>
      <c r="J688" t="s">
        <v>1357</v>
      </c>
      <c r="K688" t="s">
        <v>1357</v>
      </c>
      <c r="L688" t="s">
        <v>1357</v>
      </c>
    </row>
    <row r="689" spans="6:12">
      <c r="F689" t="s">
        <v>14736</v>
      </c>
      <c r="G689" t="s">
        <v>17580</v>
      </c>
      <c r="H689" t="s">
        <v>20280</v>
      </c>
      <c r="I689" t="s">
        <v>1357</v>
      </c>
      <c r="J689" t="s">
        <v>1357</v>
      </c>
      <c r="K689" t="s">
        <v>1357</v>
      </c>
      <c r="L689" t="s">
        <v>1357</v>
      </c>
    </row>
    <row r="690" spans="6:12">
      <c r="H690" t="s">
        <v>20233</v>
      </c>
      <c r="I690" t="s">
        <v>1357</v>
      </c>
      <c r="J690" t="s">
        <v>1357</v>
      </c>
      <c r="K690" t="s">
        <v>1357</v>
      </c>
      <c r="L690" t="s">
        <v>1357</v>
      </c>
    </row>
    <row r="691" spans="6:12">
      <c r="H691" t="s">
        <v>20284</v>
      </c>
      <c r="I691" t="s">
        <v>1357</v>
      </c>
      <c r="J691" t="s">
        <v>1357</v>
      </c>
      <c r="K691" t="s">
        <v>1357</v>
      </c>
      <c r="L691" t="s">
        <v>1357</v>
      </c>
    </row>
    <row r="692" spans="6:12">
      <c r="H692" t="s">
        <v>20285</v>
      </c>
      <c r="I692" t="s">
        <v>1357</v>
      </c>
      <c r="J692" t="s">
        <v>1357</v>
      </c>
      <c r="K692" t="s">
        <v>1357</v>
      </c>
      <c r="L692" t="s">
        <v>1357</v>
      </c>
    </row>
    <row r="693" spans="6:12">
      <c r="H693" t="s">
        <v>20286</v>
      </c>
      <c r="I693" t="s">
        <v>1357</v>
      </c>
      <c r="J693" t="s">
        <v>1357</v>
      </c>
      <c r="K693" t="s">
        <v>1357</v>
      </c>
      <c r="L693" t="s">
        <v>1357</v>
      </c>
    </row>
    <row r="694" spans="6:12">
      <c r="H694" t="s">
        <v>20287</v>
      </c>
      <c r="I694" t="s">
        <v>1357</v>
      </c>
      <c r="J694" t="s">
        <v>1357</v>
      </c>
      <c r="K694" t="s">
        <v>1357</v>
      </c>
      <c r="L694" t="s">
        <v>1357</v>
      </c>
    </row>
    <row r="695" spans="6:12">
      <c r="H695" t="s">
        <v>20288</v>
      </c>
      <c r="I695" t="s">
        <v>1357</v>
      </c>
      <c r="J695" t="s">
        <v>1357</v>
      </c>
      <c r="K695" t="s">
        <v>1357</v>
      </c>
      <c r="L695" t="s">
        <v>1357</v>
      </c>
    </row>
    <row r="696" spans="6:12">
      <c r="H696" t="s">
        <v>20289</v>
      </c>
      <c r="I696" t="s">
        <v>1357</v>
      </c>
      <c r="J696" t="s">
        <v>1357</v>
      </c>
      <c r="K696" t="s">
        <v>1357</v>
      </c>
      <c r="L696" t="s">
        <v>1357</v>
      </c>
    </row>
    <row r="697" spans="6:12">
      <c r="F697" t="s">
        <v>14737</v>
      </c>
      <c r="G697" t="s">
        <v>17581</v>
      </c>
      <c r="H697" t="s">
        <v>20280</v>
      </c>
      <c r="I697" t="s">
        <v>1357</v>
      </c>
      <c r="J697" t="s">
        <v>1357</v>
      </c>
      <c r="K697" t="s">
        <v>1357</v>
      </c>
      <c r="L697" t="s">
        <v>1357</v>
      </c>
    </row>
    <row r="698" spans="6:12">
      <c r="H698" t="s">
        <v>20233</v>
      </c>
      <c r="I698" t="s">
        <v>1357</v>
      </c>
      <c r="J698" t="s">
        <v>1357</v>
      </c>
      <c r="K698" t="s">
        <v>1357</v>
      </c>
      <c r="L698" t="s">
        <v>1357</v>
      </c>
    </row>
    <row r="699" spans="6:12">
      <c r="H699" t="s">
        <v>20230</v>
      </c>
      <c r="I699" t="s">
        <v>1357</v>
      </c>
      <c r="J699" t="s">
        <v>1357</v>
      </c>
      <c r="K699" t="s">
        <v>1357</v>
      </c>
      <c r="L699" t="s">
        <v>1357</v>
      </c>
    </row>
    <row r="700" spans="6:12">
      <c r="H700" t="s">
        <v>20281</v>
      </c>
      <c r="I700" t="s">
        <v>1357</v>
      </c>
      <c r="J700" t="s">
        <v>1357</v>
      </c>
      <c r="K700" t="s">
        <v>1357</v>
      </c>
      <c r="L700" t="s">
        <v>1357</v>
      </c>
    </row>
    <row r="701" spans="6:12">
      <c r="H701" t="s">
        <v>20282</v>
      </c>
      <c r="I701" t="s">
        <v>1357</v>
      </c>
      <c r="J701" t="s">
        <v>1357</v>
      </c>
      <c r="K701" t="s">
        <v>1357</v>
      </c>
      <c r="L701" t="s">
        <v>1357</v>
      </c>
    </row>
    <row r="702" spans="6:12">
      <c r="H702" t="s">
        <v>20283</v>
      </c>
      <c r="I702" t="s">
        <v>1357</v>
      </c>
      <c r="J702" t="s">
        <v>1357</v>
      </c>
      <c r="K702" t="s">
        <v>1357</v>
      </c>
      <c r="L702" t="s">
        <v>1357</v>
      </c>
    </row>
    <row r="703" spans="6:12">
      <c r="H703" t="s">
        <v>20292</v>
      </c>
      <c r="I703" t="s">
        <v>1357</v>
      </c>
      <c r="J703" t="s">
        <v>1357</v>
      </c>
      <c r="K703" t="s">
        <v>1357</v>
      </c>
      <c r="L703" t="s">
        <v>1357</v>
      </c>
    </row>
    <row r="704" spans="6:12">
      <c r="H704" t="s">
        <v>20284</v>
      </c>
      <c r="I704" t="s">
        <v>1357</v>
      </c>
      <c r="J704" t="s">
        <v>1357</v>
      </c>
      <c r="K704" t="s">
        <v>1357</v>
      </c>
      <c r="L704" t="s">
        <v>1357</v>
      </c>
    </row>
    <row r="705" spans="6:12">
      <c r="H705" t="s">
        <v>20285</v>
      </c>
      <c r="I705" t="s">
        <v>1357</v>
      </c>
      <c r="J705" t="s">
        <v>1357</v>
      </c>
      <c r="K705" t="s">
        <v>1357</v>
      </c>
      <c r="L705" t="s">
        <v>1357</v>
      </c>
    </row>
    <row r="706" spans="6:12">
      <c r="H706" t="s">
        <v>20286</v>
      </c>
      <c r="I706" t="s">
        <v>1357</v>
      </c>
      <c r="J706" t="s">
        <v>1357</v>
      </c>
      <c r="K706" t="s">
        <v>1357</v>
      </c>
      <c r="L706" t="s">
        <v>1357</v>
      </c>
    </row>
    <row r="707" spans="6:12">
      <c r="H707" t="s">
        <v>20287</v>
      </c>
      <c r="I707" t="s">
        <v>1357</v>
      </c>
      <c r="J707" t="s">
        <v>1357</v>
      </c>
      <c r="K707" t="s">
        <v>1357</v>
      </c>
      <c r="L707" t="s">
        <v>1357</v>
      </c>
    </row>
    <row r="708" spans="6:12">
      <c r="H708" t="s">
        <v>20288</v>
      </c>
      <c r="I708" t="s">
        <v>1357</v>
      </c>
      <c r="J708" t="s">
        <v>1357</v>
      </c>
      <c r="K708" t="s">
        <v>1357</v>
      </c>
      <c r="L708" t="s">
        <v>1357</v>
      </c>
    </row>
    <row r="709" spans="6:12">
      <c r="H709" t="s">
        <v>20289</v>
      </c>
      <c r="I709" t="s">
        <v>1357</v>
      </c>
      <c r="J709" t="s">
        <v>1357</v>
      </c>
      <c r="K709" t="s">
        <v>1357</v>
      </c>
      <c r="L709" t="s">
        <v>1357</v>
      </c>
    </row>
    <row r="710" spans="6:12">
      <c r="F710" t="s">
        <v>14738</v>
      </c>
      <c r="G710" t="s">
        <v>17582</v>
      </c>
      <c r="H710" t="s">
        <v>20280</v>
      </c>
      <c r="I710" t="s">
        <v>1357</v>
      </c>
      <c r="J710" t="s">
        <v>1357</v>
      </c>
      <c r="K710" t="s">
        <v>1357</v>
      </c>
      <c r="L710" t="s">
        <v>1357</v>
      </c>
    </row>
    <row r="711" spans="6:12">
      <c r="H711" t="s">
        <v>20233</v>
      </c>
      <c r="I711" t="s">
        <v>1357</v>
      </c>
      <c r="J711" t="s">
        <v>1357</v>
      </c>
      <c r="K711" t="s">
        <v>1357</v>
      </c>
      <c r="L711" t="s">
        <v>1357</v>
      </c>
    </row>
    <row r="712" spans="6:12">
      <c r="H712" t="s">
        <v>20230</v>
      </c>
      <c r="I712" t="s">
        <v>1357</v>
      </c>
      <c r="J712" t="s">
        <v>1357</v>
      </c>
      <c r="K712" t="s">
        <v>1357</v>
      </c>
      <c r="L712" t="s">
        <v>1357</v>
      </c>
    </row>
    <row r="713" spans="6:12">
      <c r="H713" t="s">
        <v>20227</v>
      </c>
      <c r="I713" t="s">
        <v>1357</v>
      </c>
      <c r="J713" t="s">
        <v>1357</v>
      </c>
      <c r="K713" t="s">
        <v>1357</v>
      </c>
      <c r="L713" t="s">
        <v>1357</v>
      </c>
    </row>
    <row r="714" spans="6:12">
      <c r="H714" t="s">
        <v>20228</v>
      </c>
      <c r="I714" t="s">
        <v>1357</v>
      </c>
      <c r="J714" t="s">
        <v>1357</v>
      </c>
      <c r="K714" t="s">
        <v>1357</v>
      </c>
      <c r="L714" t="s">
        <v>1357</v>
      </c>
    </row>
    <row r="715" spans="6:12">
      <c r="H715" t="s">
        <v>20232</v>
      </c>
      <c r="I715" t="s">
        <v>1357</v>
      </c>
      <c r="J715" t="s">
        <v>1357</v>
      </c>
      <c r="K715" t="s">
        <v>1357</v>
      </c>
      <c r="L715" t="s">
        <v>1357</v>
      </c>
    </row>
    <row r="716" spans="6:12">
      <c r="H716" t="s">
        <v>20229</v>
      </c>
      <c r="I716" t="s">
        <v>1357</v>
      </c>
      <c r="J716" t="s">
        <v>1357</v>
      </c>
      <c r="K716" t="s">
        <v>1357</v>
      </c>
      <c r="L716" t="s">
        <v>1357</v>
      </c>
    </row>
    <row r="717" spans="6:12">
      <c r="H717" t="s">
        <v>20231</v>
      </c>
      <c r="I717" t="s">
        <v>1357</v>
      </c>
      <c r="J717" t="s">
        <v>1357</v>
      </c>
      <c r="K717" t="s">
        <v>1357</v>
      </c>
      <c r="L717" t="s">
        <v>1357</v>
      </c>
    </row>
    <row r="718" spans="6:12">
      <c r="H718" t="s">
        <v>20281</v>
      </c>
      <c r="I718" t="s">
        <v>1357</v>
      </c>
      <c r="J718" t="s">
        <v>1357</v>
      </c>
      <c r="K718" t="s">
        <v>1357</v>
      </c>
      <c r="L718" t="s">
        <v>1357</v>
      </c>
    </row>
    <row r="719" spans="6:12">
      <c r="H719" t="s">
        <v>20282</v>
      </c>
      <c r="I719" t="s">
        <v>1357</v>
      </c>
      <c r="J719" t="s">
        <v>1357</v>
      </c>
      <c r="K719" t="s">
        <v>1357</v>
      </c>
      <c r="L719" t="s">
        <v>1357</v>
      </c>
    </row>
    <row r="720" spans="6:12">
      <c r="H720" t="s">
        <v>20284</v>
      </c>
      <c r="I720" t="s">
        <v>1357</v>
      </c>
      <c r="J720" t="s">
        <v>1357</v>
      </c>
      <c r="K720" t="s">
        <v>1357</v>
      </c>
      <c r="L720" t="s">
        <v>1357</v>
      </c>
    </row>
    <row r="721" spans="6:12">
      <c r="H721" t="s">
        <v>20285</v>
      </c>
      <c r="I721" t="s">
        <v>1357</v>
      </c>
      <c r="J721" t="s">
        <v>1357</v>
      </c>
      <c r="K721" t="s">
        <v>1357</v>
      </c>
      <c r="L721" t="s">
        <v>1357</v>
      </c>
    </row>
    <row r="722" spans="6:12">
      <c r="H722" t="s">
        <v>20286</v>
      </c>
      <c r="I722" t="s">
        <v>1357</v>
      </c>
      <c r="J722" t="s">
        <v>1357</v>
      </c>
      <c r="K722" t="s">
        <v>1357</v>
      </c>
      <c r="L722" t="s">
        <v>1357</v>
      </c>
    </row>
    <row r="723" spans="6:12">
      <c r="H723" t="s">
        <v>20287</v>
      </c>
      <c r="I723" t="s">
        <v>1357</v>
      </c>
      <c r="J723" t="s">
        <v>1357</v>
      </c>
      <c r="K723" t="s">
        <v>1357</v>
      </c>
      <c r="L723" t="s">
        <v>1357</v>
      </c>
    </row>
    <row r="724" spans="6:12">
      <c r="H724" t="s">
        <v>20288</v>
      </c>
      <c r="I724" t="s">
        <v>1357</v>
      </c>
      <c r="J724" t="s">
        <v>1357</v>
      </c>
      <c r="K724" t="s">
        <v>1357</v>
      </c>
      <c r="L724" t="s">
        <v>1357</v>
      </c>
    </row>
    <row r="725" spans="6:12">
      <c r="H725" t="s">
        <v>20289</v>
      </c>
      <c r="I725" t="s">
        <v>1357</v>
      </c>
      <c r="J725" t="s">
        <v>1357</v>
      </c>
      <c r="K725" t="s">
        <v>1357</v>
      </c>
      <c r="L725" t="s">
        <v>1357</v>
      </c>
    </row>
    <row r="726" spans="6:12">
      <c r="H726" t="s">
        <v>20290</v>
      </c>
      <c r="I726" t="s">
        <v>1357</v>
      </c>
      <c r="J726" t="s">
        <v>1357</v>
      </c>
      <c r="K726" t="s">
        <v>1357</v>
      </c>
      <c r="L726" t="s">
        <v>1357</v>
      </c>
    </row>
    <row r="727" spans="6:12">
      <c r="F727" t="s">
        <v>14739</v>
      </c>
      <c r="G727" t="s">
        <v>17583</v>
      </c>
      <c r="H727" t="s">
        <v>20280</v>
      </c>
      <c r="I727" t="s">
        <v>1357</v>
      </c>
      <c r="J727" t="s">
        <v>1357</v>
      </c>
      <c r="K727" t="s">
        <v>1357</v>
      </c>
      <c r="L727" t="s">
        <v>1357</v>
      </c>
    </row>
    <row r="728" spans="6:12">
      <c r="H728" t="s">
        <v>20295</v>
      </c>
      <c r="I728" t="s">
        <v>1357</v>
      </c>
      <c r="J728" t="s">
        <v>1357</v>
      </c>
      <c r="K728" t="s">
        <v>1357</v>
      </c>
      <c r="L728" t="s">
        <v>1357</v>
      </c>
    </row>
    <row r="729" spans="6:12">
      <c r="H729" t="s">
        <v>20285</v>
      </c>
      <c r="I729" t="s">
        <v>1357</v>
      </c>
      <c r="J729" t="s">
        <v>1357</v>
      </c>
      <c r="K729" t="s">
        <v>1357</v>
      </c>
      <c r="L729" t="s">
        <v>1357</v>
      </c>
    </row>
    <row r="730" spans="6:12">
      <c r="H730" t="s">
        <v>20284</v>
      </c>
      <c r="I730" t="s">
        <v>1357</v>
      </c>
      <c r="J730" t="s">
        <v>1357</v>
      </c>
      <c r="K730" t="s">
        <v>1357</v>
      </c>
      <c r="L730" t="s">
        <v>1357</v>
      </c>
    </row>
    <row r="731" spans="6:12">
      <c r="F731" t="s">
        <v>14740</v>
      </c>
      <c r="G731" t="s">
        <v>17584</v>
      </c>
      <c r="H731" t="s">
        <v>20280</v>
      </c>
      <c r="I731" t="s">
        <v>1357</v>
      </c>
      <c r="J731" t="s">
        <v>1357</v>
      </c>
      <c r="K731" t="s">
        <v>1357</v>
      </c>
      <c r="L731" t="s">
        <v>1357</v>
      </c>
    </row>
    <row r="732" spans="6:12">
      <c r="H732" t="s">
        <v>20233</v>
      </c>
      <c r="I732" t="s">
        <v>1357</v>
      </c>
      <c r="J732" t="s">
        <v>1357</v>
      </c>
      <c r="K732" t="s">
        <v>1357</v>
      </c>
      <c r="L732" t="s">
        <v>1357</v>
      </c>
    </row>
    <row r="733" spans="6:12">
      <c r="H733" t="s">
        <v>20284</v>
      </c>
      <c r="I733" t="s">
        <v>1357</v>
      </c>
      <c r="J733" t="s">
        <v>1357</v>
      </c>
      <c r="K733" t="s">
        <v>1357</v>
      </c>
      <c r="L733" t="s">
        <v>1357</v>
      </c>
    </row>
    <row r="734" spans="6:12">
      <c r="H734" t="s">
        <v>20285</v>
      </c>
      <c r="I734" t="s">
        <v>1357</v>
      </c>
      <c r="J734" t="s">
        <v>1357</v>
      </c>
      <c r="K734" t="s">
        <v>1357</v>
      </c>
      <c r="L734" t="s">
        <v>1357</v>
      </c>
    </row>
    <row r="735" spans="6:12">
      <c r="H735" t="s">
        <v>20286</v>
      </c>
      <c r="I735" t="s">
        <v>1357</v>
      </c>
      <c r="J735" t="s">
        <v>1357</v>
      </c>
      <c r="K735" t="s">
        <v>1357</v>
      </c>
      <c r="L735" t="s">
        <v>1357</v>
      </c>
    </row>
    <row r="736" spans="6:12">
      <c r="H736" t="s">
        <v>20230</v>
      </c>
      <c r="I736" t="s">
        <v>1357</v>
      </c>
      <c r="J736" t="s">
        <v>1357</v>
      </c>
      <c r="K736" t="s">
        <v>1357</v>
      </c>
      <c r="L736" t="s">
        <v>1357</v>
      </c>
    </row>
    <row r="737" spans="6:12">
      <c r="H737" t="s">
        <v>20227</v>
      </c>
      <c r="I737" t="s">
        <v>1357</v>
      </c>
      <c r="J737" t="s">
        <v>1357</v>
      </c>
      <c r="K737" t="s">
        <v>1357</v>
      </c>
      <c r="L737" t="s">
        <v>1357</v>
      </c>
    </row>
    <row r="738" spans="6:12">
      <c r="H738" t="s">
        <v>20287</v>
      </c>
      <c r="I738" t="s">
        <v>1357</v>
      </c>
      <c r="J738" t="s">
        <v>1357</v>
      </c>
      <c r="K738" t="s">
        <v>1357</v>
      </c>
      <c r="L738" t="s">
        <v>1357</v>
      </c>
    </row>
    <row r="739" spans="6:12">
      <c r="H739" t="s">
        <v>20288</v>
      </c>
      <c r="I739" t="s">
        <v>1357</v>
      </c>
      <c r="J739" t="s">
        <v>1357</v>
      </c>
      <c r="K739" t="s">
        <v>1357</v>
      </c>
      <c r="L739" t="s">
        <v>1357</v>
      </c>
    </row>
    <row r="740" spans="6:12">
      <c r="H740" t="s">
        <v>20289</v>
      </c>
      <c r="I740" t="s">
        <v>1357</v>
      </c>
      <c r="J740" t="s">
        <v>1357</v>
      </c>
      <c r="K740" t="s">
        <v>1357</v>
      </c>
      <c r="L740" t="s">
        <v>1357</v>
      </c>
    </row>
    <row r="741" spans="6:12">
      <c r="F741" t="s">
        <v>14741</v>
      </c>
      <c r="G741" t="s">
        <v>17585</v>
      </c>
      <c r="H741" t="s">
        <v>20280</v>
      </c>
      <c r="I741" t="s">
        <v>1357</v>
      </c>
      <c r="J741" t="s">
        <v>1357</v>
      </c>
      <c r="K741" t="s">
        <v>1357</v>
      </c>
      <c r="L741" t="s">
        <v>1357</v>
      </c>
    </row>
    <row r="742" spans="6:12">
      <c r="H742" t="s">
        <v>20233</v>
      </c>
      <c r="I742" t="s">
        <v>1357</v>
      </c>
      <c r="J742" t="s">
        <v>1357</v>
      </c>
      <c r="K742" t="s">
        <v>1357</v>
      </c>
      <c r="L742" t="s">
        <v>1357</v>
      </c>
    </row>
    <row r="743" spans="6:12">
      <c r="H743" t="s">
        <v>20284</v>
      </c>
      <c r="I743" t="s">
        <v>1357</v>
      </c>
      <c r="J743" t="s">
        <v>1357</v>
      </c>
      <c r="K743" t="s">
        <v>1357</v>
      </c>
      <c r="L743" t="s">
        <v>1357</v>
      </c>
    </row>
    <row r="744" spans="6:12">
      <c r="H744" t="s">
        <v>20285</v>
      </c>
      <c r="I744" t="s">
        <v>1357</v>
      </c>
      <c r="J744" t="s">
        <v>1357</v>
      </c>
      <c r="K744" t="s">
        <v>1357</v>
      </c>
      <c r="L744" t="s">
        <v>1357</v>
      </c>
    </row>
    <row r="745" spans="6:12">
      <c r="H745" t="s">
        <v>20286</v>
      </c>
      <c r="I745" t="s">
        <v>1357</v>
      </c>
      <c r="J745" t="s">
        <v>1357</v>
      </c>
      <c r="K745" t="s">
        <v>1357</v>
      </c>
      <c r="L745" t="s">
        <v>1357</v>
      </c>
    </row>
    <row r="746" spans="6:12">
      <c r="F746" t="s">
        <v>14742</v>
      </c>
      <c r="G746" t="s">
        <v>17586</v>
      </c>
      <c r="H746" t="s">
        <v>20280</v>
      </c>
      <c r="I746" t="s">
        <v>1357</v>
      </c>
      <c r="J746" t="s">
        <v>1357</v>
      </c>
      <c r="K746" t="s">
        <v>1357</v>
      </c>
      <c r="L746" t="s">
        <v>1357</v>
      </c>
    </row>
    <row r="747" spans="6:12">
      <c r="H747" t="s">
        <v>20233</v>
      </c>
      <c r="I747" t="s">
        <v>1357</v>
      </c>
      <c r="J747" t="s">
        <v>1357</v>
      </c>
      <c r="K747" t="s">
        <v>1357</v>
      </c>
      <c r="L747" t="s">
        <v>1357</v>
      </c>
    </row>
    <row r="748" spans="6:12">
      <c r="H748" t="s">
        <v>20284</v>
      </c>
      <c r="I748" t="s">
        <v>1357</v>
      </c>
      <c r="J748" t="s">
        <v>1357</v>
      </c>
      <c r="K748" t="s">
        <v>1357</v>
      </c>
      <c r="L748" t="s">
        <v>1357</v>
      </c>
    </row>
    <row r="749" spans="6:12">
      <c r="H749" t="s">
        <v>20285</v>
      </c>
      <c r="I749" t="s">
        <v>1357</v>
      </c>
      <c r="J749" t="s">
        <v>1357</v>
      </c>
      <c r="K749" t="s">
        <v>1357</v>
      </c>
      <c r="L749" t="s">
        <v>1357</v>
      </c>
    </row>
    <row r="750" spans="6:12">
      <c r="H750" t="s">
        <v>20286</v>
      </c>
      <c r="I750" t="s">
        <v>1357</v>
      </c>
      <c r="J750" t="s">
        <v>1357</v>
      </c>
      <c r="K750" t="s">
        <v>1357</v>
      </c>
      <c r="L750" t="s">
        <v>1357</v>
      </c>
    </row>
    <row r="751" spans="6:12">
      <c r="F751" t="s">
        <v>14743</v>
      </c>
      <c r="G751" t="s">
        <v>17587</v>
      </c>
      <c r="H751" t="s">
        <v>20280</v>
      </c>
      <c r="I751" t="s">
        <v>1357</v>
      </c>
      <c r="J751" t="s">
        <v>1357</v>
      </c>
      <c r="K751" t="s">
        <v>1357</v>
      </c>
      <c r="L751" t="s">
        <v>1357</v>
      </c>
    </row>
    <row r="752" spans="6:12">
      <c r="H752" t="s">
        <v>20233</v>
      </c>
      <c r="I752" t="s">
        <v>1357</v>
      </c>
      <c r="J752" t="s">
        <v>1357</v>
      </c>
      <c r="K752" t="s">
        <v>1357</v>
      </c>
      <c r="L752" t="s">
        <v>1357</v>
      </c>
    </row>
    <row r="753" spans="6:12">
      <c r="H753" t="s">
        <v>20284</v>
      </c>
      <c r="I753" t="s">
        <v>1357</v>
      </c>
      <c r="J753" t="s">
        <v>1357</v>
      </c>
      <c r="K753" t="s">
        <v>1357</v>
      </c>
      <c r="L753" t="s">
        <v>1357</v>
      </c>
    </row>
    <row r="754" spans="6:12">
      <c r="H754" t="s">
        <v>20285</v>
      </c>
      <c r="I754" t="s">
        <v>1357</v>
      </c>
      <c r="J754" t="s">
        <v>1357</v>
      </c>
      <c r="K754" t="s">
        <v>1357</v>
      </c>
      <c r="L754" t="s">
        <v>1357</v>
      </c>
    </row>
    <row r="755" spans="6:12">
      <c r="H755" t="s">
        <v>20286</v>
      </c>
      <c r="I755" t="s">
        <v>1357</v>
      </c>
      <c r="J755" t="s">
        <v>1357</v>
      </c>
      <c r="K755" t="s">
        <v>1357</v>
      </c>
      <c r="L755" t="s">
        <v>1357</v>
      </c>
    </row>
    <row r="756" spans="6:12">
      <c r="F756" t="s">
        <v>14744</v>
      </c>
      <c r="G756" t="s">
        <v>17588</v>
      </c>
      <c r="H756" t="s">
        <v>20280</v>
      </c>
      <c r="I756" t="s">
        <v>1357</v>
      </c>
      <c r="J756" t="s">
        <v>1357</v>
      </c>
      <c r="K756" t="s">
        <v>1357</v>
      </c>
      <c r="L756" t="s">
        <v>1357</v>
      </c>
    </row>
    <row r="757" spans="6:12">
      <c r="H757" t="s">
        <v>20233</v>
      </c>
      <c r="I757" t="s">
        <v>1357</v>
      </c>
      <c r="J757" t="s">
        <v>1357</v>
      </c>
      <c r="K757" t="s">
        <v>1357</v>
      </c>
      <c r="L757" t="s">
        <v>1357</v>
      </c>
    </row>
    <row r="758" spans="6:12">
      <c r="H758" t="s">
        <v>20284</v>
      </c>
      <c r="I758" t="s">
        <v>1357</v>
      </c>
      <c r="J758" t="s">
        <v>1357</v>
      </c>
      <c r="K758" t="s">
        <v>1357</v>
      </c>
      <c r="L758" t="s">
        <v>1357</v>
      </c>
    </row>
    <row r="759" spans="6:12">
      <c r="H759" t="s">
        <v>20285</v>
      </c>
      <c r="I759" t="s">
        <v>1357</v>
      </c>
      <c r="J759" t="s">
        <v>1357</v>
      </c>
      <c r="K759" t="s">
        <v>1357</v>
      </c>
      <c r="L759" t="s">
        <v>1357</v>
      </c>
    </row>
    <row r="760" spans="6:12">
      <c r="H760" t="s">
        <v>20286</v>
      </c>
      <c r="I760" t="s">
        <v>1357</v>
      </c>
      <c r="J760" t="s">
        <v>1357</v>
      </c>
      <c r="K760" t="s">
        <v>1357</v>
      </c>
      <c r="L760" t="s">
        <v>1357</v>
      </c>
    </row>
    <row r="761" spans="6:12">
      <c r="F761" t="s">
        <v>14745</v>
      </c>
      <c r="G761" t="s">
        <v>17589</v>
      </c>
      <c r="H761" t="s">
        <v>20280</v>
      </c>
      <c r="I761" t="s">
        <v>1357</v>
      </c>
      <c r="J761" t="s">
        <v>1357</v>
      </c>
      <c r="K761" t="s">
        <v>1357</v>
      </c>
      <c r="L761" t="s">
        <v>1357</v>
      </c>
    </row>
    <row r="762" spans="6:12">
      <c r="H762" t="s">
        <v>20233</v>
      </c>
      <c r="I762" t="s">
        <v>1357</v>
      </c>
      <c r="J762" t="s">
        <v>1357</v>
      </c>
      <c r="K762" t="s">
        <v>1357</v>
      </c>
      <c r="L762" t="s">
        <v>1357</v>
      </c>
    </row>
    <row r="763" spans="6:12">
      <c r="H763" t="s">
        <v>20230</v>
      </c>
      <c r="I763" t="s">
        <v>1357</v>
      </c>
      <c r="J763" t="s">
        <v>1357</v>
      </c>
      <c r="K763" t="s">
        <v>1357</v>
      </c>
      <c r="L763" t="s">
        <v>1357</v>
      </c>
    </row>
    <row r="764" spans="6:12">
      <c r="H764" t="s">
        <v>20227</v>
      </c>
      <c r="I764" t="s">
        <v>1357</v>
      </c>
      <c r="J764" t="s">
        <v>1357</v>
      </c>
      <c r="K764" t="s">
        <v>1357</v>
      </c>
      <c r="L764" t="s">
        <v>1357</v>
      </c>
    </row>
    <row r="765" spans="6:12">
      <c r="H765" t="s">
        <v>20281</v>
      </c>
      <c r="I765" t="s">
        <v>1357</v>
      </c>
      <c r="J765" t="s">
        <v>1357</v>
      </c>
      <c r="K765" t="s">
        <v>1357</v>
      </c>
      <c r="L765" t="s">
        <v>1357</v>
      </c>
    </row>
    <row r="766" spans="6:12">
      <c r="H766" t="s">
        <v>20282</v>
      </c>
      <c r="I766" t="s">
        <v>1357</v>
      </c>
      <c r="J766" t="s">
        <v>1357</v>
      </c>
      <c r="K766" t="s">
        <v>1357</v>
      </c>
      <c r="L766" t="s">
        <v>1357</v>
      </c>
    </row>
    <row r="767" spans="6:12">
      <c r="H767" t="s">
        <v>20283</v>
      </c>
      <c r="I767" t="s">
        <v>1357</v>
      </c>
      <c r="J767" t="s">
        <v>1357</v>
      </c>
      <c r="K767" t="s">
        <v>1357</v>
      </c>
      <c r="L767" t="s">
        <v>1357</v>
      </c>
    </row>
    <row r="768" spans="6:12">
      <c r="H768" t="s">
        <v>20284</v>
      </c>
      <c r="I768" t="s">
        <v>1357</v>
      </c>
      <c r="J768" t="s">
        <v>1357</v>
      </c>
      <c r="K768" t="s">
        <v>1357</v>
      </c>
      <c r="L768" t="s">
        <v>1357</v>
      </c>
    </row>
    <row r="769" spans="6:12">
      <c r="H769" t="s">
        <v>20285</v>
      </c>
      <c r="I769" t="s">
        <v>1357</v>
      </c>
      <c r="J769" t="s">
        <v>1357</v>
      </c>
      <c r="K769" t="s">
        <v>1357</v>
      </c>
      <c r="L769" t="s">
        <v>1357</v>
      </c>
    </row>
    <row r="770" spans="6:12">
      <c r="H770" t="s">
        <v>20286</v>
      </c>
      <c r="I770" t="s">
        <v>1357</v>
      </c>
      <c r="J770" t="s">
        <v>1357</v>
      </c>
      <c r="K770" t="s">
        <v>1357</v>
      </c>
      <c r="L770" t="s">
        <v>1357</v>
      </c>
    </row>
    <row r="771" spans="6:12">
      <c r="H771" t="s">
        <v>20287</v>
      </c>
      <c r="I771" t="s">
        <v>1357</v>
      </c>
      <c r="J771" t="s">
        <v>1357</v>
      </c>
      <c r="K771" t="s">
        <v>1357</v>
      </c>
      <c r="L771" t="s">
        <v>1357</v>
      </c>
    </row>
    <row r="772" spans="6:12">
      <c r="H772" t="s">
        <v>20288</v>
      </c>
      <c r="I772" t="s">
        <v>1357</v>
      </c>
      <c r="J772" t="s">
        <v>1357</v>
      </c>
      <c r="K772" t="s">
        <v>1357</v>
      </c>
      <c r="L772" t="s">
        <v>1357</v>
      </c>
    </row>
    <row r="773" spans="6:12">
      <c r="F773" t="s">
        <v>14746</v>
      </c>
      <c r="G773" t="s">
        <v>17590</v>
      </c>
      <c r="H773" t="s">
        <v>20280</v>
      </c>
      <c r="I773" t="s">
        <v>1357</v>
      </c>
      <c r="J773" t="s">
        <v>1357</v>
      </c>
      <c r="K773" t="s">
        <v>1357</v>
      </c>
      <c r="L773" t="s">
        <v>1357</v>
      </c>
    </row>
    <row r="774" spans="6:12">
      <c r="H774" t="s">
        <v>20233</v>
      </c>
      <c r="I774" t="s">
        <v>1357</v>
      </c>
      <c r="J774" t="s">
        <v>1357</v>
      </c>
      <c r="K774" t="s">
        <v>1357</v>
      </c>
      <c r="L774" t="s">
        <v>1357</v>
      </c>
    </row>
    <row r="775" spans="6:12">
      <c r="H775" t="s">
        <v>20281</v>
      </c>
      <c r="I775" t="s">
        <v>1357</v>
      </c>
      <c r="J775" t="s">
        <v>1357</v>
      </c>
      <c r="K775" t="s">
        <v>1357</v>
      </c>
      <c r="L775" t="s">
        <v>1357</v>
      </c>
    </row>
    <row r="776" spans="6:12">
      <c r="H776" t="s">
        <v>20282</v>
      </c>
      <c r="I776" t="s">
        <v>1357</v>
      </c>
      <c r="J776" t="s">
        <v>1357</v>
      </c>
      <c r="K776" t="s">
        <v>1357</v>
      </c>
      <c r="L776" t="s">
        <v>1357</v>
      </c>
    </row>
    <row r="777" spans="6:12">
      <c r="H777" t="s">
        <v>20283</v>
      </c>
      <c r="I777" t="s">
        <v>1357</v>
      </c>
      <c r="J777" t="s">
        <v>1357</v>
      </c>
      <c r="K777" t="s">
        <v>1357</v>
      </c>
      <c r="L777" t="s">
        <v>1357</v>
      </c>
    </row>
    <row r="778" spans="6:12">
      <c r="H778" t="s">
        <v>20284</v>
      </c>
      <c r="I778" t="s">
        <v>1357</v>
      </c>
      <c r="J778" t="s">
        <v>1357</v>
      </c>
      <c r="K778" t="s">
        <v>1357</v>
      </c>
      <c r="L778" t="s">
        <v>1357</v>
      </c>
    </row>
    <row r="779" spans="6:12">
      <c r="H779" t="s">
        <v>20285</v>
      </c>
      <c r="I779" t="s">
        <v>1357</v>
      </c>
      <c r="J779" t="s">
        <v>1357</v>
      </c>
      <c r="K779" t="s">
        <v>1357</v>
      </c>
      <c r="L779" t="s">
        <v>1357</v>
      </c>
    </row>
    <row r="780" spans="6:12">
      <c r="H780" t="s">
        <v>20286</v>
      </c>
      <c r="I780" t="s">
        <v>1357</v>
      </c>
      <c r="J780" t="s">
        <v>1357</v>
      </c>
      <c r="K780" t="s">
        <v>1357</v>
      </c>
      <c r="L780" t="s">
        <v>1357</v>
      </c>
    </row>
    <row r="781" spans="6:12">
      <c r="H781" t="s">
        <v>20287</v>
      </c>
      <c r="I781" t="s">
        <v>1357</v>
      </c>
      <c r="J781" t="s">
        <v>1357</v>
      </c>
      <c r="K781" t="s">
        <v>1357</v>
      </c>
      <c r="L781" t="s">
        <v>1357</v>
      </c>
    </row>
    <row r="782" spans="6:12">
      <c r="H782" t="s">
        <v>20288</v>
      </c>
      <c r="I782" t="s">
        <v>1357</v>
      </c>
      <c r="J782" t="s">
        <v>1357</v>
      </c>
      <c r="K782" t="s">
        <v>1357</v>
      </c>
      <c r="L782" t="s">
        <v>1357</v>
      </c>
    </row>
    <row r="783" spans="6:12">
      <c r="H783" t="s">
        <v>20289</v>
      </c>
      <c r="I783" t="s">
        <v>1357</v>
      </c>
      <c r="J783" t="s">
        <v>1357</v>
      </c>
      <c r="K783" t="s">
        <v>1357</v>
      </c>
      <c r="L783" t="s">
        <v>1357</v>
      </c>
    </row>
    <row r="784" spans="6:12">
      <c r="H784" t="s">
        <v>20290</v>
      </c>
      <c r="I784" t="s">
        <v>1357</v>
      </c>
      <c r="J784" t="s">
        <v>1357</v>
      </c>
      <c r="K784" t="s">
        <v>1357</v>
      </c>
      <c r="L784" t="s">
        <v>1357</v>
      </c>
    </row>
    <row r="785" spans="6:12">
      <c r="H785" t="s">
        <v>20291</v>
      </c>
      <c r="I785" t="s">
        <v>1357</v>
      </c>
      <c r="J785" t="s">
        <v>1357</v>
      </c>
      <c r="K785" t="s">
        <v>1357</v>
      </c>
      <c r="L785" t="s">
        <v>1357</v>
      </c>
    </row>
    <row r="786" spans="6:12">
      <c r="F786" t="s">
        <v>14747</v>
      </c>
      <c r="G786" t="s">
        <v>17591</v>
      </c>
      <c r="H786" t="s">
        <v>20280</v>
      </c>
      <c r="I786" t="s">
        <v>1357</v>
      </c>
      <c r="J786" t="s">
        <v>1357</v>
      </c>
      <c r="K786" t="s">
        <v>1357</v>
      </c>
      <c r="L786" t="s">
        <v>1357</v>
      </c>
    </row>
    <row r="787" spans="6:12">
      <c r="H787" t="s">
        <v>20233</v>
      </c>
      <c r="I787" t="s">
        <v>1357</v>
      </c>
      <c r="J787" t="s">
        <v>1357</v>
      </c>
      <c r="K787" t="s">
        <v>1357</v>
      </c>
      <c r="L787" t="s">
        <v>1357</v>
      </c>
    </row>
    <row r="788" spans="6:12">
      <c r="H788" t="s">
        <v>20281</v>
      </c>
      <c r="I788" t="s">
        <v>1357</v>
      </c>
      <c r="J788" t="s">
        <v>1357</v>
      </c>
      <c r="K788" t="s">
        <v>1357</v>
      </c>
      <c r="L788" t="s">
        <v>1357</v>
      </c>
    </row>
    <row r="789" spans="6:12">
      <c r="H789" t="s">
        <v>20282</v>
      </c>
      <c r="I789" t="s">
        <v>1357</v>
      </c>
      <c r="J789" t="s">
        <v>1357</v>
      </c>
      <c r="K789" t="s">
        <v>1357</v>
      </c>
      <c r="L789" t="s">
        <v>1357</v>
      </c>
    </row>
    <row r="790" spans="6:12">
      <c r="H790" t="s">
        <v>20283</v>
      </c>
      <c r="I790" t="s">
        <v>1357</v>
      </c>
      <c r="J790" t="s">
        <v>1357</v>
      </c>
      <c r="K790" t="s">
        <v>1357</v>
      </c>
      <c r="L790" t="s">
        <v>1357</v>
      </c>
    </row>
    <row r="791" spans="6:12">
      <c r="H791" t="s">
        <v>20284</v>
      </c>
      <c r="I791" t="s">
        <v>1357</v>
      </c>
      <c r="J791" t="s">
        <v>1357</v>
      </c>
      <c r="K791" t="s">
        <v>1357</v>
      </c>
      <c r="L791" t="s">
        <v>1357</v>
      </c>
    </row>
    <row r="792" spans="6:12">
      <c r="H792" t="s">
        <v>20285</v>
      </c>
      <c r="I792" t="s">
        <v>1357</v>
      </c>
      <c r="J792" t="s">
        <v>1357</v>
      </c>
      <c r="K792" t="s">
        <v>1357</v>
      </c>
      <c r="L792" t="s">
        <v>1357</v>
      </c>
    </row>
    <row r="793" spans="6:12">
      <c r="H793" t="s">
        <v>20286</v>
      </c>
      <c r="I793" t="s">
        <v>1357</v>
      </c>
      <c r="J793" t="s">
        <v>1357</v>
      </c>
      <c r="K793" t="s">
        <v>1357</v>
      </c>
      <c r="L793" t="s">
        <v>1357</v>
      </c>
    </row>
    <row r="794" spans="6:12">
      <c r="H794" t="s">
        <v>20287</v>
      </c>
      <c r="I794" t="s">
        <v>1357</v>
      </c>
      <c r="J794" t="s">
        <v>1357</v>
      </c>
      <c r="K794" t="s">
        <v>1357</v>
      </c>
      <c r="L794" t="s">
        <v>1357</v>
      </c>
    </row>
    <row r="795" spans="6:12">
      <c r="H795" t="s">
        <v>20288</v>
      </c>
      <c r="I795" t="s">
        <v>1357</v>
      </c>
      <c r="J795" t="s">
        <v>1357</v>
      </c>
      <c r="K795" t="s">
        <v>1357</v>
      </c>
      <c r="L795" t="s">
        <v>1357</v>
      </c>
    </row>
    <row r="796" spans="6:12">
      <c r="H796" t="s">
        <v>20289</v>
      </c>
      <c r="I796" t="s">
        <v>1357</v>
      </c>
      <c r="J796" t="s">
        <v>1357</v>
      </c>
      <c r="K796" t="s">
        <v>1357</v>
      </c>
      <c r="L796" t="s">
        <v>1357</v>
      </c>
    </row>
    <row r="797" spans="6:12">
      <c r="H797" t="s">
        <v>20290</v>
      </c>
      <c r="I797" t="s">
        <v>1357</v>
      </c>
      <c r="J797" t="s">
        <v>1357</v>
      </c>
      <c r="K797" t="s">
        <v>1357</v>
      </c>
      <c r="L797" t="s">
        <v>1357</v>
      </c>
    </row>
    <row r="798" spans="6:12">
      <c r="H798" t="s">
        <v>20291</v>
      </c>
      <c r="I798" t="s">
        <v>1357</v>
      </c>
      <c r="J798" t="s">
        <v>1357</v>
      </c>
      <c r="K798" t="s">
        <v>1357</v>
      </c>
      <c r="L798" t="s">
        <v>1357</v>
      </c>
    </row>
    <row r="799" spans="6:12">
      <c r="F799" t="s">
        <v>14748</v>
      </c>
      <c r="G799" t="s">
        <v>17592</v>
      </c>
      <c r="H799" t="s">
        <v>20280</v>
      </c>
      <c r="I799" t="s">
        <v>1357</v>
      </c>
      <c r="J799" t="s">
        <v>1357</v>
      </c>
      <c r="K799" t="s">
        <v>1357</v>
      </c>
      <c r="L799" t="s">
        <v>1357</v>
      </c>
    </row>
    <row r="800" spans="6:12">
      <c r="H800" t="s">
        <v>20296</v>
      </c>
      <c r="I800" t="s">
        <v>1357</v>
      </c>
      <c r="J800" t="s">
        <v>1357</v>
      </c>
      <c r="K800" t="s">
        <v>1357</v>
      </c>
      <c r="L800" t="s">
        <v>1357</v>
      </c>
    </row>
    <row r="801" spans="6:12">
      <c r="H801" t="s">
        <v>20297</v>
      </c>
      <c r="I801" t="s">
        <v>1357</v>
      </c>
      <c r="J801" t="s">
        <v>1357</v>
      </c>
      <c r="K801" t="s">
        <v>1357</v>
      </c>
      <c r="L801" t="s">
        <v>1357</v>
      </c>
    </row>
    <row r="802" spans="6:12">
      <c r="H802" t="s">
        <v>20284</v>
      </c>
      <c r="I802" t="s">
        <v>1357</v>
      </c>
      <c r="J802" t="s">
        <v>1357</v>
      </c>
      <c r="K802" t="s">
        <v>1357</v>
      </c>
      <c r="L802" t="s">
        <v>1357</v>
      </c>
    </row>
    <row r="803" spans="6:12">
      <c r="F803" t="s">
        <v>14749</v>
      </c>
      <c r="G803" t="s">
        <v>17593</v>
      </c>
      <c r="H803" t="s">
        <v>20280</v>
      </c>
      <c r="I803" t="s">
        <v>1357</v>
      </c>
      <c r="J803" t="s">
        <v>1357</v>
      </c>
      <c r="K803" t="s">
        <v>1357</v>
      </c>
      <c r="L803" t="s">
        <v>1357</v>
      </c>
    </row>
    <row r="804" spans="6:12">
      <c r="H804" t="s">
        <v>20233</v>
      </c>
      <c r="I804" t="s">
        <v>1357</v>
      </c>
      <c r="J804" t="s">
        <v>1357</v>
      </c>
      <c r="K804" t="s">
        <v>1357</v>
      </c>
      <c r="L804" t="s">
        <v>1357</v>
      </c>
    </row>
    <row r="805" spans="6:12">
      <c r="H805" t="s">
        <v>20281</v>
      </c>
      <c r="I805" t="s">
        <v>1357</v>
      </c>
      <c r="J805" t="s">
        <v>1357</v>
      </c>
      <c r="K805" t="s">
        <v>1357</v>
      </c>
      <c r="L805" t="s">
        <v>1357</v>
      </c>
    </row>
    <row r="806" spans="6:12">
      <c r="H806" t="s">
        <v>20282</v>
      </c>
      <c r="I806" t="s">
        <v>1357</v>
      </c>
      <c r="J806" t="s">
        <v>1357</v>
      </c>
      <c r="K806" t="s">
        <v>1357</v>
      </c>
      <c r="L806" t="s">
        <v>1357</v>
      </c>
    </row>
    <row r="807" spans="6:12">
      <c r="H807" t="s">
        <v>20283</v>
      </c>
      <c r="I807" t="s">
        <v>1357</v>
      </c>
      <c r="J807" t="s">
        <v>1357</v>
      </c>
      <c r="K807" t="s">
        <v>1357</v>
      </c>
      <c r="L807" t="s">
        <v>1357</v>
      </c>
    </row>
    <row r="808" spans="6:12">
      <c r="H808" t="s">
        <v>20284</v>
      </c>
      <c r="I808" t="s">
        <v>1357</v>
      </c>
      <c r="J808" t="s">
        <v>1357</v>
      </c>
      <c r="K808" t="s">
        <v>1357</v>
      </c>
      <c r="L808" t="s">
        <v>1357</v>
      </c>
    </row>
    <row r="809" spans="6:12">
      <c r="H809" t="s">
        <v>20285</v>
      </c>
      <c r="I809" t="s">
        <v>1357</v>
      </c>
      <c r="J809" t="s">
        <v>1357</v>
      </c>
      <c r="K809" t="s">
        <v>1357</v>
      </c>
      <c r="L809" t="s">
        <v>1357</v>
      </c>
    </row>
    <row r="810" spans="6:12">
      <c r="H810" t="s">
        <v>20286</v>
      </c>
      <c r="I810" t="s">
        <v>1357</v>
      </c>
      <c r="J810" t="s">
        <v>1357</v>
      </c>
      <c r="K810" t="s">
        <v>1357</v>
      </c>
      <c r="L810" t="s">
        <v>1357</v>
      </c>
    </row>
    <row r="811" spans="6:12">
      <c r="H811" t="s">
        <v>20287</v>
      </c>
      <c r="I811" t="s">
        <v>1357</v>
      </c>
      <c r="J811" t="s">
        <v>1357</v>
      </c>
      <c r="K811" t="s">
        <v>1357</v>
      </c>
      <c r="L811" t="s">
        <v>1357</v>
      </c>
    </row>
    <row r="812" spans="6:12">
      <c r="H812" t="s">
        <v>20288</v>
      </c>
      <c r="I812" t="s">
        <v>1357</v>
      </c>
      <c r="J812" t="s">
        <v>1357</v>
      </c>
      <c r="K812" t="s">
        <v>1357</v>
      </c>
      <c r="L812" t="s">
        <v>1357</v>
      </c>
    </row>
    <row r="813" spans="6:12">
      <c r="H813" t="s">
        <v>20289</v>
      </c>
      <c r="I813" t="s">
        <v>1357</v>
      </c>
      <c r="J813" t="s">
        <v>1357</v>
      </c>
      <c r="K813" t="s">
        <v>1357</v>
      </c>
      <c r="L813" t="s">
        <v>1357</v>
      </c>
    </row>
    <row r="814" spans="6:12">
      <c r="H814" t="s">
        <v>20290</v>
      </c>
      <c r="I814" t="s">
        <v>1357</v>
      </c>
      <c r="J814" t="s">
        <v>1357</v>
      </c>
      <c r="K814" t="s">
        <v>1357</v>
      </c>
      <c r="L814" t="s">
        <v>1357</v>
      </c>
    </row>
    <row r="815" spans="6:12">
      <c r="H815" t="s">
        <v>20291</v>
      </c>
      <c r="I815" t="s">
        <v>1357</v>
      </c>
      <c r="J815" t="s">
        <v>1357</v>
      </c>
      <c r="K815" t="s">
        <v>1357</v>
      </c>
      <c r="L815" t="s">
        <v>1357</v>
      </c>
    </row>
    <row r="816" spans="6:12">
      <c r="F816" t="s">
        <v>14750</v>
      </c>
      <c r="G816" t="s">
        <v>17594</v>
      </c>
      <c r="H816" t="s">
        <v>20280</v>
      </c>
      <c r="I816" t="s">
        <v>1357</v>
      </c>
      <c r="J816" t="s">
        <v>1357</v>
      </c>
      <c r="K816" t="s">
        <v>1357</v>
      </c>
      <c r="L816" t="s">
        <v>1357</v>
      </c>
    </row>
    <row r="817" spans="6:12">
      <c r="H817" t="s">
        <v>20233</v>
      </c>
      <c r="I817" t="s">
        <v>1357</v>
      </c>
      <c r="J817" t="s">
        <v>1357</v>
      </c>
      <c r="K817" t="s">
        <v>1357</v>
      </c>
      <c r="L817" t="s">
        <v>1357</v>
      </c>
    </row>
    <row r="818" spans="6:12">
      <c r="H818" t="s">
        <v>20281</v>
      </c>
      <c r="I818" t="s">
        <v>1357</v>
      </c>
      <c r="J818" t="s">
        <v>1357</v>
      </c>
      <c r="K818" t="s">
        <v>1357</v>
      </c>
      <c r="L818" t="s">
        <v>1357</v>
      </c>
    </row>
    <row r="819" spans="6:12">
      <c r="H819" t="s">
        <v>20282</v>
      </c>
      <c r="I819" t="s">
        <v>1357</v>
      </c>
      <c r="J819" t="s">
        <v>1357</v>
      </c>
      <c r="K819" t="s">
        <v>1357</v>
      </c>
      <c r="L819" t="s">
        <v>1357</v>
      </c>
    </row>
    <row r="820" spans="6:12">
      <c r="H820" t="s">
        <v>20283</v>
      </c>
      <c r="I820" t="s">
        <v>1357</v>
      </c>
      <c r="J820" t="s">
        <v>1357</v>
      </c>
      <c r="K820" t="s">
        <v>1357</v>
      </c>
      <c r="L820" t="s">
        <v>1357</v>
      </c>
    </row>
    <row r="821" spans="6:12">
      <c r="H821" t="s">
        <v>20284</v>
      </c>
      <c r="I821" t="s">
        <v>1357</v>
      </c>
      <c r="J821" t="s">
        <v>1357</v>
      </c>
      <c r="K821" t="s">
        <v>1357</v>
      </c>
      <c r="L821" t="s">
        <v>1357</v>
      </c>
    </row>
    <row r="822" spans="6:12">
      <c r="H822" t="s">
        <v>20285</v>
      </c>
      <c r="I822" t="s">
        <v>1357</v>
      </c>
      <c r="J822" t="s">
        <v>1357</v>
      </c>
      <c r="K822" t="s">
        <v>1357</v>
      </c>
      <c r="L822" t="s">
        <v>1357</v>
      </c>
    </row>
    <row r="823" spans="6:12">
      <c r="H823" t="s">
        <v>20286</v>
      </c>
      <c r="I823" t="s">
        <v>1357</v>
      </c>
      <c r="J823" t="s">
        <v>1357</v>
      </c>
      <c r="K823" t="s">
        <v>1357</v>
      </c>
      <c r="L823" t="s">
        <v>1357</v>
      </c>
    </row>
    <row r="824" spans="6:12">
      <c r="H824" t="s">
        <v>20287</v>
      </c>
      <c r="I824" t="s">
        <v>1357</v>
      </c>
      <c r="J824" t="s">
        <v>1357</v>
      </c>
      <c r="K824" t="s">
        <v>1357</v>
      </c>
      <c r="L824" t="s">
        <v>1357</v>
      </c>
    </row>
    <row r="825" spans="6:12">
      <c r="H825" t="s">
        <v>20288</v>
      </c>
      <c r="I825" t="s">
        <v>1357</v>
      </c>
      <c r="J825" t="s">
        <v>1357</v>
      </c>
      <c r="K825" t="s">
        <v>1357</v>
      </c>
      <c r="L825" t="s">
        <v>1357</v>
      </c>
    </row>
    <row r="826" spans="6:12">
      <c r="H826" t="s">
        <v>20289</v>
      </c>
      <c r="I826" t="s">
        <v>1357</v>
      </c>
      <c r="J826" t="s">
        <v>1357</v>
      </c>
      <c r="K826" t="s">
        <v>1357</v>
      </c>
      <c r="L826" t="s">
        <v>1357</v>
      </c>
    </row>
    <row r="827" spans="6:12">
      <c r="H827" t="s">
        <v>20290</v>
      </c>
      <c r="I827" t="s">
        <v>1357</v>
      </c>
      <c r="J827" t="s">
        <v>1357</v>
      </c>
      <c r="K827" t="s">
        <v>1357</v>
      </c>
      <c r="L827" t="s">
        <v>1357</v>
      </c>
    </row>
    <row r="828" spans="6:12">
      <c r="H828" t="s">
        <v>20291</v>
      </c>
      <c r="I828" t="s">
        <v>1357</v>
      </c>
      <c r="J828" t="s">
        <v>1357</v>
      </c>
      <c r="K828" t="s">
        <v>1357</v>
      </c>
      <c r="L828" t="s">
        <v>1357</v>
      </c>
    </row>
    <row r="829" spans="6:12">
      <c r="F829" t="s">
        <v>14751</v>
      </c>
      <c r="G829" t="s">
        <v>17595</v>
      </c>
      <c r="H829" t="s">
        <v>20280</v>
      </c>
      <c r="I829" t="s">
        <v>1357</v>
      </c>
      <c r="J829" t="s">
        <v>1357</v>
      </c>
      <c r="K829" t="s">
        <v>1357</v>
      </c>
      <c r="L829" t="s">
        <v>1357</v>
      </c>
    </row>
    <row r="830" spans="6:12">
      <c r="H830" t="s">
        <v>20233</v>
      </c>
      <c r="I830" t="s">
        <v>1357</v>
      </c>
      <c r="J830" t="s">
        <v>1357</v>
      </c>
      <c r="K830" t="s">
        <v>1357</v>
      </c>
      <c r="L830" t="s">
        <v>1357</v>
      </c>
    </row>
    <row r="831" spans="6:12">
      <c r="H831" t="s">
        <v>20227</v>
      </c>
      <c r="I831" t="s">
        <v>1357</v>
      </c>
      <c r="J831" t="s">
        <v>1357</v>
      </c>
      <c r="K831" t="s">
        <v>1357</v>
      </c>
      <c r="L831" t="s">
        <v>1357</v>
      </c>
    </row>
    <row r="832" spans="6:12">
      <c r="H832" t="s">
        <v>20281</v>
      </c>
      <c r="I832" t="s">
        <v>1357</v>
      </c>
      <c r="J832" t="s">
        <v>1357</v>
      </c>
      <c r="K832" t="s">
        <v>1357</v>
      </c>
      <c r="L832" t="s">
        <v>1357</v>
      </c>
    </row>
    <row r="833" spans="6:12">
      <c r="H833" t="s">
        <v>20282</v>
      </c>
      <c r="I833" t="s">
        <v>1357</v>
      </c>
      <c r="J833" t="s">
        <v>1357</v>
      </c>
      <c r="K833" t="s">
        <v>1357</v>
      </c>
      <c r="L833" t="s">
        <v>1357</v>
      </c>
    </row>
    <row r="834" spans="6:12">
      <c r="H834" t="s">
        <v>20283</v>
      </c>
      <c r="I834" t="s">
        <v>1357</v>
      </c>
      <c r="J834" t="s">
        <v>1357</v>
      </c>
      <c r="K834" t="s">
        <v>1357</v>
      </c>
      <c r="L834" t="s">
        <v>1357</v>
      </c>
    </row>
    <row r="835" spans="6:12">
      <c r="H835" t="s">
        <v>20284</v>
      </c>
      <c r="I835" t="s">
        <v>1357</v>
      </c>
      <c r="J835" t="s">
        <v>1357</v>
      </c>
      <c r="K835" t="s">
        <v>1357</v>
      </c>
      <c r="L835" t="s">
        <v>1357</v>
      </c>
    </row>
    <row r="836" spans="6:12">
      <c r="H836" t="s">
        <v>20285</v>
      </c>
      <c r="I836" t="s">
        <v>1357</v>
      </c>
      <c r="J836" t="s">
        <v>1357</v>
      </c>
      <c r="K836" t="s">
        <v>1357</v>
      </c>
      <c r="L836" t="s">
        <v>1357</v>
      </c>
    </row>
    <row r="837" spans="6:12">
      <c r="H837" t="s">
        <v>20286</v>
      </c>
      <c r="I837" t="s">
        <v>1357</v>
      </c>
      <c r="J837" t="s">
        <v>1357</v>
      </c>
      <c r="K837" t="s">
        <v>1357</v>
      </c>
      <c r="L837" t="s">
        <v>1357</v>
      </c>
    </row>
    <row r="838" spans="6:12">
      <c r="H838" t="s">
        <v>20287</v>
      </c>
      <c r="I838" t="s">
        <v>1357</v>
      </c>
      <c r="J838" t="s">
        <v>1357</v>
      </c>
      <c r="K838" t="s">
        <v>1357</v>
      </c>
      <c r="L838" t="s">
        <v>1357</v>
      </c>
    </row>
    <row r="839" spans="6:12">
      <c r="F839" t="s">
        <v>14752</v>
      </c>
      <c r="G839" t="s">
        <v>17596</v>
      </c>
      <c r="H839" t="s">
        <v>20280</v>
      </c>
      <c r="I839" t="s">
        <v>1357</v>
      </c>
      <c r="J839" t="s">
        <v>1357</v>
      </c>
      <c r="K839" t="s">
        <v>1357</v>
      </c>
      <c r="L839" t="s">
        <v>1357</v>
      </c>
    </row>
    <row r="840" spans="6:12">
      <c r="H840" t="s">
        <v>20233</v>
      </c>
      <c r="I840" t="s">
        <v>1357</v>
      </c>
      <c r="J840" t="s">
        <v>1357</v>
      </c>
      <c r="K840" t="s">
        <v>1357</v>
      </c>
      <c r="L840" t="s">
        <v>1357</v>
      </c>
    </row>
    <row r="841" spans="6:12">
      <c r="H841" t="s">
        <v>20230</v>
      </c>
      <c r="I841" t="s">
        <v>1357</v>
      </c>
      <c r="J841" t="s">
        <v>1357</v>
      </c>
      <c r="K841" t="s">
        <v>1357</v>
      </c>
      <c r="L841" t="s">
        <v>1357</v>
      </c>
    </row>
    <row r="842" spans="6:12">
      <c r="H842" t="s">
        <v>20296</v>
      </c>
      <c r="I842" t="s">
        <v>1357</v>
      </c>
      <c r="J842" t="s">
        <v>1357</v>
      </c>
      <c r="K842" t="s">
        <v>1357</v>
      </c>
      <c r="L842" t="s">
        <v>1357</v>
      </c>
    </row>
    <row r="843" spans="6:12">
      <c r="H843" t="s">
        <v>20297</v>
      </c>
      <c r="I843" t="s">
        <v>1357</v>
      </c>
      <c r="J843" t="s">
        <v>1357</v>
      </c>
      <c r="K843" t="s">
        <v>1357</v>
      </c>
      <c r="L843" t="s">
        <v>1357</v>
      </c>
    </row>
    <row r="844" spans="6:12">
      <c r="H844" t="s">
        <v>20234</v>
      </c>
      <c r="I844" t="s">
        <v>1357</v>
      </c>
      <c r="J844" t="s">
        <v>1357</v>
      </c>
      <c r="K844" t="s">
        <v>1357</v>
      </c>
      <c r="L844" t="s">
        <v>1357</v>
      </c>
    </row>
    <row r="845" spans="6:12">
      <c r="H845" t="s">
        <v>20235</v>
      </c>
      <c r="I845" t="s">
        <v>1357</v>
      </c>
      <c r="J845" t="s">
        <v>1357</v>
      </c>
      <c r="K845" t="s">
        <v>1357</v>
      </c>
      <c r="L845" t="s">
        <v>1357</v>
      </c>
    </row>
    <row r="846" spans="6:12">
      <c r="H846" t="s">
        <v>20298</v>
      </c>
      <c r="I846" t="s">
        <v>1357</v>
      </c>
      <c r="J846" t="s">
        <v>1357</v>
      </c>
      <c r="K846" t="s">
        <v>1357</v>
      </c>
      <c r="L846" t="s">
        <v>1357</v>
      </c>
    </row>
    <row r="847" spans="6:12">
      <c r="H847" t="s">
        <v>20299</v>
      </c>
      <c r="I847" t="s">
        <v>1357</v>
      </c>
      <c r="J847" t="s">
        <v>1357</v>
      </c>
      <c r="K847" t="s">
        <v>1357</v>
      </c>
      <c r="L847" t="s">
        <v>1357</v>
      </c>
    </row>
    <row r="848" spans="6:12">
      <c r="H848" t="s">
        <v>20300</v>
      </c>
      <c r="I848" t="s">
        <v>1357</v>
      </c>
      <c r="J848" t="s">
        <v>1357</v>
      </c>
      <c r="K848" t="s">
        <v>1357</v>
      </c>
      <c r="L848" t="s">
        <v>1357</v>
      </c>
    </row>
    <row r="849" spans="6:12">
      <c r="H849" t="s">
        <v>20284</v>
      </c>
      <c r="I849" t="s">
        <v>1357</v>
      </c>
      <c r="J849" t="s">
        <v>1357</v>
      </c>
      <c r="K849" t="s">
        <v>1357</v>
      </c>
      <c r="L849" t="s">
        <v>1357</v>
      </c>
    </row>
    <row r="850" spans="6:12">
      <c r="H850" t="s">
        <v>20285</v>
      </c>
      <c r="I850" t="s">
        <v>1357</v>
      </c>
      <c r="J850" t="s">
        <v>1357</v>
      </c>
      <c r="K850" t="s">
        <v>1357</v>
      </c>
      <c r="L850" t="s">
        <v>1357</v>
      </c>
    </row>
    <row r="851" spans="6:12">
      <c r="H851" t="s">
        <v>20286</v>
      </c>
      <c r="I851" t="s">
        <v>1357</v>
      </c>
      <c r="J851" t="s">
        <v>1357</v>
      </c>
      <c r="K851" t="s">
        <v>1357</v>
      </c>
      <c r="L851" t="s">
        <v>1357</v>
      </c>
    </row>
    <row r="852" spans="6:12">
      <c r="H852" t="s">
        <v>20287</v>
      </c>
      <c r="I852" t="s">
        <v>1357</v>
      </c>
      <c r="J852" t="s">
        <v>1357</v>
      </c>
      <c r="K852" t="s">
        <v>1357</v>
      </c>
      <c r="L852" t="s">
        <v>1357</v>
      </c>
    </row>
    <row r="853" spans="6:12">
      <c r="F853" t="s">
        <v>14753</v>
      </c>
      <c r="G853" t="s">
        <v>17597</v>
      </c>
      <c r="H853" t="s">
        <v>20280</v>
      </c>
      <c r="I853" t="s">
        <v>1357</v>
      </c>
      <c r="J853" t="s">
        <v>1357</v>
      </c>
      <c r="K853" t="s">
        <v>1357</v>
      </c>
      <c r="L853" t="s">
        <v>1357</v>
      </c>
    </row>
    <row r="854" spans="6:12">
      <c r="H854" t="s">
        <v>20233</v>
      </c>
      <c r="I854" t="s">
        <v>1357</v>
      </c>
      <c r="J854" t="s">
        <v>1357</v>
      </c>
      <c r="K854" t="s">
        <v>1357</v>
      </c>
      <c r="L854" t="s">
        <v>1357</v>
      </c>
    </row>
    <row r="855" spans="6:12">
      <c r="H855" t="s">
        <v>20230</v>
      </c>
      <c r="I855" t="s">
        <v>1357</v>
      </c>
      <c r="J855" t="s">
        <v>1357</v>
      </c>
      <c r="K855" t="s">
        <v>1357</v>
      </c>
      <c r="L855" t="s">
        <v>1357</v>
      </c>
    </row>
    <row r="856" spans="6:12">
      <c r="H856" t="s">
        <v>20296</v>
      </c>
      <c r="I856" t="s">
        <v>1357</v>
      </c>
      <c r="J856" t="s">
        <v>1357</v>
      </c>
      <c r="K856" t="s">
        <v>1357</v>
      </c>
      <c r="L856" t="s">
        <v>1357</v>
      </c>
    </row>
    <row r="857" spans="6:12">
      <c r="H857" t="s">
        <v>20297</v>
      </c>
      <c r="I857" t="s">
        <v>1357</v>
      </c>
      <c r="J857" t="s">
        <v>1357</v>
      </c>
      <c r="K857" t="s">
        <v>1357</v>
      </c>
      <c r="L857" t="s">
        <v>1357</v>
      </c>
    </row>
    <row r="858" spans="6:12">
      <c r="H858" t="s">
        <v>20234</v>
      </c>
      <c r="I858" t="s">
        <v>1357</v>
      </c>
      <c r="J858" t="s">
        <v>1357</v>
      </c>
      <c r="K858" t="s">
        <v>1357</v>
      </c>
      <c r="L858" t="s">
        <v>1357</v>
      </c>
    </row>
    <row r="859" spans="6:12">
      <c r="H859" t="s">
        <v>20235</v>
      </c>
      <c r="I859" t="s">
        <v>1357</v>
      </c>
      <c r="J859" t="s">
        <v>1357</v>
      </c>
      <c r="K859" t="s">
        <v>1357</v>
      </c>
      <c r="L859" t="s">
        <v>1357</v>
      </c>
    </row>
    <row r="860" spans="6:12">
      <c r="H860" t="s">
        <v>20298</v>
      </c>
      <c r="I860" t="s">
        <v>1357</v>
      </c>
      <c r="J860" t="s">
        <v>1357</v>
      </c>
      <c r="K860" t="s">
        <v>1357</v>
      </c>
      <c r="L860" t="s">
        <v>1357</v>
      </c>
    </row>
    <row r="861" spans="6:12">
      <c r="H861" t="s">
        <v>20299</v>
      </c>
      <c r="I861" t="s">
        <v>1357</v>
      </c>
      <c r="J861" t="s">
        <v>1357</v>
      </c>
      <c r="K861" t="s">
        <v>1357</v>
      </c>
      <c r="L861" t="s">
        <v>1357</v>
      </c>
    </row>
    <row r="862" spans="6:12">
      <c r="H862" t="s">
        <v>20284</v>
      </c>
      <c r="I862" t="s">
        <v>1357</v>
      </c>
      <c r="J862" t="s">
        <v>1357</v>
      </c>
      <c r="K862" t="s">
        <v>1357</v>
      </c>
      <c r="L862" t="s">
        <v>1357</v>
      </c>
    </row>
    <row r="863" spans="6:12">
      <c r="H863" t="s">
        <v>20285</v>
      </c>
      <c r="I863" t="s">
        <v>1357</v>
      </c>
      <c r="J863" t="s">
        <v>1357</v>
      </c>
      <c r="K863" t="s">
        <v>1357</v>
      </c>
      <c r="L863" t="s">
        <v>1357</v>
      </c>
    </row>
    <row r="864" spans="6:12">
      <c r="H864" t="s">
        <v>20286</v>
      </c>
      <c r="I864" t="s">
        <v>1357</v>
      </c>
      <c r="J864" t="s">
        <v>1357</v>
      </c>
      <c r="K864" t="s">
        <v>1357</v>
      </c>
      <c r="L864" t="s">
        <v>1357</v>
      </c>
    </row>
    <row r="865" spans="6:12">
      <c r="H865" t="s">
        <v>20287</v>
      </c>
      <c r="I865" t="s">
        <v>1357</v>
      </c>
      <c r="J865" t="s">
        <v>1357</v>
      </c>
      <c r="K865" t="s">
        <v>1357</v>
      </c>
      <c r="L865" t="s">
        <v>1357</v>
      </c>
    </row>
    <row r="866" spans="6:12">
      <c r="F866" t="s">
        <v>14754</v>
      </c>
      <c r="G866" t="s">
        <v>17598</v>
      </c>
      <c r="H866" t="s">
        <v>20280</v>
      </c>
      <c r="I866" t="s">
        <v>1357</v>
      </c>
      <c r="J866" t="s">
        <v>1357</v>
      </c>
      <c r="K866" t="s">
        <v>1357</v>
      </c>
      <c r="L866" t="s">
        <v>1357</v>
      </c>
    </row>
    <row r="867" spans="6:12">
      <c r="H867" t="s">
        <v>20233</v>
      </c>
      <c r="I867" t="s">
        <v>1357</v>
      </c>
      <c r="J867" t="s">
        <v>1357</v>
      </c>
      <c r="K867" t="s">
        <v>1357</v>
      </c>
      <c r="L867" t="s">
        <v>1357</v>
      </c>
    </row>
    <row r="868" spans="6:12">
      <c r="H868" t="s">
        <v>20230</v>
      </c>
      <c r="I868" t="s">
        <v>1357</v>
      </c>
      <c r="J868" t="s">
        <v>1357</v>
      </c>
      <c r="K868" t="s">
        <v>1357</v>
      </c>
      <c r="L868" t="s">
        <v>1357</v>
      </c>
    </row>
    <row r="869" spans="6:12">
      <c r="H869" t="s">
        <v>20296</v>
      </c>
      <c r="I869" t="s">
        <v>1357</v>
      </c>
      <c r="J869" t="s">
        <v>1357</v>
      </c>
      <c r="K869" t="s">
        <v>1357</v>
      </c>
      <c r="L869" t="s">
        <v>1357</v>
      </c>
    </row>
    <row r="870" spans="6:12">
      <c r="H870" t="s">
        <v>20297</v>
      </c>
      <c r="I870" t="s">
        <v>1357</v>
      </c>
      <c r="J870" t="s">
        <v>1357</v>
      </c>
      <c r="K870" t="s">
        <v>1357</v>
      </c>
      <c r="L870" t="s">
        <v>1357</v>
      </c>
    </row>
    <row r="871" spans="6:12">
      <c r="H871" t="s">
        <v>20234</v>
      </c>
      <c r="I871" t="s">
        <v>1357</v>
      </c>
      <c r="J871" t="s">
        <v>1357</v>
      </c>
      <c r="K871" t="s">
        <v>1357</v>
      </c>
      <c r="L871" t="s">
        <v>1357</v>
      </c>
    </row>
    <row r="872" spans="6:12">
      <c r="H872" t="s">
        <v>20235</v>
      </c>
      <c r="I872" t="s">
        <v>1357</v>
      </c>
      <c r="J872" t="s">
        <v>1357</v>
      </c>
      <c r="K872" t="s">
        <v>1357</v>
      </c>
      <c r="L872" t="s">
        <v>1357</v>
      </c>
    </row>
    <row r="873" spans="6:12">
      <c r="H873" t="s">
        <v>20298</v>
      </c>
      <c r="I873" t="s">
        <v>1357</v>
      </c>
      <c r="J873" t="s">
        <v>1357</v>
      </c>
      <c r="K873" t="s">
        <v>1357</v>
      </c>
      <c r="L873" t="s">
        <v>1357</v>
      </c>
    </row>
    <row r="874" spans="6:12">
      <c r="H874" t="s">
        <v>20299</v>
      </c>
      <c r="I874" t="s">
        <v>1357</v>
      </c>
      <c r="J874" t="s">
        <v>1357</v>
      </c>
      <c r="K874" t="s">
        <v>1357</v>
      </c>
      <c r="L874" t="s">
        <v>1357</v>
      </c>
    </row>
    <row r="875" spans="6:12">
      <c r="H875" t="s">
        <v>20284</v>
      </c>
      <c r="I875" t="s">
        <v>1357</v>
      </c>
      <c r="J875" t="s">
        <v>1357</v>
      </c>
      <c r="K875" t="s">
        <v>1357</v>
      </c>
      <c r="L875" t="s">
        <v>1357</v>
      </c>
    </row>
    <row r="876" spans="6:12">
      <c r="H876" t="s">
        <v>20285</v>
      </c>
      <c r="I876" t="s">
        <v>1357</v>
      </c>
      <c r="J876" t="s">
        <v>1357</v>
      </c>
      <c r="K876" t="s">
        <v>1357</v>
      </c>
      <c r="L876" t="s">
        <v>1357</v>
      </c>
    </row>
    <row r="877" spans="6:12">
      <c r="H877" t="s">
        <v>20286</v>
      </c>
      <c r="I877" t="s">
        <v>1357</v>
      </c>
      <c r="J877" t="s">
        <v>1357</v>
      </c>
      <c r="K877" t="s">
        <v>1357</v>
      </c>
      <c r="L877" t="s">
        <v>1357</v>
      </c>
    </row>
    <row r="878" spans="6:12">
      <c r="H878" t="s">
        <v>20287</v>
      </c>
      <c r="I878" t="s">
        <v>1357</v>
      </c>
      <c r="J878" t="s">
        <v>1357</v>
      </c>
      <c r="K878" t="s">
        <v>1357</v>
      </c>
      <c r="L878" t="s">
        <v>1357</v>
      </c>
    </row>
    <row r="879" spans="6:12">
      <c r="F879" t="s">
        <v>14755</v>
      </c>
      <c r="G879" t="s">
        <v>17599</v>
      </c>
      <c r="H879" t="s">
        <v>20280</v>
      </c>
      <c r="I879" t="s">
        <v>1357</v>
      </c>
      <c r="J879" t="s">
        <v>1357</v>
      </c>
      <c r="K879" t="s">
        <v>1357</v>
      </c>
      <c r="L879" t="s">
        <v>1357</v>
      </c>
    </row>
    <row r="880" spans="6:12">
      <c r="H880" t="s">
        <v>20233</v>
      </c>
      <c r="I880" t="s">
        <v>1357</v>
      </c>
      <c r="J880" t="s">
        <v>1357</v>
      </c>
      <c r="K880" t="s">
        <v>1357</v>
      </c>
      <c r="L880" t="s">
        <v>1357</v>
      </c>
    </row>
    <row r="881" spans="6:12">
      <c r="H881" t="s">
        <v>20230</v>
      </c>
      <c r="I881" t="s">
        <v>1357</v>
      </c>
      <c r="J881" t="s">
        <v>1357</v>
      </c>
      <c r="K881" t="s">
        <v>1357</v>
      </c>
      <c r="L881" t="s">
        <v>1357</v>
      </c>
    </row>
    <row r="882" spans="6:12">
      <c r="H882" t="s">
        <v>20296</v>
      </c>
      <c r="I882" t="s">
        <v>1357</v>
      </c>
      <c r="J882" t="s">
        <v>1357</v>
      </c>
      <c r="K882" t="s">
        <v>1357</v>
      </c>
      <c r="L882" t="s">
        <v>1357</v>
      </c>
    </row>
    <row r="883" spans="6:12">
      <c r="H883" t="s">
        <v>20297</v>
      </c>
      <c r="I883" t="s">
        <v>1357</v>
      </c>
      <c r="J883" t="s">
        <v>1357</v>
      </c>
      <c r="K883" t="s">
        <v>1357</v>
      </c>
      <c r="L883" t="s">
        <v>1357</v>
      </c>
    </row>
    <row r="884" spans="6:12">
      <c r="H884" t="s">
        <v>20234</v>
      </c>
      <c r="I884" t="s">
        <v>1357</v>
      </c>
      <c r="J884" t="s">
        <v>1357</v>
      </c>
      <c r="K884" t="s">
        <v>1357</v>
      </c>
      <c r="L884" t="s">
        <v>1357</v>
      </c>
    </row>
    <row r="885" spans="6:12">
      <c r="H885" t="s">
        <v>20235</v>
      </c>
      <c r="I885" t="s">
        <v>1357</v>
      </c>
      <c r="J885" t="s">
        <v>1357</v>
      </c>
      <c r="K885" t="s">
        <v>1357</v>
      </c>
      <c r="L885" t="s">
        <v>1357</v>
      </c>
    </row>
    <row r="886" spans="6:12">
      <c r="H886" t="s">
        <v>20298</v>
      </c>
      <c r="I886" t="s">
        <v>1357</v>
      </c>
      <c r="J886" t="s">
        <v>1357</v>
      </c>
      <c r="K886" t="s">
        <v>1357</v>
      </c>
      <c r="L886" t="s">
        <v>1357</v>
      </c>
    </row>
    <row r="887" spans="6:12">
      <c r="H887" t="s">
        <v>20299</v>
      </c>
      <c r="I887" t="s">
        <v>1357</v>
      </c>
      <c r="J887" t="s">
        <v>1357</v>
      </c>
      <c r="K887" t="s">
        <v>1357</v>
      </c>
      <c r="L887" t="s">
        <v>1357</v>
      </c>
    </row>
    <row r="888" spans="6:12">
      <c r="H888" t="s">
        <v>20300</v>
      </c>
      <c r="I888" t="s">
        <v>1357</v>
      </c>
      <c r="J888" t="s">
        <v>1357</v>
      </c>
      <c r="K888" t="s">
        <v>1357</v>
      </c>
      <c r="L888" t="s">
        <v>1357</v>
      </c>
    </row>
    <row r="889" spans="6:12">
      <c r="H889" t="s">
        <v>20301</v>
      </c>
      <c r="I889" t="s">
        <v>1357</v>
      </c>
      <c r="J889" t="s">
        <v>1357</v>
      </c>
      <c r="K889" t="s">
        <v>1357</v>
      </c>
      <c r="L889" t="s">
        <v>1357</v>
      </c>
    </row>
    <row r="890" spans="6:12">
      <c r="H890" t="s">
        <v>20302</v>
      </c>
      <c r="I890" t="s">
        <v>1357</v>
      </c>
      <c r="J890" t="s">
        <v>1357</v>
      </c>
      <c r="K890" t="s">
        <v>1357</v>
      </c>
      <c r="L890" t="s">
        <v>1357</v>
      </c>
    </row>
    <row r="891" spans="6:12">
      <c r="H891" t="s">
        <v>20284</v>
      </c>
      <c r="I891" t="s">
        <v>1357</v>
      </c>
      <c r="J891" t="s">
        <v>1357</v>
      </c>
      <c r="K891" t="s">
        <v>1357</v>
      </c>
      <c r="L891" t="s">
        <v>1357</v>
      </c>
    </row>
    <row r="892" spans="6:12">
      <c r="H892" t="s">
        <v>20285</v>
      </c>
      <c r="I892" t="s">
        <v>1357</v>
      </c>
      <c r="J892" t="s">
        <v>1357</v>
      </c>
      <c r="K892" t="s">
        <v>1357</v>
      </c>
      <c r="L892" t="s">
        <v>1357</v>
      </c>
    </row>
    <row r="893" spans="6:12">
      <c r="H893" t="s">
        <v>20286</v>
      </c>
      <c r="I893" t="s">
        <v>1357</v>
      </c>
      <c r="J893" t="s">
        <v>1357</v>
      </c>
      <c r="K893" t="s">
        <v>1357</v>
      </c>
      <c r="L893" t="s">
        <v>1357</v>
      </c>
    </row>
    <row r="894" spans="6:12">
      <c r="H894" t="s">
        <v>20287</v>
      </c>
      <c r="I894" t="s">
        <v>1357</v>
      </c>
      <c r="J894" t="s">
        <v>1357</v>
      </c>
      <c r="K894" t="s">
        <v>1357</v>
      </c>
      <c r="L894" t="s">
        <v>1357</v>
      </c>
    </row>
    <row r="895" spans="6:12">
      <c r="F895" t="s">
        <v>14756</v>
      </c>
      <c r="G895" t="s">
        <v>17600</v>
      </c>
      <c r="H895" t="s">
        <v>20280</v>
      </c>
      <c r="I895" t="s">
        <v>1357</v>
      </c>
      <c r="J895" t="s">
        <v>1357</v>
      </c>
      <c r="K895" t="s">
        <v>1357</v>
      </c>
      <c r="L895" t="s">
        <v>1357</v>
      </c>
    </row>
    <row r="896" spans="6:12">
      <c r="H896" t="s">
        <v>20233</v>
      </c>
      <c r="I896" t="s">
        <v>1357</v>
      </c>
      <c r="J896" t="s">
        <v>1357</v>
      </c>
      <c r="K896" t="s">
        <v>1357</v>
      </c>
      <c r="L896" t="s">
        <v>1357</v>
      </c>
    </row>
    <row r="897" spans="6:12">
      <c r="H897" t="s">
        <v>20281</v>
      </c>
      <c r="I897" t="s">
        <v>1357</v>
      </c>
      <c r="J897" t="s">
        <v>1357</v>
      </c>
      <c r="K897" t="s">
        <v>1357</v>
      </c>
      <c r="L897" t="s">
        <v>1357</v>
      </c>
    </row>
    <row r="898" spans="6:12">
      <c r="H898" t="s">
        <v>20282</v>
      </c>
      <c r="I898" t="s">
        <v>1357</v>
      </c>
      <c r="J898" t="s">
        <v>1357</v>
      </c>
      <c r="K898" t="s">
        <v>1357</v>
      </c>
      <c r="L898" t="s">
        <v>1357</v>
      </c>
    </row>
    <row r="899" spans="6:12">
      <c r="H899" t="s">
        <v>20283</v>
      </c>
      <c r="I899" t="s">
        <v>1357</v>
      </c>
      <c r="J899" t="s">
        <v>1357</v>
      </c>
      <c r="K899" t="s">
        <v>1357</v>
      </c>
      <c r="L899" t="s">
        <v>1357</v>
      </c>
    </row>
    <row r="900" spans="6:12">
      <c r="H900" t="s">
        <v>20284</v>
      </c>
      <c r="I900" t="s">
        <v>1357</v>
      </c>
      <c r="J900" t="s">
        <v>1357</v>
      </c>
      <c r="K900" t="s">
        <v>1357</v>
      </c>
      <c r="L900" t="s">
        <v>1357</v>
      </c>
    </row>
    <row r="901" spans="6:12">
      <c r="H901" t="s">
        <v>20285</v>
      </c>
      <c r="I901" t="s">
        <v>1357</v>
      </c>
      <c r="J901" t="s">
        <v>1357</v>
      </c>
      <c r="K901" t="s">
        <v>1357</v>
      </c>
      <c r="L901" t="s">
        <v>1357</v>
      </c>
    </row>
    <row r="902" spans="6:12">
      <c r="H902" t="s">
        <v>20286</v>
      </c>
      <c r="I902" t="s">
        <v>1357</v>
      </c>
      <c r="J902" t="s">
        <v>1357</v>
      </c>
      <c r="K902" t="s">
        <v>1357</v>
      </c>
      <c r="L902" t="s">
        <v>1357</v>
      </c>
    </row>
    <row r="903" spans="6:12">
      <c r="H903" t="s">
        <v>20287</v>
      </c>
      <c r="I903" t="s">
        <v>1357</v>
      </c>
      <c r="J903" t="s">
        <v>1357</v>
      </c>
      <c r="K903" t="s">
        <v>1357</v>
      </c>
      <c r="L903" t="s">
        <v>1357</v>
      </c>
    </row>
    <row r="904" spans="6:12">
      <c r="H904" t="s">
        <v>20288</v>
      </c>
      <c r="I904" t="s">
        <v>1357</v>
      </c>
      <c r="J904" t="s">
        <v>1357</v>
      </c>
      <c r="K904" t="s">
        <v>1357</v>
      </c>
      <c r="L904" t="s">
        <v>1357</v>
      </c>
    </row>
    <row r="905" spans="6:12">
      <c r="H905" t="s">
        <v>20289</v>
      </c>
      <c r="I905" t="s">
        <v>1357</v>
      </c>
      <c r="J905" t="s">
        <v>1357</v>
      </c>
      <c r="K905" t="s">
        <v>1357</v>
      </c>
      <c r="L905" t="s">
        <v>1357</v>
      </c>
    </row>
    <row r="906" spans="6:12">
      <c r="H906" t="s">
        <v>20290</v>
      </c>
      <c r="I906" t="s">
        <v>1357</v>
      </c>
      <c r="J906" t="s">
        <v>1357</v>
      </c>
      <c r="K906" t="s">
        <v>1357</v>
      </c>
      <c r="L906" t="s">
        <v>1357</v>
      </c>
    </row>
    <row r="907" spans="6:12">
      <c r="H907" t="s">
        <v>20291</v>
      </c>
      <c r="I907" t="s">
        <v>1357</v>
      </c>
      <c r="J907" t="s">
        <v>1357</v>
      </c>
      <c r="K907" t="s">
        <v>1357</v>
      </c>
      <c r="L907" t="s">
        <v>1357</v>
      </c>
    </row>
    <row r="908" spans="6:12">
      <c r="F908" t="s">
        <v>14757</v>
      </c>
      <c r="G908" t="s">
        <v>17601</v>
      </c>
      <c r="H908" t="s">
        <v>20280</v>
      </c>
      <c r="I908" t="s">
        <v>1357</v>
      </c>
      <c r="J908" t="s">
        <v>1357</v>
      </c>
      <c r="K908" t="s">
        <v>1357</v>
      </c>
      <c r="L908" t="s">
        <v>1357</v>
      </c>
    </row>
    <row r="909" spans="6:12">
      <c r="H909" t="s">
        <v>20233</v>
      </c>
      <c r="I909" t="s">
        <v>1357</v>
      </c>
      <c r="J909" t="s">
        <v>1357</v>
      </c>
      <c r="K909" t="s">
        <v>1357</v>
      </c>
      <c r="L909" t="s">
        <v>1357</v>
      </c>
    </row>
    <row r="910" spans="6:12">
      <c r="H910" t="s">
        <v>20281</v>
      </c>
      <c r="I910" t="s">
        <v>1357</v>
      </c>
      <c r="J910" t="s">
        <v>1357</v>
      </c>
      <c r="K910" t="s">
        <v>1357</v>
      </c>
      <c r="L910" t="s">
        <v>1357</v>
      </c>
    </row>
    <row r="911" spans="6:12">
      <c r="H911" t="s">
        <v>20282</v>
      </c>
      <c r="I911" t="s">
        <v>1357</v>
      </c>
      <c r="J911" t="s">
        <v>1357</v>
      </c>
      <c r="K911" t="s">
        <v>1357</v>
      </c>
      <c r="L911" t="s">
        <v>1357</v>
      </c>
    </row>
    <row r="912" spans="6:12">
      <c r="H912" t="s">
        <v>20283</v>
      </c>
      <c r="I912" t="s">
        <v>1357</v>
      </c>
      <c r="J912" t="s">
        <v>1357</v>
      </c>
      <c r="K912" t="s">
        <v>1357</v>
      </c>
      <c r="L912" t="s">
        <v>1357</v>
      </c>
    </row>
    <row r="913" spans="6:12">
      <c r="H913" t="s">
        <v>20284</v>
      </c>
      <c r="I913" t="s">
        <v>1357</v>
      </c>
      <c r="J913" t="s">
        <v>1357</v>
      </c>
      <c r="K913" t="s">
        <v>1357</v>
      </c>
      <c r="L913" t="s">
        <v>1357</v>
      </c>
    </row>
    <row r="914" spans="6:12">
      <c r="H914" t="s">
        <v>20285</v>
      </c>
      <c r="I914" t="s">
        <v>1357</v>
      </c>
      <c r="J914" t="s">
        <v>1357</v>
      </c>
      <c r="K914" t="s">
        <v>1357</v>
      </c>
      <c r="L914" t="s">
        <v>1357</v>
      </c>
    </row>
    <row r="915" spans="6:12">
      <c r="H915" t="s">
        <v>20286</v>
      </c>
      <c r="I915" t="s">
        <v>1357</v>
      </c>
      <c r="J915" t="s">
        <v>1357</v>
      </c>
      <c r="K915" t="s">
        <v>1357</v>
      </c>
      <c r="L915" t="s">
        <v>1357</v>
      </c>
    </row>
    <row r="916" spans="6:12">
      <c r="H916" t="s">
        <v>20287</v>
      </c>
      <c r="I916" t="s">
        <v>1357</v>
      </c>
      <c r="J916" t="s">
        <v>1357</v>
      </c>
      <c r="K916" t="s">
        <v>1357</v>
      </c>
      <c r="L916" t="s">
        <v>1357</v>
      </c>
    </row>
    <row r="917" spans="6:12">
      <c r="H917" t="s">
        <v>20288</v>
      </c>
      <c r="I917" t="s">
        <v>1357</v>
      </c>
      <c r="J917" t="s">
        <v>1357</v>
      </c>
      <c r="K917" t="s">
        <v>1357</v>
      </c>
      <c r="L917" t="s">
        <v>1357</v>
      </c>
    </row>
    <row r="918" spans="6:12">
      <c r="H918" t="s">
        <v>20289</v>
      </c>
      <c r="I918" t="s">
        <v>1357</v>
      </c>
      <c r="J918" t="s">
        <v>1357</v>
      </c>
      <c r="K918" t="s">
        <v>1357</v>
      </c>
      <c r="L918" t="s">
        <v>1357</v>
      </c>
    </row>
    <row r="919" spans="6:12">
      <c r="H919" t="s">
        <v>20290</v>
      </c>
      <c r="I919" t="s">
        <v>1357</v>
      </c>
      <c r="J919" t="s">
        <v>1357</v>
      </c>
      <c r="K919" t="s">
        <v>1357</v>
      </c>
      <c r="L919" t="s">
        <v>1357</v>
      </c>
    </row>
    <row r="920" spans="6:12">
      <c r="H920" t="s">
        <v>20291</v>
      </c>
      <c r="I920" t="s">
        <v>1357</v>
      </c>
      <c r="J920" t="s">
        <v>1357</v>
      </c>
      <c r="K920" t="s">
        <v>1357</v>
      </c>
      <c r="L920" t="s">
        <v>1357</v>
      </c>
    </row>
    <row r="921" spans="6:12">
      <c r="F921" t="s">
        <v>14758</v>
      </c>
      <c r="G921" t="s">
        <v>17602</v>
      </c>
      <c r="H921" t="s">
        <v>20280</v>
      </c>
      <c r="I921" t="s">
        <v>1357</v>
      </c>
      <c r="J921" t="s">
        <v>1357</v>
      </c>
      <c r="K921" t="s">
        <v>1357</v>
      </c>
      <c r="L921" t="s">
        <v>1357</v>
      </c>
    </row>
    <row r="922" spans="6:12">
      <c r="H922" t="s">
        <v>20233</v>
      </c>
      <c r="I922" t="s">
        <v>1357</v>
      </c>
      <c r="J922" t="s">
        <v>1357</v>
      </c>
      <c r="K922" t="s">
        <v>1357</v>
      </c>
      <c r="L922" t="s">
        <v>1357</v>
      </c>
    </row>
    <row r="923" spans="6:12">
      <c r="H923" t="s">
        <v>20230</v>
      </c>
      <c r="I923" t="s">
        <v>1357</v>
      </c>
      <c r="J923" t="s">
        <v>1357</v>
      </c>
      <c r="K923" t="s">
        <v>1357</v>
      </c>
      <c r="L923" t="s">
        <v>1357</v>
      </c>
    </row>
    <row r="924" spans="6:12">
      <c r="H924" t="s">
        <v>20296</v>
      </c>
      <c r="I924" t="s">
        <v>1357</v>
      </c>
      <c r="J924" t="s">
        <v>1357</v>
      </c>
      <c r="K924" t="s">
        <v>1357</v>
      </c>
      <c r="L924" t="s">
        <v>1357</v>
      </c>
    </row>
    <row r="925" spans="6:12">
      <c r="H925" t="s">
        <v>20297</v>
      </c>
      <c r="I925" t="s">
        <v>1357</v>
      </c>
      <c r="J925" t="s">
        <v>1357</v>
      </c>
      <c r="K925" t="s">
        <v>1357</v>
      </c>
      <c r="L925" t="s">
        <v>1357</v>
      </c>
    </row>
    <row r="926" spans="6:12">
      <c r="H926" t="s">
        <v>20234</v>
      </c>
      <c r="I926" t="s">
        <v>1357</v>
      </c>
      <c r="J926" t="s">
        <v>1357</v>
      </c>
      <c r="K926" t="s">
        <v>1357</v>
      </c>
      <c r="L926" t="s">
        <v>1357</v>
      </c>
    </row>
    <row r="927" spans="6:12">
      <c r="H927" t="s">
        <v>20235</v>
      </c>
      <c r="I927" t="s">
        <v>1357</v>
      </c>
      <c r="J927" t="s">
        <v>1357</v>
      </c>
      <c r="K927" t="s">
        <v>1357</v>
      </c>
      <c r="L927" t="s">
        <v>1357</v>
      </c>
    </row>
    <row r="928" spans="6:12">
      <c r="H928" t="s">
        <v>20298</v>
      </c>
      <c r="I928" t="s">
        <v>1357</v>
      </c>
      <c r="J928" t="s">
        <v>1357</v>
      </c>
      <c r="K928" t="s">
        <v>1357</v>
      </c>
      <c r="L928" t="s">
        <v>1357</v>
      </c>
    </row>
    <row r="929" spans="6:12">
      <c r="H929" t="s">
        <v>20284</v>
      </c>
      <c r="I929" t="s">
        <v>1357</v>
      </c>
      <c r="J929" t="s">
        <v>1357</v>
      </c>
      <c r="K929" t="s">
        <v>1357</v>
      </c>
      <c r="L929" t="s">
        <v>1357</v>
      </c>
    </row>
    <row r="930" spans="6:12">
      <c r="H930" t="s">
        <v>20285</v>
      </c>
      <c r="I930" t="s">
        <v>1357</v>
      </c>
      <c r="J930" t="s">
        <v>1357</v>
      </c>
      <c r="K930" t="s">
        <v>1357</v>
      </c>
      <c r="L930" t="s">
        <v>1357</v>
      </c>
    </row>
    <row r="931" spans="6:12">
      <c r="H931" t="s">
        <v>20286</v>
      </c>
      <c r="I931" t="s">
        <v>1357</v>
      </c>
      <c r="J931" t="s">
        <v>1357</v>
      </c>
      <c r="K931" t="s">
        <v>1357</v>
      </c>
      <c r="L931" t="s">
        <v>1357</v>
      </c>
    </row>
    <row r="932" spans="6:12">
      <c r="H932" t="s">
        <v>20287</v>
      </c>
      <c r="I932" t="s">
        <v>1357</v>
      </c>
      <c r="J932" t="s">
        <v>1357</v>
      </c>
      <c r="K932" t="s">
        <v>1357</v>
      </c>
      <c r="L932" t="s">
        <v>1357</v>
      </c>
    </row>
    <row r="933" spans="6:12">
      <c r="F933" t="s">
        <v>14759</v>
      </c>
      <c r="G933" t="s">
        <v>17603</v>
      </c>
      <c r="H933" t="s">
        <v>20280</v>
      </c>
      <c r="I933" t="s">
        <v>1357</v>
      </c>
      <c r="J933" t="s">
        <v>1357</v>
      </c>
      <c r="K933" t="s">
        <v>1357</v>
      </c>
      <c r="L933" t="s">
        <v>1357</v>
      </c>
    </row>
    <row r="934" spans="6:12">
      <c r="H934" t="s">
        <v>20233</v>
      </c>
      <c r="I934" t="s">
        <v>1357</v>
      </c>
      <c r="J934" t="s">
        <v>1357</v>
      </c>
      <c r="K934" t="s">
        <v>1357</v>
      </c>
      <c r="L934" t="s">
        <v>1357</v>
      </c>
    </row>
    <row r="935" spans="6:12">
      <c r="H935" t="s">
        <v>20230</v>
      </c>
      <c r="I935" t="s">
        <v>1357</v>
      </c>
      <c r="J935" t="s">
        <v>1357</v>
      </c>
      <c r="K935" t="s">
        <v>1357</v>
      </c>
      <c r="L935" t="s">
        <v>1357</v>
      </c>
    </row>
    <row r="936" spans="6:12">
      <c r="H936" t="s">
        <v>20296</v>
      </c>
      <c r="I936" t="s">
        <v>1357</v>
      </c>
      <c r="J936" t="s">
        <v>1357</v>
      </c>
      <c r="K936" t="s">
        <v>1357</v>
      </c>
      <c r="L936" t="s">
        <v>1357</v>
      </c>
    </row>
    <row r="937" spans="6:12">
      <c r="H937" t="s">
        <v>20297</v>
      </c>
      <c r="I937" t="s">
        <v>1357</v>
      </c>
      <c r="J937" t="s">
        <v>1357</v>
      </c>
      <c r="K937" t="s">
        <v>1357</v>
      </c>
      <c r="L937" t="s">
        <v>1357</v>
      </c>
    </row>
    <row r="938" spans="6:12">
      <c r="H938" t="s">
        <v>20234</v>
      </c>
      <c r="I938" t="s">
        <v>1357</v>
      </c>
      <c r="J938" t="s">
        <v>1357</v>
      </c>
      <c r="K938" t="s">
        <v>1357</v>
      </c>
      <c r="L938" t="s">
        <v>1357</v>
      </c>
    </row>
    <row r="939" spans="6:12">
      <c r="H939" t="s">
        <v>20235</v>
      </c>
      <c r="I939" t="s">
        <v>1357</v>
      </c>
      <c r="J939" t="s">
        <v>1357</v>
      </c>
      <c r="K939" t="s">
        <v>1357</v>
      </c>
      <c r="L939" t="s">
        <v>1357</v>
      </c>
    </row>
    <row r="940" spans="6:12">
      <c r="H940" t="s">
        <v>20298</v>
      </c>
      <c r="I940" t="s">
        <v>1357</v>
      </c>
      <c r="J940" t="s">
        <v>1357</v>
      </c>
      <c r="K940" t="s">
        <v>1357</v>
      </c>
      <c r="L940" t="s">
        <v>1357</v>
      </c>
    </row>
    <row r="941" spans="6:12">
      <c r="H941" t="s">
        <v>20284</v>
      </c>
      <c r="I941" t="s">
        <v>1357</v>
      </c>
      <c r="J941" t="s">
        <v>1357</v>
      </c>
      <c r="K941" t="s">
        <v>1357</v>
      </c>
      <c r="L941" t="s">
        <v>1357</v>
      </c>
    </row>
    <row r="942" spans="6:12">
      <c r="H942" t="s">
        <v>20285</v>
      </c>
      <c r="I942" t="s">
        <v>1357</v>
      </c>
      <c r="J942" t="s">
        <v>1357</v>
      </c>
      <c r="K942" t="s">
        <v>1357</v>
      </c>
      <c r="L942" t="s">
        <v>1357</v>
      </c>
    </row>
    <row r="943" spans="6:12">
      <c r="H943" t="s">
        <v>20286</v>
      </c>
      <c r="I943" t="s">
        <v>1357</v>
      </c>
      <c r="J943" t="s">
        <v>1357</v>
      </c>
      <c r="K943" t="s">
        <v>1357</v>
      </c>
      <c r="L943" t="s">
        <v>1357</v>
      </c>
    </row>
    <row r="944" spans="6:12">
      <c r="H944" t="s">
        <v>20287</v>
      </c>
      <c r="I944" t="s">
        <v>1357</v>
      </c>
      <c r="J944" t="s">
        <v>1357</v>
      </c>
      <c r="K944" t="s">
        <v>1357</v>
      </c>
      <c r="L944" t="s">
        <v>1357</v>
      </c>
    </row>
    <row r="945" spans="6:12">
      <c r="F945" t="s">
        <v>14760</v>
      </c>
      <c r="G945" t="s">
        <v>17604</v>
      </c>
      <c r="H945" t="s">
        <v>20280</v>
      </c>
      <c r="I945" t="s">
        <v>1357</v>
      </c>
      <c r="J945" t="s">
        <v>1357</v>
      </c>
      <c r="K945" t="s">
        <v>1357</v>
      </c>
      <c r="L945" t="s">
        <v>1357</v>
      </c>
    </row>
    <row r="946" spans="6:12">
      <c r="H946" t="s">
        <v>20284</v>
      </c>
      <c r="I946" t="s">
        <v>1357</v>
      </c>
      <c r="J946" t="s">
        <v>1357</v>
      </c>
      <c r="K946" t="s">
        <v>1357</v>
      </c>
      <c r="L946" t="s">
        <v>1357</v>
      </c>
    </row>
    <row r="947" spans="6:12">
      <c r="F947" t="s">
        <v>14761</v>
      </c>
      <c r="G947" t="s">
        <v>17605</v>
      </c>
      <c r="H947" t="s">
        <v>20280</v>
      </c>
      <c r="I947" t="s">
        <v>1357</v>
      </c>
      <c r="J947" t="s">
        <v>1357</v>
      </c>
      <c r="K947" t="s">
        <v>1357</v>
      </c>
      <c r="L947" t="s">
        <v>1357</v>
      </c>
    </row>
    <row r="948" spans="6:12">
      <c r="H948" t="s">
        <v>20284</v>
      </c>
      <c r="I948" t="s">
        <v>1357</v>
      </c>
      <c r="J948" t="s">
        <v>1357</v>
      </c>
      <c r="K948" t="s">
        <v>1357</v>
      </c>
      <c r="L948" t="s">
        <v>1357</v>
      </c>
    </row>
    <row r="949" spans="6:12">
      <c r="F949" t="s">
        <v>14762</v>
      </c>
      <c r="G949" t="s">
        <v>17606</v>
      </c>
      <c r="H949" t="s">
        <v>20280</v>
      </c>
      <c r="I949" t="s">
        <v>1357</v>
      </c>
      <c r="J949" t="s">
        <v>1357</v>
      </c>
      <c r="K949" t="s">
        <v>1357</v>
      </c>
      <c r="L949" t="s">
        <v>1357</v>
      </c>
    </row>
    <row r="950" spans="6:12">
      <c r="H950" t="s">
        <v>20233</v>
      </c>
      <c r="I950" t="s">
        <v>1357</v>
      </c>
      <c r="J950" t="s">
        <v>1357</v>
      </c>
      <c r="K950" t="s">
        <v>1357</v>
      </c>
      <c r="L950" t="s">
        <v>1357</v>
      </c>
    </row>
    <row r="951" spans="6:12">
      <c r="H951" t="s">
        <v>20230</v>
      </c>
      <c r="I951" t="s">
        <v>1357</v>
      </c>
      <c r="J951" t="s">
        <v>1357</v>
      </c>
      <c r="K951" t="s">
        <v>1357</v>
      </c>
      <c r="L951" t="s">
        <v>1357</v>
      </c>
    </row>
    <row r="952" spans="6:12">
      <c r="H952" t="s">
        <v>20227</v>
      </c>
      <c r="I952" t="s">
        <v>1357</v>
      </c>
      <c r="J952" t="s">
        <v>1357</v>
      </c>
      <c r="K952" t="s">
        <v>1357</v>
      </c>
      <c r="L952" t="s">
        <v>1357</v>
      </c>
    </row>
    <row r="953" spans="6:12">
      <c r="H953" t="s">
        <v>20297</v>
      </c>
      <c r="I953" t="s">
        <v>1357</v>
      </c>
      <c r="J953" t="s">
        <v>1357</v>
      </c>
      <c r="K953" t="s">
        <v>1357</v>
      </c>
      <c r="L953" t="s">
        <v>1357</v>
      </c>
    </row>
    <row r="954" spans="6:12">
      <c r="H954" t="s">
        <v>20234</v>
      </c>
      <c r="I954" t="s">
        <v>1357</v>
      </c>
      <c r="J954" t="s">
        <v>1357</v>
      </c>
      <c r="K954" t="s">
        <v>1357</v>
      </c>
      <c r="L954" t="s">
        <v>1357</v>
      </c>
    </row>
    <row r="955" spans="6:12">
      <c r="H955" t="s">
        <v>20235</v>
      </c>
      <c r="I955" t="s">
        <v>1357</v>
      </c>
      <c r="J955" t="s">
        <v>1357</v>
      </c>
      <c r="K955" t="s">
        <v>1357</v>
      </c>
      <c r="L955" t="s">
        <v>1357</v>
      </c>
    </row>
    <row r="956" spans="6:12">
      <c r="H956" t="s">
        <v>20298</v>
      </c>
      <c r="I956" t="s">
        <v>1357</v>
      </c>
      <c r="J956" t="s">
        <v>1357</v>
      </c>
      <c r="K956" t="s">
        <v>1357</v>
      </c>
      <c r="L956" t="s">
        <v>1357</v>
      </c>
    </row>
    <row r="957" spans="6:12">
      <c r="H957" t="s">
        <v>20299</v>
      </c>
      <c r="I957" t="s">
        <v>1357</v>
      </c>
      <c r="J957" t="s">
        <v>1357</v>
      </c>
      <c r="K957" t="s">
        <v>1357</v>
      </c>
      <c r="L957" t="s">
        <v>1357</v>
      </c>
    </row>
    <row r="958" spans="6:12">
      <c r="H958" t="s">
        <v>20300</v>
      </c>
      <c r="I958" t="s">
        <v>1357</v>
      </c>
      <c r="J958" t="s">
        <v>1357</v>
      </c>
      <c r="K958" t="s">
        <v>1357</v>
      </c>
      <c r="L958" t="s">
        <v>1357</v>
      </c>
    </row>
    <row r="959" spans="6:12">
      <c r="H959" t="s">
        <v>20301</v>
      </c>
      <c r="I959" t="s">
        <v>1357</v>
      </c>
      <c r="J959" t="s">
        <v>1357</v>
      </c>
      <c r="K959" t="s">
        <v>1357</v>
      </c>
      <c r="L959" t="s">
        <v>1357</v>
      </c>
    </row>
    <row r="960" spans="6:12">
      <c r="H960" t="s">
        <v>20302</v>
      </c>
      <c r="I960" t="s">
        <v>1357</v>
      </c>
      <c r="J960" t="s">
        <v>1357</v>
      </c>
      <c r="K960" t="s">
        <v>1357</v>
      </c>
      <c r="L960" t="s">
        <v>1357</v>
      </c>
    </row>
    <row r="961" spans="6:12">
      <c r="H961" t="s">
        <v>20284</v>
      </c>
      <c r="I961" t="s">
        <v>1357</v>
      </c>
      <c r="J961" t="s">
        <v>1357</v>
      </c>
      <c r="K961" t="s">
        <v>1357</v>
      </c>
      <c r="L961" t="s">
        <v>1357</v>
      </c>
    </row>
    <row r="962" spans="6:12">
      <c r="H962" t="s">
        <v>20285</v>
      </c>
      <c r="I962" t="s">
        <v>1357</v>
      </c>
      <c r="J962" t="s">
        <v>1357</v>
      </c>
      <c r="K962" t="s">
        <v>1357</v>
      </c>
      <c r="L962" t="s">
        <v>1357</v>
      </c>
    </row>
    <row r="963" spans="6:12">
      <c r="H963" t="s">
        <v>20286</v>
      </c>
      <c r="I963" t="s">
        <v>1357</v>
      </c>
      <c r="J963" t="s">
        <v>1357</v>
      </c>
      <c r="K963" t="s">
        <v>1357</v>
      </c>
      <c r="L963" t="s">
        <v>1357</v>
      </c>
    </row>
    <row r="964" spans="6:12">
      <c r="H964" t="s">
        <v>20287</v>
      </c>
      <c r="I964" t="s">
        <v>1357</v>
      </c>
      <c r="J964" t="s">
        <v>1357</v>
      </c>
      <c r="K964" t="s">
        <v>1357</v>
      </c>
      <c r="L964" t="s">
        <v>1357</v>
      </c>
    </row>
    <row r="965" spans="6:12">
      <c r="F965" t="s">
        <v>14763</v>
      </c>
      <c r="G965" t="s">
        <v>17607</v>
      </c>
      <c r="H965" t="s">
        <v>20280</v>
      </c>
      <c r="I965" t="s">
        <v>1357</v>
      </c>
      <c r="J965" t="s">
        <v>1357</v>
      </c>
      <c r="K965" t="s">
        <v>1357</v>
      </c>
      <c r="L965" t="s">
        <v>1357</v>
      </c>
    </row>
    <row r="966" spans="6:12">
      <c r="H966" t="s">
        <v>20233</v>
      </c>
      <c r="I966" t="s">
        <v>1357</v>
      </c>
      <c r="J966" t="s">
        <v>1357</v>
      </c>
      <c r="K966" t="s">
        <v>1357</v>
      </c>
      <c r="L966" t="s">
        <v>1357</v>
      </c>
    </row>
    <row r="967" spans="6:12">
      <c r="H967" t="s">
        <v>20284</v>
      </c>
      <c r="I967" t="s">
        <v>1357</v>
      </c>
      <c r="J967" t="s">
        <v>1357</v>
      </c>
      <c r="K967" t="s">
        <v>1357</v>
      </c>
      <c r="L967" t="s">
        <v>1357</v>
      </c>
    </row>
    <row r="968" spans="6:12">
      <c r="H968" t="s">
        <v>20285</v>
      </c>
      <c r="I968" t="s">
        <v>1357</v>
      </c>
      <c r="J968" t="s">
        <v>1357</v>
      </c>
      <c r="K968" t="s">
        <v>1357</v>
      </c>
      <c r="L968" t="s">
        <v>1357</v>
      </c>
    </row>
    <row r="969" spans="6:12">
      <c r="H969" t="s">
        <v>20286</v>
      </c>
      <c r="I969" t="s">
        <v>1357</v>
      </c>
      <c r="J969" t="s">
        <v>1357</v>
      </c>
      <c r="K969" t="s">
        <v>1357</v>
      </c>
      <c r="L969" t="s">
        <v>1357</v>
      </c>
    </row>
    <row r="970" spans="6:12">
      <c r="H970" t="s">
        <v>20287</v>
      </c>
      <c r="I970" t="s">
        <v>1357</v>
      </c>
      <c r="J970" t="s">
        <v>1357</v>
      </c>
      <c r="K970" t="s">
        <v>1357</v>
      </c>
      <c r="L970" t="s">
        <v>1357</v>
      </c>
    </row>
    <row r="971" spans="6:12">
      <c r="H971" t="s">
        <v>20230</v>
      </c>
      <c r="I971" t="s">
        <v>1357</v>
      </c>
      <c r="J971" t="s">
        <v>1357</v>
      </c>
      <c r="K971" t="s">
        <v>1357</v>
      </c>
      <c r="L971" t="s">
        <v>1357</v>
      </c>
    </row>
    <row r="972" spans="6:12">
      <c r="H972" t="s">
        <v>20227</v>
      </c>
      <c r="I972" t="s">
        <v>1357</v>
      </c>
      <c r="J972" t="s">
        <v>1357</v>
      </c>
      <c r="K972" t="s">
        <v>1357</v>
      </c>
      <c r="L972" t="s">
        <v>1357</v>
      </c>
    </row>
    <row r="973" spans="6:12">
      <c r="H973" t="s">
        <v>20288</v>
      </c>
      <c r="I973" t="s">
        <v>1357</v>
      </c>
      <c r="J973" t="s">
        <v>1357</v>
      </c>
      <c r="K973" t="s">
        <v>1357</v>
      </c>
      <c r="L973" t="s">
        <v>1357</v>
      </c>
    </row>
    <row r="974" spans="6:12">
      <c r="H974" t="s">
        <v>20289</v>
      </c>
      <c r="I974" t="s">
        <v>1357</v>
      </c>
      <c r="J974" t="s">
        <v>1357</v>
      </c>
      <c r="K974" t="s">
        <v>1357</v>
      </c>
      <c r="L974" t="s">
        <v>1357</v>
      </c>
    </row>
    <row r="975" spans="6:12">
      <c r="H975" t="s">
        <v>20290</v>
      </c>
      <c r="I975" t="s">
        <v>1357</v>
      </c>
      <c r="J975" t="s">
        <v>1357</v>
      </c>
      <c r="K975" t="s">
        <v>1357</v>
      </c>
      <c r="L975" t="s">
        <v>1357</v>
      </c>
    </row>
    <row r="976" spans="6:12">
      <c r="H976" t="s">
        <v>20291</v>
      </c>
      <c r="I976" t="s">
        <v>1357</v>
      </c>
      <c r="J976" t="s">
        <v>1357</v>
      </c>
      <c r="K976" t="s">
        <v>1357</v>
      </c>
      <c r="L976" t="s">
        <v>1357</v>
      </c>
    </row>
    <row r="977" spans="6:12">
      <c r="F977" t="s">
        <v>14764</v>
      </c>
      <c r="G977" t="s">
        <v>17608</v>
      </c>
      <c r="H977" t="s">
        <v>20280</v>
      </c>
      <c r="I977" t="s">
        <v>1357</v>
      </c>
      <c r="J977" t="s">
        <v>1357</v>
      </c>
      <c r="K977" t="s">
        <v>1357</v>
      </c>
      <c r="L977" t="s">
        <v>1357</v>
      </c>
    </row>
    <row r="978" spans="6:12">
      <c r="H978" t="s">
        <v>20233</v>
      </c>
      <c r="I978" t="s">
        <v>1357</v>
      </c>
      <c r="J978" t="s">
        <v>1357</v>
      </c>
      <c r="K978" t="s">
        <v>1357</v>
      </c>
      <c r="L978" t="s">
        <v>1357</v>
      </c>
    </row>
    <row r="979" spans="6:12">
      <c r="H979" t="s">
        <v>20284</v>
      </c>
      <c r="I979" t="s">
        <v>1357</v>
      </c>
      <c r="J979" t="s">
        <v>1357</v>
      </c>
      <c r="K979" t="s">
        <v>1357</v>
      </c>
      <c r="L979" t="s">
        <v>1357</v>
      </c>
    </row>
    <row r="980" spans="6:12">
      <c r="H980" t="s">
        <v>20285</v>
      </c>
      <c r="I980" t="s">
        <v>1357</v>
      </c>
      <c r="J980" t="s">
        <v>1357</v>
      </c>
      <c r="K980" t="s">
        <v>1357</v>
      </c>
      <c r="L980" t="s">
        <v>1357</v>
      </c>
    </row>
    <row r="981" spans="6:12">
      <c r="H981" t="s">
        <v>20286</v>
      </c>
      <c r="I981" t="s">
        <v>1357</v>
      </c>
      <c r="J981" t="s">
        <v>1357</v>
      </c>
      <c r="K981" t="s">
        <v>1357</v>
      </c>
      <c r="L981" t="s">
        <v>1357</v>
      </c>
    </row>
    <row r="982" spans="6:12">
      <c r="H982" t="s">
        <v>20287</v>
      </c>
      <c r="I982" t="s">
        <v>1357</v>
      </c>
      <c r="J982" t="s">
        <v>1357</v>
      </c>
      <c r="K982" t="s">
        <v>1357</v>
      </c>
      <c r="L982" t="s">
        <v>1357</v>
      </c>
    </row>
    <row r="983" spans="6:12">
      <c r="F983" t="s">
        <v>14765</v>
      </c>
      <c r="G983" t="s">
        <v>17609</v>
      </c>
      <c r="H983" t="s">
        <v>20280</v>
      </c>
      <c r="I983" t="s">
        <v>1357</v>
      </c>
      <c r="J983" t="s">
        <v>1357</v>
      </c>
      <c r="K983" t="s">
        <v>1357</v>
      </c>
      <c r="L983" t="s">
        <v>1357</v>
      </c>
    </row>
    <row r="984" spans="6:12">
      <c r="H984" t="s">
        <v>20233</v>
      </c>
      <c r="I984" t="s">
        <v>1357</v>
      </c>
      <c r="J984" t="s">
        <v>1357</v>
      </c>
      <c r="K984" t="s">
        <v>1357</v>
      </c>
      <c r="L984" t="s">
        <v>1357</v>
      </c>
    </row>
    <row r="985" spans="6:12">
      <c r="H985" t="s">
        <v>20284</v>
      </c>
      <c r="I985" t="s">
        <v>1357</v>
      </c>
      <c r="J985" t="s">
        <v>1357</v>
      </c>
      <c r="K985" t="s">
        <v>1357</v>
      </c>
      <c r="L985" t="s">
        <v>1357</v>
      </c>
    </row>
    <row r="986" spans="6:12">
      <c r="H986" t="s">
        <v>20285</v>
      </c>
      <c r="I986" t="s">
        <v>1357</v>
      </c>
      <c r="J986" t="s">
        <v>1357</v>
      </c>
      <c r="K986" t="s">
        <v>1357</v>
      </c>
      <c r="L986" t="s">
        <v>1357</v>
      </c>
    </row>
    <row r="987" spans="6:12">
      <c r="H987" t="s">
        <v>20286</v>
      </c>
      <c r="I987" t="s">
        <v>1357</v>
      </c>
      <c r="J987" t="s">
        <v>1357</v>
      </c>
      <c r="K987" t="s">
        <v>1357</v>
      </c>
      <c r="L987" t="s">
        <v>1357</v>
      </c>
    </row>
    <row r="988" spans="6:12">
      <c r="H988" t="s">
        <v>20287</v>
      </c>
      <c r="I988" t="s">
        <v>1357</v>
      </c>
      <c r="J988" t="s">
        <v>1357</v>
      </c>
      <c r="K988" t="s">
        <v>1357</v>
      </c>
      <c r="L988" t="s">
        <v>1357</v>
      </c>
    </row>
    <row r="989" spans="6:12">
      <c r="F989" t="s">
        <v>14766</v>
      </c>
      <c r="G989" t="s">
        <v>17610</v>
      </c>
      <c r="H989" t="s">
        <v>20280</v>
      </c>
      <c r="I989" t="s">
        <v>1357</v>
      </c>
      <c r="J989" t="s">
        <v>1357</v>
      </c>
      <c r="K989" t="s">
        <v>1357</v>
      </c>
      <c r="L989" t="s">
        <v>1357</v>
      </c>
    </row>
    <row r="990" spans="6:12">
      <c r="H990" t="s">
        <v>20233</v>
      </c>
      <c r="I990" t="s">
        <v>1357</v>
      </c>
      <c r="J990" t="s">
        <v>1357</v>
      </c>
      <c r="K990" t="s">
        <v>1357</v>
      </c>
      <c r="L990" t="s">
        <v>1357</v>
      </c>
    </row>
    <row r="991" spans="6:12">
      <c r="H991" t="s">
        <v>20284</v>
      </c>
      <c r="I991" t="s">
        <v>1357</v>
      </c>
      <c r="J991" t="s">
        <v>1357</v>
      </c>
      <c r="K991" t="s">
        <v>1357</v>
      </c>
      <c r="L991" t="s">
        <v>1357</v>
      </c>
    </row>
    <row r="992" spans="6:12">
      <c r="H992" t="s">
        <v>20285</v>
      </c>
      <c r="I992" t="s">
        <v>1357</v>
      </c>
      <c r="J992" t="s">
        <v>1357</v>
      </c>
      <c r="K992" t="s">
        <v>1357</v>
      </c>
      <c r="L992" t="s">
        <v>1357</v>
      </c>
    </row>
    <row r="993" spans="6:12">
      <c r="H993" t="s">
        <v>20286</v>
      </c>
      <c r="I993" t="s">
        <v>1357</v>
      </c>
      <c r="J993" t="s">
        <v>1357</v>
      </c>
      <c r="K993" t="s">
        <v>1357</v>
      </c>
      <c r="L993" t="s">
        <v>1357</v>
      </c>
    </row>
    <row r="994" spans="6:12">
      <c r="H994" t="s">
        <v>20287</v>
      </c>
      <c r="I994" t="s">
        <v>1357</v>
      </c>
      <c r="J994" t="s">
        <v>1357</v>
      </c>
      <c r="K994" t="s">
        <v>1357</v>
      </c>
      <c r="L994" t="s">
        <v>1357</v>
      </c>
    </row>
    <row r="995" spans="6:12">
      <c r="F995" t="s">
        <v>14767</v>
      </c>
      <c r="G995" t="s">
        <v>17611</v>
      </c>
      <c r="H995" t="s">
        <v>20280</v>
      </c>
      <c r="I995" t="s">
        <v>1357</v>
      </c>
      <c r="J995" t="s">
        <v>1357</v>
      </c>
      <c r="K995" t="s">
        <v>1357</v>
      </c>
      <c r="L995" t="s">
        <v>1357</v>
      </c>
    </row>
    <row r="996" spans="6:12">
      <c r="H996" t="s">
        <v>20233</v>
      </c>
      <c r="I996" t="s">
        <v>1357</v>
      </c>
      <c r="J996" t="s">
        <v>1357</v>
      </c>
      <c r="K996" t="s">
        <v>1357</v>
      </c>
      <c r="L996" t="s">
        <v>1357</v>
      </c>
    </row>
    <row r="997" spans="6:12">
      <c r="H997" t="s">
        <v>20284</v>
      </c>
      <c r="I997" t="s">
        <v>1357</v>
      </c>
      <c r="J997" t="s">
        <v>1357</v>
      </c>
      <c r="K997" t="s">
        <v>1357</v>
      </c>
      <c r="L997" t="s">
        <v>1357</v>
      </c>
    </row>
    <row r="998" spans="6:12">
      <c r="H998" t="s">
        <v>20285</v>
      </c>
      <c r="I998" t="s">
        <v>1357</v>
      </c>
      <c r="J998" t="s">
        <v>1357</v>
      </c>
      <c r="K998" t="s">
        <v>1357</v>
      </c>
      <c r="L998" t="s">
        <v>1357</v>
      </c>
    </row>
    <row r="999" spans="6:12">
      <c r="H999" t="s">
        <v>20286</v>
      </c>
      <c r="I999" t="s">
        <v>1357</v>
      </c>
      <c r="J999" t="s">
        <v>1357</v>
      </c>
      <c r="K999" t="s">
        <v>1357</v>
      </c>
      <c r="L999" t="s">
        <v>1357</v>
      </c>
    </row>
    <row r="1000" spans="6:12">
      <c r="H1000" t="s">
        <v>20287</v>
      </c>
      <c r="I1000" t="s">
        <v>1357</v>
      </c>
      <c r="J1000" t="s">
        <v>1357</v>
      </c>
      <c r="K1000" t="s">
        <v>1357</v>
      </c>
      <c r="L1000" t="s">
        <v>1357</v>
      </c>
    </row>
    <row r="1001" spans="6:12">
      <c r="F1001" t="s">
        <v>14768</v>
      </c>
      <c r="G1001" t="s">
        <v>17612</v>
      </c>
      <c r="H1001" t="s">
        <v>20280</v>
      </c>
      <c r="I1001" t="s">
        <v>1357</v>
      </c>
      <c r="J1001" t="s">
        <v>1357</v>
      </c>
      <c r="K1001" t="s">
        <v>1357</v>
      </c>
      <c r="L1001" t="s">
        <v>1357</v>
      </c>
    </row>
    <row r="1002" spans="6:12">
      <c r="H1002" t="s">
        <v>20233</v>
      </c>
      <c r="I1002" t="s">
        <v>1357</v>
      </c>
      <c r="J1002" t="s">
        <v>1357</v>
      </c>
      <c r="K1002" t="s">
        <v>1357</v>
      </c>
      <c r="L1002" t="s">
        <v>1357</v>
      </c>
    </row>
    <row r="1003" spans="6:12">
      <c r="H1003" t="s">
        <v>20230</v>
      </c>
      <c r="I1003" t="s">
        <v>1357</v>
      </c>
      <c r="J1003" t="s">
        <v>1357</v>
      </c>
      <c r="K1003" t="s">
        <v>1357</v>
      </c>
      <c r="L1003" t="s">
        <v>1357</v>
      </c>
    </row>
    <row r="1004" spans="6:12">
      <c r="H1004" t="s">
        <v>20296</v>
      </c>
      <c r="I1004" t="s">
        <v>1357</v>
      </c>
      <c r="J1004" t="s">
        <v>1357</v>
      </c>
      <c r="K1004" t="s">
        <v>1357</v>
      </c>
      <c r="L1004" t="s">
        <v>1357</v>
      </c>
    </row>
    <row r="1005" spans="6:12">
      <c r="H1005" t="s">
        <v>20297</v>
      </c>
      <c r="I1005" t="s">
        <v>1357</v>
      </c>
      <c r="J1005" t="s">
        <v>1357</v>
      </c>
      <c r="K1005" t="s">
        <v>1357</v>
      </c>
      <c r="L1005" t="s">
        <v>1357</v>
      </c>
    </row>
    <row r="1006" spans="6:12">
      <c r="H1006" t="s">
        <v>20234</v>
      </c>
      <c r="I1006" t="s">
        <v>1357</v>
      </c>
      <c r="J1006" t="s">
        <v>1357</v>
      </c>
      <c r="K1006" t="s">
        <v>1357</v>
      </c>
      <c r="L1006" t="s">
        <v>1357</v>
      </c>
    </row>
    <row r="1007" spans="6:12">
      <c r="H1007" t="s">
        <v>20235</v>
      </c>
      <c r="I1007" t="s">
        <v>1357</v>
      </c>
      <c r="J1007" t="s">
        <v>1357</v>
      </c>
      <c r="K1007" t="s">
        <v>1357</v>
      </c>
      <c r="L1007" t="s">
        <v>1357</v>
      </c>
    </row>
    <row r="1008" spans="6:12">
      <c r="H1008" t="s">
        <v>20298</v>
      </c>
      <c r="I1008" t="s">
        <v>1357</v>
      </c>
      <c r="J1008" t="s">
        <v>1357</v>
      </c>
      <c r="K1008" t="s">
        <v>1357</v>
      </c>
      <c r="L1008" t="s">
        <v>1357</v>
      </c>
    </row>
    <row r="1009" spans="6:12">
      <c r="H1009" t="s">
        <v>20299</v>
      </c>
      <c r="I1009" t="s">
        <v>1357</v>
      </c>
      <c r="J1009" t="s">
        <v>1357</v>
      </c>
      <c r="K1009" t="s">
        <v>1357</v>
      </c>
      <c r="L1009" t="s">
        <v>1357</v>
      </c>
    </row>
    <row r="1010" spans="6:12">
      <c r="H1010" t="s">
        <v>20300</v>
      </c>
      <c r="I1010" t="s">
        <v>1357</v>
      </c>
      <c r="J1010" t="s">
        <v>1357</v>
      </c>
      <c r="K1010" t="s">
        <v>1357</v>
      </c>
      <c r="L1010" t="s">
        <v>1357</v>
      </c>
    </row>
    <row r="1011" spans="6:12">
      <c r="H1011" t="s">
        <v>20301</v>
      </c>
      <c r="I1011" t="s">
        <v>1357</v>
      </c>
      <c r="J1011" t="s">
        <v>1357</v>
      </c>
      <c r="K1011" t="s">
        <v>1357</v>
      </c>
      <c r="L1011" t="s">
        <v>1357</v>
      </c>
    </row>
    <row r="1012" spans="6:12">
      <c r="H1012" t="s">
        <v>20284</v>
      </c>
      <c r="I1012" t="s">
        <v>1357</v>
      </c>
      <c r="J1012" t="s">
        <v>1357</v>
      </c>
      <c r="K1012" t="s">
        <v>1357</v>
      </c>
      <c r="L1012" t="s">
        <v>1357</v>
      </c>
    </row>
    <row r="1013" spans="6:12">
      <c r="H1013" t="s">
        <v>20285</v>
      </c>
      <c r="I1013" t="s">
        <v>1357</v>
      </c>
      <c r="J1013" t="s">
        <v>1357</v>
      </c>
      <c r="K1013" t="s">
        <v>1357</v>
      </c>
      <c r="L1013" t="s">
        <v>1357</v>
      </c>
    </row>
    <row r="1014" spans="6:12">
      <c r="H1014" t="s">
        <v>20286</v>
      </c>
      <c r="I1014" t="s">
        <v>1357</v>
      </c>
      <c r="J1014" t="s">
        <v>1357</v>
      </c>
      <c r="K1014" t="s">
        <v>1357</v>
      </c>
      <c r="L1014" t="s">
        <v>1357</v>
      </c>
    </row>
    <row r="1015" spans="6:12">
      <c r="H1015" t="s">
        <v>20287</v>
      </c>
      <c r="I1015" t="s">
        <v>1357</v>
      </c>
      <c r="J1015" t="s">
        <v>1357</v>
      </c>
      <c r="K1015" t="s">
        <v>1357</v>
      </c>
      <c r="L1015" t="s">
        <v>1357</v>
      </c>
    </row>
    <row r="1016" spans="6:12">
      <c r="F1016" t="s">
        <v>14769</v>
      </c>
      <c r="G1016" t="s">
        <v>17613</v>
      </c>
      <c r="H1016" t="s">
        <v>20280</v>
      </c>
      <c r="I1016" t="s">
        <v>1357</v>
      </c>
      <c r="J1016" t="s">
        <v>1357</v>
      </c>
      <c r="K1016" t="s">
        <v>1357</v>
      </c>
      <c r="L1016" t="s">
        <v>1357</v>
      </c>
    </row>
    <row r="1017" spans="6:12">
      <c r="H1017" t="s">
        <v>20233</v>
      </c>
      <c r="I1017" t="s">
        <v>1357</v>
      </c>
      <c r="J1017" t="s">
        <v>1357</v>
      </c>
      <c r="K1017" t="s">
        <v>1357</v>
      </c>
      <c r="L1017" t="s">
        <v>1357</v>
      </c>
    </row>
    <row r="1018" spans="6:12">
      <c r="H1018" t="s">
        <v>20230</v>
      </c>
      <c r="I1018" t="s">
        <v>1357</v>
      </c>
      <c r="J1018" t="s">
        <v>1357</v>
      </c>
      <c r="K1018" t="s">
        <v>1357</v>
      </c>
      <c r="L1018" t="s">
        <v>1357</v>
      </c>
    </row>
    <row r="1019" spans="6:12">
      <c r="H1019" t="s">
        <v>20227</v>
      </c>
      <c r="I1019" t="s">
        <v>1357</v>
      </c>
      <c r="J1019" t="s">
        <v>1357</v>
      </c>
      <c r="K1019" t="s">
        <v>1357</v>
      </c>
      <c r="L1019" t="s">
        <v>1357</v>
      </c>
    </row>
    <row r="1020" spans="6:12">
      <c r="H1020" t="s">
        <v>20296</v>
      </c>
      <c r="I1020" t="s">
        <v>1357</v>
      </c>
      <c r="J1020" t="s">
        <v>1357</v>
      </c>
      <c r="K1020" t="s">
        <v>1357</v>
      </c>
      <c r="L1020" t="s">
        <v>1357</v>
      </c>
    </row>
    <row r="1021" spans="6:12">
      <c r="H1021" t="s">
        <v>20297</v>
      </c>
      <c r="I1021" t="s">
        <v>1357</v>
      </c>
      <c r="J1021" t="s">
        <v>1357</v>
      </c>
      <c r="K1021" t="s">
        <v>1357</v>
      </c>
      <c r="L1021" t="s">
        <v>1357</v>
      </c>
    </row>
    <row r="1022" spans="6:12">
      <c r="H1022" t="s">
        <v>20234</v>
      </c>
      <c r="I1022" t="s">
        <v>1357</v>
      </c>
      <c r="J1022" t="s">
        <v>1357</v>
      </c>
      <c r="K1022" t="s">
        <v>1357</v>
      </c>
      <c r="L1022" t="s">
        <v>1357</v>
      </c>
    </row>
    <row r="1023" spans="6:12">
      <c r="H1023" t="s">
        <v>20235</v>
      </c>
      <c r="I1023" t="s">
        <v>1357</v>
      </c>
      <c r="J1023" t="s">
        <v>1357</v>
      </c>
      <c r="K1023" t="s">
        <v>1357</v>
      </c>
      <c r="L1023" t="s">
        <v>1357</v>
      </c>
    </row>
    <row r="1024" spans="6:12">
      <c r="H1024" t="s">
        <v>20298</v>
      </c>
      <c r="I1024" t="s">
        <v>1357</v>
      </c>
      <c r="J1024" t="s">
        <v>1357</v>
      </c>
      <c r="K1024" t="s">
        <v>1357</v>
      </c>
      <c r="L1024" t="s">
        <v>1357</v>
      </c>
    </row>
    <row r="1025" spans="6:12">
      <c r="H1025" t="s">
        <v>20284</v>
      </c>
      <c r="I1025" t="s">
        <v>1357</v>
      </c>
      <c r="J1025" t="s">
        <v>1357</v>
      </c>
      <c r="K1025" t="s">
        <v>1357</v>
      </c>
      <c r="L1025" t="s">
        <v>1357</v>
      </c>
    </row>
    <row r="1026" spans="6:12">
      <c r="H1026" t="s">
        <v>20285</v>
      </c>
      <c r="I1026" t="s">
        <v>1357</v>
      </c>
      <c r="J1026" t="s">
        <v>1357</v>
      </c>
      <c r="K1026" t="s">
        <v>1357</v>
      </c>
      <c r="L1026" t="s">
        <v>1357</v>
      </c>
    </row>
    <row r="1027" spans="6:12">
      <c r="H1027" t="s">
        <v>20286</v>
      </c>
      <c r="I1027" t="s">
        <v>1357</v>
      </c>
      <c r="J1027" t="s">
        <v>1357</v>
      </c>
      <c r="K1027" t="s">
        <v>1357</v>
      </c>
      <c r="L1027" t="s">
        <v>1357</v>
      </c>
    </row>
    <row r="1028" spans="6:12">
      <c r="H1028" t="s">
        <v>20287</v>
      </c>
      <c r="I1028" t="s">
        <v>1357</v>
      </c>
      <c r="J1028" t="s">
        <v>1357</v>
      </c>
      <c r="K1028" t="s">
        <v>1357</v>
      </c>
      <c r="L1028" t="s">
        <v>1357</v>
      </c>
    </row>
    <row r="1029" spans="6:12">
      <c r="F1029" t="s">
        <v>14770</v>
      </c>
      <c r="G1029" t="s">
        <v>17614</v>
      </c>
      <c r="H1029" t="s">
        <v>20280</v>
      </c>
      <c r="I1029" t="s">
        <v>1357</v>
      </c>
      <c r="J1029" t="s">
        <v>1357</v>
      </c>
      <c r="K1029" t="s">
        <v>1357</v>
      </c>
      <c r="L1029" t="s">
        <v>1357</v>
      </c>
    </row>
    <row r="1030" spans="6:12">
      <c r="H1030" t="s">
        <v>20233</v>
      </c>
      <c r="I1030" t="s">
        <v>1357</v>
      </c>
      <c r="J1030" t="s">
        <v>1357</v>
      </c>
      <c r="K1030" t="s">
        <v>1357</v>
      </c>
      <c r="L1030" t="s">
        <v>1357</v>
      </c>
    </row>
    <row r="1031" spans="6:12">
      <c r="H1031" t="s">
        <v>20230</v>
      </c>
      <c r="I1031" t="s">
        <v>1357</v>
      </c>
      <c r="J1031" t="s">
        <v>1357</v>
      </c>
      <c r="K1031" t="s">
        <v>1357</v>
      </c>
      <c r="L1031" t="s">
        <v>1357</v>
      </c>
    </row>
    <row r="1032" spans="6:12">
      <c r="H1032" t="s">
        <v>20296</v>
      </c>
      <c r="I1032" t="s">
        <v>1357</v>
      </c>
      <c r="J1032" t="s">
        <v>1357</v>
      </c>
      <c r="K1032" t="s">
        <v>1357</v>
      </c>
      <c r="L1032" t="s">
        <v>1357</v>
      </c>
    </row>
    <row r="1033" spans="6:12">
      <c r="H1033" t="s">
        <v>20297</v>
      </c>
      <c r="I1033" t="s">
        <v>1357</v>
      </c>
      <c r="J1033" t="s">
        <v>1357</v>
      </c>
      <c r="K1033" t="s">
        <v>1357</v>
      </c>
      <c r="L1033" t="s">
        <v>1357</v>
      </c>
    </row>
    <row r="1034" spans="6:12">
      <c r="H1034" t="s">
        <v>20234</v>
      </c>
      <c r="I1034" t="s">
        <v>1357</v>
      </c>
      <c r="J1034" t="s">
        <v>1357</v>
      </c>
      <c r="K1034" t="s">
        <v>1357</v>
      </c>
      <c r="L1034" t="s">
        <v>1357</v>
      </c>
    </row>
    <row r="1035" spans="6:12">
      <c r="H1035" t="s">
        <v>20235</v>
      </c>
      <c r="I1035" t="s">
        <v>1357</v>
      </c>
      <c r="J1035" t="s">
        <v>1357</v>
      </c>
      <c r="K1035" t="s">
        <v>1357</v>
      </c>
      <c r="L1035" t="s">
        <v>1357</v>
      </c>
    </row>
    <row r="1036" spans="6:12">
      <c r="H1036" t="s">
        <v>20298</v>
      </c>
      <c r="I1036" t="s">
        <v>1357</v>
      </c>
      <c r="J1036" t="s">
        <v>1357</v>
      </c>
      <c r="K1036" t="s">
        <v>1357</v>
      </c>
      <c r="L1036" t="s">
        <v>1357</v>
      </c>
    </row>
    <row r="1037" spans="6:12">
      <c r="H1037" t="s">
        <v>20299</v>
      </c>
      <c r="I1037" t="s">
        <v>1357</v>
      </c>
      <c r="J1037" t="s">
        <v>1357</v>
      </c>
      <c r="K1037" t="s">
        <v>1357</v>
      </c>
      <c r="L1037" t="s">
        <v>1357</v>
      </c>
    </row>
    <row r="1038" spans="6:12">
      <c r="H1038" t="s">
        <v>20300</v>
      </c>
      <c r="I1038" t="s">
        <v>1357</v>
      </c>
      <c r="J1038" t="s">
        <v>1357</v>
      </c>
      <c r="K1038" t="s">
        <v>1357</v>
      </c>
      <c r="L1038" t="s">
        <v>1357</v>
      </c>
    </row>
    <row r="1039" spans="6:12">
      <c r="H1039" t="s">
        <v>20301</v>
      </c>
      <c r="I1039" t="s">
        <v>1357</v>
      </c>
      <c r="J1039" t="s">
        <v>1357</v>
      </c>
      <c r="K1039" t="s">
        <v>1357</v>
      </c>
      <c r="L1039" t="s">
        <v>1357</v>
      </c>
    </row>
    <row r="1040" spans="6:12">
      <c r="H1040" t="s">
        <v>20302</v>
      </c>
      <c r="I1040" t="s">
        <v>1357</v>
      </c>
      <c r="J1040" t="s">
        <v>1357</v>
      </c>
      <c r="K1040" t="s">
        <v>1357</v>
      </c>
      <c r="L1040" t="s">
        <v>1357</v>
      </c>
    </row>
    <row r="1041" spans="6:12">
      <c r="H1041" t="s">
        <v>20284</v>
      </c>
      <c r="I1041" t="s">
        <v>1357</v>
      </c>
      <c r="J1041" t="s">
        <v>1357</v>
      </c>
      <c r="K1041" t="s">
        <v>1357</v>
      </c>
      <c r="L1041" t="s">
        <v>1357</v>
      </c>
    </row>
    <row r="1042" spans="6:12">
      <c r="H1042" t="s">
        <v>20285</v>
      </c>
      <c r="I1042" t="s">
        <v>1357</v>
      </c>
      <c r="J1042" t="s">
        <v>1357</v>
      </c>
      <c r="K1042" t="s">
        <v>1357</v>
      </c>
      <c r="L1042" t="s">
        <v>1357</v>
      </c>
    </row>
    <row r="1043" spans="6:12">
      <c r="H1043" t="s">
        <v>20286</v>
      </c>
      <c r="I1043" t="s">
        <v>1357</v>
      </c>
      <c r="J1043" t="s">
        <v>1357</v>
      </c>
      <c r="K1043" t="s">
        <v>1357</v>
      </c>
      <c r="L1043" t="s">
        <v>1357</v>
      </c>
    </row>
    <row r="1044" spans="6:12">
      <c r="H1044" t="s">
        <v>20287</v>
      </c>
      <c r="I1044" t="s">
        <v>1357</v>
      </c>
      <c r="J1044" t="s">
        <v>1357</v>
      </c>
      <c r="K1044" t="s">
        <v>1357</v>
      </c>
      <c r="L1044" t="s">
        <v>1357</v>
      </c>
    </row>
    <row r="1045" spans="6:12">
      <c r="F1045" t="s">
        <v>14771</v>
      </c>
      <c r="G1045" t="s">
        <v>17615</v>
      </c>
      <c r="H1045" t="s">
        <v>20280</v>
      </c>
      <c r="I1045" t="s">
        <v>1357</v>
      </c>
      <c r="J1045" t="s">
        <v>1357</v>
      </c>
      <c r="K1045" t="s">
        <v>1357</v>
      </c>
      <c r="L1045" t="s">
        <v>1357</v>
      </c>
    </row>
    <row r="1046" spans="6:12">
      <c r="H1046" t="s">
        <v>20233</v>
      </c>
      <c r="I1046" t="s">
        <v>1357</v>
      </c>
      <c r="J1046" t="s">
        <v>1357</v>
      </c>
      <c r="K1046" t="s">
        <v>1357</v>
      </c>
      <c r="L1046" t="s">
        <v>1357</v>
      </c>
    </row>
    <row r="1047" spans="6:12">
      <c r="H1047" t="s">
        <v>20230</v>
      </c>
      <c r="I1047" t="s">
        <v>1357</v>
      </c>
      <c r="J1047" t="s">
        <v>1357</v>
      </c>
      <c r="K1047" t="s">
        <v>1357</v>
      </c>
      <c r="L1047" t="s">
        <v>1357</v>
      </c>
    </row>
    <row r="1048" spans="6:12">
      <c r="H1048" t="s">
        <v>20281</v>
      </c>
      <c r="I1048" t="s">
        <v>1357</v>
      </c>
      <c r="J1048" t="s">
        <v>1357</v>
      </c>
      <c r="K1048" t="s">
        <v>1357</v>
      </c>
      <c r="L1048" t="s">
        <v>1357</v>
      </c>
    </row>
    <row r="1049" spans="6:12">
      <c r="H1049" t="s">
        <v>20282</v>
      </c>
      <c r="I1049" t="s">
        <v>1357</v>
      </c>
      <c r="J1049" t="s">
        <v>1357</v>
      </c>
      <c r="K1049" t="s">
        <v>1357</v>
      </c>
      <c r="L1049" t="s">
        <v>1357</v>
      </c>
    </row>
    <row r="1050" spans="6:12">
      <c r="H1050" t="s">
        <v>20284</v>
      </c>
      <c r="I1050" t="s">
        <v>1357</v>
      </c>
      <c r="J1050" t="s">
        <v>1357</v>
      </c>
      <c r="K1050" t="s">
        <v>1357</v>
      </c>
      <c r="L1050" t="s">
        <v>1357</v>
      </c>
    </row>
    <row r="1051" spans="6:12">
      <c r="H1051" t="s">
        <v>20285</v>
      </c>
      <c r="I1051" t="s">
        <v>1357</v>
      </c>
      <c r="J1051" t="s">
        <v>1357</v>
      </c>
      <c r="K1051" t="s">
        <v>1357</v>
      </c>
      <c r="L1051" t="s">
        <v>1357</v>
      </c>
    </row>
    <row r="1052" spans="6:12">
      <c r="H1052" t="s">
        <v>20286</v>
      </c>
      <c r="I1052" t="s">
        <v>1357</v>
      </c>
      <c r="J1052" t="s">
        <v>1357</v>
      </c>
      <c r="K1052" t="s">
        <v>1357</v>
      </c>
      <c r="L1052" t="s">
        <v>1357</v>
      </c>
    </row>
    <row r="1053" spans="6:12">
      <c r="H1053" t="s">
        <v>20287</v>
      </c>
      <c r="I1053" t="s">
        <v>1357</v>
      </c>
      <c r="J1053" t="s">
        <v>1357</v>
      </c>
      <c r="K1053" t="s">
        <v>1357</v>
      </c>
      <c r="L1053" t="s">
        <v>1357</v>
      </c>
    </row>
    <row r="1054" spans="6:12">
      <c r="H1054" t="s">
        <v>20288</v>
      </c>
      <c r="I1054" t="s">
        <v>1357</v>
      </c>
      <c r="J1054" t="s">
        <v>1357</v>
      </c>
      <c r="K1054" t="s">
        <v>1357</v>
      </c>
      <c r="L1054" t="s">
        <v>1357</v>
      </c>
    </row>
    <row r="1055" spans="6:12">
      <c r="H1055" t="s">
        <v>20289</v>
      </c>
      <c r="I1055" t="s">
        <v>1357</v>
      </c>
      <c r="J1055" t="s">
        <v>1357</v>
      </c>
      <c r="K1055" t="s">
        <v>1357</v>
      </c>
      <c r="L1055" t="s">
        <v>1357</v>
      </c>
    </row>
    <row r="1056" spans="6:12">
      <c r="F1056" t="s">
        <v>14772</v>
      </c>
      <c r="G1056" t="s">
        <v>17616</v>
      </c>
      <c r="H1056" t="s">
        <v>20280</v>
      </c>
      <c r="I1056" t="s">
        <v>1357</v>
      </c>
      <c r="J1056" t="s">
        <v>1357</v>
      </c>
      <c r="K1056" t="s">
        <v>1357</v>
      </c>
      <c r="L1056" t="s">
        <v>1357</v>
      </c>
    </row>
    <row r="1057" spans="6:12">
      <c r="H1057" t="s">
        <v>20233</v>
      </c>
      <c r="I1057" t="s">
        <v>1357</v>
      </c>
      <c r="J1057" t="s">
        <v>1357</v>
      </c>
      <c r="K1057" t="s">
        <v>1357</v>
      </c>
      <c r="L1057" t="s">
        <v>1357</v>
      </c>
    </row>
    <row r="1058" spans="6:12">
      <c r="H1058" t="s">
        <v>20284</v>
      </c>
      <c r="I1058" t="s">
        <v>1357</v>
      </c>
      <c r="J1058" t="s">
        <v>1357</v>
      </c>
      <c r="K1058" t="s">
        <v>1357</v>
      </c>
      <c r="L1058" t="s">
        <v>1357</v>
      </c>
    </row>
    <row r="1059" spans="6:12">
      <c r="H1059" t="s">
        <v>20285</v>
      </c>
      <c r="I1059" t="s">
        <v>1357</v>
      </c>
      <c r="J1059" t="s">
        <v>1357</v>
      </c>
      <c r="K1059" t="s">
        <v>1357</v>
      </c>
      <c r="L1059" t="s">
        <v>1357</v>
      </c>
    </row>
    <row r="1060" spans="6:12">
      <c r="H1060" t="s">
        <v>20286</v>
      </c>
      <c r="I1060" t="s">
        <v>1357</v>
      </c>
      <c r="J1060" t="s">
        <v>1357</v>
      </c>
      <c r="K1060" t="s">
        <v>1357</v>
      </c>
      <c r="L1060" t="s">
        <v>1357</v>
      </c>
    </row>
    <row r="1061" spans="6:12">
      <c r="H1061" t="s">
        <v>20230</v>
      </c>
      <c r="I1061" t="s">
        <v>1357</v>
      </c>
      <c r="J1061" t="s">
        <v>1357</v>
      </c>
      <c r="K1061" t="s">
        <v>1357</v>
      </c>
      <c r="L1061" t="s">
        <v>1357</v>
      </c>
    </row>
    <row r="1062" spans="6:12">
      <c r="H1062" t="s">
        <v>20227</v>
      </c>
      <c r="I1062" t="s">
        <v>1357</v>
      </c>
      <c r="J1062" t="s">
        <v>1357</v>
      </c>
      <c r="K1062" t="s">
        <v>1357</v>
      </c>
      <c r="L1062" t="s">
        <v>1357</v>
      </c>
    </row>
    <row r="1063" spans="6:12">
      <c r="H1063" t="s">
        <v>20287</v>
      </c>
      <c r="I1063" t="s">
        <v>1357</v>
      </c>
      <c r="J1063" t="s">
        <v>1357</v>
      </c>
      <c r="K1063" t="s">
        <v>1357</v>
      </c>
      <c r="L1063" t="s">
        <v>1357</v>
      </c>
    </row>
    <row r="1064" spans="6:12">
      <c r="H1064" t="s">
        <v>20288</v>
      </c>
      <c r="I1064" t="s">
        <v>1357</v>
      </c>
      <c r="J1064" t="s">
        <v>1357</v>
      </c>
      <c r="K1064" t="s">
        <v>1357</v>
      </c>
      <c r="L1064" t="s">
        <v>1357</v>
      </c>
    </row>
    <row r="1065" spans="6:12">
      <c r="H1065" t="s">
        <v>20289</v>
      </c>
      <c r="I1065" t="s">
        <v>1357</v>
      </c>
      <c r="J1065" t="s">
        <v>1357</v>
      </c>
      <c r="K1065" t="s">
        <v>1357</v>
      </c>
      <c r="L1065" t="s">
        <v>1357</v>
      </c>
    </row>
    <row r="1066" spans="6:12">
      <c r="F1066" t="s">
        <v>14773</v>
      </c>
      <c r="G1066" t="s">
        <v>17617</v>
      </c>
      <c r="H1066" t="s">
        <v>20280</v>
      </c>
      <c r="I1066" t="s">
        <v>1357</v>
      </c>
      <c r="J1066" t="s">
        <v>1357</v>
      </c>
      <c r="K1066" t="s">
        <v>1357</v>
      </c>
      <c r="L1066" t="s">
        <v>1357</v>
      </c>
    </row>
    <row r="1067" spans="6:12">
      <c r="H1067" t="s">
        <v>20233</v>
      </c>
      <c r="I1067" t="s">
        <v>1357</v>
      </c>
      <c r="J1067" t="s">
        <v>1357</v>
      </c>
      <c r="K1067" t="s">
        <v>1357</v>
      </c>
      <c r="L1067" t="s">
        <v>1357</v>
      </c>
    </row>
    <row r="1068" spans="6:12">
      <c r="H1068" t="s">
        <v>20284</v>
      </c>
      <c r="I1068" t="s">
        <v>1357</v>
      </c>
      <c r="J1068" t="s">
        <v>1357</v>
      </c>
      <c r="K1068" t="s">
        <v>1357</v>
      </c>
      <c r="L1068" t="s">
        <v>1357</v>
      </c>
    </row>
    <row r="1069" spans="6:12">
      <c r="H1069" t="s">
        <v>20285</v>
      </c>
      <c r="I1069" t="s">
        <v>1357</v>
      </c>
      <c r="J1069" t="s">
        <v>1357</v>
      </c>
      <c r="K1069" t="s">
        <v>1357</v>
      </c>
      <c r="L1069" t="s">
        <v>1357</v>
      </c>
    </row>
    <row r="1070" spans="6:12">
      <c r="H1070" t="s">
        <v>20286</v>
      </c>
      <c r="I1070" t="s">
        <v>1357</v>
      </c>
      <c r="J1070" t="s">
        <v>1357</v>
      </c>
      <c r="K1070" t="s">
        <v>1357</v>
      </c>
      <c r="L1070" t="s">
        <v>1357</v>
      </c>
    </row>
    <row r="1071" spans="6:12">
      <c r="F1071" t="s">
        <v>14774</v>
      </c>
      <c r="G1071" t="s">
        <v>17618</v>
      </c>
      <c r="H1071" t="s">
        <v>20280</v>
      </c>
      <c r="I1071" t="s">
        <v>1357</v>
      </c>
      <c r="J1071" t="s">
        <v>1357</v>
      </c>
      <c r="K1071" t="s">
        <v>1357</v>
      </c>
      <c r="L1071" t="s">
        <v>1357</v>
      </c>
    </row>
    <row r="1072" spans="6:12">
      <c r="H1072" t="s">
        <v>20233</v>
      </c>
      <c r="I1072" t="s">
        <v>1357</v>
      </c>
      <c r="J1072" t="s">
        <v>1357</v>
      </c>
      <c r="K1072" t="s">
        <v>1357</v>
      </c>
      <c r="L1072" t="s">
        <v>1357</v>
      </c>
    </row>
    <row r="1073" spans="6:12">
      <c r="H1073" t="s">
        <v>20284</v>
      </c>
      <c r="I1073" t="s">
        <v>1357</v>
      </c>
      <c r="J1073" t="s">
        <v>1357</v>
      </c>
      <c r="K1073" t="s">
        <v>1357</v>
      </c>
      <c r="L1073" t="s">
        <v>1357</v>
      </c>
    </row>
    <row r="1074" spans="6:12">
      <c r="H1074" t="s">
        <v>20285</v>
      </c>
      <c r="I1074" t="s">
        <v>1357</v>
      </c>
      <c r="J1074" t="s">
        <v>1357</v>
      </c>
      <c r="K1074" t="s">
        <v>1357</v>
      </c>
      <c r="L1074" t="s">
        <v>1357</v>
      </c>
    </row>
    <row r="1075" spans="6:12">
      <c r="H1075" t="s">
        <v>20286</v>
      </c>
      <c r="I1075" t="s">
        <v>1357</v>
      </c>
      <c r="J1075" t="s">
        <v>1357</v>
      </c>
      <c r="K1075" t="s">
        <v>1357</v>
      </c>
      <c r="L1075" t="s">
        <v>1357</v>
      </c>
    </row>
    <row r="1076" spans="6:12">
      <c r="F1076" t="s">
        <v>14775</v>
      </c>
      <c r="G1076" t="s">
        <v>17619</v>
      </c>
      <c r="H1076" t="s">
        <v>20280</v>
      </c>
      <c r="I1076" t="s">
        <v>1357</v>
      </c>
      <c r="J1076" t="s">
        <v>1357</v>
      </c>
      <c r="K1076" t="s">
        <v>1357</v>
      </c>
      <c r="L1076" t="s">
        <v>1357</v>
      </c>
    </row>
    <row r="1077" spans="6:12">
      <c r="H1077" t="s">
        <v>20233</v>
      </c>
      <c r="I1077" t="s">
        <v>1357</v>
      </c>
      <c r="J1077" t="s">
        <v>1357</v>
      </c>
      <c r="K1077" t="s">
        <v>1357</v>
      </c>
      <c r="L1077" t="s">
        <v>1357</v>
      </c>
    </row>
    <row r="1078" spans="6:12">
      <c r="H1078" t="s">
        <v>20284</v>
      </c>
      <c r="I1078" t="s">
        <v>1357</v>
      </c>
      <c r="J1078" t="s">
        <v>1357</v>
      </c>
      <c r="K1078" t="s">
        <v>1357</v>
      </c>
      <c r="L1078" t="s">
        <v>1357</v>
      </c>
    </row>
    <row r="1079" spans="6:12">
      <c r="H1079" t="s">
        <v>20285</v>
      </c>
      <c r="I1079" t="s">
        <v>1357</v>
      </c>
      <c r="J1079" t="s">
        <v>1357</v>
      </c>
      <c r="K1079" t="s">
        <v>1357</v>
      </c>
      <c r="L1079" t="s">
        <v>1357</v>
      </c>
    </row>
    <row r="1080" spans="6:12">
      <c r="H1080" t="s">
        <v>20286</v>
      </c>
      <c r="I1080" t="s">
        <v>1357</v>
      </c>
      <c r="J1080" t="s">
        <v>1357</v>
      </c>
      <c r="K1080" t="s">
        <v>1357</v>
      </c>
      <c r="L1080" t="s">
        <v>1357</v>
      </c>
    </row>
    <row r="1081" spans="6:12">
      <c r="F1081" t="s">
        <v>14776</v>
      </c>
      <c r="G1081" t="s">
        <v>17620</v>
      </c>
      <c r="H1081" t="s">
        <v>20280</v>
      </c>
      <c r="I1081" t="s">
        <v>1357</v>
      </c>
      <c r="J1081" t="s">
        <v>1357</v>
      </c>
      <c r="K1081" t="s">
        <v>1357</v>
      </c>
      <c r="L1081" t="s">
        <v>1357</v>
      </c>
    </row>
    <row r="1082" spans="6:12">
      <c r="H1082" t="s">
        <v>20233</v>
      </c>
      <c r="I1082" t="s">
        <v>1357</v>
      </c>
      <c r="J1082" t="s">
        <v>1357</v>
      </c>
      <c r="K1082" t="s">
        <v>1357</v>
      </c>
      <c r="L1082" t="s">
        <v>1357</v>
      </c>
    </row>
    <row r="1083" spans="6:12">
      <c r="H1083" t="s">
        <v>20284</v>
      </c>
      <c r="I1083" t="s">
        <v>1357</v>
      </c>
      <c r="J1083" t="s">
        <v>1357</v>
      </c>
      <c r="K1083" t="s">
        <v>1357</v>
      </c>
      <c r="L1083" t="s">
        <v>1357</v>
      </c>
    </row>
    <row r="1084" spans="6:12">
      <c r="H1084" t="s">
        <v>20285</v>
      </c>
      <c r="I1084" t="s">
        <v>1357</v>
      </c>
      <c r="J1084" t="s">
        <v>1357</v>
      </c>
      <c r="K1084" t="s">
        <v>1357</v>
      </c>
      <c r="L1084" t="s">
        <v>1357</v>
      </c>
    </row>
    <row r="1085" spans="6:12">
      <c r="H1085" t="s">
        <v>20286</v>
      </c>
      <c r="I1085" t="s">
        <v>1357</v>
      </c>
      <c r="J1085" t="s">
        <v>1357</v>
      </c>
      <c r="K1085" t="s">
        <v>1357</v>
      </c>
      <c r="L1085" t="s">
        <v>1357</v>
      </c>
    </row>
    <row r="1086" spans="6:12">
      <c r="F1086" t="s">
        <v>14777</v>
      </c>
      <c r="G1086" t="s">
        <v>17621</v>
      </c>
      <c r="H1086" t="s">
        <v>20280</v>
      </c>
      <c r="I1086" t="s">
        <v>1357</v>
      </c>
      <c r="J1086" t="s">
        <v>1357</v>
      </c>
      <c r="K1086" t="s">
        <v>1357</v>
      </c>
      <c r="L1086" t="s">
        <v>1357</v>
      </c>
    </row>
    <row r="1087" spans="6:12">
      <c r="H1087" t="s">
        <v>20233</v>
      </c>
      <c r="I1087" t="s">
        <v>1357</v>
      </c>
      <c r="J1087" t="s">
        <v>1357</v>
      </c>
      <c r="K1087" t="s">
        <v>1357</v>
      </c>
      <c r="L1087" t="s">
        <v>1357</v>
      </c>
    </row>
    <row r="1088" spans="6:12">
      <c r="H1088" t="s">
        <v>20230</v>
      </c>
      <c r="I1088" t="s">
        <v>1357</v>
      </c>
      <c r="J1088" t="s">
        <v>1357</v>
      </c>
      <c r="K1088" t="s">
        <v>1357</v>
      </c>
      <c r="L1088" t="s">
        <v>1357</v>
      </c>
    </row>
    <row r="1089" spans="6:12">
      <c r="H1089" t="s">
        <v>20296</v>
      </c>
      <c r="I1089" t="s">
        <v>1357</v>
      </c>
      <c r="J1089" t="s">
        <v>1357</v>
      </c>
      <c r="K1089" t="s">
        <v>1357</v>
      </c>
      <c r="L1089" t="s">
        <v>1357</v>
      </c>
    </row>
    <row r="1090" spans="6:12">
      <c r="H1090" t="s">
        <v>20297</v>
      </c>
      <c r="I1090" t="s">
        <v>1357</v>
      </c>
      <c r="J1090" t="s">
        <v>1357</v>
      </c>
      <c r="K1090" t="s">
        <v>1357</v>
      </c>
      <c r="L1090" t="s">
        <v>1357</v>
      </c>
    </row>
    <row r="1091" spans="6:12">
      <c r="H1091" t="s">
        <v>20234</v>
      </c>
      <c r="I1091" t="s">
        <v>1357</v>
      </c>
      <c r="J1091" t="s">
        <v>1357</v>
      </c>
      <c r="K1091" t="s">
        <v>1357</v>
      </c>
      <c r="L1091" t="s">
        <v>1357</v>
      </c>
    </row>
    <row r="1092" spans="6:12">
      <c r="H1092" t="s">
        <v>20235</v>
      </c>
      <c r="I1092" t="s">
        <v>1357</v>
      </c>
      <c r="J1092" t="s">
        <v>1357</v>
      </c>
      <c r="K1092" t="s">
        <v>1357</v>
      </c>
      <c r="L1092" t="s">
        <v>1357</v>
      </c>
    </row>
    <row r="1093" spans="6:12">
      <c r="H1093" t="s">
        <v>20298</v>
      </c>
      <c r="I1093" t="s">
        <v>1357</v>
      </c>
      <c r="J1093" t="s">
        <v>1357</v>
      </c>
      <c r="K1093" t="s">
        <v>1357</v>
      </c>
      <c r="L1093" t="s">
        <v>1357</v>
      </c>
    </row>
    <row r="1094" spans="6:12">
      <c r="H1094" t="s">
        <v>20299</v>
      </c>
      <c r="I1094" t="s">
        <v>1357</v>
      </c>
      <c r="J1094" t="s">
        <v>1357</v>
      </c>
      <c r="K1094" t="s">
        <v>1357</v>
      </c>
      <c r="L1094" t="s">
        <v>1357</v>
      </c>
    </row>
    <row r="1095" spans="6:12">
      <c r="H1095" t="s">
        <v>20300</v>
      </c>
      <c r="I1095" t="s">
        <v>1357</v>
      </c>
      <c r="J1095" t="s">
        <v>1357</v>
      </c>
      <c r="K1095" t="s">
        <v>1357</v>
      </c>
      <c r="L1095" t="s">
        <v>1357</v>
      </c>
    </row>
    <row r="1096" spans="6:12">
      <c r="H1096" t="s">
        <v>20301</v>
      </c>
      <c r="I1096" t="s">
        <v>1357</v>
      </c>
      <c r="J1096" t="s">
        <v>1357</v>
      </c>
      <c r="K1096" t="s">
        <v>1357</v>
      </c>
      <c r="L1096" t="s">
        <v>1357</v>
      </c>
    </row>
    <row r="1097" spans="6:12">
      <c r="H1097" t="s">
        <v>20302</v>
      </c>
      <c r="I1097" t="s">
        <v>1357</v>
      </c>
      <c r="J1097" t="s">
        <v>1357</v>
      </c>
      <c r="K1097" t="s">
        <v>1357</v>
      </c>
      <c r="L1097" t="s">
        <v>1357</v>
      </c>
    </row>
    <row r="1098" spans="6:12">
      <c r="H1098" t="s">
        <v>20303</v>
      </c>
      <c r="I1098" t="s">
        <v>1357</v>
      </c>
      <c r="J1098" t="s">
        <v>1357</v>
      </c>
      <c r="K1098" t="s">
        <v>1357</v>
      </c>
      <c r="L1098" t="s">
        <v>1357</v>
      </c>
    </row>
    <row r="1099" spans="6:12">
      <c r="H1099" t="s">
        <v>20284</v>
      </c>
      <c r="I1099" t="s">
        <v>1357</v>
      </c>
      <c r="J1099" t="s">
        <v>1357</v>
      </c>
      <c r="K1099" t="s">
        <v>1357</v>
      </c>
      <c r="L1099" t="s">
        <v>1357</v>
      </c>
    </row>
    <row r="1100" spans="6:12">
      <c r="H1100" t="s">
        <v>20285</v>
      </c>
      <c r="I1100" t="s">
        <v>1357</v>
      </c>
      <c r="J1100" t="s">
        <v>1357</v>
      </c>
      <c r="K1100" t="s">
        <v>1357</v>
      </c>
      <c r="L1100" t="s">
        <v>1357</v>
      </c>
    </row>
    <row r="1101" spans="6:12">
      <c r="H1101" t="s">
        <v>20286</v>
      </c>
      <c r="I1101" t="s">
        <v>1357</v>
      </c>
      <c r="J1101" t="s">
        <v>1357</v>
      </c>
      <c r="K1101" t="s">
        <v>1357</v>
      </c>
      <c r="L1101" t="s">
        <v>1357</v>
      </c>
    </row>
    <row r="1102" spans="6:12">
      <c r="H1102" t="s">
        <v>20287</v>
      </c>
      <c r="I1102" t="s">
        <v>1357</v>
      </c>
      <c r="J1102" t="s">
        <v>1357</v>
      </c>
      <c r="K1102" t="s">
        <v>1357</v>
      </c>
      <c r="L1102" t="s">
        <v>1357</v>
      </c>
    </row>
    <row r="1103" spans="6:12">
      <c r="F1103" t="s">
        <v>14778</v>
      </c>
      <c r="G1103" t="s">
        <v>17622</v>
      </c>
      <c r="H1103" t="s">
        <v>20280</v>
      </c>
      <c r="I1103" t="s">
        <v>1357</v>
      </c>
      <c r="J1103" t="s">
        <v>1357</v>
      </c>
      <c r="K1103" t="s">
        <v>1357</v>
      </c>
      <c r="L1103" t="s">
        <v>1357</v>
      </c>
    </row>
    <row r="1104" spans="6:12">
      <c r="H1104" t="s">
        <v>20233</v>
      </c>
      <c r="I1104" t="s">
        <v>1357</v>
      </c>
      <c r="J1104" t="s">
        <v>1357</v>
      </c>
      <c r="K1104" t="s">
        <v>1357</v>
      </c>
      <c r="L1104" t="s">
        <v>1357</v>
      </c>
    </row>
    <row r="1105" spans="6:12">
      <c r="H1105" t="s">
        <v>20230</v>
      </c>
      <c r="I1105" t="s">
        <v>1357</v>
      </c>
      <c r="J1105" t="s">
        <v>1357</v>
      </c>
      <c r="K1105" t="s">
        <v>1357</v>
      </c>
      <c r="L1105" t="s">
        <v>1357</v>
      </c>
    </row>
    <row r="1106" spans="6:12">
      <c r="H1106" t="s">
        <v>20284</v>
      </c>
      <c r="I1106" t="s">
        <v>1357</v>
      </c>
      <c r="J1106" t="s">
        <v>1357</v>
      </c>
      <c r="K1106" t="s">
        <v>1357</v>
      </c>
      <c r="L1106" t="s">
        <v>1357</v>
      </c>
    </row>
    <row r="1107" spans="6:12">
      <c r="H1107" t="s">
        <v>20285</v>
      </c>
      <c r="I1107" t="s">
        <v>1357</v>
      </c>
      <c r="J1107" t="s">
        <v>1357</v>
      </c>
      <c r="K1107" t="s">
        <v>1357</v>
      </c>
      <c r="L1107" t="s">
        <v>1357</v>
      </c>
    </row>
    <row r="1108" spans="6:12">
      <c r="H1108" t="s">
        <v>20286</v>
      </c>
      <c r="I1108" t="s">
        <v>1357</v>
      </c>
      <c r="J1108" t="s">
        <v>1357</v>
      </c>
      <c r="K1108" t="s">
        <v>1357</v>
      </c>
      <c r="L1108" t="s">
        <v>1357</v>
      </c>
    </row>
    <row r="1109" spans="6:12">
      <c r="H1109" t="s">
        <v>20287</v>
      </c>
      <c r="I1109" t="s">
        <v>1357</v>
      </c>
      <c r="J1109" t="s">
        <v>1357</v>
      </c>
      <c r="K1109" t="s">
        <v>1357</v>
      </c>
      <c r="L1109" t="s">
        <v>1357</v>
      </c>
    </row>
    <row r="1110" spans="6:12">
      <c r="F1110" t="s">
        <v>14779</v>
      </c>
      <c r="G1110" t="s">
        <v>17623</v>
      </c>
      <c r="H1110" t="s">
        <v>20280</v>
      </c>
      <c r="I1110" t="s">
        <v>1357</v>
      </c>
      <c r="J1110" t="s">
        <v>1357</v>
      </c>
      <c r="K1110" t="s">
        <v>1357</v>
      </c>
      <c r="L1110" t="s">
        <v>1357</v>
      </c>
    </row>
    <row r="1111" spans="6:12">
      <c r="H1111" t="s">
        <v>20233</v>
      </c>
      <c r="I1111" t="s">
        <v>1357</v>
      </c>
      <c r="J1111" t="s">
        <v>1357</v>
      </c>
      <c r="K1111" t="s">
        <v>1357</v>
      </c>
      <c r="L1111" t="s">
        <v>1357</v>
      </c>
    </row>
    <row r="1112" spans="6:12">
      <c r="H1112" t="s">
        <v>20230</v>
      </c>
      <c r="I1112" t="s">
        <v>1357</v>
      </c>
      <c r="J1112" t="s">
        <v>1357</v>
      </c>
      <c r="K1112" t="s">
        <v>1357</v>
      </c>
      <c r="L1112" t="s">
        <v>1357</v>
      </c>
    </row>
    <row r="1113" spans="6:12">
      <c r="H1113" t="s">
        <v>20227</v>
      </c>
      <c r="I1113" t="s">
        <v>1357</v>
      </c>
      <c r="J1113" t="s">
        <v>1357</v>
      </c>
      <c r="K1113" t="s">
        <v>1357</v>
      </c>
      <c r="L1113" t="s">
        <v>1357</v>
      </c>
    </row>
    <row r="1114" spans="6:12">
      <c r="H1114" t="s">
        <v>20284</v>
      </c>
      <c r="I1114" t="s">
        <v>1357</v>
      </c>
      <c r="J1114" t="s">
        <v>1357</v>
      </c>
      <c r="K1114" t="s">
        <v>1357</v>
      </c>
      <c r="L1114" t="s">
        <v>1357</v>
      </c>
    </row>
    <row r="1115" spans="6:12">
      <c r="H1115" t="s">
        <v>20287</v>
      </c>
      <c r="I1115" t="s">
        <v>1357</v>
      </c>
      <c r="J1115" t="s">
        <v>1357</v>
      </c>
      <c r="K1115" t="s">
        <v>1357</v>
      </c>
      <c r="L1115" t="s">
        <v>1357</v>
      </c>
    </row>
    <row r="1116" spans="6:12">
      <c r="F1116" t="s">
        <v>14780</v>
      </c>
      <c r="G1116" t="s">
        <v>17624</v>
      </c>
      <c r="H1116" t="s">
        <v>20280</v>
      </c>
      <c r="I1116" t="s">
        <v>1357</v>
      </c>
      <c r="J1116" t="s">
        <v>1357</v>
      </c>
      <c r="K1116" t="s">
        <v>1357</v>
      </c>
      <c r="L1116" t="s">
        <v>1357</v>
      </c>
    </row>
    <row r="1117" spans="6:12">
      <c r="H1117" t="s">
        <v>20233</v>
      </c>
      <c r="I1117" t="s">
        <v>1357</v>
      </c>
      <c r="J1117" t="s">
        <v>1357</v>
      </c>
      <c r="K1117" t="s">
        <v>1357</v>
      </c>
      <c r="L1117" t="s">
        <v>1357</v>
      </c>
    </row>
    <row r="1118" spans="6:12">
      <c r="H1118" t="s">
        <v>20230</v>
      </c>
      <c r="I1118" t="s">
        <v>1357</v>
      </c>
      <c r="J1118" t="s">
        <v>1357</v>
      </c>
      <c r="K1118" t="s">
        <v>1357</v>
      </c>
      <c r="L1118" t="s">
        <v>1357</v>
      </c>
    </row>
    <row r="1119" spans="6:12">
      <c r="H1119" t="s">
        <v>20227</v>
      </c>
      <c r="I1119" t="s">
        <v>1357</v>
      </c>
      <c r="J1119" t="s">
        <v>1357</v>
      </c>
      <c r="K1119" t="s">
        <v>1357</v>
      </c>
      <c r="L1119" t="s">
        <v>1357</v>
      </c>
    </row>
    <row r="1120" spans="6:12">
      <c r="H1120" t="s">
        <v>20284</v>
      </c>
      <c r="I1120" t="s">
        <v>1357</v>
      </c>
      <c r="J1120" t="s">
        <v>1357</v>
      </c>
      <c r="K1120" t="s">
        <v>1357</v>
      </c>
      <c r="L1120" t="s">
        <v>1357</v>
      </c>
    </row>
    <row r="1121" spans="6:12">
      <c r="H1121" t="s">
        <v>20287</v>
      </c>
      <c r="I1121" t="s">
        <v>1357</v>
      </c>
      <c r="J1121" t="s">
        <v>1357</v>
      </c>
      <c r="K1121" t="s">
        <v>1357</v>
      </c>
      <c r="L1121" t="s">
        <v>1357</v>
      </c>
    </row>
    <row r="1122" spans="6:12">
      <c r="F1122" t="s">
        <v>14781</v>
      </c>
      <c r="G1122" t="s">
        <v>17625</v>
      </c>
      <c r="H1122" t="s">
        <v>20280</v>
      </c>
      <c r="I1122" t="s">
        <v>1357</v>
      </c>
      <c r="J1122" t="s">
        <v>1357</v>
      </c>
      <c r="K1122" t="s">
        <v>1357</v>
      </c>
      <c r="L1122" t="s">
        <v>1357</v>
      </c>
    </row>
    <row r="1123" spans="6:12">
      <c r="H1123" t="s">
        <v>20233</v>
      </c>
      <c r="I1123" t="s">
        <v>1357</v>
      </c>
      <c r="J1123" t="s">
        <v>1357</v>
      </c>
      <c r="K1123" t="s">
        <v>1357</v>
      </c>
      <c r="L1123" t="s">
        <v>1357</v>
      </c>
    </row>
    <row r="1124" spans="6:12">
      <c r="H1124" t="s">
        <v>20230</v>
      </c>
      <c r="I1124" t="s">
        <v>1357</v>
      </c>
      <c r="J1124" t="s">
        <v>1357</v>
      </c>
      <c r="K1124" t="s">
        <v>1357</v>
      </c>
      <c r="L1124" t="s">
        <v>1357</v>
      </c>
    </row>
    <row r="1125" spans="6:12">
      <c r="H1125" t="s">
        <v>20227</v>
      </c>
      <c r="I1125" t="s">
        <v>1357</v>
      </c>
      <c r="J1125" t="s">
        <v>1357</v>
      </c>
      <c r="K1125" t="s">
        <v>1357</v>
      </c>
      <c r="L1125" t="s">
        <v>1357</v>
      </c>
    </row>
    <row r="1126" spans="6:12">
      <c r="H1126" t="s">
        <v>20228</v>
      </c>
      <c r="I1126" t="s">
        <v>1357</v>
      </c>
      <c r="J1126" t="s">
        <v>1357</v>
      </c>
      <c r="K1126" t="s">
        <v>1357</v>
      </c>
      <c r="L1126" t="s">
        <v>1357</v>
      </c>
    </row>
    <row r="1127" spans="6:12">
      <c r="H1127" t="s">
        <v>20284</v>
      </c>
      <c r="I1127" t="s">
        <v>1357</v>
      </c>
      <c r="J1127" t="s">
        <v>1357</v>
      </c>
      <c r="K1127" t="s">
        <v>1357</v>
      </c>
      <c r="L1127" t="s">
        <v>1357</v>
      </c>
    </row>
    <row r="1128" spans="6:12">
      <c r="H1128" t="s">
        <v>20287</v>
      </c>
      <c r="I1128" t="s">
        <v>1357</v>
      </c>
      <c r="J1128" t="s">
        <v>1357</v>
      </c>
      <c r="K1128" t="s">
        <v>1357</v>
      </c>
      <c r="L1128" t="s">
        <v>1357</v>
      </c>
    </row>
    <row r="1129" spans="6:12">
      <c r="F1129" t="s">
        <v>14782</v>
      </c>
      <c r="G1129" t="s">
        <v>17626</v>
      </c>
      <c r="H1129" t="s">
        <v>20280</v>
      </c>
      <c r="I1129" t="s">
        <v>1357</v>
      </c>
      <c r="J1129" t="s">
        <v>1357</v>
      </c>
      <c r="K1129" t="s">
        <v>1357</v>
      </c>
      <c r="L1129" t="s">
        <v>1357</v>
      </c>
    </row>
    <row r="1130" spans="6:12">
      <c r="H1130" t="s">
        <v>20233</v>
      </c>
      <c r="I1130" t="s">
        <v>1357</v>
      </c>
      <c r="J1130" t="s">
        <v>1357</v>
      </c>
      <c r="K1130" t="s">
        <v>1357</v>
      </c>
      <c r="L1130" t="s">
        <v>1357</v>
      </c>
    </row>
    <row r="1131" spans="6:12">
      <c r="H1131" t="s">
        <v>20230</v>
      </c>
      <c r="I1131" t="s">
        <v>1357</v>
      </c>
      <c r="J1131" t="s">
        <v>1357</v>
      </c>
      <c r="K1131" t="s">
        <v>1357</v>
      </c>
      <c r="L1131" t="s">
        <v>1357</v>
      </c>
    </row>
    <row r="1132" spans="6:12">
      <c r="H1132" t="s">
        <v>20227</v>
      </c>
      <c r="I1132" t="s">
        <v>1357</v>
      </c>
      <c r="J1132" t="s">
        <v>1357</v>
      </c>
      <c r="K1132" t="s">
        <v>1357</v>
      </c>
      <c r="L1132" t="s">
        <v>1357</v>
      </c>
    </row>
    <row r="1133" spans="6:12">
      <c r="H1133" t="s">
        <v>20284</v>
      </c>
      <c r="I1133" t="s">
        <v>1357</v>
      </c>
      <c r="J1133" t="s">
        <v>1357</v>
      </c>
      <c r="K1133" t="s">
        <v>1357</v>
      </c>
      <c r="L1133" t="s">
        <v>1357</v>
      </c>
    </row>
    <row r="1134" spans="6:12">
      <c r="H1134" t="s">
        <v>20285</v>
      </c>
      <c r="I1134" t="s">
        <v>1357</v>
      </c>
      <c r="J1134" t="s">
        <v>1357</v>
      </c>
      <c r="K1134" t="s">
        <v>1357</v>
      </c>
      <c r="L1134" t="s">
        <v>1357</v>
      </c>
    </row>
    <row r="1135" spans="6:12">
      <c r="H1135" t="s">
        <v>20286</v>
      </c>
      <c r="I1135" t="s">
        <v>1357</v>
      </c>
      <c r="J1135" t="s">
        <v>1357</v>
      </c>
      <c r="K1135" t="s">
        <v>1357</v>
      </c>
      <c r="L1135" t="s">
        <v>1357</v>
      </c>
    </row>
    <row r="1136" spans="6:12">
      <c r="H1136" t="s">
        <v>20287</v>
      </c>
      <c r="I1136" t="s">
        <v>1357</v>
      </c>
      <c r="J1136" t="s">
        <v>1357</v>
      </c>
      <c r="K1136" t="s">
        <v>1357</v>
      </c>
      <c r="L1136" t="s">
        <v>1357</v>
      </c>
    </row>
    <row r="1137" spans="6:12">
      <c r="F1137" t="s">
        <v>14783</v>
      </c>
      <c r="G1137" t="s">
        <v>17627</v>
      </c>
      <c r="H1137" t="s">
        <v>20280</v>
      </c>
      <c r="I1137" t="s">
        <v>1357</v>
      </c>
      <c r="J1137" t="s">
        <v>1357</v>
      </c>
      <c r="K1137" t="s">
        <v>1357</v>
      </c>
      <c r="L1137" t="s">
        <v>1357</v>
      </c>
    </row>
    <row r="1138" spans="6:12">
      <c r="H1138" t="s">
        <v>20233</v>
      </c>
      <c r="I1138" t="s">
        <v>1357</v>
      </c>
      <c r="J1138" t="s">
        <v>1357</v>
      </c>
      <c r="K1138" t="s">
        <v>1357</v>
      </c>
      <c r="L1138" t="s">
        <v>1357</v>
      </c>
    </row>
    <row r="1139" spans="6:12">
      <c r="H1139" t="s">
        <v>20230</v>
      </c>
      <c r="I1139" t="s">
        <v>1357</v>
      </c>
      <c r="J1139" t="s">
        <v>1357</v>
      </c>
      <c r="K1139" t="s">
        <v>1357</v>
      </c>
      <c r="L1139" t="s">
        <v>1357</v>
      </c>
    </row>
    <row r="1140" spans="6:12">
      <c r="H1140" t="s">
        <v>20284</v>
      </c>
      <c r="I1140" t="s">
        <v>1357</v>
      </c>
      <c r="J1140" t="s">
        <v>1357</v>
      </c>
      <c r="K1140" t="s">
        <v>1357</v>
      </c>
      <c r="L1140" t="s">
        <v>1357</v>
      </c>
    </row>
    <row r="1141" spans="6:12">
      <c r="H1141" t="s">
        <v>20285</v>
      </c>
      <c r="I1141" t="s">
        <v>1357</v>
      </c>
      <c r="J1141" t="s">
        <v>1357</v>
      </c>
      <c r="K1141" t="s">
        <v>1357</v>
      </c>
      <c r="L1141" t="s">
        <v>1357</v>
      </c>
    </row>
    <row r="1142" spans="6:12">
      <c r="H1142" t="s">
        <v>20286</v>
      </c>
      <c r="I1142" t="s">
        <v>1357</v>
      </c>
      <c r="J1142" t="s">
        <v>1357</v>
      </c>
      <c r="K1142" t="s">
        <v>1357</v>
      </c>
      <c r="L1142" t="s">
        <v>1357</v>
      </c>
    </row>
    <row r="1143" spans="6:12">
      <c r="H1143" t="s">
        <v>20287</v>
      </c>
      <c r="I1143" t="s">
        <v>1357</v>
      </c>
      <c r="J1143" t="s">
        <v>1357</v>
      </c>
      <c r="K1143" t="s">
        <v>1357</v>
      </c>
      <c r="L1143" t="s">
        <v>1357</v>
      </c>
    </row>
    <row r="1144" spans="6:12">
      <c r="F1144" t="s">
        <v>14784</v>
      </c>
      <c r="G1144" t="s">
        <v>17628</v>
      </c>
      <c r="H1144" t="s">
        <v>20280</v>
      </c>
      <c r="I1144" t="s">
        <v>1357</v>
      </c>
      <c r="J1144" t="s">
        <v>1357</v>
      </c>
      <c r="K1144" t="s">
        <v>1357</v>
      </c>
      <c r="L1144" t="s">
        <v>1357</v>
      </c>
    </row>
    <row r="1145" spans="6:12">
      <c r="H1145" t="s">
        <v>20233</v>
      </c>
      <c r="I1145" t="s">
        <v>1357</v>
      </c>
      <c r="J1145" t="s">
        <v>1357</v>
      </c>
      <c r="K1145" t="s">
        <v>1357</v>
      </c>
      <c r="L1145" t="s">
        <v>1357</v>
      </c>
    </row>
    <row r="1146" spans="6:12">
      <c r="H1146" t="s">
        <v>20230</v>
      </c>
      <c r="I1146" t="s">
        <v>1357</v>
      </c>
      <c r="J1146" t="s">
        <v>1357</v>
      </c>
      <c r="K1146" t="s">
        <v>1357</v>
      </c>
      <c r="L1146" t="s">
        <v>1357</v>
      </c>
    </row>
    <row r="1147" spans="6:12">
      <c r="H1147" t="s">
        <v>20296</v>
      </c>
      <c r="I1147" t="s">
        <v>1357</v>
      </c>
      <c r="J1147" t="s">
        <v>1357</v>
      </c>
      <c r="K1147" t="s">
        <v>1357</v>
      </c>
      <c r="L1147" t="s">
        <v>1357</v>
      </c>
    </row>
    <row r="1148" spans="6:12">
      <c r="H1148" t="s">
        <v>20297</v>
      </c>
      <c r="I1148" t="s">
        <v>1357</v>
      </c>
      <c r="J1148" t="s">
        <v>1357</v>
      </c>
      <c r="K1148" t="s">
        <v>1357</v>
      </c>
      <c r="L1148" t="s">
        <v>1357</v>
      </c>
    </row>
    <row r="1149" spans="6:12">
      <c r="H1149" t="s">
        <v>20234</v>
      </c>
      <c r="I1149" t="s">
        <v>1357</v>
      </c>
      <c r="J1149" t="s">
        <v>1357</v>
      </c>
      <c r="K1149" t="s">
        <v>1357</v>
      </c>
      <c r="L1149" t="s">
        <v>1357</v>
      </c>
    </row>
    <row r="1150" spans="6:12">
      <c r="H1150" t="s">
        <v>20235</v>
      </c>
      <c r="I1150" t="s">
        <v>1357</v>
      </c>
      <c r="J1150" t="s">
        <v>1357</v>
      </c>
      <c r="K1150" t="s">
        <v>1357</v>
      </c>
      <c r="L1150" t="s">
        <v>1357</v>
      </c>
    </row>
    <row r="1151" spans="6:12">
      <c r="H1151" t="s">
        <v>20298</v>
      </c>
      <c r="I1151" t="s">
        <v>1357</v>
      </c>
      <c r="J1151" t="s">
        <v>1357</v>
      </c>
      <c r="K1151" t="s">
        <v>1357</v>
      </c>
      <c r="L1151" t="s">
        <v>1357</v>
      </c>
    </row>
    <row r="1152" spans="6:12">
      <c r="H1152" t="s">
        <v>20299</v>
      </c>
      <c r="I1152" t="s">
        <v>1357</v>
      </c>
      <c r="J1152" t="s">
        <v>1357</v>
      </c>
      <c r="K1152" t="s">
        <v>1357</v>
      </c>
      <c r="L1152" t="s">
        <v>1357</v>
      </c>
    </row>
    <row r="1153" spans="6:12">
      <c r="H1153" t="s">
        <v>20284</v>
      </c>
      <c r="I1153" t="s">
        <v>1357</v>
      </c>
      <c r="J1153" t="s">
        <v>1357</v>
      </c>
      <c r="K1153" t="s">
        <v>1357</v>
      </c>
      <c r="L1153" t="s">
        <v>1357</v>
      </c>
    </row>
    <row r="1154" spans="6:12">
      <c r="H1154" t="s">
        <v>20285</v>
      </c>
      <c r="I1154" t="s">
        <v>1357</v>
      </c>
      <c r="J1154" t="s">
        <v>1357</v>
      </c>
      <c r="K1154" t="s">
        <v>1357</v>
      </c>
      <c r="L1154" t="s">
        <v>1357</v>
      </c>
    </row>
    <row r="1155" spans="6:12">
      <c r="H1155" t="s">
        <v>20286</v>
      </c>
      <c r="I1155" t="s">
        <v>1357</v>
      </c>
      <c r="J1155" t="s">
        <v>1357</v>
      </c>
      <c r="K1155" t="s">
        <v>1357</v>
      </c>
      <c r="L1155" t="s">
        <v>1357</v>
      </c>
    </row>
    <row r="1156" spans="6:12">
      <c r="H1156" t="s">
        <v>20287</v>
      </c>
      <c r="I1156" t="s">
        <v>1357</v>
      </c>
      <c r="J1156" t="s">
        <v>1357</v>
      </c>
      <c r="K1156" t="s">
        <v>1357</v>
      </c>
      <c r="L1156" t="s">
        <v>1357</v>
      </c>
    </row>
    <row r="1157" spans="6:12">
      <c r="H1157" t="s">
        <v>20288</v>
      </c>
      <c r="I1157" t="s">
        <v>1357</v>
      </c>
      <c r="J1157" t="s">
        <v>1357</v>
      </c>
      <c r="K1157" t="s">
        <v>1357</v>
      </c>
      <c r="L1157" t="s">
        <v>1357</v>
      </c>
    </row>
    <row r="1158" spans="6:12">
      <c r="F1158" t="s">
        <v>14785</v>
      </c>
      <c r="G1158" t="s">
        <v>17629</v>
      </c>
      <c r="H1158" t="s">
        <v>20280</v>
      </c>
      <c r="I1158" t="s">
        <v>1357</v>
      </c>
      <c r="J1158" t="s">
        <v>1357</v>
      </c>
      <c r="K1158" t="s">
        <v>1357</v>
      </c>
      <c r="L1158" t="s">
        <v>1357</v>
      </c>
    </row>
    <row r="1159" spans="6:12">
      <c r="H1159" t="s">
        <v>20233</v>
      </c>
      <c r="I1159" t="s">
        <v>1357</v>
      </c>
      <c r="J1159" t="s">
        <v>1357</v>
      </c>
      <c r="K1159" t="s">
        <v>1357</v>
      </c>
      <c r="L1159" t="s">
        <v>1357</v>
      </c>
    </row>
    <row r="1160" spans="6:12">
      <c r="H1160" t="s">
        <v>20230</v>
      </c>
      <c r="I1160" t="s">
        <v>1357</v>
      </c>
      <c r="J1160" t="s">
        <v>1357</v>
      </c>
      <c r="K1160" t="s">
        <v>1357</v>
      </c>
      <c r="L1160" t="s">
        <v>1357</v>
      </c>
    </row>
    <row r="1161" spans="6:12">
      <c r="H1161" t="s">
        <v>20296</v>
      </c>
      <c r="I1161" t="s">
        <v>1357</v>
      </c>
      <c r="J1161" t="s">
        <v>1357</v>
      </c>
      <c r="K1161" t="s">
        <v>1357</v>
      </c>
      <c r="L1161" t="s">
        <v>1357</v>
      </c>
    </row>
    <row r="1162" spans="6:12">
      <c r="H1162" t="s">
        <v>20297</v>
      </c>
      <c r="I1162" t="s">
        <v>1357</v>
      </c>
      <c r="J1162" t="s">
        <v>1357</v>
      </c>
      <c r="K1162" t="s">
        <v>1357</v>
      </c>
      <c r="L1162" t="s">
        <v>1357</v>
      </c>
    </row>
    <row r="1163" spans="6:12">
      <c r="H1163" t="s">
        <v>20234</v>
      </c>
      <c r="I1163" t="s">
        <v>1357</v>
      </c>
      <c r="J1163" t="s">
        <v>1357</v>
      </c>
      <c r="K1163" t="s">
        <v>1357</v>
      </c>
      <c r="L1163" t="s">
        <v>1357</v>
      </c>
    </row>
    <row r="1164" spans="6:12">
      <c r="H1164" t="s">
        <v>20235</v>
      </c>
      <c r="I1164" t="s">
        <v>1357</v>
      </c>
      <c r="J1164" t="s">
        <v>1357</v>
      </c>
      <c r="K1164" t="s">
        <v>1357</v>
      </c>
      <c r="L1164" t="s">
        <v>1357</v>
      </c>
    </row>
    <row r="1165" spans="6:12">
      <c r="H1165" t="s">
        <v>20298</v>
      </c>
      <c r="I1165" t="s">
        <v>1357</v>
      </c>
      <c r="J1165" t="s">
        <v>1357</v>
      </c>
      <c r="K1165" t="s">
        <v>1357</v>
      </c>
      <c r="L1165" t="s">
        <v>1357</v>
      </c>
    </row>
    <row r="1166" spans="6:12">
      <c r="H1166" t="s">
        <v>20299</v>
      </c>
      <c r="I1166" t="s">
        <v>1357</v>
      </c>
      <c r="J1166" t="s">
        <v>1357</v>
      </c>
      <c r="K1166" t="s">
        <v>1357</v>
      </c>
      <c r="L1166" t="s">
        <v>1357</v>
      </c>
    </row>
    <row r="1167" spans="6:12">
      <c r="H1167" t="s">
        <v>20284</v>
      </c>
      <c r="I1167" t="s">
        <v>1357</v>
      </c>
      <c r="J1167" t="s">
        <v>1357</v>
      </c>
      <c r="K1167" t="s">
        <v>1357</v>
      </c>
      <c r="L1167" t="s">
        <v>1357</v>
      </c>
    </row>
    <row r="1168" spans="6:12">
      <c r="H1168" t="s">
        <v>20285</v>
      </c>
      <c r="I1168" t="s">
        <v>1357</v>
      </c>
      <c r="J1168" t="s">
        <v>1357</v>
      </c>
      <c r="K1168" t="s">
        <v>1357</v>
      </c>
      <c r="L1168" t="s">
        <v>1357</v>
      </c>
    </row>
    <row r="1169" spans="6:12">
      <c r="H1169" t="s">
        <v>20286</v>
      </c>
      <c r="I1169" t="s">
        <v>1357</v>
      </c>
      <c r="J1169" t="s">
        <v>1357</v>
      </c>
      <c r="K1169" t="s">
        <v>1357</v>
      </c>
      <c r="L1169" t="s">
        <v>1357</v>
      </c>
    </row>
    <row r="1170" spans="6:12">
      <c r="H1170" t="s">
        <v>20287</v>
      </c>
      <c r="I1170" t="s">
        <v>1357</v>
      </c>
      <c r="J1170" t="s">
        <v>1357</v>
      </c>
      <c r="K1170" t="s">
        <v>1357</v>
      </c>
      <c r="L1170" t="s">
        <v>1357</v>
      </c>
    </row>
    <row r="1171" spans="6:12">
      <c r="F1171" t="s">
        <v>14786</v>
      </c>
      <c r="G1171" t="s">
        <v>17630</v>
      </c>
      <c r="H1171" t="s">
        <v>20280</v>
      </c>
      <c r="I1171" t="s">
        <v>1357</v>
      </c>
      <c r="J1171" t="s">
        <v>1357</v>
      </c>
      <c r="K1171" t="s">
        <v>1357</v>
      </c>
      <c r="L1171" t="s">
        <v>1357</v>
      </c>
    </row>
    <row r="1172" spans="6:12">
      <c r="H1172" t="s">
        <v>20233</v>
      </c>
      <c r="I1172" t="s">
        <v>1357</v>
      </c>
      <c r="J1172" t="s">
        <v>1357</v>
      </c>
      <c r="K1172" t="s">
        <v>1357</v>
      </c>
      <c r="L1172" t="s">
        <v>1357</v>
      </c>
    </row>
    <row r="1173" spans="6:12">
      <c r="H1173" t="s">
        <v>20230</v>
      </c>
      <c r="I1173" t="s">
        <v>1357</v>
      </c>
      <c r="J1173" t="s">
        <v>1357</v>
      </c>
      <c r="K1173" t="s">
        <v>1357</v>
      </c>
      <c r="L1173" t="s">
        <v>1357</v>
      </c>
    </row>
    <row r="1174" spans="6:12">
      <c r="H1174" t="s">
        <v>20296</v>
      </c>
      <c r="I1174" t="s">
        <v>1357</v>
      </c>
      <c r="J1174" t="s">
        <v>1357</v>
      </c>
      <c r="K1174" t="s">
        <v>1357</v>
      </c>
      <c r="L1174" t="s">
        <v>1357</v>
      </c>
    </row>
    <row r="1175" spans="6:12">
      <c r="H1175" t="s">
        <v>20297</v>
      </c>
      <c r="I1175" t="s">
        <v>1357</v>
      </c>
      <c r="J1175" t="s">
        <v>1357</v>
      </c>
      <c r="K1175" t="s">
        <v>1357</v>
      </c>
      <c r="L1175" t="s">
        <v>1357</v>
      </c>
    </row>
    <row r="1176" spans="6:12">
      <c r="H1176" t="s">
        <v>20234</v>
      </c>
      <c r="I1176" t="s">
        <v>1357</v>
      </c>
      <c r="J1176" t="s">
        <v>1357</v>
      </c>
      <c r="K1176" t="s">
        <v>1357</v>
      </c>
      <c r="L1176" t="s">
        <v>1357</v>
      </c>
    </row>
    <row r="1177" spans="6:12">
      <c r="H1177" t="s">
        <v>20235</v>
      </c>
      <c r="I1177" t="s">
        <v>1357</v>
      </c>
      <c r="J1177" t="s">
        <v>1357</v>
      </c>
      <c r="K1177" t="s">
        <v>1357</v>
      </c>
      <c r="L1177" t="s">
        <v>1357</v>
      </c>
    </row>
    <row r="1178" spans="6:12">
      <c r="H1178" t="s">
        <v>20298</v>
      </c>
      <c r="I1178" t="s">
        <v>1357</v>
      </c>
      <c r="J1178" t="s">
        <v>1357</v>
      </c>
      <c r="K1178" t="s">
        <v>1357</v>
      </c>
      <c r="L1178" t="s">
        <v>1357</v>
      </c>
    </row>
    <row r="1179" spans="6:12">
      <c r="H1179" t="s">
        <v>20299</v>
      </c>
      <c r="I1179" t="s">
        <v>1357</v>
      </c>
      <c r="J1179" t="s">
        <v>1357</v>
      </c>
      <c r="K1179" t="s">
        <v>1357</v>
      </c>
      <c r="L1179" t="s">
        <v>1357</v>
      </c>
    </row>
    <row r="1180" spans="6:12">
      <c r="H1180" t="s">
        <v>20284</v>
      </c>
      <c r="I1180" t="s">
        <v>1357</v>
      </c>
      <c r="J1180" t="s">
        <v>1357</v>
      </c>
      <c r="K1180" t="s">
        <v>1357</v>
      </c>
      <c r="L1180" t="s">
        <v>1357</v>
      </c>
    </row>
    <row r="1181" spans="6:12">
      <c r="H1181" t="s">
        <v>20285</v>
      </c>
      <c r="I1181" t="s">
        <v>1357</v>
      </c>
      <c r="J1181" t="s">
        <v>1357</v>
      </c>
      <c r="K1181" t="s">
        <v>1357</v>
      </c>
      <c r="L1181" t="s">
        <v>1357</v>
      </c>
    </row>
    <row r="1182" spans="6:12">
      <c r="H1182" t="s">
        <v>20286</v>
      </c>
      <c r="I1182" t="s">
        <v>1357</v>
      </c>
      <c r="J1182" t="s">
        <v>1357</v>
      </c>
      <c r="K1182" t="s">
        <v>1357</v>
      </c>
      <c r="L1182" t="s">
        <v>1357</v>
      </c>
    </row>
    <row r="1183" spans="6:12">
      <c r="H1183" t="s">
        <v>20287</v>
      </c>
      <c r="I1183" t="s">
        <v>1357</v>
      </c>
      <c r="J1183" t="s">
        <v>1357</v>
      </c>
      <c r="K1183" t="s">
        <v>1357</v>
      </c>
      <c r="L1183" t="s">
        <v>1357</v>
      </c>
    </row>
    <row r="1184" spans="6:12">
      <c r="H1184" t="s">
        <v>20288</v>
      </c>
      <c r="I1184" t="s">
        <v>1357</v>
      </c>
      <c r="J1184" t="s">
        <v>1357</v>
      </c>
      <c r="K1184" t="s">
        <v>1357</v>
      </c>
      <c r="L1184" t="s">
        <v>1357</v>
      </c>
    </row>
    <row r="1185" spans="6:12">
      <c r="F1185" t="s">
        <v>14787</v>
      </c>
      <c r="G1185" t="s">
        <v>17631</v>
      </c>
      <c r="H1185" t="s">
        <v>20280</v>
      </c>
      <c r="I1185" t="s">
        <v>1357</v>
      </c>
      <c r="J1185" t="s">
        <v>1357</v>
      </c>
      <c r="K1185" t="s">
        <v>1357</v>
      </c>
      <c r="L1185" t="s">
        <v>1357</v>
      </c>
    </row>
    <row r="1186" spans="6:12">
      <c r="H1186" t="s">
        <v>20233</v>
      </c>
      <c r="I1186" t="s">
        <v>1357</v>
      </c>
      <c r="J1186" t="s">
        <v>1357</v>
      </c>
      <c r="K1186" t="s">
        <v>1357</v>
      </c>
      <c r="L1186" t="s">
        <v>1357</v>
      </c>
    </row>
    <row r="1187" spans="6:12">
      <c r="H1187" t="s">
        <v>20230</v>
      </c>
      <c r="I1187" t="s">
        <v>1357</v>
      </c>
      <c r="J1187" t="s">
        <v>1357</v>
      </c>
      <c r="K1187" t="s">
        <v>1357</v>
      </c>
      <c r="L1187" t="s">
        <v>1357</v>
      </c>
    </row>
    <row r="1188" spans="6:12">
      <c r="H1188" t="s">
        <v>20296</v>
      </c>
      <c r="I1188" t="s">
        <v>1357</v>
      </c>
      <c r="J1188" t="s">
        <v>1357</v>
      </c>
      <c r="K1188" t="s">
        <v>1357</v>
      </c>
      <c r="L1188" t="s">
        <v>1357</v>
      </c>
    </row>
    <row r="1189" spans="6:12">
      <c r="H1189" t="s">
        <v>20297</v>
      </c>
      <c r="I1189" t="s">
        <v>1357</v>
      </c>
      <c r="J1189" t="s">
        <v>1357</v>
      </c>
      <c r="K1189" t="s">
        <v>1357</v>
      </c>
      <c r="L1189" t="s">
        <v>1357</v>
      </c>
    </row>
    <row r="1190" spans="6:12">
      <c r="H1190" t="s">
        <v>20234</v>
      </c>
      <c r="I1190" t="s">
        <v>1357</v>
      </c>
      <c r="J1190" t="s">
        <v>1357</v>
      </c>
      <c r="K1190" t="s">
        <v>1357</v>
      </c>
      <c r="L1190" t="s">
        <v>1357</v>
      </c>
    </row>
    <row r="1191" spans="6:12">
      <c r="H1191" t="s">
        <v>20235</v>
      </c>
      <c r="I1191" t="s">
        <v>1357</v>
      </c>
      <c r="J1191" t="s">
        <v>1357</v>
      </c>
      <c r="K1191" t="s">
        <v>1357</v>
      </c>
      <c r="L1191" t="s">
        <v>1357</v>
      </c>
    </row>
    <row r="1192" spans="6:12">
      <c r="H1192" t="s">
        <v>20298</v>
      </c>
      <c r="I1192" t="s">
        <v>1357</v>
      </c>
      <c r="J1192" t="s">
        <v>1357</v>
      </c>
      <c r="K1192" t="s">
        <v>1357</v>
      </c>
      <c r="L1192" t="s">
        <v>1357</v>
      </c>
    </row>
    <row r="1193" spans="6:12">
      <c r="H1193" t="s">
        <v>20299</v>
      </c>
      <c r="I1193" t="s">
        <v>1357</v>
      </c>
      <c r="J1193" t="s">
        <v>1357</v>
      </c>
      <c r="K1193" t="s">
        <v>1357</v>
      </c>
      <c r="L1193" t="s">
        <v>1357</v>
      </c>
    </row>
    <row r="1194" spans="6:12">
      <c r="H1194" t="s">
        <v>20300</v>
      </c>
      <c r="I1194" t="s">
        <v>1357</v>
      </c>
      <c r="J1194" t="s">
        <v>1357</v>
      </c>
      <c r="K1194" t="s">
        <v>1357</v>
      </c>
      <c r="L1194" t="s">
        <v>1357</v>
      </c>
    </row>
    <row r="1195" spans="6:12">
      <c r="H1195" t="s">
        <v>20301</v>
      </c>
      <c r="I1195" t="s">
        <v>1357</v>
      </c>
      <c r="J1195" t="s">
        <v>1357</v>
      </c>
      <c r="K1195" t="s">
        <v>1357</v>
      </c>
      <c r="L1195" t="s">
        <v>1357</v>
      </c>
    </row>
    <row r="1196" spans="6:12">
      <c r="H1196" t="s">
        <v>20302</v>
      </c>
      <c r="I1196" t="s">
        <v>1357</v>
      </c>
      <c r="J1196" t="s">
        <v>1357</v>
      </c>
      <c r="K1196" t="s">
        <v>1357</v>
      </c>
      <c r="L1196" t="s">
        <v>1357</v>
      </c>
    </row>
    <row r="1197" spans="6:12">
      <c r="H1197" t="s">
        <v>20284</v>
      </c>
      <c r="I1197" t="s">
        <v>1357</v>
      </c>
      <c r="J1197" t="s">
        <v>1357</v>
      </c>
      <c r="K1197" t="s">
        <v>1357</v>
      </c>
      <c r="L1197" t="s">
        <v>1357</v>
      </c>
    </row>
    <row r="1198" spans="6:12">
      <c r="H1198" t="s">
        <v>20285</v>
      </c>
      <c r="I1198" t="s">
        <v>1357</v>
      </c>
      <c r="J1198" t="s">
        <v>1357</v>
      </c>
      <c r="K1198" t="s">
        <v>1357</v>
      </c>
      <c r="L1198" t="s">
        <v>1357</v>
      </c>
    </row>
    <row r="1199" spans="6:12">
      <c r="H1199" t="s">
        <v>20286</v>
      </c>
      <c r="I1199" t="s">
        <v>1357</v>
      </c>
      <c r="J1199" t="s">
        <v>1357</v>
      </c>
      <c r="K1199" t="s">
        <v>1357</v>
      </c>
      <c r="L1199" t="s">
        <v>1357</v>
      </c>
    </row>
    <row r="1200" spans="6:12">
      <c r="H1200" t="s">
        <v>20287</v>
      </c>
      <c r="I1200" t="s">
        <v>1357</v>
      </c>
      <c r="J1200" t="s">
        <v>1357</v>
      </c>
      <c r="K1200" t="s">
        <v>1357</v>
      </c>
      <c r="L1200" t="s">
        <v>1357</v>
      </c>
    </row>
    <row r="1201" spans="6:12">
      <c r="F1201" t="s">
        <v>14788</v>
      </c>
      <c r="G1201" t="s">
        <v>17632</v>
      </c>
      <c r="H1201" t="s">
        <v>20280</v>
      </c>
      <c r="I1201" t="s">
        <v>1357</v>
      </c>
      <c r="J1201" t="s">
        <v>1357</v>
      </c>
      <c r="K1201" t="s">
        <v>1357</v>
      </c>
      <c r="L1201" t="s">
        <v>1357</v>
      </c>
    </row>
    <row r="1202" spans="6:12">
      <c r="H1202" t="s">
        <v>20233</v>
      </c>
      <c r="I1202" t="s">
        <v>1357</v>
      </c>
      <c r="J1202" t="s">
        <v>1357</v>
      </c>
      <c r="K1202" t="s">
        <v>1357</v>
      </c>
      <c r="L1202" t="s">
        <v>1357</v>
      </c>
    </row>
    <row r="1203" spans="6:12">
      <c r="H1203" t="s">
        <v>20281</v>
      </c>
      <c r="I1203" t="s">
        <v>1357</v>
      </c>
      <c r="J1203" t="s">
        <v>1357</v>
      </c>
      <c r="K1203" t="s">
        <v>1357</v>
      </c>
      <c r="L1203" t="s">
        <v>1357</v>
      </c>
    </row>
    <row r="1204" spans="6:12">
      <c r="H1204" t="s">
        <v>20282</v>
      </c>
      <c r="I1204" t="s">
        <v>1357</v>
      </c>
      <c r="J1204" t="s">
        <v>1357</v>
      </c>
      <c r="K1204" t="s">
        <v>1357</v>
      </c>
      <c r="L1204" t="s">
        <v>1357</v>
      </c>
    </row>
    <row r="1205" spans="6:12">
      <c r="H1205" t="s">
        <v>20283</v>
      </c>
      <c r="I1205" t="s">
        <v>1357</v>
      </c>
      <c r="J1205" t="s">
        <v>1357</v>
      </c>
      <c r="K1205" t="s">
        <v>1357</v>
      </c>
      <c r="L1205" t="s">
        <v>1357</v>
      </c>
    </row>
    <row r="1206" spans="6:12">
      <c r="H1206" t="s">
        <v>20284</v>
      </c>
      <c r="I1206" t="s">
        <v>1357</v>
      </c>
      <c r="J1206" t="s">
        <v>1357</v>
      </c>
      <c r="K1206" t="s">
        <v>1357</v>
      </c>
      <c r="L1206" t="s">
        <v>1357</v>
      </c>
    </row>
    <row r="1207" spans="6:12">
      <c r="H1207" t="s">
        <v>20285</v>
      </c>
      <c r="I1207" t="s">
        <v>1357</v>
      </c>
      <c r="J1207" t="s">
        <v>1357</v>
      </c>
      <c r="K1207" t="s">
        <v>1357</v>
      </c>
      <c r="L1207" t="s">
        <v>1357</v>
      </c>
    </row>
    <row r="1208" spans="6:12">
      <c r="H1208" t="s">
        <v>20286</v>
      </c>
      <c r="I1208" t="s">
        <v>1357</v>
      </c>
      <c r="J1208" t="s">
        <v>1357</v>
      </c>
      <c r="K1208" t="s">
        <v>1357</v>
      </c>
      <c r="L1208" t="s">
        <v>1357</v>
      </c>
    </row>
    <row r="1209" spans="6:12">
      <c r="H1209" t="s">
        <v>20287</v>
      </c>
      <c r="I1209" t="s">
        <v>1357</v>
      </c>
      <c r="J1209" t="s">
        <v>1357</v>
      </c>
      <c r="K1209" t="s">
        <v>1357</v>
      </c>
      <c r="L1209" t="s">
        <v>1357</v>
      </c>
    </row>
    <row r="1210" spans="6:12">
      <c r="H1210" t="s">
        <v>20288</v>
      </c>
      <c r="I1210" t="s">
        <v>1357</v>
      </c>
      <c r="J1210" t="s">
        <v>1357</v>
      </c>
      <c r="K1210" t="s">
        <v>1357</v>
      </c>
      <c r="L1210" t="s">
        <v>1357</v>
      </c>
    </row>
    <row r="1211" spans="6:12">
      <c r="H1211" t="s">
        <v>20289</v>
      </c>
      <c r="I1211" t="s">
        <v>1357</v>
      </c>
      <c r="J1211" t="s">
        <v>1357</v>
      </c>
      <c r="K1211" t="s">
        <v>1357</v>
      </c>
      <c r="L1211" t="s">
        <v>1357</v>
      </c>
    </row>
    <row r="1212" spans="6:12">
      <c r="H1212" t="s">
        <v>20290</v>
      </c>
      <c r="I1212" t="s">
        <v>1357</v>
      </c>
      <c r="J1212" t="s">
        <v>1357</v>
      </c>
      <c r="K1212" t="s">
        <v>1357</v>
      </c>
      <c r="L1212" t="s">
        <v>1357</v>
      </c>
    </row>
    <row r="1213" spans="6:12">
      <c r="H1213" t="s">
        <v>20291</v>
      </c>
      <c r="I1213" t="s">
        <v>1357</v>
      </c>
      <c r="J1213" t="s">
        <v>1357</v>
      </c>
      <c r="K1213" t="s">
        <v>1357</v>
      </c>
      <c r="L1213" t="s">
        <v>1357</v>
      </c>
    </row>
    <row r="1214" spans="6:12">
      <c r="F1214" t="s">
        <v>14789</v>
      </c>
      <c r="G1214" t="s">
        <v>17633</v>
      </c>
      <c r="H1214" t="s">
        <v>20280</v>
      </c>
      <c r="I1214" t="s">
        <v>1357</v>
      </c>
      <c r="J1214" t="s">
        <v>1357</v>
      </c>
      <c r="K1214" t="s">
        <v>1357</v>
      </c>
      <c r="L1214" t="s">
        <v>1357</v>
      </c>
    </row>
    <row r="1215" spans="6:12">
      <c r="H1215" t="s">
        <v>20233</v>
      </c>
      <c r="I1215" t="s">
        <v>1357</v>
      </c>
      <c r="J1215" t="s">
        <v>1357</v>
      </c>
      <c r="K1215" t="s">
        <v>1357</v>
      </c>
      <c r="L1215" t="s">
        <v>1357</v>
      </c>
    </row>
    <row r="1216" spans="6:12">
      <c r="H1216" t="s">
        <v>20281</v>
      </c>
      <c r="I1216" t="s">
        <v>1357</v>
      </c>
      <c r="J1216" t="s">
        <v>1357</v>
      </c>
      <c r="K1216" t="s">
        <v>1357</v>
      </c>
      <c r="L1216" t="s">
        <v>1357</v>
      </c>
    </row>
    <row r="1217" spans="6:12">
      <c r="H1217" t="s">
        <v>20282</v>
      </c>
      <c r="I1217" t="s">
        <v>1357</v>
      </c>
      <c r="J1217" t="s">
        <v>1357</v>
      </c>
      <c r="K1217" t="s">
        <v>1357</v>
      </c>
      <c r="L1217" t="s">
        <v>1357</v>
      </c>
    </row>
    <row r="1218" spans="6:12">
      <c r="H1218" t="s">
        <v>20283</v>
      </c>
      <c r="I1218" t="s">
        <v>1357</v>
      </c>
      <c r="J1218" t="s">
        <v>1357</v>
      </c>
      <c r="K1218" t="s">
        <v>1357</v>
      </c>
      <c r="L1218" t="s">
        <v>1357</v>
      </c>
    </row>
    <row r="1219" spans="6:12">
      <c r="H1219" t="s">
        <v>20284</v>
      </c>
      <c r="I1219" t="s">
        <v>1357</v>
      </c>
      <c r="J1219" t="s">
        <v>1357</v>
      </c>
      <c r="K1219" t="s">
        <v>1357</v>
      </c>
      <c r="L1219" t="s">
        <v>1357</v>
      </c>
    </row>
    <row r="1220" spans="6:12">
      <c r="H1220" t="s">
        <v>20285</v>
      </c>
      <c r="I1220" t="s">
        <v>1357</v>
      </c>
      <c r="J1220" t="s">
        <v>1357</v>
      </c>
      <c r="K1220" t="s">
        <v>1357</v>
      </c>
      <c r="L1220" t="s">
        <v>1357</v>
      </c>
    </row>
    <row r="1221" spans="6:12">
      <c r="H1221" t="s">
        <v>20286</v>
      </c>
      <c r="I1221" t="s">
        <v>1357</v>
      </c>
      <c r="J1221" t="s">
        <v>1357</v>
      </c>
      <c r="K1221" t="s">
        <v>1357</v>
      </c>
      <c r="L1221" t="s">
        <v>1357</v>
      </c>
    </row>
    <row r="1222" spans="6:12">
      <c r="H1222" t="s">
        <v>20287</v>
      </c>
      <c r="I1222" t="s">
        <v>1357</v>
      </c>
      <c r="J1222" t="s">
        <v>1357</v>
      </c>
      <c r="K1222" t="s">
        <v>1357</v>
      </c>
      <c r="L1222" t="s">
        <v>1357</v>
      </c>
    </row>
    <row r="1223" spans="6:12">
      <c r="H1223" t="s">
        <v>20288</v>
      </c>
      <c r="I1223" t="s">
        <v>1357</v>
      </c>
      <c r="J1223" t="s">
        <v>1357</v>
      </c>
      <c r="K1223" t="s">
        <v>1357</v>
      </c>
      <c r="L1223" t="s">
        <v>1357</v>
      </c>
    </row>
    <row r="1224" spans="6:12">
      <c r="H1224" t="s">
        <v>20289</v>
      </c>
      <c r="I1224" t="s">
        <v>1357</v>
      </c>
      <c r="J1224" t="s">
        <v>1357</v>
      </c>
      <c r="K1224" t="s">
        <v>1357</v>
      </c>
      <c r="L1224" t="s">
        <v>1357</v>
      </c>
    </row>
    <row r="1225" spans="6:12">
      <c r="H1225" t="s">
        <v>20290</v>
      </c>
      <c r="I1225" t="s">
        <v>1357</v>
      </c>
      <c r="J1225" t="s">
        <v>1357</v>
      </c>
      <c r="K1225" t="s">
        <v>1357</v>
      </c>
      <c r="L1225" t="s">
        <v>1357</v>
      </c>
    </row>
    <row r="1226" spans="6:12">
      <c r="H1226" t="s">
        <v>20291</v>
      </c>
      <c r="I1226" t="s">
        <v>1357</v>
      </c>
      <c r="J1226" t="s">
        <v>1357</v>
      </c>
      <c r="K1226" t="s">
        <v>1357</v>
      </c>
      <c r="L1226" t="s">
        <v>1357</v>
      </c>
    </row>
    <row r="1227" spans="6:12">
      <c r="F1227" t="s">
        <v>14790</v>
      </c>
      <c r="G1227" t="s">
        <v>17634</v>
      </c>
      <c r="H1227" t="s">
        <v>20280</v>
      </c>
      <c r="I1227" t="s">
        <v>1357</v>
      </c>
      <c r="J1227" t="s">
        <v>1357</v>
      </c>
      <c r="K1227" t="s">
        <v>1357</v>
      </c>
      <c r="L1227" t="s">
        <v>1357</v>
      </c>
    </row>
    <row r="1228" spans="6:12">
      <c r="H1228" t="s">
        <v>20233</v>
      </c>
      <c r="I1228" t="s">
        <v>1357</v>
      </c>
      <c r="J1228" t="s">
        <v>1357</v>
      </c>
      <c r="K1228" t="s">
        <v>1357</v>
      </c>
      <c r="L1228" t="s">
        <v>1357</v>
      </c>
    </row>
    <row r="1229" spans="6:12">
      <c r="H1229" t="s">
        <v>20230</v>
      </c>
      <c r="I1229" t="s">
        <v>1357</v>
      </c>
      <c r="J1229" t="s">
        <v>1357</v>
      </c>
      <c r="K1229" t="s">
        <v>1357</v>
      </c>
      <c r="L1229" t="s">
        <v>1357</v>
      </c>
    </row>
    <row r="1230" spans="6:12">
      <c r="H1230" t="s">
        <v>20296</v>
      </c>
      <c r="I1230" t="s">
        <v>1357</v>
      </c>
      <c r="J1230" t="s">
        <v>1357</v>
      </c>
      <c r="K1230" t="s">
        <v>1357</v>
      </c>
      <c r="L1230" t="s">
        <v>1357</v>
      </c>
    </row>
    <row r="1231" spans="6:12">
      <c r="H1231" t="s">
        <v>20297</v>
      </c>
      <c r="I1231" t="s">
        <v>1357</v>
      </c>
      <c r="J1231" t="s">
        <v>1357</v>
      </c>
      <c r="K1231" t="s">
        <v>1357</v>
      </c>
      <c r="L1231" t="s">
        <v>1357</v>
      </c>
    </row>
    <row r="1232" spans="6:12">
      <c r="H1232" t="s">
        <v>20234</v>
      </c>
      <c r="I1232" t="s">
        <v>1357</v>
      </c>
      <c r="J1232" t="s">
        <v>1357</v>
      </c>
      <c r="K1232" t="s">
        <v>1357</v>
      </c>
      <c r="L1232" t="s">
        <v>1357</v>
      </c>
    </row>
    <row r="1233" spans="6:12">
      <c r="H1233" t="s">
        <v>20235</v>
      </c>
      <c r="I1233" t="s">
        <v>1357</v>
      </c>
      <c r="J1233" t="s">
        <v>1357</v>
      </c>
      <c r="K1233" t="s">
        <v>1357</v>
      </c>
      <c r="L1233" t="s">
        <v>1357</v>
      </c>
    </row>
    <row r="1234" spans="6:12">
      <c r="H1234" t="s">
        <v>20298</v>
      </c>
      <c r="I1234" t="s">
        <v>1357</v>
      </c>
      <c r="J1234" t="s">
        <v>1357</v>
      </c>
      <c r="K1234" t="s">
        <v>1357</v>
      </c>
      <c r="L1234" t="s">
        <v>1357</v>
      </c>
    </row>
    <row r="1235" spans="6:12">
      <c r="H1235" t="s">
        <v>20284</v>
      </c>
      <c r="I1235" t="s">
        <v>1357</v>
      </c>
      <c r="J1235" t="s">
        <v>1357</v>
      </c>
      <c r="K1235" t="s">
        <v>1357</v>
      </c>
      <c r="L1235" t="s">
        <v>1357</v>
      </c>
    </row>
    <row r="1236" spans="6:12">
      <c r="H1236" t="s">
        <v>20285</v>
      </c>
      <c r="I1236" t="s">
        <v>1357</v>
      </c>
      <c r="J1236" t="s">
        <v>1357</v>
      </c>
      <c r="K1236" t="s">
        <v>1357</v>
      </c>
      <c r="L1236" t="s">
        <v>1357</v>
      </c>
    </row>
    <row r="1237" spans="6:12">
      <c r="H1237" t="s">
        <v>20286</v>
      </c>
      <c r="I1237" t="s">
        <v>1357</v>
      </c>
      <c r="J1237" t="s">
        <v>1357</v>
      </c>
      <c r="K1237" t="s">
        <v>1357</v>
      </c>
      <c r="L1237" t="s">
        <v>1357</v>
      </c>
    </row>
    <row r="1238" spans="6:12">
      <c r="H1238" t="s">
        <v>20287</v>
      </c>
      <c r="I1238" t="s">
        <v>1357</v>
      </c>
      <c r="J1238" t="s">
        <v>1357</v>
      </c>
      <c r="K1238" t="s">
        <v>1357</v>
      </c>
      <c r="L1238" t="s">
        <v>1357</v>
      </c>
    </row>
    <row r="1239" spans="6:12">
      <c r="F1239" t="s">
        <v>14791</v>
      </c>
      <c r="G1239" t="s">
        <v>17635</v>
      </c>
      <c r="H1239" t="s">
        <v>20280</v>
      </c>
      <c r="I1239" t="s">
        <v>1357</v>
      </c>
      <c r="J1239" t="s">
        <v>1357</v>
      </c>
      <c r="K1239" t="s">
        <v>1357</v>
      </c>
      <c r="L1239" t="s">
        <v>1357</v>
      </c>
    </row>
    <row r="1240" spans="6:12">
      <c r="H1240" t="s">
        <v>20233</v>
      </c>
      <c r="I1240" t="s">
        <v>1357</v>
      </c>
      <c r="J1240" t="s">
        <v>1357</v>
      </c>
      <c r="K1240" t="s">
        <v>1357</v>
      </c>
      <c r="L1240" t="s">
        <v>1357</v>
      </c>
    </row>
    <row r="1241" spans="6:12">
      <c r="H1241" t="s">
        <v>20230</v>
      </c>
      <c r="I1241" t="s">
        <v>1357</v>
      </c>
      <c r="J1241" t="s">
        <v>1357</v>
      </c>
      <c r="K1241" t="s">
        <v>1357</v>
      </c>
      <c r="L1241" t="s">
        <v>1357</v>
      </c>
    </row>
    <row r="1242" spans="6:12">
      <c r="H1242" t="s">
        <v>20296</v>
      </c>
      <c r="I1242" t="s">
        <v>1357</v>
      </c>
      <c r="J1242" t="s">
        <v>1357</v>
      </c>
      <c r="K1242" t="s">
        <v>1357</v>
      </c>
      <c r="L1242" t="s">
        <v>1357</v>
      </c>
    </row>
    <row r="1243" spans="6:12">
      <c r="H1243" t="s">
        <v>20297</v>
      </c>
      <c r="I1243" t="s">
        <v>1357</v>
      </c>
      <c r="J1243" t="s">
        <v>1357</v>
      </c>
      <c r="K1243" t="s">
        <v>1357</v>
      </c>
      <c r="L1243" t="s">
        <v>1357</v>
      </c>
    </row>
    <row r="1244" spans="6:12">
      <c r="H1244" t="s">
        <v>20234</v>
      </c>
      <c r="I1244" t="s">
        <v>1357</v>
      </c>
      <c r="J1244" t="s">
        <v>1357</v>
      </c>
      <c r="K1244" t="s">
        <v>1357</v>
      </c>
      <c r="L1244" t="s">
        <v>1357</v>
      </c>
    </row>
    <row r="1245" spans="6:12">
      <c r="H1245" t="s">
        <v>20235</v>
      </c>
      <c r="I1245" t="s">
        <v>1357</v>
      </c>
      <c r="J1245" t="s">
        <v>1357</v>
      </c>
      <c r="K1245" t="s">
        <v>1357</v>
      </c>
      <c r="L1245" t="s">
        <v>1357</v>
      </c>
    </row>
    <row r="1246" spans="6:12">
      <c r="H1246" t="s">
        <v>20298</v>
      </c>
      <c r="I1246" t="s">
        <v>1357</v>
      </c>
      <c r="J1246" t="s">
        <v>1357</v>
      </c>
      <c r="K1246" t="s">
        <v>1357</v>
      </c>
      <c r="L1246" t="s">
        <v>1357</v>
      </c>
    </row>
    <row r="1247" spans="6:12">
      <c r="H1247" t="s">
        <v>20284</v>
      </c>
      <c r="I1247" t="s">
        <v>1357</v>
      </c>
      <c r="J1247" t="s">
        <v>1357</v>
      </c>
      <c r="K1247" t="s">
        <v>1357</v>
      </c>
      <c r="L1247" t="s">
        <v>1357</v>
      </c>
    </row>
    <row r="1248" spans="6:12">
      <c r="H1248" t="s">
        <v>20285</v>
      </c>
      <c r="I1248" t="s">
        <v>1357</v>
      </c>
      <c r="J1248" t="s">
        <v>1357</v>
      </c>
      <c r="K1248" t="s">
        <v>1357</v>
      </c>
      <c r="L1248" t="s">
        <v>1357</v>
      </c>
    </row>
    <row r="1249" spans="6:12">
      <c r="H1249" t="s">
        <v>20286</v>
      </c>
      <c r="I1249" t="s">
        <v>1357</v>
      </c>
      <c r="J1249" t="s">
        <v>1357</v>
      </c>
      <c r="K1249" t="s">
        <v>1357</v>
      </c>
      <c r="L1249" t="s">
        <v>1357</v>
      </c>
    </row>
    <row r="1250" spans="6:12">
      <c r="H1250" t="s">
        <v>20287</v>
      </c>
      <c r="I1250" t="s">
        <v>1357</v>
      </c>
      <c r="J1250" t="s">
        <v>1357</v>
      </c>
      <c r="K1250" t="s">
        <v>1357</v>
      </c>
      <c r="L1250" t="s">
        <v>1357</v>
      </c>
    </row>
    <row r="1251" spans="6:12">
      <c r="F1251" t="s">
        <v>14792</v>
      </c>
      <c r="G1251" t="s">
        <v>17636</v>
      </c>
      <c r="H1251" t="s">
        <v>20280</v>
      </c>
      <c r="I1251" t="s">
        <v>1357</v>
      </c>
      <c r="J1251" t="s">
        <v>1357</v>
      </c>
      <c r="K1251" t="s">
        <v>1357</v>
      </c>
      <c r="L1251" t="s">
        <v>1357</v>
      </c>
    </row>
    <row r="1252" spans="6:12">
      <c r="H1252" t="s">
        <v>20284</v>
      </c>
      <c r="I1252" t="s">
        <v>1357</v>
      </c>
      <c r="J1252" t="s">
        <v>1357</v>
      </c>
      <c r="K1252" t="s">
        <v>1357</v>
      </c>
      <c r="L1252" t="s">
        <v>1357</v>
      </c>
    </row>
    <row r="1253" spans="6:12">
      <c r="F1253" t="s">
        <v>14793</v>
      </c>
      <c r="G1253" t="s">
        <v>17637</v>
      </c>
      <c r="H1253" t="s">
        <v>20280</v>
      </c>
      <c r="I1253" t="s">
        <v>1357</v>
      </c>
      <c r="J1253" t="s">
        <v>1357</v>
      </c>
      <c r="K1253" t="s">
        <v>1357</v>
      </c>
      <c r="L1253" t="s">
        <v>1357</v>
      </c>
    </row>
    <row r="1254" spans="6:12">
      <c r="H1254" t="s">
        <v>20284</v>
      </c>
      <c r="I1254" t="s">
        <v>1357</v>
      </c>
      <c r="J1254" t="s">
        <v>1357</v>
      </c>
      <c r="K1254" t="s">
        <v>1357</v>
      </c>
      <c r="L1254" t="s">
        <v>1357</v>
      </c>
    </row>
    <row r="1255" spans="6:12">
      <c r="F1255" t="s">
        <v>14794</v>
      </c>
      <c r="G1255" t="s">
        <v>17638</v>
      </c>
      <c r="H1255" t="s">
        <v>20280</v>
      </c>
      <c r="I1255" t="s">
        <v>1357</v>
      </c>
      <c r="J1255" t="s">
        <v>1357</v>
      </c>
      <c r="K1255" t="s">
        <v>1357</v>
      </c>
      <c r="L1255" t="s">
        <v>1357</v>
      </c>
    </row>
    <row r="1256" spans="6:12">
      <c r="H1256" t="s">
        <v>20284</v>
      </c>
      <c r="I1256" t="s">
        <v>1357</v>
      </c>
      <c r="J1256" t="s">
        <v>1357</v>
      </c>
      <c r="K1256" t="s">
        <v>1357</v>
      </c>
      <c r="L1256" t="s">
        <v>1357</v>
      </c>
    </row>
    <row r="1257" spans="6:12">
      <c r="F1257" t="s">
        <v>14795</v>
      </c>
      <c r="G1257" t="s">
        <v>17639</v>
      </c>
      <c r="H1257" t="s">
        <v>20280</v>
      </c>
      <c r="I1257" t="s">
        <v>1357</v>
      </c>
      <c r="J1257" t="s">
        <v>1357</v>
      </c>
      <c r="K1257" t="s">
        <v>1357</v>
      </c>
      <c r="L1257" t="s">
        <v>1357</v>
      </c>
    </row>
    <row r="1258" spans="6:12">
      <c r="H1258" t="s">
        <v>20233</v>
      </c>
      <c r="I1258" t="s">
        <v>1357</v>
      </c>
      <c r="J1258" t="s">
        <v>1357</v>
      </c>
      <c r="K1258" t="s">
        <v>1357</v>
      </c>
      <c r="L1258" t="s">
        <v>1357</v>
      </c>
    </row>
    <row r="1259" spans="6:12">
      <c r="H1259" t="s">
        <v>20230</v>
      </c>
      <c r="I1259" t="s">
        <v>1357</v>
      </c>
      <c r="J1259" t="s">
        <v>1357</v>
      </c>
      <c r="K1259" t="s">
        <v>1357</v>
      </c>
      <c r="L1259" t="s">
        <v>1357</v>
      </c>
    </row>
    <row r="1260" spans="6:12">
      <c r="H1260" t="s">
        <v>20296</v>
      </c>
      <c r="I1260" t="s">
        <v>1357</v>
      </c>
      <c r="J1260" t="s">
        <v>1357</v>
      </c>
      <c r="K1260" t="s">
        <v>1357</v>
      </c>
      <c r="L1260" t="s">
        <v>1357</v>
      </c>
    </row>
    <row r="1261" spans="6:12">
      <c r="H1261" t="s">
        <v>20297</v>
      </c>
      <c r="I1261" t="s">
        <v>1357</v>
      </c>
      <c r="J1261" t="s">
        <v>1357</v>
      </c>
      <c r="K1261" t="s">
        <v>1357</v>
      </c>
      <c r="L1261" t="s">
        <v>1357</v>
      </c>
    </row>
    <row r="1262" spans="6:12">
      <c r="H1262" t="s">
        <v>20234</v>
      </c>
      <c r="I1262" t="s">
        <v>1357</v>
      </c>
      <c r="J1262" t="s">
        <v>1357</v>
      </c>
      <c r="K1262" t="s">
        <v>1357</v>
      </c>
      <c r="L1262" t="s">
        <v>1357</v>
      </c>
    </row>
    <row r="1263" spans="6:12">
      <c r="H1263" t="s">
        <v>20235</v>
      </c>
      <c r="I1263" t="s">
        <v>1357</v>
      </c>
      <c r="J1263" t="s">
        <v>1357</v>
      </c>
      <c r="K1263" t="s">
        <v>1357</v>
      </c>
      <c r="L1263" t="s">
        <v>1357</v>
      </c>
    </row>
    <row r="1264" spans="6:12">
      <c r="H1264" t="s">
        <v>20298</v>
      </c>
      <c r="I1264" t="s">
        <v>1357</v>
      </c>
      <c r="J1264" t="s">
        <v>1357</v>
      </c>
      <c r="K1264" t="s">
        <v>1357</v>
      </c>
      <c r="L1264" t="s">
        <v>1357</v>
      </c>
    </row>
    <row r="1265" spans="6:12">
      <c r="H1265" t="s">
        <v>20299</v>
      </c>
      <c r="I1265" t="s">
        <v>1357</v>
      </c>
      <c r="J1265" t="s">
        <v>1357</v>
      </c>
      <c r="K1265" t="s">
        <v>1357</v>
      </c>
      <c r="L1265" t="s">
        <v>1357</v>
      </c>
    </row>
    <row r="1266" spans="6:12">
      <c r="H1266" t="s">
        <v>20300</v>
      </c>
      <c r="I1266" t="s">
        <v>1357</v>
      </c>
      <c r="J1266" t="s">
        <v>1357</v>
      </c>
      <c r="K1266" t="s">
        <v>1357</v>
      </c>
      <c r="L1266" t="s">
        <v>1357</v>
      </c>
    </row>
    <row r="1267" spans="6:12">
      <c r="H1267" t="s">
        <v>20301</v>
      </c>
      <c r="I1267" t="s">
        <v>1357</v>
      </c>
      <c r="J1267" t="s">
        <v>1357</v>
      </c>
      <c r="K1267" t="s">
        <v>1357</v>
      </c>
      <c r="L1267" t="s">
        <v>1357</v>
      </c>
    </row>
    <row r="1268" spans="6:12">
      <c r="H1268" t="s">
        <v>20302</v>
      </c>
      <c r="I1268" t="s">
        <v>1357</v>
      </c>
      <c r="J1268" t="s">
        <v>1357</v>
      </c>
      <c r="K1268" t="s">
        <v>1357</v>
      </c>
      <c r="L1268" t="s">
        <v>1357</v>
      </c>
    </row>
    <row r="1269" spans="6:12">
      <c r="H1269" t="s">
        <v>20284</v>
      </c>
      <c r="I1269" t="s">
        <v>1357</v>
      </c>
      <c r="J1269" t="s">
        <v>1357</v>
      </c>
      <c r="K1269" t="s">
        <v>1357</v>
      </c>
      <c r="L1269" t="s">
        <v>1357</v>
      </c>
    </row>
    <row r="1270" spans="6:12">
      <c r="H1270" t="s">
        <v>20285</v>
      </c>
      <c r="I1270" t="s">
        <v>1357</v>
      </c>
      <c r="J1270" t="s">
        <v>1357</v>
      </c>
      <c r="K1270" t="s">
        <v>1357</v>
      </c>
      <c r="L1270" t="s">
        <v>1357</v>
      </c>
    </row>
    <row r="1271" spans="6:12">
      <c r="H1271" t="s">
        <v>20286</v>
      </c>
      <c r="I1271" t="s">
        <v>1357</v>
      </c>
      <c r="J1271" t="s">
        <v>1357</v>
      </c>
      <c r="K1271" t="s">
        <v>1357</v>
      </c>
      <c r="L1271" t="s">
        <v>1357</v>
      </c>
    </row>
    <row r="1272" spans="6:12">
      <c r="H1272" t="s">
        <v>20287</v>
      </c>
      <c r="I1272" t="s">
        <v>1357</v>
      </c>
      <c r="J1272" t="s">
        <v>1357</v>
      </c>
      <c r="K1272" t="s">
        <v>1357</v>
      </c>
      <c r="L1272" t="s">
        <v>1357</v>
      </c>
    </row>
    <row r="1273" spans="6:12">
      <c r="F1273" t="s">
        <v>14796</v>
      </c>
      <c r="G1273" t="s">
        <v>17640</v>
      </c>
      <c r="H1273" t="s">
        <v>20280</v>
      </c>
      <c r="I1273" t="s">
        <v>1357</v>
      </c>
      <c r="J1273" t="s">
        <v>1357</v>
      </c>
      <c r="K1273" t="s">
        <v>1357</v>
      </c>
      <c r="L1273" t="s">
        <v>1357</v>
      </c>
    </row>
    <row r="1274" spans="6:12">
      <c r="H1274" t="s">
        <v>20233</v>
      </c>
      <c r="I1274" t="s">
        <v>1357</v>
      </c>
      <c r="J1274" t="s">
        <v>1357</v>
      </c>
      <c r="K1274" t="s">
        <v>1357</v>
      </c>
      <c r="L1274" t="s">
        <v>1357</v>
      </c>
    </row>
    <row r="1275" spans="6:12">
      <c r="H1275" t="s">
        <v>20284</v>
      </c>
      <c r="I1275" t="s">
        <v>1357</v>
      </c>
      <c r="J1275" t="s">
        <v>1357</v>
      </c>
      <c r="K1275" t="s">
        <v>1357</v>
      </c>
      <c r="L1275" t="s">
        <v>1357</v>
      </c>
    </row>
    <row r="1276" spans="6:12">
      <c r="H1276" t="s">
        <v>20285</v>
      </c>
      <c r="I1276" t="s">
        <v>1357</v>
      </c>
      <c r="J1276" t="s">
        <v>1357</v>
      </c>
      <c r="K1276" t="s">
        <v>1357</v>
      </c>
      <c r="L1276" t="s">
        <v>1357</v>
      </c>
    </row>
    <row r="1277" spans="6:12">
      <c r="H1277" t="s">
        <v>20286</v>
      </c>
      <c r="I1277" t="s">
        <v>1357</v>
      </c>
      <c r="J1277" t="s">
        <v>1357</v>
      </c>
      <c r="K1277" t="s">
        <v>1357</v>
      </c>
      <c r="L1277" t="s">
        <v>1357</v>
      </c>
    </row>
    <row r="1278" spans="6:12">
      <c r="H1278" t="s">
        <v>20287</v>
      </c>
      <c r="I1278" t="s">
        <v>1357</v>
      </c>
      <c r="J1278" t="s">
        <v>1357</v>
      </c>
      <c r="K1278" t="s">
        <v>1357</v>
      </c>
      <c r="L1278" t="s">
        <v>1357</v>
      </c>
    </row>
    <row r="1279" spans="6:12">
      <c r="H1279" t="s">
        <v>20230</v>
      </c>
      <c r="I1279" t="s">
        <v>1357</v>
      </c>
      <c r="J1279" t="s">
        <v>1357</v>
      </c>
      <c r="K1279" t="s">
        <v>1357</v>
      </c>
      <c r="L1279" t="s">
        <v>1357</v>
      </c>
    </row>
    <row r="1280" spans="6:12">
      <c r="H1280" t="s">
        <v>20227</v>
      </c>
      <c r="I1280" t="s">
        <v>1357</v>
      </c>
      <c r="J1280" t="s">
        <v>1357</v>
      </c>
      <c r="K1280" t="s">
        <v>1357</v>
      </c>
      <c r="L1280" t="s">
        <v>1357</v>
      </c>
    </row>
    <row r="1281" spans="6:12">
      <c r="H1281" t="s">
        <v>20288</v>
      </c>
      <c r="I1281" t="s">
        <v>1357</v>
      </c>
      <c r="J1281" t="s">
        <v>1357</v>
      </c>
      <c r="K1281" t="s">
        <v>1357</v>
      </c>
      <c r="L1281" t="s">
        <v>1357</v>
      </c>
    </row>
    <row r="1282" spans="6:12">
      <c r="H1282" t="s">
        <v>20289</v>
      </c>
      <c r="I1282" t="s">
        <v>1357</v>
      </c>
      <c r="J1282" t="s">
        <v>1357</v>
      </c>
      <c r="K1282" t="s">
        <v>1357</v>
      </c>
      <c r="L1282" t="s">
        <v>1357</v>
      </c>
    </row>
    <row r="1283" spans="6:12">
      <c r="H1283" t="s">
        <v>20290</v>
      </c>
      <c r="I1283" t="s">
        <v>1357</v>
      </c>
      <c r="J1283" t="s">
        <v>1357</v>
      </c>
      <c r="K1283" t="s">
        <v>1357</v>
      </c>
      <c r="L1283" t="s">
        <v>1357</v>
      </c>
    </row>
    <row r="1284" spans="6:12">
      <c r="H1284" t="s">
        <v>20291</v>
      </c>
      <c r="I1284" t="s">
        <v>1357</v>
      </c>
      <c r="J1284" t="s">
        <v>1357</v>
      </c>
      <c r="K1284" t="s">
        <v>1357</v>
      </c>
      <c r="L1284" t="s">
        <v>1357</v>
      </c>
    </row>
    <row r="1285" spans="6:12">
      <c r="F1285" t="s">
        <v>14797</v>
      </c>
      <c r="G1285" t="s">
        <v>17641</v>
      </c>
      <c r="H1285" t="s">
        <v>20280</v>
      </c>
      <c r="I1285" t="s">
        <v>1357</v>
      </c>
      <c r="J1285" t="s">
        <v>1357</v>
      </c>
      <c r="K1285" t="s">
        <v>1357</v>
      </c>
      <c r="L1285" t="s">
        <v>1357</v>
      </c>
    </row>
    <row r="1286" spans="6:12">
      <c r="H1286" t="s">
        <v>20233</v>
      </c>
      <c r="I1286" t="s">
        <v>1357</v>
      </c>
      <c r="J1286" t="s">
        <v>1357</v>
      </c>
      <c r="K1286" t="s">
        <v>1357</v>
      </c>
      <c r="L1286" t="s">
        <v>1357</v>
      </c>
    </row>
    <row r="1287" spans="6:12">
      <c r="H1287" t="s">
        <v>20284</v>
      </c>
      <c r="I1287" t="s">
        <v>1357</v>
      </c>
      <c r="J1287" t="s">
        <v>1357</v>
      </c>
      <c r="K1287" t="s">
        <v>1357</v>
      </c>
      <c r="L1287" t="s">
        <v>1357</v>
      </c>
    </row>
    <row r="1288" spans="6:12">
      <c r="H1288" t="s">
        <v>20285</v>
      </c>
      <c r="I1288" t="s">
        <v>1357</v>
      </c>
      <c r="J1288" t="s">
        <v>1357</v>
      </c>
      <c r="K1288" t="s">
        <v>1357</v>
      </c>
      <c r="L1288" t="s">
        <v>1357</v>
      </c>
    </row>
    <row r="1289" spans="6:12">
      <c r="H1289" t="s">
        <v>20286</v>
      </c>
      <c r="I1289" t="s">
        <v>1357</v>
      </c>
      <c r="J1289" t="s">
        <v>1357</v>
      </c>
      <c r="K1289" t="s">
        <v>1357</v>
      </c>
      <c r="L1289" t="s">
        <v>1357</v>
      </c>
    </row>
    <row r="1290" spans="6:12">
      <c r="H1290" t="s">
        <v>20287</v>
      </c>
      <c r="I1290" t="s">
        <v>1357</v>
      </c>
      <c r="J1290" t="s">
        <v>1357</v>
      </c>
      <c r="K1290" t="s">
        <v>1357</v>
      </c>
      <c r="L1290" t="s">
        <v>1357</v>
      </c>
    </row>
    <row r="1291" spans="6:12">
      <c r="F1291" t="s">
        <v>14798</v>
      </c>
      <c r="G1291" t="s">
        <v>17642</v>
      </c>
      <c r="H1291" t="s">
        <v>20280</v>
      </c>
      <c r="I1291" t="s">
        <v>1357</v>
      </c>
      <c r="J1291" t="s">
        <v>1357</v>
      </c>
      <c r="K1291" t="s">
        <v>1357</v>
      </c>
      <c r="L1291" t="s">
        <v>1357</v>
      </c>
    </row>
    <row r="1292" spans="6:12">
      <c r="H1292" t="s">
        <v>20233</v>
      </c>
      <c r="I1292" t="s">
        <v>1357</v>
      </c>
      <c r="J1292" t="s">
        <v>1357</v>
      </c>
      <c r="K1292" t="s">
        <v>1357</v>
      </c>
      <c r="L1292" t="s">
        <v>1357</v>
      </c>
    </row>
    <row r="1293" spans="6:12">
      <c r="H1293" t="s">
        <v>20284</v>
      </c>
      <c r="I1293" t="s">
        <v>1357</v>
      </c>
      <c r="J1293" t="s">
        <v>1357</v>
      </c>
      <c r="K1293" t="s">
        <v>1357</v>
      </c>
      <c r="L1293" t="s">
        <v>1357</v>
      </c>
    </row>
    <row r="1294" spans="6:12">
      <c r="H1294" t="s">
        <v>20285</v>
      </c>
      <c r="I1294" t="s">
        <v>1357</v>
      </c>
      <c r="J1294" t="s">
        <v>1357</v>
      </c>
      <c r="K1294" t="s">
        <v>1357</v>
      </c>
      <c r="L1294" t="s">
        <v>1357</v>
      </c>
    </row>
    <row r="1295" spans="6:12">
      <c r="H1295" t="s">
        <v>20286</v>
      </c>
      <c r="I1295" t="s">
        <v>1357</v>
      </c>
      <c r="J1295" t="s">
        <v>1357</v>
      </c>
      <c r="K1295" t="s">
        <v>1357</v>
      </c>
      <c r="L1295" t="s">
        <v>1357</v>
      </c>
    </row>
    <row r="1296" spans="6:12">
      <c r="H1296" t="s">
        <v>20287</v>
      </c>
      <c r="I1296" t="s">
        <v>1357</v>
      </c>
      <c r="J1296" t="s">
        <v>1357</v>
      </c>
      <c r="K1296" t="s">
        <v>1357</v>
      </c>
      <c r="L1296" t="s">
        <v>1357</v>
      </c>
    </row>
    <row r="1297" spans="6:12">
      <c r="F1297" t="s">
        <v>14799</v>
      </c>
      <c r="G1297" t="s">
        <v>17643</v>
      </c>
      <c r="H1297" t="s">
        <v>20280</v>
      </c>
      <c r="I1297" t="s">
        <v>1357</v>
      </c>
      <c r="J1297" t="s">
        <v>1357</v>
      </c>
      <c r="K1297" t="s">
        <v>1357</v>
      </c>
      <c r="L1297" t="s">
        <v>1357</v>
      </c>
    </row>
    <row r="1298" spans="6:12">
      <c r="H1298" t="s">
        <v>20233</v>
      </c>
      <c r="I1298" t="s">
        <v>1357</v>
      </c>
      <c r="J1298" t="s">
        <v>1357</v>
      </c>
      <c r="K1298" t="s">
        <v>1357</v>
      </c>
      <c r="L1298" t="s">
        <v>1357</v>
      </c>
    </row>
    <row r="1299" spans="6:12">
      <c r="H1299" t="s">
        <v>20284</v>
      </c>
      <c r="I1299" t="s">
        <v>1357</v>
      </c>
      <c r="J1299" t="s">
        <v>1357</v>
      </c>
      <c r="K1299" t="s">
        <v>1357</v>
      </c>
      <c r="L1299" t="s">
        <v>1357</v>
      </c>
    </row>
    <row r="1300" spans="6:12">
      <c r="H1300" t="s">
        <v>20285</v>
      </c>
      <c r="I1300" t="s">
        <v>1357</v>
      </c>
      <c r="J1300" t="s">
        <v>1357</v>
      </c>
      <c r="K1300" t="s">
        <v>1357</v>
      </c>
      <c r="L1300" t="s">
        <v>1357</v>
      </c>
    </row>
    <row r="1301" spans="6:12">
      <c r="H1301" t="s">
        <v>20286</v>
      </c>
      <c r="I1301" t="s">
        <v>1357</v>
      </c>
      <c r="J1301" t="s">
        <v>1357</v>
      </c>
      <c r="K1301" t="s">
        <v>1357</v>
      </c>
      <c r="L1301" t="s">
        <v>1357</v>
      </c>
    </row>
    <row r="1302" spans="6:12">
      <c r="H1302" t="s">
        <v>20287</v>
      </c>
      <c r="I1302" t="s">
        <v>1357</v>
      </c>
      <c r="J1302" t="s">
        <v>1357</v>
      </c>
      <c r="K1302" t="s">
        <v>1357</v>
      </c>
      <c r="L1302" t="s">
        <v>1357</v>
      </c>
    </row>
    <row r="1303" spans="6:12">
      <c r="F1303" t="s">
        <v>14800</v>
      </c>
      <c r="G1303" t="s">
        <v>17644</v>
      </c>
      <c r="H1303" t="s">
        <v>20280</v>
      </c>
      <c r="I1303" t="s">
        <v>1357</v>
      </c>
      <c r="J1303" t="s">
        <v>1357</v>
      </c>
      <c r="K1303" t="s">
        <v>1357</v>
      </c>
      <c r="L1303" t="s">
        <v>1357</v>
      </c>
    </row>
    <row r="1304" spans="6:12">
      <c r="H1304" t="s">
        <v>20233</v>
      </c>
      <c r="I1304" t="s">
        <v>1357</v>
      </c>
      <c r="J1304" t="s">
        <v>1357</v>
      </c>
      <c r="K1304" t="s">
        <v>1357</v>
      </c>
      <c r="L1304" t="s">
        <v>1357</v>
      </c>
    </row>
    <row r="1305" spans="6:12">
      <c r="H1305" t="s">
        <v>20284</v>
      </c>
      <c r="I1305" t="s">
        <v>1357</v>
      </c>
      <c r="J1305" t="s">
        <v>1357</v>
      </c>
      <c r="K1305" t="s">
        <v>1357</v>
      </c>
      <c r="L1305" t="s">
        <v>1357</v>
      </c>
    </row>
    <row r="1306" spans="6:12">
      <c r="H1306" t="s">
        <v>20285</v>
      </c>
      <c r="I1306" t="s">
        <v>1357</v>
      </c>
      <c r="J1306" t="s">
        <v>1357</v>
      </c>
      <c r="K1306" t="s">
        <v>1357</v>
      </c>
      <c r="L1306" t="s">
        <v>1357</v>
      </c>
    </row>
    <row r="1307" spans="6:12">
      <c r="H1307" t="s">
        <v>20286</v>
      </c>
      <c r="I1307" t="s">
        <v>1357</v>
      </c>
      <c r="J1307" t="s">
        <v>1357</v>
      </c>
      <c r="K1307" t="s">
        <v>1357</v>
      </c>
      <c r="L1307" t="s">
        <v>1357</v>
      </c>
    </row>
    <row r="1308" spans="6:12">
      <c r="H1308" t="s">
        <v>20287</v>
      </c>
      <c r="I1308" t="s">
        <v>1357</v>
      </c>
      <c r="J1308" t="s">
        <v>1357</v>
      </c>
      <c r="K1308" t="s">
        <v>1357</v>
      </c>
      <c r="L1308" t="s">
        <v>1357</v>
      </c>
    </row>
    <row r="1309" spans="6:12">
      <c r="F1309" t="s">
        <v>14801</v>
      </c>
      <c r="G1309" t="s">
        <v>17645</v>
      </c>
      <c r="H1309" t="s">
        <v>20280</v>
      </c>
      <c r="I1309" t="s">
        <v>1357</v>
      </c>
      <c r="J1309" t="s">
        <v>1357</v>
      </c>
      <c r="K1309" t="s">
        <v>1357</v>
      </c>
      <c r="L1309" t="s">
        <v>1357</v>
      </c>
    </row>
    <row r="1310" spans="6:12">
      <c r="H1310" t="s">
        <v>20233</v>
      </c>
      <c r="I1310" t="s">
        <v>1357</v>
      </c>
      <c r="J1310" t="s">
        <v>1357</v>
      </c>
      <c r="K1310" t="s">
        <v>1357</v>
      </c>
      <c r="L1310" t="s">
        <v>1357</v>
      </c>
    </row>
    <row r="1311" spans="6:12">
      <c r="H1311" t="s">
        <v>20230</v>
      </c>
      <c r="I1311" t="s">
        <v>1357</v>
      </c>
      <c r="J1311" t="s">
        <v>1357</v>
      </c>
      <c r="K1311" t="s">
        <v>1357</v>
      </c>
      <c r="L1311" t="s">
        <v>1357</v>
      </c>
    </row>
    <row r="1312" spans="6:12">
      <c r="H1312" t="s">
        <v>20296</v>
      </c>
      <c r="I1312" t="s">
        <v>1357</v>
      </c>
      <c r="J1312" t="s">
        <v>1357</v>
      </c>
      <c r="K1312" t="s">
        <v>1357</v>
      </c>
      <c r="L1312" t="s">
        <v>1357</v>
      </c>
    </row>
    <row r="1313" spans="6:12">
      <c r="H1313" t="s">
        <v>20297</v>
      </c>
      <c r="I1313" t="s">
        <v>1357</v>
      </c>
      <c r="J1313" t="s">
        <v>1357</v>
      </c>
      <c r="K1313" t="s">
        <v>1357</v>
      </c>
      <c r="L1313" t="s">
        <v>1357</v>
      </c>
    </row>
    <row r="1314" spans="6:12">
      <c r="H1314" t="s">
        <v>20234</v>
      </c>
      <c r="I1314" t="s">
        <v>1357</v>
      </c>
      <c r="J1314" t="s">
        <v>1357</v>
      </c>
      <c r="K1314" t="s">
        <v>1357</v>
      </c>
      <c r="L1314" t="s">
        <v>1357</v>
      </c>
    </row>
    <row r="1315" spans="6:12">
      <c r="H1315" t="s">
        <v>20235</v>
      </c>
      <c r="I1315" t="s">
        <v>1357</v>
      </c>
      <c r="J1315" t="s">
        <v>1357</v>
      </c>
      <c r="K1315" t="s">
        <v>1357</v>
      </c>
      <c r="L1315" t="s">
        <v>1357</v>
      </c>
    </row>
    <row r="1316" spans="6:12">
      <c r="H1316" t="s">
        <v>20298</v>
      </c>
      <c r="I1316" t="s">
        <v>1357</v>
      </c>
      <c r="J1316" t="s">
        <v>1357</v>
      </c>
      <c r="K1316" t="s">
        <v>1357</v>
      </c>
      <c r="L1316" t="s">
        <v>1357</v>
      </c>
    </row>
    <row r="1317" spans="6:12">
      <c r="H1317" t="s">
        <v>20299</v>
      </c>
      <c r="I1317" t="s">
        <v>1357</v>
      </c>
      <c r="J1317" t="s">
        <v>1357</v>
      </c>
      <c r="K1317" t="s">
        <v>1357</v>
      </c>
      <c r="L1317" t="s">
        <v>1357</v>
      </c>
    </row>
    <row r="1318" spans="6:12">
      <c r="H1318" t="s">
        <v>20300</v>
      </c>
      <c r="I1318" t="s">
        <v>1357</v>
      </c>
      <c r="J1318" t="s">
        <v>1357</v>
      </c>
      <c r="K1318" t="s">
        <v>1357</v>
      </c>
      <c r="L1318" t="s">
        <v>1357</v>
      </c>
    </row>
    <row r="1319" spans="6:12">
      <c r="H1319" t="s">
        <v>20301</v>
      </c>
      <c r="I1319" t="s">
        <v>1357</v>
      </c>
      <c r="J1319" t="s">
        <v>1357</v>
      </c>
      <c r="K1319" t="s">
        <v>1357</v>
      </c>
      <c r="L1319" t="s">
        <v>1357</v>
      </c>
    </row>
    <row r="1320" spans="6:12">
      <c r="H1320" t="s">
        <v>20284</v>
      </c>
      <c r="I1320" t="s">
        <v>1357</v>
      </c>
      <c r="J1320" t="s">
        <v>1357</v>
      </c>
      <c r="K1320" t="s">
        <v>1357</v>
      </c>
      <c r="L1320" t="s">
        <v>1357</v>
      </c>
    </row>
    <row r="1321" spans="6:12">
      <c r="H1321" t="s">
        <v>20285</v>
      </c>
      <c r="I1321" t="s">
        <v>1357</v>
      </c>
      <c r="J1321" t="s">
        <v>1357</v>
      </c>
      <c r="K1321" t="s">
        <v>1357</v>
      </c>
      <c r="L1321" t="s">
        <v>1357</v>
      </c>
    </row>
    <row r="1322" spans="6:12">
      <c r="H1322" t="s">
        <v>20286</v>
      </c>
      <c r="I1322" t="s">
        <v>1357</v>
      </c>
      <c r="J1322" t="s">
        <v>1357</v>
      </c>
      <c r="K1322" t="s">
        <v>1357</v>
      </c>
      <c r="L1322" t="s">
        <v>1357</v>
      </c>
    </row>
    <row r="1323" spans="6:12">
      <c r="H1323" t="s">
        <v>20287</v>
      </c>
      <c r="I1323" t="s">
        <v>1357</v>
      </c>
      <c r="J1323" t="s">
        <v>1357</v>
      </c>
      <c r="K1323" t="s">
        <v>1357</v>
      </c>
      <c r="L1323" t="s">
        <v>1357</v>
      </c>
    </row>
    <row r="1324" spans="6:12">
      <c r="F1324" t="s">
        <v>14802</v>
      </c>
      <c r="G1324" t="s">
        <v>17646</v>
      </c>
      <c r="H1324" t="s">
        <v>20280</v>
      </c>
      <c r="I1324" t="s">
        <v>1357</v>
      </c>
      <c r="J1324" t="s">
        <v>1357</v>
      </c>
      <c r="K1324" t="s">
        <v>1357</v>
      </c>
      <c r="L1324" t="s">
        <v>1357</v>
      </c>
    </row>
    <row r="1325" spans="6:12">
      <c r="H1325" t="s">
        <v>20233</v>
      </c>
      <c r="I1325" t="s">
        <v>1357</v>
      </c>
      <c r="J1325" t="s">
        <v>1357</v>
      </c>
      <c r="K1325" t="s">
        <v>1357</v>
      </c>
      <c r="L1325" t="s">
        <v>1357</v>
      </c>
    </row>
    <row r="1326" spans="6:12">
      <c r="H1326" t="s">
        <v>20230</v>
      </c>
      <c r="I1326" t="s">
        <v>1357</v>
      </c>
      <c r="J1326" t="s">
        <v>1357</v>
      </c>
      <c r="K1326" t="s">
        <v>1357</v>
      </c>
      <c r="L1326" t="s">
        <v>1357</v>
      </c>
    </row>
    <row r="1327" spans="6:12">
      <c r="H1327" t="s">
        <v>20227</v>
      </c>
      <c r="I1327" t="s">
        <v>1357</v>
      </c>
      <c r="J1327" t="s">
        <v>1357</v>
      </c>
      <c r="K1327" t="s">
        <v>1357</v>
      </c>
      <c r="L1327" t="s">
        <v>1357</v>
      </c>
    </row>
    <row r="1328" spans="6:12">
      <c r="H1328" t="s">
        <v>20296</v>
      </c>
      <c r="I1328" t="s">
        <v>1357</v>
      </c>
      <c r="J1328" t="s">
        <v>1357</v>
      </c>
      <c r="K1328" t="s">
        <v>1357</v>
      </c>
      <c r="L1328" t="s">
        <v>1357</v>
      </c>
    </row>
    <row r="1329" spans="6:12">
      <c r="H1329" t="s">
        <v>20297</v>
      </c>
      <c r="I1329" t="s">
        <v>1357</v>
      </c>
      <c r="J1329" t="s">
        <v>1357</v>
      </c>
      <c r="K1329" t="s">
        <v>1357</v>
      </c>
      <c r="L1329" t="s">
        <v>1357</v>
      </c>
    </row>
    <row r="1330" spans="6:12">
      <c r="H1330" t="s">
        <v>20234</v>
      </c>
      <c r="I1330" t="s">
        <v>1357</v>
      </c>
      <c r="J1330" t="s">
        <v>1357</v>
      </c>
      <c r="K1330" t="s">
        <v>1357</v>
      </c>
      <c r="L1330" t="s">
        <v>1357</v>
      </c>
    </row>
    <row r="1331" spans="6:12">
      <c r="H1331" t="s">
        <v>20235</v>
      </c>
      <c r="I1331" t="s">
        <v>1357</v>
      </c>
      <c r="J1331" t="s">
        <v>1357</v>
      </c>
      <c r="K1331" t="s">
        <v>1357</v>
      </c>
      <c r="L1331" t="s">
        <v>1357</v>
      </c>
    </row>
    <row r="1332" spans="6:12">
      <c r="H1332" t="s">
        <v>20298</v>
      </c>
      <c r="I1332" t="s">
        <v>1357</v>
      </c>
      <c r="J1332" t="s">
        <v>1357</v>
      </c>
      <c r="K1332" t="s">
        <v>1357</v>
      </c>
      <c r="L1332" t="s">
        <v>1357</v>
      </c>
    </row>
    <row r="1333" spans="6:12">
      <c r="H1333" t="s">
        <v>20284</v>
      </c>
      <c r="I1333" t="s">
        <v>1357</v>
      </c>
      <c r="J1333" t="s">
        <v>1357</v>
      </c>
      <c r="K1333" t="s">
        <v>1357</v>
      </c>
      <c r="L1333" t="s">
        <v>1357</v>
      </c>
    </row>
    <row r="1334" spans="6:12">
      <c r="H1334" t="s">
        <v>20285</v>
      </c>
      <c r="I1334" t="s">
        <v>1357</v>
      </c>
      <c r="J1334" t="s">
        <v>1357</v>
      </c>
      <c r="K1334" t="s">
        <v>1357</v>
      </c>
      <c r="L1334" t="s">
        <v>1357</v>
      </c>
    </row>
    <row r="1335" spans="6:12">
      <c r="H1335" t="s">
        <v>20286</v>
      </c>
      <c r="I1335" t="s">
        <v>1357</v>
      </c>
      <c r="J1335" t="s">
        <v>1357</v>
      </c>
      <c r="K1335" t="s">
        <v>1357</v>
      </c>
      <c r="L1335" t="s">
        <v>1357</v>
      </c>
    </row>
    <row r="1336" spans="6:12">
      <c r="H1336" t="s">
        <v>20287</v>
      </c>
      <c r="I1336" t="s">
        <v>1357</v>
      </c>
      <c r="J1336" t="s">
        <v>1357</v>
      </c>
      <c r="K1336" t="s">
        <v>1357</v>
      </c>
      <c r="L1336" t="s">
        <v>1357</v>
      </c>
    </row>
    <row r="1337" spans="6:12">
      <c r="F1337" t="s">
        <v>14803</v>
      </c>
      <c r="G1337" t="s">
        <v>17647</v>
      </c>
      <c r="H1337" t="s">
        <v>20280</v>
      </c>
      <c r="I1337" t="s">
        <v>1357</v>
      </c>
      <c r="J1337" t="s">
        <v>1357</v>
      </c>
      <c r="K1337" t="s">
        <v>1357</v>
      </c>
      <c r="L1337" t="s">
        <v>1357</v>
      </c>
    </row>
    <row r="1338" spans="6:12">
      <c r="H1338" t="s">
        <v>20233</v>
      </c>
      <c r="I1338" t="s">
        <v>1357</v>
      </c>
      <c r="J1338" t="s">
        <v>1357</v>
      </c>
      <c r="K1338" t="s">
        <v>1357</v>
      </c>
      <c r="L1338" t="s">
        <v>1357</v>
      </c>
    </row>
    <row r="1339" spans="6:12">
      <c r="H1339" t="s">
        <v>20230</v>
      </c>
      <c r="I1339" t="s">
        <v>1357</v>
      </c>
      <c r="J1339" t="s">
        <v>1357</v>
      </c>
      <c r="K1339" t="s">
        <v>1357</v>
      </c>
      <c r="L1339" t="s">
        <v>1357</v>
      </c>
    </row>
    <row r="1340" spans="6:12">
      <c r="H1340" t="s">
        <v>20296</v>
      </c>
      <c r="I1340" t="s">
        <v>1357</v>
      </c>
      <c r="J1340" t="s">
        <v>1357</v>
      </c>
      <c r="K1340" t="s">
        <v>1357</v>
      </c>
      <c r="L1340" t="s">
        <v>1357</v>
      </c>
    </row>
    <row r="1341" spans="6:12">
      <c r="H1341" t="s">
        <v>20297</v>
      </c>
      <c r="I1341" t="s">
        <v>1357</v>
      </c>
      <c r="J1341" t="s">
        <v>1357</v>
      </c>
      <c r="K1341" t="s">
        <v>1357</v>
      </c>
      <c r="L1341" t="s">
        <v>1357</v>
      </c>
    </row>
    <row r="1342" spans="6:12">
      <c r="H1342" t="s">
        <v>20234</v>
      </c>
      <c r="I1342" t="s">
        <v>1357</v>
      </c>
      <c r="J1342" t="s">
        <v>1357</v>
      </c>
      <c r="K1342" t="s">
        <v>1357</v>
      </c>
      <c r="L1342" t="s">
        <v>1357</v>
      </c>
    </row>
    <row r="1343" spans="6:12">
      <c r="H1343" t="s">
        <v>20235</v>
      </c>
      <c r="I1343" t="s">
        <v>1357</v>
      </c>
      <c r="J1343" t="s">
        <v>1357</v>
      </c>
      <c r="K1343" t="s">
        <v>1357</v>
      </c>
      <c r="L1343" t="s">
        <v>1357</v>
      </c>
    </row>
    <row r="1344" spans="6:12">
      <c r="H1344" t="s">
        <v>20298</v>
      </c>
      <c r="I1344" t="s">
        <v>1357</v>
      </c>
      <c r="J1344" t="s">
        <v>1357</v>
      </c>
      <c r="K1344" t="s">
        <v>1357</v>
      </c>
      <c r="L1344" t="s">
        <v>1357</v>
      </c>
    </row>
    <row r="1345" spans="6:12">
      <c r="H1345" t="s">
        <v>20299</v>
      </c>
      <c r="I1345" t="s">
        <v>1357</v>
      </c>
      <c r="J1345" t="s">
        <v>1357</v>
      </c>
      <c r="K1345" t="s">
        <v>1357</v>
      </c>
      <c r="L1345" t="s">
        <v>1357</v>
      </c>
    </row>
    <row r="1346" spans="6:12">
      <c r="H1346" t="s">
        <v>20300</v>
      </c>
      <c r="I1346" t="s">
        <v>1357</v>
      </c>
      <c r="J1346" t="s">
        <v>1357</v>
      </c>
      <c r="K1346" t="s">
        <v>1357</v>
      </c>
      <c r="L1346" t="s">
        <v>1357</v>
      </c>
    </row>
    <row r="1347" spans="6:12">
      <c r="H1347" t="s">
        <v>20301</v>
      </c>
      <c r="I1347" t="s">
        <v>1357</v>
      </c>
      <c r="J1347" t="s">
        <v>1357</v>
      </c>
      <c r="K1347" t="s">
        <v>1357</v>
      </c>
      <c r="L1347" t="s">
        <v>1357</v>
      </c>
    </row>
    <row r="1348" spans="6:12">
      <c r="H1348" t="s">
        <v>20302</v>
      </c>
      <c r="I1348" t="s">
        <v>1357</v>
      </c>
      <c r="J1348" t="s">
        <v>1357</v>
      </c>
      <c r="K1348" t="s">
        <v>1357</v>
      </c>
      <c r="L1348" t="s">
        <v>1357</v>
      </c>
    </row>
    <row r="1349" spans="6:12">
      <c r="H1349" t="s">
        <v>20284</v>
      </c>
      <c r="I1349" t="s">
        <v>1357</v>
      </c>
      <c r="J1349" t="s">
        <v>1357</v>
      </c>
      <c r="K1349" t="s">
        <v>1357</v>
      </c>
      <c r="L1349" t="s">
        <v>1357</v>
      </c>
    </row>
    <row r="1350" spans="6:12">
      <c r="H1350" t="s">
        <v>20285</v>
      </c>
      <c r="I1350" t="s">
        <v>1357</v>
      </c>
      <c r="J1350" t="s">
        <v>1357</v>
      </c>
      <c r="K1350" t="s">
        <v>1357</v>
      </c>
      <c r="L1350" t="s">
        <v>1357</v>
      </c>
    </row>
    <row r="1351" spans="6:12">
      <c r="H1351" t="s">
        <v>20286</v>
      </c>
      <c r="I1351" t="s">
        <v>1357</v>
      </c>
      <c r="J1351" t="s">
        <v>1357</v>
      </c>
      <c r="K1351" t="s">
        <v>1357</v>
      </c>
      <c r="L1351" t="s">
        <v>1357</v>
      </c>
    </row>
    <row r="1352" spans="6:12">
      <c r="H1352" t="s">
        <v>20287</v>
      </c>
      <c r="I1352" t="s">
        <v>1357</v>
      </c>
      <c r="J1352" t="s">
        <v>1357</v>
      </c>
      <c r="K1352" t="s">
        <v>1357</v>
      </c>
      <c r="L1352" t="s">
        <v>1357</v>
      </c>
    </row>
    <row r="1353" spans="6:12">
      <c r="F1353" t="s">
        <v>14804</v>
      </c>
      <c r="G1353" t="s">
        <v>17648</v>
      </c>
      <c r="H1353" t="s">
        <v>20280</v>
      </c>
      <c r="I1353" t="s">
        <v>1357</v>
      </c>
      <c r="J1353" t="s">
        <v>1357</v>
      </c>
      <c r="K1353" t="s">
        <v>1357</v>
      </c>
      <c r="L1353" t="s">
        <v>1357</v>
      </c>
    </row>
    <row r="1354" spans="6:12">
      <c r="H1354" t="s">
        <v>20233</v>
      </c>
      <c r="I1354" t="s">
        <v>1357</v>
      </c>
      <c r="J1354" t="s">
        <v>1357</v>
      </c>
      <c r="K1354" t="s">
        <v>1357</v>
      </c>
      <c r="L1354" t="s">
        <v>1357</v>
      </c>
    </row>
    <row r="1355" spans="6:12">
      <c r="H1355" t="s">
        <v>20230</v>
      </c>
      <c r="I1355" t="s">
        <v>1357</v>
      </c>
      <c r="J1355" t="s">
        <v>1357</v>
      </c>
      <c r="K1355" t="s">
        <v>1357</v>
      </c>
      <c r="L1355" t="s">
        <v>1357</v>
      </c>
    </row>
    <row r="1356" spans="6:12">
      <c r="H1356" t="s">
        <v>20281</v>
      </c>
      <c r="I1356" t="s">
        <v>1357</v>
      </c>
      <c r="J1356" t="s">
        <v>1357</v>
      </c>
      <c r="K1356" t="s">
        <v>1357</v>
      </c>
      <c r="L1356" t="s">
        <v>1357</v>
      </c>
    </row>
    <row r="1357" spans="6:12">
      <c r="H1357" t="s">
        <v>20282</v>
      </c>
      <c r="I1357" t="s">
        <v>1357</v>
      </c>
      <c r="J1357" t="s">
        <v>1357</v>
      </c>
      <c r="K1357" t="s">
        <v>1357</v>
      </c>
      <c r="L1357" t="s">
        <v>1357</v>
      </c>
    </row>
    <row r="1358" spans="6:12">
      <c r="H1358" t="s">
        <v>20284</v>
      </c>
      <c r="I1358" t="s">
        <v>1357</v>
      </c>
      <c r="J1358" t="s">
        <v>1357</v>
      </c>
      <c r="K1358" t="s">
        <v>1357</v>
      </c>
      <c r="L1358" t="s">
        <v>1357</v>
      </c>
    </row>
    <row r="1359" spans="6:12">
      <c r="H1359" t="s">
        <v>20285</v>
      </c>
      <c r="I1359" t="s">
        <v>1357</v>
      </c>
      <c r="J1359" t="s">
        <v>1357</v>
      </c>
      <c r="K1359" t="s">
        <v>1357</v>
      </c>
      <c r="L1359" t="s">
        <v>1357</v>
      </c>
    </row>
    <row r="1360" spans="6:12">
      <c r="H1360" t="s">
        <v>20286</v>
      </c>
      <c r="I1360" t="s">
        <v>1357</v>
      </c>
      <c r="J1360" t="s">
        <v>1357</v>
      </c>
      <c r="K1360" t="s">
        <v>1357</v>
      </c>
      <c r="L1360" t="s">
        <v>1357</v>
      </c>
    </row>
    <row r="1361" spans="6:12">
      <c r="H1361" t="s">
        <v>20287</v>
      </c>
      <c r="I1361" t="s">
        <v>1357</v>
      </c>
      <c r="J1361" t="s">
        <v>1357</v>
      </c>
      <c r="K1361" t="s">
        <v>1357</v>
      </c>
      <c r="L1361" t="s">
        <v>1357</v>
      </c>
    </row>
    <row r="1362" spans="6:12">
      <c r="H1362" t="s">
        <v>20288</v>
      </c>
      <c r="I1362" t="s">
        <v>1357</v>
      </c>
      <c r="J1362" t="s">
        <v>1357</v>
      </c>
      <c r="K1362" t="s">
        <v>1357</v>
      </c>
      <c r="L1362" t="s">
        <v>1357</v>
      </c>
    </row>
    <row r="1363" spans="6:12">
      <c r="H1363" t="s">
        <v>20289</v>
      </c>
      <c r="I1363" t="s">
        <v>1357</v>
      </c>
      <c r="J1363" t="s">
        <v>1357</v>
      </c>
      <c r="K1363" t="s">
        <v>1357</v>
      </c>
      <c r="L1363" t="s">
        <v>1357</v>
      </c>
    </row>
    <row r="1364" spans="6:12">
      <c r="F1364" t="s">
        <v>14805</v>
      </c>
      <c r="G1364" t="s">
        <v>17649</v>
      </c>
      <c r="H1364" t="s">
        <v>20280</v>
      </c>
      <c r="I1364" t="s">
        <v>1357</v>
      </c>
      <c r="J1364" t="s">
        <v>1357</v>
      </c>
      <c r="K1364" t="s">
        <v>1357</v>
      </c>
      <c r="L1364" t="s">
        <v>1357</v>
      </c>
    </row>
    <row r="1365" spans="6:12">
      <c r="H1365" t="s">
        <v>20233</v>
      </c>
      <c r="I1365" t="s">
        <v>1357</v>
      </c>
      <c r="J1365" t="s">
        <v>1357</v>
      </c>
      <c r="K1365" t="s">
        <v>1357</v>
      </c>
      <c r="L1365" t="s">
        <v>1357</v>
      </c>
    </row>
    <row r="1366" spans="6:12">
      <c r="H1366" t="s">
        <v>20284</v>
      </c>
      <c r="I1366" t="s">
        <v>1357</v>
      </c>
      <c r="J1366" t="s">
        <v>1357</v>
      </c>
      <c r="K1366" t="s">
        <v>1357</v>
      </c>
      <c r="L1366" t="s">
        <v>1357</v>
      </c>
    </row>
    <row r="1367" spans="6:12">
      <c r="H1367" t="s">
        <v>20285</v>
      </c>
      <c r="I1367" t="s">
        <v>1357</v>
      </c>
      <c r="J1367" t="s">
        <v>1357</v>
      </c>
      <c r="K1367" t="s">
        <v>1357</v>
      </c>
      <c r="L1367" t="s">
        <v>1357</v>
      </c>
    </row>
    <row r="1368" spans="6:12">
      <c r="H1368" t="s">
        <v>20286</v>
      </c>
      <c r="I1368" t="s">
        <v>1357</v>
      </c>
      <c r="J1368" t="s">
        <v>1357</v>
      </c>
      <c r="K1368" t="s">
        <v>1357</v>
      </c>
      <c r="L1368" t="s">
        <v>1357</v>
      </c>
    </row>
    <row r="1369" spans="6:12">
      <c r="H1369" t="s">
        <v>20230</v>
      </c>
      <c r="I1369" t="s">
        <v>1357</v>
      </c>
      <c r="J1369" t="s">
        <v>1357</v>
      </c>
      <c r="K1369" t="s">
        <v>1357</v>
      </c>
      <c r="L1369" t="s">
        <v>1357</v>
      </c>
    </row>
    <row r="1370" spans="6:12">
      <c r="H1370" t="s">
        <v>20227</v>
      </c>
      <c r="I1370" t="s">
        <v>1357</v>
      </c>
      <c r="J1370" t="s">
        <v>1357</v>
      </c>
      <c r="K1370" t="s">
        <v>1357</v>
      </c>
      <c r="L1370" t="s">
        <v>1357</v>
      </c>
    </row>
    <row r="1371" spans="6:12">
      <c r="H1371" t="s">
        <v>20287</v>
      </c>
      <c r="I1371" t="s">
        <v>1357</v>
      </c>
      <c r="J1371" t="s">
        <v>1357</v>
      </c>
      <c r="K1371" t="s">
        <v>1357</v>
      </c>
      <c r="L1371" t="s">
        <v>1357</v>
      </c>
    </row>
    <row r="1372" spans="6:12">
      <c r="H1372" t="s">
        <v>20288</v>
      </c>
      <c r="I1372" t="s">
        <v>1357</v>
      </c>
      <c r="J1372" t="s">
        <v>1357</v>
      </c>
      <c r="K1372" t="s">
        <v>1357</v>
      </c>
      <c r="L1372" t="s">
        <v>1357</v>
      </c>
    </row>
    <row r="1373" spans="6:12">
      <c r="H1373" t="s">
        <v>20289</v>
      </c>
      <c r="I1373" t="s">
        <v>1357</v>
      </c>
      <c r="J1373" t="s">
        <v>1357</v>
      </c>
      <c r="K1373" t="s">
        <v>1357</v>
      </c>
      <c r="L1373" t="s">
        <v>1357</v>
      </c>
    </row>
    <row r="1374" spans="6:12">
      <c r="F1374" t="s">
        <v>14806</v>
      </c>
      <c r="G1374" t="s">
        <v>17650</v>
      </c>
      <c r="H1374" t="s">
        <v>20280</v>
      </c>
      <c r="I1374" t="s">
        <v>1357</v>
      </c>
      <c r="J1374" t="s">
        <v>1357</v>
      </c>
      <c r="K1374" t="s">
        <v>1357</v>
      </c>
      <c r="L1374" t="s">
        <v>1357</v>
      </c>
    </row>
    <row r="1375" spans="6:12">
      <c r="H1375" t="s">
        <v>20233</v>
      </c>
      <c r="I1375" t="s">
        <v>1357</v>
      </c>
      <c r="J1375" t="s">
        <v>1357</v>
      </c>
      <c r="K1375" t="s">
        <v>1357</v>
      </c>
      <c r="L1375" t="s">
        <v>1357</v>
      </c>
    </row>
    <row r="1376" spans="6:12">
      <c r="H1376" t="s">
        <v>20284</v>
      </c>
      <c r="I1376" t="s">
        <v>1357</v>
      </c>
      <c r="J1376" t="s">
        <v>1357</v>
      </c>
      <c r="K1376" t="s">
        <v>1357</v>
      </c>
      <c r="L1376" t="s">
        <v>1357</v>
      </c>
    </row>
    <row r="1377" spans="6:12">
      <c r="H1377" t="s">
        <v>20285</v>
      </c>
      <c r="I1377" t="s">
        <v>1357</v>
      </c>
      <c r="J1377" t="s">
        <v>1357</v>
      </c>
      <c r="K1377" t="s">
        <v>1357</v>
      </c>
      <c r="L1377" t="s">
        <v>1357</v>
      </c>
    </row>
    <row r="1378" spans="6:12">
      <c r="H1378" t="s">
        <v>20286</v>
      </c>
      <c r="I1378" t="s">
        <v>1357</v>
      </c>
      <c r="J1378" t="s">
        <v>1357</v>
      </c>
      <c r="K1378" t="s">
        <v>1357</v>
      </c>
      <c r="L1378" t="s">
        <v>1357</v>
      </c>
    </row>
    <row r="1379" spans="6:12">
      <c r="F1379" t="s">
        <v>14807</v>
      </c>
      <c r="G1379" t="s">
        <v>17651</v>
      </c>
      <c r="H1379" t="s">
        <v>20280</v>
      </c>
      <c r="I1379" t="s">
        <v>1357</v>
      </c>
      <c r="J1379" t="s">
        <v>1357</v>
      </c>
      <c r="K1379" t="s">
        <v>1357</v>
      </c>
      <c r="L1379" t="s">
        <v>1357</v>
      </c>
    </row>
    <row r="1380" spans="6:12">
      <c r="H1380" t="s">
        <v>20233</v>
      </c>
      <c r="I1380" t="s">
        <v>1357</v>
      </c>
      <c r="J1380" t="s">
        <v>1357</v>
      </c>
      <c r="K1380" t="s">
        <v>1357</v>
      </c>
      <c r="L1380" t="s">
        <v>1357</v>
      </c>
    </row>
    <row r="1381" spans="6:12">
      <c r="H1381" t="s">
        <v>20284</v>
      </c>
      <c r="I1381" t="s">
        <v>1357</v>
      </c>
      <c r="J1381" t="s">
        <v>1357</v>
      </c>
      <c r="K1381" t="s">
        <v>1357</v>
      </c>
      <c r="L1381" t="s">
        <v>1357</v>
      </c>
    </row>
    <row r="1382" spans="6:12">
      <c r="H1382" t="s">
        <v>20285</v>
      </c>
      <c r="I1382" t="s">
        <v>1357</v>
      </c>
      <c r="J1382" t="s">
        <v>1357</v>
      </c>
      <c r="K1382" t="s">
        <v>1357</v>
      </c>
      <c r="L1382" t="s">
        <v>1357</v>
      </c>
    </row>
    <row r="1383" spans="6:12">
      <c r="H1383" t="s">
        <v>20286</v>
      </c>
      <c r="I1383" t="s">
        <v>1357</v>
      </c>
      <c r="J1383" t="s">
        <v>1357</v>
      </c>
      <c r="K1383" t="s">
        <v>1357</v>
      </c>
      <c r="L1383" t="s">
        <v>1357</v>
      </c>
    </row>
    <row r="1384" spans="6:12">
      <c r="F1384" t="s">
        <v>14808</v>
      </c>
      <c r="G1384" t="s">
        <v>17652</v>
      </c>
      <c r="H1384" t="s">
        <v>20280</v>
      </c>
      <c r="I1384" t="s">
        <v>1357</v>
      </c>
      <c r="J1384" t="s">
        <v>1357</v>
      </c>
      <c r="K1384" t="s">
        <v>1357</v>
      </c>
      <c r="L1384" t="s">
        <v>1357</v>
      </c>
    </row>
    <row r="1385" spans="6:12">
      <c r="H1385" t="s">
        <v>20233</v>
      </c>
      <c r="I1385" t="s">
        <v>1357</v>
      </c>
      <c r="J1385" t="s">
        <v>1357</v>
      </c>
      <c r="K1385" t="s">
        <v>1357</v>
      </c>
      <c r="L1385" t="s">
        <v>1357</v>
      </c>
    </row>
    <row r="1386" spans="6:12">
      <c r="H1386" t="s">
        <v>20284</v>
      </c>
      <c r="I1386" t="s">
        <v>1357</v>
      </c>
      <c r="J1386" t="s">
        <v>1357</v>
      </c>
      <c r="K1386" t="s">
        <v>1357</v>
      </c>
      <c r="L1386" t="s">
        <v>1357</v>
      </c>
    </row>
    <row r="1387" spans="6:12">
      <c r="H1387" t="s">
        <v>20285</v>
      </c>
      <c r="I1387" t="s">
        <v>1357</v>
      </c>
      <c r="J1387" t="s">
        <v>1357</v>
      </c>
      <c r="K1387" t="s">
        <v>1357</v>
      </c>
      <c r="L1387" t="s">
        <v>1357</v>
      </c>
    </row>
    <row r="1388" spans="6:12">
      <c r="H1388" t="s">
        <v>20286</v>
      </c>
      <c r="I1388" t="s">
        <v>1357</v>
      </c>
      <c r="J1388" t="s">
        <v>1357</v>
      </c>
      <c r="K1388" t="s">
        <v>1357</v>
      </c>
      <c r="L1388" t="s">
        <v>1357</v>
      </c>
    </row>
    <row r="1389" spans="6:12">
      <c r="F1389" t="s">
        <v>14809</v>
      </c>
      <c r="G1389" t="s">
        <v>17653</v>
      </c>
      <c r="H1389" t="s">
        <v>20280</v>
      </c>
      <c r="I1389" t="s">
        <v>1357</v>
      </c>
      <c r="J1389" t="s">
        <v>1357</v>
      </c>
      <c r="K1389" t="s">
        <v>1357</v>
      </c>
      <c r="L1389" t="s">
        <v>1357</v>
      </c>
    </row>
    <row r="1390" spans="6:12">
      <c r="H1390" t="s">
        <v>20233</v>
      </c>
      <c r="I1390" t="s">
        <v>1357</v>
      </c>
      <c r="J1390" t="s">
        <v>1357</v>
      </c>
      <c r="K1390" t="s">
        <v>1357</v>
      </c>
      <c r="L1390" t="s">
        <v>1357</v>
      </c>
    </row>
    <row r="1391" spans="6:12">
      <c r="H1391" t="s">
        <v>20284</v>
      </c>
      <c r="I1391" t="s">
        <v>1357</v>
      </c>
      <c r="J1391" t="s">
        <v>1357</v>
      </c>
      <c r="K1391" t="s">
        <v>1357</v>
      </c>
      <c r="L1391" t="s">
        <v>1357</v>
      </c>
    </row>
    <row r="1392" spans="6:12">
      <c r="H1392" t="s">
        <v>20285</v>
      </c>
      <c r="I1392" t="s">
        <v>1357</v>
      </c>
      <c r="J1392" t="s">
        <v>1357</v>
      </c>
      <c r="K1392" t="s">
        <v>1357</v>
      </c>
      <c r="L1392" t="s">
        <v>1357</v>
      </c>
    </row>
    <row r="1393" spans="6:12">
      <c r="H1393" t="s">
        <v>20286</v>
      </c>
      <c r="I1393" t="s">
        <v>1357</v>
      </c>
      <c r="J1393" t="s">
        <v>1357</v>
      </c>
      <c r="K1393" t="s">
        <v>1357</v>
      </c>
      <c r="L1393" t="s">
        <v>1357</v>
      </c>
    </row>
    <row r="1394" spans="6:12">
      <c r="F1394" t="s">
        <v>14810</v>
      </c>
      <c r="G1394" t="s">
        <v>17654</v>
      </c>
      <c r="H1394" t="s">
        <v>20280</v>
      </c>
      <c r="I1394" t="s">
        <v>1357</v>
      </c>
      <c r="J1394" t="s">
        <v>1357</v>
      </c>
      <c r="K1394" t="s">
        <v>1357</v>
      </c>
      <c r="L1394" t="s">
        <v>1357</v>
      </c>
    </row>
    <row r="1395" spans="6:12">
      <c r="H1395" t="s">
        <v>20233</v>
      </c>
      <c r="I1395" t="s">
        <v>1357</v>
      </c>
      <c r="J1395" t="s">
        <v>1357</v>
      </c>
      <c r="K1395" t="s">
        <v>1357</v>
      </c>
      <c r="L1395" t="s">
        <v>1357</v>
      </c>
    </row>
    <row r="1396" spans="6:12">
      <c r="H1396" t="s">
        <v>20230</v>
      </c>
      <c r="I1396" t="s">
        <v>1357</v>
      </c>
      <c r="J1396" t="s">
        <v>1357</v>
      </c>
      <c r="K1396" t="s">
        <v>1357</v>
      </c>
      <c r="L1396" t="s">
        <v>1357</v>
      </c>
    </row>
    <row r="1397" spans="6:12">
      <c r="H1397" t="s">
        <v>20296</v>
      </c>
      <c r="I1397" t="s">
        <v>1357</v>
      </c>
      <c r="J1397" t="s">
        <v>1357</v>
      </c>
      <c r="K1397" t="s">
        <v>1357</v>
      </c>
      <c r="L1397" t="s">
        <v>1357</v>
      </c>
    </row>
    <row r="1398" spans="6:12">
      <c r="H1398" t="s">
        <v>20297</v>
      </c>
      <c r="I1398" t="s">
        <v>1357</v>
      </c>
      <c r="J1398" t="s">
        <v>1357</v>
      </c>
      <c r="K1398" t="s">
        <v>1357</v>
      </c>
      <c r="L1398" t="s">
        <v>1357</v>
      </c>
    </row>
    <row r="1399" spans="6:12">
      <c r="H1399" t="s">
        <v>20234</v>
      </c>
      <c r="I1399" t="s">
        <v>1357</v>
      </c>
      <c r="J1399" t="s">
        <v>1357</v>
      </c>
      <c r="K1399" t="s">
        <v>1357</v>
      </c>
      <c r="L1399" t="s">
        <v>1357</v>
      </c>
    </row>
    <row r="1400" spans="6:12">
      <c r="H1400" t="s">
        <v>20235</v>
      </c>
      <c r="I1400" t="s">
        <v>1357</v>
      </c>
      <c r="J1400" t="s">
        <v>1357</v>
      </c>
      <c r="K1400" t="s">
        <v>1357</v>
      </c>
      <c r="L1400" t="s">
        <v>1357</v>
      </c>
    </row>
    <row r="1401" spans="6:12">
      <c r="H1401" t="s">
        <v>20298</v>
      </c>
      <c r="I1401" t="s">
        <v>1357</v>
      </c>
      <c r="J1401" t="s">
        <v>1357</v>
      </c>
      <c r="K1401" t="s">
        <v>1357</v>
      </c>
      <c r="L1401" t="s">
        <v>1357</v>
      </c>
    </row>
    <row r="1402" spans="6:12">
      <c r="H1402" t="s">
        <v>20299</v>
      </c>
      <c r="I1402" t="s">
        <v>1357</v>
      </c>
      <c r="J1402" t="s">
        <v>1357</v>
      </c>
      <c r="K1402" t="s">
        <v>1357</v>
      </c>
      <c r="L1402" t="s">
        <v>1357</v>
      </c>
    </row>
    <row r="1403" spans="6:12">
      <c r="H1403" t="s">
        <v>20300</v>
      </c>
      <c r="I1403" t="s">
        <v>1357</v>
      </c>
      <c r="J1403" t="s">
        <v>1357</v>
      </c>
      <c r="K1403" t="s">
        <v>1357</v>
      </c>
      <c r="L1403" t="s">
        <v>1357</v>
      </c>
    </row>
    <row r="1404" spans="6:12">
      <c r="H1404" t="s">
        <v>20301</v>
      </c>
      <c r="I1404" t="s">
        <v>1357</v>
      </c>
      <c r="J1404" t="s">
        <v>1357</v>
      </c>
      <c r="K1404" t="s">
        <v>1357</v>
      </c>
      <c r="L1404" t="s">
        <v>1357</v>
      </c>
    </row>
    <row r="1405" spans="6:12">
      <c r="H1405" t="s">
        <v>20302</v>
      </c>
      <c r="I1405" t="s">
        <v>1357</v>
      </c>
      <c r="J1405" t="s">
        <v>1357</v>
      </c>
      <c r="K1405" t="s">
        <v>1357</v>
      </c>
      <c r="L1405" t="s">
        <v>1357</v>
      </c>
    </row>
    <row r="1406" spans="6:12">
      <c r="H1406" t="s">
        <v>20303</v>
      </c>
      <c r="I1406" t="s">
        <v>1357</v>
      </c>
      <c r="J1406" t="s">
        <v>1357</v>
      </c>
      <c r="K1406" t="s">
        <v>1357</v>
      </c>
      <c r="L1406" t="s">
        <v>1357</v>
      </c>
    </row>
    <row r="1407" spans="6:12">
      <c r="H1407" t="s">
        <v>20304</v>
      </c>
      <c r="I1407" t="s">
        <v>1357</v>
      </c>
      <c r="J1407" t="s">
        <v>1357</v>
      </c>
      <c r="K1407" t="s">
        <v>1357</v>
      </c>
      <c r="L1407" t="s">
        <v>1357</v>
      </c>
    </row>
    <row r="1408" spans="6:12">
      <c r="H1408" t="s">
        <v>20284</v>
      </c>
      <c r="I1408" t="s">
        <v>1357</v>
      </c>
      <c r="J1408" t="s">
        <v>1357</v>
      </c>
      <c r="K1408" t="s">
        <v>1357</v>
      </c>
      <c r="L1408" t="s">
        <v>1357</v>
      </c>
    </row>
    <row r="1409" spans="6:12">
      <c r="H1409" t="s">
        <v>20285</v>
      </c>
      <c r="I1409" t="s">
        <v>1357</v>
      </c>
      <c r="J1409" t="s">
        <v>1357</v>
      </c>
      <c r="K1409" t="s">
        <v>1357</v>
      </c>
      <c r="L1409" t="s">
        <v>1357</v>
      </c>
    </row>
    <row r="1410" spans="6:12">
      <c r="H1410" t="s">
        <v>20286</v>
      </c>
      <c r="I1410" t="s">
        <v>1357</v>
      </c>
      <c r="J1410" t="s">
        <v>1357</v>
      </c>
      <c r="K1410" t="s">
        <v>1357</v>
      </c>
      <c r="L1410" t="s">
        <v>1357</v>
      </c>
    </row>
    <row r="1411" spans="6:12">
      <c r="H1411" t="s">
        <v>20287</v>
      </c>
      <c r="I1411" t="s">
        <v>1357</v>
      </c>
      <c r="J1411" t="s">
        <v>1357</v>
      </c>
      <c r="K1411" t="s">
        <v>1357</v>
      </c>
      <c r="L1411" t="s">
        <v>1357</v>
      </c>
    </row>
    <row r="1412" spans="6:12">
      <c r="F1412" t="s">
        <v>14811</v>
      </c>
      <c r="G1412" t="s">
        <v>17655</v>
      </c>
      <c r="H1412" t="s">
        <v>20280</v>
      </c>
      <c r="I1412" t="s">
        <v>1357</v>
      </c>
      <c r="J1412" t="s">
        <v>1357</v>
      </c>
      <c r="K1412" t="s">
        <v>1357</v>
      </c>
      <c r="L1412" t="s">
        <v>1357</v>
      </c>
    </row>
    <row r="1413" spans="6:12">
      <c r="H1413" t="s">
        <v>20233</v>
      </c>
      <c r="I1413" t="s">
        <v>1357</v>
      </c>
      <c r="J1413" t="s">
        <v>1357</v>
      </c>
      <c r="K1413" t="s">
        <v>1357</v>
      </c>
      <c r="L1413" t="s">
        <v>1357</v>
      </c>
    </row>
    <row r="1414" spans="6:12">
      <c r="H1414" t="s">
        <v>20230</v>
      </c>
      <c r="I1414" t="s">
        <v>1357</v>
      </c>
      <c r="J1414" t="s">
        <v>1357</v>
      </c>
      <c r="K1414" t="s">
        <v>1357</v>
      </c>
      <c r="L1414" t="s">
        <v>1357</v>
      </c>
    </row>
    <row r="1415" spans="6:12">
      <c r="H1415" t="s">
        <v>20227</v>
      </c>
      <c r="I1415" t="s">
        <v>1357</v>
      </c>
      <c r="J1415" t="s">
        <v>1357</v>
      </c>
      <c r="K1415" t="s">
        <v>1357</v>
      </c>
      <c r="L1415" t="s">
        <v>1357</v>
      </c>
    </row>
    <row r="1416" spans="6:12">
      <c r="H1416" t="s">
        <v>20281</v>
      </c>
      <c r="I1416" t="s">
        <v>1357</v>
      </c>
      <c r="J1416" t="s">
        <v>1357</v>
      </c>
      <c r="K1416" t="s">
        <v>1357</v>
      </c>
      <c r="L1416" t="s">
        <v>1357</v>
      </c>
    </row>
    <row r="1417" spans="6:12">
      <c r="H1417" t="s">
        <v>20282</v>
      </c>
      <c r="I1417" t="s">
        <v>1357</v>
      </c>
      <c r="J1417" t="s">
        <v>1357</v>
      </c>
      <c r="K1417" t="s">
        <v>1357</v>
      </c>
      <c r="L1417" t="s">
        <v>1357</v>
      </c>
    </row>
    <row r="1418" spans="6:12">
      <c r="H1418" t="s">
        <v>20283</v>
      </c>
      <c r="I1418" t="s">
        <v>1357</v>
      </c>
      <c r="J1418" t="s">
        <v>1357</v>
      </c>
      <c r="K1418" t="s">
        <v>1357</v>
      </c>
      <c r="L1418" t="s">
        <v>1357</v>
      </c>
    </row>
    <row r="1419" spans="6:12">
      <c r="H1419" t="s">
        <v>20292</v>
      </c>
      <c r="I1419" t="s">
        <v>1357</v>
      </c>
      <c r="J1419" t="s">
        <v>1357</v>
      </c>
      <c r="K1419" t="s">
        <v>1357</v>
      </c>
      <c r="L1419" t="s">
        <v>1357</v>
      </c>
    </row>
    <row r="1420" spans="6:12">
      <c r="H1420" t="s">
        <v>20305</v>
      </c>
      <c r="I1420" t="s">
        <v>1357</v>
      </c>
      <c r="J1420" t="s">
        <v>1357</v>
      </c>
      <c r="K1420" t="s">
        <v>1357</v>
      </c>
      <c r="L1420" t="s">
        <v>1357</v>
      </c>
    </row>
    <row r="1421" spans="6:12">
      <c r="H1421" t="s">
        <v>20306</v>
      </c>
      <c r="I1421" t="s">
        <v>1357</v>
      </c>
      <c r="J1421" t="s">
        <v>1357</v>
      </c>
      <c r="K1421" t="s">
        <v>1357</v>
      </c>
      <c r="L1421" t="s">
        <v>1357</v>
      </c>
    </row>
    <row r="1422" spans="6:12">
      <c r="H1422" t="s">
        <v>20307</v>
      </c>
      <c r="I1422" t="s">
        <v>1357</v>
      </c>
      <c r="J1422" t="s">
        <v>1357</v>
      </c>
      <c r="K1422" t="s">
        <v>1357</v>
      </c>
      <c r="L1422" t="s">
        <v>1357</v>
      </c>
    </row>
    <row r="1423" spans="6:12">
      <c r="H1423" t="s">
        <v>20308</v>
      </c>
      <c r="I1423" t="s">
        <v>1357</v>
      </c>
      <c r="J1423" t="s">
        <v>1357</v>
      </c>
      <c r="K1423" t="s">
        <v>1357</v>
      </c>
      <c r="L1423" t="s">
        <v>1357</v>
      </c>
    </row>
    <row r="1424" spans="6:12">
      <c r="H1424" t="s">
        <v>20008</v>
      </c>
      <c r="I1424" t="s">
        <v>1357</v>
      </c>
      <c r="J1424" t="s">
        <v>1357</v>
      </c>
      <c r="K1424" t="s">
        <v>1357</v>
      </c>
      <c r="L1424" t="s">
        <v>1357</v>
      </c>
    </row>
    <row r="1425" spans="6:12">
      <c r="H1425" t="s">
        <v>20284</v>
      </c>
      <c r="I1425" t="s">
        <v>1357</v>
      </c>
      <c r="J1425" t="s">
        <v>1357</v>
      </c>
      <c r="K1425" t="s">
        <v>1357</v>
      </c>
      <c r="L1425" t="s">
        <v>1357</v>
      </c>
    </row>
    <row r="1426" spans="6:12">
      <c r="H1426" t="s">
        <v>20285</v>
      </c>
      <c r="I1426" t="s">
        <v>1357</v>
      </c>
      <c r="J1426" t="s">
        <v>1357</v>
      </c>
      <c r="K1426" t="s">
        <v>1357</v>
      </c>
      <c r="L1426" t="s">
        <v>1357</v>
      </c>
    </row>
    <row r="1427" spans="6:12">
      <c r="H1427" t="s">
        <v>20286</v>
      </c>
      <c r="I1427" t="s">
        <v>1357</v>
      </c>
      <c r="J1427" t="s">
        <v>1357</v>
      </c>
      <c r="K1427" t="s">
        <v>1357</v>
      </c>
      <c r="L1427" t="s">
        <v>1357</v>
      </c>
    </row>
    <row r="1428" spans="6:12">
      <c r="H1428" t="s">
        <v>20287</v>
      </c>
      <c r="I1428" t="s">
        <v>1357</v>
      </c>
      <c r="J1428" t="s">
        <v>1357</v>
      </c>
      <c r="K1428" t="s">
        <v>1357</v>
      </c>
      <c r="L1428" t="s">
        <v>1357</v>
      </c>
    </row>
    <row r="1429" spans="6:12">
      <c r="F1429" t="s">
        <v>14812</v>
      </c>
      <c r="G1429" t="s">
        <v>17656</v>
      </c>
      <c r="H1429" t="s">
        <v>20280</v>
      </c>
      <c r="I1429" t="s">
        <v>1357</v>
      </c>
      <c r="J1429" t="s">
        <v>1357</v>
      </c>
      <c r="K1429" t="s">
        <v>1357</v>
      </c>
      <c r="L1429" t="s">
        <v>1357</v>
      </c>
    </row>
    <row r="1430" spans="6:12">
      <c r="H1430" t="s">
        <v>20233</v>
      </c>
      <c r="I1430" t="s">
        <v>1357</v>
      </c>
      <c r="J1430" t="s">
        <v>1357</v>
      </c>
      <c r="K1430" t="s">
        <v>1357</v>
      </c>
      <c r="L1430" t="s">
        <v>1357</v>
      </c>
    </row>
    <row r="1431" spans="6:12">
      <c r="H1431" t="s">
        <v>20230</v>
      </c>
      <c r="I1431" t="s">
        <v>1357</v>
      </c>
      <c r="J1431" t="s">
        <v>1357</v>
      </c>
      <c r="K1431" t="s">
        <v>1357</v>
      </c>
      <c r="L1431" t="s">
        <v>1357</v>
      </c>
    </row>
    <row r="1432" spans="6:12">
      <c r="H1432" t="s">
        <v>20281</v>
      </c>
      <c r="I1432" t="s">
        <v>1357</v>
      </c>
      <c r="J1432" t="s">
        <v>1357</v>
      </c>
      <c r="K1432" t="s">
        <v>1357</v>
      </c>
      <c r="L1432" t="s">
        <v>1357</v>
      </c>
    </row>
    <row r="1433" spans="6:12">
      <c r="H1433" t="s">
        <v>20282</v>
      </c>
      <c r="I1433" t="s">
        <v>1357</v>
      </c>
      <c r="J1433" t="s">
        <v>1357</v>
      </c>
      <c r="K1433" t="s">
        <v>1357</v>
      </c>
      <c r="L1433" t="s">
        <v>1357</v>
      </c>
    </row>
    <row r="1434" spans="6:12">
      <c r="H1434" t="s">
        <v>20283</v>
      </c>
      <c r="I1434" t="s">
        <v>1357</v>
      </c>
      <c r="J1434" t="s">
        <v>1357</v>
      </c>
      <c r="K1434" t="s">
        <v>1357</v>
      </c>
      <c r="L1434" t="s">
        <v>1357</v>
      </c>
    </row>
    <row r="1435" spans="6:12">
      <c r="H1435" t="s">
        <v>20292</v>
      </c>
      <c r="I1435" t="s">
        <v>1357</v>
      </c>
      <c r="J1435" t="s">
        <v>1357</v>
      </c>
      <c r="K1435" t="s">
        <v>1357</v>
      </c>
      <c r="L1435" t="s">
        <v>1357</v>
      </c>
    </row>
    <row r="1436" spans="6:12">
      <c r="H1436" t="s">
        <v>20305</v>
      </c>
      <c r="I1436" t="s">
        <v>1357</v>
      </c>
      <c r="J1436" t="s">
        <v>1357</v>
      </c>
      <c r="K1436" t="s">
        <v>1357</v>
      </c>
      <c r="L1436" t="s">
        <v>1357</v>
      </c>
    </row>
    <row r="1437" spans="6:12">
      <c r="H1437" t="s">
        <v>20306</v>
      </c>
      <c r="I1437" t="s">
        <v>1357</v>
      </c>
      <c r="J1437" t="s">
        <v>1357</v>
      </c>
      <c r="K1437" t="s">
        <v>1357</v>
      </c>
      <c r="L1437" t="s">
        <v>1357</v>
      </c>
    </row>
    <row r="1438" spans="6:12">
      <c r="H1438" t="s">
        <v>20307</v>
      </c>
      <c r="I1438" t="s">
        <v>1357</v>
      </c>
      <c r="J1438" t="s">
        <v>1357</v>
      </c>
      <c r="K1438" t="s">
        <v>1357</v>
      </c>
      <c r="L1438" t="s">
        <v>1357</v>
      </c>
    </row>
    <row r="1439" spans="6:12">
      <c r="H1439" t="s">
        <v>20284</v>
      </c>
      <c r="I1439" t="s">
        <v>1357</v>
      </c>
      <c r="J1439" t="s">
        <v>1357</v>
      </c>
      <c r="K1439" t="s">
        <v>1357</v>
      </c>
      <c r="L1439" t="s">
        <v>1357</v>
      </c>
    </row>
    <row r="1440" spans="6:12">
      <c r="H1440" t="s">
        <v>20285</v>
      </c>
      <c r="I1440" t="s">
        <v>1357</v>
      </c>
      <c r="J1440" t="s">
        <v>1357</v>
      </c>
      <c r="K1440" t="s">
        <v>1357</v>
      </c>
      <c r="L1440" t="s">
        <v>1357</v>
      </c>
    </row>
    <row r="1441" spans="6:12">
      <c r="H1441" t="s">
        <v>20286</v>
      </c>
      <c r="I1441" t="s">
        <v>1357</v>
      </c>
      <c r="J1441" t="s">
        <v>1357</v>
      </c>
      <c r="K1441" t="s">
        <v>1357</v>
      </c>
      <c r="L1441" t="s">
        <v>1357</v>
      </c>
    </row>
    <row r="1442" spans="6:12">
      <c r="F1442" t="s">
        <v>14813</v>
      </c>
      <c r="G1442" t="s">
        <v>17657</v>
      </c>
      <c r="H1442" t="s">
        <v>20280</v>
      </c>
      <c r="I1442" t="s">
        <v>1357</v>
      </c>
      <c r="J1442" t="s">
        <v>1357</v>
      </c>
      <c r="K1442" t="s">
        <v>1357</v>
      </c>
      <c r="L1442" t="s">
        <v>1357</v>
      </c>
    </row>
    <row r="1443" spans="6:12">
      <c r="H1443" t="s">
        <v>20233</v>
      </c>
      <c r="I1443" t="s">
        <v>1357</v>
      </c>
      <c r="J1443" t="s">
        <v>1357</v>
      </c>
      <c r="K1443" t="s">
        <v>1357</v>
      </c>
      <c r="L1443" t="s">
        <v>1357</v>
      </c>
    </row>
    <row r="1444" spans="6:12">
      <c r="H1444" t="s">
        <v>20230</v>
      </c>
      <c r="I1444" t="s">
        <v>1357</v>
      </c>
      <c r="J1444" t="s">
        <v>1357</v>
      </c>
      <c r="K1444" t="s">
        <v>1357</v>
      </c>
      <c r="L1444" t="s">
        <v>1357</v>
      </c>
    </row>
    <row r="1445" spans="6:12">
      <c r="H1445" t="s">
        <v>20284</v>
      </c>
      <c r="I1445" t="s">
        <v>1357</v>
      </c>
      <c r="J1445" t="s">
        <v>1357</v>
      </c>
      <c r="K1445" t="s">
        <v>1357</v>
      </c>
      <c r="L1445" t="s">
        <v>1357</v>
      </c>
    </row>
    <row r="1446" spans="6:12">
      <c r="H1446" t="s">
        <v>20285</v>
      </c>
      <c r="I1446" t="s">
        <v>1357</v>
      </c>
      <c r="J1446" t="s">
        <v>1357</v>
      </c>
      <c r="K1446" t="s">
        <v>1357</v>
      </c>
      <c r="L1446" t="s">
        <v>1357</v>
      </c>
    </row>
    <row r="1447" spans="6:12">
      <c r="H1447" t="s">
        <v>20286</v>
      </c>
      <c r="I1447" t="s">
        <v>1357</v>
      </c>
      <c r="J1447" t="s">
        <v>1357</v>
      </c>
      <c r="K1447" t="s">
        <v>1357</v>
      </c>
      <c r="L1447" t="s">
        <v>1357</v>
      </c>
    </row>
    <row r="1448" spans="6:12">
      <c r="F1448" t="s">
        <v>14814</v>
      </c>
      <c r="G1448" t="s">
        <v>17658</v>
      </c>
      <c r="H1448" t="s">
        <v>20280</v>
      </c>
      <c r="I1448" t="s">
        <v>1357</v>
      </c>
      <c r="J1448" t="s">
        <v>1357</v>
      </c>
      <c r="K1448" t="s">
        <v>1357</v>
      </c>
      <c r="L1448" t="s">
        <v>1357</v>
      </c>
    </row>
    <row r="1449" spans="6:12">
      <c r="H1449" t="s">
        <v>20233</v>
      </c>
      <c r="I1449" t="s">
        <v>1357</v>
      </c>
      <c r="J1449" t="s">
        <v>1357</v>
      </c>
      <c r="K1449" t="s">
        <v>1357</v>
      </c>
      <c r="L1449" t="s">
        <v>1357</v>
      </c>
    </row>
    <row r="1450" spans="6:12">
      <c r="H1450" t="s">
        <v>20230</v>
      </c>
      <c r="I1450" t="s">
        <v>1357</v>
      </c>
      <c r="J1450" t="s">
        <v>1357</v>
      </c>
      <c r="K1450" t="s">
        <v>1357</v>
      </c>
      <c r="L1450" t="s">
        <v>1357</v>
      </c>
    </row>
    <row r="1451" spans="6:12">
      <c r="H1451" t="s">
        <v>20227</v>
      </c>
      <c r="I1451" t="s">
        <v>1357</v>
      </c>
      <c r="J1451" t="s">
        <v>1357</v>
      </c>
      <c r="K1451" t="s">
        <v>1357</v>
      </c>
      <c r="L1451" t="s">
        <v>1357</v>
      </c>
    </row>
    <row r="1452" spans="6:12">
      <c r="H1452" t="s">
        <v>20228</v>
      </c>
      <c r="I1452" t="s">
        <v>1357</v>
      </c>
      <c r="J1452" t="s">
        <v>1357</v>
      </c>
      <c r="K1452" t="s">
        <v>1357</v>
      </c>
      <c r="L1452" t="s">
        <v>1357</v>
      </c>
    </row>
    <row r="1453" spans="6:12">
      <c r="H1453" t="s">
        <v>20232</v>
      </c>
      <c r="I1453" t="s">
        <v>1357</v>
      </c>
      <c r="J1453" t="s">
        <v>1357</v>
      </c>
      <c r="K1453" t="s">
        <v>1357</v>
      </c>
      <c r="L1453" t="s">
        <v>1357</v>
      </c>
    </row>
    <row r="1454" spans="6:12">
      <c r="H1454" t="s">
        <v>20296</v>
      </c>
      <c r="I1454" t="s">
        <v>1357</v>
      </c>
      <c r="J1454" t="s">
        <v>1357</v>
      </c>
      <c r="K1454" t="s">
        <v>1357</v>
      </c>
      <c r="L1454" t="s">
        <v>1357</v>
      </c>
    </row>
    <row r="1455" spans="6:12">
      <c r="H1455" t="s">
        <v>20297</v>
      </c>
      <c r="I1455" t="s">
        <v>1357</v>
      </c>
      <c r="J1455" t="s">
        <v>1357</v>
      </c>
      <c r="K1455" t="s">
        <v>1357</v>
      </c>
      <c r="L1455" t="s">
        <v>1357</v>
      </c>
    </row>
    <row r="1456" spans="6:12">
      <c r="H1456" t="s">
        <v>20234</v>
      </c>
      <c r="I1456" t="s">
        <v>1357</v>
      </c>
      <c r="J1456" t="s">
        <v>1357</v>
      </c>
      <c r="K1456" t="s">
        <v>1357</v>
      </c>
      <c r="L1456" t="s">
        <v>1357</v>
      </c>
    </row>
    <row r="1457" spans="6:12">
      <c r="H1457" t="s">
        <v>20235</v>
      </c>
      <c r="I1457" t="s">
        <v>1357</v>
      </c>
      <c r="J1457" t="s">
        <v>1357</v>
      </c>
      <c r="K1457" t="s">
        <v>1357</v>
      </c>
      <c r="L1457" t="s">
        <v>1357</v>
      </c>
    </row>
    <row r="1458" spans="6:12">
      <c r="H1458" t="s">
        <v>20298</v>
      </c>
      <c r="I1458" t="s">
        <v>1357</v>
      </c>
      <c r="J1458" t="s">
        <v>1357</v>
      </c>
      <c r="K1458" t="s">
        <v>1357</v>
      </c>
      <c r="L1458" t="s">
        <v>1357</v>
      </c>
    </row>
    <row r="1459" spans="6:12">
      <c r="H1459" t="s">
        <v>20299</v>
      </c>
      <c r="I1459" t="s">
        <v>1357</v>
      </c>
      <c r="J1459" t="s">
        <v>1357</v>
      </c>
      <c r="K1459" t="s">
        <v>1357</v>
      </c>
      <c r="L1459" t="s">
        <v>1357</v>
      </c>
    </row>
    <row r="1460" spans="6:12">
      <c r="H1460" t="s">
        <v>20300</v>
      </c>
      <c r="I1460" t="s">
        <v>1357</v>
      </c>
      <c r="J1460" t="s">
        <v>1357</v>
      </c>
      <c r="K1460" t="s">
        <v>1357</v>
      </c>
      <c r="L1460" t="s">
        <v>1357</v>
      </c>
    </row>
    <row r="1461" spans="6:12">
      <c r="H1461" t="s">
        <v>20284</v>
      </c>
      <c r="I1461" t="s">
        <v>1357</v>
      </c>
      <c r="J1461" t="s">
        <v>1357</v>
      </c>
      <c r="K1461" t="s">
        <v>1357</v>
      </c>
      <c r="L1461" t="s">
        <v>1357</v>
      </c>
    </row>
    <row r="1462" spans="6:12">
      <c r="H1462" t="s">
        <v>20285</v>
      </c>
      <c r="I1462" t="s">
        <v>1357</v>
      </c>
      <c r="J1462" t="s">
        <v>1357</v>
      </c>
      <c r="K1462" t="s">
        <v>1357</v>
      </c>
      <c r="L1462" t="s">
        <v>1357</v>
      </c>
    </row>
    <row r="1463" spans="6:12">
      <c r="H1463" t="s">
        <v>20286</v>
      </c>
      <c r="I1463" t="s">
        <v>1357</v>
      </c>
      <c r="J1463" t="s">
        <v>1357</v>
      </c>
      <c r="K1463" t="s">
        <v>1357</v>
      </c>
      <c r="L1463" t="s">
        <v>1357</v>
      </c>
    </row>
    <row r="1464" spans="6:12">
      <c r="H1464" t="s">
        <v>20287</v>
      </c>
      <c r="I1464" t="s">
        <v>1357</v>
      </c>
      <c r="J1464" t="s">
        <v>1357</v>
      </c>
      <c r="K1464" t="s">
        <v>1357</v>
      </c>
      <c r="L1464" t="s">
        <v>1357</v>
      </c>
    </row>
    <row r="1465" spans="6:12">
      <c r="F1465" t="s">
        <v>14815</v>
      </c>
      <c r="G1465" t="s">
        <v>17659</v>
      </c>
      <c r="H1465" t="s">
        <v>20280</v>
      </c>
      <c r="I1465" t="s">
        <v>1357</v>
      </c>
      <c r="J1465" t="s">
        <v>1357</v>
      </c>
      <c r="K1465" t="s">
        <v>1357</v>
      </c>
      <c r="L1465" t="s">
        <v>1357</v>
      </c>
    </row>
    <row r="1466" spans="6:12">
      <c r="H1466" t="s">
        <v>20233</v>
      </c>
      <c r="I1466" t="s">
        <v>1357</v>
      </c>
      <c r="J1466" t="s">
        <v>1357</v>
      </c>
      <c r="K1466" t="s">
        <v>1357</v>
      </c>
      <c r="L1466" t="s">
        <v>1357</v>
      </c>
    </row>
    <row r="1467" spans="6:12">
      <c r="H1467" t="s">
        <v>20230</v>
      </c>
      <c r="I1467" t="s">
        <v>1357</v>
      </c>
      <c r="J1467" t="s">
        <v>1357</v>
      </c>
      <c r="K1467" t="s">
        <v>1357</v>
      </c>
      <c r="L1467" t="s">
        <v>1357</v>
      </c>
    </row>
    <row r="1468" spans="6:12">
      <c r="H1468" t="s">
        <v>20227</v>
      </c>
      <c r="I1468" t="s">
        <v>1357</v>
      </c>
      <c r="J1468" t="s">
        <v>1357</v>
      </c>
      <c r="K1468" t="s">
        <v>1357</v>
      </c>
      <c r="L1468" t="s">
        <v>1357</v>
      </c>
    </row>
    <row r="1469" spans="6:12">
      <c r="H1469" t="s">
        <v>20296</v>
      </c>
      <c r="I1469" t="s">
        <v>1357</v>
      </c>
      <c r="J1469" t="s">
        <v>1357</v>
      </c>
      <c r="K1469" t="s">
        <v>1357</v>
      </c>
      <c r="L1469" t="s">
        <v>1357</v>
      </c>
    </row>
    <row r="1470" spans="6:12">
      <c r="H1470" t="s">
        <v>20297</v>
      </c>
      <c r="I1470" t="s">
        <v>1357</v>
      </c>
      <c r="J1470" t="s">
        <v>1357</v>
      </c>
      <c r="K1470" t="s">
        <v>1357</v>
      </c>
      <c r="L1470" t="s">
        <v>1357</v>
      </c>
    </row>
    <row r="1471" spans="6:12">
      <c r="H1471" t="s">
        <v>20234</v>
      </c>
      <c r="I1471" t="s">
        <v>1357</v>
      </c>
      <c r="J1471" t="s">
        <v>1357</v>
      </c>
      <c r="K1471" t="s">
        <v>1357</v>
      </c>
      <c r="L1471" t="s">
        <v>1357</v>
      </c>
    </row>
    <row r="1472" spans="6:12">
      <c r="H1472" t="s">
        <v>20235</v>
      </c>
      <c r="I1472" t="s">
        <v>1357</v>
      </c>
      <c r="J1472" t="s">
        <v>1357</v>
      </c>
      <c r="K1472" t="s">
        <v>1357</v>
      </c>
      <c r="L1472" t="s">
        <v>1357</v>
      </c>
    </row>
    <row r="1473" spans="6:12">
      <c r="H1473" t="s">
        <v>20284</v>
      </c>
      <c r="I1473" t="s">
        <v>1357</v>
      </c>
      <c r="J1473" t="s">
        <v>1357</v>
      </c>
      <c r="K1473" t="s">
        <v>1357</v>
      </c>
      <c r="L1473" t="s">
        <v>1357</v>
      </c>
    </row>
    <row r="1474" spans="6:12">
      <c r="H1474" t="s">
        <v>20285</v>
      </c>
      <c r="I1474" t="s">
        <v>1357</v>
      </c>
      <c r="J1474" t="s">
        <v>1357</v>
      </c>
      <c r="K1474" t="s">
        <v>1357</v>
      </c>
      <c r="L1474" t="s">
        <v>1357</v>
      </c>
    </row>
    <row r="1475" spans="6:12">
      <c r="H1475" t="s">
        <v>20286</v>
      </c>
      <c r="I1475" t="s">
        <v>1357</v>
      </c>
      <c r="J1475" t="s">
        <v>1357</v>
      </c>
      <c r="K1475" t="s">
        <v>1357</v>
      </c>
      <c r="L1475" t="s">
        <v>1357</v>
      </c>
    </row>
    <row r="1476" spans="6:12">
      <c r="H1476" t="s">
        <v>20287</v>
      </c>
      <c r="I1476" t="s">
        <v>1357</v>
      </c>
      <c r="J1476" t="s">
        <v>1357</v>
      </c>
      <c r="K1476" t="s">
        <v>1357</v>
      </c>
      <c r="L1476" t="s">
        <v>1357</v>
      </c>
    </row>
    <row r="1477" spans="6:12">
      <c r="F1477" t="s">
        <v>14816</v>
      </c>
      <c r="G1477" t="s">
        <v>17660</v>
      </c>
      <c r="H1477" t="s">
        <v>20280</v>
      </c>
      <c r="I1477" t="s">
        <v>1357</v>
      </c>
      <c r="J1477" t="s">
        <v>1357</v>
      </c>
      <c r="K1477" t="s">
        <v>1357</v>
      </c>
      <c r="L1477" t="s">
        <v>1357</v>
      </c>
    </row>
    <row r="1478" spans="6:12">
      <c r="H1478" t="s">
        <v>20233</v>
      </c>
      <c r="I1478" t="s">
        <v>1357</v>
      </c>
      <c r="J1478" t="s">
        <v>1357</v>
      </c>
      <c r="K1478" t="s">
        <v>1357</v>
      </c>
      <c r="L1478" t="s">
        <v>1357</v>
      </c>
    </row>
    <row r="1479" spans="6:12">
      <c r="H1479" t="s">
        <v>20230</v>
      </c>
      <c r="I1479" t="s">
        <v>1357</v>
      </c>
      <c r="J1479" t="s">
        <v>1357</v>
      </c>
      <c r="K1479" t="s">
        <v>1357</v>
      </c>
      <c r="L1479" t="s">
        <v>1357</v>
      </c>
    </row>
    <row r="1480" spans="6:12">
      <c r="H1480" t="s">
        <v>20296</v>
      </c>
      <c r="I1480" t="s">
        <v>1357</v>
      </c>
      <c r="J1480" t="s">
        <v>1357</v>
      </c>
      <c r="K1480" t="s">
        <v>1357</v>
      </c>
      <c r="L1480" t="s">
        <v>1357</v>
      </c>
    </row>
    <row r="1481" spans="6:12">
      <c r="H1481" t="s">
        <v>20297</v>
      </c>
      <c r="I1481" t="s">
        <v>1357</v>
      </c>
      <c r="J1481" t="s">
        <v>1357</v>
      </c>
      <c r="K1481" t="s">
        <v>1357</v>
      </c>
      <c r="L1481" t="s">
        <v>1357</v>
      </c>
    </row>
    <row r="1482" spans="6:12">
      <c r="H1482" t="s">
        <v>20234</v>
      </c>
      <c r="I1482" t="s">
        <v>1357</v>
      </c>
      <c r="J1482" t="s">
        <v>1357</v>
      </c>
      <c r="K1482" t="s">
        <v>1357</v>
      </c>
      <c r="L1482" t="s">
        <v>1357</v>
      </c>
    </row>
    <row r="1483" spans="6:12">
      <c r="H1483" t="s">
        <v>20284</v>
      </c>
      <c r="I1483" t="s">
        <v>1357</v>
      </c>
      <c r="J1483" t="s">
        <v>1357</v>
      </c>
      <c r="K1483" t="s">
        <v>1357</v>
      </c>
      <c r="L1483" t="s">
        <v>1357</v>
      </c>
    </row>
    <row r="1484" spans="6:12">
      <c r="H1484" t="s">
        <v>20285</v>
      </c>
      <c r="I1484" t="s">
        <v>1357</v>
      </c>
      <c r="J1484" t="s">
        <v>1357</v>
      </c>
      <c r="K1484" t="s">
        <v>1357</v>
      </c>
      <c r="L1484" t="s">
        <v>1357</v>
      </c>
    </row>
    <row r="1485" spans="6:12">
      <c r="H1485" t="s">
        <v>20286</v>
      </c>
      <c r="I1485" t="s">
        <v>1357</v>
      </c>
      <c r="J1485" t="s">
        <v>1357</v>
      </c>
      <c r="K1485" t="s">
        <v>1357</v>
      </c>
      <c r="L1485" t="s">
        <v>1357</v>
      </c>
    </row>
    <row r="1486" spans="6:12">
      <c r="H1486" t="s">
        <v>20287</v>
      </c>
      <c r="I1486" t="s">
        <v>1357</v>
      </c>
      <c r="J1486" t="s">
        <v>1357</v>
      </c>
      <c r="K1486" t="s">
        <v>1357</v>
      </c>
      <c r="L1486" t="s">
        <v>1357</v>
      </c>
    </row>
    <row r="1487" spans="6:12">
      <c r="H1487" t="s">
        <v>20288</v>
      </c>
      <c r="I1487" t="s">
        <v>1357</v>
      </c>
      <c r="J1487" t="s">
        <v>1357</v>
      </c>
      <c r="K1487" t="s">
        <v>1357</v>
      </c>
      <c r="L1487" t="s">
        <v>1357</v>
      </c>
    </row>
    <row r="1488" spans="6:12">
      <c r="F1488" t="s">
        <v>14817</v>
      </c>
      <c r="G1488" t="s">
        <v>17661</v>
      </c>
      <c r="H1488" t="s">
        <v>20280</v>
      </c>
      <c r="I1488" t="s">
        <v>1357</v>
      </c>
      <c r="J1488" t="s">
        <v>1357</v>
      </c>
      <c r="K1488" t="s">
        <v>1357</v>
      </c>
      <c r="L1488" t="s">
        <v>1357</v>
      </c>
    </row>
    <row r="1489" spans="6:12">
      <c r="H1489" t="s">
        <v>20233</v>
      </c>
      <c r="I1489" t="s">
        <v>1357</v>
      </c>
      <c r="J1489" t="s">
        <v>1357</v>
      </c>
      <c r="K1489" t="s">
        <v>1357</v>
      </c>
      <c r="L1489" t="s">
        <v>1357</v>
      </c>
    </row>
    <row r="1490" spans="6:12">
      <c r="H1490" t="s">
        <v>20230</v>
      </c>
      <c r="I1490" t="s">
        <v>1357</v>
      </c>
      <c r="J1490" t="s">
        <v>1357</v>
      </c>
      <c r="K1490" t="s">
        <v>1357</v>
      </c>
      <c r="L1490" t="s">
        <v>1357</v>
      </c>
    </row>
    <row r="1491" spans="6:12">
      <c r="H1491" t="s">
        <v>20227</v>
      </c>
      <c r="I1491" t="s">
        <v>1357</v>
      </c>
      <c r="J1491" t="s">
        <v>1357</v>
      </c>
      <c r="K1491" t="s">
        <v>1357</v>
      </c>
      <c r="L1491" t="s">
        <v>1357</v>
      </c>
    </row>
    <row r="1492" spans="6:12">
      <c r="H1492" t="s">
        <v>20296</v>
      </c>
      <c r="I1492" t="s">
        <v>1357</v>
      </c>
      <c r="J1492" t="s">
        <v>1357</v>
      </c>
      <c r="K1492" t="s">
        <v>1357</v>
      </c>
      <c r="L1492" t="s">
        <v>1357</v>
      </c>
    </row>
    <row r="1493" spans="6:12">
      <c r="H1493" t="s">
        <v>20297</v>
      </c>
      <c r="I1493" t="s">
        <v>1357</v>
      </c>
      <c r="J1493" t="s">
        <v>1357</v>
      </c>
      <c r="K1493" t="s">
        <v>1357</v>
      </c>
      <c r="L1493" t="s">
        <v>1357</v>
      </c>
    </row>
    <row r="1494" spans="6:12">
      <c r="H1494" t="s">
        <v>20234</v>
      </c>
      <c r="I1494" t="s">
        <v>1357</v>
      </c>
      <c r="J1494" t="s">
        <v>1357</v>
      </c>
      <c r="K1494" t="s">
        <v>1357</v>
      </c>
      <c r="L1494" t="s">
        <v>1357</v>
      </c>
    </row>
    <row r="1495" spans="6:12">
      <c r="H1495" t="s">
        <v>20284</v>
      </c>
      <c r="I1495" t="s">
        <v>1357</v>
      </c>
      <c r="J1495" t="s">
        <v>1357</v>
      </c>
      <c r="K1495" t="s">
        <v>1357</v>
      </c>
      <c r="L1495" t="s">
        <v>1357</v>
      </c>
    </row>
    <row r="1496" spans="6:12">
      <c r="H1496" t="s">
        <v>20285</v>
      </c>
      <c r="I1496" t="s">
        <v>1357</v>
      </c>
      <c r="J1496" t="s">
        <v>1357</v>
      </c>
      <c r="K1496" t="s">
        <v>1357</v>
      </c>
      <c r="L1496" t="s">
        <v>1357</v>
      </c>
    </row>
    <row r="1497" spans="6:12">
      <c r="H1497" t="s">
        <v>20286</v>
      </c>
      <c r="I1497" t="s">
        <v>1357</v>
      </c>
      <c r="J1497" t="s">
        <v>1357</v>
      </c>
      <c r="K1497" t="s">
        <v>1357</v>
      </c>
      <c r="L1497" t="s">
        <v>1357</v>
      </c>
    </row>
    <row r="1498" spans="6:12">
      <c r="H1498" t="s">
        <v>20287</v>
      </c>
      <c r="I1498" t="s">
        <v>1357</v>
      </c>
      <c r="J1498" t="s">
        <v>1357</v>
      </c>
      <c r="K1498" t="s">
        <v>1357</v>
      </c>
      <c r="L1498" t="s">
        <v>1357</v>
      </c>
    </row>
    <row r="1499" spans="6:12">
      <c r="F1499" t="s">
        <v>14818</v>
      </c>
      <c r="G1499" t="s">
        <v>17662</v>
      </c>
      <c r="H1499" t="s">
        <v>20280</v>
      </c>
      <c r="I1499" t="s">
        <v>1357</v>
      </c>
      <c r="J1499" t="s">
        <v>1357</v>
      </c>
      <c r="K1499" t="s">
        <v>1357</v>
      </c>
      <c r="L1499" t="s">
        <v>1357</v>
      </c>
    </row>
    <row r="1500" spans="6:12">
      <c r="H1500" t="s">
        <v>20233</v>
      </c>
      <c r="I1500" t="s">
        <v>1357</v>
      </c>
      <c r="J1500" t="s">
        <v>1357</v>
      </c>
      <c r="K1500" t="s">
        <v>1357</v>
      </c>
      <c r="L1500" t="s">
        <v>1357</v>
      </c>
    </row>
    <row r="1501" spans="6:12">
      <c r="H1501" t="s">
        <v>20230</v>
      </c>
      <c r="I1501" t="s">
        <v>1357</v>
      </c>
      <c r="J1501" t="s">
        <v>1357</v>
      </c>
      <c r="K1501" t="s">
        <v>1357</v>
      </c>
      <c r="L1501" t="s">
        <v>1357</v>
      </c>
    </row>
    <row r="1502" spans="6:12">
      <c r="H1502" t="s">
        <v>20296</v>
      </c>
      <c r="I1502" t="s">
        <v>1357</v>
      </c>
      <c r="J1502" t="s">
        <v>1357</v>
      </c>
      <c r="K1502" t="s">
        <v>1357</v>
      </c>
      <c r="L1502" t="s">
        <v>1357</v>
      </c>
    </row>
    <row r="1503" spans="6:12">
      <c r="H1503" t="s">
        <v>20297</v>
      </c>
      <c r="I1503" t="s">
        <v>1357</v>
      </c>
      <c r="J1503" t="s">
        <v>1357</v>
      </c>
      <c r="K1503" t="s">
        <v>1357</v>
      </c>
      <c r="L1503" t="s">
        <v>1357</v>
      </c>
    </row>
    <row r="1504" spans="6:12">
      <c r="H1504" t="s">
        <v>20234</v>
      </c>
      <c r="I1504" t="s">
        <v>1357</v>
      </c>
      <c r="J1504" t="s">
        <v>1357</v>
      </c>
      <c r="K1504" t="s">
        <v>1357</v>
      </c>
      <c r="L1504" t="s">
        <v>1357</v>
      </c>
    </row>
    <row r="1505" spans="6:12">
      <c r="H1505" t="s">
        <v>20284</v>
      </c>
      <c r="I1505" t="s">
        <v>1357</v>
      </c>
      <c r="J1505" t="s">
        <v>1357</v>
      </c>
      <c r="K1505" t="s">
        <v>1357</v>
      </c>
      <c r="L1505" t="s">
        <v>1357</v>
      </c>
    </row>
    <row r="1506" spans="6:12">
      <c r="H1506" t="s">
        <v>20285</v>
      </c>
      <c r="I1506" t="s">
        <v>1357</v>
      </c>
      <c r="J1506" t="s">
        <v>1357</v>
      </c>
      <c r="K1506" t="s">
        <v>1357</v>
      </c>
      <c r="L1506" t="s">
        <v>1357</v>
      </c>
    </row>
    <row r="1507" spans="6:12">
      <c r="H1507" t="s">
        <v>20286</v>
      </c>
      <c r="I1507" t="s">
        <v>1357</v>
      </c>
      <c r="J1507" t="s">
        <v>1357</v>
      </c>
      <c r="K1507" t="s">
        <v>1357</v>
      </c>
      <c r="L1507" t="s">
        <v>1357</v>
      </c>
    </row>
    <row r="1508" spans="6:12">
      <c r="H1508" t="s">
        <v>20287</v>
      </c>
      <c r="I1508" t="s">
        <v>1357</v>
      </c>
      <c r="J1508" t="s">
        <v>1357</v>
      </c>
      <c r="K1508" t="s">
        <v>1357</v>
      </c>
      <c r="L1508" t="s">
        <v>1357</v>
      </c>
    </row>
    <row r="1509" spans="6:12">
      <c r="H1509" t="s">
        <v>20288</v>
      </c>
      <c r="I1509" t="s">
        <v>1357</v>
      </c>
      <c r="J1509" t="s">
        <v>1357</v>
      </c>
      <c r="K1509" t="s">
        <v>1357</v>
      </c>
      <c r="L1509" t="s">
        <v>1357</v>
      </c>
    </row>
    <row r="1510" spans="6:12">
      <c r="F1510" t="s">
        <v>14819</v>
      </c>
      <c r="G1510" t="s">
        <v>17663</v>
      </c>
      <c r="H1510" t="s">
        <v>20280</v>
      </c>
      <c r="I1510" t="s">
        <v>1357</v>
      </c>
      <c r="J1510" t="s">
        <v>1357</v>
      </c>
      <c r="K1510" t="s">
        <v>1357</v>
      </c>
      <c r="L1510" t="s">
        <v>1357</v>
      </c>
    </row>
    <row r="1511" spans="6:12">
      <c r="H1511" t="s">
        <v>20233</v>
      </c>
      <c r="I1511" t="s">
        <v>1357</v>
      </c>
      <c r="J1511" t="s">
        <v>1357</v>
      </c>
      <c r="K1511" t="s">
        <v>1357</v>
      </c>
      <c r="L1511" t="s">
        <v>1357</v>
      </c>
    </row>
    <row r="1512" spans="6:12">
      <c r="H1512" t="s">
        <v>20230</v>
      </c>
      <c r="I1512" t="s">
        <v>1357</v>
      </c>
      <c r="J1512" t="s">
        <v>1357</v>
      </c>
      <c r="K1512" t="s">
        <v>1357</v>
      </c>
      <c r="L1512" t="s">
        <v>1357</v>
      </c>
    </row>
    <row r="1513" spans="6:12">
      <c r="H1513" t="s">
        <v>20227</v>
      </c>
      <c r="I1513" t="s">
        <v>1357</v>
      </c>
      <c r="J1513" t="s">
        <v>1357</v>
      </c>
      <c r="K1513" t="s">
        <v>1357</v>
      </c>
      <c r="L1513" t="s">
        <v>1357</v>
      </c>
    </row>
    <row r="1514" spans="6:12">
      <c r="H1514" t="s">
        <v>20228</v>
      </c>
      <c r="I1514" t="s">
        <v>1357</v>
      </c>
      <c r="J1514" t="s">
        <v>1357</v>
      </c>
      <c r="K1514" t="s">
        <v>1357</v>
      </c>
      <c r="L1514" t="s">
        <v>1357</v>
      </c>
    </row>
    <row r="1515" spans="6:12">
      <c r="H1515" t="s">
        <v>20232</v>
      </c>
      <c r="I1515" t="s">
        <v>1357</v>
      </c>
      <c r="J1515" t="s">
        <v>1357</v>
      </c>
      <c r="K1515" t="s">
        <v>1357</v>
      </c>
      <c r="L1515" t="s">
        <v>1357</v>
      </c>
    </row>
    <row r="1516" spans="6:12">
      <c r="H1516" t="s">
        <v>20229</v>
      </c>
      <c r="I1516" t="s">
        <v>1357</v>
      </c>
      <c r="J1516" t="s">
        <v>1357</v>
      </c>
      <c r="K1516" t="s">
        <v>1357</v>
      </c>
      <c r="L1516" t="s">
        <v>1357</v>
      </c>
    </row>
    <row r="1517" spans="6:12">
      <c r="H1517" t="s">
        <v>20296</v>
      </c>
      <c r="I1517" t="s">
        <v>1357</v>
      </c>
      <c r="J1517" t="s">
        <v>1357</v>
      </c>
      <c r="K1517" t="s">
        <v>1357</v>
      </c>
      <c r="L1517" t="s">
        <v>1357</v>
      </c>
    </row>
    <row r="1518" spans="6:12">
      <c r="H1518" t="s">
        <v>20297</v>
      </c>
      <c r="I1518" t="s">
        <v>1357</v>
      </c>
      <c r="J1518" t="s">
        <v>1357</v>
      </c>
      <c r="K1518" t="s">
        <v>1357</v>
      </c>
      <c r="L1518" t="s">
        <v>1357</v>
      </c>
    </row>
    <row r="1519" spans="6:12">
      <c r="H1519" t="s">
        <v>20234</v>
      </c>
      <c r="I1519" t="s">
        <v>1357</v>
      </c>
      <c r="J1519" t="s">
        <v>1357</v>
      </c>
      <c r="K1519" t="s">
        <v>1357</v>
      </c>
      <c r="L1519" t="s">
        <v>1357</v>
      </c>
    </row>
    <row r="1520" spans="6:12">
      <c r="H1520" t="s">
        <v>20284</v>
      </c>
      <c r="I1520" t="s">
        <v>1357</v>
      </c>
      <c r="J1520" t="s">
        <v>1357</v>
      </c>
      <c r="K1520" t="s">
        <v>1357</v>
      </c>
      <c r="L1520" t="s">
        <v>1357</v>
      </c>
    </row>
    <row r="1521" spans="6:12">
      <c r="H1521" t="s">
        <v>20285</v>
      </c>
      <c r="I1521" t="s">
        <v>1357</v>
      </c>
      <c r="J1521" t="s">
        <v>1357</v>
      </c>
      <c r="K1521" t="s">
        <v>1357</v>
      </c>
      <c r="L1521" t="s">
        <v>1357</v>
      </c>
    </row>
    <row r="1522" spans="6:12">
      <c r="H1522" t="s">
        <v>20286</v>
      </c>
      <c r="I1522" t="s">
        <v>1357</v>
      </c>
      <c r="J1522" t="s">
        <v>1357</v>
      </c>
      <c r="K1522" t="s">
        <v>1357</v>
      </c>
      <c r="L1522" t="s">
        <v>1357</v>
      </c>
    </row>
    <row r="1523" spans="6:12">
      <c r="H1523" t="s">
        <v>20287</v>
      </c>
      <c r="I1523" t="s">
        <v>1357</v>
      </c>
      <c r="J1523" t="s">
        <v>1357</v>
      </c>
      <c r="K1523" t="s">
        <v>1357</v>
      </c>
      <c r="L1523" t="s">
        <v>1357</v>
      </c>
    </row>
    <row r="1524" spans="6:12">
      <c r="F1524" t="s">
        <v>14820</v>
      </c>
      <c r="G1524" t="s">
        <v>17664</v>
      </c>
      <c r="H1524" t="s">
        <v>20280</v>
      </c>
      <c r="I1524" t="s">
        <v>1357</v>
      </c>
      <c r="J1524" t="s">
        <v>1357</v>
      </c>
      <c r="K1524" t="s">
        <v>1357</v>
      </c>
      <c r="L1524" t="s">
        <v>1357</v>
      </c>
    </row>
    <row r="1525" spans="6:12">
      <c r="H1525" t="s">
        <v>20233</v>
      </c>
      <c r="I1525" t="s">
        <v>1357</v>
      </c>
      <c r="J1525" t="s">
        <v>1357</v>
      </c>
      <c r="K1525" t="s">
        <v>1357</v>
      </c>
      <c r="L1525" t="s">
        <v>1357</v>
      </c>
    </row>
    <row r="1526" spans="6:12">
      <c r="H1526" t="s">
        <v>20230</v>
      </c>
      <c r="I1526" t="s">
        <v>1357</v>
      </c>
      <c r="J1526" t="s">
        <v>1357</v>
      </c>
      <c r="K1526" t="s">
        <v>1357</v>
      </c>
      <c r="L1526" t="s">
        <v>1357</v>
      </c>
    </row>
    <row r="1527" spans="6:12">
      <c r="H1527" t="s">
        <v>20227</v>
      </c>
      <c r="I1527" t="s">
        <v>1357</v>
      </c>
      <c r="J1527" t="s">
        <v>1357</v>
      </c>
      <c r="K1527" t="s">
        <v>1357</v>
      </c>
      <c r="L1527" t="s">
        <v>1357</v>
      </c>
    </row>
    <row r="1528" spans="6:12">
      <c r="H1528" t="s">
        <v>20228</v>
      </c>
      <c r="I1528" t="s">
        <v>1357</v>
      </c>
      <c r="J1528" t="s">
        <v>1357</v>
      </c>
      <c r="K1528" t="s">
        <v>1357</v>
      </c>
      <c r="L1528" t="s">
        <v>1357</v>
      </c>
    </row>
    <row r="1529" spans="6:12">
      <c r="H1529" t="s">
        <v>20232</v>
      </c>
      <c r="I1529" t="s">
        <v>1357</v>
      </c>
      <c r="J1529" t="s">
        <v>1357</v>
      </c>
      <c r="K1529" t="s">
        <v>1357</v>
      </c>
      <c r="L1529" t="s">
        <v>1357</v>
      </c>
    </row>
    <row r="1530" spans="6:12">
      <c r="H1530" t="s">
        <v>20296</v>
      </c>
      <c r="I1530" t="s">
        <v>1357</v>
      </c>
      <c r="J1530" t="s">
        <v>1357</v>
      </c>
      <c r="K1530" t="s">
        <v>1357</v>
      </c>
      <c r="L1530" t="s">
        <v>1357</v>
      </c>
    </row>
    <row r="1531" spans="6:12">
      <c r="H1531" t="s">
        <v>20297</v>
      </c>
      <c r="I1531" t="s">
        <v>1357</v>
      </c>
      <c r="J1531" t="s">
        <v>1357</v>
      </c>
      <c r="K1531" t="s">
        <v>1357</v>
      </c>
      <c r="L1531" t="s">
        <v>1357</v>
      </c>
    </row>
    <row r="1532" spans="6:12">
      <c r="H1532" t="s">
        <v>20234</v>
      </c>
      <c r="I1532" t="s">
        <v>1357</v>
      </c>
      <c r="J1532" t="s">
        <v>1357</v>
      </c>
      <c r="K1532" t="s">
        <v>1357</v>
      </c>
      <c r="L1532" t="s">
        <v>1357</v>
      </c>
    </row>
    <row r="1533" spans="6:12">
      <c r="H1533" t="s">
        <v>20235</v>
      </c>
      <c r="I1533" t="s">
        <v>1357</v>
      </c>
      <c r="J1533" t="s">
        <v>1357</v>
      </c>
      <c r="K1533" t="s">
        <v>1357</v>
      </c>
      <c r="L1533" t="s">
        <v>1357</v>
      </c>
    </row>
    <row r="1534" spans="6:12">
      <c r="H1534" t="s">
        <v>20298</v>
      </c>
      <c r="I1534" t="s">
        <v>1357</v>
      </c>
      <c r="J1534" t="s">
        <v>1357</v>
      </c>
      <c r="K1534" t="s">
        <v>1357</v>
      </c>
      <c r="L1534" t="s">
        <v>1357</v>
      </c>
    </row>
    <row r="1535" spans="6:12">
      <c r="H1535" t="s">
        <v>20299</v>
      </c>
      <c r="I1535" t="s">
        <v>1357</v>
      </c>
      <c r="J1535" t="s">
        <v>1357</v>
      </c>
      <c r="K1535" t="s">
        <v>1357</v>
      </c>
      <c r="L1535" t="s">
        <v>1357</v>
      </c>
    </row>
    <row r="1536" spans="6:12">
      <c r="H1536" t="s">
        <v>20284</v>
      </c>
      <c r="I1536" t="s">
        <v>1357</v>
      </c>
      <c r="J1536" t="s">
        <v>1357</v>
      </c>
      <c r="K1536" t="s">
        <v>1357</v>
      </c>
      <c r="L1536" t="s">
        <v>1357</v>
      </c>
    </row>
    <row r="1537" spans="6:12">
      <c r="H1537" t="s">
        <v>20285</v>
      </c>
      <c r="I1537" t="s">
        <v>1357</v>
      </c>
      <c r="J1537" t="s">
        <v>1357</v>
      </c>
      <c r="K1537" t="s">
        <v>1357</v>
      </c>
      <c r="L1537" t="s">
        <v>1357</v>
      </c>
    </row>
    <row r="1538" spans="6:12">
      <c r="H1538" t="s">
        <v>20286</v>
      </c>
      <c r="I1538" t="s">
        <v>1357</v>
      </c>
      <c r="J1538" t="s">
        <v>1357</v>
      </c>
      <c r="K1538" t="s">
        <v>1357</v>
      </c>
      <c r="L1538" t="s">
        <v>1357</v>
      </c>
    </row>
    <row r="1539" spans="6:12">
      <c r="H1539" t="s">
        <v>20287</v>
      </c>
      <c r="I1539" t="s">
        <v>1357</v>
      </c>
      <c r="J1539" t="s">
        <v>1357</v>
      </c>
      <c r="K1539" t="s">
        <v>1357</v>
      </c>
      <c r="L1539" t="s">
        <v>1357</v>
      </c>
    </row>
    <row r="1540" spans="6:12">
      <c r="F1540" t="s">
        <v>14821</v>
      </c>
      <c r="G1540" t="s">
        <v>17665</v>
      </c>
      <c r="H1540" t="s">
        <v>20280</v>
      </c>
      <c r="I1540" t="s">
        <v>1357</v>
      </c>
      <c r="J1540" t="s">
        <v>1357</v>
      </c>
      <c r="K1540" t="s">
        <v>1357</v>
      </c>
      <c r="L1540" t="s">
        <v>1357</v>
      </c>
    </row>
    <row r="1541" spans="6:12">
      <c r="H1541" t="s">
        <v>20233</v>
      </c>
      <c r="I1541" t="s">
        <v>1357</v>
      </c>
      <c r="J1541" t="s">
        <v>1357</v>
      </c>
      <c r="K1541" t="s">
        <v>1357</v>
      </c>
      <c r="L1541" t="s">
        <v>1357</v>
      </c>
    </row>
    <row r="1542" spans="6:12">
      <c r="H1542" t="s">
        <v>20281</v>
      </c>
      <c r="I1542" t="s">
        <v>1357</v>
      </c>
      <c r="J1542" t="s">
        <v>1357</v>
      </c>
      <c r="K1542" t="s">
        <v>1357</v>
      </c>
      <c r="L1542" t="s">
        <v>1357</v>
      </c>
    </row>
    <row r="1543" spans="6:12">
      <c r="H1543" t="s">
        <v>20282</v>
      </c>
      <c r="I1543" t="s">
        <v>1357</v>
      </c>
      <c r="J1543" t="s">
        <v>1357</v>
      </c>
      <c r="K1543" t="s">
        <v>1357</v>
      </c>
      <c r="L1543" t="s">
        <v>1357</v>
      </c>
    </row>
    <row r="1544" spans="6:12">
      <c r="H1544" t="s">
        <v>20283</v>
      </c>
      <c r="I1544" t="s">
        <v>1357</v>
      </c>
      <c r="J1544" t="s">
        <v>1357</v>
      </c>
      <c r="K1544" t="s">
        <v>1357</v>
      </c>
      <c r="L1544" t="s">
        <v>1357</v>
      </c>
    </row>
    <row r="1545" spans="6:12">
      <c r="H1545" t="s">
        <v>20284</v>
      </c>
      <c r="I1545" t="s">
        <v>1357</v>
      </c>
      <c r="J1545" t="s">
        <v>1357</v>
      </c>
      <c r="K1545" t="s">
        <v>1357</v>
      </c>
      <c r="L1545" t="s">
        <v>1357</v>
      </c>
    </row>
    <row r="1546" spans="6:12">
      <c r="H1546" t="s">
        <v>20285</v>
      </c>
      <c r="I1546" t="s">
        <v>1357</v>
      </c>
      <c r="J1546" t="s">
        <v>1357</v>
      </c>
      <c r="K1546" t="s">
        <v>1357</v>
      </c>
      <c r="L1546" t="s">
        <v>1357</v>
      </c>
    </row>
    <row r="1547" spans="6:12">
      <c r="H1547" t="s">
        <v>20286</v>
      </c>
      <c r="I1547" t="s">
        <v>1357</v>
      </c>
      <c r="J1547" t="s">
        <v>1357</v>
      </c>
      <c r="K1547" t="s">
        <v>1357</v>
      </c>
      <c r="L1547" t="s">
        <v>1357</v>
      </c>
    </row>
    <row r="1548" spans="6:12">
      <c r="H1548" t="s">
        <v>20287</v>
      </c>
      <c r="I1548" t="s">
        <v>1357</v>
      </c>
      <c r="J1548" t="s">
        <v>1357</v>
      </c>
      <c r="K1548" t="s">
        <v>1357</v>
      </c>
      <c r="L1548" t="s">
        <v>1357</v>
      </c>
    </row>
    <row r="1549" spans="6:12">
      <c r="H1549" t="s">
        <v>20288</v>
      </c>
      <c r="I1549" t="s">
        <v>1357</v>
      </c>
      <c r="J1549" t="s">
        <v>1357</v>
      </c>
      <c r="K1549" t="s">
        <v>1357</v>
      </c>
      <c r="L1549" t="s">
        <v>1357</v>
      </c>
    </row>
    <row r="1550" spans="6:12">
      <c r="H1550" t="s">
        <v>20289</v>
      </c>
      <c r="I1550" t="s">
        <v>1357</v>
      </c>
      <c r="J1550" t="s">
        <v>1357</v>
      </c>
      <c r="K1550" t="s">
        <v>1357</v>
      </c>
      <c r="L1550" t="s">
        <v>1357</v>
      </c>
    </row>
    <row r="1551" spans="6:12">
      <c r="H1551" t="s">
        <v>20290</v>
      </c>
      <c r="I1551" t="s">
        <v>1357</v>
      </c>
      <c r="J1551" t="s">
        <v>1357</v>
      </c>
      <c r="K1551" t="s">
        <v>1357</v>
      </c>
      <c r="L1551" t="s">
        <v>1357</v>
      </c>
    </row>
    <row r="1552" spans="6:12">
      <c r="H1552" t="s">
        <v>20291</v>
      </c>
      <c r="I1552" t="s">
        <v>1357</v>
      </c>
      <c r="J1552" t="s">
        <v>1357</v>
      </c>
      <c r="K1552" t="s">
        <v>1357</v>
      </c>
      <c r="L1552" t="s">
        <v>1357</v>
      </c>
    </row>
    <row r="1553" spans="6:12">
      <c r="F1553" t="s">
        <v>14822</v>
      </c>
      <c r="G1553" t="s">
        <v>17666</v>
      </c>
      <c r="H1553" t="s">
        <v>20280</v>
      </c>
      <c r="I1553" t="s">
        <v>1357</v>
      </c>
      <c r="J1553" t="s">
        <v>1357</v>
      </c>
      <c r="K1553" t="s">
        <v>1357</v>
      </c>
      <c r="L1553" t="s">
        <v>1357</v>
      </c>
    </row>
    <row r="1554" spans="6:12">
      <c r="H1554" t="s">
        <v>20233</v>
      </c>
      <c r="I1554" t="s">
        <v>1357</v>
      </c>
      <c r="J1554" t="s">
        <v>1357</v>
      </c>
      <c r="K1554" t="s">
        <v>1357</v>
      </c>
      <c r="L1554" t="s">
        <v>1357</v>
      </c>
    </row>
    <row r="1555" spans="6:12">
      <c r="H1555" t="s">
        <v>20230</v>
      </c>
      <c r="I1555" t="s">
        <v>1357</v>
      </c>
      <c r="J1555" t="s">
        <v>1357</v>
      </c>
      <c r="K1555" t="s">
        <v>1357</v>
      </c>
      <c r="L1555" t="s">
        <v>1357</v>
      </c>
    </row>
    <row r="1556" spans="6:12">
      <c r="H1556" t="s">
        <v>20296</v>
      </c>
      <c r="I1556" t="s">
        <v>1357</v>
      </c>
      <c r="J1556" t="s">
        <v>1357</v>
      </c>
      <c r="K1556" t="s">
        <v>1357</v>
      </c>
      <c r="L1556" t="s">
        <v>1357</v>
      </c>
    </row>
    <row r="1557" spans="6:12">
      <c r="H1557" t="s">
        <v>20297</v>
      </c>
      <c r="I1557" t="s">
        <v>1357</v>
      </c>
      <c r="J1557" t="s">
        <v>1357</v>
      </c>
      <c r="K1557" t="s">
        <v>1357</v>
      </c>
      <c r="L1557" t="s">
        <v>1357</v>
      </c>
    </row>
    <row r="1558" spans="6:12">
      <c r="H1558" t="s">
        <v>20284</v>
      </c>
      <c r="I1558" t="s">
        <v>1357</v>
      </c>
      <c r="J1558" t="s">
        <v>1357</v>
      </c>
      <c r="K1558" t="s">
        <v>1357</v>
      </c>
      <c r="L1558" t="s">
        <v>1357</v>
      </c>
    </row>
    <row r="1559" spans="6:12">
      <c r="H1559" t="s">
        <v>20285</v>
      </c>
      <c r="I1559" t="s">
        <v>1357</v>
      </c>
      <c r="J1559" t="s">
        <v>1357</v>
      </c>
      <c r="K1559" t="s">
        <v>1357</v>
      </c>
      <c r="L1559" t="s">
        <v>1357</v>
      </c>
    </row>
    <row r="1560" spans="6:12">
      <c r="H1560" t="s">
        <v>20286</v>
      </c>
      <c r="I1560" t="s">
        <v>1357</v>
      </c>
      <c r="J1560" t="s">
        <v>1357</v>
      </c>
      <c r="K1560" t="s">
        <v>1357</v>
      </c>
      <c r="L1560" t="s">
        <v>1357</v>
      </c>
    </row>
    <row r="1561" spans="6:12">
      <c r="H1561" t="s">
        <v>20287</v>
      </c>
      <c r="I1561" t="s">
        <v>1357</v>
      </c>
      <c r="J1561" t="s">
        <v>1357</v>
      </c>
      <c r="K1561" t="s">
        <v>1357</v>
      </c>
      <c r="L1561" t="s">
        <v>1357</v>
      </c>
    </row>
    <row r="1562" spans="6:12">
      <c r="F1562" t="s">
        <v>14823</v>
      </c>
      <c r="G1562" t="s">
        <v>17667</v>
      </c>
      <c r="H1562" t="s">
        <v>20280</v>
      </c>
      <c r="I1562" t="s">
        <v>1357</v>
      </c>
      <c r="J1562" t="s">
        <v>1357</v>
      </c>
      <c r="K1562" t="s">
        <v>1357</v>
      </c>
      <c r="L1562" t="s">
        <v>1357</v>
      </c>
    </row>
    <row r="1563" spans="6:12">
      <c r="H1563" t="s">
        <v>20233</v>
      </c>
      <c r="I1563" t="s">
        <v>1357</v>
      </c>
      <c r="J1563" t="s">
        <v>1357</v>
      </c>
      <c r="K1563" t="s">
        <v>1357</v>
      </c>
      <c r="L1563" t="s">
        <v>1357</v>
      </c>
    </row>
    <row r="1564" spans="6:12">
      <c r="H1564" t="s">
        <v>20281</v>
      </c>
      <c r="I1564" t="s">
        <v>1357</v>
      </c>
      <c r="J1564" t="s">
        <v>1357</v>
      </c>
      <c r="K1564" t="s">
        <v>1357</v>
      </c>
      <c r="L1564" t="s">
        <v>1357</v>
      </c>
    </row>
    <row r="1565" spans="6:12">
      <c r="H1565" t="s">
        <v>20282</v>
      </c>
      <c r="I1565" t="s">
        <v>1357</v>
      </c>
      <c r="J1565" t="s">
        <v>1357</v>
      </c>
      <c r="K1565" t="s">
        <v>1357</v>
      </c>
      <c r="L1565" t="s">
        <v>1357</v>
      </c>
    </row>
    <row r="1566" spans="6:12">
      <c r="H1566" t="s">
        <v>20283</v>
      </c>
      <c r="I1566" t="s">
        <v>1357</v>
      </c>
      <c r="J1566" t="s">
        <v>1357</v>
      </c>
      <c r="K1566" t="s">
        <v>1357</v>
      </c>
      <c r="L1566" t="s">
        <v>1357</v>
      </c>
    </row>
    <row r="1567" spans="6:12">
      <c r="H1567" t="s">
        <v>20284</v>
      </c>
      <c r="I1567" t="s">
        <v>1357</v>
      </c>
      <c r="J1567" t="s">
        <v>1357</v>
      </c>
      <c r="K1567" t="s">
        <v>1357</v>
      </c>
      <c r="L1567" t="s">
        <v>1357</v>
      </c>
    </row>
    <row r="1568" spans="6:12">
      <c r="H1568" t="s">
        <v>20285</v>
      </c>
      <c r="I1568" t="s">
        <v>1357</v>
      </c>
      <c r="J1568" t="s">
        <v>1357</v>
      </c>
      <c r="K1568" t="s">
        <v>1357</v>
      </c>
      <c r="L1568" t="s">
        <v>1357</v>
      </c>
    </row>
    <row r="1569" spans="6:12">
      <c r="H1569" t="s">
        <v>20286</v>
      </c>
      <c r="I1569" t="s">
        <v>1357</v>
      </c>
      <c r="J1569" t="s">
        <v>1357</v>
      </c>
      <c r="K1569" t="s">
        <v>1357</v>
      </c>
      <c r="L1569" t="s">
        <v>1357</v>
      </c>
    </row>
    <row r="1570" spans="6:12">
      <c r="H1570" t="s">
        <v>20287</v>
      </c>
      <c r="I1570" t="s">
        <v>1357</v>
      </c>
      <c r="J1570" t="s">
        <v>1357</v>
      </c>
      <c r="K1570" t="s">
        <v>1357</v>
      </c>
      <c r="L1570" t="s">
        <v>1357</v>
      </c>
    </row>
    <row r="1571" spans="6:12">
      <c r="H1571" t="s">
        <v>20288</v>
      </c>
      <c r="I1571" t="s">
        <v>1357</v>
      </c>
      <c r="J1571" t="s">
        <v>1357</v>
      </c>
      <c r="K1571" t="s">
        <v>1357</v>
      </c>
      <c r="L1571" t="s">
        <v>1357</v>
      </c>
    </row>
    <row r="1572" spans="6:12">
      <c r="H1572" t="s">
        <v>20289</v>
      </c>
      <c r="I1572" t="s">
        <v>1357</v>
      </c>
      <c r="J1572" t="s">
        <v>1357</v>
      </c>
      <c r="K1572" t="s">
        <v>1357</v>
      </c>
      <c r="L1572" t="s">
        <v>1357</v>
      </c>
    </row>
    <row r="1573" spans="6:12">
      <c r="H1573" t="s">
        <v>20290</v>
      </c>
      <c r="I1573" t="s">
        <v>1357</v>
      </c>
      <c r="J1573" t="s">
        <v>1357</v>
      </c>
      <c r="K1573" t="s">
        <v>1357</v>
      </c>
      <c r="L1573" t="s">
        <v>1357</v>
      </c>
    </row>
    <row r="1574" spans="6:12">
      <c r="H1574" t="s">
        <v>20291</v>
      </c>
      <c r="I1574" t="s">
        <v>1357</v>
      </c>
      <c r="J1574" t="s">
        <v>1357</v>
      </c>
      <c r="K1574" t="s">
        <v>1357</v>
      </c>
      <c r="L1574" t="s">
        <v>1357</v>
      </c>
    </row>
    <row r="1575" spans="6:12">
      <c r="F1575" t="s">
        <v>14824</v>
      </c>
      <c r="G1575" t="s">
        <v>17668</v>
      </c>
      <c r="H1575" t="s">
        <v>20280</v>
      </c>
      <c r="I1575" t="s">
        <v>1357</v>
      </c>
      <c r="J1575" t="s">
        <v>1357</v>
      </c>
      <c r="K1575" t="s">
        <v>1357</v>
      </c>
      <c r="L1575" t="s">
        <v>1357</v>
      </c>
    </row>
    <row r="1576" spans="6:12">
      <c r="H1576" t="s">
        <v>20284</v>
      </c>
      <c r="I1576" t="s">
        <v>1357</v>
      </c>
      <c r="J1576" t="s">
        <v>1357</v>
      </c>
      <c r="K1576" t="s">
        <v>1357</v>
      </c>
      <c r="L1576" t="s">
        <v>1357</v>
      </c>
    </row>
    <row r="1577" spans="6:12">
      <c r="F1577" t="s">
        <v>14825</v>
      </c>
      <c r="G1577" t="s">
        <v>17669</v>
      </c>
      <c r="H1577" t="s">
        <v>20280</v>
      </c>
      <c r="I1577" t="s">
        <v>1357</v>
      </c>
      <c r="J1577" t="s">
        <v>1357</v>
      </c>
      <c r="K1577" t="s">
        <v>1357</v>
      </c>
      <c r="L1577" t="s">
        <v>1357</v>
      </c>
    </row>
    <row r="1578" spans="6:12">
      <c r="H1578" t="s">
        <v>20284</v>
      </c>
      <c r="I1578" t="s">
        <v>1357</v>
      </c>
      <c r="J1578" t="s">
        <v>1357</v>
      </c>
      <c r="K1578" t="s">
        <v>1357</v>
      </c>
      <c r="L1578" t="s">
        <v>1357</v>
      </c>
    </row>
    <row r="1579" spans="6:12">
      <c r="F1579" t="s">
        <v>14826</v>
      </c>
      <c r="G1579" t="s">
        <v>17670</v>
      </c>
      <c r="H1579" t="s">
        <v>20280</v>
      </c>
      <c r="I1579" t="s">
        <v>1357</v>
      </c>
      <c r="J1579" t="s">
        <v>1357</v>
      </c>
      <c r="K1579" t="s">
        <v>1357</v>
      </c>
      <c r="L1579" t="s">
        <v>1357</v>
      </c>
    </row>
    <row r="1580" spans="6:12">
      <c r="H1580" t="s">
        <v>20284</v>
      </c>
      <c r="I1580" t="s">
        <v>1357</v>
      </c>
      <c r="J1580" t="s">
        <v>1357</v>
      </c>
      <c r="K1580" t="s">
        <v>1357</v>
      </c>
      <c r="L1580" t="s">
        <v>1357</v>
      </c>
    </row>
    <row r="1581" spans="6:12">
      <c r="F1581" t="s">
        <v>14827</v>
      </c>
      <c r="G1581" t="s">
        <v>17671</v>
      </c>
      <c r="H1581" t="s">
        <v>20280</v>
      </c>
      <c r="I1581" t="s">
        <v>1357</v>
      </c>
      <c r="J1581" t="s">
        <v>1357</v>
      </c>
      <c r="K1581" t="s">
        <v>1357</v>
      </c>
      <c r="L1581" t="s">
        <v>1357</v>
      </c>
    </row>
    <row r="1582" spans="6:12">
      <c r="H1582" t="s">
        <v>20284</v>
      </c>
      <c r="I1582" t="s">
        <v>1357</v>
      </c>
      <c r="J1582" t="s">
        <v>1357</v>
      </c>
      <c r="K1582" t="s">
        <v>1357</v>
      </c>
      <c r="L1582" t="s">
        <v>1357</v>
      </c>
    </row>
    <row r="1583" spans="6:12">
      <c r="F1583" t="s">
        <v>14828</v>
      </c>
      <c r="G1583" t="s">
        <v>17672</v>
      </c>
      <c r="H1583" t="s">
        <v>20280</v>
      </c>
      <c r="I1583" t="s">
        <v>1357</v>
      </c>
      <c r="J1583" t="s">
        <v>1357</v>
      </c>
      <c r="K1583" t="s">
        <v>1357</v>
      </c>
      <c r="L1583" t="s">
        <v>1357</v>
      </c>
    </row>
    <row r="1584" spans="6:12">
      <c r="H1584" t="s">
        <v>20284</v>
      </c>
      <c r="I1584" t="s">
        <v>1357</v>
      </c>
      <c r="J1584" t="s">
        <v>1357</v>
      </c>
      <c r="K1584" t="s">
        <v>1357</v>
      </c>
      <c r="L1584" t="s">
        <v>1357</v>
      </c>
    </row>
    <row r="1585" spans="6:12">
      <c r="F1585" t="s">
        <v>14829</v>
      </c>
      <c r="G1585" t="s">
        <v>17673</v>
      </c>
      <c r="H1585" t="s">
        <v>20280</v>
      </c>
      <c r="I1585" t="s">
        <v>1357</v>
      </c>
      <c r="J1585" t="s">
        <v>1357</v>
      </c>
      <c r="K1585" t="s">
        <v>1357</v>
      </c>
      <c r="L1585" t="s">
        <v>1357</v>
      </c>
    </row>
    <row r="1586" spans="6:12">
      <c r="H1586" t="s">
        <v>20284</v>
      </c>
      <c r="I1586" t="s">
        <v>1357</v>
      </c>
      <c r="J1586" t="s">
        <v>1357</v>
      </c>
      <c r="K1586" t="s">
        <v>1357</v>
      </c>
      <c r="L1586" t="s">
        <v>1357</v>
      </c>
    </row>
    <row r="1587" spans="6:12">
      <c r="F1587" t="s">
        <v>14830</v>
      </c>
      <c r="G1587" t="s">
        <v>17674</v>
      </c>
      <c r="H1587" t="s">
        <v>20280</v>
      </c>
      <c r="I1587" t="s">
        <v>1357</v>
      </c>
      <c r="J1587" t="s">
        <v>1357</v>
      </c>
      <c r="K1587" t="s">
        <v>1357</v>
      </c>
      <c r="L1587" t="s">
        <v>1357</v>
      </c>
    </row>
    <row r="1588" spans="6:12">
      <c r="H1588" t="s">
        <v>20284</v>
      </c>
      <c r="I1588" t="s">
        <v>1357</v>
      </c>
      <c r="J1588" t="s">
        <v>1357</v>
      </c>
      <c r="K1588" t="s">
        <v>1357</v>
      </c>
      <c r="L1588" t="s">
        <v>1357</v>
      </c>
    </row>
    <row r="1589" spans="6:12">
      <c r="F1589" t="s">
        <v>14831</v>
      </c>
      <c r="G1589" t="s">
        <v>17675</v>
      </c>
      <c r="H1589" t="s">
        <v>20280</v>
      </c>
      <c r="I1589" t="s">
        <v>1357</v>
      </c>
      <c r="J1589" t="s">
        <v>1357</v>
      </c>
      <c r="K1589" t="s">
        <v>1357</v>
      </c>
      <c r="L1589" t="s">
        <v>1357</v>
      </c>
    </row>
    <row r="1590" spans="6:12">
      <c r="H1590" t="s">
        <v>20233</v>
      </c>
      <c r="I1590" t="s">
        <v>1357</v>
      </c>
      <c r="J1590" t="s">
        <v>1357</v>
      </c>
      <c r="K1590" t="s">
        <v>1357</v>
      </c>
      <c r="L1590" t="s">
        <v>1357</v>
      </c>
    </row>
    <row r="1591" spans="6:12">
      <c r="H1591" t="s">
        <v>20230</v>
      </c>
      <c r="I1591" t="s">
        <v>1357</v>
      </c>
      <c r="J1591" t="s">
        <v>1357</v>
      </c>
      <c r="K1591" t="s">
        <v>1357</v>
      </c>
      <c r="L1591" t="s">
        <v>1357</v>
      </c>
    </row>
    <row r="1592" spans="6:12">
      <c r="H1592" t="s">
        <v>20227</v>
      </c>
      <c r="I1592" t="s">
        <v>1357</v>
      </c>
      <c r="J1592" t="s">
        <v>1357</v>
      </c>
      <c r="K1592" t="s">
        <v>1357</v>
      </c>
      <c r="L1592" t="s">
        <v>1357</v>
      </c>
    </row>
    <row r="1593" spans="6:12">
      <c r="H1593" t="s">
        <v>20228</v>
      </c>
      <c r="I1593" t="s">
        <v>1357</v>
      </c>
      <c r="J1593" t="s">
        <v>1357</v>
      </c>
      <c r="K1593" t="s">
        <v>1357</v>
      </c>
      <c r="L1593" t="s">
        <v>1357</v>
      </c>
    </row>
    <row r="1594" spans="6:12">
      <c r="H1594" t="s">
        <v>20232</v>
      </c>
      <c r="I1594" t="s">
        <v>1357</v>
      </c>
      <c r="J1594" t="s">
        <v>1357</v>
      </c>
      <c r="K1594" t="s">
        <v>1357</v>
      </c>
      <c r="L1594" t="s">
        <v>1357</v>
      </c>
    </row>
    <row r="1595" spans="6:12">
      <c r="H1595" t="s">
        <v>20296</v>
      </c>
      <c r="I1595" t="s">
        <v>1357</v>
      </c>
      <c r="J1595" t="s">
        <v>1357</v>
      </c>
      <c r="K1595" t="s">
        <v>1357</v>
      </c>
      <c r="L1595" t="s">
        <v>1357</v>
      </c>
    </row>
    <row r="1596" spans="6:12">
      <c r="H1596" t="s">
        <v>20297</v>
      </c>
      <c r="I1596" t="s">
        <v>1357</v>
      </c>
      <c r="J1596" t="s">
        <v>1357</v>
      </c>
      <c r="K1596" t="s">
        <v>1357</v>
      </c>
      <c r="L1596" t="s">
        <v>1357</v>
      </c>
    </row>
    <row r="1597" spans="6:12">
      <c r="H1597" t="s">
        <v>20234</v>
      </c>
      <c r="I1597" t="s">
        <v>1357</v>
      </c>
      <c r="J1597" t="s">
        <v>1357</v>
      </c>
      <c r="K1597" t="s">
        <v>1357</v>
      </c>
      <c r="L1597" t="s">
        <v>1357</v>
      </c>
    </row>
    <row r="1598" spans="6:12">
      <c r="H1598" t="s">
        <v>20235</v>
      </c>
      <c r="I1598" t="s">
        <v>1357</v>
      </c>
      <c r="J1598" t="s">
        <v>1357</v>
      </c>
      <c r="K1598" t="s">
        <v>1357</v>
      </c>
      <c r="L1598" t="s">
        <v>1357</v>
      </c>
    </row>
    <row r="1599" spans="6:12">
      <c r="H1599" t="s">
        <v>20298</v>
      </c>
      <c r="I1599" t="s">
        <v>1357</v>
      </c>
      <c r="J1599" t="s">
        <v>1357</v>
      </c>
      <c r="K1599" t="s">
        <v>1357</v>
      </c>
      <c r="L1599" t="s">
        <v>1357</v>
      </c>
    </row>
    <row r="1600" spans="6:12">
      <c r="H1600" t="s">
        <v>20299</v>
      </c>
      <c r="I1600" t="s">
        <v>1357</v>
      </c>
      <c r="J1600" t="s">
        <v>1357</v>
      </c>
      <c r="K1600" t="s">
        <v>1357</v>
      </c>
      <c r="L1600" t="s">
        <v>1357</v>
      </c>
    </row>
    <row r="1601" spans="6:12">
      <c r="H1601" t="s">
        <v>20281</v>
      </c>
      <c r="I1601" t="s">
        <v>1357</v>
      </c>
      <c r="J1601" t="s">
        <v>1357</v>
      </c>
      <c r="K1601" t="s">
        <v>1357</v>
      </c>
      <c r="L1601" t="s">
        <v>1357</v>
      </c>
    </row>
    <row r="1602" spans="6:12">
      <c r="H1602" t="s">
        <v>20284</v>
      </c>
      <c r="I1602" t="s">
        <v>1357</v>
      </c>
      <c r="J1602" t="s">
        <v>1357</v>
      </c>
      <c r="K1602" t="s">
        <v>1357</v>
      </c>
      <c r="L1602" t="s">
        <v>1357</v>
      </c>
    </row>
    <row r="1603" spans="6:12">
      <c r="H1603" t="s">
        <v>20285</v>
      </c>
      <c r="I1603" t="s">
        <v>1357</v>
      </c>
      <c r="J1603" t="s">
        <v>1357</v>
      </c>
      <c r="K1603" t="s">
        <v>1357</v>
      </c>
      <c r="L1603" t="s">
        <v>1357</v>
      </c>
    </row>
    <row r="1604" spans="6:12">
      <c r="H1604" t="s">
        <v>20286</v>
      </c>
      <c r="I1604" t="s">
        <v>1357</v>
      </c>
      <c r="J1604" t="s">
        <v>1357</v>
      </c>
      <c r="K1604" t="s">
        <v>1357</v>
      </c>
      <c r="L1604" t="s">
        <v>1357</v>
      </c>
    </row>
    <row r="1605" spans="6:12">
      <c r="H1605" t="s">
        <v>20287</v>
      </c>
      <c r="I1605" t="s">
        <v>1357</v>
      </c>
      <c r="J1605" t="s">
        <v>1357</v>
      </c>
      <c r="K1605" t="s">
        <v>1357</v>
      </c>
      <c r="L1605" t="s">
        <v>1357</v>
      </c>
    </row>
    <row r="1606" spans="6:12">
      <c r="F1606" t="s">
        <v>14832</v>
      </c>
      <c r="G1606" t="s">
        <v>17676</v>
      </c>
      <c r="H1606" t="s">
        <v>20280</v>
      </c>
      <c r="I1606" t="s">
        <v>1357</v>
      </c>
      <c r="J1606" t="s">
        <v>1357</v>
      </c>
      <c r="K1606" t="s">
        <v>1357</v>
      </c>
      <c r="L1606" t="s">
        <v>1357</v>
      </c>
    </row>
    <row r="1607" spans="6:12">
      <c r="H1607" t="s">
        <v>20233</v>
      </c>
      <c r="I1607" t="s">
        <v>1357</v>
      </c>
      <c r="J1607" t="s">
        <v>1357</v>
      </c>
      <c r="K1607" t="s">
        <v>1357</v>
      </c>
      <c r="L1607" t="s">
        <v>1357</v>
      </c>
    </row>
    <row r="1608" spans="6:12">
      <c r="H1608" t="s">
        <v>20296</v>
      </c>
      <c r="I1608" t="s">
        <v>1357</v>
      </c>
      <c r="J1608" t="s">
        <v>1357</v>
      </c>
      <c r="K1608" t="s">
        <v>1357</v>
      </c>
      <c r="L1608" t="s">
        <v>1357</v>
      </c>
    </row>
    <row r="1609" spans="6:12">
      <c r="H1609" t="s">
        <v>20284</v>
      </c>
      <c r="I1609" t="s">
        <v>1357</v>
      </c>
      <c r="J1609" t="s">
        <v>1357</v>
      </c>
      <c r="K1609" t="s">
        <v>1357</v>
      </c>
      <c r="L1609" t="s">
        <v>1357</v>
      </c>
    </row>
    <row r="1610" spans="6:12">
      <c r="H1610" t="s">
        <v>20285</v>
      </c>
      <c r="I1610" t="s">
        <v>1357</v>
      </c>
      <c r="J1610" t="s">
        <v>1357</v>
      </c>
      <c r="K1610" t="s">
        <v>1357</v>
      </c>
      <c r="L1610" t="s">
        <v>1357</v>
      </c>
    </row>
    <row r="1611" spans="6:12">
      <c r="H1611" t="s">
        <v>20286</v>
      </c>
      <c r="I1611" t="s">
        <v>1357</v>
      </c>
      <c r="J1611" t="s">
        <v>1357</v>
      </c>
      <c r="K1611" t="s">
        <v>1357</v>
      </c>
      <c r="L1611" t="s">
        <v>1357</v>
      </c>
    </row>
    <row r="1612" spans="6:12">
      <c r="H1612" t="s">
        <v>20287</v>
      </c>
      <c r="I1612" t="s">
        <v>1357</v>
      </c>
      <c r="J1612" t="s">
        <v>1357</v>
      </c>
      <c r="K1612" t="s">
        <v>1357</v>
      </c>
      <c r="L1612" t="s">
        <v>1357</v>
      </c>
    </row>
    <row r="1613" spans="6:12">
      <c r="H1613" t="s">
        <v>20288</v>
      </c>
      <c r="I1613" t="s">
        <v>1357</v>
      </c>
      <c r="J1613" t="s">
        <v>1357</v>
      </c>
      <c r="K1613" t="s">
        <v>1357</v>
      </c>
      <c r="L1613" t="s">
        <v>1357</v>
      </c>
    </row>
    <row r="1614" spans="6:12">
      <c r="F1614" t="s">
        <v>14833</v>
      </c>
      <c r="G1614" t="s">
        <v>17677</v>
      </c>
      <c r="H1614" t="s">
        <v>20280</v>
      </c>
      <c r="I1614" t="s">
        <v>1357</v>
      </c>
      <c r="J1614" t="s">
        <v>1357</v>
      </c>
      <c r="K1614" t="s">
        <v>1357</v>
      </c>
      <c r="L1614" t="s">
        <v>1357</v>
      </c>
    </row>
    <row r="1615" spans="6:12">
      <c r="H1615" t="s">
        <v>20233</v>
      </c>
      <c r="I1615" t="s">
        <v>1357</v>
      </c>
      <c r="J1615" t="s">
        <v>1357</v>
      </c>
      <c r="K1615" t="s">
        <v>1357</v>
      </c>
      <c r="L1615" t="s">
        <v>1357</v>
      </c>
    </row>
    <row r="1616" spans="6:12">
      <c r="H1616" t="s">
        <v>20296</v>
      </c>
      <c r="I1616" t="s">
        <v>1357</v>
      </c>
      <c r="J1616" t="s">
        <v>1357</v>
      </c>
      <c r="K1616" t="s">
        <v>1357</v>
      </c>
      <c r="L1616" t="s">
        <v>1357</v>
      </c>
    </row>
    <row r="1617" spans="6:12">
      <c r="H1617" t="s">
        <v>20284</v>
      </c>
      <c r="I1617" t="s">
        <v>1357</v>
      </c>
      <c r="J1617" t="s">
        <v>1357</v>
      </c>
      <c r="K1617" t="s">
        <v>1357</v>
      </c>
      <c r="L1617" t="s">
        <v>1357</v>
      </c>
    </row>
    <row r="1618" spans="6:12">
      <c r="H1618" t="s">
        <v>20285</v>
      </c>
      <c r="I1618" t="s">
        <v>1357</v>
      </c>
      <c r="J1618" t="s">
        <v>1357</v>
      </c>
      <c r="K1618" t="s">
        <v>1357</v>
      </c>
      <c r="L1618" t="s">
        <v>1357</v>
      </c>
    </row>
    <row r="1619" spans="6:12">
      <c r="H1619" t="s">
        <v>20286</v>
      </c>
      <c r="I1619" t="s">
        <v>1357</v>
      </c>
      <c r="J1619" t="s">
        <v>1357</v>
      </c>
      <c r="K1619" t="s">
        <v>1357</v>
      </c>
      <c r="L1619" t="s">
        <v>1357</v>
      </c>
    </row>
    <row r="1620" spans="6:12">
      <c r="H1620" t="s">
        <v>20287</v>
      </c>
      <c r="I1620" t="s">
        <v>1357</v>
      </c>
      <c r="J1620" t="s">
        <v>1357</v>
      </c>
      <c r="K1620" t="s">
        <v>1357</v>
      </c>
      <c r="L1620" t="s">
        <v>1357</v>
      </c>
    </row>
    <row r="1621" spans="6:12">
      <c r="H1621" t="s">
        <v>20288</v>
      </c>
      <c r="I1621" t="s">
        <v>1357</v>
      </c>
      <c r="J1621" t="s">
        <v>1357</v>
      </c>
      <c r="K1621" t="s">
        <v>1357</v>
      </c>
      <c r="L1621" t="s">
        <v>1357</v>
      </c>
    </row>
    <row r="1622" spans="6:12">
      <c r="F1622" t="s">
        <v>14834</v>
      </c>
      <c r="G1622" t="s">
        <v>17678</v>
      </c>
      <c r="H1622" t="s">
        <v>20280</v>
      </c>
      <c r="I1622" t="s">
        <v>1357</v>
      </c>
      <c r="J1622" t="s">
        <v>1357</v>
      </c>
      <c r="K1622" t="s">
        <v>1357</v>
      </c>
      <c r="L1622" t="s">
        <v>1357</v>
      </c>
    </row>
    <row r="1623" spans="6:12">
      <c r="H1623" t="s">
        <v>20233</v>
      </c>
      <c r="I1623" t="s">
        <v>1357</v>
      </c>
      <c r="J1623" t="s">
        <v>1357</v>
      </c>
      <c r="K1623" t="s">
        <v>1357</v>
      </c>
      <c r="L1623" t="s">
        <v>1357</v>
      </c>
    </row>
    <row r="1624" spans="6:12">
      <c r="H1624" t="s">
        <v>20230</v>
      </c>
      <c r="I1624" t="s">
        <v>1357</v>
      </c>
      <c r="J1624" t="s">
        <v>1357</v>
      </c>
      <c r="K1624" t="s">
        <v>1357</v>
      </c>
      <c r="L1624" t="s">
        <v>1357</v>
      </c>
    </row>
    <row r="1625" spans="6:12">
      <c r="H1625" t="s">
        <v>20227</v>
      </c>
      <c r="I1625" t="s">
        <v>1357</v>
      </c>
      <c r="J1625" t="s">
        <v>1357</v>
      </c>
      <c r="K1625" t="s">
        <v>1357</v>
      </c>
      <c r="L1625" t="s">
        <v>1357</v>
      </c>
    </row>
    <row r="1626" spans="6:12">
      <c r="H1626" t="s">
        <v>20296</v>
      </c>
      <c r="I1626" t="s">
        <v>1357</v>
      </c>
      <c r="J1626" t="s">
        <v>1357</v>
      </c>
      <c r="K1626" t="s">
        <v>1357</v>
      </c>
      <c r="L1626" t="s">
        <v>1357</v>
      </c>
    </row>
    <row r="1627" spans="6:12">
      <c r="H1627" t="s">
        <v>20297</v>
      </c>
      <c r="I1627" t="s">
        <v>1357</v>
      </c>
      <c r="J1627" t="s">
        <v>1357</v>
      </c>
      <c r="K1627" t="s">
        <v>1357</v>
      </c>
      <c r="L1627" t="s">
        <v>1357</v>
      </c>
    </row>
    <row r="1628" spans="6:12">
      <c r="H1628" t="s">
        <v>20234</v>
      </c>
      <c r="I1628" t="s">
        <v>1357</v>
      </c>
      <c r="J1628" t="s">
        <v>1357</v>
      </c>
      <c r="K1628" t="s">
        <v>1357</v>
      </c>
      <c r="L1628" t="s">
        <v>1357</v>
      </c>
    </row>
    <row r="1629" spans="6:12">
      <c r="H1629" t="s">
        <v>20235</v>
      </c>
      <c r="I1629" t="s">
        <v>1357</v>
      </c>
      <c r="J1629" t="s">
        <v>1357</v>
      </c>
      <c r="K1629" t="s">
        <v>1357</v>
      </c>
      <c r="L1629" t="s">
        <v>1357</v>
      </c>
    </row>
    <row r="1630" spans="6:12">
      <c r="H1630" t="s">
        <v>20284</v>
      </c>
      <c r="I1630" t="s">
        <v>1357</v>
      </c>
      <c r="J1630" t="s">
        <v>1357</v>
      </c>
      <c r="K1630" t="s">
        <v>1357</v>
      </c>
      <c r="L1630" t="s">
        <v>1357</v>
      </c>
    </row>
    <row r="1631" spans="6:12">
      <c r="H1631" t="s">
        <v>20285</v>
      </c>
      <c r="I1631" t="s">
        <v>1357</v>
      </c>
      <c r="J1631" t="s">
        <v>1357</v>
      </c>
      <c r="K1631" t="s">
        <v>1357</v>
      </c>
      <c r="L1631" t="s">
        <v>1357</v>
      </c>
    </row>
    <row r="1632" spans="6:12">
      <c r="H1632" t="s">
        <v>20286</v>
      </c>
      <c r="I1632" t="s">
        <v>1357</v>
      </c>
      <c r="J1632" t="s">
        <v>1357</v>
      </c>
      <c r="K1632" t="s">
        <v>1357</v>
      </c>
      <c r="L1632" t="s">
        <v>1357</v>
      </c>
    </row>
    <row r="1633" spans="6:12">
      <c r="H1633" t="s">
        <v>20287</v>
      </c>
      <c r="I1633" t="s">
        <v>1357</v>
      </c>
      <c r="J1633" t="s">
        <v>1357</v>
      </c>
      <c r="K1633" t="s">
        <v>1357</v>
      </c>
      <c r="L1633" t="s">
        <v>1357</v>
      </c>
    </row>
    <row r="1634" spans="6:12">
      <c r="H1634" t="s">
        <v>20288</v>
      </c>
      <c r="I1634" t="s">
        <v>1357</v>
      </c>
      <c r="J1634" t="s">
        <v>1357</v>
      </c>
      <c r="K1634" t="s">
        <v>1357</v>
      </c>
      <c r="L1634" t="s">
        <v>1357</v>
      </c>
    </row>
    <row r="1635" spans="6:12">
      <c r="H1635" t="s">
        <v>20289</v>
      </c>
      <c r="I1635" t="s">
        <v>1357</v>
      </c>
      <c r="J1635" t="s">
        <v>1357</v>
      </c>
      <c r="K1635" t="s">
        <v>1357</v>
      </c>
      <c r="L1635" t="s">
        <v>1357</v>
      </c>
    </row>
    <row r="1636" spans="6:12">
      <c r="F1636" t="s">
        <v>14835</v>
      </c>
      <c r="G1636" t="s">
        <v>17679</v>
      </c>
      <c r="H1636" t="s">
        <v>20280</v>
      </c>
      <c r="I1636" t="s">
        <v>1357</v>
      </c>
      <c r="J1636" t="s">
        <v>1357</v>
      </c>
      <c r="K1636" t="s">
        <v>1357</v>
      </c>
      <c r="L1636" t="s">
        <v>1357</v>
      </c>
    </row>
    <row r="1637" spans="6:12">
      <c r="H1637" t="s">
        <v>20233</v>
      </c>
      <c r="I1637" t="s">
        <v>1357</v>
      </c>
      <c r="J1637" t="s">
        <v>1357</v>
      </c>
      <c r="K1637" t="s">
        <v>1357</v>
      </c>
      <c r="L1637" t="s">
        <v>1357</v>
      </c>
    </row>
    <row r="1638" spans="6:12">
      <c r="H1638" t="s">
        <v>20230</v>
      </c>
      <c r="I1638" t="s">
        <v>1357</v>
      </c>
      <c r="J1638" t="s">
        <v>1357</v>
      </c>
      <c r="K1638" t="s">
        <v>1357</v>
      </c>
      <c r="L1638" t="s">
        <v>1357</v>
      </c>
    </row>
    <row r="1639" spans="6:12">
      <c r="H1639" t="s">
        <v>20227</v>
      </c>
      <c r="I1639" t="s">
        <v>1357</v>
      </c>
      <c r="J1639" t="s">
        <v>1357</v>
      </c>
      <c r="K1639" t="s">
        <v>1357</v>
      </c>
      <c r="L1639" t="s">
        <v>1357</v>
      </c>
    </row>
    <row r="1640" spans="6:12">
      <c r="H1640" t="s">
        <v>20228</v>
      </c>
      <c r="I1640" t="s">
        <v>1357</v>
      </c>
      <c r="J1640" t="s">
        <v>1357</v>
      </c>
      <c r="K1640" t="s">
        <v>1357</v>
      </c>
      <c r="L1640" t="s">
        <v>1357</v>
      </c>
    </row>
    <row r="1641" spans="6:12">
      <c r="H1641" t="s">
        <v>20232</v>
      </c>
      <c r="I1641" t="s">
        <v>1357</v>
      </c>
      <c r="J1641" t="s">
        <v>1357</v>
      </c>
      <c r="K1641" t="s">
        <v>1357</v>
      </c>
      <c r="L1641" t="s">
        <v>1357</v>
      </c>
    </row>
    <row r="1642" spans="6:12">
      <c r="H1642" t="s">
        <v>20296</v>
      </c>
      <c r="I1642" t="s">
        <v>1357</v>
      </c>
      <c r="J1642" t="s">
        <v>1357</v>
      </c>
      <c r="K1642" t="s">
        <v>1357</v>
      </c>
      <c r="L1642" t="s">
        <v>1357</v>
      </c>
    </row>
    <row r="1643" spans="6:12">
      <c r="H1643" t="s">
        <v>20297</v>
      </c>
      <c r="I1643" t="s">
        <v>1357</v>
      </c>
      <c r="J1643" t="s">
        <v>1357</v>
      </c>
      <c r="K1643" t="s">
        <v>1357</v>
      </c>
      <c r="L1643" t="s">
        <v>1357</v>
      </c>
    </row>
    <row r="1644" spans="6:12">
      <c r="H1644" t="s">
        <v>20234</v>
      </c>
      <c r="I1644" t="s">
        <v>1357</v>
      </c>
      <c r="J1644" t="s">
        <v>1357</v>
      </c>
      <c r="K1644" t="s">
        <v>1357</v>
      </c>
      <c r="L1644" t="s">
        <v>1357</v>
      </c>
    </row>
    <row r="1645" spans="6:12">
      <c r="H1645" t="s">
        <v>20235</v>
      </c>
      <c r="I1645" t="s">
        <v>1357</v>
      </c>
      <c r="J1645" t="s">
        <v>1357</v>
      </c>
      <c r="K1645" t="s">
        <v>1357</v>
      </c>
      <c r="L1645" t="s">
        <v>1357</v>
      </c>
    </row>
    <row r="1646" spans="6:12">
      <c r="H1646" t="s">
        <v>20298</v>
      </c>
      <c r="I1646" t="s">
        <v>1357</v>
      </c>
      <c r="J1646" t="s">
        <v>1357</v>
      </c>
      <c r="K1646" t="s">
        <v>1357</v>
      </c>
      <c r="L1646" t="s">
        <v>1357</v>
      </c>
    </row>
    <row r="1647" spans="6:12">
      <c r="H1647" t="s">
        <v>20284</v>
      </c>
      <c r="I1647" t="s">
        <v>1357</v>
      </c>
      <c r="J1647" t="s">
        <v>1357</v>
      </c>
      <c r="K1647" t="s">
        <v>1357</v>
      </c>
      <c r="L1647" t="s">
        <v>1357</v>
      </c>
    </row>
    <row r="1648" spans="6:12">
      <c r="H1648" t="s">
        <v>20285</v>
      </c>
      <c r="I1648" t="s">
        <v>1357</v>
      </c>
      <c r="J1648" t="s">
        <v>1357</v>
      </c>
      <c r="K1648" t="s">
        <v>1357</v>
      </c>
      <c r="L1648" t="s">
        <v>1357</v>
      </c>
    </row>
    <row r="1649" spans="6:12">
      <c r="H1649" t="s">
        <v>20286</v>
      </c>
      <c r="I1649" t="s">
        <v>1357</v>
      </c>
      <c r="J1649" t="s">
        <v>1357</v>
      </c>
      <c r="K1649" t="s">
        <v>1357</v>
      </c>
      <c r="L1649" t="s">
        <v>1357</v>
      </c>
    </row>
    <row r="1650" spans="6:12">
      <c r="H1650" t="s">
        <v>20287</v>
      </c>
      <c r="I1650" t="s">
        <v>1357</v>
      </c>
      <c r="J1650" t="s">
        <v>1357</v>
      </c>
      <c r="K1650" t="s">
        <v>1357</v>
      </c>
      <c r="L1650" t="s">
        <v>1357</v>
      </c>
    </row>
    <row r="1651" spans="6:12">
      <c r="H1651" t="s">
        <v>20288</v>
      </c>
      <c r="I1651" t="s">
        <v>1357</v>
      </c>
      <c r="J1651" t="s">
        <v>1357</v>
      </c>
      <c r="K1651" t="s">
        <v>1357</v>
      </c>
      <c r="L1651" t="s">
        <v>1357</v>
      </c>
    </row>
    <row r="1652" spans="6:12">
      <c r="H1652" t="s">
        <v>20289</v>
      </c>
      <c r="I1652" t="s">
        <v>1357</v>
      </c>
      <c r="J1652" t="s">
        <v>1357</v>
      </c>
      <c r="K1652" t="s">
        <v>1357</v>
      </c>
      <c r="L1652" t="s">
        <v>1357</v>
      </c>
    </row>
    <row r="1653" spans="6:12">
      <c r="F1653" t="s">
        <v>14836</v>
      </c>
      <c r="G1653" t="s">
        <v>17680</v>
      </c>
      <c r="H1653" t="s">
        <v>20280</v>
      </c>
      <c r="I1653" t="s">
        <v>1357</v>
      </c>
      <c r="J1653" t="s">
        <v>1357</v>
      </c>
      <c r="K1653" t="s">
        <v>1357</v>
      </c>
      <c r="L1653" t="s">
        <v>1357</v>
      </c>
    </row>
    <row r="1654" spans="6:12">
      <c r="H1654" t="s">
        <v>20233</v>
      </c>
      <c r="I1654" t="s">
        <v>1357</v>
      </c>
      <c r="J1654" t="s">
        <v>1357</v>
      </c>
      <c r="K1654" t="s">
        <v>1357</v>
      </c>
      <c r="L1654" t="s">
        <v>1357</v>
      </c>
    </row>
    <row r="1655" spans="6:12">
      <c r="H1655" t="s">
        <v>20230</v>
      </c>
      <c r="I1655" t="s">
        <v>1357</v>
      </c>
      <c r="J1655" t="s">
        <v>1357</v>
      </c>
      <c r="K1655" t="s">
        <v>1357</v>
      </c>
      <c r="L1655" t="s">
        <v>1357</v>
      </c>
    </row>
    <row r="1656" spans="6:12">
      <c r="H1656" t="s">
        <v>20227</v>
      </c>
      <c r="I1656" t="s">
        <v>1357</v>
      </c>
      <c r="J1656" t="s">
        <v>1357</v>
      </c>
      <c r="K1656" t="s">
        <v>1357</v>
      </c>
      <c r="L1656" t="s">
        <v>1357</v>
      </c>
    </row>
    <row r="1657" spans="6:12">
      <c r="H1657" t="s">
        <v>20228</v>
      </c>
      <c r="I1657" t="s">
        <v>1357</v>
      </c>
      <c r="J1657" t="s">
        <v>1357</v>
      </c>
      <c r="K1657" t="s">
        <v>1357</v>
      </c>
      <c r="L1657" t="s">
        <v>1357</v>
      </c>
    </row>
    <row r="1658" spans="6:12">
      <c r="H1658" t="s">
        <v>20232</v>
      </c>
      <c r="I1658" t="s">
        <v>1357</v>
      </c>
      <c r="J1658" t="s">
        <v>1357</v>
      </c>
      <c r="K1658" t="s">
        <v>1357</v>
      </c>
      <c r="L1658" t="s">
        <v>1357</v>
      </c>
    </row>
    <row r="1659" spans="6:12">
      <c r="H1659" t="s">
        <v>20296</v>
      </c>
      <c r="I1659" t="s">
        <v>1357</v>
      </c>
      <c r="J1659" t="s">
        <v>1357</v>
      </c>
      <c r="K1659" t="s">
        <v>1357</v>
      </c>
      <c r="L1659" t="s">
        <v>1357</v>
      </c>
    </row>
    <row r="1660" spans="6:12">
      <c r="H1660" t="s">
        <v>20297</v>
      </c>
      <c r="I1660" t="s">
        <v>1357</v>
      </c>
      <c r="J1660" t="s">
        <v>1357</v>
      </c>
      <c r="K1660" t="s">
        <v>1357</v>
      </c>
      <c r="L1660" t="s">
        <v>1357</v>
      </c>
    </row>
    <row r="1661" spans="6:12">
      <c r="H1661" t="s">
        <v>20234</v>
      </c>
      <c r="I1661" t="s">
        <v>1357</v>
      </c>
      <c r="J1661" t="s">
        <v>1357</v>
      </c>
      <c r="K1661" t="s">
        <v>1357</v>
      </c>
      <c r="L1661" t="s">
        <v>1357</v>
      </c>
    </row>
    <row r="1662" spans="6:12">
      <c r="H1662" t="s">
        <v>20235</v>
      </c>
      <c r="I1662" t="s">
        <v>1357</v>
      </c>
      <c r="J1662" t="s">
        <v>1357</v>
      </c>
      <c r="K1662" t="s">
        <v>1357</v>
      </c>
      <c r="L1662" t="s">
        <v>1357</v>
      </c>
    </row>
    <row r="1663" spans="6:12">
      <c r="H1663" t="s">
        <v>20298</v>
      </c>
      <c r="I1663" t="s">
        <v>1357</v>
      </c>
      <c r="J1663" t="s">
        <v>1357</v>
      </c>
      <c r="K1663" t="s">
        <v>1357</v>
      </c>
      <c r="L1663" t="s">
        <v>1357</v>
      </c>
    </row>
    <row r="1664" spans="6:12">
      <c r="H1664" t="s">
        <v>20284</v>
      </c>
      <c r="I1664" t="s">
        <v>1357</v>
      </c>
      <c r="J1664" t="s">
        <v>1357</v>
      </c>
      <c r="K1664" t="s">
        <v>1357</v>
      </c>
      <c r="L1664" t="s">
        <v>1357</v>
      </c>
    </row>
    <row r="1665" spans="6:12">
      <c r="H1665" t="s">
        <v>20285</v>
      </c>
      <c r="I1665" t="s">
        <v>1357</v>
      </c>
      <c r="J1665" t="s">
        <v>1357</v>
      </c>
      <c r="K1665" t="s">
        <v>1357</v>
      </c>
      <c r="L1665" t="s">
        <v>1357</v>
      </c>
    </row>
    <row r="1666" spans="6:12">
      <c r="H1666" t="s">
        <v>20286</v>
      </c>
      <c r="I1666" t="s">
        <v>1357</v>
      </c>
      <c r="J1666" t="s">
        <v>1357</v>
      </c>
      <c r="K1666" t="s">
        <v>1357</v>
      </c>
      <c r="L1666" t="s">
        <v>1357</v>
      </c>
    </row>
    <row r="1667" spans="6:12">
      <c r="H1667" t="s">
        <v>20287</v>
      </c>
      <c r="I1667" t="s">
        <v>1357</v>
      </c>
      <c r="J1667" t="s">
        <v>1357</v>
      </c>
      <c r="K1667" t="s">
        <v>1357</v>
      </c>
      <c r="L1667" t="s">
        <v>1357</v>
      </c>
    </row>
    <row r="1668" spans="6:12">
      <c r="H1668" t="s">
        <v>20288</v>
      </c>
      <c r="I1668" t="s">
        <v>1357</v>
      </c>
      <c r="J1668" t="s">
        <v>1357</v>
      </c>
      <c r="K1668" t="s">
        <v>1357</v>
      </c>
      <c r="L1668" t="s">
        <v>1357</v>
      </c>
    </row>
    <row r="1669" spans="6:12">
      <c r="H1669" t="s">
        <v>20289</v>
      </c>
      <c r="I1669" t="s">
        <v>1357</v>
      </c>
      <c r="J1669" t="s">
        <v>1357</v>
      </c>
      <c r="K1669" t="s">
        <v>1357</v>
      </c>
      <c r="L1669" t="s">
        <v>1357</v>
      </c>
    </row>
    <row r="1670" spans="6:12">
      <c r="F1670" t="s">
        <v>14837</v>
      </c>
      <c r="G1670" t="s">
        <v>17681</v>
      </c>
      <c r="H1670" t="s">
        <v>20280</v>
      </c>
      <c r="I1670" t="s">
        <v>1357</v>
      </c>
      <c r="J1670" t="s">
        <v>1357</v>
      </c>
      <c r="K1670" t="s">
        <v>1357</v>
      </c>
      <c r="L1670" t="s">
        <v>1357</v>
      </c>
    </row>
    <row r="1671" spans="6:12">
      <c r="H1671" t="s">
        <v>20233</v>
      </c>
      <c r="I1671" t="s">
        <v>1357</v>
      </c>
      <c r="J1671" t="s">
        <v>1357</v>
      </c>
      <c r="K1671" t="s">
        <v>1357</v>
      </c>
      <c r="L1671" t="s">
        <v>1357</v>
      </c>
    </row>
    <row r="1672" spans="6:12">
      <c r="H1672" t="s">
        <v>20230</v>
      </c>
      <c r="I1672" t="s">
        <v>1357</v>
      </c>
      <c r="J1672" t="s">
        <v>1357</v>
      </c>
      <c r="K1672" t="s">
        <v>1357</v>
      </c>
      <c r="L1672" t="s">
        <v>1357</v>
      </c>
    </row>
    <row r="1673" spans="6:12">
      <c r="H1673" t="s">
        <v>20227</v>
      </c>
      <c r="I1673" t="s">
        <v>1357</v>
      </c>
      <c r="J1673" t="s">
        <v>1357</v>
      </c>
      <c r="K1673" t="s">
        <v>1357</v>
      </c>
      <c r="L1673" t="s">
        <v>1357</v>
      </c>
    </row>
    <row r="1674" spans="6:12">
      <c r="H1674" t="s">
        <v>20228</v>
      </c>
      <c r="I1674" t="s">
        <v>1357</v>
      </c>
      <c r="J1674" t="s">
        <v>1357</v>
      </c>
      <c r="K1674" t="s">
        <v>1357</v>
      </c>
      <c r="L1674" t="s">
        <v>1357</v>
      </c>
    </row>
    <row r="1675" spans="6:12">
      <c r="H1675" t="s">
        <v>20232</v>
      </c>
      <c r="I1675" t="s">
        <v>1357</v>
      </c>
      <c r="J1675" t="s">
        <v>1357</v>
      </c>
      <c r="K1675" t="s">
        <v>1357</v>
      </c>
      <c r="L1675" t="s">
        <v>1357</v>
      </c>
    </row>
    <row r="1676" spans="6:12">
      <c r="H1676" t="s">
        <v>20296</v>
      </c>
      <c r="I1676" t="s">
        <v>1357</v>
      </c>
      <c r="J1676" t="s">
        <v>1357</v>
      </c>
      <c r="K1676" t="s">
        <v>1357</v>
      </c>
      <c r="L1676" t="s">
        <v>1357</v>
      </c>
    </row>
    <row r="1677" spans="6:12">
      <c r="H1677" t="s">
        <v>20297</v>
      </c>
      <c r="I1677" t="s">
        <v>1357</v>
      </c>
      <c r="J1677" t="s">
        <v>1357</v>
      </c>
      <c r="K1677" t="s">
        <v>1357</v>
      </c>
      <c r="L1677" t="s">
        <v>1357</v>
      </c>
    </row>
    <row r="1678" spans="6:12">
      <c r="H1678" t="s">
        <v>20234</v>
      </c>
      <c r="I1678" t="s">
        <v>1357</v>
      </c>
      <c r="J1678" t="s">
        <v>1357</v>
      </c>
      <c r="K1678" t="s">
        <v>1357</v>
      </c>
      <c r="L1678" t="s">
        <v>1357</v>
      </c>
    </row>
    <row r="1679" spans="6:12">
      <c r="H1679" t="s">
        <v>20235</v>
      </c>
      <c r="I1679" t="s">
        <v>1357</v>
      </c>
      <c r="J1679" t="s">
        <v>1357</v>
      </c>
      <c r="K1679" t="s">
        <v>1357</v>
      </c>
      <c r="L1679" t="s">
        <v>1357</v>
      </c>
    </row>
    <row r="1680" spans="6:12">
      <c r="H1680" t="s">
        <v>20298</v>
      </c>
      <c r="I1680" t="s">
        <v>1357</v>
      </c>
      <c r="J1680" t="s">
        <v>1357</v>
      </c>
      <c r="K1680" t="s">
        <v>1357</v>
      </c>
      <c r="L1680" t="s">
        <v>1357</v>
      </c>
    </row>
    <row r="1681" spans="6:12">
      <c r="H1681" t="s">
        <v>20284</v>
      </c>
      <c r="I1681" t="s">
        <v>1357</v>
      </c>
      <c r="J1681" t="s">
        <v>1357</v>
      </c>
      <c r="K1681" t="s">
        <v>1357</v>
      </c>
      <c r="L1681" t="s">
        <v>1357</v>
      </c>
    </row>
    <row r="1682" spans="6:12">
      <c r="H1682" t="s">
        <v>20285</v>
      </c>
      <c r="I1682" t="s">
        <v>1357</v>
      </c>
      <c r="J1682" t="s">
        <v>1357</v>
      </c>
      <c r="K1682" t="s">
        <v>1357</v>
      </c>
      <c r="L1682" t="s">
        <v>1357</v>
      </c>
    </row>
    <row r="1683" spans="6:12">
      <c r="H1683" t="s">
        <v>20286</v>
      </c>
      <c r="I1683" t="s">
        <v>1357</v>
      </c>
      <c r="J1683" t="s">
        <v>1357</v>
      </c>
      <c r="K1683" t="s">
        <v>1357</v>
      </c>
      <c r="L1683" t="s">
        <v>1357</v>
      </c>
    </row>
    <row r="1684" spans="6:12">
      <c r="H1684" t="s">
        <v>20287</v>
      </c>
      <c r="I1684" t="s">
        <v>1357</v>
      </c>
      <c r="J1684" t="s">
        <v>1357</v>
      </c>
      <c r="K1684" t="s">
        <v>1357</v>
      </c>
      <c r="L1684" t="s">
        <v>1357</v>
      </c>
    </row>
    <row r="1685" spans="6:12">
      <c r="H1685" t="s">
        <v>20288</v>
      </c>
      <c r="I1685" t="s">
        <v>1357</v>
      </c>
      <c r="J1685" t="s">
        <v>1357</v>
      </c>
      <c r="K1685" t="s">
        <v>1357</v>
      </c>
      <c r="L1685" t="s">
        <v>1357</v>
      </c>
    </row>
    <row r="1686" spans="6:12">
      <c r="H1686" t="s">
        <v>20289</v>
      </c>
      <c r="I1686" t="s">
        <v>1357</v>
      </c>
      <c r="J1686" t="s">
        <v>1357</v>
      </c>
      <c r="K1686" t="s">
        <v>1357</v>
      </c>
      <c r="L1686" t="s">
        <v>1357</v>
      </c>
    </row>
    <row r="1687" spans="6:12">
      <c r="F1687" t="s">
        <v>14838</v>
      </c>
      <c r="G1687" t="s">
        <v>17682</v>
      </c>
      <c r="H1687" t="s">
        <v>20280</v>
      </c>
      <c r="I1687" t="s">
        <v>1357</v>
      </c>
      <c r="J1687" t="s">
        <v>1357</v>
      </c>
      <c r="K1687" t="s">
        <v>1357</v>
      </c>
      <c r="L1687" t="s">
        <v>1357</v>
      </c>
    </row>
    <row r="1688" spans="6:12">
      <c r="H1688" t="s">
        <v>20233</v>
      </c>
      <c r="I1688" t="s">
        <v>1357</v>
      </c>
      <c r="J1688" t="s">
        <v>1357</v>
      </c>
      <c r="K1688" t="s">
        <v>1357</v>
      </c>
      <c r="L1688" t="s">
        <v>1357</v>
      </c>
    </row>
    <row r="1689" spans="6:12">
      <c r="H1689" t="s">
        <v>20230</v>
      </c>
      <c r="I1689" t="s">
        <v>1357</v>
      </c>
      <c r="J1689" t="s">
        <v>1357</v>
      </c>
      <c r="K1689" t="s">
        <v>1357</v>
      </c>
      <c r="L1689" t="s">
        <v>1357</v>
      </c>
    </row>
    <row r="1690" spans="6:12">
      <c r="H1690" t="s">
        <v>20227</v>
      </c>
      <c r="I1690" t="s">
        <v>1357</v>
      </c>
      <c r="J1690" t="s">
        <v>1357</v>
      </c>
      <c r="K1690" t="s">
        <v>1357</v>
      </c>
      <c r="L1690" t="s">
        <v>1357</v>
      </c>
    </row>
    <row r="1691" spans="6:12">
      <c r="H1691" t="s">
        <v>20228</v>
      </c>
      <c r="I1691" t="s">
        <v>1357</v>
      </c>
      <c r="J1691" t="s">
        <v>1357</v>
      </c>
      <c r="K1691" t="s">
        <v>1357</v>
      </c>
      <c r="L1691" t="s">
        <v>1357</v>
      </c>
    </row>
    <row r="1692" spans="6:12">
      <c r="H1692" t="s">
        <v>20232</v>
      </c>
      <c r="I1692" t="s">
        <v>1357</v>
      </c>
      <c r="J1692" t="s">
        <v>1357</v>
      </c>
      <c r="K1692" t="s">
        <v>1357</v>
      </c>
      <c r="L1692" t="s">
        <v>1357</v>
      </c>
    </row>
    <row r="1693" spans="6:12">
      <c r="H1693" t="s">
        <v>20296</v>
      </c>
      <c r="I1693" t="s">
        <v>1357</v>
      </c>
      <c r="J1693" t="s">
        <v>1357</v>
      </c>
      <c r="K1693" t="s">
        <v>1357</v>
      </c>
      <c r="L1693" t="s">
        <v>1357</v>
      </c>
    </row>
    <row r="1694" spans="6:12">
      <c r="H1694" t="s">
        <v>20297</v>
      </c>
      <c r="I1694" t="s">
        <v>1357</v>
      </c>
      <c r="J1694" t="s">
        <v>1357</v>
      </c>
      <c r="K1694" t="s">
        <v>1357</v>
      </c>
      <c r="L1694" t="s">
        <v>1357</v>
      </c>
    </row>
    <row r="1695" spans="6:12">
      <c r="H1695" t="s">
        <v>20234</v>
      </c>
      <c r="I1695" t="s">
        <v>1357</v>
      </c>
      <c r="J1695" t="s">
        <v>1357</v>
      </c>
      <c r="K1695" t="s">
        <v>1357</v>
      </c>
      <c r="L1695" t="s">
        <v>1357</v>
      </c>
    </row>
    <row r="1696" spans="6:12">
      <c r="H1696" t="s">
        <v>20235</v>
      </c>
      <c r="I1696" t="s">
        <v>1357</v>
      </c>
      <c r="J1696" t="s">
        <v>1357</v>
      </c>
      <c r="K1696" t="s">
        <v>1357</v>
      </c>
      <c r="L1696" t="s">
        <v>1357</v>
      </c>
    </row>
    <row r="1697" spans="6:12">
      <c r="H1697" t="s">
        <v>20298</v>
      </c>
      <c r="I1697" t="s">
        <v>1357</v>
      </c>
      <c r="J1697" t="s">
        <v>1357</v>
      </c>
      <c r="K1697" t="s">
        <v>1357</v>
      </c>
      <c r="L1697" t="s">
        <v>1357</v>
      </c>
    </row>
    <row r="1698" spans="6:12">
      <c r="H1698" t="s">
        <v>20284</v>
      </c>
      <c r="I1698" t="s">
        <v>1357</v>
      </c>
      <c r="J1698" t="s">
        <v>1357</v>
      </c>
      <c r="K1698" t="s">
        <v>1357</v>
      </c>
      <c r="L1698" t="s">
        <v>1357</v>
      </c>
    </row>
    <row r="1699" spans="6:12">
      <c r="H1699" t="s">
        <v>20285</v>
      </c>
      <c r="I1699" t="s">
        <v>1357</v>
      </c>
      <c r="J1699" t="s">
        <v>1357</v>
      </c>
      <c r="K1699" t="s">
        <v>1357</v>
      </c>
      <c r="L1699" t="s">
        <v>1357</v>
      </c>
    </row>
    <row r="1700" spans="6:12">
      <c r="H1700" t="s">
        <v>20286</v>
      </c>
      <c r="I1700" t="s">
        <v>1357</v>
      </c>
      <c r="J1700" t="s">
        <v>1357</v>
      </c>
      <c r="K1700" t="s">
        <v>1357</v>
      </c>
      <c r="L1700" t="s">
        <v>1357</v>
      </c>
    </row>
    <row r="1701" spans="6:12">
      <c r="H1701" t="s">
        <v>20287</v>
      </c>
      <c r="I1701" t="s">
        <v>1357</v>
      </c>
      <c r="J1701" t="s">
        <v>1357</v>
      </c>
      <c r="K1701" t="s">
        <v>1357</v>
      </c>
      <c r="L1701" t="s">
        <v>1357</v>
      </c>
    </row>
    <row r="1702" spans="6:12">
      <c r="H1702" t="s">
        <v>20288</v>
      </c>
      <c r="I1702" t="s">
        <v>1357</v>
      </c>
      <c r="J1702" t="s">
        <v>1357</v>
      </c>
      <c r="K1702" t="s">
        <v>1357</v>
      </c>
      <c r="L1702" t="s">
        <v>1357</v>
      </c>
    </row>
    <row r="1703" spans="6:12">
      <c r="H1703" t="s">
        <v>20289</v>
      </c>
      <c r="I1703" t="s">
        <v>1357</v>
      </c>
      <c r="J1703" t="s">
        <v>1357</v>
      </c>
      <c r="K1703" t="s">
        <v>1357</v>
      </c>
      <c r="L1703" t="s">
        <v>1357</v>
      </c>
    </row>
    <row r="1704" spans="6:12">
      <c r="F1704" t="s">
        <v>14839</v>
      </c>
      <c r="G1704" t="s">
        <v>17683</v>
      </c>
      <c r="H1704" t="s">
        <v>20280</v>
      </c>
      <c r="I1704" t="s">
        <v>1357</v>
      </c>
      <c r="J1704" t="s">
        <v>1357</v>
      </c>
      <c r="K1704" t="s">
        <v>1357</v>
      </c>
      <c r="L1704" t="s">
        <v>1357</v>
      </c>
    </row>
    <row r="1705" spans="6:12">
      <c r="H1705" t="s">
        <v>20233</v>
      </c>
      <c r="I1705" t="s">
        <v>1357</v>
      </c>
      <c r="J1705" t="s">
        <v>1357</v>
      </c>
      <c r="K1705" t="s">
        <v>1357</v>
      </c>
      <c r="L1705" t="s">
        <v>1357</v>
      </c>
    </row>
    <row r="1706" spans="6:12">
      <c r="H1706" t="s">
        <v>20230</v>
      </c>
      <c r="I1706" t="s">
        <v>1357</v>
      </c>
      <c r="J1706" t="s">
        <v>1357</v>
      </c>
      <c r="K1706" t="s">
        <v>1357</v>
      </c>
      <c r="L1706" t="s">
        <v>1357</v>
      </c>
    </row>
    <row r="1707" spans="6:12">
      <c r="H1707" t="s">
        <v>20227</v>
      </c>
      <c r="I1707" t="s">
        <v>1357</v>
      </c>
      <c r="J1707" t="s">
        <v>1357</v>
      </c>
      <c r="K1707" t="s">
        <v>1357</v>
      </c>
      <c r="L1707" t="s">
        <v>1357</v>
      </c>
    </row>
    <row r="1708" spans="6:12">
      <c r="H1708" t="s">
        <v>20296</v>
      </c>
      <c r="I1708" t="s">
        <v>1357</v>
      </c>
      <c r="J1708" t="s">
        <v>1357</v>
      </c>
      <c r="K1708" t="s">
        <v>1357</v>
      </c>
      <c r="L1708" t="s">
        <v>1357</v>
      </c>
    </row>
    <row r="1709" spans="6:12">
      <c r="H1709" t="s">
        <v>20297</v>
      </c>
      <c r="I1709" t="s">
        <v>1357</v>
      </c>
      <c r="J1709" t="s">
        <v>1357</v>
      </c>
      <c r="K1709" t="s">
        <v>1357</v>
      </c>
      <c r="L1709" t="s">
        <v>1357</v>
      </c>
    </row>
    <row r="1710" spans="6:12">
      <c r="H1710" t="s">
        <v>20234</v>
      </c>
      <c r="I1710" t="s">
        <v>1357</v>
      </c>
      <c r="J1710" t="s">
        <v>1357</v>
      </c>
      <c r="K1710" t="s">
        <v>1357</v>
      </c>
      <c r="L1710" t="s">
        <v>1357</v>
      </c>
    </row>
    <row r="1711" spans="6:12">
      <c r="H1711" t="s">
        <v>20235</v>
      </c>
      <c r="I1711" t="s">
        <v>1357</v>
      </c>
      <c r="J1711" t="s">
        <v>1357</v>
      </c>
      <c r="K1711" t="s">
        <v>1357</v>
      </c>
      <c r="L1711" t="s">
        <v>1357</v>
      </c>
    </row>
    <row r="1712" spans="6:12">
      <c r="H1712" t="s">
        <v>20284</v>
      </c>
      <c r="I1712" t="s">
        <v>1357</v>
      </c>
      <c r="J1712" t="s">
        <v>1357</v>
      </c>
      <c r="K1712" t="s">
        <v>1357</v>
      </c>
      <c r="L1712" t="s">
        <v>1357</v>
      </c>
    </row>
    <row r="1713" spans="6:12">
      <c r="H1713" t="s">
        <v>20285</v>
      </c>
      <c r="I1713" t="s">
        <v>1357</v>
      </c>
      <c r="J1713" t="s">
        <v>1357</v>
      </c>
      <c r="K1713" t="s">
        <v>1357</v>
      </c>
      <c r="L1713" t="s">
        <v>1357</v>
      </c>
    </row>
    <row r="1714" spans="6:12">
      <c r="H1714" t="s">
        <v>20286</v>
      </c>
      <c r="I1714" t="s">
        <v>1357</v>
      </c>
      <c r="J1714" t="s">
        <v>1357</v>
      </c>
      <c r="K1714" t="s">
        <v>1357</v>
      </c>
      <c r="L1714" t="s">
        <v>1357</v>
      </c>
    </row>
    <row r="1715" spans="6:12">
      <c r="H1715" t="s">
        <v>20287</v>
      </c>
      <c r="I1715" t="s">
        <v>1357</v>
      </c>
      <c r="J1715" t="s">
        <v>1357</v>
      </c>
      <c r="K1715" t="s">
        <v>1357</v>
      </c>
      <c r="L1715" t="s">
        <v>1357</v>
      </c>
    </row>
    <row r="1716" spans="6:12">
      <c r="H1716" t="s">
        <v>20288</v>
      </c>
      <c r="I1716" t="s">
        <v>1357</v>
      </c>
      <c r="J1716" t="s">
        <v>1357</v>
      </c>
      <c r="K1716" t="s">
        <v>1357</v>
      </c>
      <c r="L1716" t="s">
        <v>1357</v>
      </c>
    </row>
    <row r="1717" spans="6:12">
      <c r="H1717" t="s">
        <v>20289</v>
      </c>
      <c r="I1717" t="s">
        <v>1357</v>
      </c>
      <c r="J1717" t="s">
        <v>1357</v>
      </c>
      <c r="K1717" t="s">
        <v>1357</v>
      </c>
      <c r="L1717" t="s">
        <v>1357</v>
      </c>
    </row>
    <row r="1718" spans="6:12">
      <c r="F1718" t="s">
        <v>14840</v>
      </c>
      <c r="G1718" t="s">
        <v>17684</v>
      </c>
      <c r="H1718" t="s">
        <v>20280</v>
      </c>
      <c r="I1718" t="s">
        <v>1357</v>
      </c>
      <c r="J1718" t="s">
        <v>1357</v>
      </c>
      <c r="K1718" t="s">
        <v>1357</v>
      </c>
      <c r="L1718" t="s">
        <v>1357</v>
      </c>
    </row>
    <row r="1719" spans="6:12">
      <c r="H1719" t="s">
        <v>20233</v>
      </c>
      <c r="I1719" t="s">
        <v>1357</v>
      </c>
      <c r="J1719" t="s">
        <v>1357</v>
      </c>
      <c r="K1719" t="s">
        <v>1357</v>
      </c>
      <c r="L1719" t="s">
        <v>1357</v>
      </c>
    </row>
    <row r="1720" spans="6:12">
      <c r="H1720" t="s">
        <v>20230</v>
      </c>
      <c r="I1720" t="s">
        <v>1357</v>
      </c>
      <c r="J1720" t="s">
        <v>1357</v>
      </c>
      <c r="K1720" t="s">
        <v>1357</v>
      </c>
      <c r="L1720" t="s">
        <v>1357</v>
      </c>
    </row>
    <row r="1721" spans="6:12">
      <c r="H1721" t="s">
        <v>20296</v>
      </c>
      <c r="I1721" t="s">
        <v>1357</v>
      </c>
      <c r="J1721" t="s">
        <v>1357</v>
      </c>
      <c r="K1721" t="s">
        <v>1357</v>
      </c>
      <c r="L1721" t="s">
        <v>1357</v>
      </c>
    </row>
    <row r="1722" spans="6:12">
      <c r="H1722" t="s">
        <v>20297</v>
      </c>
      <c r="I1722" t="s">
        <v>1357</v>
      </c>
      <c r="J1722" t="s">
        <v>1357</v>
      </c>
      <c r="K1722" t="s">
        <v>1357</v>
      </c>
      <c r="L1722" t="s">
        <v>1357</v>
      </c>
    </row>
    <row r="1723" spans="6:12">
      <c r="H1723" t="s">
        <v>20284</v>
      </c>
      <c r="I1723" t="s">
        <v>1357</v>
      </c>
      <c r="J1723" t="s">
        <v>1357</v>
      </c>
      <c r="K1723" t="s">
        <v>1357</v>
      </c>
      <c r="L1723" t="s">
        <v>1357</v>
      </c>
    </row>
    <row r="1724" spans="6:12">
      <c r="H1724" t="s">
        <v>20285</v>
      </c>
      <c r="I1724" t="s">
        <v>1357</v>
      </c>
      <c r="J1724" t="s">
        <v>1357</v>
      </c>
      <c r="K1724" t="s">
        <v>1357</v>
      </c>
      <c r="L1724" t="s">
        <v>1357</v>
      </c>
    </row>
    <row r="1725" spans="6:12">
      <c r="H1725" t="s">
        <v>20286</v>
      </c>
      <c r="I1725" t="s">
        <v>1357</v>
      </c>
      <c r="J1725" t="s">
        <v>1357</v>
      </c>
      <c r="K1725" t="s">
        <v>1357</v>
      </c>
      <c r="L1725" t="s">
        <v>1357</v>
      </c>
    </row>
    <row r="1726" spans="6:12">
      <c r="H1726" t="s">
        <v>20287</v>
      </c>
      <c r="I1726" t="s">
        <v>1357</v>
      </c>
      <c r="J1726" t="s">
        <v>1357</v>
      </c>
      <c r="K1726" t="s">
        <v>1357</v>
      </c>
      <c r="L1726" t="s">
        <v>1357</v>
      </c>
    </row>
    <row r="1727" spans="6:12">
      <c r="H1727" t="s">
        <v>20288</v>
      </c>
      <c r="I1727" t="s">
        <v>1357</v>
      </c>
      <c r="J1727" t="s">
        <v>1357</v>
      </c>
      <c r="K1727" t="s">
        <v>1357</v>
      </c>
      <c r="L1727" t="s">
        <v>1357</v>
      </c>
    </row>
    <row r="1728" spans="6:12">
      <c r="H1728" t="s">
        <v>20289</v>
      </c>
      <c r="I1728" t="s">
        <v>1357</v>
      </c>
      <c r="J1728" t="s">
        <v>1357</v>
      </c>
      <c r="K1728" t="s">
        <v>1357</v>
      </c>
      <c r="L1728" t="s">
        <v>1357</v>
      </c>
    </row>
    <row r="1729" spans="6:12">
      <c r="F1729" t="s">
        <v>14841</v>
      </c>
      <c r="G1729" t="s">
        <v>17685</v>
      </c>
      <c r="H1729" t="s">
        <v>20280</v>
      </c>
      <c r="I1729" t="s">
        <v>1357</v>
      </c>
      <c r="J1729" t="s">
        <v>1357</v>
      </c>
      <c r="K1729" t="s">
        <v>1357</v>
      </c>
      <c r="L1729" t="s">
        <v>1357</v>
      </c>
    </row>
    <row r="1730" spans="6:12">
      <c r="H1730" t="s">
        <v>20233</v>
      </c>
      <c r="I1730" t="s">
        <v>1357</v>
      </c>
      <c r="J1730" t="s">
        <v>1357</v>
      </c>
      <c r="K1730" t="s">
        <v>1357</v>
      </c>
      <c r="L1730" t="s">
        <v>1357</v>
      </c>
    </row>
    <row r="1731" spans="6:12">
      <c r="H1731" t="s">
        <v>20230</v>
      </c>
      <c r="I1731" t="s">
        <v>1357</v>
      </c>
      <c r="J1731" t="s">
        <v>1357</v>
      </c>
      <c r="K1731" t="s">
        <v>1357</v>
      </c>
      <c r="L1731" t="s">
        <v>1357</v>
      </c>
    </row>
    <row r="1732" spans="6:12">
      <c r="H1732" t="s">
        <v>20296</v>
      </c>
      <c r="I1732" t="s">
        <v>1357</v>
      </c>
      <c r="J1732" t="s">
        <v>1357</v>
      </c>
      <c r="K1732" t="s">
        <v>1357</v>
      </c>
      <c r="L1732" t="s">
        <v>1357</v>
      </c>
    </row>
    <row r="1733" spans="6:12">
      <c r="H1733" t="s">
        <v>20297</v>
      </c>
      <c r="I1733" t="s">
        <v>1357</v>
      </c>
      <c r="J1733" t="s">
        <v>1357</v>
      </c>
      <c r="K1733" t="s">
        <v>1357</v>
      </c>
      <c r="L1733" t="s">
        <v>1357</v>
      </c>
    </row>
    <row r="1734" spans="6:12">
      <c r="H1734" t="s">
        <v>20284</v>
      </c>
      <c r="I1734" t="s">
        <v>1357</v>
      </c>
      <c r="J1734" t="s">
        <v>1357</v>
      </c>
      <c r="K1734" t="s">
        <v>1357</v>
      </c>
      <c r="L1734" t="s">
        <v>1357</v>
      </c>
    </row>
    <row r="1735" spans="6:12">
      <c r="H1735" t="s">
        <v>20285</v>
      </c>
      <c r="I1735" t="s">
        <v>1357</v>
      </c>
      <c r="J1735" t="s">
        <v>1357</v>
      </c>
      <c r="K1735" t="s">
        <v>1357</v>
      </c>
      <c r="L1735" t="s">
        <v>1357</v>
      </c>
    </row>
    <row r="1736" spans="6:12">
      <c r="H1736" t="s">
        <v>20286</v>
      </c>
      <c r="I1736" t="s">
        <v>1357</v>
      </c>
      <c r="J1736" t="s">
        <v>1357</v>
      </c>
      <c r="K1736" t="s">
        <v>1357</v>
      </c>
      <c r="L1736" t="s">
        <v>1357</v>
      </c>
    </row>
    <row r="1737" spans="6:12">
      <c r="H1737" t="s">
        <v>20287</v>
      </c>
      <c r="I1737" t="s">
        <v>1357</v>
      </c>
      <c r="J1737" t="s">
        <v>1357</v>
      </c>
      <c r="K1737" t="s">
        <v>1357</v>
      </c>
      <c r="L1737" t="s">
        <v>1357</v>
      </c>
    </row>
    <row r="1738" spans="6:12">
      <c r="H1738" t="s">
        <v>20288</v>
      </c>
      <c r="I1738" t="s">
        <v>1357</v>
      </c>
      <c r="J1738" t="s">
        <v>1357</v>
      </c>
      <c r="K1738" t="s">
        <v>1357</v>
      </c>
      <c r="L1738" t="s">
        <v>1357</v>
      </c>
    </row>
    <row r="1739" spans="6:12">
      <c r="H1739" t="s">
        <v>20289</v>
      </c>
      <c r="I1739" t="s">
        <v>1357</v>
      </c>
      <c r="J1739" t="s">
        <v>1357</v>
      </c>
      <c r="K1739" t="s">
        <v>1357</v>
      </c>
      <c r="L1739" t="s">
        <v>1357</v>
      </c>
    </row>
    <row r="1740" spans="6:12">
      <c r="F1740" t="s">
        <v>14842</v>
      </c>
      <c r="G1740" t="s">
        <v>17686</v>
      </c>
      <c r="H1740" t="s">
        <v>20280</v>
      </c>
      <c r="I1740" t="s">
        <v>1357</v>
      </c>
      <c r="J1740" t="s">
        <v>1357</v>
      </c>
      <c r="K1740" t="s">
        <v>1357</v>
      </c>
      <c r="L1740" t="s">
        <v>1357</v>
      </c>
    </row>
    <row r="1741" spans="6:12">
      <c r="H1741" t="s">
        <v>20233</v>
      </c>
      <c r="I1741" t="s">
        <v>1357</v>
      </c>
      <c r="J1741" t="s">
        <v>1357</v>
      </c>
      <c r="K1741" t="s">
        <v>1357</v>
      </c>
      <c r="L1741" t="s">
        <v>1357</v>
      </c>
    </row>
    <row r="1742" spans="6:12">
      <c r="H1742" t="s">
        <v>20230</v>
      </c>
      <c r="I1742" t="s">
        <v>1357</v>
      </c>
      <c r="J1742" t="s">
        <v>1357</v>
      </c>
      <c r="K1742" t="s">
        <v>1357</v>
      </c>
      <c r="L1742" t="s">
        <v>1357</v>
      </c>
    </row>
    <row r="1743" spans="6:12">
      <c r="H1743" t="s">
        <v>20296</v>
      </c>
      <c r="I1743" t="s">
        <v>1357</v>
      </c>
      <c r="J1743" t="s">
        <v>1357</v>
      </c>
      <c r="K1743" t="s">
        <v>1357</v>
      </c>
      <c r="L1743" t="s">
        <v>1357</v>
      </c>
    </row>
    <row r="1744" spans="6:12">
      <c r="H1744" t="s">
        <v>20297</v>
      </c>
      <c r="I1744" t="s">
        <v>1357</v>
      </c>
      <c r="J1744" t="s">
        <v>1357</v>
      </c>
      <c r="K1744" t="s">
        <v>1357</v>
      </c>
      <c r="L1744" t="s">
        <v>1357</v>
      </c>
    </row>
    <row r="1745" spans="6:12">
      <c r="H1745" t="s">
        <v>20284</v>
      </c>
      <c r="I1745" t="s">
        <v>1357</v>
      </c>
      <c r="J1745" t="s">
        <v>1357</v>
      </c>
      <c r="K1745" t="s">
        <v>1357</v>
      </c>
      <c r="L1745" t="s">
        <v>1357</v>
      </c>
    </row>
    <row r="1746" spans="6:12">
      <c r="H1746" t="s">
        <v>20285</v>
      </c>
      <c r="I1746" t="s">
        <v>1357</v>
      </c>
      <c r="J1746" t="s">
        <v>1357</v>
      </c>
      <c r="K1746" t="s">
        <v>1357</v>
      </c>
      <c r="L1746" t="s">
        <v>1357</v>
      </c>
    </row>
    <row r="1747" spans="6:12">
      <c r="H1747" t="s">
        <v>20286</v>
      </c>
      <c r="I1747" t="s">
        <v>1357</v>
      </c>
      <c r="J1747" t="s">
        <v>1357</v>
      </c>
      <c r="K1747" t="s">
        <v>1357</v>
      </c>
      <c r="L1747" t="s">
        <v>1357</v>
      </c>
    </row>
    <row r="1748" spans="6:12">
      <c r="H1748" t="s">
        <v>20287</v>
      </c>
      <c r="I1748" t="s">
        <v>1357</v>
      </c>
      <c r="J1748" t="s">
        <v>1357</v>
      </c>
      <c r="K1748" t="s">
        <v>1357</v>
      </c>
      <c r="L1748" t="s">
        <v>1357</v>
      </c>
    </row>
    <row r="1749" spans="6:12">
      <c r="H1749" t="s">
        <v>20288</v>
      </c>
      <c r="I1749" t="s">
        <v>1357</v>
      </c>
      <c r="J1749" t="s">
        <v>1357</v>
      </c>
      <c r="K1749" t="s">
        <v>1357</v>
      </c>
      <c r="L1749" t="s">
        <v>1357</v>
      </c>
    </row>
    <row r="1750" spans="6:12">
      <c r="H1750" t="s">
        <v>20289</v>
      </c>
      <c r="I1750" t="s">
        <v>1357</v>
      </c>
      <c r="J1750" t="s">
        <v>1357</v>
      </c>
      <c r="K1750" t="s">
        <v>1357</v>
      </c>
      <c r="L1750" t="s">
        <v>1357</v>
      </c>
    </row>
    <row r="1751" spans="6:12">
      <c r="F1751" t="s">
        <v>14843</v>
      </c>
      <c r="G1751" t="s">
        <v>17687</v>
      </c>
      <c r="H1751" t="s">
        <v>20280</v>
      </c>
      <c r="I1751" t="s">
        <v>1357</v>
      </c>
      <c r="J1751" t="s">
        <v>1357</v>
      </c>
      <c r="K1751" t="s">
        <v>1357</v>
      </c>
      <c r="L1751" t="s">
        <v>1357</v>
      </c>
    </row>
    <row r="1752" spans="6:12">
      <c r="H1752" t="s">
        <v>20233</v>
      </c>
      <c r="I1752" t="s">
        <v>1357</v>
      </c>
      <c r="J1752" t="s">
        <v>1357</v>
      </c>
      <c r="K1752" t="s">
        <v>1357</v>
      </c>
      <c r="L1752" t="s">
        <v>1357</v>
      </c>
    </row>
    <row r="1753" spans="6:12">
      <c r="H1753" t="s">
        <v>20230</v>
      </c>
      <c r="I1753" t="s">
        <v>1357</v>
      </c>
      <c r="J1753" t="s">
        <v>1357</v>
      </c>
      <c r="K1753" t="s">
        <v>1357</v>
      </c>
      <c r="L1753" t="s">
        <v>1357</v>
      </c>
    </row>
    <row r="1754" spans="6:12">
      <c r="H1754" t="s">
        <v>20296</v>
      </c>
      <c r="I1754" t="s">
        <v>1357</v>
      </c>
      <c r="J1754" t="s">
        <v>1357</v>
      </c>
      <c r="K1754" t="s">
        <v>1357</v>
      </c>
      <c r="L1754" t="s">
        <v>1357</v>
      </c>
    </row>
    <row r="1755" spans="6:12">
      <c r="H1755" t="s">
        <v>20297</v>
      </c>
      <c r="I1755" t="s">
        <v>1357</v>
      </c>
      <c r="J1755" t="s">
        <v>1357</v>
      </c>
      <c r="K1755" t="s">
        <v>1357</v>
      </c>
      <c r="L1755" t="s">
        <v>1357</v>
      </c>
    </row>
    <row r="1756" spans="6:12">
      <c r="H1756" t="s">
        <v>20284</v>
      </c>
      <c r="I1756" t="s">
        <v>1357</v>
      </c>
      <c r="J1756" t="s">
        <v>1357</v>
      </c>
      <c r="K1756" t="s">
        <v>1357</v>
      </c>
      <c r="L1756" t="s">
        <v>1357</v>
      </c>
    </row>
    <row r="1757" spans="6:12">
      <c r="H1757" t="s">
        <v>20285</v>
      </c>
      <c r="I1757" t="s">
        <v>1357</v>
      </c>
      <c r="J1757" t="s">
        <v>1357</v>
      </c>
      <c r="K1757" t="s">
        <v>1357</v>
      </c>
      <c r="L1757" t="s">
        <v>1357</v>
      </c>
    </row>
    <row r="1758" spans="6:12">
      <c r="H1758" t="s">
        <v>20286</v>
      </c>
      <c r="I1758" t="s">
        <v>1357</v>
      </c>
      <c r="J1758" t="s">
        <v>1357</v>
      </c>
      <c r="K1758" t="s">
        <v>1357</v>
      </c>
      <c r="L1758" t="s">
        <v>1357</v>
      </c>
    </row>
    <row r="1759" spans="6:12">
      <c r="H1759" t="s">
        <v>20287</v>
      </c>
      <c r="I1759" t="s">
        <v>1357</v>
      </c>
      <c r="J1759" t="s">
        <v>1357</v>
      </c>
      <c r="K1759" t="s">
        <v>1357</v>
      </c>
      <c r="L1759" t="s">
        <v>1357</v>
      </c>
    </row>
    <row r="1760" spans="6:12">
      <c r="H1760" t="s">
        <v>20288</v>
      </c>
      <c r="I1760" t="s">
        <v>1357</v>
      </c>
      <c r="J1760" t="s">
        <v>1357</v>
      </c>
      <c r="K1760" t="s">
        <v>1357</v>
      </c>
      <c r="L1760" t="s">
        <v>1357</v>
      </c>
    </row>
    <row r="1761" spans="6:12">
      <c r="H1761" t="s">
        <v>20289</v>
      </c>
      <c r="I1761" t="s">
        <v>1357</v>
      </c>
      <c r="J1761" t="s">
        <v>1357</v>
      </c>
      <c r="K1761" t="s">
        <v>1357</v>
      </c>
      <c r="L1761" t="s">
        <v>1357</v>
      </c>
    </row>
    <row r="1762" spans="6:12">
      <c r="F1762" t="s">
        <v>14844</v>
      </c>
      <c r="G1762" t="s">
        <v>17688</v>
      </c>
      <c r="H1762" t="s">
        <v>20280</v>
      </c>
      <c r="I1762" t="s">
        <v>1357</v>
      </c>
      <c r="J1762" t="s">
        <v>1357</v>
      </c>
      <c r="K1762" t="s">
        <v>1357</v>
      </c>
      <c r="L1762" t="s">
        <v>1357</v>
      </c>
    </row>
    <row r="1763" spans="6:12">
      <c r="H1763" t="s">
        <v>20233</v>
      </c>
      <c r="I1763" t="s">
        <v>1357</v>
      </c>
      <c r="J1763" t="s">
        <v>1357</v>
      </c>
      <c r="K1763" t="s">
        <v>1357</v>
      </c>
      <c r="L1763" t="s">
        <v>1357</v>
      </c>
    </row>
    <row r="1764" spans="6:12">
      <c r="H1764" t="s">
        <v>20230</v>
      </c>
      <c r="I1764" t="s">
        <v>1357</v>
      </c>
      <c r="J1764" t="s">
        <v>1357</v>
      </c>
      <c r="K1764" t="s">
        <v>1357</v>
      </c>
      <c r="L1764" t="s">
        <v>1357</v>
      </c>
    </row>
    <row r="1765" spans="6:12">
      <c r="H1765" t="s">
        <v>20296</v>
      </c>
      <c r="I1765" t="s">
        <v>1357</v>
      </c>
      <c r="J1765" t="s">
        <v>1357</v>
      </c>
      <c r="K1765" t="s">
        <v>1357</v>
      </c>
      <c r="L1765" t="s">
        <v>1357</v>
      </c>
    </row>
    <row r="1766" spans="6:12">
      <c r="H1766" t="s">
        <v>20297</v>
      </c>
      <c r="I1766" t="s">
        <v>1357</v>
      </c>
      <c r="J1766" t="s">
        <v>1357</v>
      </c>
      <c r="K1766" t="s">
        <v>1357</v>
      </c>
      <c r="L1766" t="s">
        <v>1357</v>
      </c>
    </row>
    <row r="1767" spans="6:12">
      <c r="H1767" t="s">
        <v>20284</v>
      </c>
      <c r="I1767" t="s">
        <v>1357</v>
      </c>
      <c r="J1767" t="s">
        <v>1357</v>
      </c>
      <c r="K1767" t="s">
        <v>1357</v>
      </c>
      <c r="L1767" t="s">
        <v>1357</v>
      </c>
    </row>
    <row r="1768" spans="6:12">
      <c r="H1768" t="s">
        <v>20285</v>
      </c>
      <c r="I1768" t="s">
        <v>1357</v>
      </c>
      <c r="J1768" t="s">
        <v>1357</v>
      </c>
      <c r="K1768" t="s">
        <v>1357</v>
      </c>
      <c r="L1768" t="s">
        <v>1357</v>
      </c>
    </row>
    <row r="1769" spans="6:12">
      <c r="H1769" t="s">
        <v>20286</v>
      </c>
      <c r="I1769" t="s">
        <v>1357</v>
      </c>
      <c r="J1769" t="s">
        <v>1357</v>
      </c>
      <c r="K1769" t="s">
        <v>1357</v>
      </c>
      <c r="L1769" t="s">
        <v>1357</v>
      </c>
    </row>
    <row r="1770" spans="6:12">
      <c r="H1770" t="s">
        <v>20287</v>
      </c>
      <c r="I1770" t="s">
        <v>1357</v>
      </c>
      <c r="J1770" t="s">
        <v>1357</v>
      </c>
      <c r="K1770" t="s">
        <v>1357</v>
      </c>
      <c r="L1770" t="s">
        <v>1357</v>
      </c>
    </row>
    <row r="1771" spans="6:12">
      <c r="H1771" t="s">
        <v>20288</v>
      </c>
      <c r="I1771" t="s">
        <v>1357</v>
      </c>
      <c r="J1771" t="s">
        <v>1357</v>
      </c>
      <c r="K1771" t="s">
        <v>1357</v>
      </c>
      <c r="L1771" t="s">
        <v>1357</v>
      </c>
    </row>
    <row r="1772" spans="6:12">
      <c r="H1772" t="s">
        <v>20289</v>
      </c>
      <c r="I1772" t="s">
        <v>1357</v>
      </c>
      <c r="J1772" t="s">
        <v>1357</v>
      </c>
      <c r="K1772" t="s">
        <v>1357</v>
      </c>
      <c r="L1772" t="s">
        <v>1357</v>
      </c>
    </row>
    <row r="1773" spans="6:12">
      <c r="F1773" t="s">
        <v>14845</v>
      </c>
      <c r="G1773" t="s">
        <v>17689</v>
      </c>
      <c r="H1773" t="s">
        <v>20280</v>
      </c>
      <c r="I1773" t="s">
        <v>1357</v>
      </c>
      <c r="J1773" t="s">
        <v>1357</v>
      </c>
      <c r="K1773" t="s">
        <v>1357</v>
      </c>
      <c r="L1773" t="s">
        <v>1357</v>
      </c>
    </row>
    <row r="1774" spans="6:12">
      <c r="H1774" t="s">
        <v>20233</v>
      </c>
      <c r="I1774" t="s">
        <v>1357</v>
      </c>
      <c r="J1774" t="s">
        <v>1357</v>
      </c>
      <c r="K1774" t="s">
        <v>1357</v>
      </c>
      <c r="L1774" t="s">
        <v>1357</v>
      </c>
    </row>
    <row r="1775" spans="6:12">
      <c r="H1775" t="s">
        <v>20230</v>
      </c>
      <c r="I1775" t="s">
        <v>1357</v>
      </c>
      <c r="J1775" t="s">
        <v>1357</v>
      </c>
      <c r="K1775" t="s">
        <v>1357</v>
      </c>
      <c r="L1775" t="s">
        <v>1357</v>
      </c>
    </row>
    <row r="1776" spans="6:12">
      <c r="H1776" t="s">
        <v>20296</v>
      </c>
      <c r="I1776" t="s">
        <v>1357</v>
      </c>
      <c r="J1776" t="s">
        <v>1357</v>
      </c>
      <c r="K1776" t="s">
        <v>1357</v>
      </c>
      <c r="L1776" t="s">
        <v>1357</v>
      </c>
    </row>
    <row r="1777" spans="6:12">
      <c r="H1777" t="s">
        <v>20297</v>
      </c>
      <c r="I1777" t="s">
        <v>1357</v>
      </c>
      <c r="J1777" t="s">
        <v>1357</v>
      </c>
      <c r="K1777" t="s">
        <v>1357</v>
      </c>
      <c r="L1777" t="s">
        <v>1357</v>
      </c>
    </row>
    <row r="1778" spans="6:12">
      <c r="H1778" t="s">
        <v>20284</v>
      </c>
      <c r="I1778" t="s">
        <v>1357</v>
      </c>
      <c r="J1778" t="s">
        <v>1357</v>
      </c>
      <c r="K1778" t="s">
        <v>1357</v>
      </c>
      <c r="L1778" t="s">
        <v>1357</v>
      </c>
    </row>
    <row r="1779" spans="6:12">
      <c r="H1779" t="s">
        <v>20285</v>
      </c>
      <c r="I1779" t="s">
        <v>1357</v>
      </c>
      <c r="J1779" t="s">
        <v>1357</v>
      </c>
      <c r="K1779" t="s">
        <v>1357</v>
      </c>
      <c r="L1779" t="s">
        <v>1357</v>
      </c>
    </row>
    <row r="1780" spans="6:12">
      <c r="H1780" t="s">
        <v>20286</v>
      </c>
      <c r="I1780" t="s">
        <v>1357</v>
      </c>
      <c r="J1780" t="s">
        <v>1357</v>
      </c>
      <c r="K1780" t="s">
        <v>1357</v>
      </c>
      <c r="L1780" t="s">
        <v>1357</v>
      </c>
    </row>
    <row r="1781" spans="6:12">
      <c r="H1781" t="s">
        <v>20287</v>
      </c>
      <c r="I1781" t="s">
        <v>1357</v>
      </c>
      <c r="J1781" t="s">
        <v>1357</v>
      </c>
      <c r="K1781" t="s">
        <v>1357</v>
      </c>
      <c r="L1781" t="s">
        <v>1357</v>
      </c>
    </row>
    <row r="1782" spans="6:12">
      <c r="H1782" t="s">
        <v>20288</v>
      </c>
      <c r="I1782" t="s">
        <v>1357</v>
      </c>
      <c r="J1782" t="s">
        <v>1357</v>
      </c>
      <c r="K1782" t="s">
        <v>1357</v>
      </c>
      <c r="L1782" t="s">
        <v>1357</v>
      </c>
    </row>
    <row r="1783" spans="6:12">
      <c r="H1783" t="s">
        <v>20289</v>
      </c>
      <c r="I1783" t="s">
        <v>1357</v>
      </c>
      <c r="J1783" t="s">
        <v>1357</v>
      </c>
      <c r="K1783" t="s">
        <v>1357</v>
      </c>
      <c r="L1783" t="s">
        <v>1357</v>
      </c>
    </row>
    <row r="1784" spans="6:12">
      <c r="F1784" t="s">
        <v>14846</v>
      </c>
      <c r="G1784" t="s">
        <v>17690</v>
      </c>
      <c r="H1784" t="s">
        <v>20280</v>
      </c>
      <c r="I1784" t="s">
        <v>1357</v>
      </c>
      <c r="J1784" t="s">
        <v>1357</v>
      </c>
      <c r="K1784" t="s">
        <v>1357</v>
      </c>
      <c r="L1784" t="s">
        <v>1357</v>
      </c>
    </row>
    <row r="1785" spans="6:12">
      <c r="H1785" t="s">
        <v>20233</v>
      </c>
      <c r="I1785" t="s">
        <v>1357</v>
      </c>
      <c r="J1785" t="s">
        <v>1357</v>
      </c>
      <c r="K1785" t="s">
        <v>1357</v>
      </c>
      <c r="L1785" t="s">
        <v>1357</v>
      </c>
    </row>
    <row r="1786" spans="6:12">
      <c r="H1786" t="s">
        <v>20284</v>
      </c>
      <c r="I1786" t="s">
        <v>1357</v>
      </c>
      <c r="J1786" t="s">
        <v>1357</v>
      </c>
      <c r="K1786" t="s">
        <v>1357</v>
      </c>
      <c r="L1786" t="s">
        <v>1357</v>
      </c>
    </row>
    <row r="1787" spans="6:12">
      <c r="H1787" t="s">
        <v>20285</v>
      </c>
      <c r="I1787" t="s">
        <v>1357</v>
      </c>
      <c r="J1787" t="s">
        <v>1357</v>
      </c>
      <c r="K1787" t="s">
        <v>1357</v>
      </c>
      <c r="L1787" t="s">
        <v>1357</v>
      </c>
    </row>
    <row r="1788" spans="6:12">
      <c r="H1788" t="s">
        <v>20286</v>
      </c>
      <c r="I1788" t="s">
        <v>1357</v>
      </c>
      <c r="J1788" t="s">
        <v>1357</v>
      </c>
      <c r="K1788" t="s">
        <v>1357</v>
      </c>
      <c r="L1788" t="s">
        <v>1357</v>
      </c>
    </row>
    <row r="1789" spans="6:12">
      <c r="H1789" t="s">
        <v>20287</v>
      </c>
      <c r="I1789" t="s">
        <v>1357</v>
      </c>
      <c r="J1789" t="s">
        <v>1357</v>
      </c>
      <c r="K1789" t="s">
        <v>1357</v>
      </c>
      <c r="L1789" t="s">
        <v>1357</v>
      </c>
    </row>
    <row r="1790" spans="6:12">
      <c r="H1790" t="s">
        <v>20288</v>
      </c>
      <c r="I1790" t="s">
        <v>1357</v>
      </c>
      <c r="J1790" t="s">
        <v>1357</v>
      </c>
      <c r="K1790" t="s">
        <v>1357</v>
      </c>
      <c r="L1790" t="s">
        <v>1357</v>
      </c>
    </row>
    <row r="1791" spans="6:12">
      <c r="F1791" t="s">
        <v>14847</v>
      </c>
      <c r="G1791" t="s">
        <v>17691</v>
      </c>
      <c r="H1791" t="s">
        <v>20280</v>
      </c>
      <c r="I1791" t="s">
        <v>1357</v>
      </c>
      <c r="J1791" t="s">
        <v>1357</v>
      </c>
      <c r="K1791" t="s">
        <v>1357</v>
      </c>
      <c r="L1791" t="s">
        <v>1357</v>
      </c>
    </row>
    <row r="1792" spans="6:12">
      <c r="H1792" t="s">
        <v>20233</v>
      </c>
      <c r="I1792" t="s">
        <v>1357</v>
      </c>
      <c r="J1792" t="s">
        <v>1357</v>
      </c>
      <c r="K1792" t="s">
        <v>1357</v>
      </c>
      <c r="L1792" t="s">
        <v>1357</v>
      </c>
    </row>
    <row r="1793" spans="6:12">
      <c r="H1793" t="s">
        <v>20284</v>
      </c>
      <c r="I1793" t="s">
        <v>1357</v>
      </c>
      <c r="J1793" t="s">
        <v>1357</v>
      </c>
      <c r="K1793" t="s">
        <v>1357</v>
      </c>
      <c r="L1793" t="s">
        <v>1357</v>
      </c>
    </row>
    <row r="1794" spans="6:12">
      <c r="H1794" t="s">
        <v>20285</v>
      </c>
      <c r="I1794" t="s">
        <v>1357</v>
      </c>
      <c r="J1794" t="s">
        <v>1357</v>
      </c>
      <c r="K1794" t="s">
        <v>1357</v>
      </c>
      <c r="L1794" t="s">
        <v>1357</v>
      </c>
    </row>
    <row r="1795" spans="6:12">
      <c r="H1795" t="s">
        <v>20286</v>
      </c>
      <c r="I1795" t="s">
        <v>1357</v>
      </c>
      <c r="J1795" t="s">
        <v>1357</v>
      </c>
      <c r="K1795" t="s">
        <v>1357</v>
      </c>
      <c r="L1795" t="s">
        <v>1357</v>
      </c>
    </row>
    <row r="1796" spans="6:12">
      <c r="H1796" t="s">
        <v>20287</v>
      </c>
      <c r="I1796" t="s">
        <v>1357</v>
      </c>
      <c r="J1796" t="s">
        <v>1357</v>
      </c>
      <c r="K1796" t="s">
        <v>1357</v>
      </c>
      <c r="L1796" t="s">
        <v>1357</v>
      </c>
    </row>
    <row r="1797" spans="6:12">
      <c r="H1797" t="s">
        <v>20288</v>
      </c>
      <c r="I1797" t="s">
        <v>1357</v>
      </c>
      <c r="J1797" t="s">
        <v>1357</v>
      </c>
      <c r="K1797" t="s">
        <v>1357</v>
      </c>
      <c r="L1797" t="s">
        <v>1357</v>
      </c>
    </row>
    <row r="1798" spans="6:12">
      <c r="F1798" t="s">
        <v>14848</v>
      </c>
      <c r="G1798" t="s">
        <v>17692</v>
      </c>
      <c r="H1798" t="s">
        <v>20280</v>
      </c>
      <c r="I1798" t="s">
        <v>1357</v>
      </c>
      <c r="J1798" t="s">
        <v>1357</v>
      </c>
      <c r="K1798" t="s">
        <v>1357</v>
      </c>
      <c r="L1798" t="s">
        <v>1357</v>
      </c>
    </row>
    <row r="1799" spans="6:12">
      <c r="H1799" t="s">
        <v>20233</v>
      </c>
      <c r="I1799" t="s">
        <v>1357</v>
      </c>
      <c r="J1799" t="s">
        <v>1357</v>
      </c>
      <c r="K1799" t="s">
        <v>1357</v>
      </c>
      <c r="L1799" t="s">
        <v>1357</v>
      </c>
    </row>
    <row r="1800" spans="6:12">
      <c r="H1800" t="s">
        <v>20230</v>
      </c>
      <c r="I1800" t="s">
        <v>1357</v>
      </c>
      <c r="J1800" t="s">
        <v>1357</v>
      </c>
      <c r="K1800" t="s">
        <v>1357</v>
      </c>
      <c r="L1800" t="s">
        <v>1357</v>
      </c>
    </row>
    <row r="1801" spans="6:12">
      <c r="H1801" t="s">
        <v>20296</v>
      </c>
      <c r="I1801" t="s">
        <v>1357</v>
      </c>
      <c r="J1801" t="s">
        <v>1357</v>
      </c>
      <c r="K1801" t="s">
        <v>1357</v>
      </c>
      <c r="L1801" t="s">
        <v>1357</v>
      </c>
    </row>
    <row r="1802" spans="6:12">
      <c r="H1802" t="s">
        <v>20297</v>
      </c>
      <c r="I1802" t="s">
        <v>1357</v>
      </c>
      <c r="J1802" t="s">
        <v>1357</v>
      </c>
      <c r="K1802" t="s">
        <v>1357</v>
      </c>
      <c r="L1802" t="s">
        <v>1357</v>
      </c>
    </row>
    <row r="1803" spans="6:12">
      <c r="H1803" t="s">
        <v>20234</v>
      </c>
      <c r="I1803" t="s">
        <v>1357</v>
      </c>
      <c r="J1803" t="s">
        <v>1357</v>
      </c>
      <c r="K1803" t="s">
        <v>1357</v>
      </c>
      <c r="L1803" t="s">
        <v>1357</v>
      </c>
    </row>
    <row r="1804" spans="6:12">
      <c r="H1804" t="s">
        <v>20235</v>
      </c>
      <c r="I1804" t="s">
        <v>1357</v>
      </c>
      <c r="J1804" t="s">
        <v>1357</v>
      </c>
      <c r="K1804" t="s">
        <v>1357</v>
      </c>
      <c r="L1804" t="s">
        <v>1357</v>
      </c>
    </row>
    <row r="1805" spans="6:12">
      <c r="H1805" t="s">
        <v>20298</v>
      </c>
      <c r="I1805" t="s">
        <v>1357</v>
      </c>
      <c r="J1805" t="s">
        <v>1357</v>
      </c>
      <c r="K1805" t="s">
        <v>1357</v>
      </c>
      <c r="L1805" t="s">
        <v>1357</v>
      </c>
    </row>
    <row r="1806" spans="6:12">
      <c r="H1806" t="s">
        <v>20299</v>
      </c>
      <c r="I1806" t="s">
        <v>1357</v>
      </c>
      <c r="J1806" t="s">
        <v>1357</v>
      </c>
      <c r="K1806" t="s">
        <v>1357</v>
      </c>
      <c r="L1806" t="s">
        <v>1357</v>
      </c>
    </row>
    <row r="1807" spans="6:12">
      <c r="H1807" t="s">
        <v>20300</v>
      </c>
      <c r="I1807" t="s">
        <v>1357</v>
      </c>
      <c r="J1807" t="s">
        <v>1357</v>
      </c>
      <c r="K1807" t="s">
        <v>1357</v>
      </c>
      <c r="L1807" t="s">
        <v>1357</v>
      </c>
    </row>
    <row r="1808" spans="6:12">
      <c r="H1808" t="s">
        <v>20284</v>
      </c>
      <c r="I1808" t="s">
        <v>1357</v>
      </c>
      <c r="J1808" t="s">
        <v>1357</v>
      </c>
      <c r="K1808" t="s">
        <v>1357</v>
      </c>
      <c r="L1808" t="s">
        <v>1357</v>
      </c>
    </row>
    <row r="1809" spans="8:12">
      <c r="H1809" t="s">
        <v>20285</v>
      </c>
      <c r="I1809" t="s">
        <v>1357</v>
      </c>
      <c r="J1809" t="s">
        <v>1357</v>
      </c>
      <c r="K1809" t="s">
        <v>1357</v>
      </c>
      <c r="L1809" t="s">
        <v>1357</v>
      </c>
    </row>
    <row r="1810" spans="8:12">
      <c r="H1810" t="s">
        <v>20286</v>
      </c>
      <c r="I1810" t="s">
        <v>1357</v>
      </c>
      <c r="J1810" t="s">
        <v>1357</v>
      </c>
      <c r="K1810" t="s">
        <v>1357</v>
      </c>
      <c r="L1810" t="s">
        <v>1357</v>
      </c>
    </row>
    <row r="1811" spans="8:12">
      <c r="H1811" t="s">
        <v>20287</v>
      </c>
      <c r="I1811" t="s">
        <v>1357</v>
      </c>
      <c r="J1811" t="s">
        <v>1357</v>
      </c>
      <c r="K1811" t="s">
        <v>1357</v>
      </c>
      <c r="L1811" t="s">
        <v>1357</v>
      </c>
    </row>
    <row r="1812" spans="8:12">
      <c r="H1812" t="s">
        <v>20227</v>
      </c>
      <c r="I1812" t="s">
        <v>1357</v>
      </c>
      <c r="J1812" t="s">
        <v>1357</v>
      </c>
      <c r="K1812" t="s">
        <v>1357</v>
      </c>
      <c r="L1812" t="s">
        <v>1357</v>
      </c>
    </row>
    <row r="1813" spans="8:12">
      <c r="H1813" t="s">
        <v>20228</v>
      </c>
      <c r="I1813" t="s">
        <v>1357</v>
      </c>
      <c r="J1813" t="s">
        <v>1357</v>
      </c>
      <c r="K1813" t="s">
        <v>1357</v>
      </c>
      <c r="L1813" t="s">
        <v>1357</v>
      </c>
    </row>
    <row r="1814" spans="8:12">
      <c r="H1814" t="s">
        <v>20232</v>
      </c>
      <c r="I1814" t="s">
        <v>1357</v>
      </c>
      <c r="J1814" t="s">
        <v>1357</v>
      </c>
      <c r="K1814" t="s">
        <v>1357</v>
      </c>
      <c r="L1814" t="s">
        <v>1357</v>
      </c>
    </row>
    <row r="1815" spans="8:12">
      <c r="H1815" t="s">
        <v>20301</v>
      </c>
      <c r="I1815" t="s">
        <v>1357</v>
      </c>
      <c r="J1815" t="s">
        <v>1357</v>
      </c>
      <c r="K1815" t="s">
        <v>1357</v>
      </c>
      <c r="L1815" t="s">
        <v>1357</v>
      </c>
    </row>
    <row r="1816" spans="8:12">
      <c r="H1816" t="s">
        <v>20302</v>
      </c>
      <c r="I1816" t="s">
        <v>1357</v>
      </c>
      <c r="J1816" t="s">
        <v>1357</v>
      </c>
      <c r="K1816" t="s">
        <v>1357</v>
      </c>
      <c r="L1816" t="s">
        <v>1357</v>
      </c>
    </row>
    <row r="1817" spans="8:12">
      <c r="H1817" t="s">
        <v>20303</v>
      </c>
      <c r="I1817" t="s">
        <v>1357</v>
      </c>
      <c r="J1817" t="s">
        <v>1357</v>
      </c>
      <c r="K1817" t="s">
        <v>1357</v>
      </c>
      <c r="L1817" t="s">
        <v>1357</v>
      </c>
    </row>
    <row r="1818" spans="8:12">
      <c r="H1818" t="s">
        <v>20304</v>
      </c>
      <c r="I1818" t="s">
        <v>1357</v>
      </c>
      <c r="J1818" t="s">
        <v>1357</v>
      </c>
      <c r="K1818" t="s">
        <v>1357</v>
      </c>
      <c r="L1818" t="s">
        <v>1357</v>
      </c>
    </row>
    <row r="1819" spans="8:12">
      <c r="H1819" t="s">
        <v>20309</v>
      </c>
      <c r="I1819" t="s">
        <v>1357</v>
      </c>
      <c r="J1819" t="s">
        <v>1357</v>
      </c>
      <c r="K1819" t="s">
        <v>1357</v>
      </c>
      <c r="L1819" t="s">
        <v>1357</v>
      </c>
    </row>
    <row r="1820" spans="8:12">
      <c r="H1820" t="s">
        <v>20310</v>
      </c>
      <c r="I1820" t="s">
        <v>1357</v>
      </c>
      <c r="J1820" t="s">
        <v>1357</v>
      </c>
      <c r="K1820" t="s">
        <v>1357</v>
      </c>
      <c r="L1820" t="s">
        <v>1357</v>
      </c>
    </row>
    <row r="1821" spans="8:12">
      <c r="H1821" t="s">
        <v>20311</v>
      </c>
      <c r="I1821" t="s">
        <v>1357</v>
      </c>
      <c r="J1821" t="s">
        <v>1357</v>
      </c>
      <c r="K1821" t="s">
        <v>1357</v>
      </c>
      <c r="L1821" t="s">
        <v>1357</v>
      </c>
    </row>
    <row r="1822" spans="8:12">
      <c r="H1822" t="s">
        <v>20288</v>
      </c>
      <c r="I1822" t="s">
        <v>1357</v>
      </c>
      <c r="J1822" t="s">
        <v>1357</v>
      </c>
      <c r="K1822" t="s">
        <v>1357</v>
      </c>
      <c r="L1822" t="s">
        <v>1357</v>
      </c>
    </row>
    <row r="1823" spans="8:12">
      <c r="H1823" t="s">
        <v>20289</v>
      </c>
      <c r="I1823" t="s">
        <v>1357</v>
      </c>
      <c r="J1823" t="s">
        <v>1357</v>
      </c>
      <c r="K1823" t="s">
        <v>1357</v>
      </c>
      <c r="L1823" t="s">
        <v>1357</v>
      </c>
    </row>
    <row r="1824" spans="8:12">
      <c r="H1824" t="s">
        <v>20290</v>
      </c>
      <c r="I1824" t="s">
        <v>1357</v>
      </c>
      <c r="J1824" t="s">
        <v>1357</v>
      </c>
      <c r="K1824" t="s">
        <v>1357</v>
      </c>
      <c r="L1824" t="s">
        <v>1357</v>
      </c>
    </row>
    <row r="1825" spans="6:12">
      <c r="H1825" t="s">
        <v>20291</v>
      </c>
      <c r="I1825" t="s">
        <v>1357</v>
      </c>
      <c r="J1825" t="s">
        <v>1357</v>
      </c>
      <c r="K1825" t="s">
        <v>1357</v>
      </c>
      <c r="L1825" t="s">
        <v>1357</v>
      </c>
    </row>
    <row r="1826" spans="6:12">
      <c r="F1826" t="s">
        <v>14849</v>
      </c>
      <c r="G1826" t="s">
        <v>17693</v>
      </c>
      <c r="H1826" t="s">
        <v>20280</v>
      </c>
      <c r="I1826" t="s">
        <v>1357</v>
      </c>
      <c r="J1826" t="s">
        <v>1357</v>
      </c>
      <c r="K1826" t="s">
        <v>1357</v>
      </c>
      <c r="L1826" t="s">
        <v>1357</v>
      </c>
    </row>
    <row r="1827" spans="6:12">
      <c r="H1827" t="s">
        <v>20233</v>
      </c>
      <c r="I1827" t="s">
        <v>1357</v>
      </c>
      <c r="J1827" t="s">
        <v>1357</v>
      </c>
      <c r="K1827" t="s">
        <v>1357</v>
      </c>
      <c r="L1827" t="s">
        <v>1357</v>
      </c>
    </row>
    <row r="1828" spans="6:12">
      <c r="H1828" t="s">
        <v>20284</v>
      </c>
      <c r="I1828" t="s">
        <v>1357</v>
      </c>
      <c r="J1828" t="s">
        <v>1357</v>
      </c>
      <c r="K1828" t="s">
        <v>1357</v>
      </c>
      <c r="L1828" t="s">
        <v>1357</v>
      </c>
    </row>
    <row r="1829" spans="6:12">
      <c r="H1829" t="s">
        <v>20285</v>
      </c>
      <c r="I1829" t="s">
        <v>1357</v>
      </c>
      <c r="J1829" t="s">
        <v>1357</v>
      </c>
      <c r="K1829" t="s">
        <v>1357</v>
      </c>
      <c r="L1829" t="s">
        <v>1357</v>
      </c>
    </row>
    <row r="1830" spans="6:12">
      <c r="H1830" t="s">
        <v>20286</v>
      </c>
      <c r="I1830" t="s">
        <v>1357</v>
      </c>
      <c r="J1830" t="s">
        <v>1357</v>
      </c>
      <c r="K1830" t="s">
        <v>1357</v>
      </c>
      <c r="L1830" t="s">
        <v>1357</v>
      </c>
    </row>
    <row r="1831" spans="6:12">
      <c r="H1831" t="s">
        <v>20287</v>
      </c>
      <c r="I1831" t="s">
        <v>1357</v>
      </c>
      <c r="J1831" t="s">
        <v>1357</v>
      </c>
      <c r="K1831" t="s">
        <v>1357</v>
      </c>
      <c r="L1831" t="s">
        <v>1357</v>
      </c>
    </row>
    <row r="1832" spans="6:12">
      <c r="H1832" t="s">
        <v>20230</v>
      </c>
      <c r="I1832" t="s">
        <v>1357</v>
      </c>
      <c r="J1832" t="s">
        <v>1357</v>
      </c>
      <c r="K1832" t="s">
        <v>1357</v>
      </c>
      <c r="L1832" t="s">
        <v>1357</v>
      </c>
    </row>
    <row r="1833" spans="6:12">
      <c r="H1833" t="s">
        <v>20227</v>
      </c>
      <c r="I1833" t="s">
        <v>1357</v>
      </c>
      <c r="J1833" t="s">
        <v>1357</v>
      </c>
      <c r="K1833" t="s">
        <v>1357</v>
      </c>
      <c r="L1833" t="s">
        <v>1357</v>
      </c>
    </row>
    <row r="1834" spans="6:12">
      <c r="H1834" t="s">
        <v>20288</v>
      </c>
      <c r="I1834" t="s">
        <v>1357</v>
      </c>
      <c r="J1834" t="s">
        <v>1357</v>
      </c>
      <c r="K1834" t="s">
        <v>1357</v>
      </c>
      <c r="L1834" t="s">
        <v>1357</v>
      </c>
    </row>
    <row r="1835" spans="6:12">
      <c r="H1835" t="s">
        <v>20289</v>
      </c>
      <c r="I1835" t="s">
        <v>1357</v>
      </c>
      <c r="J1835" t="s">
        <v>1357</v>
      </c>
      <c r="K1835" t="s">
        <v>1357</v>
      </c>
      <c r="L1835" t="s">
        <v>1357</v>
      </c>
    </row>
    <row r="1836" spans="6:12">
      <c r="H1836" t="s">
        <v>20290</v>
      </c>
      <c r="I1836" t="s">
        <v>1357</v>
      </c>
      <c r="J1836" t="s">
        <v>1357</v>
      </c>
      <c r="K1836" t="s">
        <v>1357</v>
      </c>
      <c r="L1836" t="s">
        <v>1357</v>
      </c>
    </row>
    <row r="1837" spans="6:12">
      <c r="H1837" t="s">
        <v>20291</v>
      </c>
      <c r="I1837" t="s">
        <v>1357</v>
      </c>
      <c r="J1837" t="s">
        <v>1357</v>
      </c>
      <c r="K1837" t="s">
        <v>1357</v>
      </c>
      <c r="L1837" t="s">
        <v>1357</v>
      </c>
    </row>
    <row r="1838" spans="6:12">
      <c r="F1838" t="s">
        <v>14850</v>
      </c>
      <c r="G1838" t="s">
        <v>17694</v>
      </c>
      <c r="H1838" t="s">
        <v>20280</v>
      </c>
      <c r="I1838" t="s">
        <v>1357</v>
      </c>
      <c r="J1838" t="s">
        <v>1357</v>
      </c>
      <c r="K1838" t="s">
        <v>1357</v>
      </c>
      <c r="L1838" t="s">
        <v>1357</v>
      </c>
    </row>
    <row r="1839" spans="6:12">
      <c r="H1839" t="s">
        <v>20233</v>
      </c>
      <c r="I1839" t="s">
        <v>1357</v>
      </c>
      <c r="J1839" t="s">
        <v>1357</v>
      </c>
      <c r="K1839" t="s">
        <v>1357</v>
      </c>
      <c r="L1839" t="s">
        <v>1357</v>
      </c>
    </row>
    <row r="1840" spans="6:12">
      <c r="H1840" t="s">
        <v>20284</v>
      </c>
      <c r="I1840" t="s">
        <v>1357</v>
      </c>
      <c r="J1840" t="s">
        <v>1357</v>
      </c>
      <c r="K1840" t="s">
        <v>1357</v>
      </c>
      <c r="L1840" t="s">
        <v>1357</v>
      </c>
    </row>
    <row r="1841" spans="6:12">
      <c r="H1841" t="s">
        <v>20285</v>
      </c>
      <c r="I1841" t="s">
        <v>1357</v>
      </c>
      <c r="J1841" t="s">
        <v>1357</v>
      </c>
      <c r="K1841" t="s">
        <v>1357</v>
      </c>
      <c r="L1841" t="s">
        <v>1357</v>
      </c>
    </row>
    <row r="1842" spans="6:12">
      <c r="H1842" t="s">
        <v>20286</v>
      </c>
      <c r="I1842" t="s">
        <v>1357</v>
      </c>
      <c r="J1842" t="s">
        <v>1357</v>
      </c>
      <c r="K1842" t="s">
        <v>1357</v>
      </c>
      <c r="L1842" t="s">
        <v>1357</v>
      </c>
    </row>
    <row r="1843" spans="6:12">
      <c r="H1843" t="s">
        <v>20287</v>
      </c>
      <c r="I1843" t="s">
        <v>1357</v>
      </c>
      <c r="J1843" t="s">
        <v>1357</v>
      </c>
      <c r="K1843" t="s">
        <v>1357</v>
      </c>
      <c r="L1843" t="s">
        <v>1357</v>
      </c>
    </row>
    <row r="1844" spans="6:12">
      <c r="F1844" t="s">
        <v>14851</v>
      </c>
      <c r="G1844" t="s">
        <v>17695</v>
      </c>
      <c r="H1844" t="s">
        <v>20280</v>
      </c>
      <c r="I1844" t="s">
        <v>1357</v>
      </c>
      <c r="J1844" t="s">
        <v>1357</v>
      </c>
      <c r="K1844" t="s">
        <v>1357</v>
      </c>
      <c r="L1844" t="s">
        <v>1357</v>
      </c>
    </row>
    <row r="1845" spans="6:12">
      <c r="H1845" t="s">
        <v>20233</v>
      </c>
      <c r="I1845" t="s">
        <v>1357</v>
      </c>
      <c r="J1845" t="s">
        <v>1357</v>
      </c>
      <c r="K1845" t="s">
        <v>1357</v>
      </c>
      <c r="L1845" t="s">
        <v>1357</v>
      </c>
    </row>
    <row r="1846" spans="6:12">
      <c r="H1846" t="s">
        <v>20284</v>
      </c>
      <c r="I1846" t="s">
        <v>1357</v>
      </c>
      <c r="J1846" t="s">
        <v>1357</v>
      </c>
      <c r="K1846" t="s">
        <v>1357</v>
      </c>
      <c r="L1846" t="s">
        <v>1357</v>
      </c>
    </row>
    <row r="1847" spans="6:12">
      <c r="H1847" t="s">
        <v>20285</v>
      </c>
      <c r="I1847" t="s">
        <v>1357</v>
      </c>
      <c r="J1847" t="s">
        <v>1357</v>
      </c>
      <c r="K1847" t="s">
        <v>1357</v>
      </c>
      <c r="L1847" t="s">
        <v>1357</v>
      </c>
    </row>
    <row r="1848" spans="6:12">
      <c r="H1848" t="s">
        <v>20286</v>
      </c>
      <c r="I1848" t="s">
        <v>1357</v>
      </c>
      <c r="J1848" t="s">
        <v>1357</v>
      </c>
      <c r="K1848" t="s">
        <v>1357</v>
      </c>
      <c r="L1848" t="s">
        <v>1357</v>
      </c>
    </row>
    <row r="1849" spans="6:12">
      <c r="H1849" t="s">
        <v>20287</v>
      </c>
      <c r="I1849" t="s">
        <v>1357</v>
      </c>
      <c r="J1849" t="s">
        <v>1357</v>
      </c>
      <c r="K1849" t="s">
        <v>1357</v>
      </c>
      <c r="L1849" t="s">
        <v>1357</v>
      </c>
    </row>
    <row r="1850" spans="6:12">
      <c r="F1850" t="s">
        <v>14852</v>
      </c>
      <c r="G1850" t="s">
        <v>17696</v>
      </c>
      <c r="H1850" t="s">
        <v>20280</v>
      </c>
      <c r="I1850" t="s">
        <v>1357</v>
      </c>
      <c r="J1850" t="s">
        <v>1357</v>
      </c>
      <c r="K1850" t="s">
        <v>1357</v>
      </c>
      <c r="L1850" t="s">
        <v>1357</v>
      </c>
    </row>
    <row r="1851" spans="6:12">
      <c r="H1851" t="s">
        <v>20233</v>
      </c>
      <c r="I1851" t="s">
        <v>1357</v>
      </c>
      <c r="J1851" t="s">
        <v>1357</v>
      </c>
      <c r="K1851" t="s">
        <v>1357</v>
      </c>
      <c r="L1851" t="s">
        <v>1357</v>
      </c>
    </row>
    <row r="1852" spans="6:12">
      <c r="H1852" t="s">
        <v>20284</v>
      </c>
      <c r="I1852" t="s">
        <v>1357</v>
      </c>
      <c r="J1852" t="s">
        <v>1357</v>
      </c>
      <c r="K1852" t="s">
        <v>1357</v>
      </c>
      <c r="L1852" t="s">
        <v>1357</v>
      </c>
    </row>
    <row r="1853" spans="6:12">
      <c r="H1853" t="s">
        <v>20285</v>
      </c>
      <c r="I1853" t="s">
        <v>1357</v>
      </c>
      <c r="J1853" t="s">
        <v>1357</v>
      </c>
      <c r="K1853" t="s">
        <v>1357</v>
      </c>
      <c r="L1853" t="s">
        <v>1357</v>
      </c>
    </row>
    <row r="1854" spans="6:12">
      <c r="H1854" t="s">
        <v>20286</v>
      </c>
      <c r="I1854" t="s">
        <v>1357</v>
      </c>
      <c r="J1854" t="s">
        <v>1357</v>
      </c>
      <c r="K1854" t="s">
        <v>1357</v>
      </c>
      <c r="L1854" t="s">
        <v>1357</v>
      </c>
    </row>
    <row r="1855" spans="6:12">
      <c r="H1855" t="s">
        <v>20287</v>
      </c>
      <c r="I1855" t="s">
        <v>1357</v>
      </c>
      <c r="J1855" t="s">
        <v>1357</v>
      </c>
      <c r="K1855" t="s">
        <v>1357</v>
      </c>
      <c r="L1855" t="s">
        <v>1357</v>
      </c>
    </row>
    <row r="1856" spans="6:12">
      <c r="F1856" t="s">
        <v>14853</v>
      </c>
      <c r="G1856" t="s">
        <v>17697</v>
      </c>
      <c r="H1856" t="s">
        <v>20280</v>
      </c>
      <c r="I1856" t="s">
        <v>1357</v>
      </c>
      <c r="J1856" t="s">
        <v>1357</v>
      </c>
      <c r="K1856" t="s">
        <v>1357</v>
      </c>
      <c r="L1856" t="s">
        <v>1357</v>
      </c>
    </row>
    <row r="1857" spans="6:12">
      <c r="H1857" t="s">
        <v>20233</v>
      </c>
      <c r="I1857" t="s">
        <v>1357</v>
      </c>
      <c r="J1857" t="s">
        <v>1357</v>
      </c>
      <c r="K1857" t="s">
        <v>1357</v>
      </c>
      <c r="L1857" t="s">
        <v>1357</v>
      </c>
    </row>
    <row r="1858" spans="6:12">
      <c r="H1858" t="s">
        <v>20284</v>
      </c>
      <c r="I1858" t="s">
        <v>1357</v>
      </c>
      <c r="J1858" t="s">
        <v>1357</v>
      </c>
      <c r="K1858" t="s">
        <v>1357</v>
      </c>
      <c r="L1858" t="s">
        <v>1357</v>
      </c>
    </row>
    <row r="1859" spans="6:12">
      <c r="H1859" t="s">
        <v>20285</v>
      </c>
      <c r="I1859" t="s">
        <v>1357</v>
      </c>
      <c r="J1859" t="s">
        <v>1357</v>
      </c>
      <c r="K1859" t="s">
        <v>1357</v>
      </c>
      <c r="L1859" t="s">
        <v>1357</v>
      </c>
    </row>
    <row r="1860" spans="6:12">
      <c r="H1860" t="s">
        <v>20286</v>
      </c>
      <c r="I1860" t="s">
        <v>1357</v>
      </c>
      <c r="J1860" t="s">
        <v>1357</v>
      </c>
      <c r="K1860" t="s">
        <v>1357</v>
      </c>
      <c r="L1860" t="s">
        <v>1357</v>
      </c>
    </row>
    <row r="1861" spans="6:12">
      <c r="H1861" t="s">
        <v>20287</v>
      </c>
      <c r="I1861" t="s">
        <v>1357</v>
      </c>
      <c r="J1861" t="s">
        <v>1357</v>
      </c>
      <c r="K1861" t="s">
        <v>1357</v>
      </c>
      <c r="L1861" t="s">
        <v>1357</v>
      </c>
    </row>
    <row r="1862" spans="6:12">
      <c r="F1862" t="s">
        <v>14854</v>
      </c>
      <c r="G1862" t="s">
        <v>17698</v>
      </c>
      <c r="H1862" t="s">
        <v>20280</v>
      </c>
      <c r="I1862" t="s">
        <v>1357</v>
      </c>
      <c r="J1862" t="s">
        <v>1357</v>
      </c>
      <c r="K1862" t="s">
        <v>1357</v>
      </c>
      <c r="L1862" t="s">
        <v>1357</v>
      </c>
    </row>
    <row r="1863" spans="6:12">
      <c r="H1863" t="s">
        <v>20233</v>
      </c>
      <c r="I1863" t="s">
        <v>1357</v>
      </c>
      <c r="J1863" t="s">
        <v>1357</v>
      </c>
      <c r="K1863" t="s">
        <v>1357</v>
      </c>
      <c r="L1863" t="s">
        <v>1357</v>
      </c>
    </row>
    <row r="1864" spans="6:12">
      <c r="H1864" t="s">
        <v>20230</v>
      </c>
      <c r="I1864" t="s">
        <v>1357</v>
      </c>
      <c r="J1864" t="s">
        <v>1357</v>
      </c>
      <c r="K1864" t="s">
        <v>1357</v>
      </c>
      <c r="L1864" t="s">
        <v>1357</v>
      </c>
    </row>
    <row r="1865" spans="6:12">
      <c r="H1865" t="s">
        <v>20227</v>
      </c>
      <c r="I1865" t="s">
        <v>1357</v>
      </c>
      <c r="J1865" t="s">
        <v>1357</v>
      </c>
      <c r="K1865" t="s">
        <v>1357</v>
      </c>
      <c r="L1865" t="s">
        <v>1357</v>
      </c>
    </row>
    <row r="1866" spans="6:12">
      <c r="H1866" t="s">
        <v>20296</v>
      </c>
      <c r="I1866" t="s">
        <v>1357</v>
      </c>
      <c r="J1866" t="s">
        <v>1357</v>
      </c>
      <c r="K1866" t="s">
        <v>1357</v>
      </c>
      <c r="L1866" t="s">
        <v>1357</v>
      </c>
    </row>
    <row r="1867" spans="6:12">
      <c r="H1867" t="s">
        <v>20297</v>
      </c>
      <c r="I1867" t="s">
        <v>1357</v>
      </c>
      <c r="J1867" t="s">
        <v>1357</v>
      </c>
      <c r="K1867" t="s">
        <v>1357</v>
      </c>
      <c r="L1867" t="s">
        <v>1357</v>
      </c>
    </row>
    <row r="1868" spans="6:12">
      <c r="H1868" t="s">
        <v>20234</v>
      </c>
      <c r="I1868" t="s">
        <v>1357</v>
      </c>
      <c r="J1868" t="s">
        <v>1357</v>
      </c>
      <c r="K1868" t="s">
        <v>1357</v>
      </c>
      <c r="L1868" t="s">
        <v>1357</v>
      </c>
    </row>
    <row r="1869" spans="6:12">
      <c r="H1869" t="s">
        <v>20235</v>
      </c>
      <c r="I1869" t="s">
        <v>1357</v>
      </c>
      <c r="J1869" t="s">
        <v>1357</v>
      </c>
      <c r="K1869" t="s">
        <v>1357</v>
      </c>
      <c r="L1869" t="s">
        <v>1357</v>
      </c>
    </row>
    <row r="1870" spans="6:12">
      <c r="H1870" t="s">
        <v>20298</v>
      </c>
      <c r="I1870" t="s">
        <v>1357</v>
      </c>
      <c r="J1870" t="s">
        <v>1357</v>
      </c>
      <c r="K1870" t="s">
        <v>1357</v>
      </c>
      <c r="L1870" t="s">
        <v>1357</v>
      </c>
    </row>
    <row r="1871" spans="6:12">
      <c r="H1871" t="s">
        <v>20284</v>
      </c>
      <c r="I1871" t="s">
        <v>1357</v>
      </c>
      <c r="J1871" t="s">
        <v>1357</v>
      </c>
      <c r="K1871" t="s">
        <v>1357</v>
      </c>
      <c r="L1871" t="s">
        <v>1357</v>
      </c>
    </row>
    <row r="1872" spans="6:12">
      <c r="H1872" t="s">
        <v>20285</v>
      </c>
      <c r="I1872" t="s">
        <v>1357</v>
      </c>
      <c r="J1872" t="s">
        <v>1357</v>
      </c>
      <c r="K1872" t="s">
        <v>1357</v>
      </c>
      <c r="L1872" t="s">
        <v>1357</v>
      </c>
    </row>
    <row r="1873" spans="6:12">
      <c r="H1873" t="s">
        <v>20286</v>
      </c>
      <c r="I1873" t="s">
        <v>1357</v>
      </c>
      <c r="J1873" t="s">
        <v>1357</v>
      </c>
      <c r="K1873" t="s">
        <v>1357</v>
      </c>
      <c r="L1873" t="s">
        <v>1357</v>
      </c>
    </row>
    <row r="1874" spans="6:12">
      <c r="H1874" t="s">
        <v>20287</v>
      </c>
      <c r="I1874" t="s">
        <v>1357</v>
      </c>
      <c r="J1874" t="s">
        <v>1357</v>
      </c>
      <c r="K1874" t="s">
        <v>1357</v>
      </c>
      <c r="L1874" t="s">
        <v>1357</v>
      </c>
    </row>
    <row r="1875" spans="6:12">
      <c r="F1875" t="s">
        <v>14855</v>
      </c>
      <c r="G1875" t="s">
        <v>17699</v>
      </c>
      <c r="H1875" t="s">
        <v>20280</v>
      </c>
      <c r="I1875" t="s">
        <v>1357</v>
      </c>
      <c r="J1875" t="s">
        <v>1357</v>
      </c>
      <c r="K1875" t="s">
        <v>1357</v>
      </c>
      <c r="L1875" t="s">
        <v>1357</v>
      </c>
    </row>
    <row r="1876" spans="6:12">
      <c r="H1876" t="s">
        <v>20233</v>
      </c>
      <c r="I1876" t="s">
        <v>1357</v>
      </c>
      <c r="J1876" t="s">
        <v>1357</v>
      </c>
      <c r="K1876" t="s">
        <v>1357</v>
      </c>
      <c r="L1876" t="s">
        <v>1357</v>
      </c>
    </row>
    <row r="1877" spans="6:12">
      <c r="H1877" t="s">
        <v>20230</v>
      </c>
      <c r="I1877" t="s">
        <v>1357</v>
      </c>
      <c r="J1877" t="s">
        <v>1357</v>
      </c>
      <c r="K1877" t="s">
        <v>1357</v>
      </c>
      <c r="L1877" t="s">
        <v>1357</v>
      </c>
    </row>
    <row r="1878" spans="6:12">
      <c r="H1878" t="s">
        <v>20227</v>
      </c>
      <c r="I1878" t="s">
        <v>1357</v>
      </c>
      <c r="J1878" t="s">
        <v>1357</v>
      </c>
      <c r="K1878" t="s">
        <v>1357</v>
      </c>
      <c r="L1878" t="s">
        <v>1357</v>
      </c>
    </row>
    <row r="1879" spans="6:12">
      <c r="H1879" t="s">
        <v>20228</v>
      </c>
      <c r="I1879" t="s">
        <v>1357</v>
      </c>
      <c r="J1879" t="s">
        <v>1357</v>
      </c>
      <c r="K1879" t="s">
        <v>1357</v>
      </c>
      <c r="L1879" t="s">
        <v>1357</v>
      </c>
    </row>
    <row r="1880" spans="6:12">
      <c r="H1880" t="s">
        <v>20296</v>
      </c>
      <c r="I1880" t="s">
        <v>1357</v>
      </c>
      <c r="J1880" t="s">
        <v>1357</v>
      </c>
      <c r="K1880" t="s">
        <v>1357</v>
      </c>
      <c r="L1880" t="s">
        <v>1357</v>
      </c>
    </row>
    <row r="1881" spans="6:12">
      <c r="H1881" t="s">
        <v>20297</v>
      </c>
      <c r="I1881" t="s">
        <v>1357</v>
      </c>
      <c r="J1881" t="s">
        <v>1357</v>
      </c>
      <c r="K1881" t="s">
        <v>1357</v>
      </c>
      <c r="L1881" t="s">
        <v>1357</v>
      </c>
    </row>
    <row r="1882" spans="6:12">
      <c r="H1882" t="s">
        <v>20284</v>
      </c>
      <c r="I1882" t="s">
        <v>1357</v>
      </c>
      <c r="J1882" t="s">
        <v>1357</v>
      </c>
      <c r="K1882" t="s">
        <v>1357</v>
      </c>
      <c r="L1882" t="s">
        <v>1357</v>
      </c>
    </row>
    <row r="1883" spans="6:12">
      <c r="H1883" t="s">
        <v>20285</v>
      </c>
      <c r="I1883" t="s">
        <v>1357</v>
      </c>
      <c r="J1883" t="s">
        <v>1357</v>
      </c>
      <c r="K1883" t="s">
        <v>1357</v>
      </c>
      <c r="L1883" t="s">
        <v>1357</v>
      </c>
    </row>
    <row r="1884" spans="6:12">
      <c r="H1884" t="s">
        <v>20286</v>
      </c>
      <c r="I1884" t="s">
        <v>1357</v>
      </c>
      <c r="J1884" t="s">
        <v>1357</v>
      </c>
      <c r="K1884" t="s">
        <v>1357</v>
      </c>
      <c r="L1884" t="s">
        <v>1357</v>
      </c>
    </row>
    <row r="1885" spans="6:12">
      <c r="H1885" t="s">
        <v>20287</v>
      </c>
      <c r="I1885" t="s">
        <v>1357</v>
      </c>
      <c r="J1885" t="s">
        <v>1357</v>
      </c>
      <c r="K1885" t="s">
        <v>1357</v>
      </c>
      <c r="L1885" t="s">
        <v>1357</v>
      </c>
    </row>
    <row r="1886" spans="6:12">
      <c r="F1886" t="s">
        <v>14856</v>
      </c>
      <c r="G1886" t="s">
        <v>17700</v>
      </c>
      <c r="H1886" t="s">
        <v>20280</v>
      </c>
      <c r="I1886" t="s">
        <v>1357</v>
      </c>
      <c r="J1886" t="s">
        <v>1357</v>
      </c>
      <c r="K1886" t="s">
        <v>1357</v>
      </c>
      <c r="L1886" t="s">
        <v>1357</v>
      </c>
    </row>
    <row r="1887" spans="6:12">
      <c r="H1887" t="s">
        <v>20233</v>
      </c>
      <c r="I1887" t="s">
        <v>1357</v>
      </c>
      <c r="J1887" t="s">
        <v>1357</v>
      </c>
      <c r="K1887" t="s">
        <v>1357</v>
      </c>
      <c r="L1887" t="s">
        <v>1357</v>
      </c>
    </row>
    <row r="1888" spans="6:12">
      <c r="H1888" t="s">
        <v>20230</v>
      </c>
      <c r="I1888" t="s">
        <v>1357</v>
      </c>
      <c r="J1888" t="s">
        <v>1357</v>
      </c>
      <c r="K1888" t="s">
        <v>1357</v>
      </c>
      <c r="L1888" t="s">
        <v>1357</v>
      </c>
    </row>
    <row r="1889" spans="8:12">
      <c r="H1889" t="s">
        <v>20281</v>
      </c>
      <c r="I1889" t="s">
        <v>1357</v>
      </c>
      <c r="J1889" t="s">
        <v>1357</v>
      </c>
      <c r="K1889" t="s">
        <v>1357</v>
      </c>
      <c r="L1889" t="s">
        <v>1357</v>
      </c>
    </row>
    <row r="1890" spans="8:12">
      <c r="H1890" t="s">
        <v>20282</v>
      </c>
      <c r="I1890" t="s">
        <v>1357</v>
      </c>
      <c r="J1890" t="s">
        <v>1357</v>
      </c>
      <c r="K1890" t="s">
        <v>1357</v>
      </c>
      <c r="L1890" t="s">
        <v>1357</v>
      </c>
    </row>
    <row r="1891" spans="8:12">
      <c r="H1891" t="s">
        <v>20283</v>
      </c>
      <c r="I1891" t="s">
        <v>1357</v>
      </c>
      <c r="J1891" t="s">
        <v>1357</v>
      </c>
      <c r="K1891" t="s">
        <v>1357</v>
      </c>
      <c r="L1891" t="s">
        <v>1357</v>
      </c>
    </row>
    <row r="1892" spans="8:12">
      <c r="H1892" t="s">
        <v>20292</v>
      </c>
      <c r="I1892" t="s">
        <v>1357</v>
      </c>
      <c r="J1892" t="s">
        <v>1357</v>
      </c>
      <c r="K1892" t="s">
        <v>1357</v>
      </c>
      <c r="L1892" t="s">
        <v>1357</v>
      </c>
    </row>
    <row r="1893" spans="8:12">
      <c r="H1893" t="s">
        <v>20305</v>
      </c>
      <c r="I1893" t="s">
        <v>1357</v>
      </c>
      <c r="J1893" t="s">
        <v>1357</v>
      </c>
      <c r="K1893" t="s">
        <v>1357</v>
      </c>
      <c r="L1893" t="s">
        <v>1357</v>
      </c>
    </row>
    <row r="1894" spans="8:12">
      <c r="H1894" t="s">
        <v>20306</v>
      </c>
      <c r="I1894" t="s">
        <v>1357</v>
      </c>
      <c r="J1894" t="s">
        <v>1357</v>
      </c>
      <c r="K1894" t="s">
        <v>1357</v>
      </c>
      <c r="L1894" t="s">
        <v>1357</v>
      </c>
    </row>
    <row r="1895" spans="8:12">
      <c r="H1895" t="s">
        <v>20307</v>
      </c>
      <c r="I1895" t="s">
        <v>1357</v>
      </c>
      <c r="J1895" t="s">
        <v>1357</v>
      </c>
      <c r="K1895" t="s">
        <v>1357</v>
      </c>
      <c r="L1895" t="s">
        <v>1357</v>
      </c>
    </row>
    <row r="1896" spans="8:12">
      <c r="H1896" t="s">
        <v>20008</v>
      </c>
      <c r="I1896" t="s">
        <v>1357</v>
      </c>
      <c r="J1896" t="s">
        <v>1357</v>
      </c>
      <c r="K1896" t="s">
        <v>1357</v>
      </c>
      <c r="L1896" t="s">
        <v>1357</v>
      </c>
    </row>
    <row r="1897" spans="8:12">
      <c r="H1897" t="s">
        <v>20284</v>
      </c>
      <c r="I1897" t="s">
        <v>1357</v>
      </c>
      <c r="J1897" t="s">
        <v>1357</v>
      </c>
      <c r="K1897" t="s">
        <v>1357</v>
      </c>
      <c r="L1897" t="s">
        <v>1357</v>
      </c>
    </row>
    <row r="1898" spans="8:12">
      <c r="H1898" t="s">
        <v>20285</v>
      </c>
      <c r="I1898" t="s">
        <v>1357</v>
      </c>
      <c r="J1898" t="s">
        <v>1357</v>
      </c>
      <c r="K1898" t="s">
        <v>1357</v>
      </c>
      <c r="L1898" t="s">
        <v>1357</v>
      </c>
    </row>
    <row r="1899" spans="8:12">
      <c r="H1899" t="s">
        <v>20288</v>
      </c>
      <c r="I1899" t="s">
        <v>1357</v>
      </c>
      <c r="J1899" t="s">
        <v>1357</v>
      </c>
      <c r="K1899" t="s">
        <v>1357</v>
      </c>
      <c r="L1899" t="s">
        <v>1357</v>
      </c>
    </row>
    <row r="1900" spans="8:12">
      <c r="H1900" t="s">
        <v>20289</v>
      </c>
      <c r="I1900" t="s">
        <v>1357</v>
      </c>
      <c r="J1900" t="s">
        <v>1357</v>
      </c>
      <c r="K1900" t="s">
        <v>1357</v>
      </c>
      <c r="L1900" t="s">
        <v>1357</v>
      </c>
    </row>
    <row r="1901" spans="8:12">
      <c r="H1901" t="s">
        <v>20290</v>
      </c>
      <c r="I1901" t="s">
        <v>1357</v>
      </c>
      <c r="J1901" t="s">
        <v>1357</v>
      </c>
      <c r="K1901" t="s">
        <v>1357</v>
      </c>
      <c r="L1901" t="s">
        <v>1357</v>
      </c>
    </row>
    <row r="1902" spans="8:12">
      <c r="H1902" t="s">
        <v>20291</v>
      </c>
      <c r="I1902" t="s">
        <v>1357</v>
      </c>
      <c r="J1902" t="s">
        <v>1357</v>
      </c>
      <c r="K1902" t="s">
        <v>1357</v>
      </c>
      <c r="L1902" t="s">
        <v>1357</v>
      </c>
    </row>
    <row r="1903" spans="8:12">
      <c r="H1903" t="s">
        <v>20293</v>
      </c>
      <c r="I1903" t="s">
        <v>1357</v>
      </c>
      <c r="J1903" t="s">
        <v>1357</v>
      </c>
      <c r="K1903" t="s">
        <v>1357</v>
      </c>
      <c r="L1903" t="s">
        <v>1357</v>
      </c>
    </row>
    <row r="1904" spans="8:12">
      <c r="H1904" t="s">
        <v>20294</v>
      </c>
      <c r="I1904" t="s">
        <v>1357</v>
      </c>
      <c r="J1904" t="s">
        <v>1357</v>
      </c>
      <c r="K1904" t="s">
        <v>1357</v>
      </c>
      <c r="L1904" t="s">
        <v>1357</v>
      </c>
    </row>
    <row r="1905" spans="6:12">
      <c r="H1905" t="s">
        <v>20312</v>
      </c>
      <c r="I1905" t="s">
        <v>1357</v>
      </c>
      <c r="J1905" t="s">
        <v>1357</v>
      </c>
      <c r="K1905" t="s">
        <v>1357</v>
      </c>
      <c r="L1905" t="s">
        <v>1357</v>
      </c>
    </row>
    <row r="1906" spans="6:12">
      <c r="H1906" t="s">
        <v>20313</v>
      </c>
      <c r="I1906" t="s">
        <v>1357</v>
      </c>
      <c r="J1906" t="s">
        <v>1357</v>
      </c>
      <c r="K1906" t="s">
        <v>1357</v>
      </c>
      <c r="L1906" t="s">
        <v>1357</v>
      </c>
    </row>
    <row r="1907" spans="6:12">
      <c r="F1907" t="s">
        <v>14857</v>
      </c>
      <c r="G1907" t="s">
        <v>17701</v>
      </c>
      <c r="H1907" t="s">
        <v>20280</v>
      </c>
      <c r="I1907" t="s">
        <v>1357</v>
      </c>
      <c r="J1907" t="s">
        <v>1357</v>
      </c>
      <c r="K1907" t="s">
        <v>1357</v>
      </c>
      <c r="L1907" t="s">
        <v>1357</v>
      </c>
    </row>
    <row r="1908" spans="6:12">
      <c r="H1908" t="s">
        <v>20233</v>
      </c>
      <c r="I1908" t="s">
        <v>1357</v>
      </c>
      <c r="J1908" t="s">
        <v>1357</v>
      </c>
      <c r="K1908" t="s">
        <v>1357</v>
      </c>
      <c r="L1908" t="s">
        <v>1357</v>
      </c>
    </row>
    <row r="1909" spans="6:12">
      <c r="H1909" t="s">
        <v>20230</v>
      </c>
      <c r="I1909" t="s">
        <v>1357</v>
      </c>
      <c r="J1909" t="s">
        <v>1357</v>
      </c>
      <c r="K1909" t="s">
        <v>1357</v>
      </c>
      <c r="L1909" t="s">
        <v>1357</v>
      </c>
    </row>
    <row r="1910" spans="6:12">
      <c r="H1910" t="s">
        <v>20227</v>
      </c>
      <c r="I1910" t="s">
        <v>1357</v>
      </c>
      <c r="J1910" t="s">
        <v>1357</v>
      </c>
      <c r="K1910" t="s">
        <v>1357</v>
      </c>
      <c r="L1910" t="s">
        <v>1357</v>
      </c>
    </row>
    <row r="1911" spans="6:12">
      <c r="H1911" t="s">
        <v>20228</v>
      </c>
      <c r="I1911" t="s">
        <v>1357</v>
      </c>
      <c r="J1911" t="s">
        <v>1357</v>
      </c>
      <c r="K1911" t="s">
        <v>1357</v>
      </c>
      <c r="L1911" t="s">
        <v>1357</v>
      </c>
    </row>
    <row r="1912" spans="6:12">
      <c r="H1912" t="s">
        <v>20232</v>
      </c>
      <c r="I1912" t="s">
        <v>1357</v>
      </c>
      <c r="J1912" t="s">
        <v>1357</v>
      </c>
      <c r="K1912" t="s">
        <v>1357</v>
      </c>
      <c r="L1912" t="s">
        <v>1357</v>
      </c>
    </row>
    <row r="1913" spans="6:12">
      <c r="H1913" t="s">
        <v>20229</v>
      </c>
      <c r="I1913" t="s">
        <v>1357</v>
      </c>
      <c r="J1913" t="s">
        <v>1357</v>
      </c>
      <c r="K1913" t="s">
        <v>1357</v>
      </c>
      <c r="L1913" t="s">
        <v>1357</v>
      </c>
    </row>
    <row r="1914" spans="6:12">
      <c r="H1914" t="s">
        <v>20231</v>
      </c>
      <c r="I1914" t="s">
        <v>1357</v>
      </c>
      <c r="J1914" t="s">
        <v>1357</v>
      </c>
      <c r="K1914" t="s">
        <v>1357</v>
      </c>
      <c r="L1914" t="s">
        <v>1357</v>
      </c>
    </row>
    <row r="1915" spans="6:12">
      <c r="H1915" t="s">
        <v>20281</v>
      </c>
      <c r="I1915" t="s">
        <v>1357</v>
      </c>
      <c r="J1915" t="s">
        <v>1357</v>
      </c>
      <c r="K1915" t="s">
        <v>1357</v>
      </c>
      <c r="L1915" t="s">
        <v>1357</v>
      </c>
    </row>
    <row r="1916" spans="6:12">
      <c r="H1916" t="s">
        <v>20282</v>
      </c>
      <c r="I1916" t="s">
        <v>1357</v>
      </c>
      <c r="J1916" t="s">
        <v>1357</v>
      </c>
      <c r="K1916" t="s">
        <v>1357</v>
      </c>
      <c r="L1916" t="s">
        <v>1357</v>
      </c>
    </row>
    <row r="1917" spans="6:12">
      <c r="H1917" t="s">
        <v>20283</v>
      </c>
      <c r="I1917" t="s">
        <v>1357</v>
      </c>
      <c r="J1917" t="s">
        <v>1357</v>
      </c>
      <c r="K1917" t="s">
        <v>1357</v>
      </c>
      <c r="L1917" t="s">
        <v>1357</v>
      </c>
    </row>
    <row r="1918" spans="6:12">
      <c r="H1918" t="s">
        <v>20292</v>
      </c>
      <c r="I1918" t="s">
        <v>1357</v>
      </c>
      <c r="J1918" t="s">
        <v>1357</v>
      </c>
      <c r="K1918" t="s">
        <v>1357</v>
      </c>
      <c r="L1918" t="s">
        <v>1357</v>
      </c>
    </row>
    <row r="1919" spans="6:12">
      <c r="H1919" t="s">
        <v>20305</v>
      </c>
      <c r="I1919" t="s">
        <v>1357</v>
      </c>
      <c r="J1919" t="s">
        <v>1357</v>
      </c>
      <c r="K1919" t="s">
        <v>1357</v>
      </c>
      <c r="L1919" t="s">
        <v>1357</v>
      </c>
    </row>
    <row r="1920" spans="6:12">
      <c r="H1920" t="s">
        <v>20306</v>
      </c>
      <c r="I1920" t="s">
        <v>1357</v>
      </c>
      <c r="J1920" t="s">
        <v>1357</v>
      </c>
      <c r="K1920" t="s">
        <v>1357</v>
      </c>
      <c r="L1920" t="s">
        <v>1357</v>
      </c>
    </row>
    <row r="1921" spans="6:12">
      <c r="H1921" t="s">
        <v>20307</v>
      </c>
      <c r="I1921" t="s">
        <v>1357</v>
      </c>
      <c r="J1921" t="s">
        <v>1357</v>
      </c>
      <c r="K1921" t="s">
        <v>1357</v>
      </c>
      <c r="L1921" t="s">
        <v>1357</v>
      </c>
    </row>
    <row r="1922" spans="6:12">
      <c r="H1922" t="s">
        <v>20284</v>
      </c>
      <c r="I1922" t="s">
        <v>1357</v>
      </c>
      <c r="J1922" t="s">
        <v>1357</v>
      </c>
      <c r="K1922" t="s">
        <v>1357</v>
      </c>
      <c r="L1922" t="s">
        <v>1357</v>
      </c>
    </row>
    <row r="1923" spans="6:12">
      <c r="H1923" t="s">
        <v>20285</v>
      </c>
      <c r="I1923" t="s">
        <v>1357</v>
      </c>
      <c r="J1923" t="s">
        <v>1357</v>
      </c>
      <c r="K1923" t="s">
        <v>1357</v>
      </c>
      <c r="L1923" t="s">
        <v>1357</v>
      </c>
    </row>
    <row r="1924" spans="6:12">
      <c r="H1924" t="s">
        <v>20286</v>
      </c>
      <c r="I1924" t="s">
        <v>1357</v>
      </c>
      <c r="J1924" t="s">
        <v>1357</v>
      </c>
      <c r="K1924" t="s">
        <v>1357</v>
      </c>
      <c r="L1924" t="s">
        <v>1357</v>
      </c>
    </row>
    <row r="1925" spans="6:12">
      <c r="H1925" t="s">
        <v>20287</v>
      </c>
      <c r="I1925" t="s">
        <v>1357</v>
      </c>
      <c r="J1925" t="s">
        <v>1357</v>
      </c>
      <c r="K1925" t="s">
        <v>1357</v>
      </c>
      <c r="L1925" t="s">
        <v>1357</v>
      </c>
    </row>
    <row r="1926" spans="6:12">
      <c r="H1926" t="s">
        <v>20288</v>
      </c>
      <c r="I1926" t="s">
        <v>1357</v>
      </c>
      <c r="J1926" t="s">
        <v>1357</v>
      </c>
      <c r="K1926" t="s">
        <v>1357</v>
      </c>
      <c r="L1926" t="s">
        <v>1357</v>
      </c>
    </row>
    <row r="1927" spans="6:12">
      <c r="H1927" t="s">
        <v>20289</v>
      </c>
      <c r="I1927" t="s">
        <v>1357</v>
      </c>
      <c r="J1927" t="s">
        <v>1357</v>
      </c>
      <c r="K1927" t="s">
        <v>1357</v>
      </c>
      <c r="L1927" t="s">
        <v>1357</v>
      </c>
    </row>
    <row r="1928" spans="6:12">
      <c r="H1928" t="s">
        <v>20290</v>
      </c>
      <c r="I1928" t="s">
        <v>1357</v>
      </c>
      <c r="J1928" t="s">
        <v>1357</v>
      </c>
      <c r="K1928" t="s">
        <v>1357</v>
      </c>
      <c r="L1928" t="s">
        <v>1357</v>
      </c>
    </row>
    <row r="1929" spans="6:12">
      <c r="H1929" t="s">
        <v>20291</v>
      </c>
      <c r="I1929" t="s">
        <v>1357</v>
      </c>
      <c r="J1929" t="s">
        <v>1357</v>
      </c>
      <c r="K1929" t="s">
        <v>1357</v>
      </c>
      <c r="L1929" t="s">
        <v>1357</v>
      </c>
    </row>
    <row r="1930" spans="6:12">
      <c r="H1930" t="s">
        <v>20293</v>
      </c>
      <c r="I1930" t="s">
        <v>1357</v>
      </c>
      <c r="J1930" t="s">
        <v>1357</v>
      </c>
      <c r="K1930" t="s">
        <v>1357</v>
      </c>
      <c r="L1930" t="s">
        <v>1357</v>
      </c>
    </row>
    <row r="1931" spans="6:12">
      <c r="H1931" t="s">
        <v>20294</v>
      </c>
      <c r="I1931" t="s">
        <v>1357</v>
      </c>
      <c r="J1931" t="s">
        <v>1357</v>
      </c>
      <c r="K1931" t="s">
        <v>1357</v>
      </c>
      <c r="L1931" t="s">
        <v>1357</v>
      </c>
    </row>
    <row r="1932" spans="6:12">
      <c r="H1932" t="s">
        <v>20312</v>
      </c>
      <c r="I1932" t="s">
        <v>1357</v>
      </c>
      <c r="J1932" t="s">
        <v>1357</v>
      </c>
      <c r="K1932" t="s">
        <v>1357</v>
      </c>
      <c r="L1932" t="s">
        <v>1357</v>
      </c>
    </row>
    <row r="1933" spans="6:12">
      <c r="F1933" t="s">
        <v>14858</v>
      </c>
      <c r="G1933" t="s">
        <v>17702</v>
      </c>
      <c r="H1933" t="s">
        <v>20280</v>
      </c>
      <c r="I1933" t="s">
        <v>1357</v>
      </c>
      <c r="J1933" t="s">
        <v>1357</v>
      </c>
      <c r="K1933" t="s">
        <v>1357</v>
      </c>
      <c r="L1933" t="s">
        <v>1357</v>
      </c>
    </row>
    <row r="1934" spans="6:12">
      <c r="H1934" t="s">
        <v>20233</v>
      </c>
      <c r="I1934" t="s">
        <v>1357</v>
      </c>
      <c r="J1934" t="s">
        <v>1357</v>
      </c>
      <c r="K1934" t="s">
        <v>1357</v>
      </c>
      <c r="L1934" t="s">
        <v>1357</v>
      </c>
    </row>
    <row r="1935" spans="6:12">
      <c r="H1935" t="s">
        <v>20230</v>
      </c>
      <c r="I1935" t="s">
        <v>1357</v>
      </c>
      <c r="J1935" t="s">
        <v>1357</v>
      </c>
      <c r="K1935" t="s">
        <v>1357</v>
      </c>
      <c r="L1935" t="s">
        <v>1357</v>
      </c>
    </row>
    <row r="1936" spans="6:12">
      <c r="H1936" t="s">
        <v>20227</v>
      </c>
      <c r="I1936" t="s">
        <v>1357</v>
      </c>
      <c r="J1936" t="s">
        <v>1357</v>
      </c>
      <c r="K1936" t="s">
        <v>1357</v>
      </c>
      <c r="L1936" t="s">
        <v>1357</v>
      </c>
    </row>
    <row r="1937" spans="8:12">
      <c r="H1937" t="s">
        <v>20228</v>
      </c>
      <c r="I1937" t="s">
        <v>1357</v>
      </c>
      <c r="J1937" t="s">
        <v>1357</v>
      </c>
      <c r="K1937" t="s">
        <v>1357</v>
      </c>
      <c r="L1937" t="s">
        <v>1357</v>
      </c>
    </row>
    <row r="1938" spans="8:12">
      <c r="H1938" t="s">
        <v>20232</v>
      </c>
      <c r="I1938" t="s">
        <v>1357</v>
      </c>
      <c r="J1938" t="s">
        <v>1357</v>
      </c>
      <c r="K1938" t="s">
        <v>1357</v>
      </c>
      <c r="L1938" t="s">
        <v>1357</v>
      </c>
    </row>
    <row r="1939" spans="8:12">
      <c r="H1939" t="s">
        <v>20281</v>
      </c>
      <c r="I1939" t="s">
        <v>1357</v>
      </c>
      <c r="J1939" t="s">
        <v>1357</v>
      </c>
      <c r="K1939" t="s">
        <v>1357</v>
      </c>
      <c r="L1939" t="s">
        <v>1357</v>
      </c>
    </row>
    <row r="1940" spans="8:12">
      <c r="H1940" t="s">
        <v>20282</v>
      </c>
      <c r="I1940" t="s">
        <v>1357</v>
      </c>
      <c r="J1940" t="s">
        <v>1357</v>
      </c>
      <c r="K1940" t="s">
        <v>1357</v>
      </c>
      <c r="L1940" t="s">
        <v>1357</v>
      </c>
    </row>
    <row r="1941" spans="8:12">
      <c r="H1941" t="s">
        <v>20283</v>
      </c>
      <c r="I1941" t="s">
        <v>1357</v>
      </c>
      <c r="J1941" t="s">
        <v>1357</v>
      </c>
      <c r="K1941" t="s">
        <v>1357</v>
      </c>
      <c r="L1941" t="s">
        <v>1357</v>
      </c>
    </row>
    <row r="1942" spans="8:12">
      <c r="H1942" t="s">
        <v>20305</v>
      </c>
      <c r="I1942" t="s">
        <v>1357</v>
      </c>
      <c r="J1942" t="s">
        <v>1357</v>
      </c>
      <c r="K1942" t="s">
        <v>1357</v>
      </c>
      <c r="L1942" t="s">
        <v>1357</v>
      </c>
    </row>
    <row r="1943" spans="8:12">
      <c r="H1943" t="s">
        <v>20306</v>
      </c>
      <c r="I1943" t="s">
        <v>1357</v>
      </c>
      <c r="J1943" t="s">
        <v>1357</v>
      </c>
      <c r="K1943" t="s">
        <v>1357</v>
      </c>
      <c r="L1943" t="s">
        <v>1357</v>
      </c>
    </row>
    <row r="1944" spans="8:12">
      <c r="H1944" t="s">
        <v>20307</v>
      </c>
      <c r="I1944" t="s">
        <v>1357</v>
      </c>
      <c r="J1944" t="s">
        <v>1357</v>
      </c>
      <c r="K1944" t="s">
        <v>1357</v>
      </c>
      <c r="L1944" t="s">
        <v>1357</v>
      </c>
    </row>
    <row r="1945" spans="8:12">
      <c r="H1945" t="s">
        <v>20008</v>
      </c>
      <c r="I1945" t="s">
        <v>1357</v>
      </c>
      <c r="J1945" t="s">
        <v>1357</v>
      </c>
      <c r="K1945" t="s">
        <v>1357</v>
      </c>
      <c r="L1945" t="s">
        <v>1357</v>
      </c>
    </row>
    <row r="1946" spans="8:12">
      <c r="H1946" t="s">
        <v>20308</v>
      </c>
      <c r="I1946" t="s">
        <v>1357</v>
      </c>
      <c r="J1946" t="s">
        <v>1357</v>
      </c>
      <c r="K1946" t="s">
        <v>1357</v>
      </c>
      <c r="L1946" t="s">
        <v>1357</v>
      </c>
    </row>
    <row r="1947" spans="8:12">
      <c r="H1947" t="s">
        <v>20284</v>
      </c>
      <c r="I1947" t="s">
        <v>1357</v>
      </c>
      <c r="J1947" t="s">
        <v>1357</v>
      </c>
      <c r="K1947" t="s">
        <v>1357</v>
      </c>
      <c r="L1947" t="s">
        <v>1357</v>
      </c>
    </row>
    <row r="1948" spans="8:12">
      <c r="H1948" t="s">
        <v>20285</v>
      </c>
      <c r="I1948" t="s">
        <v>1357</v>
      </c>
      <c r="J1948" t="s">
        <v>1357</v>
      </c>
      <c r="K1948" t="s">
        <v>1357</v>
      </c>
      <c r="L1948" t="s">
        <v>1357</v>
      </c>
    </row>
    <row r="1949" spans="8:12">
      <c r="H1949" t="s">
        <v>20286</v>
      </c>
      <c r="I1949" t="s">
        <v>1357</v>
      </c>
      <c r="J1949" t="s">
        <v>1357</v>
      </c>
      <c r="K1949" t="s">
        <v>1357</v>
      </c>
      <c r="L1949" t="s">
        <v>1357</v>
      </c>
    </row>
    <row r="1950" spans="8:12">
      <c r="H1950" t="s">
        <v>20287</v>
      </c>
      <c r="I1950" t="s">
        <v>1357</v>
      </c>
      <c r="J1950" t="s">
        <v>1357</v>
      </c>
      <c r="K1950" t="s">
        <v>1357</v>
      </c>
      <c r="L1950" t="s">
        <v>1357</v>
      </c>
    </row>
    <row r="1951" spans="8:12">
      <c r="H1951" t="s">
        <v>20288</v>
      </c>
      <c r="I1951" t="s">
        <v>1357</v>
      </c>
      <c r="J1951" t="s">
        <v>1357</v>
      </c>
      <c r="K1951" t="s">
        <v>1357</v>
      </c>
      <c r="L1951" t="s">
        <v>1357</v>
      </c>
    </row>
    <row r="1952" spans="8:12">
      <c r="H1952" t="s">
        <v>20289</v>
      </c>
      <c r="I1952" t="s">
        <v>1357</v>
      </c>
      <c r="J1952" t="s">
        <v>1357</v>
      </c>
      <c r="K1952" t="s">
        <v>1357</v>
      </c>
      <c r="L1952" t="s">
        <v>1357</v>
      </c>
    </row>
    <row r="1953" spans="6:12">
      <c r="F1953" t="s">
        <v>14859</v>
      </c>
      <c r="G1953" t="s">
        <v>17703</v>
      </c>
      <c r="H1953" t="s">
        <v>20280</v>
      </c>
      <c r="I1953" t="s">
        <v>1357</v>
      </c>
      <c r="J1953" t="s">
        <v>1357</v>
      </c>
      <c r="K1953" t="s">
        <v>1357</v>
      </c>
      <c r="L1953" t="s">
        <v>1357</v>
      </c>
    </row>
    <row r="1954" spans="6:12">
      <c r="H1954" t="s">
        <v>20233</v>
      </c>
      <c r="I1954" t="s">
        <v>1357</v>
      </c>
      <c r="J1954" t="s">
        <v>1357</v>
      </c>
      <c r="K1954" t="s">
        <v>1357</v>
      </c>
      <c r="L1954" t="s">
        <v>1357</v>
      </c>
    </row>
    <row r="1955" spans="6:12">
      <c r="H1955" t="s">
        <v>20230</v>
      </c>
      <c r="I1955" t="s">
        <v>1357</v>
      </c>
      <c r="J1955" t="s">
        <v>1357</v>
      </c>
      <c r="K1955" t="s">
        <v>1357</v>
      </c>
      <c r="L1955" t="s">
        <v>1357</v>
      </c>
    </row>
    <row r="1956" spans="6:12">
      <c r="H1956" t="s">
        <v>20227</v>
      </c>
      <c r="I1956" t="s">
        <v>1357</v>
      </c>
      <c r="J1956" t="s">
        <v>1357</v>
      </c>
      <c r="K1956" t="s">
        <v>1357</v>
      </c>
      <c r="L1956" t="s">
        <v>1357</v>
      </c>
    </row>
    <row r="1957" spans="6:12">
      <c r="H1957" t="s">
        <v>20228</v>
      </c>
      <c r="I1957" t="s">
        <v>1357</v>
      </c>
      <c r="J1957" t="s">
        <v>1357</v>
      </c>
      <c r="K1957" t="s">
        <v>1357</v>
      </c>
      <c r="L1957" t="s">
        <v>1357</v>
      </c>
    </row>
    <row r="1958" spans="6:12">
      <c r="H1958" t="s">
        <v>20232</v>
      </c>
      <c r="I1958" t="s">
        <v>1357</v>
      </c>
      <c r="J1958" t="s">
        <v>1357</v>
      </c>
      <c r="K1958" t="s">
        <v>1357</v>
      </c>
      <c r="L1958" t="s">
        <v>1357</v>
      </c>
    </row>
    <row r="1959" spans="6:12">
      <c r="H1959" t="s">
        <v>20281</v>
      </c>
      <c r="I1959" t="s">
        <v>1357</v>
      </c>
      <c r="J1959" t="s">
        <v>1357</v>
      </c>
      <c r="K1959" t="s">
        <v>1357</v>
      </c>
      <c r="L1959" t="s">
        <v>1357</v>
      </c>
    </row>
    <row r="1960" spans="6:12">
      <c r="H1960" t="s">
        <v>20282</v>
      </c>
      <c r="I1960" t="s">
        <v>1357</v>
      </c>
      <c r="J1960" t="s">
        <v>1357</v>
      </c>
      <c r="K1960" t="s">
        <v>1357</v>
      </c>
      <c r="L1960" t="s">
        <v>1357</v>
      </c>
    </row>
    <row r="1961" spans="6:12">
      <c r="H1961" t="s">
        <v>20283</v>
      </c>
      <c r="I1961" t="s">
        <v>1357</v>
      </c>
      <c r="J1961" t="s">
        <v>1357</v>
      </c>
      <c r="K1961" t="s">
        <v>1357</v>
      </c>
      <c r="L1961" t="s">
        <v>1357</v>
      </c>
    </row>
    <row r="1962" spans="6:12">
      <c r="H1962" t="s">
        <v>20292</v>
      </c>
      <c r="I1962" t="s">
        <v>1357</v>
      </c>
      <c r="J1962" t="s">
        <v>1357</v>
      </c>
      <c r="K1962" t="s">
        <v>1357</v>
      </c>
      <c r="L1962" t="s">
        <v>1357</v>
      </c>
    </row>
    <row r="1963" spans="6:12">
      <c r="H1963" t="s">
        <v>20305</v>
      </c>
      <c r="I1963" t="s">
        <v>1357</v>
      </c>
      <c r="J1963" t="s">
        <v>1357</v>
      </c>
      <c r="K1963" t="s">
        <v>1357</v>
      </c>
      <c r="L1963" t="s">
        <v>1357</v>
      </c>
    </row>
    <row r="1964" spans="6:12">
      <c r="H1964" t="s">
        <v>20306</v>
      </c>
      <c r="I1964" t="s">
        <v>1357</v>
      </c>
      <c r="J1964" t="s">
        <v>1357</v>
      </c>
      <c r="K1964" t="s">
        <v>1357</v>
      </c>
      <c r="L1964" t="s">
        <v>1357</v>
      </c>
    </row>
    <row r="1965" spans="6:12">
      <c r="H1965" t="s">
        <v>20307</v>
      </c>
      <c r="I1965" t="s">
        <v>1357</v>
      </c>
      <c r="J1965" t="s">
        <v>1357</v>
      </c>
      <c r="K1965" t="s">
        <v>1357</v>
      </c>
      <c r="L1965" t="s">
        <v>1357</v>
      </c>
    </row>
    <row r="1966" spans="6:12">
      <c r="H1966" t="s">
        <v>20008</v>
      </c>
      <c r="I1966" t="s">
        <v>1357</v>
      </c>
      <c r="J1966" t="s">
        <v>1357</v>
      </c>
      <c r="K1966" t="s">
        <v>1357</v>
      </c>
      <c r="L1966" t="s">
        <v>1357</v>
      </c>
    </row>
    <row r="1967" spans="6:12">
      <c r="H1967" t="s">
        <v>20284</v>
      </c>
      <c r="I1967" t="s">
        <v>1357</v>
      </c>
      <c r="J1967" t="s">
        <v>1357</v>
      </c>
      <c r="K1967" t="s">
        <v>1357</v>
      </c>
      <c r="L1967" t="s">
        <v>1357</v>
      </c>
    </row>
    <row r="1968" spans="6:12">
      <c r="H1968" t="s">
        <v>20285</v>
      </c>
      <c r="I1968" t="s">
        <v>1357</v>
      </c>
      <c r="J1968" t="s">
        <v>1357</v>
      </c>
      <c r="K1968" t="s">
        <v>1357</v>
      </c>
      <c r="L1968" t="s">
        <v>1357</v>
      </c>
    </row>
    <row r="1969" spans="6:12">
      <c r="H1969" t="s">
        <v>20286</v>
      </c>
      <c r="I1969" t="s">
        <v>1357</v>
      </c>
      <c r="J1969" t="s">
        <v>1357</v>
      </c>
      <c r="K1969" t="s">
        <v>1357</v>
      </c>
      <c r="L1969" t="s">
        <v>1357</v>
      </c>
    </row>
    <row r="1970" spans="6:12">
      <c r="H1970" t="s">
        <v>20287</v>
      </c>
      <c r="I1970" t="s">
        <v>1357</v>
      </c>
      <c r="J1970" t="s">
        <v>1357</v>
      </c>
      <c r="K1970" t="s">
        <v>1357</v>
      </c>
      <c r="L1970" t="s">
        <v>1357</v>
      </c>
    </row>
    <row r="1971" spans="6:12">
      <c r="H1971" t="s">
        <v>20288</v>
      </c>
      <c r="I1971" t="s">
        <v>1357</v>
      </c>
      <c r="J1971" t="s">
        <v>1357</v>
      </c>
      <c r="K1971" t="s">
        <v>1357</v>
      </c>
      <c r="L1971" t="s">
        <v>1357</v>
      </c>
    </row>
    <row r="1972" spans="6:12">
      <c r="H1972" t="s">
        <v>20289</v>
      </c>
      <c r="I1972" t="s">
        <v>1357</v>
      </c>
      <c r="J1972" t="s">
        <v>1357</v>
      </c>
      <c r="K1972" t="s">
        <v>1357</v>
      </c>
      <c r="L1972" t="s">
        <v>1357</v>
      </c>
    </row>
    <row r="1973" spans="6:12">
      <c r="H1973" t="s">
        <v>20290</v>
      </c>
      <c r="I1973" t="s">
        <v>1357</v>
      </c>
      <c r="J1973" t="s">
        <v>1357</v>
      </c>
      <c r="K1973" t="s">
        <v>1357</v>
      </c>
      <c r="L1973" t="s">
        <v>1357</v>
      </c>
    </row>
    <row r="1974" spans="6:12">
      <c r="H1974" t="s">
        <v>20291</v>
      </c>
      <c r="I1974" t="s">
        <v>1357</v>
      </c>
      <c r="J1974" t="s">
        <v>1357</v>
      </c>
      <c r="K1974" t="s">
        <v>1357</v>
      </c>
      <c r="L1974" t="s">
        <v>1357</v>
      </c>
    </row>
    <row r="1975" spans="6:12">
      <c r="H1975" t="s">
        <v>20293</v>
      </c>
      <c r="I1975" t="s">
        <v>1357</v>
      </c>
      <c r="J1975" t="s">
        <v>1357</v>
      </c>
      <c r="K1975" t="s">
        <v>1357</v>
      </c>
      <c r="L1975" t="s">
        <v>1357</v>
      </c>
    </row>
    <row r="1976" spans="6:12">
      <c r="F1976" t="s">
        <v>14860</v>
      </c>
      <c r="G1976" t="s">
        <v>17704</v>
      </c>
      <c r="H1976" t="s">
        <v>20280</v>
      </c>
      <c r="I1976" t="s">
        <v>1357</v>
      </c>
      <c r="J1976" t="s">
        <v>1357</v>
      </c>
      <c r="K1976" t="s">
        <v>1357</v>
      </c>
      <c r="L1976" t="s">
        <v>1357</v>
      </c>
    </row>
    <row r="1977" spans="6:12">
      <c r="H1977" t="s">
        <v>20233</v>
      </c>
      <c r="I1977" t="s">
        <v>1357</v>
      </c>
      <c r="J1977" t="s">
        <v>1357</v>
      </c>
      <c r="K1977" t="s">
        <v>1357</v>
      </c>
      <c r="L1977" t="s">
        <v>1357</v>
      </c>
    </row>
    <row r="1978" spans="6:12">
      <c r="H1978" t="s">
        <v>20230</v>
      </c>
      <c r="I1978" t="s">
        <v>1357</v>
      </c>
      <c r="J1978" t="s">
        <v>1357</v>
      </c>
      <c r="K1978" t="s">
        <v>1357</v>
      </c>
      <c r="L1978" t="s">
        <v>1357</v>
      </c>
    </row>
    <row r="1979" spans="6:12">
      <c r="H1979" t="s">
        <v>20296</v>
      </c>
      <c r="I1979" t="s">
        <v>1357</v>
      </c>
      <c r="J1979" t="s">
        <v>1357</v>
      </c>
      <c r="K1979" t="s">
        <v>1357</v>
      </c>
      <c r="L1979" t="s">
        <v>1357</v>
      </c>
    </row>
    <row r="1980" spans="6:12">
      <c r="H1980" t="s">
        <v>20297</v>
      </c>
      <c r="I1980" t="s">
        <v>1357</v>
      </c>
      <c r="J1980" t="s">
        <v>1357</v>
      </c>
      <c r="K1980" t="s">
        <v>1357</v>
      </c>
      <c r="L1980" t="s">
        <v>1357</v>
      </c>
    </row>
    <row r="1981" spans="6:12">
      <c r="H1981" t="s">
        <v>20284</v>
      </c>
      <c r="I1981" t="s">
        <v>1357</v>
      </c>
      <c r="J1981" t="s">
        <v>1357</v>
      </c>
      <c r="K1981" t="s">
        <v>1357</v>
      </c>
      <c r="L1981" t="s">
        <v>1357</v>
      </c>
    </row>
    <row r="1982" spans="6:12">
      <c r="H1982" t="s">
        <v>20285</v>
      </c>
      <c r="I1982" t="s">
        <v>1357</v>
      </c>
      <c r="J1982" t="s">
        <v>1357</v>
      </c>
      <c r="K1982" t="s">
        <v>1357</v>
      </c>
      <c r="L1982" t="s">
        <v>1357</v>
      </c>
    </row>
    <row r="1983" spans="6:12">
      <c r="H1983" t="s">
        <v>20286</v>
      </c>
      <c r="I1983" t="s">
        <v>1357</v>
      </c>
      <c r="J1983" t="s">
        <v>1357</v>
      </c>
      <c r="K1983" t="s">
        <v>1357</v>
      </c>
      <c r="L1983" t="s">
        <v>1357</v>
      </c>
    </row>
    <row r="1984" spans="6:12">
      <c r="H1984" t="s">
        <v>20287</v>
      </c>
      <c r="I1984" t="s">
        <v>1357</v>
      </c>
      <c r="J1984" t="s">
        <v>1357</v>
      </c>
      <c r="K1984" t="s">
        <v>1357</v>
      </c>
      <c r="L1984" t="s">
        <v>1357</v>
      </c>
    </row>
    <row r="1985" spans="6:12">
      <c r="F1985" t="s">
        <v>14861</v>
      </c>
      <c r="G1985" t="s">
        <v>17705</v>
      </c>
      <c r="H1985" t="s">
        <v>20280</v>
      </c>
      <c r="I1985" t="s">
        <v>1357</v>
      </c>
      <c r="J1985" t="s">
        <v>1357</v>
      </c>
      <c r="K1985" t="s">
        <v>1357</v>
      </c>
      <c r="L1985" t="s">
        <v>1357</v>
      </c>
    </row>
    <row r="1986" spans="6:12">
      <c r="H1986" t="s">
        <v>20233</v>
      </c>
      <c r="I1986" t="s">
        <v>1357</v>
      </c>
      <c r="J1986" t="s">
        <v>1357</v>
      </c>
      <c r="K1986" t="s">
        <v>1357</v>
      </c>
      <c r="L1986" t="s">
        <v>1357</v>
      </c>
    </row>
    <row r="1987" spans="6:12">
      <c r="H1987" t="s">
        <v>20230</v>
      </c>
      <c r="I1987" t="s">
        <v>1357</v>
      </c>
      <c r="J1987" t="s">
        <v>1357</v>
      </c>
      <c r="K1987" t="s">
        <v>1357</v>
      </c>
      <c r="L1987" t="s">
        <v>1357</v>
      </c>
    </row>
    <row r="1988" spans="6:12">
      <c r="H1988" t="s">
        <v>20227</v>
      </c>
      <c r="I1988" t="s">
        <v>1357</v>
      </c>
      <c r="J1988" t="s">
        <v>1357</v>
      </c>
      <c r="K1988" t="s">
        <v>1357</v>
      </c>
      <c r="L1988" t="s">
        <v>1357</v>
      </c>
    </row>
    <row r="1989" spans="6:12">
      <c r="H1989" t="s">
        <v>20228</v>
      </c>
      <c r="I1989" t="s">
        <v>1357</v>
      </c>
      <c r="J1989" t="s">
        <v>1357</v>
      </c>
      <c r="K1989" t="s">
        <v>1357</v>
      </c>
      <c r="L1989" t="s">
        <v>1357</v>
      </c>
    </row>
    <row r="1990" spans="6:12">
      <c r="H1990" t="s">
        <v>20232</v>
      </c>
      <c r="I1990" t="s">
        <v>1357</v>
      </c>
      <c r="J1990" t="s">
        <v>1357</v>
      </c>
      <c r="K1990" t="s">
        <v>1357</v>
      </c>
      <c r="L1990" t="s">
        <v>1357</v>
      </c>
    </row>
    <row r="1991" spans="6:12">
      <c r="H1991" t="s">
        <v>20296</v>
      </c>
      <c r="I1991" t="s">
        <v>1357</v>
      </c>
      <c r="J1991" t="s">
        <v>1357</v>
      </c>
      <c r="K1991" t="s">
        <v>1357</v>
      </c>
      <c r="L1991" t="s">
        <v>1357</v>
      </c>
    </row>
    <row r="1992" spans="6:12">
      <c r="H1992" t="s">
        <v>20297</v>
      </c>
      <c r="I1992" t="s">
        <v>1357</v>
      </c>
      <c r="J1992" t="s">
        <v>1357</v>
      </c>
      <c r="K1992" t="s">
        <v>1357</v>
      </c>
      <c r="L1992" t="s">
        <v>1357</v>
      </c>
    </row>
    <row r="1993" spans="6:12">
      <c r="H1993" t="s">
        <v>20234</v>
      </c>
      <c r="I1993" t="s">
        <v>1357</v>
      </c>
      <c r="J1993" t="s">
        <v>1357</v>
      </c>
      <c r="K1993" t="s">
        <v>1357</v>
      </c>
      <c r="L1993" t="s">
        <v>1357</v>
      </c>
    </row>
    <row r="1994" spans="6:12">
      <c r="H1994" t="s">
        <v>20235</v>
      </c>
      <c r="I1994" t="s">
        <v>1357</v>
      </c>
      <c r="J1994" t="s">
        <v>1357</v>
      </c>
      <c r="K1994" t="s">
        <v>1357</v>
      </c>
      <c r="L1994" t="s">
        <v>1357</v>
      </c>
    </row>
    <row r="1995" spans="6:12">
      <c r="H1995" t="s">
        <v>20298</v>
      </c>
      <c r="I1995" t="s">
        <v>1357</v>
      </c>
      <c r="J1995" t="s">
        <v>1357</v>
      </c>
      <c r="K1995" t="s">
        <v>1357</v>
      </c>
      <c r="L1995" t="s">
        <v>1357</v>
      </c>
    </row>
    <row r="1996" spans="6:12">
      <c r="H1996" t="s">
        <v>20299</v>
      </c>
      <c r="I1996" t="s">
        <v>1357</v>
      </c>
      <c r="J1996" t="s">
        <v>1357</v>
      </c>
      <c r="K1996" t="s">
        <v>1357</v>
      </c>
      <c r="L1996" t="s">
        <v>1357</v>
      </c>
    </row>
    <row r="1997" spans="6:12">
      <c r="H1997" t="s">
        <v>20281</v>
      </c>
      <c r="I1997" t="s">
        <v>1357</v>
      </c>
      <c r="J1997" t="s">
        <v>1357</v>
      </c>
      <c r="K1997" t="s">
        <v>1357</v>
      </c>
      <c r="L1997" t="s">
        <v>1357</v>
      </c>
    </row>
    <row r="1998" spans="6:12">
      <c r="H1998" t="s">
        <v>20284</v>
      </c>
      <c r="I1998" t="s">
        <v>1357</v>
      </c>
      <c r="J1998" t="s">
        <v>1357</v>
      </c>
      <c r="K1998" t="s">
        <v>1357</v>
      </c>
      <c r="L1998" t="s">
        <v>1357</v>
      </c>
    </row>
    <row r="1999" spans="6:12">
      <c r="H1999" t="s">
        <v>20285</v>
      </c>
      <c r="I1999" t="s">
        <v>1357</v>
      </c>
      <c r="J1999" t="s">
        <v>1357</v>
      </c>
      <c r="K1999" t="s">
        <v>1357</v>
      </c>
      <c r="L1999" t="s">
        <v>1357</v>
      </c>
    </row>
    <row r="2000" spans="6:12">
      <c r="H2000" t="s">
        <v>20286</v>
      </c>
      <c r="I2000" t="s">
        <v>1357</v>
      </c>
      <c r="J2000" t="s">
        <v>1357</v>
      </c>
      <c r="K2000" t="s">
        <v>1357</v>
      </c>
      <c r="L2000" t="s">
        <v>1357</v>
      </c>
    </row>
    <row r="2001" spans="6:12">
      <c r="H2001" t="s">
        <v>20287</v>
      </c>
      <c r="I2001" t="s">
        <v>1357</v>
      </c>
      <c r="J2001" t="s">
        <v>1357</v>
      </c>
      <c r="K2001" t="s">
        <v>1357</v>
      </c>
      <c r="L2001" t="s">
        <v>1357</v>
      </c>
    </row>
    <row r="2002" spans="6:12">
      <c r="F2002" t="s">
        <v>14862</v>
      </c>
      <c r="G2002" t="s">
        <v>17706</v>
      </c>
      <c r="H2002" t="s">
        <v>20280</v>
      </c>
      <c r="I2002" t="s">
        <v>1357</v>
      </c>
      <c r="J2002" t="s">
        <v>1357</v>
      </c>
      <c r="K2002" t="s">
        <v>1357</v>
      </c>
      <c r="L2002" t="s">
        <v>1357</v>
      </c>
    </row>
    <row r="2003" spans="6:12">
      <c r="H2003" t="s">
        <v>20233</v>
      </c>
      <c r="I2003" t="s">
        <v>1357</v>
      </c>
      <c r="J2003" t="s">
        <v>1357</v>
      </c>
      <c r="K2003" t="s">
        <v>1357</v>
      </c>
      <c r="L2003" t="s">
        <v>1357</v>
      </c>
    </row>
    <row r="2004" spans="6:12">
      <c r="H2004" t="s">
        <v>20230</v>
      </c>
      <c r="I2004" t="s">
        <v>1357</v>
      </c>
      <c r="J2004" t="s">
        <v>1357</v>
      </c>
      <c r="K2004" t="s">
        <v>1357</v>
      </c>
      <c r="L2004" t="s">
        <v>1357</v>
      </c>
    </row>
    <row r="2005" spans="6:12">
      <c r="H2005" t="s">
        <v>20281</v>
      </c>
      <c r="I2005" t="s">
        <v>1357</v>
      </c>
      <c r="J2005" t="s">
        <v>1357</v>
      </c>
      <c r="K2005" t="s">
        <v>1357</v>
      </c>
      <c r="L2005" t="s">
        <v>1357</v>
      </c>
    </row>
    <row r="2006" spans="6:12">
      <c r="H2006" t="s">
        <v>20282</v>
      </c>
      <c r="I2006" t="s">
        <v>1357</v>
      </c>
      <c r="J2006" t="s">
        <v>1357</v>
      </c>
      <c r="K2006" t="s">
        <v>1357</v>
      </c>
      <c r="L2006" t="s">
        <v>1357</v>
      </c>
    </row>
    <row r="2007" spans="6:12">
      <c r="H2007" t="s">
        <v>20284</v>
      </c>
      <c r="I2007" t="s">
        <v>1357</v>
      </c>
      <c r="J2007" t="s">
        <v>1357</v>
      </c>
      <c r="K2007" t="s">
        <v>1357</v>
      </c>
      <c r="L2007" t="s">
        <v>1357</v>
      </c>
    </row>
    <row r="2008" spans="6:12">
      <c r="H2008" t="s">
        <v>20285</v>
      </c>
      <c r="I2008" t="s">
        <v>1357</v>
      </c>
      <c r="J2008" t="s">
        <v>1357</v>
      </c>
      <c r="K2008" t="s">
        <v>1357</v>
      </c>
      <c r="L2008" t="s">
        <v>1357</v>
      </c>
    </row>
    <row r="2009" spans="6:12">
      <c r="H2009" t="s">
        <v>20286</v>
      </c>
      <c r="I2009" t="s">
        <v>1357</v>
      </c>
      <c r="J2009" t="s">
        <v>1357</v>
      </c>
      <c r="K2009" t="s">
        <v>1357</v>
      </c>
      <c r="L2009" t="s">
        <v>1357</v>
      </c>
    </row>
    <row r="2010" spans="6:12">
      <c r="H2010" t="s">
        <v>20287</v>
      </c>
      <c r="I2010" t="s">
        <v>1357</v>
      </c>
      <c r="J2010" t="s">
        <v>1357</v>
      </c>
      <c r="K2010" t="s">
        <v>1357</v>
      </c>
      <c r="L2010" t="s">
        <v>1357</v>
      </c>
    </row>
    <row r="2011" spans="6:12">
      <c r="H2011" t="s">
        <v>20288</v>
      </c>
      <c r="I2011" t="s">
        <v>1357</v>
      </c>
      <c r="J2011" t="s">
        <v>1357</v>
      </c>
      <c r="K2011" t="s">
        <v>1357</v>
      </c>
      <c r="L2011" t="s">
        <v>1357</v>
      </c>
    </row>
    <row r="2012" spans="6:12">
      <c r="H2012" t="s">
        <v>20289</v>
      </c>
      <c r="I2012" t="s">
        <v>1357</v>
      </c>
      <c r="J2012" t="s">
        <v>1357</v>
      </c>
      <c r="K2012" t="s">
        <v>1357</v>
      </c>
      <c r="L2012" t="s">
        <v>1357</v>
      </c>
    </row>
    <row r="2013" spans="6:12">
      <c r="F2013" t="s">
        <v>14863</v>
      </c>
      <c r="G2013" t="s">
        <v>17707</v>
      </c>
      <c r="H2013" t="s">
        <v>20280</v>
      </c>
      <c r="I2013" t="s">
        <v>1357</v>
      </c>
      <c r="J2013" t="s">
        <v>1357</v>
      </c>
      <c r="K2013" t="s">
        <v>1357</v>
      </c>
      <c r="L2013" t="s">
        <v>1357</v>
      </c>
    </row>
    <row r="2014" spans="6:12">
      <c r="H2014" t="s">
        <v>20233</v>
      </c>
      <c r="I2014" t="s">
        <v>1357</v>
      </c>
      <c r="J2014" t="s">
        <v>1357</v>
      </c>
      <c r="K2014" t="s">
        <v>1357</v>
      </c>
      <c r="L2014" t="s">
        <v>1357</v>
      </c>
    </row>
    <row r="2015" spans="6:12">
      <c r="H2015" t="s">
        <v>20230</v>
      </c>
      <c r="I2015" t="s">
        <v>1357</v>
      </c>
      <c r="J2015" t="s">
        <v>1357</v>
      </c>
      <c r="K2015" t="s">
        <v>1357</v>
      </c>
      <c r="L2015" t="s">
        <v>1357</v>
      </c>
    </row>
    <row r="2016" spans="6:12">
      <c r="H2016" t="s">
        <v>20227</v>
      </c>
      <c r="I2016" t="s">
        <v>1357</v>
      </c>
      <c r="J2016" t="s">
        <v>1357</v>
      </c>
      <c r="K2016" t="s">
        <v>1357</v>
      </c>
      <c r="L2016" t="s">
        <v>1357</v>
      </c>
    </row>
    <row r="2017" spans="6:12">
      <c r="H2017" t="s">
        <v>20228</v>
      </c>
      <c r="I2017" t="s">
        <v>1357</v>
      </c>
      <c r="J2017" t="s">
        <v>1357</v>
      </c>
      <c r="K2017" t="s">
        <v>1357</v>
      </c>
      <c r="L2017" t="s">
        <v>1357</v>
      </c>
    </row>
    <row r="2018" spans="6:12">
      <c r="H2018" t="s">
        <v>20296</v>
      </c>
      <c r="I2018" t="s">
        <v>1357</v>
      </c>
      <c r="J2018" t="s">
        <v>1357</v>
      </c>
      <c r="K2018" t="s">
        <v>1357</v>
      </c>
      <c r="L2018" t="s">
        <v>1357</v>
      </c>
    </row>
    <row r="2019" spans="6:12">
      <c r="H2019" t="s">
        <v>20297</v>
      </c>
      <c r="I2019" t="s">
        <v>1357</v>
      </c>
      <c r="J2019" t="s">
        <v>1357</v>
      </c>
      <c r="K2019" t="s">
        <v>1357</v>
      </c>
      <c r="L2019" t="s">
        <v>1357</v>
      </c>
    </row>
    <row r="2020" spans="6:12">
      <c r="H2020" t="s">
        <v>20234</v>
      </c>
      <c r="I2020" t="s">
        <v>1357</v>
      </c>
      <c r="J2020" t="s">
        <v>1357</v>
      </c>
      <c r="K2020" t="s">
        <v>1357</v>
      </c>
      <c r="L2020" t="s">
        <v>1357</v>
      </c>
    </row>
    <row r="2021" spans="6:12">
      <c r="H2021" t="s">
        <v>20235</v>
      </c>
      <c r="I2021" t="s">
        <v>1357</v>
      </c>
      <c r="J2021" t="s">
        <v>1357</v>
      </c>
      <c r="K2021" t="s">
        <v>1357</v>
      </c>
      <c r="L2021" t="s">
        <v>1357</v>
      </c>
    </row>
    <row r="2022" spans="6:12">
      <c r="H2022" t="s">
        <v>20284</v>
      </c>
      <c r="I2022" t="s">
        <v>1357</v>
      </c>
      <c r="J2022" t="s">
        <v>1357</v>
      </c>
      <c r="K2022" t="s">
        <v>1357</v>
      </c>
      <c r="L2022" t="s">
        <v>1357</v>
      </c>
    </row>
    <row r="2023" spans="6:12">
      <c r="H2023" t="s">
        <v>20285</v>
      </c>
      <c r="I2023" t="s">
        <v>1357</v>
      </c>
      <c r="J2023" t="s">
        <v>1357</v>
      </c>
      <c r="K2023" t="s">
        <v>1357</v>
      </c>
      <c r="L2023" t="s">
        <v>1357</v>
      </c>
    </row>
    <row r="2024" spans="6:12">
      <c r="H2024" t="s">
        <v>20286</v>
      </c>
      <c r="I2024" t="s">
        <v>1357</v>
      </c>
      <c r="J2024" t="s">
        <v>1357</v>
      </c>
      <c r="K2024" t="s">
        <v>1357</v>
      </c>
      <c r="L2024" t="s">
        <v>1357</v>
      </c>
    </row>
    <row r="2025" spans="6:12">
      <c r="H2025" t="s">
        <v>20287</v>
      </c>
      <c r="I2025" t="s">
        <v>1357</v>
      </c>
      <c r="J2025" t="s">
        <v>1357</v>
      </c>
      <c r="K2025" t="s">
        <v>1357</v>
      </c>
      <c r="L2025" t="s">
        <v>1357</v>
      </c>
    </row>
    <row r="2026" spans="6:12">
      <c r="F2026" t="s">
        <v>14864</v>
      </c>
      <c r="G2026" t="s">
        <v>17708</v>
      </c>
      <c r="H2026" t="s">
        <v>20280</v>
      </c>
      <c r="I2026" t="s">
        <v>1357</v>
      </c>
      <c r="J2026" t="s">
        <v>1357</v>
      </c>
      <c r="K2026" t="s">
        <v>1357</v>
      </c>
      <c r="L2026" t="s">
        <v>1357</v>
      </c>
    </row>
    <row r="2027" spans="6:12">
      <c r="H2027" t="s">
        <v>20233</v>
      </c>
      <c r="I2027" t="s">
        <v>1357</v>
      </c>
      <c r="J2027" t="s">
        <v>1357</v>
      </c>
      <c r="K2027" t="s">
        <v>1357</v>
      </c>
      <c r="L2027" t="s">
        <v>1357</v>
      </c>
    </row>
    <row r="2028" spans="6:12">
      <c r="H2028" t="s">
        <v>20230</v>
      </c>
      <c r="I2028" t="s">
        <v>1357</v>
      </c>
      <c r="J2028" t="s">
        <v>1357</v>
      </c>
      <c r="K2028" t="s">
        <v>1357</v>
      </c>
      <c r="L2028" t="s">
        <v>1357</v>
      </c>
    </row>
    <row r="2029" spans="6:12">
      <c r="H2029" t="s">
        <v>20227</v>
      </c>
      <c r="I2029" t="s">
        <v>1357</v>
      </c>
      <c r="J2029" t="s">
        <v>1357</v>
      </c>
      <c r="K2029" t="s">
        <v>1357</v>
      </c>
      <c r="L2029" t="s">
        <v>1357</v>
      </c>
    </row>
    <row r="2030" spans="6:12">
      <c r="H2030" t="s">
        <v>20228</v>
      </c>
      <c r="I2030" t="s">
        <v>1357</v>
      </c>
      <c r="J2030" t="s">
        <v>1357</v>
      </c>
      <c r="K2030" t="s">
        <v>1357</v>
      </c>
      <c r="L2030" t="s">
        <v>1357</v>
      </c>
    </row>
    <row r="2031" spans="6:12">
      <c r="H2031" t="s">
        <v>20296</v>
      </c>
      <c r="I2031" t="s">
        <v>1357</v>
      </c>
      <c r="J2031" t="s">
        <v>1357</v>
      </c>
      <c r="K2031" t="s">
        <v>1357</v>
      </c>
      <c r="L2031" t="s">
        <v>1357</v>
      </c>
    </row>
    <row r="2032" spans="6:12">
      <c r="H2032" t="s">
        <v>20297</v>
      </c>
      <c r="I2032" t="s">
        <v>1357</v>
      </c>
      <c r="J2032" t="s">
        <v>1357</v>
      </c>
      <c r="K2032" t="s">
        <v>1357</v>
      </c>
      <c r="L2032" t="s">
        <v>1357</v>
      </c>
    </row>
    <row r="2033" spans="6:12">
      <c r="H2033" t="s">
        <v>20234</v>
      </c>
      <c r="I2033" t="s">
        <v>1357</v>
      </c>
      <c r="J2033" t="s">
        <v>1357</v>
      </c>
      <c r="K2033" t="s">
        <v>1357</v>
      </c>
      <c r="L2033" t="s">
        <v>1357</v>
      </c>
    </row>
    <row r="2034" spans="6:12">
      <c r="H2034" t="s">
        <v>20235</v>
      </c>
      <c r="I2034" t="s">
        <v>1357</v>
      </c>
      <c r="J2034" t="s">
        <v>1357</v>
      </c>
      <c r="K2034" t="s">
        <v>1357</v>
      </c>
      <c r="L2034" t="s">
        <v>1357</v>
      </c>
    </row>
    <row r="2035" spans="6:12">
      <c r="H2035" t="s">
        <v>20284</v>
      </c>
      <c r="I2035" t="s">
        <v>1357</v>
      </c>
      <c r="J2035" t="s">
        <v>1357</v>
      </c>
      <c r="K2035" t="s">
        <v>1357</v>
      </c>
      <c r="L2035" t="s">
        <v>1357</v>
      </c>
    </row>
    <row r="2036" spans="6:12">
      <c r="H2036" t="s">
        <v>20285</v>
      </c>
      <c r="I2036" t="s">
        <v>1357</v>
      </c>
      <c r="J2036" t="s">
        <v>1357</v>
      </c>
      <c r="K2036" t="s">
        <v>1357</v>
      </c>
      <c r="L2036" t="s">
        <v>1357</v>
      </c>
    </row>
    <row r="2037" spans="6:12">
      <c r="H2037" t="s">
        <v>20286</v>
      </c>
      <c r="I2037" t="s">
        <v>1357</v>
      </c>
      <c r="J2037" t="s">
        <v>1357</v>
      </c>
      <c r="K2037" t="s">
        <v>1357</v>
      </c>
      <c r="L2037" t="s">
        <v>1357</v>
      </c>
    </row>
    <row r="2038" spans="6:12">
      <c r="H2038" t="s">
        <v>20287</v>
      </c>
      <c r="I2038" t="s">
        <v>1357</v>
      </c>
      <c r="J2038" t="s">
        <v>1357</v>
      </c>
      <c r="K2038" t="s">
        <v>1357</v>
      </c>
      <c r="L2038" t="s">
        <v>1357</v>
      </c>
    </row>
    <row r="2039" spans="6:12">
      <c r="F2039" t="s">
        <v>14865</v>
      </c>
      <c r="G2039" t="s">
        <v>17709</v>
      </c>
      <c r="H2039" t="s">
        <v>20280</v>
      </c>
      <c r="I2039" t="s">
        <v>1357</v>
      </c>
      <c r="J2039" t="s">
        <v>1357</v>
      </c>
      <c r="K2039" t="s">
        <v>1357</v>
      </c>
      <c r="L2039" t="s">
        <v>1357</v>
      </c>
    </row>
    <row r="2040" spans="6:12">
      <c r="H2040" t="s">
        <v>20233</v>
      </c>
      <c r="I2040" t="s">
        <v>1357</v>
      </c>
      <c r="J2040" t="s">
        <v>1357</v>
      </c>
      <c r="K2040" t="s">
        <v>1357</v>
      </c>
      <c r="L2040" t="s">
        <v>1357</v>
      </c>
    </row>
    <row r="2041" spans="6:12">
      <c r="H2041" t="s">
        <v>20284</v>
      </c>
      <c r="I2041" t="s">
        <v>1357</v>
      </c>
      <c r="J2041" t="s">
        <v>1357</v>
      </c>
      <c r="K2041" t="s">
        <v>1357</v>
      </c>
      <c r="L2041" t="s">
        <v>1357</v>
      </c>
    </row>
    <row r="2042" spans="6:12">
      <c r="H2042" t="s">
        <v>20285</v>
      </c>
      <c r="I2042" t="s">
        <v>1357</v>
      </c>
      <c r="J2042" t="s">
        <v>1357</v>
      </c>
      <c r="K2042" t="s">
        <v>1357</v>
      </c>
      <c r="L2042" t="s">
        <v>1357</v>
      </c>
    </row>
    <row r="2043" spans="6:12">
      <c r="H2043" t="s">
        <v>20286</v>
      </c>
      <c r="I2043" t="s">
        <v>1357</v>
      </c>
      <c r="J2043" t="s">
        <v>1357</v>
      </c>
      <c r="K2043" t="s">
        <v>1357</v>
      </c>
      <c r="L2043" t="s">
        <v>1357</v>
      </c>
    </row>
    <row r="2044" spans="6:12">
      <c r="H2044" t="s">
        <v>20230</v>
      </c>
      <c r="I2044" t="s">
        <v>1357</v>
      </c>
      <c r="J2044" t="s">
        <v>1357</v>
      </c>
      <c r="K2044" t="s">
        <v>1357</v>
      </c>
      <c r="L2044" t="s">
        <v>1357</v>
      </c>
    </row>
    <row r="2045" spans="6:12">
      <c r="H2045" t="s">
        <v>20227</v>
      </c>
      <c r="I2045" t="s">
        <v>1357</v>
      </c>
      <c r="J2045" t="s">
        <v>1357</v>
      </c>
      <c r="K2045" t="s">
        <v>1357</v>
      </c>
      <c r="L2045" t="s">
        <v>1357</v>
      </c>
    </row>
    <row r="2046" spans="6:12">
      <c r="H2046" t="s">
        <v>20287</v>
      </c>
      <c r="I2046" t="s">
        <v>1357</v>
      </c>
      <c r="J2046" t="s">
        <v>1357</v>
      </c>
      <c r="K2046" t="s">
        <v>1357</v>
      </c>
      <c r="L2046" t="s">
        <v>1357</v>
      </c>
    </row>
    <row r="2047" spans="6:12">
      <c r="H2047" t="s">
        <v>20288</v>
      </c>
      <c r="I2047" t="s">
        <v>1357</v>
      </c>
      <c r="J2047" t="s">
        <v>1357</v>
      </c>
      <c r="K2047" t="s">
        <v>1357</v>
      </c>
      <c r="L2047" t="s">
        <v>1357</v>
      </c>
    </row>
    <row r="2048" spans="6:12">
      <c r="H2048" t="s">
        <v>20289</v>
      </c>
      <c r="I2048" t="s">
        <v>1357</v>
      </c>
      <c r="J2048" t="s">
        <v>1357</v>
      </c>
      <c r="K2048" t="s">
        <v>1357</v>
      </c>
      <c r="L2048" t="s">
        <v>1357</v>
      </c>
    </row>
    <row r="2049" spans="6:12">
      <c r="F2049" t="s">
        <v>14866</v>
      </c>
      <c r="G2049" t="s">
        <v>17710</v>
      </c>
      <c r="H2049" t="s">
        <v>20280</v>
      </c>
      <c r="I2049" t="s">
        <v>1357</v>
      </c>
      <c r="J2049" t="s">
        <v>1357</v>
      </c>
      <c r="K2049" t="s">
        <v>1357</v>
      </c>
      <c r="L2049" t="s">
        <v>1357</v>
      </c>
    </row>
    <row r="2050" spans="6:12">
      <c r="H2050" t="s">
        <v>20233</v>
      </c>
      <c r="I2050" t="s">
        <v>1357</v>
      </c>
      <c r="J2050" t="s">
        <v>1357</v>
      </c>
      <c r="K2050" t="s">
        <v>1357</v>
      </c>
      <c r="L2050" t="s">
        <v>1357</v>
      </c>
    </row>
    <row r="2051" spans="6:12">
      <c r="H2051" t="s">
        <v>20284</v>
      </c>
      <c r="I2051" t="s">
        <v>1357</v>
      </c>
      <c r="J2051" t="s">
        <v>1357</v>
      </c>
      <c r="K2051" t="s">
        <v>1357</v>
      </c>
      <c r="L2051" t="s">
        <v>1357</v>
      </c>
    </row>
    <row r="2052" spans="6:12">
      <c r="H2052" t="s">
        <v>20285</v>
      </c>
      <c r="I2052" t="s">
        <v>1357</v>
      </c>
      <c r="J2052" t="s">
        <v>1357</v>
      </c>
      <c r="K2052" t="s">
        <v>1357</v>
      </c>
      <c r="L2052" t="s">
        <v>1357</v>
      </c>
    </row>
    <row r="2053" spans="6:12">
      <c r="H2053" t="s">
        <v>20286</v>
      </c>
      <c r="I2053" t="s">
        <v>1357</v>
      </c>
      <c r="J2053" t="s">
        <v>1357</v>
      </c>
      <c r="K2053" t="s">
        <v>1357</v>
      </c>
      <c r="L2053" t="s">
        <v>1357</v>
      </c>
    </row>
    <row r="2054" spans="6:12">
      <c r="F2054" t="s">
        <v>14867</v>
      </c>
      <c r="G2054" t="s">
        <v>17711</v>
      </c>
      <c r="H2054" t="s">
        <v>20280</v>
      </c>
      <c r="I2054" t="s">
        <v>1357</v>
      </c>
      <c r="J2054" t="s">
        <v>1357</v>
      </c>
      <c r="K2054" t="s">
        <v>1357</v>
      </c>
      <c r="L2054" t="s">
        <v>1357</v>
      </c>
    </row>
    <row r="2055" spans="6:12">
      <c r="H2055" t="s">
        <v>20233</v>
      </c>
      <c r="I2055" t="s">
        <v>1357</v>
      </c>
      <c r="J2055" t="s">
        <v>1357</v>
      </c>
      <c r="K2055" t="s">
        <v>1357</v>
      </c>
      <c r="L2055" t="s">
        <v>1357</v>
      </c>
    </row>
    <row r="2056" spans="6:12">
      <c r="H2056" t="s">
        <v>20284</v>
      </c>
      <c r="I2056" t="s">
        <v>1357</v>
      </c>
      <c r="J2056" t="s">
        <v>1357</v>
      </c>
      <c r="K2056" t="s">
        <v>1357</v>
      </c>
      <c r="L2056" t="s">
        <v>1357</v>
      </c>
    </row>
    <row r="2057" spans="6:12">
      <c r="H2057" t="s">
        <v>20285</v>
      </c>
      <c r="I2057" t="s">
        <v>1357</v>
      </c>
      <c r="J2057" t="s">
        <v>1357</v>
      </c>
      <c r="K2057" t="s">
        <v>1357</v>
      </c>
      <c r="L2057" t="s">
        <v>1357</v>
      </c>
    </row>
    <row r="2058" spans="6:12">
      <c r="H2058" t="s">
        <v>20286</v>
      </c>
      <c r="I2058" t="s">
        <v>1357</v>
      </c>
      <c r="J2058" t="s">
        <v>1357</v>
      </c>
      <c r="K2058" t="s">
        <v>1357</v>
      </c>
      <c r="L2058" t="s">
        <v>1357</v>
      </c>
    </row>
    <row r="2059" spans="6:12">
      <c r="F2059" t="s">
        <v>14868</v>
      </c>
      <c r="G2059" t="s">
        <v>17712</v>
      </c>
      <c r="H2059" t="s">
        <v>20280</v>
      </c>
      <c r="I2059" t="s">
        <v>1357</v>
      </c>
      <c r="J2059" t="s">
        <v>1357</v>
      </c>
      <c r="K2059" t="s">
        <v>1357</v>
      </c>
      <c r="L2059" t="s">
        <v>1357</v>
      </c>
    </row>
    <row r="2060" spans="6:12">
      <c r="H2060" t="s">
        <v>20233</v>
      </c>
      <c r="I2060" t="s">
        <v>1357</v>
      </c>
      <c r="J2060" t="s">
        <v>1357</v>
      </c>
      <c r="K2060" t="s">
        <v>1357</v>
      </c>
      <c r="L2060" t="s">
        <v>1357</v>
      </c>
    </row>
    <row r="2061" spans="6:12">
      <c r="H2061" t="s">
        <v>20284</v>
      </c>
      <c r="I2061" t="s">
        <v>1357</v>
      </c>
      <c r="J2061" t="s">
        <v>1357</v>
      </c>
      <c r="K2061" t="s">
        <v>1357</v>
      </c>
      <c r="L2061" t="s">
        <v>1357</v>
      </c>
    </row>
    <row r="2062" spans="6:12">
      <c r="H2062" t="s">
        <v>20285</v>
      </c>
      <c r="I2062" t="s">
        <v>1357</v>
      </c>
      <c r="J2062" t="s">
        <v>1357</v>
      </c>
      <c r="K2062" t="s">
        <v>1357</v>
      </c>
      <c r="L2062" t="s">
        <v>1357</v>
      </c>
    </row>
    <row r="2063" spans="6:12">
      <c r="H2063" t="s">
        <v>20286</v>
      </c>
      <c r="I2063" t="s">
        <v>1357</v>
      </c>
      <c r="J2063" t="s">
        <v>1357</v>
      </c>
      <c r="K2063" t="s">
        <v>1357</v>
      </c>
      <c r="L2063" t="s">
        <v>1357</v>
      </c>
    </row>
    <row r="2064" spans="6:12">
      <c r="F2064" t="s">
        <v>14869</v>
      </c>
      <c r="G2064" t="s">
        <v>17713</v>
      </c>
      <c r="H2064" t="s">
        <v>20280</v>
      </c>
      <c r="I2064" t="s">
        <v>1357</v>
      </c>
      <c r="J2064" t="s">
        <v>1357</v>
      </c>
      <c r="K2064" t="s">
        <v>1357</v>
      </c>
      <c r="L2064" t="s">
        <v>1357</v>
      </c>
    </row>
    <row r="2065" spans="6:12">
      <c r="H2065" t="s">
        <v>20233</v>
      </c>
      <c r="I2065" t="s">
        <v>1357</v>
      </c>
      <c r="J2065" t="s">
        <v>1357</v>
      </c>
      <c r="K2065" t="s">
        <v>1357</v>
      </c>
      <c r="L2065" t="s">
        <v>1357</v>
      </c>
    </row>
    <row r="2066" spans="6:12">
      <c r="H2066" t="s">
        <v>20284</v>
      </c>
      <c r="I2066" t="s">
        <v>1357</v>
      </c>
      <c r="J2066" t="s">
        <v>1357</v>
      </c>
      <c r="K2066" t="s">
        <v>1357</v>
      </c>
      <c r="L2066" t="s">
        <v>1357</v>
      </c>
    </row>
    <row r="2067" spans="6:12">
      <c r="H2067" t="s">
        <v>20285</v>
      </c>
      <c r="I2067" t="s">
        <v>1357</v>
      </c>
      <c r="J2067" t="s">
        <v>1357</v>
      </c>
      <c r="K2067" t="s">
        <v>1357</v>
      </c>
      <c r="L2067" t="s">
        <v>1357</v>
      </c>
    </row>
    <row r="2068" spans="6:12">
      <c r="H2068" t="s">
        <v>20286</v>
      </c>
      <c r="I2068" t="s">
        <v>1357</v>
      </c>
      <c r="J2068" t="s">
        <v>1357</v>
      </c>
      <c r="K2068" t="s">
        <v>1357</v>
      </c>
      <c r="L2068" t="s">
        <v>1357</v>
      </c>
    </row>
    <row r="2069" spans="6:12">
      <c r="F2069" t="s">
        <v>14870</v>
      </c>
      <c r="G2069" t="s">
        <v>17714</v>
      </c>
      <c r="H2069" t="s">
        <v>20280</v>
      </c>
      <c r="I2069" t="s">
        <v>1357</v>
      </c>
      <c r="J2069" t="s">
        <v>1357</v>
      </c>
      <c r="K2069" t="s">
        <v>1357</v>
      </c>
      <c r="L2069" t="s">
        <v>1357</v>
      </c>
    </row>
    <row r="2070" spans="6:12">
      <c r="H2070" t="s">
        <v>20233</v>
      </c>
      <c r="I2070" t="s">
        <v>1357</v>
      </c>
      <c r="J2070" t="s">
        <v>1357</v>
      </c>
      <c r="K2070" t="s">
        <v>1357</v>
      </c>
      <c r="L2070" t="s">
        <v>1357</v>
      </c>
    </row>
    <row r="2071" spans="6:12">
      <c r="H2071" t="s">
        <v>20230</v>
      </c>
      <c r="I2071" t="s">
        <v>1357</v>
      </c>
      <c r="J2071" t="s">
        <v>1357</v>
      </c>
      <c r="K2071" t="s">
        <v>1357</v>
      </c>
      <c r="L2071" t="s">
        <v>1357</v>
      </c>
    </row>
    <row r="2072" spans="6:12">
      <c r="H2072" t="s">
        <v>20227</v>
      </c>
      <c r="I2072" t="s">
        <v>1357</v>
      </c>
      <c r="J2072" t="s">
        <v>1357</v>
      </c>
      <c r="K2072" t="s">
        <v>1357</v>
      </c>
      <c r="L2072" t="s">
        <v>1357</v>
      </c>
    </row>
    <row r="2073" spans="6:12">
      <c r="H2073" t="s">
        <v>20296</v>
      </c>
      <c r="I2073" t="s">
        <v>1357</v>
      </c>
      <c r="J2073" t="s">
        <v>1357</v>
      </c>
      <c r="K2073" t="s">
        <v>1357</v>
      </c>
      <c r="L2073" t="s">
        <v>1357</v>
      </c>
    </row>
    <row r="2074" spans="6:12">
      <c r="H2074" t="s">
        <v>20297</v>
      </c>
      <c r="I2074" t="s">
        <v>1357</v>
      </c>
      <c r="J2074" t="s">
        <v>1357</v>
      </c>
      <c r="K2074" t="s">
        <v>1357</v>
      </c>
      <c r="L2074" t="s">
        <v>1357</v>
      </c>
    </row>
    <row r="2075" spans="6:12">
      <c r="H2075" t="s">
        <v>20234</v>
      </c>
      <c r="I2075" t="s">
        <v>1357</v>
      </c>
      <c r="J2075" t="s">
        <v>1357</v>
      </c>
      <c r="K2075" t="s">
        <v>1357</v>
      </c>
      <c r="L2075" t="s">
        <v>1357</v>
      </c>
    </row>
    <row r="2076" spans="6:12">
      <c r="H2076" t="s">
        <v>20235</v>
      </c>
      <c r="I2076" t="s">
        <v>1357</v>
      </c>
      <c r="J2076" t="s">
        <v>1357</v>
      </c>
      <c r="K2076" t="s">
        <v>1357</v>
      </c>
      <c r="L2076" t="s">
        <v>1357</v>
      </c>
    </row>
    <row r="2077" spans="6:12">
      <c r="H2077" t="s">
        <v>20298</v>
      </c>
      <c r="I2077" t="s">
        <v>1357</v>
      </c>
      <c r="J2077" t="s">
        <v>1357</v>
      </c>
      <c r="K2077" t="s">
        <v>1357</v>
      </c>
      <c r="L2077" t="s">
        <v>1357</v>
      </c>
    </row>
    <row r="2078" spans="6:12">
      <c r="H2078" t="s">
        <v>20299</v>
      </c>
      <c r="I2078" t="s">
        <v>1357</v>
      </c>
      <c r="J2078" t="s">
        <v>1357</v>
      </c>
      <c r="K2078" t="s">
        <v>1357</v>
      </c>
      <c r="L2078" t="s">
        <v>1357</v>
      </c>
    </row>
    <row r="2079" spans="6:12">
      <c r="H2079" t="s">
        <v>20300</v>
      </c>
      <c r="I2079" t="s">
        <v>1357</v>
      </c>
      <c r="J2079" t="s">
        <v>1357</v>
      </c>
      <c r="K2079" t="s">
        <v>1357</v>
      </c>
      <c r="L2079" t="s">
        <v>1357</v>
      </c>
    </row>
    <row r="2080" spans="6:12">
      <c r="H2080" t="s">
        <v>20301</v>
      </c>
      <c r="I2080" t="s">
        <v>1357</v>
      </c>
      <c r="J2080" t="s">
        <v>1357</v>
      </c>
      <c r="K2080" t="s">
        <v>1357</v>
      </c>
      <c r="L2080" t="s">
        <v>1357</v>
      </c>
    </row>
    <row r="2081" spans="6:12">
      <c r="H2081" t="s">
        <v>20302</v>
      </c>
      <c r="I2081" t="s">
        <v>1357</v>
      </c>
      <c r="J2081" t="s">
        <v>1357</v>
      </c>
      <c r="K2081" t="s">
        <v>1357</v>
      </c>
      <c r="L2081" t="s">
        <v>1357</v>
      </c>
    </row>
    <row r="2082" spans="6:12">
      <c r="H2082" t="s">
        <v>20284</v>
      </c>
      <c r="I2082" t="s">
        <v>1357</v>
      </c>
      <c r="J2082" t="s">
        <v>1357</v>
      </c>
      <c r="K2082" t="s">
        <v>1357</v>
      </c>
      <c r="L2082" t="s">
        <v>1357</v>
      </c>
    </row>
    <row r="2083" spans="6:12">
      <c r="H2083" t="s">
        <v>20285</v>
      </c>
      <c r="I2083" t="s">
        <v>1357</v>
      </c>
      <c r="J2083" t="s">
        <v>1357</v>
      </c>
      <c r="K2083" t="s">
        <v>1357</v>
      </c>
      <c r="L2083" t="s">
        <v>1357</v>
      </c>
    </row>
    <row r="2084" spans="6:12">
      <c r="H2084" t="s">
        <v>20286</v>
      </c>
      <c r="I2084" t="s">
        <v>1357</v>
      </c>
      <c r="J2084" t="s">
        <v>1357</v>
      </c>
      <c r="K2084" t="s">
        <v>1357</v>
      </c>
      <c r="L2084" t="s">
        <v>1357</v>
      </c>
    </row>
    <row r="2085" spans="6:12">
      <c r="H2085" t="s">
        <v>20287</v>
      </c>
      <c r="I2085" t="s">
        <v>1357</v>
      </c>
      <c r="J2085" t="s">
        <v>1357</v>
      </c>
      <c r="K2085" t="s">
        <v>1357</v>
      </c>
      <c r="L2085" t="s">
        <v>1357</v>
      </c>
    </row>
    <row r="2086" spans="6:12">
      <c r="F2086" t="s">
        <v>14871</v>
      </c>
      <c r="G2086" t="s">
        <v>17715</v>
      </c>
      <c r="H2086" t="s">
        <v>20280</v>
      </c>
      <c r="I2086" t="s">
        <v>1357</v>
      </c>
      <c r="J2086" t="s">
        <v>1357</v>
      </c>
      <c r="K2086" t="s">
        <v>1357</v>
      </c>
      <c r="L2086" t="s">
        <v>1357</v>
      </c>
    </row>
    <row r="2087" spans="6:12">
      <c r="H2087" t="s">
        <v>20233</v>
      </c>
      <c r="I2087" t="s">
        <v>1357</v>
      </c>
      <c r="J2087" t="s">
        <v>1357</v>
      </c>
      <c r="K2087" t="s">
        <v>1357</v>
      </c>
      <c r="L2087" t="s">
        <v>1357</v>
      </c>
    </row>
    <row r="2088" spans="6:12">
      <c r="H2088" t="s">
        <v>20230</v>
      </c>
      <c r="I2088" t="s">
        <v>1357</v>
      </c>
      <c r="J2088" t="s">
        <v>1357</v>
      </c>
      <c r="K2088" t="s">
        <v>1357</v>
      </c>
      <c r="L2088" t="s">
        <v>1357</v>
      </c>
    </row>
    <row r="2089" spans="6:12">
      <c r="H2089" t="s">
        <v>20227</v>
      </c>
      <c r="I2089" t="s">
        <v>1357</v>
      </c>
      <c r="J2089" t="s">
        <v>1357</v>
      </c>
      <c r="K2089" t="s">
        <v>1357</v>
      </c>
      <c r="L2089" t="s">
        <v>1357</v>
      </c>
    </row>
    <row r="2090" spans="6:12">
      <c r="H2090" t="s">
        <v>20228</v>
      </c>
      <c r="I2090" t="s">
        <v>1357</v>
      </c>
      <c r="J2090" t="s">
        <v>1357</v>
      </c>
      <c r="K2090" t="s">
        <v>1357</v>
      </c>
      <c r="L2090" t="s">
        <v>1357</v>
      </c>
    </row>
    <row r="2091" spans="6:12">
      <c r="H2091" t="s">
        <v>20296</v>
      </c>
      <c r="I2091" t="s">
        <v>1357</v>
      </c>
      <c r="J2091" t="s">
        <v>1357</v>
      </c>
      <c r="K2091" t="s">
        <v>1357</v>
      </c>
      <c r="L2091" t="s">
        <v>1357</v>
      </c>
    </row>
    <row r="2092" spans="6:12">
      <c r="H2092" t="s">
        <v>20297</v>
      </c>
      <c r="I2092" t="s">
        <v>1357</v>
      </c>
      <c r="J2092" t="s">
        <v>1357</v>
      </c>
      <c r="K2092" t="s">
        <v>1357</v>
      </c>
      <c r="L2092" t="s">
        <v>1357</v>
      </c>
    </row>
    <row r="2093" spans="6:12">
      <c r="H2093" t="s">
        <v>20234</v>
      </c>
      <c r="I2093" t="s">
        <v>1357</v>
      </c>
      <c r="J2093" t="s">
        <v>1357</v>
      </c>
      <c r="K2093" t="s">
        <v>1357</v>
      </c>
      <c r="L2093" t="s">
        <v>1357</v>
      </c>
    </row>
    <row r="2094" spans="6:12">
      <c r="H2094" t="s">
        <v>20235</v>
      </c>
      <c r="I2094" t="s">
        <v>1357</v>
      </c>
      <c r="J2094" t="s">
        <v>1357</v>
      </c>
      <c r="K2094" t="s">
        <v>1357</v>
      </c>
      <c r="L2094" t="s">
        <v>1357</v>
      </c>
    </row>
    <row r="2095" spans="6:12">
      <c r="H2095" t="s">
        <v>20284</v>
      </c>
      <c r="I2095" t="s">
        <v>1357</v>
      </c>
      <c r="J2095" t="s">
        <v>1357</v>
      </c>
      <c r="K2095" t="s">
        <v>1357</v>
      </c>
      <c r="L2095" t="s">
        <v>1357</v>
      </c>
    </row>
    <row r="2096" spans="6:12">
      <c r="H2096" t="s">
        <v>20285</v>
      </c>
      <c r="I2096" t="s">
        <v>1357</v>
      </c>
      <c r="J2096" t="s">
        <v>1357</v>
      </c>
      <c r="K2096" t="s">
        <v>1357</v>
      </c>
      <c r="L2096" t="s">
        <v>1357</v>
      </c>
    </row>
    <row r="2097" spans="6:12">
      <c r="H2097" t="s">
        <v>20286</v>
      </c>
      <c r="I2097" t="s">
        <v>1357</v>
      </c>
      <c r="J2097" t="s">
        <v>1357</v>
      </c>
      <c r="K2097" t="s">
        <v>1357</v>
      </c>
      <c r="L2097" t="s">
        <v>1357</v>
      </c>
    </row>
    <row r="2098" spans="6:12">
      <c r="H2098" t="s">
        <v>20287</v>
      </c>
      <c r="I2098" t="s">
        <v>1357</v>
      </c>
      <c r="J2098" t="s">
        <v>1357</v>
      </c>
      <c r="K2098" t="s">
        <v>1357</v>
      </c>
      <c r="L2098" t="s">
        <v>1357</v>
      </c>
    </row>
    <row r="2099" spans="6:12">
      <c r="F2099" t="s">
        <v>14872</v>
      </c>
      <c r="G2099" t="s">
        <v>17716</v>
      </c>
      <c r="H2099" t="s">
        <v>20280</v>
      </c>
      <c r="I2099" t="s">
        <v>1357</v>
      </c>
      <c r="J2099" t="s">
        <v>1357</v>
      </c>
      <c r="K2099" t="s">
        <v>1357</v>
      </c>
      <c r="L2099" t="s">
        <v>1357</v>
      </c>
    </row>
    <row r="2100" spans="6:12">
      <c r="H2100" t="s">
        <v>20233</v>
      </c>
      <c r="I2100" t="s">
        <v>1357</v>
      </c>
      <c r="J2100" t="s">
        <v>1357</v>
      </c>
      <c r="K2100" t="s">
        <v>1357</v>
      </c>
      <c r="L2100" t="s">
        <v>1357</v>
      </c>
    </row>
    <row r="2101" spans="6:12">
      <c r="H2101" t="s">
        <v>20230</v>
      </c>
      <c r="I2101" t="s">
        <v>1357</v>
      </c>
      <c r="J2101" t="s">
        <v>1357</v>
      </c>
      <c r="K2101" t="s">
        <v>1357</v>
      </c>
      <c r="L2101" t="s">
        <v>1357</v>
      </c>
    </row>
    <row r="2102" spans="6:12">
      <c r="H2102" t="s">
        <v>20296</v>
      </c>
      <c r="I2102" t="s">
        <v>1357</v>
      </c>
      <c r="J2102" t="s">
        <v>1357</v>
      </c>
      <c r="K2102" t="s">
        <v>1357</v>
      </c>
      <c r="L2102" t="s">
        <v>1357</v>
      </c>
    </row>
    <row r="2103" spans="6:12">
      <c r="H2103" t="s">
        <v>20297</v>
      </c>
      <c r="I2103" t="s">
        <v>1357</v>
      </c>
      <c r="J2103" t="s">
        <v>1357</v>
      </c>
      <c r="K2103" t="s">
        <v>1357</v>
      </c>
      <c r="L2103" t="s">
        <v>1357</v>
      </c>
    </row>
    <row r="2104" spans="6:12">
      <c r="H2104" t="s">
        <v>20284</v>
      </c>
      <c r="I2104" t="s">
        <v>1357</v>
      </c>
      <c r="J2104" t="s">
        <v>1357</v>
      </c>
      <c r="K2104" t="s">
        <v>1357</v>
      </c>
      <c r="L2104" t="s">
        <v>1357</v>
      </c>
    </row>
    <row r="2105" spans="6:12">
      <c r="H2105" t="s">
        <v>20285</v>
      </c>
      <c r="I2105" t="s">
        <v>1357</v>
      </c>
      <c r="J2105" t="s">
        <v>1357</v>
      </c>
      <c r="K2105" t="s">
        <v>1357</v>
      </c>
      <c r="L2105" t="s">
        <v>1357</v>
      </c>
    </row>
    <row r="2106" spans="6:12">
      <c r="H2106" t="s">
        <v>20286</v>
      </c>
      <c r="I2106" t="s">
        <v>1357</v>
      </c>
      <c r="J2106" t="s">
        <v>1357</v>
      </c>
      <c r="K2106" t="s">
        <v>1357</v>
      </c>
      <c r="L2106" t="s">
        <v>1357</v>
      </c>
    </row>
    <row r="2107" spans="6:12">
      <c r="H2107" t="s">
        <v>20287</v>
      </c>
      <c r="I2107" t="s">
        <v>1357</v>
      </c>
      <c r="J2107" t="s">
        <v>1357</v>
      </c>
      <c r="K2107" t="s">
        <v>1357</v>
      </c>
      <c r="L2107" t="s">
        <v>1357</v>
      </c>
    </row>
    <row r="2108" spans="6:12">
      <c r="F2108" t="s">
        <v>14873</v>
      </c>
      <c r="G2108" t="s">
        <v>17717</v>
      </c>
      <c r="H2108" t="s">
        <v>20280</v>
      </c>
      <c r="I2108" t="s">
        <v>1357</v>
      </c>
      <c r="J2108" t="s">
        <v>1357</v>
      </c>
      <c r="K2108" t="s">
        <v>1357</v>
      </c>
      <c r="L2108" t="s">
        <v>1357</v>
      </c>
    </row>
    <row r="2109" spans="6:12">
      <c r="H2109" t="s">
        <v>20233</v>
      </c>
      <c r="I2109" t="s">
        <v>1357</v>
      </c>
      <c r="J2109" t="s">
        <v>1357</v>
      </c>
      <c r="K2109" t="s">
        <v>1357</v>
      </c>
      <c r="L2109" t="s">
        <v>1357</v>
      </c>
    </row>
    <row r="2110" spans="6:12">
      <c r="H2110" t="s">
        <v>20284</v>
      </c>
      <c r="I2110" t="s">
        <v>1357</v>
      </c>
      <c r="J2110" t="s">
        <v>1357</v>
      </c>
      <c r="K2110" t="s">
        <v>1357</v>
      </c>
      <c r="L2110" t="s">
        <v>1357</v>
      </c>
    </row>
    <row r="2111" spans="6:12">
      <c r="H2111" t="s">
        <v>20285</v>
      </c>
      <c r="I2111" t="s">
        <v>1357</v>
      </c>
      <c r="J2111" t="s">
        <v>1357</v>
      </c>
      <c r="K2111" t="s">
        <v>1357</v>
      </c>
      <c r="L2111" t="s">
        <v>1357</v>
      </c>
    </row>
    <row r="2112" spans="6:12">
      <c r="H2112" t="s">
        <v>20286</v>
      </c>
      <c r="I2112" t="s">
        <v>1357</v>
      </c>
      <c r="J2112" t="s">
        <v>1357</v>
      </c>
      <c r="K2112" t="s">
        <v>1357</v>
      </c>
      <c r="L2112" t="s">
        <v>1357</v>
      </c>
    </row>
    <row r="2113" spans="6:12">
      <c r="F2113" t="s">
        <v>14874</v>
      </c>
      <c r="G2113" t="s">
        <v>17718</v>
      </c>
      <c r="H2113" t="s">
        <v>20280</v>
      </c>
      <c r="I2113" t="s">
        <v>1357</v>
      </c>
      <c r="J2113" t="s">
        <v>1357</v>
      </c>
      <c r="K2113" t="s">
        <v>1357</v>
      </c>
      <c r="L2113" t="s">
        <v>1357</v>
      </c>
    </row>
    <row r="2114" spans="6:12">
      <c r="H2114" t="s">
        <v>20233</v>
      </c>
      <c r="I2114" t="s">
        <v>1357</v>
      </c>
      <c r="J2114" t="s">
        <v>1357</v>
      </c>
      <c r="K2114" t="s">
        <v>1357</v>
      </c>
      <c r="L2114" t="s">
        <v>1357</v>
      </c>
    </row>
    <row r="2115" spans="6:12">
      <c r="H2115" t="s">
        <v>20284</v>
      </c>
      <c r="I2115" t="s">
        <v>1357</v>
      </c>
      <c r="J2115" t="s">
        <v>1357</v>
      </c>
      <c r="K2115" t="s">
        <v>1357</v>
      </c>
      <c r="L2115" t="s">
        <v>1357</v>
      </c>
    </row>
    <row r="2116" spans="6:12">
      <c r="H2116" t="s">
        <v>20285</v>
      </c>
      <c r="I2116" t="s">
        <v>1357</v>
      </c>
      <c r="J2116" t="s">
        <v>1357</v>
      </c>
      <c r="K2116" t="s">
        <v>1357</v>
      </c>
      <c r="L2116" t="s">
        <v>1357</v>
      </c>
    </row>
    <row r="2117" spans="6:12">
      <c r="H2117" t="s">
        <v>20286</v>
      </c>
      <c r="I2117" t="s">
        <v>1357</v>
      </c>
      <c r="J2117" t="s">
        <v>1357</v>
      </c>
      <c r="K2117" t="s">
        <v>1357</v>
      </c>
      <c r="L2117" t="s">
        <v>1357</v>
      </c>
    </row>
    <row r="2118" spans="6:12">
      <c r="F2118" t="s">
        <v>14875</v>
      </c>
      <c r="G2118" t="s">
        <v>17719</v>
      </c>
      <c r="H2118" t="s">
        <v>20280</v>
      </c>
      <c r="I2118" t="s">
        <v>1357</v>
      </c>
      <c r="J2118" t="s">
        <v>1357</v>
      </c>
      <c r="K2118" t="s">
        <v>1357</v>
      </c>
      <c r="L2118" t="s">
        <v>1357</v>
      </c>
    </row>
    <row r="2119" spans="6:12">
      <c r="H2119" t="s">
        <v>20233</v>
      </c>
      <c r="I2119" t="s">
        <v>1357</v>
      </c>
      <c r="J2119" t="s">
        <v>1357</v>
      </c>
      <c r="K2119" t="s">
        <v>1357</v>
      </c>
      <c r="L2119" t="s">
        <v>1357</v>
      </c>
    </row>
    <row r="2120" spans="6:12">
      <c r="H2120" t="s">
        <v>20230</v>
      </c>
      <c r="I2120" t="s">
        <v>1357</v>
      </c>
      <c r="J2120" t="s">
        <v>1357</v>
      </c>
      <c r="K2120" t="s">
        <v>1357</v>
      </c>
      <c r="L2120" t="s">
        <v>1357</v>
      </c>
    </row>
    <row r="2121" spans="6:12">
      <c r="H2121" t="s">
        <v>20296</v>
      </c>
      <c r="I2121" t="s">
        <v>1357</v>
      </c>
      <c r="J2121" t="s">
        <v>1357</v>
      </c>
      <c r="K2121" t="s">
        <v>1357</v>
      </c>
      <c r="L2121" t="s">
        <v>1357</v>
      </c>
    </row>
    <row r="2122" spans="6:12">
      <c r="H2122" t="s">
        <v>20297</v>
      </c>
      <c r="I2122" t="s">
        <v>1357</v>
      </c>
      <c r="J2122" t="s">
        <v>1357</v>
      </c>
      <c r="K2122" t="s">
        <v>1357</v>
      </c>
      <c r="L2122" t="s">
        <v>1357</v>
      </c>
    </row>
    <row r="2123" spans="6:12">
      <c r="H2123" t="s">
        <v>20234</v>
      </c>
      <c r="I2123" t="s">
        <v>1357</v>
      </c>
      <c r="J2123" t="s">
        <v>1357</v>
      </c>
      <c r="K2123" t="s">
        <v>1357</v>
      </c>
      <c r="L2123" t="s">
        <v>1357</v>
      </c>
    </row>
    <row r="2124" spans="6:12">
      <c r="H2124" t="s">
        <v>20284</v>
      </c>
      <c r="I2124" t="s">
        <v>1357</v>
      </c>
      <c r="J2124" t="s">
        <v>1357</v>
      </c>
      <c r="K2124" t="s">
        <v>1357</v>
      </c>
      <c r="L2124" t="s">
        <v>1357</v>
      </c>
    </row>
    <row r="2125" spans="6:12">
      <c r="H2125" t="s">
        <v>20285</v>
      </c>
      <c r="I2125" t="s">
        <v>1357</v>
      </c>
      <c r="J2125" t="s">
        <v>1357</v>
      </c>
      <c r="K2125" t="s">
        <v>1357</v>
      </c>
      <c r="L2125" t="s">
        <v>1357</v>
      </c>
    </row>
    <row r="2126" spans="6:12">
      <c r="H2126" t="s">
        <v>20286</v>
      </c>
      <c r="I2126" t="s">
        <v>1357</v>
      </c>
      <c r="J2126" t="s">
        <v>1357</v>
      </c>
      <c r="K2126" t="s">
        <v>1357</v>
      </c>
      <c r="L2126" t="s">
        <v>1357</v>
      </c>
    </row>
    <row r="2127" spans="6:12">
      <c r="H2127" t="s">
        <v>20287</v>
      </c>
      <c r="I2127" t="s">
        <v>1357</v>
      </c>
      <c r="J2127" t="s">
        <v>1357</v>
      </c>
      <c r="K2127" t="s">
        <v>1357</v>
      </c>
      <c r="L2127" t="s">
        <v>1357</v>
      </c>
    </row>
    <row r="2128" spans="6:12">
      <c r="F2128" t="s">
        <v>14876</v>
      </c>
      <c r="G2128" t="s">
        <v>17720</v>
      </c>
      <c r="H2128" t="s">
        <v>20280</v>
      </c>
      <c r="I2128" t="s">
        <v>1357</v>
      </c>
      <c r="J2128" t="s">
        <v>1357</v>
      </c>
      <c r="K2128" t="s">
        <v>1357</v>
      </c>
      <c r="L2128" t="s">
        <v>1357</v>
      </c>
    </row>
    <row r="2129" spans="6:12">
      <c r="H2129" t="s">
        <v>20233</v>
      </c>
      <c r="I2129" t="s">
        <v>1357</v>
      </c>
      <c r="J2129" t="s">
        <v>1357</v>
      </c>
      <c r="K2129" t="s">
        <v>1357</v>
      </c>
      <c r="L2129" t="s">
        <v>1357</v>
      </c>
    </row>
    <row r="2130" spans="6:12">
      <c r="H2130" t="s">
        <v>20230</v>
      </c>
      <c r="I2130" t="s">
        <v>1357</v>
      </c>
      <c r="J2130" t="s">
        <v>1357</v>
      </c>
      <c r="K2130" t="s">
        <v>1357</v>
      </c>
      <c r="L2130" t="s">
        <v>1357</v>
      </c>
    </row>
    <row r="2131" spans="6:12">
      <c r="H2131" t="s">
        <v>20296</v>
      </c>
      <c r="I2131" t="s">
        <v>1357</v>
      </c>
      <c r="J2131" t="s">
        <v>1357</v>
      </c>
      <c r="K2131" t="s">
        <v>1357</v>
      </c>
      <c r="L2131" t="s">
        <v>1357</v>
      </c>
    </row>
    <row r="2132" spans="6:12">
      <c r="H2132" t="s">
        <v>20297</v>
      </c>
      <c r="I2132" t="s">
        <v>1357</v>
      </c>
      <c r="J2132" t="s">
        <v>1357</v>
      </c>
      <c r="K2132" t="s">
        <v>1357</v>
      </c>
      <c r="L2132" t="s">
        <v>1357</v>
      </c>
    </row>
    <row r="2133" spans="6:12">
      <c r="H2133" t="s">
        <v>20234</v>
      </c>
      <c r="I2133" t="s">
        <v>1357</v>
      </c>
      <c r="J2133" t="s">
        <v>1357</v>
      </c>
      <c r="K2133" t="s">
        <v>1357</v>
      </c>
      <c r="L2133" t="s">
        <v>1357</v>
      </c>
    </row>
    <row r="2134" spans="6:12">
      <c r="H2134" t="s">
        <v>20284</v>
      </c>
      <c r="I2134" t="s">
        <v>1357</v>
      </c>
      <c r="J2134" t="s">
        <v>1357</v>
      </c>
      <c r="K2134" t="s">
        <v>1357</v>
      </c>
      <c r="L2134" t="s">
        <v>1357</v>
      </c>
    </row>
    <row r="2135" spans="6:12">
      <c r="H2135" t="s">
        <v>20285</v>
      </c>
      <c r="I2135" t="s">
        <v>1357</v>
      </c>
      <c r="J2135" t="s">
        <v>1357</v>
      </c>
      <c r="K2135" t="s">
        <v>1357</v>
      </c>
      <c r="L2135" t="s">
        <v>1357</v>
      </c>
    </row>
    <row r="2136" spans="6:12">
      <c r="H2136" t="s">
        <v>20286</v>
      </c>
      <c r="I2136" t="s">
        <v>1357</v>
      </c>
      <c r="J2136" t="s">
        <v>1357</v>
      </c>
      <c r="K2136" t="s">
        <v>1357</v>
      </c>
      <c r="L2136" t="s">
        <v>1357</v>
      </c>
    </row>
    <row r="2137" spans="6:12">
      <c r="H2137" t="s">
        <v>20287</v>
      </c>
      <c r="I2137" t="s">
        <v>1357</v>
      </c>
      <c r="J2137" t="s">
        <v>1357</v>
      </c>
      <c r="K2137" t="s">
        <v>1357</v>
      </c>
      <c r="L2137" t="s">
        <v>1357</v>
      </c>
    </row>
    <row r="2138" spans="6:12">
      <c r="F2138" t="s">
        <v>14877</v>
      </c>
      <c r="G2138" t="s">
        <v>17721</v>
      </c>
      <c r="H2138" t="s">
        <v>20280</v>
      </c>
      <c r="I2138" t="s">
        <v>1357</v>
      </c>
      <c r="J2138" t="s">
        <v>1357</v>
      </c>
      <c r="K2138" t="s">
        <v>1357</v>
      </c>
      <c r="L2138" t="s">
        <v>1357</v>
      </c>
    </row>
    <row r="2139" spans="6:12">
      <c r="H2139" t="s">
        <v>20233</v>
      </c>
      <c r="I2139" t="s">
        <v>1357</v>
      </c>
      <c r="J2139" t="s">
        <v>1357</v>
      </c>
      <c r="K2139" t="s">
        <v>1357</v>
      </c>
      <c r="L2139" t="s">
        <v>1357</v>
      </c>
    </row>
    <row r="2140" spans="6:12">
      <c r="H2140" t="s">
        <v>20230</v>
      </c>
      <c r="I2140" t="s">
        <v>1357</v>
      </c>
      <c r="J2140" t="s">
        <v>1357</v>
      </c>
      <c r="K2140" t="s">
        <v>1357</v>
      </c>
      <c r="L2140" t="s">
        <v>1357</v>
      </c>
    </row>
    <row r="2141" spans="6:12">
      <c r="H2141" t="s">
        <v>20227</v>
      </c>
      <c r="I2141" t="s">
        <v>1357</v>
      </c>
      <c r="J2141" t="s">
        <v>1357</v>
      </c>
      <c r="K2141" t="s">
        <v>1357</v>
      </c>
      <c r="L2141" t="s">
        <v>1357</v>
      </c>
    </row>
    <row r="2142" spans="6:12">
      <c r="H2142" t="s">
        <v>20296</v>
      </c>
      <c r="I2142" t="s">
        <v>1357</v>
      </c>
      <c r="J2142" t="s">
        <v>1357</v>
      </c>
      <c r="K2142" t="s">
        <v>1357</v>
      </c>
      <c r="L2142" t="s">
        <v>1357</v>
      </c>
    </row>
    <row r="2143" spans="6:12">
      <c r="H2143" t="s">
        <v>20297</v>
      </c>
      <c r="I2143" t="s">
        <v>1357</v>
      </c>
      <c r="J2143" t="s">
        <v>1357</v>
      </c>
      <c r="K2143" t="s">
        <v>1357</v>
      </c>
      <c r="L2143" t="s">
        <v>1357</v>
      </c>
    </row>
    <row r="2144" spans="6:12">
      <c r="H2144" t="s">
        <v>20234</v>
      </c>
      <c r="I2144" t="s">
        <v>1357</v>
      </c>
      <c r="J2144" t="s">
        <v>1357</v>
      </c>
      <c r="K2144" t="s">
        <v>1357</v>
      </c>
      <c r="L2144" t="s">
        <v>1357</v>
      </c>
    </row>
    <row r="2145" spans="6:12">
      <c r="H2145" t="s">
        <v>20284</v>
      </c>
      <c r="I2145" t="s">
        <v>1357</v>
      </c>
      <c r="J2145" t="s">
        <v>1357</v>
      </c>
      <c r="K2145" t="s">
        <v>1357</v>
      </c>
      <c r="L2145" t="s">
        <v>1357</v>
      </c>
    </row>
    <row r="2146" spans="6:12">
      <c r="H2146" t="s">
        <v>20285</v>
      </c>
      <c r="I2146" t="s">
        <v>1357</v>
      </c>
      <c r="J2146" t="s">
        <v>1357</v>
      </c>
      <c r="K2146" t="s">
        <v>1357</v>
      </c>
      <c r="L2146" t="s">
        <v>1357</v>
      </c>
    </row>
    <row r="2147" spans="6:12">
      <c r="H2147" t="s">
        <v>20286</v>
      </c>
      <c r="I2147" t="s">
        <v>1357</v>
      </c>
      <c r="J2147" t="s">
        <v>1357</v>
      </c>
      <c r="K2147" t="s">
        <v>1357</v>
      </c>
      <c r="L2147" t="s">
        <v>1357</v>
      </c>
    </row>
    <row r="2148" spans="6:12">
      <c r="H2148" t="s">
        <v>20287</v>
      </c>
      <c r="I2148" t="s">
        <v>1357</v>
      </c>
      <c r="J2148" t="s">
        <v>1357</v>
      </c>
      <c r="K2148" t="s">
        <v>1357</v>
      </c>
      <c r="L2148" t="s">
        <v>1357</v>
      </c>
    </row>
    <row r="2149" spans="6:12">
      <c r="F2149" t="s">
        <v>14878</v>
      </c>
      <c r="G2149" t="s">
        <v>17722</v>
      </c>
      <c r="H2149" t="s">
        <v>20280</v>
      </c>
      <c r="I2149" t="s">
        <v>1357</v>
      </c>
      <c r="J2149" t="s">
        <v>1357</v>
      </c>
      <c r="K2149" t="s">
        <v>1357</v>
      </c>
      <c r="L2149" t="s">
        <v>1357</v>
      </c>
    </row>
    <row r="2150" spans="6:12">
      <c r="H2150" t="s">
        <v>20233</v>
      </c>
      <c r="I2150" t="s">
        <v>1357</v>
      </c>
      <c r="J2150" t="s">
        <v>1357</v>
      </c>
      <c r="K2150" t="s">
        <v>1357</v>
      </c>
      <c r="L2150" t="s">
        <v>1357</v>
      </c>
    </row>
    <row r="2151" spans="6:12">
      <c r="H2151" t="s">
        <v>20230</v>
      </c>
      <c r="I2151" t="s">
        <v>1357</v>
      </c>
      <c r="J2151" t="s">
        <v>1357</v>
      </c>
      <c r="K2151" t="s">
        <v>1357</v>
      </c>
      <c r="L2151" t="s">
        <v>1357</v>
      </c>
    </row>
    <row r="2152" spans="6:12">
      <c r="H2152" t="s">
        <v>20296</v>
      </c>
      <c r="I2152" t="s">
        <v>1357</v>
      </c>
      <c r="J2152" t="s">
        <v>1357</v>
      </c>
      <c r="K2152" t="s">
        <v>1357</v>
      </c>
      <c r="L2152" t="s">
        <v>1357</v>
      </c>
    </row>
    <row r="2153" spans="6:12">
      <c r="H2153" t="s">
        <v>20297</v>
      </c>
      <c r="I2153" t="s">
        <v>1357</v>
      </c>
      <c r="J2153" t="s">
        <v>1357</v>
      </c>
      <c r="K2153" t="s">
        <v>1357</v>
      </c>
      <c r="L2153" t="s">
        <v>1357</v>
      </c>
    </row>
    <row r="2154" spans="6:12">
      <c r="H2154" t="s">
        <v>20234</v>
      </c>
      <c r="I2154" t="s">
        <v>1357</v>
      </c>
      <c r="J2154" t="s">
        <v>1357</v>
      </c>
      <c r="K2154" t="s">
        <v>1357</v>
      </c>
      <c r="L2154" t="s">
        <v>1357</v>
      </c>
    </row>
    <row r="2155" spans="6:12">
      <c r="H2155" t="s">
        <v>20235</v>
      </c>
      <c r="I2155" t="s">
        <v>1357</v>
      </c>
      <c r="J2155" t="s">
        <v>1357</v>
      </c>
      <c r="K2155" t="s">
        <v>1357</v>
      </c>
      <c r="L2155" t="s">
        <v>1357</v>
      </c>
    </row>
    <row r="2156" spans="6:12">
      <c r="H2156" t="s">
        <v>20298</v>
      </c>
      <c r="I2156" t="s">
        <v>1357</v>
      </c>
      <c r="J2156" t="s">
        <v>1357</v>
      </c>
      <c r="K2156" t="s">
        <v>1357</v>
      </c>
      <c r="L2156" t="s">
        <v>1357</v>
      </c>
    </row>
    <row r="2157" spans="6:12">
      <c r="H2157" t="s">
        <v>20299</v>
      </c>
      <c r="I2157" t="s">
        <v>1357</v>
      </c>
      <c r="J2157" t="s">
        <v>1357</v>
      </c>
      <c r="K2157" t="s">
        <v>1357</v>
      </c>
      <c r="L2157" t="s">
        <v>1357</v>
      </c>
    </row>
    <row r="2158" spans="6:12">
      <c r="H2158" t="s">
        <v>20300</v>
      </c>
      <c r="I2158" t="s">
        <v>1357</v>
      </c>
      <c r="J2158" t="s">
        <v>1357</v>
      </c>
      <c r="K2158" t="s">
        <v>1357</v>
      </c>
      <c r="L2158" t="s">
        <v>1357</v>
      </c>
    </row>
    <row r="2159" spans="6:12">
      <c r="H2159" t="s">
        <v>20301</v>
      </c>
      <c r="I2159" t="s">
        <v>1357</v>
      </c>
      <c r="J2159" t="s">
        <v>1357</v>
      </c>
      <c r="K2159" t="s">
        <v>1357</v>
      </c>
      <c r="L2159" t="s">
        <v>1357</v>
      </c>
    </row>
    <row r="2160" spans="6:12">
      <c r="H2160" t="s">
        <v>20284</v>
      </c>
      <c r="I2160" t="s">
        <v>1357</v>
      </c>
      <c r="J2160" t="s">
        <v>1357</v>
      </c>
      <c r="K2160" t="s">
        <v>1357</v>
      </c>
      <c r="L2160" t="s">
        <v>1357</v>
      </c>
    </row>
    <row r="2161" spans="6:12">
      <c r="H2161" t="s">
        <v>20285</v>
      </c>
      <c r="I2161" t="s">
        <v>1357</v>
      </c>
      <c r="J2161" t="s">
        <v>1357</v>
      </c>
      <c r="K2161" t="s">
        <v>1357</v>
      </c>
      <c r="L2161" t="s">
        <v>1357</v>
      </c>
    </row>
    <row r="2162" spans="6:12">
      <c r="H2162" t="s">
        <v>20286</v>
      </c>
      <c r="I2162" t="s">
        <v>1357</v>
      </c>
      <c r="J2162" t="s">
        <v>1357</v>
      </c>
      <c r="K2162" t="s">
        <v>1357</v>
      </c>
      <c r="L2162" t="s">
        <v>1357</v>
      </c>
    </row>
    <row r="2163" spans="6:12">
      <c r="H2163" t="s">
        <v>20287</v>
      </c>
      <c r="I2163" t="s">
        <v>1357</v>
      </c>
      <c r="J2163" t="s">
        <v>1357</v>
      </c>
      <c r="K2163" t="s">
        <v>1357</v>
      </c>
      <c r="L2163" t="s">
        <v>1357</v>
      </c>
    </row>
    <row r="2164" spans="6:12">
      <c r="H2164" t="s">
        <v>20288</v>
      </c>
      <c r="I2164" t="s">
        <v>1357</v>
      </c>
      <c r="J2164" t="s">
        <v>1357</v>
      </c>
      <c r="K2164" t="s">
        <v>1357</v>
      </c>
      <c r="L2164" t="s">
        <v>1357</v>
      </c>
    </row>
    <row r="2165" spans="6:12">
      <c r="F2165" t="s">
        <v>14879</v>
      </c>
      <c r="G2165" t="s">
        <v>17723</v>
      </c>
      <c r="H2165" t="s">
        <v>20280</v>
      </c>
      <c r="I2165" t="s">
        <v>1357</v>
      </c>
      <c r="J2165" t="s">
        <v>1357</v>
      </c>
      <c r="K2165" t="s">
        <v>1357</v>
      </c>
      <c r="L2165" t="s">
        <v>1357</v>
      </c>
    </row>
    <row r="2166" spans="6:12">
      <c r="H2166" t="s">
        <v>20233</v>
      </c>
      <c r="I2166" t="s">
        <v>1357</v>
      </c>
      <c r="J2166" t="s">
        <v>1357</v>
      </c>
      <c r="K2166" t="s">
        <v>1357</v>
      </c>
      <c r="L2166" t="s">
        <v>1357</v>
      </c>
    </row>
    <row r="2167" spans="6:12">
      <c r="H2167" t="s">
        <v>20281</v>
      </c>
      <c r="I2167" t="s">
        <v>1357</v>
      </c>
      <c r="J2167" t="s">
        <v>1357</v>
      </c>
      <c r="K2167" t="s">
        <v>1357</v>
      </c>
      <c r="L2167" t="s">
        <v>1357</v>
      </c>
    </row>
    <row r="2168" spans="6:12">
      <c r="H2168" t="s">
        <v>20282</v>
      </c>
      <c r="I2168" t="s">
        <v>1357</v>
      </c>
      <c r="J2168" t="s">
        <v>1357</v>
      </c>
      <c r="K2168" t="s">
        <v>1357</v>
      </c>
      <c r="L2168" t="s">
        <v>1357</v>
      </c>
    </row>
    <row r="2169" spans="6:12">
      <c r="H2169" t="s">
        <v>20283</v>
      </c>
      <c r="I2169" t="s">
        <v>1357</v>
      </c>
      <c r="J2169" t="s">
        <v>1357</v>
      </c>
      <c r="K2169" t="s">
        <v>1357</v>
      </c>
      <c r="L2169" t="s">
        <v>1357</v>
      </c>
    </row>
    <row r="2170" spans="6:12">
      <c r="H2170" t="s">
        <v>20284</v>
      </c>
      <c r="I2170" t="s">
        <v>1357</v>
      </c>
      <c r="J2170" t="s">
        <v>1357</v>
      </c>
      <c r="K2170" t="s">
        <v>1357</v>
      </c>
      <c r="L2170" t="s">
        <v>1357</v>
      </c>
    </row>
    <row r="2171" spans="6:12">
      <c r="H2171" t="s">
        <v>20285</v>
      </c>
      <c r="I2171" t="s">
        <v>1357</v>
      </c>
      <c r="J2171" t="s">
        <v>1357</v>
      </c>
      <c r="K2171" t="s">
        <v>1357</v>
      </c>
      <c r="L2171" t="s">
        <v>1357</v>
      </c>
    </row>
    <row r="2172" spans="6:12">
      <c r="H2172" t="s">
        <v>20286</v>
      </c>
      <c r="I2172" t="s">
        <v>1357</v>
      </c>
      <c r="J2172" t="s">
        <v>1357</v>
      </c>
      <c r="K2172" t="s">
        <v>1357</v>
      </c>
      <c r="L2172" t="s">
        <v>1357</v>
      </c>
    </row>
    <row r="2173" spans="6:12">
      <c r="H2173" t="s">
        <v>20287</v>
      </c>
      <c r="I2173" t="s">
        <v>1357</v>
      </c>
      <c r="J2173" t="s">
        <v>1357</v>
      </c>
      <c r="K2173" t="s">
        <v>1357</v>
      </c>
      <c r="L2173" t="s">
        <v>1357</v>
      </c>
    </row>
    <row r="2174" spans="6:12">
      <c r="H2174" t="s">
        <v>20288</v>
      </c>
      <c r="I2174" t="s">
        <v>1357</v>
      </c>
      <c r="J2174" t="s">
        <v>1357</v>
      </c>
      <c r="K2174" t="s">
        <v>1357</v>
      </c>
      <c r="L2174" t="s">
        <v>1357</v>
      </c>
    </row>
    <row r="2175" spans="6:12">
      <c r="H2175" t="s">
        <v>20289</v>
      </c>
      <c r="I2175" t="s">
        <v>1357</v>
      </c>
      <c r="J2175" t="s">
        <v>1357</v>
      </c>
      <c r="K2175" t="s">
        <v>1357</v>
      </c>
      <c r="L2175" t="s">
        <v>1357</v>
      </c>
    </row>
    <row r="2176" spans="6:12">
      <c r="H2176" t="s">
        <v>20290</v>
      </c>
      <c r="I2176" t="s">
        <v>1357</v>
      </c>
      <c r="J2176" t="s">
        <v>1357</v>
      </c>
      <c r="K2176" t="s">
        <v>1357</v>
      </c>
      <c r="L2176" t="s">
        <v>1357</v>
      </c>
    </row>
    <row r="2177" spans="6:12">
      <c r="H2177" t="s">
        <v>20291</v>
      </c>
      <c r="I2177" t="s">
        <v>1357</v>
      </c>
      <c r="J2177" t="s">
        <v>1357</v>
      </c>
      <c r="K2177" t="s">
        <v>1357</v>
      </c>
      <c r="L2177" t="s">
        <v>1357</v>
      </c>
    </row>
    <row r="2178" spans="6:12">
      <c r="H2178" t="s">
        <v>20293</v>
      </c>
      <c r="I2178" t="s">
        <v>1357</v>
      </c>
      <c r="J2178" t="s">
        <v>1357</v>
      </c>
      <c r="K2178" t="s">
        <v>1357</v>
      </c>
      <c r="L2178" t="s">
        <v>1357</v>
      </c>
    </row>
    <row r="2179" spans="6:12">
      <c r="F2179" t="s">
        <v>14880</v>
      </c>
      <c r="G2179" t="s">
        <v>17724</v>
      </c>
      <c r="H2179" t="s">
        <v>20280</v>
      </c>
      <c r="I2179" t="s">
        <v>1357</v>
      </c>
      <c r="J2179" t="s">
        <v>1357</v>
      </c>
      <c r="K2179" t="s">
        <v>1357</v>
      </c>
      <c r="L2179" t="s">
        <v>1357</v>
      </c>
    </row>
    <row r="2180" spans="6:12">
      <c r="H2180" t="s">
        <v>20233</v>
      </c>
      <c r="I2180" t="s">
        <v>1357</v>
      </c>
      <c r="J2180" t="s">
        <v>1357</v>
      </c>
      <c r="K2180" t="s">
        <v>1357</v>
      </c>
      <c r="L2180" t="s">
        <v>1357</v>
      </c>
    </row>
    <row r="2181" spans="6:12">
      <c r="H2181" t="s">
        <v>20230</v>
      </c>
      <c r="I2181" t="s">
        <v>1357</v>
      </c>
      <c r="J2181" t="s">
        <v>1357</v>
      </c>
      <c r="K2181" t="s">
        <v>1357</v>
      </c>
      <c r="L2181" t="s">
        <v>1357</v>
      </c>
    </row>
    <row r="2182" spans="6:12">
      <c r="H2182" t="s">
        <v>20296</v>
      </c>
      <c r="I2182" t="s">
        <v>1357</v>
      </c>
      <c r="J2182" t="s">
        <v>1357</v>
      </c>
      <c r="K2182" t="s">
        <v>1357</v>
      </c>
      <c r="L2182" t="s">
        <v>1357</v>
      </c>
    </row>
    <row r="2183" spans="6:12">
      <c r="H2183" t="s">
        <v>20297</v>
      </c>
      <c r="I2183" t="s">
        <v>1357</v>
      </c>
      <c r="J2183" t="s">
        <v>1357</v>
      </c>
      <c r="K2183" t="s">
        <v>1357</v>
      </c>
      <c r="L2183" t="s">
        <v>1357</v>
      </c>
    </row>
    <row r="2184" spans="6:12">
      <c r="H2184" t="s">
        <v>20284</v>
      </c>
      <c r="I2184" t="s">
        <v>1357</v>
      </c>
      <c r="J2184" t="s">
        <v>1357</v>
      </c>
      <c r="K2184" t="s">
        <v>1357</v>
      </c>
      <c r="L2184" t="s">
        <v>1357</v>
      </c>
    </row>
    <row r="2185" spans="6:12">
      <c r="H2185" t="s">
        <v>20285</v>
      </c>
      <c r="I2185" t="s">
        <v>1357</v>
      </c>
      <c r="J2185" t="s">
        <v>1357</v>
      </c>
      <c r="K2185" t="s">
        <v>1357</v>
      </c>
      <c r="L2185" t="s">
        <v>1357</v>
      </c>
    </row>
    <row r="2186" spans="6:12">
      <c r="H2186" t="s">
        <v>20286</v>
      </c>
      <c r="I2186" t="s">
        <v>1357</v>
      </c>
      <c r="J2186" t="s">
        <v>1357</v>
      </c>
      <c r="K2186" t="s">
        <v>1357</v>
      </c>
      <c r="L2186" t="s">
        <v>1357</v>
      </c>
    </row>
    <row r="2187" spans="6:12">
      <c r="H2187" t="s">
        <v>20287</v>
      </c>
      <c r="I2187" t="s">
        <v>1357</v>
      </c>
      <c r="J2187" t="s">
        <v>1357</v>
      </c>
      <c r="K2187" t="s">
        <v>1357</v>
      </c>
      <c r="L2187" t="s">
        <v>1357</v>
      </c>
    </row>
    <row r="2188" spans="6:12">
      <c r="F2188" t="s">
        <v>14881</v>
      </c>
      <c r="G2188" t="s">
        <v>17725</v>
      </c>
      <c r="H2188" t="s">
        <v>20280</v>
      </c>
      <c r="I2188" t="s">
        <v>1357</v>
      </c>
      <c r="J2188" t="s">
        <v>1357</v>
      </c>
      <c r="K2188" t="s">
        <v>1357</v>
      </c>
      <c r="L2188" t="s">
        <v>1357</v>
      </c>
    </row>
    <row r="2189" spans="6:12">
      <c r="H2189" t="s">
        <v>20233</v>
      </c>
      <c r="I2189" t="s">
        <v>1357</v>
      </c>
      <c r="J2189" t="s">
        <v>1357</v>
      </c>
      <c r="K2189" t="s">
        <v>1357</v>
      </c>
      <c r="L2189" t="s">
        <v>1357</v>
      </c>
    </row>
    <row r="2190" spans="6:12">
      <c r="H2190" t="s">
        <v>20281</v>
      </c>
      <c r="I2190" t="s">
        <v>1357</v>
      </c>
      <c r="J2190" t="s">
        <v>1357</v>
      </c>
      <c r="K2190" t="s">
        <v>1357</v>
      </c>
      <c r="L2190" t="s">
        <v>1357</v>
      </c>
    </row>
    <row r="2191" spans="6:12">
      <c r="H2191" t="s">
        <v>20282</v>
      </c>
      <c r="I2191" t="s">
        <v>1357</v>
      </c>
      <c r="J2191" t="s">
        <v>1357</v>
      </c>
      <c r="K2191" t="s">
        <v>1357</v>
      </c>
      <c r="L2191" t="s">
        <v>1357</v>
      </c>
    </row>
    <row r="2192" spans="6:12">
      <c r="H2192" t="s">
        <v>20283</v>
      </c>
      <c r="I2192" t="s">
        <v>1357</v>
      </c>
      <c r="J2192" t="s">
        <v>1357</v>
      </c>
      <c r="K2192" t="s">
        <v>1357</v>
      </c>
      <c r="L2192" t="s">
        <v>1357</v>
      </c>
    </row>
    <row r="2193" spans="6:12">
      <c r="H2193" t="s">
        <v>20284</v>
      </c>
      <c r="I2193" t="s">
        <v>1357</v>
      </c>
      <c r="J2193" t="s">
        <v>1357</v>
      </c>
      <c r="K2193" t="s">
        <v>1357</v>
      </c>
      <c r="L2193" t="s">
        <v>1357</v>
      </c>
    </row>
    <row r="2194" spans="6:12">
      <c r="H2194" t="s">
        <v>20285</v>
      </c>
      <c r="I2194" t="s">
        <v>1357</v>
      </c>
      <c r="J2194" t="s">
        <v>1357</v>
      </c>
      <c r="K2194" t="s">
        <v>1357</v>
      </c>
      <c r="L2194" t="s">
        <v>1357</v>
      </c>
    </row>
    <row r="2195" spans="6:12">
      <c r="H2195" t="s">
        <v>20286</v>
      </c>
      <c r="I2195" t="s">
        <v>1357</v>
      </c>
      <c r="J2195" t="s">
        <v>1357</v>
      </c>
      <c r="K2195" t="s">
        <v>1357</v>
      </c>
      <c r="L2195" t="s">
        <v>1357</v>
      </c>
    </row>
    <row r="2196" spans="6:12">
      <c r="H2196" t="s">
        <v>20287</v>
      </c>
      <c r="I2196" t="s">
        <v>1357</v>
      </c>
      <c r="J2196" t="s">
        <v>1357</v>
      </c>
      <c r="K2196" t="s">
        <v>1357</v>
      </c>
      <c r="L2196" t="s">
        <v>1357</v>
      </c>
    </row>
    <row r="2197" spans="6:12">
      <c r="H2197" t="s">
        <v>20288</v>
      </c>
      <c r="I2197" t="s">
        <v>1357</v>
      </c>
      <c r="J2197" t="s">
        <v>1357</v>
      </c>
      <c r="K2197" t="s">
        <v>1357</v>
      </c>
      <c r="L2197" t="s">
        <v>1357</v>
      </c>
    </row>
    <row r="2198" spans="6:12">
      <c r="H2198" t="s">
        <v>20289</v>
      </c>
      <c r="I2198" t="s">
        <v>1357</v>
      </c>
      <c r="J2198" t="s">
        <v>1357</v>
      </c>
      <c r="K2198" t="s">
        <v>1357</v>
      </c>
      <c r="L2198" t="s">
        <v>1357</v>
      </c>
    </row>
    <row r="2199" spans="6:12">
      <c r="H2199" t="s">
        <v>20290</v>
      </c>
      <c r="I2199" t="s">
        <v>1357</v>
      </c>
      <c r="J2199" t="s">
        <v>1357</v>
      </c>
      <c r="K2199" t="s">
        <v>1357</v>
      </c>
      <c r="L2199" t="s">
        <v>1357</v>
      </c>
    </row>
    <row r="2200" spans="6:12">
      <c r="H2200" t="s">
        <v>20291</v>
      </c>
      <c r="I2200" t="s">
        <v>1357</v>
      </c>
      <c r="J2200" t="s">
        <v>1357</v>
      </c>
      <c r="K2200" t="s">
        <v>1357</v>
      </c>
      <c r="L2200" t="s">
        <v>1357</v>
      </c>
    </row>
    <row r="2201" spans="6:12">
      <c r="F2201" t="s">
        <v>14882</v>
      </c>
      <c r="G2201" t="s">
        <v>17726</v>
      </c>
      <c r="H2201" t="s">
        <v>20280</v>
      </c>
      <c r="I2201" t="s">
        <v>1357</v>
      </c>
      <c r="J2201" t="s">
        <v>1357</v>
      </c>
      <c r="K2201" t="s">
        <v>1357</v>
      </c>
      <c r="L2201" t="s">
        <v>1357</v>
      </c>
    </row>
    <row r="2202" spans="6:12">
      <c r="H2202" t="s">
        <v>20233</v>
      </c>
      <c r="I2202" t="s">
        <v>1357</v>
      </c>
      <c r="J2202" t="s">
        <v>1357</v>
      </c>
      <c r="K2202" t="s">
        <v>1357</v>
      </c>
      <c r="L2202" t="s">
        <v>1357</v>
      </c>
    </row>
    <row r="2203" spans="6:12">
      <c r="H2203" t="s">
        <v>20230</v>
      </c>
      <c r="I2203" t="s">
        <v>1357</v>
      </c>
      <c r="J2203" t="s">
        <v>1357</v>
      </c>
      <c r="K2203" t="s">
        <v>1357</v>
      </c>
      <c r="L2203" t="s">
        <v>1357</v>
      </c>
    </row>
    <row r="2204" spans="6:12">
      <c r="H2204" t="s">
        <v>20296</v>
      </c>
      <c r="I2204" t="s">
        <v>1357</v>
      </c>
      <c r="J2204" t="s">
        <v>1357</v>
      </c>
      <c r="K2204" t="s">
        <v>1357</v>
      </c>
      <c r="L2204" t="s">
        <v>1357</v>
      </c>
    </row>
    <row r="2205" spans="6:12">
      <c r="H2205" t="s">
        <v>20297</v>
      </c>
      <c r="I2205" t="s">
        <v>1357</v>
      </c>
      <c r="J2205" t="s">
        <v>1357</v>
      </c>
      <c r="K2205" t="s">
        <v>1357</v>
      </c>
      <c r="L2205" t="s">
        <v>1357</v>
      </c>
    </row>
    <row r="2206" spans="6:12">
      <c r="H2206" t="s">
        <v>20234</v>
      </c>
      <c r="I2206" t="s">
        <v>1357</v>
      </c>
      <c r="J2206" t="s">
        <v>1357</v>
      </c>
      <c r="K2206" t="s">
        <v>1357</v>
      </c>
      <c r="L2206" t="s">
        <v>1357</v>
      </c>
    </row>
    <row r="2207" spans="6:12">
      <c r="H2207" t="s">
        <v>20235</v>
      </c>
      <c r="I2207" t="s">
        <v>1357</v>
      </c>
      <c r="J2207" t="s">
        <v>1357</v>
      </c>
      <c r="K2207" t="s">
        <v>1357</v>
      </c>
      <c r="L2207" t="s">
        <v>1357</v>
      </c>
    </row>
    <row r="2208" spans="6:12">
      <c r="H2208" t="s">
        <v>20298</v>
      </c>
      <c r="I2208" t="s">
        <v>1357</v>
      </c>
      <c r="J2208" t="s">
        <v>1357</v>
      </c>
      <c r="K2208" t="s">
        <v>1357</v>
      </c>
      <c r="L2208" t="s">
        <v>1357</v>
      </c>
    </row>
    <row r="2209" spans="6:12">
      <c r="H2209" t="s">
        <v>20299</v>
      </c>
      <c r="I2209" t="s">
        <v>1357</v>
      </c>
      <c r="J2209" t="s">
        <v>1357</v>
      </c>
      <c r="K2209" t="s">
        <v>1357</v>
      </c>
      <c r="L2209" t="s">
        <v>1357</v>
      </c>
    </row>
    <row r="2210" spans="6:12">
      <c r="H2210" t="s">
        <v>20284</v>
      </c>
      <c r="I2210" t="s">
        <v>1357</v>
      </c>
      <c r="J2210" t="s">
        <v>1357</v>
      </c>
      <c r="K2210" t="s">
        <v>1357</v>
      </c>
      <c r="L2210" t="s">
        <v>1357</v>
      </c>
    </row>
    <row r="2211" spans="6:12">
      <c r="H2211" t="s">
        <v>20285</v>
      </c>
      <c r="I2211" t="s">
        <v>1357</v>
      </c>
      <c r="J2211" t="s">
        <v>1357</v>
      </c>
      <c r="K2211" t="s">
        <v>1357</v>
      </c>
      <c r="L2211" t="s">
        <v>1357</v>
      </c>
    </row>
    <row r="2212" spans="6:12">
      <c r="H2212" t="s">
        <v>20286</v>
      </c>
      <c r="I2212" t="s">
        <v>1357</v>
      </c>
      <c r="J2212" t="s">
        <v>1357</v>
      </c>
      <c r="K2212" t="s">
        <v>1357</v>
      </c>
      <c r="L2212" t="s">
        <v>1357</v>
      </c>
    </row>
    <row r="2213" spans="6:12">
      <c r="H2213" t="s">
        <v>20287</v>
      </c>
      <c r="I2213" t="s">
        <v>1357</v>
      </c>
      <c r="J2213" t="s">
        <v>1357</v>
      </c>
      <c r="K2213" t="s">
        <v>1357</v>
      </c>
      <c r="L2213" t="s">
        <v>1357</v>
      </c>
    </row>
    <row r="2214" spans="6:12">
      <c r="H2214" t="s">
        <v>20288</v>
      </c>
      <c r="I2214" t="s">
        <v>1357</v>
      </c>
      <c r="J2214" t="s">
        <v>1357</v>
      </c>
      <c r="K2214" t="s">
        <v>1357</v>
      </c>
      <c r="L2214" t="s">
        <v>1357</v>
      </c>
    </row>
    <row r="2215" spans="6:12">
      <c r="F2215" t="s">
        <v>14883</v>
      </c>
      <c r="G2215" t="s">
        <v>17727</v>
      </c>
      <c r="H2215" t="s">
        <v>20280</v>
      </c>
      <c r="I2215" t="s">
        <v>1357</v>
      </c>
      <c r="J2215" t="s">
        <v>1357</v>
      </c>
      <c r="K2215" t="s">
        <v>1357</v>
      </c>
      <c r="L2215" t="s">
        <v>1357</v>
      </c>
    </row>
    <row r="2216" spans="6:12">
      <c r="H2216" t="s">
        <v>20284</v>
      </c>
      <c r="I2216" t="s">
        <v>1357</v>
      </c>
      <c r="J2216" t="s">
        <v>1357</v>
      </c>
      <c r="K2216" t="s">
        <v>1357</v>
      </c>
      <c r="L2216" t="s">
        <v>1357</v>
      </c>
    </row>
    <row r="2217" spans="6:12">
      <c r="F2217" t="s">
        <v>14884</v>
      </c>
      <c r="G2217" t="s">
        <v>17728</v>
      </c>
      <c r="H2217" t="s">
        <v>20280</v>
      </c>
      <c r="I2217" t="s">
        <v>1357</v>
      </c>
      <c r="J2217" t="s">
        <v>1357</v>
      </c>
      <c r="K2217" t="s">
        <v>1357</v>
      </c>
      <c r="L2217" t="s">
        <v>1357</v>
      </c>
    </row>
    <row r="2218" spans="6:12">
      <c r="H2218" t="s">
        <v>20284</v>
      </c>
      <c r="I2218" t="s">
        <v>1357</v>
      </c>
      <c r="J2218" t="s">
        <v>1357</v>
      </c>
      <c r="K2218" t="s">
        <v>1357</v>
      </c>
      <c r="L2218" t="s">
        <v>1357</v>
      </c>
    </row>
    <row r="2219" spans="6:12">
      <c r="F2219" t="s">
        <v>14885</v>
      </c>
      <c r="G2219" t="s">
        <v>17729</v>
      </c>
      <c r="H2219" t="s">
        <v>20280</v>
      </c>
      <c r="I2219" t="s">
        <v>1357</v>
      </c>
      <c r="J2219" t="s">
        <v>1357</v>
      </c>
      <c r="K2219" t="s">
        <v>1357</v>
      </c>
      <c r="L2219" t="s">
        <v>1357</v>
      </c>
    </row>
    <row r="2220" spans="6:12">
      <c r="H2220" t="s">
        <v>20233</v>
      </c>
      <c r="I2220" t="s">
        <v>1357</v>
      </c>
      <c r="J2220" t="s">
        <v>1357</v>
      </c>
      <c r="K2220" t="s">
        <v>1357</v>
      </c>
      <c r="L2220" t="s">
        <v>1357</v>
      </c>
    </row>
    <row r="2221" spans="6:12">
      <c r="H2221" t="s">
        <v>20230</v>
      </c>
      <c r="I2221" t="s">
        <v>1357</v>
      </c>
      <c r="J2221" t="s">
        <v>1357</v>
      </c>
      <c r="K2221" t="s">
        <v>1357</v>
      </c>
      <c r="L2221" t="s">
        <v>1357</v>
      </c>
    </row>
    <row r="2222" spans="6:12">
      <c r="H2222" t="s">
        <v>20284</v>
      </c>
      <c r="I2222" t="s">
        <v>1357</v>
      </c>
      <c r="J2222" t="s">
        <v>1357</v>
      </c>
      <c r="K2222" t="s">
        <v>1357</v>
      </c>
      <c r="L2222" t="s">
        <v>1357</v>
      </c>
    </row>
    <row r="2223" spans="6:12">
      <c r="H2223" t="s">
        <v>20285</v>
      </c>
      <c r="I2223" t="s">
        <v>1357</v>
      </c>
      <c r="J2223" t="s">
        <v>1357</v>
      </c>
      <c r="K2223" t="s">
        <v>1357</v>
      </c>
      <c r="L2223" t="s">
        <v>1357</v>
      </c>
    </row>
    <row r="2224" spans="6:12">
      <c r="F2224" t="s">
        <v>14886</v>
      </c>
      <c r="G2224" t="s">
        <v>17730</v>
      </c>
      <c r="H2224" t="s">
        <v>20280</v>
      </c>
      <c r="I2224" t="s">
        <v>1357</v>
      </c>
      <c r="J2224" t="s">
        <v>1357</v>
      </c>
      <c r="K2224" t="s">
        <v>1357</v>
      </c>
      <c r="L2224" t="s">
        <v>1357</v>
      </c>
    </row>
    <row r="2225" spans="6:12">
      <c r="H2225" t="s">
        <v>20233</v>
      </c>
      <c r="I2225" t="s">
        <v>1357</v>
      </c>
      <c r="J2225" t="s">
        <v>1357</v>
      </c>
      <c r="K2225" t="s">
        <v>1357</v>
      </c>
      <c r="L2225" t="s">
        <v>1357</v>
      </c>
    </row>
    <row r="2226" spans="6:12">
      <c r="H2226" t="s">
        <v>20284</v>
      </c>
      <c r="I2226" t="s">
        <v>1357</v>
      </c>
      <c r="J2226" t="s">
        <v>1357</v>
      </c>
      <c r="K2226" t="s">
        <v>1357</v>
      </c>
      <c r="L2226" t="s">
        <v>1357</v>
      </c>
    </row>
    <row r="2227" spans="6:12">
      <c r="H2227" t="s">
        <v>20285</v>
      </c>
      <c r="I2227" t="s">
        <v>1357</v>
      </c>
      <c r="J2227" t="s">
        <v>1357</v>
      </c>
      <c r="K2227" t="s">
        <v>1357</v>
      </c>
      <c r="L2227" t="s">
        <v>1357</v>
      </c>
    </row>
    <row r="2228" spans="6:12">
      <c r="F2228" t="s">
        <v>14887</v>
      </c>
      <c r="G2228" t="s">
        <v>17731</v>
      </c>
      <c r="H2228" t="s">
        <v>20280</v>
      </c>
      <c r="I2228" t="s">
        <v>1357</v>
      </c>
      <c r="J2228" t="s">
        <v>1357</v>
      </c>
      <c r="K2228" t="s">
        <v>1357</v>
      </c>
      <c r="L2228" t="s">
        <v>1357</v>
      </c>
    </row>
    <row r="2229" spans="6:12">
      <c r="H2229" t="s">
        <v>20233</v>
      </c>
      <c r="I2229" t="s">
        <v>1357</v>
      </c>
      <c r="J2229" t="s">
        <v>1357</v>
      </c>
      <c r="K2229" t="s">
        <v>1357</v>
      </c>
      <c r="L2229" t="s">
        <v>1357</v>
      </c>
    </row>
    <row r="2230" spans="6:12">
      <c r="H2230" t="s">
        <v>20284</v>
      </c>
      <c r="I2230" t="s">
        <v>1357</v>
      </c>
      <c r="J2230" t="s">
        <v>1357</v>
      </c>
      <c r="K2230" t="s">
        <v>1357</v>
      </c>
      <c r="L2230" t="s">
        <v>1357</v>
      </c>
    </row>
    <row r="2231" spans="6:12">
      <c r="H2231" t="s">
        <v>20285</v>
      </c>
      <c r="I2231" t="s">
        <v>1357</v>
      </c>
      <c r="J2231" t="s">
        <v>1357</v>
      </c>
      <c r="K2231" t="s">
        <v>1357</v>
      </c>
      <c r="L2231" t="s">
        <v>1357</v>
      </c>
    </row>
    <row r="2232" spans="6:12">
      <c r="F2232" t="s">
        <v>14888</v>
      </c>
      <c r="G2232" t="s">
        <v>17732</v>
      </c>
      <c r="H2232" t="s">
        <v>20280</v>
      </c>
      <c r="I2232" t="s">
        <v>1357</v>
      </c>
      <c r="J2232" t="s">
        <v>1357</v>
      </c>
      <c r="K2232" t="s">
        <v>1357</v>
      </c>
      <c r="L2232" t="s">
        <v>1357</v>
      </c>
    </row>
    <row r="2233" spans="6:12">
      <c r="H2233" t="s">
        <v>20233</v>
      </c>
      <c r="I2233" t="s">
        <v>1357</v>
      </c>
      <c r="J2233" t="s">
        <v>1357</v>
      </c>
      <c r="K2233" t="s">
        <v>1357</v>
      </c>
      <c r="L2233" t="s">
        <v>1357</v>
      </c>
    </row>
    <row r="2234" spans="6:12">
      <c r="H2234" t="s">
        <v>20230</v>
      </c>
      <c r="I2234" t="s">
        <v>1357</v>
      </c>
      <c r="J2234" t="s">
        <v>1357</v>
      </c>
      <c r="K2234" t="s">
        <v>1357</v>
      </c>
      <c r="L2234" t="s">
        <v>1357</v>
      </c>
    </row>
    <row r="2235" spans="6:12">
      <c r="H2235" t="s">
        <v>20227</v>
      </c>
      <c r="I2235" t="s">
        <v>1357</v>
      </c>
      <c r="J2235" t="s">
        <v>1357</v>
      </c>
      <c r="K2235" t="s">
        <v>1357</v>
      </c>
      <c r="L2235" t="s">
        <v>1357</v>
      </c>
    </row>
    <row r="2236" spans="6:12">
      <c r="H2236" t="s">
        <v>20228</v>
      </c>
      <c r="I2236" t="s">
        <v>1357</v>
      </c>
      <c r="J2236" t="s">
        <v>1357</v>
      </c>
      <c r="K2236" t="s">
        <v>1357</v>
      </c>
      <c r="L2236" t="s">
        <v>1357</v>
      </c>
    </row>
    <row r="2237" spans="6:12">
      <c r="H2237" t="s">
        <v>20232</v>
      </c>
      <c r="I2237" t="s">
        <v>1357</v>
      </c>
      <c r="J2237" t="s">
        <v>1357</v>
      </c>
      <c r="K2237" t="s">
        <v>1357</v>
      </c>
      <c r="L2237" t="s">
        <v>1357</v>
      </c>
    </row>
    <row r="2238" spans="6:12">
      <c r="H2238" t="s">
        <v>20296</v>
      </c>
      <c r="I2238" t="s">
        <v>1357</v>
      </c>
      <c r="J2238" t="s">
        <v>1357</v>
      </c>
      <c r="K2238" t="s">
        <v>1357</v>
      </c>
      <c r="L2238" t="s">
        <v>1357</v>
      </c>
    </row>
    <row r="2239" spans="6:12">
      <c r="H2239" t="s">
        <v>20297</v>
      </c>
      <c r="I2239" t="s">
        <v>1357</v>
      </c>
      <c r="J2239" t="s">
        <v>1357</v>
      </c>
      <c r="K2239" t="s">
        <v>1357</v>
      </c>
      <c r="L2239" t="s">
        <v>1357</v>
      </c>
    </row>
    <row r="2240" spans="6:12">
      <c r="H2240" t="s">
        <v>20234</v>
      </c>
      <c r="I2240" t="s">
        <v>1357</v>
      </c>
      <c r="J2240" t="s">
        <v>1357</v>
      </c>
      <c r="K2240" t="s">
        <v>1357</v>
      </c>
      <c r="L2240" t="s">
        <v>1357</v>
      </c>
    </row>
    <row r="2241" spans="6:12">
      <c r="H2241" t="s">
        <v>20235</v>
      </c>
      <c r="I2241" t="s">
        <v>1357</v>
      </c>
      <c r="J2241" t="s">
        <v>1357</v>
      </c>
      <c r="K2241" t="s">
        <v>1357</v>
      </c>
      <c r="L2241" t="s">
        <v>1357</v>
      </c>
    </row>
    <row r="2242" spans="6:12">
      <c r="H2242" t="s">
        <v>20298</v>
      </c>
      <c r="I2242" t="s">
        <v>1357</v>
      </c>
      <c r="J2242" t="s">
        <v>1357</v>
      </c>
      <c r="K2242" t="s">
        <v>1357</v>
      </c>
      <c r="L2242" t="s">
        <v>1357</v>
      </c>
    </row>
    <row r="2243" spans="6:12">
      <c r="H2243" t="s">
        <v>20299</v>
      </c>
      <c r="I2243" t="s">
        <v>1357</v>
      </c>
      <c r="J2243" t="s">
        <v>1357</v>
      </c>
      <c r="K2243" t="s">
        <v>1357</v>
      </c>
      <c r="L2243" t="s">
        <v>1357</v>
      </c>
    </row>
    <row r="2244" spans="6:12">
      <c r="H2244" t="s">
        <v>20281</v>
      </c>
      <c r="I2244" t="s">
        <v>1357</v>
      </c>
      <c r="J2244" t="s">
        <v>1357</v>
      </c>
      <c r="K2244" t="s">
        <v>1357</v>
      </c>
      <c r="L2244" t="s">
        <v>1357</v>
      </c>
    </row>
    <row r="2245" spans="6:12">
      <c r="H2245" t="s">
        <v>20284</v>
      </c>
      <c r="I2245" t="s">
        <v>1357</v>
      </c>
      <c r="J2245" t="s">
        <v>1357</v>
      </c>
      <c r="K2245" t="s">
        <v>1357</v>
      </c>
      <c r="L2245" t="s">
        <v>1357</v>
      </c>
    </row>
    <row r="2246" spans="6:12">
      <c r="H2246" t="s">
        <v>20285</v>
      </c>
      <c r="I2246" t="s">
        <v>1357</v>
      </c>
      <c r="J2246" t="s">
        <v>1357</v>
      </c>
      <c r="K2246" t="s">
        <v>1357</v>
      </c>
      <c r="L2246" t="s">
        <v>1357</v>
      </c>
    </row>
    <row r="2247" spans="6:12">
      <c r="H2247" t="s">
        <v>20286</v>
      </c>
      <c r="I2247" t="s">
        <v>1357</v>
      </c>
      <c r="J2247" t="s">
        <v>1357</v>
      </c>
      <c r="K2247" t="s">
        <v>1357</v>
      </c>
      <c r="L2247" t="s">
        <v>1357</v>
      </c>
    </row>
    <row r="2248" spans="6:12">
      <c r="H2248" t="s">
        <v>20287</v>
      </c>
      <c r="I2248" t="s">
        <v>1357</v>
      </c>
      <c r="J2248" t="s">
        <v>1357</v>
      </c>
      <c r="K2248" t="s">
        <v>1357</v>
      </c>
      <c r="L2248" t="s">
        <v>1357</v>
      </c>
    </row>
    <row r="2249" spans="6:12">
      <c r="H2249" t="s">
        <v>20288</v>
      </c>
      <c r="I2249" t="s">
        <v>1357</v>
      </c>
      <c r="J2249" t="s">
        <v>1357</v>
      </c>
      <c r="K2249" t="s">
        <v>1357</v>
      </c>
      <c r="L2249" t="s">
        <v>1357</v>
      </c>
    </row>
    <row r="2250" spans="6:12">
      <c r="H2250" t="s">
        <v>20289</v>
      </c>
      <c r="I2250" t="s">
        <v>1357</v>
      </c>
      <c r="J2250" t="s">
        <v>1357</v>
      </c>
      <c r="K2250" t="s">
        <v>1357</v>
      </c>
      <c r="L2250" t="s">
        <v>1357</v>
      </c>
    </row>
    <row r="2251" spans="6:12">
      <c r="F2251" t="s">
        <v>14889</v>
      </c>
      <c r="G2251" t="s">
        <v>17733</v>
      </c>
      <c r="H2251" t="s">
        <v>20280</v>
      </c>
      <c r="I2251" t="s">
        <v>1357</v>
      </c>
      <c r="J2251" t="s">
        <v>1357</v>
      </c>
      <c r="K2251" t="s">
        <v>1357</v>
      </c>
      <c r="L2251" t="s">
        <v>1357</v>
      </c>
    </row>
    <row r="2252" spans="6:12">
      <c r="H2252" t="s">
        <v>20233</v>
      </c>
      <c r="I2252" t="s">
        <v>1357</v>
      </c>
      <c r="J2252" t="s">
        <v>1357</v>
      </c>
      <c r="K2252" t="s">
        <v>1357</v>
      </c>
      <c r="L2252" t="s">
        <v>1357</v>
      </c>
    </row>
    <row r="2253" spans="6:12">
      <c r="H2253" t="s">
        <v>20284</v>
      </c>
      <c r="I2253" t="s">
        <v>1357</v>
      </c>
      <c r="J2253" t="s">
        <v>1357</v>
      </c>
      <c r="K2253" t="s">
        <v>1357</v>
      </c>
      <c r="L2253" t="s">
        <v>1357</v>
      </c>
    </row>
    <row r="2254" spans="6:12">
      <c r="H2254" t="s">
        <v>20285</v>
      </c>
      <c r="I2254" t="s">
        <v>1357</v>
      </c>
      <c r="J2254" t="s">
        <v>1357</v>
      </c>
      <c r="K2254" t="s">
        <v>1357</v>
      </c>
      <c r="L2254" t="s">
        <v>1357</v>
      </c>
    </row>
    <row r="2255" spans="6:12">
      <c r="H2255" t="s">
        <v>20286</v>
      </c>
      <c r="I2255" t="s">
        <v>1357</v>
      </c>
      <c r="J2255" t="s">
        <v>1357</v>
      </c>
      <c r="K2255" t="s">
        <v>1357</v>
      </c>
      <c r="L2255" t="s">
        <v>1357</v>
      </c>
    </row>
    <row r="2256" spans="6:12">
      <c r="H2256" t="s">
        <v>20287</v>
      </c>
      <c r="I2256" t="s">
        <v>1357</v>
      </c>
      <c r="J2256" t="s">
        <v>1357</v>
      </c>
      <c r="K2256" t="s">
        <v>1357</v>
      </c>
      <c r="L2256" t="s">
        <v>1357</v>
      </c>
    </row>
    <row r="2257" spans="6:12">
      <c r="H2257" t="s">
        <v>20230</v>
      </c>
      <c r="I2257" t="s">
        <v>1357</v>
      </c>
      <c r="J2257" t="s">
        <v>1357</v>
      </c>
      <c r="K2257" t="s">
        <v>1357</v>
      </c>
      <c r="L2257" t="s">
        <v>1357</v>
      </c>
    </row>
    <row r="2258" spans="6:12">
      <c r="H2258" t="s">
        <v>20227</v>
      </c>
      <c r="I2258" t="s">
        <v>1357</v>
      </c>
      <c r="J2258" t="s">
        <v>1357</v>
      </c>
      <c r="K2258" t="s">
        <v>1357</v>
      </c>
      <c r="L2258" t="s">
        <v>1357</v>
      </c>
    </row>
    <row r="2259" spans="6:12">
      <c r="H2259" t="s">
        <v>20288</v>
      </c>
      <c r="I2259" t="s">
        <v>1357</v>
      </c>
      <c r="J2259" t="s">
        <v>1357</v>
      </c>
      <c r="K2259" t="s">
        <v>1357</v>
      </c>
      <c r="L2259" t="s">
        <v>1357</v>
      </c>
    </row>
    <row r="2260" spans="6:12">
      <c r="H2260" t="s">
        <v>20289</v>
      </c>
      <c r="I2260" t="s">
        <v>1357</v>
      </c>
      <c r="J2260" t="s">
        <v>1357</v>
      </c>
      <c r="K2260" t="s">
        <v>1357</v>
      </c>
      <c r="L2260" t="s">
        <v>1357</v>
      </c>
    </row>
    <row r="2261" spans="6:12">
      <c r="H2261" t="s">
        <v>20290</v>
      </c>
      <c r="I2261" t="s">
        <v>1357</v>
      </c>
      <c r="J2261" t="s">
        <v>1357</v>
      </c>
      <c r="K2261" t="s">
        <v>1357</v>
      </c>
      <c r="L2261" t="s">
        <v>1357</v>
      </c>
    </row>
    <row r="2262" spans="6:12">
      <c r="H2262" t="s">
        <v>20291</v>
      </c>
      <c r="I2262" t="s">
        <v>1357</v>
      </c>
      <c r="J2262" t="s">
        <v>1357</v>
      </c>
      <c r="K2262" t="s">
        <v>1357</v>
      </c>
      <c r="L2262" t="s">
        <v>1357</v>
      </c>
    </row>
    <row r="2263" spans="6:12">
      <c r="F2263" t="s">
        <v>14890</v>
      </c>
      <c r="G2263" t="s">
        <v>17734</v>
      </c>
      <c r="H2263" t="s">
        <v>20280</v>
      </c>
      <c r="I2263" t="s">
        <v>1357</v>
      </c>
      <c r="J2263" t="s">
        <v>1357</v>
      </c>
      <c r="K2263" t="s">
        <v>1357</v>
      </c>
      <c r="L2263" t="s">
        <v>1357</v>
      </c>
    </row>
    <row r="2264" spans="6:12">
      <c r="H2264" t="s">
        <v>20233</v>
      </c>
      <c r="I2264" t="s">
        <v>1357</v>
      </c>
      <c r="J2264" t="s">
        <v>1357</v>
      </c>
      <c r="K2264" t="s">
        <v>1357</v>
      </c>
      <c r="L2264" t="s">
        <v>1357</v>
      </c>
    </row>
    <row r="2265" spans="6:12">
      <c r="H2265" t="s">
        <v>20284</v>
      </c>
      <c r="I2265" t="s">
        <v>1357</v>
      </c>
      <c r="J2265" t="s">
        <v>1357</v>
      </c>
      <c r="K2265" t="s">
        <v>1357</v>
      </c>
      <c r="L2265" t="s">
        <v>1357</v>
      </c>
    </row>
    <row r="2266" spans="6:12">
      <c r="H2266" t="s">
        <v>20285</v>
      </c>
      <c r="I2266" t="s">
        <v>1357</v>
      </c>
      <c r="J2266" t="s">
        <v>1357</v>
      </c>
      <c r="K2266" t="s">
        <v>1357</v>
      </c>
      <c r="L2266" t="s">
        <v>1357</v>
      </c>
    </row>
    <row r="2267" spans="6:12">
      <c r="H2267" t="s">
        <v>20286</v>
      </c>
      <c r="I2267" t="s">
        <v>1357</v>
      </c>
      <c r="J2267" t="s">
        <v>1357</v>
      </c>
      <c r="K2267" t="s">
        <v>1357</v>
      </c>
      <c r="L2267" t="s">
        <v>1357</v>
      </c>
    </row>
    <row r="2268" spans="6:12">
      <c r="H2268" t="s">
        <v>20287</v>
      </c>
      <c r="I2268" t="s">
        <v>1357</v>
      </c>
      <c r="J2268" t="s">
        <v>1357</v>
      </c>
      <c r="K2268" t="s">
        <v>1357</v>
      </c>
      <c r="L2268" t="s">
        <v>1357</v>
      </c>
    </row>
    <row r="2269" spans="6:12">
      <c r="F2269" t="s">
        <v>14891</v>
      </c>
      <c r="G2269" t="s">
        <v>17735</v>
      </c>
      <c r="H2269" t="s">
        <v>20280</v>
      </c>
      <c r="I2269" t="s">
        <v>1357</v>
      </c>
      <c r="J2269" t="s">
        <v>1357</v>
      </c>
      <c r="K2269" t="s">
        <v>1357</v>
      </c>
      <c r="L2269" t="s">
        <v>1357</v>
      </c>
    </row>
    <row r="2270" spans="6:12">
      <c r="H2270" t="s">
        <v>20233</v>
      </c>
      <c r="I2270" t="s">
        <v>1357</v>
      </c>
      <c r="J2270" t="s">
        <v>1357</v>
      </c>
      <c r="K2270" t="s">
        <v>1357</v>
      </c>
      <c r="L2270" t="s">
        <v>1357</v>
      </c>
    </row>
    <row r="2271" spans="6:12">
      <c r="H2271" t="s">
        <v>20284</v>
      </c>
      <c r="I2271" t="s">
        <v>1357</v>
      </c>
      <c r="J2271" t="s">
        <v>1357</v>
      </c>
      <c r="K2271" t="s">
        <v>1357</v>
      </c>
      <c r="L2271" t="s">
        <v>1357</v>
      </c>
    </row>
    <row r="2272" spans="6:12">
      <c r="H2272" t="s">
        <v>20285</v>
      </c>
      <c r="I2272" t="s">
        <v>1357</v>
      </c>
      <c r="J2272" t="s">
        <v>1357</v>
      </c>
      <c r="K2272" t="s">
        <v>1357</v>
      </c>
      <c r="L2272" t="s">
        <v>1357</v>
      </c>
    </row>
    <row r="2273" spans="6:12">
      <c r="H2273" t="s">
        <v>20286</v>
      </c>
      <c r="I2273" t="s">
        <v>1357</v>
      </c>
      <c r="J2273" t="s">
        <v>1357</v>
      </c>
      <c r="K2273" t="s">
        <v>1357</v>
      </c>
      <c r="L2273" t="s">
        <v>1357</v>
      </c>
    </row>
    <row r="2274" spans="6:12">
      <c r="H2274" t="s">
        <v>20287</v>
      </c>
      <c r="I2274" t="s">
        <v>1357</v>
      </c>
      <c r="J2274" t="s">
        <v>1357</v>
      </c>
      <c r="K2274" t="s">
        <v>1357</v>
      </c>
      <c r="L2274" t="s">
        <v>1357</v>
      </c>
    </row>
    <row r="2275" spans="6:12">
      <c r="F2275" t="s">
        <v>14892</v>
      </c>
      <c r="G2275" t="s">
        <v>17736</v>
      </c>
      <c r="H2275" t="s">
        <v>20280</v>
      </c>
      <c r="I2275" t="s">
        <v>1357</v>
      </c>
      <c r="J2275" t="s">
        <v>1357</v>
      </c>
      <c r="K2275" t="s">
        <v>1357</v>
      </c>
      <c r="L2275" t="s">
        <v>1357</v>
      </c>
    </row>
    <row r="2276" spans="6:12">
      <c r="H2276" t="s">
        <v>20233</v>
      </c>
      <c r="I2276" t="s">
        <v>1357</v>
      </c>
      <c r="J2276" t="s">
        <v>1357</v>
      </c>
      <c r="K2276" t="s">
        <v>1357</v>
      </c>
      <c r="L2276" t="s">
        <v>1357</v>
      </c>
    </row>
    <row r="2277" spans="6:12">
      <c r="H2277" t="s">
        <v>20284</v>
      </c>
      <c r="I2277" t="s">
        <v>1357</v>
      </c>
      <c r="J2277" t="s">
        <v>1357</v>
      </c>
      <c r="K2277" t="s">
        <v>1357</v>
      </c>
      <c r="L2277" t="s">
        <v>1357</v>
      </c>
    </row>
    <row r="2278" spans="6:12">
      <c r="H2278" t="s">
        <v>20285</v>
      </c>
      <c r="I2278" t="s">
        <v>1357</v>
      </c>
      <c r="J2278" t="s">
        <v>1357</v>
      </c>
      <c r="K2278" t="s">
        <v>1357</v>
      </c>
      <c r="L2278" t="s">
        <v>1357</v>
      </c>
    </row>
    <row r="2279" spans="6:12">
      <c r="H2279" t="s">
        <v>20286</v>
      </c>
      <c r="I2279" t="s">
        <v>1357</v>
      </c>
      <c r="J2279" t="s">
        <v>1357</v>
      </c>
      <c r="K2279" t="s">
        <v>1357</v>
      </c>
      <c r="L2279" t="s">
        <v>1357</v>
      </c>
    </row>
    <row r="2280" spans="6:12">
      <c r="H2280" t="s">
        <v>20287</v>
      </c>
      <c r="I2280" t="s">
        <v>1357</v>
      </c>
      <c r="J2280" t="s">
        <v>1357</v>
      </c>
      <c r="K2280" t="s">
        <v>1357</v>
      </c>
      <c r="L2280" t="s">
        <v>1357</v>
      </c>
    </row>
    <row r="2281" spans="6:12">
      <c r="F2281" t="s">
        <v>14893</v>
      </c>
      <c r="G2281" t="s">
        <v>17737</v>
      </c>
      <c r="H2281" t="s">
        <v>20280</v>
      </c>
      <c r="I2281" t="s">
        <v>1357</v>
      </c>
      <c r="J2281" t="s">
        <v>1357</v>
      </c>
      <c r="K2281" t="s">
        <v>1357</v>
      </c>
      <c r="L2281" t="s">
        <v>1357</v>
      </c>
    </row>
    <row r="2282" spans="6:12">
      <c r="H2282" t="s">
        <v>20233</v>
      </c>
      <c r="I2282" t="s">
        <v>1357</v>
      </c>
      <c r="J2282" t="s">
        <v>1357</v>
      </c>
      <c r="K2282" t="s">
        <v>1357</v>
      </c>
      <c r="L2282" t="s">
        <v>1357</v>
      </c>
    </row>
    <row r="2283" spans="6:12">
      <c r="H2283" t="s">
        <v>20284</v>
      </c>
      <c r="I2283" t="s">
        <v>1357</v>
      </c>
      <c r="J2283" t="s">
        <v>1357</v>
      </c>
      <c r="K2283" t="s">
        <v>1357</v>
      </c>
      <c r="L2283" t="s">
        <v>1357</v>
      </c>
    </row>
    <row r="2284" spans="6:12">
      <c r="H2284" t="s">
        <v>20285</v>
      </c>
      <c r="I2284" t="s">
        <v>1357</v>
      </c>
      <c r="J2284" t="s">
        <v>1357</v>
      </c>
      <c r="K2284" t="s">
        <v>1357</v>
      </c>
      <c r="L2284" t="s">
        <v>1357</v>
      </c>
    </row>
    <row r="2285" spans="6:12">
      <c r="H2285" t="s">
        <v>20286</v>
      </c>
      <c r="I2285" t="s">
        <v>1357</v>
      </c>
      <c r="J2285" t="s">
        <v>1357</v>
      </c>
      <c r="K2285" t="s">
        <v>1357</v>
      </c>
      <c r="L2285" t="s">
        <v>1357</v>
      </c>
    </row>
    <row r="2286" spans="6:12">
      <c r="H2286" t="s">
        <v>20287</v>
      </c>
      <c r="I2286" t="s">
        <v>1357</v>
      </c>
      <c r="J2286" t="s">
        <v>1357</v>
      </c>
      <c r="K2286" t="s">
        <v>1357</v>
      </c>
      <c r="L2286" t="s">
        <v>1357</v>
      </c>
    </row>
    <row r="2287" spans="6:12">
      <c r="F2287" t="s">
        <v>14894</v>
      </c>
      <c r="G2287" t="s">
        <v>17738</v>
      </c>
      <c r="H2287" t="s">
        <v>20280</v>
      </c>
      <c r="I2287" t="s">
        <v>1357</v>
      </c>
      <c r="J2287" t="s">
        <v>1357</v>
      </c>
      <c r="K2287" t="s">
        <v>1357</v>
      </c>
      <c r="L2287" t="s">
        <v>1357</v>
      </c>
    </row>
    <row r="2288" spans="6:12">
      <c r="H2288" t="s">
        <v>20233</v>
      </c>
      <c r="I2288" t="s">
        <v>1357</v>
      </c>
      <c r="J2288" t="s">
        <v>1357</v>
      </c>
      <c r="K2288" t="s">
        <v>1357</v>
      </c>
      <c r="L2288" t="s">
        <v>1357</v>
      </c>
    </row>
    <row r="2289" spans="6:12">
      <c r="H2289" t="s">
        <v>20230</v>
      </c>
      <c r="I2289" t="s">
        <v>1357</v>
      </c>
      <c r="J2289" t="s">
        <v>1357</v>
      </c>
      <c r="K2289" t="s">
        <v>1357</v>
      </c>
      <c r="L2289" t="s">
        <v>1357</v>
      </c>
    </row>
    <row r="2290" spans="6:12">
      <c r="H2290" t="s">
        <v>20296</v>
      </c>
      <c r="I2290" t="s">
        <v>1357</v>
      </c>
      <c r="J2290" t="s">
        <v>1357</v>
      </c>
      <c r="K2290" t="s">
        <v>1357</v>
      </c>
      <c r="L2290" t="s">
        <v>1357</v>
      </c>
    </row>
    <row r="2291" spans="6:12">
      <c r="H2291" t="s">
        <v>20297</v>
      </c>
      <c r="I2291" t="s">
        <v>1357</v>
      </c>
      <c r="J2291" t="s">
        <v>1357</v>
      </c>
      <c r="K2291" t="s">
        <v>1357</v>
      </c>
      <c r="L2291" t="s">
        <v>1357</v>
      </c>
    </row>
    <row r="2292" spans="6:12">
      <c r="H2292" t="s">
        <v>20234</v>
      </c>
      <c r="I2292" t="s">
        <v>1357</v>
      </c>
      <c r="J2292" t="s">
        <v>1357</v>
      </c>
      <c r="K2292" t="s">
        <v>1357</v>
      </c>
      <c r="L2292" t="s">
        <v>1357</v>
      </c>
    </row>
    <row r="2293" spans="6:12">
      <c r="H2293" t="s">
        <v>20235</v>
      </c>
      <c r="I2293" t="s">
        <v>1357</v>
      </c>
      <c r="J2293" t="s">
        <v>1357</v>
      </c>
      <c r="K2293" t="s">
        <v>1357</v>
      </c>
      <c r="L2293" t="s">
        <v>1357</v>
      </c>
    </row>
    <row r="2294" spans="6:12">
      <c r="H2294" t="s">
        <v>20298</v>
      </c>
      <c r="I2294" t="s">
        <v>1357</v>
      </c>
      <c r="J2294" t="s">
        <v>1357</v>
      </c>
      <c r="K2294" t="s">
        <v>1357</v>
      </c>
      <c r="L2294" t="s">
        <v>1357</v>
      </c>
    </row>
    <row r="2295" spans="6:12">
      <c r="H2295" t="s">
        <v>20299</v>
      </c>
      <c r="I2295" t="s">
        <v>1357</v>
      </c>
      <c r="J2295" t="s">
        <v>1357</v>
      </c>
      <c r="K2295" t="s">
        <v>1357</v>
      </c>
      <c r="L2295" t="s">
        <v>1357</v>
      </c>
    </row>
    <row r="2296" spans="6:12">
      <c r="H2296" t="s">
        <v>20300</v>
      </c>
      <c r="I2296" t="s">
        <v>1357</v>
      </c>
      <c r="J2296" t="s">
        <v>1357</v>
      </c>
      <c r="K2296" t="s">
        <v>1357</v>
      </c>
      <c r="L2296" t="s">
        <v>1357</v>
      </c>
    </row>
    <row r="2297" spans="6:12">
      <c r="H2297" t="s">
        <v>20284</v>
      </c>
      <c r="I2297" t="s">
        <v>1357</v>
      </c>
      <c r="J2297" t="s">
        <v>1357</v>
      </c>
      <c r="K2297" t="s">
        <v>1357</v>
      </c>
      <c r="L2297" t="s">
        <v>1357</v>
      </c>
    </row>
    <row r="2298" spans="6:12">
      <c r="H2298" t="s">
        <v>20285</v>
      </c>
      <c r="I2298" t="s">
        <v>1357</v>
      </c>
      <c r="J2298" t="s">
        <v>1357</v>
      </c>
      <c r="K2298" t="s">
        <v>1357</v>
      </c>
      <c r="L2298" t="s">
        <v>1357</v>
      </c>
    </row>
    <row r="2299" spans="6:12">
      <c r="H2299" t="s">
        <v>20286</v>
      </c>
      <c r="I2299" t="s">
        <v>1357</v>
      </c>
      <c r="J2299" t="s">
        <v>1357</v>
      </c>
      <c r="K2299" t="s">
        <v>1357</v>
      </c>
      <c r="L2299" t="s">
        <v>1357</v>
      </c>
    </row>
    <row r="2300" spans="6:12">
      <c r="H2300" t="s">
        <v>20287</v>
      </c>
      <c r="I2300" t="s">
        <v>1357</v>
      </c>
      <c r="J2300" t="s">
        <v>1357</v>
      </c>
      <c r="K2300" t="s">
        <v>1357</v>
      </c>
      <c r="L2300" t="s">
        <v>1357</v>
      </c>
    </row>
    <row r="2301" spans="6:12">
      <c r="H2301" t="s">
        <v>20288</v>
      </c>
      <c r="I2301" t="s">
        <v>1357</v>
      </c>
      <c r="J2301" t="s">
        <v>1357</v>
      </c>
      <c r="K2301" t="s">
        <v>1357</v>
      </c>
      <c r="L2301" t="s">
        <v>1357</v>
      </c>
    </row>
    <row r="2302" spans="6:12">
      <c r="H2302" t="s">
        <v>20289</v>
      </c>
      <c r="I2302" t="s">
        <v>1357</v>
      </c>
      <c r="J2302" t="s">
        <v>1357</v>
      </c>
      <c r="K2302" t="s">
        <v>1357</v>
      </c>
      <c r="L2302" t="s">
        <v>1357</v>
      </c>
    </row>
    <row r="2303" spans="6:12">
      <c r="F2303" t="s">
        <v>14895</v>
      </c>
      <c r="G2303" t="s">
        <v>17739</v>
      </c>
      <c r="H2303" t="s">
        <v>20280</v>
      </c>
      <c r="I2303" t="s">
        <v>1357</v>
      </c>
      <c r="J2303" t="s">
        <v>1357</v>
      </c>
      <c r="K2303" t="s">
        <v>1357</v>
      </c>
      <c r="L2303" t="s">
        <v>1357</v>
      </c>
    </row>
    <row r="2304" spans="6:12">
      <c r="H2304" t="s">
        <v>20233</v>
      </c>
      <c r="I2304" t="s">
        <v>1357</v>
      </c>
      <c r="J2304" t="s">
        <v>1357</v>
      </c>
      <c r="K2304" t="s">
        <v>1357</v>
      </c>
      <c r="L2304" t="s">
        <v>1357</v>
      </c>
    </row>
    <row r="2305" spans="6:12">
      <c r="H2305" t="s">
        <v>20230</v>
      </c>
      <c r="I2305" t="s">
        <v>1357</v>
      </c>
      <c r="J2305" t="s">
        <v>1357</v>
      </c>
      <c r="K2305" t="s">
        <v>1357</v>
      </c>
      <c r="L2305" t="s">
        <v>1357</v>
      </c>
    </row>
    <row r="2306" spans="6:12">
      <c r="H2306" t="s">
        <v>20227</v>
      </c>
      <c r="I2306" t="s">
        <v>1357</v>
      </c>
      <c r="J2306" t="s">
        <v>1357</v>
      </c>
      <c r="K2306" t="s">
        <v>1357</v>
      </c>
      <c r="L2306" t="s">
        <v>1357</v>
      </c>
    </row>
    <row r="2307" spans="6:12">
      <c r="H2307" t="s">
        <v>20296</v>
      </c>
      <c r="I2307" t="s">
        <v>1357</v>
      </c>
      <c r="J2307" t="s">
        <v>1357</v>
      </c>
      <c r="K2307" t="s">
        <v>1357</v>
      </c>
      <c r="L2307" t="s">
        <v>1357</v>
      </c>
    </row>
    <row r="2308" spans="6:12">
      <c r="H2308" t="s">
        <v>20297</v>
      </c>
      <c r="I2308" t="s">
        <v>1357</v>
      </c>
      <c r="J2308" t="s">
        <v>1357</v>
      </c>
      <c r="K2308" t="s">
        <v>1357</v>
      </c>
      <c r="L2308" t="s">
        <v>1357</v>
      </c>
    </row>
    <row r="2309" spans="6:12">
      <c r="H2309" t="s">
        <v>20234</v>
      </c>
      <c r="I2309" t="s">
        <v>1357</v>
      </c>
      <c r="J2309" t="s">
        <v>1357</v>
      </c>
      <c r="K2309" t="s">
        <v>1357</v>
      </c>
      <c r="L2309" t="s">
        <v>1357</v>
      </c>
    </row>
    <row r="2310" spans="6:12">
      <c r="H2310" t="s">
        <v>20284</v>
      </c>
      <c r="I2310" t="s">
        <v>1357</v>
      </c>
      <c r="J2310" t="s">
        <v>1357</v>
      </c>
      <c r="K2310" t="s">
        <v>1357</v>
      </c>
      <c r="L2310" t="s">
        <v>1357</v>
      </c>
    </row>
    <row r="2311" spans="6:12">
      <c r="H2311" t="s">
        <v>20285</v>
      </c>
      <c r="I2311" t="s">
        <v>1357</v>
      </c>
      <c r="J2311" t="s">
        <v>1357</v>
      </c>
      <c r="K2311" t="s">
        <v>1357</v>
      </c>
      <c r="L2311" t="s">
        <v>1357</v>
      </c>
    </row>
    <row r="2312" spans="6:12">
      <c r="H2312" t="s">
        <v>20286</v>
      </c>
      <c r="I2312" t="s">
        <v>1357</v>
      </c>
      <c r="J2312" t="s">
        <v>1357</v>
      </c>
      <c r="K2312" t="s">
        <v>1357</v>
      </c>
      <c r="L2312" t="s">
        <v>1357</v>
      </c>
    </row>
    <row r="2313" spans="6:12">
      <c r="H2313" t="s">
        <v>20287</v>
      </c>
      <c r="I2313" t="s">
        <v>1357</v>
      </c>
      <c r="J2313" t="s">
        <v>1357</v>
      </c>
      <c r="K2313" t="s">
        <v>1357</v>
      </c>
      <c r="L2313" t="s">
        <v>1357</v>
      </c>
    </row>
    <row r="2314" spans="6:12">
      <c r="H2314" t="s">
        <v>20288</v>
      </c>
      <c r="I2314" t="s">
        <v>1357</v>
      </c>
      <c r="J2314" t="s">
        <v>1357</v>
      </c>
      <c r="K2314" t="s">
        <v>1357</v>
      </c>
      <c r="L2314" t="s">
        <v>1357</v>
      </c>
    </row>
    <row r="2315" spans="6:12">
      <c r="F2315" t="s">
        <v>14896</v>
      </c>
      <c r="G2315" t="s">
        <v>17740</v>
      </c>
      <c r="H2315" t="s">
        <v>20280</v>
      </c>
      <c r="I2315" t="s">
        <v>1357</v>
      </c>
      <c r="J2315" t="s">
        <v>1357</v>
      </c>
      <c r="K2315" t="s">
        <v>1357</v>
      </c>
      <c r="L2315" t="s">
        <v>1357</v>
      </c>
    </row>
    <row r="2316" spans="6:12">
      <c r="H2316" t="s">
        <v>20296</v>
      </c>
      <c r="I2316" t="s">
        <v>1357</v>
      </c>
      <c r="J2316" t="s">
        <v>1357</v>
      </c>
      <c r="K2316" t="s">
        <v>1357</v>
      </c>
      <c r="L2316" t="s">
        <v>1357</v>
      </c>
    </row>
    <row r="2317" spans="6:12">
      <c r="H2317" t="s">
        <v>20297</v>
      </c>
      <c r="I2317" t="s">
        <v>1357</v>
      </c>
      <c r="J2317" t="s">
        <v>1357</v>
      </c>
      <c r="K2317" t="s">
        <v>1357</v>
      </c>
      <c r="L2317" t="s">
        <v>1357</v>
      </c>
    </row>
    <row r="2318" spans="6:12">
      <c r="H2318" t="s">
        <v>20284</v>
      </c>
      <c r="I2318" t="s">
        <v>1357</v>
      </c>
      <c r="J2318" t="s">
        <v>1357</v>
      </c>
      <c r="K2318" t="s">
        <v>1357</v>
      </c>
      <c r="L2318" t="s">
        <v>1357</v>
      </c>
    </row>
    <row r="2319" spans="6:12">
      <c r="H2319" t="s">
        <v>20285</v>
      </c>
      <c r="I2319" t="s">
        <v>1357</v>
      </c>
      <c r="J2319" t="s">
        <v>1357</v>
      </c>
      <c r="K2319" t="s">
        <v>1357</v>
      </c>
      <c r="L2319" t="s">
        <v>1357</v>
      </c>
    </row>
    <row r="2320" spans="6:12">
      <c r="H2320" t="s">
        <v>20286</v>
      </c>
      <c r="I2320" t="s">
        <v>1357</v>
      </c>
      <c r="J2320" t="s">
        <v>1357</v>
      </c>
      <c r="K2320" t="s">
        <v>1357</v>
      </c>
      <c r="L2320" t="s">
        <v>1357</v>
      </c>
    </row>
    <row r="2321" spans="6:12">
      <c r="H2321" t="s">
        <v>20287</v>
      </c>
      <c r="I2321" t="s">
        <v>1357</v>
      </c>
      <c r="J2321" t="s">
        <v>1357</v>
      </c>
      <c r="K2321" t="s">
        <v>1357</v>
      </c>
      <c r="L2321" t="s">
        <v>1357</v>
      </c>
    </row>
    <row r="2322" spans="6:12">
      <c r="H2322" t="s">
        <v>20288</v>
      </c>
      <c r="I2322" t="s">
        <v>1357</v>
      </c>
      <c r="J2322" t="s">
        <v>1357</v>
      </c>
      <c r="K2322" t="s">
        <v>1357</v>
      </c>
      <c r="L2322" t="s">
        <v>1357</v>
      </c>
    </row>
    <row r="2323" spans="6:12">
      <c r="H2323" t="s">
        <v>20289</v>
      </c>
      <c r="I2323" t="s">
        <v>1357</v>
      </c>
      <c r="J2323" t="s">
        <v>1357</v>
      </c>
      <c r="K2323" t="s">
        <v>1357</v>
      </c>
      <c r="L2323" t="s">
        <v>1357</v>
      </c>
    </row>
    <row r="2324" spans="6:12">
      <c r="H2324" t="s">
        <v>20290</v>
      </c>
      <c r="I2324" t="s">
        <v>1357</v>
      </c>
      <c r="J2324" t="s">
        <v>1357</v>
      </c>
      <c r="K2324" t="s">
        <v>1357</v>
      </c>
      <c r="L2324" t="s">
        <v>1357</v>
      </c>
    </row>
    <row r="2325" spans="6:12">
      <c r="H2325" t="s">
        <v>20291</v>
      </c>
      <c r="I2325" t="s">
        <v>1357</v>
      </c>
      <c r="J2325" t="s">
        <v>1357</v>
      </c>
      <c r="K2325" t="s">
        <v>1357</v>
      </c>
      <c r="L2325" t="s">
        <v>1357</v>
      </c>
    </row>
    <row r="2326" spans="6:12">
      <c r="H2326" t="s">
        <v>20293</v>
      </c>
      <c r="I2326" t="s">
        <v>1357</v>
      </c>
      <c r="J2326" t="s">
        <v>1357</v>
      </c>
      <c r="K2326" t="s">
        <v>1357</v>
      </c>
      <c r="L2326" t="s">
        <v>1357</v>
      </c>
    </row>
    <row r="2327" spans="6:12">
      <c r="F2327" t="s">
        <v>14897</v>
      </c>
      <c r="G2327" t="s">
        <v>17741</v>
      </c>
      <c r="H2327" t="s">
        <v>20280</v>
      </c>
      <c r="I2327" t="s">
        <v>1357</v>
      </c>
      <c r="J2327" t="s">
        <v>1357</v>
      </c>
      <c r="K2327" t="s">
        <v>1357</v>
      </c>
      <c r="L2327" t="s">
        <v>1357</v>
      </c>
    </row>
    <row r="2328" spans="6:12">
      <c r="H2328" t="s">
        <v>20233</v>
      </c>
      <c r="I2328" t="s">
        <v>1357</v>
      </c>
      <c r="J2328" t="s">
        <v>1357</v>
      </c>
      <c r="K2328" t="s">
        <v>1357</v>
      </c>
      <c r="L2328" t="s">
        <v>1357</v>
      </c>
    </row>
    <row r="2329" spans="6:12">
      <c r="H2329" t="s">
        <v>20230</v>
      </c>
      <c r="I2329" t="s">
        <v>1357</v>
      </c>
      <c r="J2329" t="s">
        <v>1357</v>
      </c>
      <c r="K2329" t="s">
        <v>1357</v>
      </c>
      <c r="L2329" t="s">
        <v>1357</v>
      </c>
    </row>
    <row r="2330" spans="6:12">
      <c r="H2330" t="s">
        <v>20296</v>
      </c>
      <c r="I2330" t="s">
        <v>1357</v>
      </c>
      <c r="J2330" t="s">
        <v>1357</v>
      </c>
      <c r="K2330" t="s">
        <v>1357</v>
      </c>
      <c r="L2330" t="s">
        <v>1357</v>
      </c>
    </row>
    <row r="2331" spans="6:12">
      <c r="H2331" t="s">
        <v>20297</v>
      </c>
      <c r="I2331" t="s">
        <v>1357</v>
      </c>
      <c r="J2331" t="s">
        <v>1357</v>
      </c>
      <c r="K2331" t="s">
        <v>1357</v>
      </c>
      <c r="L2331" t="s">
        <v>1357</v>
      </c>
    </row>
    <row r="2332" spans="6:12">
      <c r="H2332" t="s">
        <v>20284</v>
      </c>
      <c r="I2332" t="s">
        <v>1357</v>
      </c>
      <c r="J2332" t="s">
        <v>1357</v>
      </c>
      <c r="K2332" t="s">
        <v>1357</v>
      </c>
      <c r="L2332" t="s">
        <v>1357</v>
      </c>
    </row>
    <row r="2333" spans="6:12">
      <c r="H2333" t="s">
        <v>20285</v>
      </c>
      <c r="I2333" t="s">
        <v>1357</v>
      </c>
      <c r="J2333" t="s">
        <v>1357</v>
      </c>
      <c r="K2333" t="s">
        <v>1357</v>
      </c>
      <c r="L2333" t="s">
        <v>1357</v>
      </c>
    </row>
    <row r="2334" spans="6:12">
      <c r="H2334" t="s">
        <v>20286</v>
      </c>
      <c r="I2334" t="s">
        <v>1357</v>
      </c>
      <c r="J2334" t="s">
        <v>1357</v>
      </c>
      <c r="K2334" t="s">
        <v>1357</v>
      </c>
      <c r="L2334" t="s">
        <v>1357</v>
      </c>
    </row>
    <row r="2335" spans="6:12">
      <c r="H2335" t="s">
        <v>20287</v>
      </c>
      <c r="I2335" t="s">
        <v>1357</v>
      </c>
      <c r="J2335" t="s">
        <v>1357</v>
      </c>
      <c r="K2335" t="s">
        <v>1357</v>
      </c>
      <c r="L2335" t="s">
        <v>1357</v>
      </c>
    </row>
    <row r="2336" spans="6:12">
      <c r="H2336" t="s">
        <v>20288</v>
      </c>
      <c r="I2336" t="s">
        <v>1357</v>
      </c>
      <c r="J2336" t="s">
        <v>1357</v>
      </c>
      <c r="K2336" t="s">
        <v>1357</v>
      </c>
      <c r="L2336" t="s">
        <v>1357</v>
      </c>
    </row>
    <row r="2337" spans="6:12">
      <c r="F2337" t="s">
        <v>14898</v>
      </c>
      <c r="G2337" t="s">
        <v>17742</v>
      </c>
      <c r="H2337" t="s">
        <v>20280</v>
      </c>
      <c r="I2337" t="s">
        <v>1357</v>
      </c>
      <c r="J2337" t="s">
        <v>1357</v>
      </c>
      <c r="K2337" t="s">
        <v>1357</v>
      </c>
      <c r="L2337" t="s">
        <v>1357</v>
      </c>
    </row>
    <row r="2338" spans="6:12">
      <c r="H2338" t="s">
        <v>20233</v>
      </c>
      <c r="I2338" t="s">
        <v>1357</v>
      </c>
      <c r="J2338" t="s">
        <v>1357</v>
      </c>
      <c r="K2338" t="s">
        <v>1357</v>
      </c>
      <c r="L2338" t="s">
        <v>1357</v>
      </c>
    </row>
    <row r="2339" spans="6:12">
      <c r="H2339" t="s">
        <v>20230</v>
      </c>
      <c r="I2339" t="s">
        <v>1357</v>
      </c>
      <c r="J2339" t="s">
        <v>1357</v>
      </c>
      <c r="K2339" t="s">
        <v>1357</v>
      </c>
      <c r="L2339" t="s">
        <v>1357</v>
      </c>
    </row>
    <row r="2340" spans="6:12">
      <c r="H2340" t="s">
        <v>20227</v>
      </c>
      <c r="I2340" t="s">
        <v>1357</v>
      </c>
      <c r="J2340" t="s">
        <v>1357</v>
      </c>
      <c r="K2340" t="s">
        <v>1357</v>
      </c>
      <c r="L2340" t="s">
        <v>1357</v>
      </c>
    </row>
    <row r="2341" spans="6:12">
      <c r="H2341" t="s">
        <v>20228</v>
      </c>
      <c r="I2341" t="s">
        <v>1357</v>
      </c>
      <c r="J2341" t="s">
        <v>1357</v>
      </c>
      <c r="K2341" t="s">
        <v>1357</v>
      </c>
      <c r="L2341" t="s">
        <v>1357</v>
      </c>
    </row>
    <row r="2342" spans="6:12">
      <c r="H2342" t="s">
        <v>20232</v>
      </c>
      <c r="I2342" t="s">
        <v>1357</v>
      </c>
      <c r="J2342" t="s">
        <v>1357</v>
      </c>
      <c r="K2342" t="s">
        <v>1357</v>
      </c>
      <c r="L2342" t="s">
        <v>1357</v>
      </c>
    </row>
    <row r="2343" spans="6:12">
      <c r="H2343" t="s">
        <v>20296</v>
      </c>
      <c r="I2343" t="s">
        <v>1357</v>
      </c>
      <c r="J2343" t="s">
        <v>1357</v>
      </c>
      <c r="K2343" t="s">
        <v>1357</v>
      </c>
      <c r="L2343" t="s">
        <v>1357</v>
      </c>
    </row>
    <row r="2344" spans="6:12">
      <c r="H2344" t="s">
        <v>20297</v>
      </c>
      <c r="I2344" t="s">
        <v>1357</v>
      </c>
      <c r="J2344" t="s">
        <v>1357</v>
      </c>
      <c r="K2344" t="s">
        <v>1357</v>
      </c>
      <c r="L2344" t="s">
        <v>1357</v>
      </c>
    </row>
    <row r="2345" spans="6:12">
      <c r="H2345" t="s">
        <v>20234</v>
      </c>
      <c r="I2345" t="s">
        <v>1357</v>
      </c>
      <c r="J2345" t="s">
        <v>1357</v>
      </c>
      <c r="K2345" t="s">
        <v>1357</v>
      </c>
      <c r="L2345" t="s">
        <v>1357</v>
      </c>
    </row>
    <row r="2346" spans="6:12">
      <c r="H2346" t="s">
        <v>20235</v>
      </c>
      <c r="I2346" t="s">
        <v>1357</v>
      </c>
      <c r="J2346" t="s">
        <v>1357</v>
      </c>
      <c r="K2346" t="s">
        <v>1357</v>
      </c>
      <c r="L2346" t="s">
        <v>1357</v>
      </c>
    </row>
    <row r="2347" spans="6:12">
      <c r="H2347" t="s">
        <v>20298</v>
      </c>
      <c r="I2347" t="s">
        <v>1357</v>
      </c>
      <c r="J2347" t="s">
        <v>1357</v>
      </c>
      <c r="K2347" t="s">
        <v>1357</v>
      </c>
      <c r="L2347" t="s">
        <v>1357</v>
      </c>
    </row>
    <row r="2348" spans="6:12">
      <c r="H2348" t="s">
        <v>20299</v>
      </c>
      <c r="I2348" t="s">
        <v>1357</v>
      </c>
      <c r="J2348" t="s">
        <v>1357</v>
      </c>
      <c r="K2348" t="s">
        <v>1357</v>
      </c>
      <c r="L2348" t="s">
        <v>1357</v>
      </c>
    </row>
    <row r="2349" spans="6:12">
      <c r="H2349" t="s">
        <v>20281</v>
      </c>
      <c r="I2349" t="s">
        <v>1357</v>
      </c>
      <c r="J2349" t="s">
        <v>1357</v>
      </c>
      <c r="K2349" t="s">
        <v>1357</v>
      </c>
      <c r="L2349" t="s">
        <v>1357</v>
      </c>
    </row>
    <row r="2350" spans="6:12">
      <c r="H2350" t="s">
        <v>20284</v>
      </c>
      <c r="I2350" t="s">
        <v>1357</v>
      </c>
      <c r="J2350" t="s">
        <v>1357</v>
      </c>
      <c r="K2350" t="s">
        <v>1357</v>
      </c>
      <c r="L2350" t="s">
        <v>1357</v>
      </c>
    </row>
    <row r="2351" spans="6:12">
      <c r="H2351" t="s">
        <v>20285</v>
      </c>
      <c r="I2351" t="s">
        <v>1357</v>
      </c>
      <c r="J2351" t="s">
        <v>1357</v>
      </c>
      <c r="K2351" t="s">
        <v>1357</v>
      </c>
      <c r="L2351" t="s">
        <v>1357</v>
      </c>
    </row>
    <row r="2352" spans="6:12">
      <c r="H2352" t="s">
        <v>20286</v>
      </c>
      <c r="I2352" t="s">
        <v>1357</v>
      </c>
      <c r="J2352" t="s">
        <v>1357</v>
      </c>
      <c r="K2352" t="s">
        <v>1357</v>
      </c>
      <c r="L2352" t="s">
        <v>1357</v>
      </c>
    </row>
    <row r="2353" spans="6:12">
      <c r="H2353" t="s">
        <v>20287</v>
      </c>
      <c r="I2353" t="s">
        <v>1357</v>
      </c>
      <c r="J2353" t="s">
        <v>1357</v>
      </c>
      <c r="K2353" t="s">
        <v>1357</v>
      </c>
      <c r="L2353" t="s">
        <v>1357</v>
      </c>
    </row>
    <row r="2354" spans="6:12">
      <c r="H2354" t="s">
        <v>20288</v>
      </c>
      <c r="I2354" t="s">
        <v>1357</v>
      </c>
      <c r="J2354" t="s">
        <v>1357</v>
      </c>
      <c r="K2354" t="s">
        <v>1357</v>
      </c>
      <c r="L2354" t="s">
        <v>1357</v>
      </c>
    </row>
    <row r="2355" spans="6:12">
      <c r="F2355" t="s">
        <v>14899</v>
      </c>
      <c r="G2355" t="s">
        <v>17743</v>
      </c>
      <c r="H2355" t="s">
        <v>20280</v>
      </c>
      <c r="I2355" t="s">
        <v>1357</v>
      </c>
      <c r="J2355" t="s">
        <v>1357</v>
      </c>
      <c r="K2355" t="s">
        <v>1357</v>
      </c>
      <c r="L2355" t="s">
        <v>1357</v>
      </c>
    </row>
    <row r="2356" spans="6:12">
      <c r="H2356" t="s">
        <v>20233</v>
      </c>
      <c r="I2356" t="s">
        <v>1357</v>
      </c>
      <c r="J2356" t="s">
        <v>1357</v>
      </c>
      <c r="K2356" t="s">
        <v>1357</v>
      </c>
      <c r="L2356" t="s">
        <v>1357</v>
      </c>
    </row>
    <row r="2357" spans="6:12">
      <c r="H2357" t="s">
        <v>20230</v>
      </c>
      <c r="I2357" t="s">
        <v>1357</v>
      </c>
      <c r="J2357" t="s">
        <v>1357</v>
      </c>
      <c r="K2357" t="s">
        <v>1357</v>
      </c>
      <c r="L2357" t="s">
        <v>1357</v>
      </c>
    </row>
    <row r="2358" spans="6:12">
      <c r="H2358" t="s">
        <v>20281</v>
      </c>
      <c r="I2358" t="s">
        <v>1357</v>
      </c>
      <c r="J2358" t="s">
        <v>1357</v>
      </c>
      <c r="K2358" t="s">
        <v>1357</v>
      </c>
      <c r="L2358" t="s">
        <v>1357</v>
      </c>
    </row>
    <row r="2359" spans="6:12">
      <c r="H2359" t="s">
        <v>20284</v>
      </c>
      <c r="I2359" t="s">
        <v>1357</v>
      </c>
      <c r="J2359" t="s">
        <v>1357</v>
      </c>
      <c r="K2359" t="s">
        <v>1357</v>
      </c>
      <c r="L2359" t="s">
        <v>1357</v>
      </c>
    </row>
    <row r="2360" spans="6:12">
      <c r="H2360" t="s">
        <v>20285</v>
      </c>
      <c r="I2360" t="s">
        <v>1357</v>
      </c>
      <c r="J2360" t="s">
        <v>1357</v>
      </c>
      <c r="K2360" t="s">
        <v>1357</v>
      </c>
      <c r="L2360" t="s">
        <v>1357</v>
      </c>
    </row>
    <row r="2361" spans="6:12">
      <c r="H2361" t="s">
        <v>20286</v>
      </c>
      <c r="I2361" t="s">
        <v>1357</v>
      </c>
      <c r="J2361" t="s">
        <v>1357</v>
      </c>
      <c r="K2361" t="s">
        <v>1357</v>
      </c>
      <c r="L2361" t="s">
        <v>1357</v>
      </c>
    </row>
    <row r="2362" spans="6:12">
      <c r="H2362" t="s">
        <v>20287</v>
      </c>
      <c r="I2362" t="s">
        <v>1357</v>
      </c>
      <c r="J2362" t="s">
        <v>1357</v>
      </c>
      <c r="K2362" t="s">
        <v>1357</v>
      </c>
      <c r="L2362" t="s">
        <v>1357</v>
      </c>
    </row>
    <row r="2363" spans="6:12">
      <c r="H2363" t="s">
        <v>20288</v>
      </c>
      <c r="I2363" t="s">
        <v>1357</v>
      </c>
      <c r="J2363" t="s">
        <v>1357</v>
      </c>
      <c r="K2363" t="s">
        <v>1357</v>
      </c>
      <c r="L2363" t="s">
        <v>1357</v>
      </c>
    </row>
    <row r="2364" spans="6:12">
      <c r="H2364" t="s">
        <v>20289</v>
      </c>
      <c r="I2364" t="s">
        <v>1357</v>
      </c>
      <c r="J2364" t="s">
        <v>1357</v>
      </c>
      <c r="K2364" t="s">
        <v>1357</v>
      </c>
      <c r="L2364" t="s">
        <v>1357</v>
      </c>
    </row>
    <row r="2365" spans="6:12">
      <c r="F2365" t="s">
        <v>14900</v>
      </c>
      <c r="G2365" t="s">
        <v>17744</v>
      </c>
      <c r="H2365" t="s">
        <v>20280</v>
      </c>
      <c r="I2365" t="s">
        <v>1357</v>
      </c>
      <c r="J2365" t="s">
        <v>1357</v>
      </c>
      <c r="K2365" t="s">
        <v>1357</v>
      </c>
      <c r="L2365" t="s">
        <v>1357</v>
      </c>
    </row>
    <row r="2366" spans="6:12">
      <c r="H2366" t="s">
        <v>20233</v>
      </c>
      <c r="I2366" t="s">
        <v>1357</v>
      </c>
      <c r="J2366" t="s">
        <v>1357</v>
      </c>
      <c r="K2366" t="s">
        <v>1357</v>
      </c>
      <c r="L2366" t="s">
        <v>1357</v>
      </c>
    </row>
    <row r="2367" spans="6:12">
      <c r="H2367" t="s">
        <v>20230</v>
      </c>
      <c r="I2367" t="s">
        <v>1357</v>
      </c>
      <c r="J2367" t="s">
        <v>1357</v>
      </c>
      <c r="K2367" t="s">
        <v>1357</v>
      </c>
      <c r="L2367" t="s">
        <v>1357</v>
      </c>
    </row>
    <row r="2368" spans="6:12">
      <c r="H2368" t="s">
        <v>20227</v>
      </c>
      <c r="I2368" t="s">
        <v>1357</v>
      </c>
      <c r="J2368" t="s">
        <v>1357</v>
      </c>
      <c r="K2368" t="s">
        <v>1357</v>
      </c>
      <c r="L2368" t="s">
        <v>1357</v>
      </c>
    </row>
    <row r="2369" spans="6:12">
      <c r="H2369" t="s">
        <v>20228</v>
      </c>
      <c r="I2369" t="s">
        <v>1357</v>
      </c>
      <c r="J2369" t="s">
        <v>1357</v>
      </c>
      <c r="K2369" t="s">
        <v>1357</v>
      </c>
      <c r="L2369" t="s">
        <v>1357</v>
      </c>
    </row>
    <row r="2370" spans="6:12">
      <c r="H2370" t="s">
        <v>20296</v>
      </c>
      <c r="I2370" t="s">
        <v>1357</v>
      </c>
      <c r="J2370" t="s">
        <v>1357</v>
      </c>
      <c r="K2370" t="s">
        <v>1357</v>
      </c>
      <c r="L2370" t="s">
        <v>1357</v>
      </c>
    </row>
    <row r="2371" spans="6:12">
      <c r="H2371" t="s">
        <v>20297</v>
      </c>
      <c r="I2371" t="s">
        <v>1357</v>
      </c>
      <c r="J2371" t="s">
        <v>1357</v>
      </c>
      <c r="K2371" t="s">
        <v>1357</v>
      </c>
      <c r="L2371" t="s">
        <v>1357</v>
      </c>
    </row>
    <row r="2372" spans="6:12">
      <c r="H2372" t="s">
        <v>20234</v>
      </c>
      <c r="I2372" t="s">
        <v>1357</v>
      </c>
      <c r="J2372" t="s">
        <v>1357</v>
      </c>
      <c r="K2372" t="s">
        <v>1357</v>
      </c>
      <c r="L2372" t="s">
        <v>1357</v>
      </c>
    </row>
    <row r="2373" spans="6:12">
      <c r="H2373" t="s">
        <v>20235</v>
      </c>
      <c r="I2373" t="s">
        <v>1357</v>
      </c>
      <c r="J2373" t="s">
        <v>1357</v>
      </c>
      <c r="K2373" t="s">
        <v>1357</v>
      </c>
      <c r="L2373" t="s">
        <v>1357</v>
      </c>
    </row>
    <row r="2374" spans="6:12">
      <c r="H2374" t="s">
        <v>20284</v>
      </c>
      <c r="I2374" t="s">
        <v>1357</v>
      </c>
      <c r="J2374" t="s">
        <v>1357</v>
      </c>
      <c r="K2374" t="s">
        <v>1357</v>
      </c>
      <c r="L2374" t="s">
        <v>1357</v>
      </c>
    </row>
    <row r="2375" spans="6:12">
      <c r="H2375" t="s">
        <v>20285</v>
      </c>
      <c r="I2375" t="s">
        <v>1357</v>
      </c>
      <c r="J2375" t="s">
        <v>1357</v>
      </c>
      <c r="K2375" t="s">
        <v>1357</v>
      </c>
      <c r="L2375" t="s">
        <v>1357</v>
      </c>
    </row>
    <row r="2376" spans="6:12">
      <c r="H2376" t="s">
        <v>20286</v>
      </c>
      <c r="I2376" t="s">
        <v>1357</v>
      </c>
      <c r="J2376" t="s">
        <v>1357</v>
      </c>
      <c r="K2376" t="s">
        <v>1357</v>
      </c>
      <c r="L2376" t="s">
        <v>1357</v>
      </c>
    </row>
    <row r="2377" spans="6:12">
      <c r="H2377" t="s">
        <v>20287</v>
      </c>
      <c r="I2377" t="s">
        <v>1357</v>
      </c>
      <c r="J2377" t="s">
        <v>1357</v>
      </c>
      <c r="K2377" t="s">
        <v>1357</v>
      </c>
      <c r="L2377" t="s">
        <v>1357</v>
      </c>
    </row>
    <row r="2378" spans="6:12">
      <c r="H2378" t="s">
        <v>20288</v>
      </c>
      <c r="I2378" t="s">
        <v>1357</v>
      </c>
      <c r="J2378" t="s">
        <v>1357</v>
      </c>
      <c r="K2378" t="s">
        <v>1357</v>
      </c>
      <c r="L2378" t="s">
        <v>1357</v>
      </c>
    </row>
    <row r="2379" spans="6:12">
      <c r="F2379" t="s">
        <v>14901</v>
      </c>
      <c r="G2379" t="s">
        <v>17745</v>
      </c>
      <c r="H2379" t="s">
        <v>20280</v>
      </c>
      <c r="I2379" t="s">
        <v>1357</v>
      </c>
      <c r="J2379" t="s">
        <v>1357</v>
      </c>
      <c r="K2379" t="s">
        <v>1357</v>
      </c>
      <c r="L2379" t="s">
        <v>1357</v>
      </c>
    </row>
    <row r="2380" spans="6:12">
      <c r="H2380" t="s">
        <v>20233</v>
      </c>
      <c r="I2380" t="s">
        <v>1357</v>
      </c>
      <c r="J2380" t="s">
        <v>1357</v>
      </c>
      <c r="K2380" t="s">
        <v>1357</v>
      </c>
      <c r="L2380" t="s">
        <v>1357</v>
      </c>
    </row>
    <row r="2381" spans="6:12">
      <c r="H2381" t="s">
        <v>20230</v>
      </c>
      <c r="I2381" t="s">
        <v>1357</v>
      </c>
      <c r="J2381" t="s">
        <v>1357</v>
      </c>
      <c r="K2381" t="s">
        <v>1357</v>
      </c>
      <c r="L2381" t="s">
        <v>1357</v>
      </c>
    </row>
    <row r="2382" spans="6:12">
      <c r="H2382" t="s">
        <v>20227</v>
      </c>
      <c r="I2382" t="s">
        <v>1357</v>
      </c>
      <c r="J2382" t="s">
        <v>1357</v>
      </c>
      <c r="K2382" t="s">
        <v>1357</v>
      </c>
      <c r="L2382" t="s">
        <v>1357</v>
      </c>
    </row>
    <row r="2383" spans="6:12">
      <c r="H2383" t="s">
        <v>20228</v>
      </c>
      <c r="I2383" t="s">
        <v>1357</v>
      </c>
      <c r="J2383" t="s">
        <v>1357</v>
      </c>
      <c r="K2383" t="s">
        <v>1357</v>
      </c>
      <c r="L2383" t="s">
        <v>1357</v>
      </c>
    </row>
    <row r="2384" spans="6:12">
      <c r="H2384" t="s">
        <v>20296</v>
      </c>
      <c r="I2384" t="s">
        <v>1357</v>
      </c>
      <c r="J2384" t="s">
        <v>1357</v>
      </c>
      <c r="K2384" t="s">
        <v>1357</v>
      </c>
      <c r="L2384" t="s">
        <v>1357</v>
      </c>
    </row>
    <row r="2385" spans="6:12">
      <c r="H2385" t="s">
        <v>20297</v>
      </c>
      <c r="I2385" t="s">
        <v>1357</v>
      </c>
      <c r="J2385" t="s">
        <v>1357</v>
      </c>
      <c r="K2385" t="s">
        <v>1357</v>
      </c>
      <c r="L2385" t="s">
        <v>1357</v>
      </c>
    </row>
    <row r="2386" spans="6:12">
      <c r="H2386" t="s">
        <v>20234</v>
      </c>
      <c r="I2386" t="s">
        <v>1357</v>
      </c>
      <c r="J2386" t="s">
        <v>1357</v>
      </c>
      <c r="K2386" t="s">
        <v>1357</v>
      </c>
      <c r="L2386" t="s">
        <v>1357</v>
      </c>
    </row>
    <row r="2387" spans="6:12">
      <c r="H2387" t="s">
        <v>20235</v>
      </c>
      <c r="I2387" t="s">
        <v>1357</v>
      </c>
      <c r="J2387" t="s">
        <v>1357</v>
      </c>
      <c r="K2387" t="s">
        <v>1357</v>
      </c>
      <c r="L2387" t="s">
        <v>1357</v>
      </c>
    </row>
    <row r="2388" spans="6:12">
      <c r="H2388" t="s">
        <v>20284</v>
      </c>
      <c r="I2388" t="s">
        <v>1357</v>
      </c>
      <c r="J2388" t="s">
        <v>1357</v>
      </c>
      <c r="K2388" t="s">
        <v>1357</v>
      </c>
      <c r="L2388" t="s">
        <v>1357</v>
      </c>
    </row>
    <row r="2389" spans="6:12">
      <c r="H2389" t="s">
        <v>20285</v>
      </c>
      <c r="I2389" t="s">
        <v>1357</v>
      </c>
      <c r="J2389" t="s">
        <v>1357</v>
      </c>
      <c r="K2389" t="s">
        <v>1357</v>
      </c>
      <c r="L2389" t="s">
        <v>1357</v>
      </c>
    </row>
    <row r="2390" spans="6:12">
      <c r="H2390" t="s">
        <v>20286</v>
      </c>
      <c r="I2390" t="s">
        <v>1357</v>
      </c>
      <c r="J2390" t="s">
        <v>1357</v>
      </c>
      <c r="K2390" t="s">
        <v>1357</v>
      </c>
      <c r="L2390" t="s">
        <v>1357</v>
      </c>
    </row>
    <row r="2391" spans="6:12">
      <c r="H2391" t="s">
        <v>20287</v>
      </c>
      <c r="I2391" t="s">
        <v>1357</v>
      </c>
      <c r="J2391" t="s">
        <v>1357</v>
      </c>
      <c r="K2391" t="s">
        <v>1357</v>
      </c>
      <c r="L2391" t="s">
        <v>1357</v>
      </c>
    </row>
    <row r="2392" spans="6:12">
      <c r="H2392" t="s">
        <v>20288</v>
      </c>
      <c r="I2392" t="s">
        <v>1357</v>
      </c>
      <c r="J2392" t="s">
        <v>1357</v>
      </c>
      <c r="K2392" t="s">
        <v>1357</v>
      </c>
      <c r="L2392" t="s">
        <v>1357</v>
      </c>
    </row>
    <row r="2393" spans="6:12">
      <c r="F2393" t="s">
        <v>14902</v>
      </c>
      <c r="G2393" t="s">
        <v>17746</v>
      </c>
      <c r="H2393" t="s">
        <v>20280</v>
      </c>
      <c r="I2393" t="s">
        <v>1357</v>
      </c>
      <c r="J2393" t="s">
        <v>1357</v>
      </c>
      <c r="K2393" t="s">
        <v>1357</v>
      </c>
      <c r="L2393" t="s">
        <v>1357</v>
      </c>
    </row>
    <row r="2394" spans="6:12">
      <c r="H2394" t="s">
        <v>20233</v>
      </c>
      <c r="I2394" t="s">
        <v>1357</v>
      </c>
      <c r="J2394" t="s">
        <v>1357</v>
      </c>
      <c r="K2394" t="s">
        <v>1357</v>
      </c>
      <c r="L2394" t="s">
        <v>1357</v>
      </c>
    </row>
    <row r="2395" spans="6:12">
      <c r="H2395" t="s">
        <v>20284</v>
      </c>
      <c r="I2395" t="s">
        <v>1357</v>
      </c>
      <c r="J2395" t="s">
        <v>1357</v>
      </c>
      <c r="K2395" t="s">
        <v>1357</v>
      </c>
      <c r="L2395" t="s">
        <v>1357</v>
      </c>
    </row>
    <row r="2396" spans="6:12">
      <c r="H2396" t="s">
        <v>20285</v>
      </c>
      <c r="I2396" t="s">
        <v>1357</v>
      </c>
      <c r="J2396" t="s">
        <v>1357</v>
      </c>
      <c r="K2396" t="s">
        <v>1357</v>
      </c>
      <c r="L2396" t="s">
        <v>1357</v>
      </c>
    </row>
    <row r="2397" spans="6:12">
      <c r="H2397" t="s">
        <v>20286</v>
      </c>
      <c r="I2397" t="s">
        <v>1357</v>
      </c>
      <c r="J2397" t="s">
        <v>1357</v>
      </c>
      <c r="K2397" t="s">
        <v>1357</v>
      </c>
      <c r="L2397" t="s">
        <v>1357</v>
      </c>
    </row>
    <row r="2398" spans="6:12">
      <c r="H2398" t="s">
        <v>20287</v>
      </c>
      <c r="I2398" t="s">
        <v>1357</v>
      </c>
      <c r="J2398" t="s">
        <v>1357</v>
      </c>
      <c r="K2398" t="s">
        <v>1357</v>
      </c>
      <c r="L2398" t="s">
        <v>1357</v>
      </c>
    </row>
    <row r="2399" spans="6:12">
      <c r="H2399" t="s">
        <v>20230</v>
      </c>
      <c r="I2399" t="s">
        <v>1357</v>
      </c>
      <c r="J2399" t="s">
        <v>1357</v>
      </c>
      <c r="K2399" t="s">
        <v>1357</v>
      </c>
      <c r="L2399" t="s">
        <v>1357</v>
      </c>
    </row>
    <row r="2400" spans="6:12">
      <c r="H2400" t="s">
        <v>20227</v>
      </c>
      <c r="I2400" t="s">
        <v>1357</v>
      </c>
      <c r="J2400" t="s">
        <v>1357</v>
      </c>
      <c r="K2400" t="s">
        <v>1357</v>
      </c>
      <c r="L2400" t="s">
        <v>1357</v>
      </c>
    </row>
    <row r="2401" spans="6:12">
      <c r="H2401" t="s">
        <v>20288</v>
      </c>
      <c r="I2401" t="s">
        <v>1357</v>
      </c>
      <c r="J2401" t="s">
        <v>1357</v>
      </c>
      <c r="K2401" t="s">
        <v>1357</v>
      </c>
      <c r="L2401" t="s">
        <v>1357</v>
      </c>
    </row>
    <row r="2402" spans="6:12">
      <c r="H2402" t="s">
        <v>20289</v>
      </c>
      <c r="I2402" t="s">
        <v>1357</v>
      </c>
      <c r="J2402" t="s">
        <v>1357</v>
      </c>
      <c r="K2402" t="s">
        <v>1357</v>
      </c>
      <c r="L2402" t="s">
        <v>1357</v>
      </c>
    </row>
    <row r="2403" spans="6:12">
      <c r="H2403" t="s">
        <v>20290</v>
      </c>
      <c r="I2403" t="s">
        <v>1357</v>
      </c>
      <c r="J2403" t="s">
        <v>1357</v>
      </c>
      <c r="K2403" t="s">
        <v>1357</v>
      </c>
      <c r="L2403" t="s">
        <v>1357</v>
      </c>
    </row>
    <row r="2404" spans="6:12">
      <c r="H2404" t="s">
        <v>20291</v>
      </c>
      <c r="I2404" t="s">
        <v>1357</v>
      </c>
      <c r="J2404" t="s">
        <v>1357</v>
      </c>
      <c r="K2404" t="s">
        <v>1357</v>
      </c>
      <c r="L2404" t="s">
        <v>1357</v>
      </c>
    </row>
    <row r="2405" spans="6:12">
      <c r="F2405" t="s">
        <v>14903</v>
      </c>
      <c r="G2405" t="s">
        <v>17747</v>
      </c>
      <c r="H2405" t="s">
        <v>20280</v>
      </c>
      <c r="I2405" t="s">
        <v>1357</v>
      </c>
      <c r="J2405" t="s">
        <v>1357</v>
      </c>
      <c r="K2405" t="s">
        <v>1357</v>
      </c>
      <c r="L2405" t="s">
        <v>1357</v>
      </c>
    </row>
    <row r="2406" spans="6:12">
      <c r="H2406" t="s">
        <v>20233</v>
      </c>
      <c r="I2406" t="s">
        <v>1357</v>
      </c>
      <c r="J2406" t="s">
        <v>1357</v>
      </c>
      <c r="K2406" t="s">
        <v>1357</v>
      </c>
      <c r="L2406" t="s">
        <v>1357</v>
      </c>
    </row>
    <row r="2407" spans="6:12">
      <c r="H2407" t="s">
        <v>20284</v>
      </c>
      <c r="I2407" t="s">
        <v>1357</v>
      </c>
      <c r="J2407" t="s">
        <v>1357</v>
      </c>
      <c r="K2407" t="s">
        <v>1357</v>
      </c>
      <c r="L2407" t="s">
        <v>1357</v>
      </c>
    </row>
    <row r="2408" spans="6:12">
      <c r="H2408" t="s">
        <v>20285</v>
      </c>
      <c r="I2408" t="s">
        <v>1357</v>
      </c>
      <c r="J2408" t="s">
        <v>1357</v>
      </c>
      <c r="K2408" t="s">
        <v>1357</v>
      </c>
      <c r="L2408" t="s">
        <v>1357</v>
      </c>
    </row>
    <row r="2409" spans="6:12">
      <c r="H2409" t="s">
        <v>20286</v>
      </c>
      <c r="I2409" t="s">
        <v>1357</v>
      </c>
      <c r="J2409" t="s">
        <v>1357</v>
      </c>
      <c r="K2409" t="s">
        <v>1357</v>
      </c>
      <c r="L2409" t="s">
        <v>1357</v>
      </c>
    </row>
    <row r="2410" spans="6:12">
      <c r="H2410" t="s">
        <v>20287</v>
      </c>
      <c r="I2410" t="s">
        <v>1357</v>
      </c>
      <c r="J2410" t="s">
        <v>1357</v>
      </c>
      <c r="K2410" t="s">
        <v>1357</v>
      </c>
      <c r="L2410" t="s">
        <v>1357</v>
      </c>
    </row>
    <row r="2411" spans="6:12">
      <c r="F2411" t="s">
        <v>14904</v>
      </c>
      <c r="G2411" t="s">
        <v>17748</v>
      </c>
      <c r="H2411" t="s">
        <v>20280</v>
      </c>
      <c r="I2411" t="s">
        <v>1357</v>
      </c>
      <c r="J2411" t="s">
        <v>1357</v>
      </c>
      <c r="K2411" t="s">
        <v>1357</v>
      </c>
      <c r="L2411" t="s">
        <v>1357</v>
      </c>
    </row>
    <row r="2412" spans="6:12">
      <c r="H2412" t="s">
        <v>20233</v>
      </c>
      <c r="I2412" t="s">
        <v>1357</v>
      </c>
      <c r="J2412" t="s">
        <v>1357</v>
      </c>
      <c r="K2412" t="s">
        <v>1357</v>
      </c>
      <c r="L2412" t="s">
        <v>1357</v>
      </c>
    </row>
    <row r="2413" spans="6:12">
      <c r="H2413" t="s">
        <v>20284</v>
      </c>
      <c r="I2413" t="s">
        <v>1357</v>
      </c>
      <c r="J2413" t="s">
        <v>1357</v>
      </c>
      <c r="K2413" t="s">
        <v>1357</v>
      </c>
      <c r="L2413" t="s">
        <v>1357</v>
      </c>
    </row>
    <row r="2414" spans="6:12">
      <c r="H2414" t="s">
        <v>20285</v>
      </c>
      <c r="I2414" t="s">
        <v>1357</v>
      </c>
      <c r="J2414" t="s">
        <v>1357</v>
      </c>
      <c r="K2414" t="s">
        <v>1357</v>
      </c>
      <c r="L2414" t="s">
        <v>1357</v>
      </c>
    </row>
    <row r="2415" spans="6:12">
      <c r="H2415" t="s">
        <v>20286</v>
      </c>
      <c r="I2415" t="s">
        <v>1357</v>
      </c>
      <c r="J2415" t="s">
        <v>1357</v>
      </c>
      <c r="K2415" t="s">
        <v>1357</v>
      </c>
      <c r="L2415" t="s">
        <v>1357</v>
      </c>
    </row>
    <row r="2416" spans="6:12">
      <c r="H2416" t="s">
        <v>20287</v>
      </c>
      <c r="I2416" t="s">
        <v>1357</v>
      </c>
      <c r="J2416" t="s">
        <v>1357</v>
      </c>
      <c r="K2416" t="s">
        <v>1357</v>
      </c>
      <c r="L2416" t="s">
        <v>1357</v>
      </c>
    </row>
    <row r="2417" spans="6:12">
      <c r="F2417" t="s">
        <v>14905</v>
      </c>
      <c r="G2417" t="s">
        <v>17749</v>
      </c>
      <c r="H2417" t="s">
        <v>20280</v>
      </c>
      <c r="I2417" t="s">
        <v>1357</v>
      </c>
      <c r="J2417" t="s">
        <v>1357</v>
      </c>
      <c r="K2417" t="s">
        <v>1357</v>
      </c>
      <c r="L2417" t="s">
        <v>1357</v>
      </c>
    </row>
    <row r="2418" spans="6:12">
      <c r="H2418" t="s">
        <v>20233</v>
      </c>
      <c r="I2418" t="s">
        <v>1357</v>
      </c>
      <c r="J2418" t="s">
        <v>1357</v>
      </c>
      <c r="K2418" t="s">
        <v>1357</v>
      </c>
      <c r="L2418" t="s">
        <v>1357</v>
      </c>
    </row>
    <row r="2419" spans="6:12">
      <c r="H2419" t="s">
        <v>20284</v>
      </c>
      <c r="I2419" t="s">
        <v>1357</v>
      </c>
      <c r="J2419" t="s">
        <v>1357</v>
      </c>
      <c r="K2419" t="s">
        <v>1357</v>
      </c>
      <c r="L2419" t="s">
        <v>1357</v>
      </c>
    </row>
    <row r="2420" spans="6:12">
      <c r="H2420" t="s">
        <v>20285</v>
      </c>
      <c r="I2420" t="s">
        <v>1357</v>
      </c>
      <c r="J2420" t="s">
        <v>1357</v>
      </c>
      <c r="K2420" t="s">
        <v>1357</v>
      </c>
      <c r="L2420" t="s">
        <v>1357</v>
      </c>
    </row>
    <row r="2421" spans="6:12">
      <c r="H2421" t="s">
        <v>20286</v>
      </c>
      <c r="I2421" t="s">
        <v>1357</v>
      </c>
      <c r="J2421" t="s">
        <v>1357</v>
      </c>
      <c r="K2421" t="s">
        <v>1357</v>
      </c>
      <c r="L2421" t="s">
        <v>1357</v>
      </c>
    </row>
    <row r="2422" spans="6:12">
      <c r="H2422" t="s">
        <v>20287</v>
      </c>
      <c r="I2422" t="s">
        <v>1357</v>
      </c>
      <c r="J2422" t="s">
        <v>1357</v>
      </c>
      <c r="K2422" t="s">
        <v>1357</v>
      </c>
      <c r="L2422" t="s">
        <v>1357</v>
      </c>
    </row>
    <row r="2423" spans="6:12">
      <c r="F2423" t="s">
        <v>14906</v>
      </c>
      <c r="G2423" t="s">
        <v>17750</v>
      </c>
      <c r="H2423" t="s">
        <v>20280</v>
      </c>
      <c r="I2423" t="s">
        <v>1357</v>
      </c>
      <c r="J2423" t="s">
        <v>1357</v>
      </c>
      <c r="K2423" t="s">
        <v>1357</v>
      </c>
      <c r="L2423" t="s">
        <v>1357</v>
      </c>
    </row>
    <row r="2424" spans="6:12">
      <c r="H2424" t="s">
        <v>20233</v>
      </c>
      <c r="I2424" t="s">
        <v>1357</v>
      </c>
      <c r="J2424" t="s">
        <v>1357</v>
      </c>
      <c r="K2424" t="s">
        <v>1357</v>
      </c>
      <c r="L2424" t="s">
        <v>1357</v>
      </c>
    </row>
    <row r="2425" spans="6:12">
      <c r="H2425" t="s">
        <v>20284</v>
      </c>
      <c r="I2425" t="s">
        <v>1357</v>
      </c>
      <c r="J2425" t="s">
        <v>1357</v>
      </c>
      <c r="K2425" t="s">
        <v>1357</v>
      </c>
      <c r="L2425" t="s">
        <v>1357</v>
      </c>
    </row>
    <row r="2426" spans="6:12">
      <c r="H2426" t="s">
        <v>20285</v>
      </c>
      <c r="I2426" t="s">
        <v>1357</v>
      </c>
      <c r="J2426" t="s">
        <v>1357</v>
      </c>
      <c r="K2426" t="s">
        <v>1357</v>
      </c>
      <c r="L2426" t="s">
        <v>1357</v>
      </c>
    </row>
    <row r="2427" spans="6:12">
      <c r="H2427" t="s">
        <v>20286</v>
      </c>
      <c r="I2427" t="s">
        <v>1357</v>
      </c>
      <c r="J2427" t="s">
        <v>1357</v>
      </c>
      <c r="K2427" t="s">
        <v>1357</v>
      </c>
      <c r="L2427" t="s">
        <v>1357</v>
      </c>
    </row>
    <row r="2428" spans="6:12">
      <c r="H2428" t="s">
        <v>20287</v>
      </c>
      <c r="I2428" t="s">
        <v>1357</v>
      </c>
      <c r="J2428" t="s">
        <v>1357</v>
      </c>
      <c r="K2428" t="s">
        <v>1357</v>
      </c>
      <c r="L2428" t="s">
        <v>1357</v>
      </c>
    </row>
    <row r="2429" spans="6:12">
      <c r="F2429" t="s">
        <v>14907</v>
      </c>
      <c r="G2429" t="s">
        <v>17751</v>
      </c>
      <c r="H2429" t="s">
        <v>20280</v>
      </c>
      <c r="I2429" t="s">
        <v>1357</v>
      </c>
      <c r="J2429" t="s">
        <v>1357</v>
      </c>
      <c r="K2429" t="s">
        <v>1357</v>
      </c>
      <c r="L2429" t="s">
        <v>1357</v>
      </c>
    </row>
    <row r="2430" spans="6:12">
      <c r="H2430" t="s">
        <v>20233</v>
      </c>
      <c r="I2430" t="s">
        <v>1357</v>
      </c>
      <c r="J2430" t="s">
        <v>1357</v>
      </c>
      <c r="K2430" t="s">
        <v>1357</v>
      </c>
      <c r="L2430" t="s">
        <v>1357</v>
      </c>
    </row>
    <row r="2431" spans="6:12">
      <c r="H2431" t="s">
        <v>20230</v>
      </c>
      <c r="I2431" t="s">
        <v>1357</v>
      </c>
      <c r="J2431" t="s">
        <v>1357</v>
      </c>
      <c r="K2431" t="s">
        <v>1357</v>
      </c>
      <c r="L2431" t="s">
        <v>1357</v>
      </c>
    </row>
    <row r="2432" spans="6:12">
      <c r="H2432" t="s">
        <v>20296</v>
      </c>
      <c r="I2432" t="s">
        <v>1357</v>
      </c>
      <c r="J2432" t="s">
        <v>1357</v>
      </c>
      <c r="K2432" t="s">
        <v>1357</v>
      </c>
      <c r="L2432" t="s">
        <v>1357</v>
      </c>
    </row>
    <row r="2433" spans="6:12">
      <c r="H2433" t="s">
        <v>20297</v>
      </c>
      <c r="I2433" t="s">
        <v>1357</v>
      </c>
      <c r="J2433" t="s">
        <v>1357</v>
      </c>
      <c r="K2433" t="s">
        <v>1357</v>
      </c>
      <c r="L2433" t="s">
        <v>1357</v>
      </c>
    </row>
    <row r="2434" spans="6:12">
      <c r="H2434" t="s">
        <v>20234</v>
      </c>
      <c r="I2434" t="s">
        <v>1357</v>
      </c>
      <c r="J2434" t="s">
        <v>1357</v>
      </c>
      <c r="K2434" t="s">
        <v>1357</v>
      </c>
      <c r="L2434" t="s">
        <v>1357</v>
      </c>
    </row>
    <row r="2435" spans="6:12">
      <c r="H2435" t="s">
        <v>20235</v>
      </c>
      <c r="I2435" t="s">
        <v>1357</v>
      </c>
      <c r="J2435" t="s">
        <v>1357</v>
      </c>
      <c r="K2435" t="s">
        <v>1357</v>
      </c>
      <c r="L2435" t="s">
        <v>1357</v>
      </c>
    </row>
    <row r="2436" spans="6:12">
      <c r="H2436" t="s">
        <v>20298</v>
      </c>
      <c r="I2436" t="s">
        <v>1357</v>
      </c>
      <c r="J2436" t="s">
        <v>1357</v>
      </c>
      <c r="K2436" t="s">
        <v>1357</v>
      </c>
      <c r="L2436" t="s">
        <v>1357</v>
      </c>
    </row>
    <row r="2437" spans="6:12">
      <c r="H2437" t="s">
        <v>20299</v>
      </c>
      <c r="I2437" t="s">
        <v>1357</v>
      </c>
      <c r="J2437" t="s">
        <v>1357</v>
      </c>
      <c r="K2437" t="s">
        <v>1357</v>
      </c>
      <c r="L2437" t="s">
        <v>1357</v>
      </c>
    </row>
    <row r="2438" spans="6:12">
      <c r="H2438" t="s">
        <v>20284</v>
      </c>
      <c r="I2438" t="s">
        <v>1357</v>
      </c>
      <c r="J2438" t="s">
        <v>1357</v>
      </c>
      <c r="K2438" t="s">
        <v>1357</v>
      </c>
      <c r="L2438" t="s">
        <v>1357</v>
      </c>
    </row>
    <row r="2439" spans="6:12">
      <c r="H2439" t="s">
        <v>20285</v>
      </c>
      <c r="I2439" t="s">
        <v>1357</v>
      </c>
      <c r="J2439" t="s">
        <v>1357</v>
      </c>
      <c r="K2439" t="s">
        <v>1357</v>
      </c>
      <c r="L2439" t="s">
        <v>1357</v>
      </c>
    </row>
    <row r="2440" spans="6:12">
      <c r="H2440" t="s">
        <v>20286</v>
      </c>
      <c r="I2440" t="s">
        <v>1357</v>
      </c>
      <c r="J2440" t="s">
        <v>1357</v>
      </c>
      <c r="K2440" t="s">
        <v>1357</v>
      </c>
      <c r="L2440" t="s">
        <v>1357</v>
      </c>
    </row>
    <row r="2441" spans="6:12">
      <c r="H2441" t="s">
        <v>20287</v>
      </c>
      <c r="I2441" t="s">
        <v>1357</v>
      </c>
      <c r="J2441" t="s">
        <v>1357</v>
      </c>
      <c r="K2441" t="s">
        <v>1357</v>
      </c>
      <c r="L2441" t="s">
        <v>1357</v>
      </c>
    </row>
    <row r="2442" spans="6:12">
      <c r="H2442" t="s">
        <v>20288</v>
      </c>
      <c r="I2442" t="s">
        <v>1357</v>
      </c>
      <c r="J2442" t="s">
        <v>1357</v>
      </c>
      <c r="K2442" t="s">
        <v>1357</v>
      </c>
      <c r="L2442" t="s">
        <v>1357</v>
      </c>
    </row>
    <row r="2443" spans="6:12">
      <c r="F2443" t="s">
        <v>14908</v>
      </c>
      <c r="G2443" t="s">
        <v>17752</v>
      </c>
      <c r="H2443" t="s">
        <v>20280</v>
      </c>
      <c r="I2443" t="s">
        <v>1357</v>
      </c>
      <c r="J2443" t="s">
        <v>1357</v>
      </c>
      <c r="K2443" t="s">
        <v>1357</v>
      </c>
      <c r="L2443" t="s">
        <v>1357</v>
      </c>
    </row>
    <row r="2444" spans="6:12">
      <c r="H2444" t="s">
        <v>20233</v>
      </c>
      <c r="I2444" t="s">
        <v>1357</v>
      </c>
      <c r="J2444" t="s">
        <v>1357</v>
      </c>
      <c r="K2444" t="s">
        <v>1357</v>
      </c>
      <c r="L2444" t="s">
        <v>1357</v>
      </c>
    </row>
    <row r="2445" spans="6:12">
      <c r="H2445" t="s">
        <v>20230</v>
      </c>
      <c r="I2445" t="s">
        <v>1357</v>
      </c>
      <c r="J2445" t="s">
        <v>1357</v>
      </c>
      <c r="K2445" t="s">
        <v>1357</v>
      </c>
      <c r="L2445" t="s">
        <v>1357</v>
      </c>
    </row>
    <row r="2446" spans="6:12">
      <c r="H2446" t="s">
        <v>20227</v>
      </c>
      <c r="I2446" t="s">
        <v>1357</v>
      </c>
      <c r="J2446" t="s">
        <v>1357</v>
      </c>
      <c r="K2446" t="s">
        <v>1357</v>
      </c>
      <c r="L2446" t="s">
        <v>1357</v>
      </c>
    </row>
    <row r="2447" spans="6:12">
      <c r="H2447" t="s">
        <v>20228</v>
      </c>
      <c r="I2447" t="s">
        <v>1357</v>
      </c>
      <c r="J2447" t="s">
        <v>1357</v>
      </c>
      <c r="K2447" t="s">
        <v>1357</v>
      </c>
      <c r="L2447" t="s">
        <v>1357</v>
      </c>
    </row>
    <row r="2448" spans="6:12">
      <c r="H2448" t="s">
        <v>20232</v>
      </c>
      <c r="I2448" t="s">
        <v>1357</v>
      </c>
      <c r="J2448" t="s">
        <v>1357</v>
      </c>
      <c r="K2448" t="s">
        <v>1357</v>
      </c>
      <c r="L2448" t="s">
        <v>1357</v>
      </c>
    </row>
    <row r="2449" spans="6:12">
      <c r="H2449" t="s">
        <v>20296</v>
      </c>
      <c r="I2449" t="s">
        <v>1357</v>
      </c>
      <c r="J2449" t="s">
        <v>1357</v>
      </c>
      <c r="K2449" t="s">
        <v>1357</v>
      </c>
      <c r="L2449" t="s">
        <v>1357</v>
      </c>
    </row>
    <row r="2450" spans="6:12">
      <c r="H2450" t="s">
        <v>20297</v>
      </c>
      <c r="I2450" t="s">
        <v>1357</v>
      </c>
      <c r="J2450" t="s">
        <v>1357</v>
      </c>
      <c r="K2450" t="s">
        <v>1357</v>
      </c>
      <c r="L2450" t="s">
        <v>1357</v>
      </c>
    </row>
    <row r="2451" spans="6:12">
      <c r="H2451" t="s">
        <v>20234</v>
      </c>
      <c r="I2451" t="s">
        <v>1357</v>
      </c>
      <c r="J2451" t="s">
        <v>1357</v>
      </c>
      <c r="K2451" t="s">
        <v>1357</v>
      </c>
      <c r="L2451" t="s">
        <v>1357</v>
      </c>
    </row>
    <row r="2452" spans="6:12">
      <c r="H2452" t="s">
        <v>20235</v>
      </c>
      <c r="I2452" t="s">
        <v>1357</v>
      </c>
      <c r="J2452" t="s">
        <v>1357</v>
      </c>
      <c r="K2452" t="s">
        <v>1357</v>
      </c>
      <c r="L2452" t="s">
        <v>1357</v>
      </c>
    </row>
    <row r="2453" spans="6:12">
      <c r="H2453" t="s">
        <v>20284</v>
      </c>
      <c r="I2453" t="s">
        <v>1357</v>
      </c>
      <c r="J2453" t="s">
        <v>1357</v>
      </c>
      <c r="K2453" t="s">
        <v>1357</v>
      </c>
      <c r="L2453" t="s">
        <v>1357</v>
      </c>
    </row>
    <row r="2454" spans="6:12">
      <c r="H2454" t="s">
        <v>20285</v>
      </c>
      <c r="I2454" t="s">
        <v>1357</v>
      </c>
      <c r="J2454" t="s">
        <v>1357</v>
      </c>
      <c r="K2454" t="s">
        <v>1357</v>
      </c>
      <c r="L2454" t="s">
        <v>1357</v>
      </c>
    </row>
    <row r="2455" spans="6:12">
      <c r="H2455" t="s">
        <v>20286</v>
      </c>
      <c r="I2455" t="s">
        <v>1357</v>
      </c>
      <c r="J2455" t="s">
        <v>1357</v>
      </c>
      <c r="K2455" t="s">
        <v>1357</v>
      </c>
      <c r="L2455" t="s">
        <v>1357</v>
      </c>
    </row>
    <row r="2456" spans="6:12">
      <c r="H2456" t="s">
        <v>20287</v>
      </c>
      <c r="I2456" t="s">
        <v>1357</v>
      </c>
      <c r="J2456" t="s">
        <v>1357</v>
      </c>
      <c r="K2456" t="s">
        <v>1357</v>
      </c>
      <c r="L2456" t="s">
        <v>1357</v>
      </c>
    </row>
    <row r="2457" spans="6:12">
      <c r="H2457" t="s">
        <v>20288</v>
      </c>
      <c r="I2457" t="s">
        <v>1357</v>
      </c>
      <c r="J2457" t="s">
        <v>1357</v>
      </c>
      <c r="K2457" t="s">
        <v>1357</v>
      </c>
      <c r="L2457" t="s">
        <v>1357</v>
      </c>
    </row>
    <row r="2458" spans="6:12">
      <c r="F2458" t="s">
        <v>14909</v>
      </c>
      <c r="G2458" t="s">
        <v>17753</v>
      </c>
      <c r="H2458" t="s">
        <v>20280</v>
      </c>
      <c r="I2458" t="s">
        <v>1357</v>
      </c>
      <c r="J2458" t="s">
        <v>1357</v>
      </c>
      <c r="K2458" t="s">
        <v>1357</v>
      </c>
      <c r="L2458" t="s">
        <v>1357</v>
      </c>
    </row>
    <row r="2459" spans="6:12">
      <c r="H2459" t="s">
        <v>20233</v>
      </c>
      <c r="I2459" t="s">
        <v>1357</v>
      </c>
      <c r="J2459" t="s">
        <v>1357</v>
      </c>
      <c r="K2459" t="s">
        <v>1357</v>
      </c>
      <c r="L2459" t="s">
        <v>1357</v>
      </c>
    </row>
    <row r="2460" spans="6:12">
      <c r="H2460" t="s">
        <v>20230</v>
      </c>
      <c r="I2460" t="s">
        <v>1357</v>
      </c>
      <c r="J2460" t="s">
        <v>1357</v>
      </c>
      <c r="K2460" t="s">
        <v>1357</v>
      </c>
      <c r="L2460" t="s">
        <v>1357</v>
      </c>
    </row>
    <row r="2461" spans="6:12">
      <c r="H2461" t="s">
        <v>20296</v>
      </c>
      <c r="I2461" t="s">
        <v>1357</v>
      </c>
      <c r="J2461" t="s">
        <v>1357</v>
      </c>
      <c r="K2461" t="s">
        <v>1357</v>
      </c>
      <c r="L2461" t="s">
        <v>1357</v>
      </c>
    </row>
    <row r="2462" spans="6:12">
      <c r="H2462" t="s">
        <v>20297</v>
      </c>
      <c r="I2462" t="s">
        <v>1357</v>
      </c>
      <c r="J2462" t="s">
        <v>1357</v>
      </c>
      <c r="K2462" t="s">
        <v>1357</v>
      </c>
      <c r="L2462" t="s">
        <v>1357</v>
      </c>
    </row>
    <row r="2463" spans="6:12">
      <c r="H2463" t="s">
        <v>20234</v>
      </c>
      <c r="I2463" t="s">
        <v>1357</v>
      </c>
      <c r="J2463" t="s">
        <v>1357</v>
      </c>
      <c r="K2463" t="s">
        <v>1357</v>
      </c>
      <c r="L2463" t="s">
        <v>1357</v>
      </c>
    </row>
    <row r="2464" spans="6:12">
      <c r="H2464" t="s">
        <v>20284</v>
      </c>
      <c r="I2464" t="s">
        <v>1357</v>
      </c>
      <c r="J2464" t="s">
        <v>1357</v>
      </c>
      <c r="K2464" t="s">
        <v>1357</v>
      </c>
      <c r="L2464" t="s">
        <v>1357</v>
      </c>
    </row>
    <row r="2465" spans="6:12">
      <c r="H2465" t="s">
        <v>20285</v>
      </c>
      <c r="I2465" t="s">
        <v>1357</v>
      </c>
      <c r="J2465" t="s">
        <v>1357</v>
      </c>
      <c r="K2465" t="s">
        <v>1357</v>
      </c>
      <c r="L2465" t="s">
        <v>1357</v>
      </c>
    </row>
    <row r="2466" spans="6:12">
      <c r="H2466" t="s">
        <v>20286</v>
      </c>
      <c r="I2466" t="s">
        <v>1357</v>
      </c>
      <c r="J2466" t="s">
        <v>1357</v>
      </c>
      <c r="K2466" t="s">
        <v>1357</v>
      </c>
      <c r="L2466" t="s">
        <v>1357</v>
      </c>
    </row>
    <row r="2467" spans="6:12">
      <c r="H2467" t="s">
        <v>20287</v>
      </c>
      <c r="I2467" t="s">
        <v>1357</v>
      </c>
      <c r="J2467" t="s">
        <v>1357</v>
      </c>
      <c r="K2467" t="s">
        <v>1357</v>
      </c>
      <c r="L2467" t="s">
        <v>1357</v>
      </c>
    </row>
    <row r="2468" spans="6:12">
      <c r="H2468" t="s">
        <v>20288</v>
      </c>
      <c r="I2468" t="s">
        <v>1357</v>
      </c>
      <c r="J2468" t="s">
        <v>1357</v>
      </c>
      <c r="K2468" t="s">
        <v>1357</v>
      </c>
      <c r="L2468" t="s">
        <v>1357</v>
      </c>
    </row>
    <row r="2469" spans="6:12">
      <c r="F2469" t="s">
        <v>14910</v>
      </c>
      <c r="G2469" t="s">
        <v>17754</v>
      </c>
      <c r="H2469" t="s">
        <v>20280</v>
      </c>
      <c r="I2469" t="s">
        <v>1357</v>
      </c>
      <c r="J2469" t="s">
        <v>1357</v>
      </c>
      <c r="K2469" t="s">
        <v>1357</v>
      </c>
      <c r="L2469" t="s">
        <v>1357</v>
      </c>
    </row>
    <row r="2470" spans="6:12">
      <c r="H2470" t="s">
        <v>20233</v>
      </c>
      <c r="I2470" t="s">
        <v>1357</v>
      </c>
      <c r="J2470" t="s">
        <v>1357</v>
      </c>
      <c r="K2470" t="s">
        <v>1357</v>
      </c>
      <c r="L2470" t="s">
        <v>1357</v>
      </c>
    </row>
    <row r="2471" spans="6:12">
      <c r="H2471" t="s">
        <v>20281</v>
      </c>
      <c r="I2471" t="s">
        <v>1357</v>
      </c>
      <c r="J2471" t="s">
        <v>1357</v>
      </c>
      <c r="K2471" t="s">
        <v>1357</v>
      </c>
      <c r="L2471" t="s">
        <v>1357</v>
      </c>
    </row>
    <row r="2472" spans="6:12">
      <c r="H2472" t="s">
        <v>20284</v>
      </c>
      <c r="I2472" t="s">
        <v>1357</v>
      </c>
      <c r="J2472" t="s">
        <v>1357</v>
      </c>
      <c r="K2472" t="s">
        <v>1357</v>
      </c>
      <c r="L2472" t="s">
        <v>1357</v>
      </c>
    </row>
    <row r="2473" spans="6:12">
      <c r="H2473" t="s">
        <v>20285</v>
      </c>
      <c r="I2473" t="s">
        <v>1357</v>
      </c>
      <c r="J2473" t="s">
        <v>1357</v>
      </c>
      <c r="K2473" t="s">
        <v>1357</v>
      </c>
      <c r="L2473" t="s">
        <v>1357</v>
      </c>
    </row>
    <row r="2474" spans="6:12">
      <c r="F2474" t="s">
        <v>14911</v>
      </c>
      <c r="G2474" t="s">
        <v>17755</v>
      </c>
      <c r="H2474" t="s">
        <v>20281</v>
      </c>
      <c r="I2474" t="s">
        <v>1357</v>
      </c>
      <c r="J2474" t="s">
        <v>1357</v>
      </c>
      <c r="K2474" t="s">
        <v>1357</v>
      </c>
      <c r="L2474" t="s">
        <v>1357</v>
      </c>
    </row>
    <row r="2475" spans="6:12">
      <c r="H2475" t="s">
        <v>20282</v>
      </c>
      <c r="I2475" t="s">
        <v>1357</v>
      </c>
      <c r="J2475" t="s">
        <v>1357</v>
      </c>
      <c r="K2475" t="s">
        <v>1357</v>
      </c>
      <c r="L2475" t="s">
        <v>1357</v>
      </c>
    </row>
    <row r="2476" spans="6:12">
      <c r="H2476" t="s">
        <v>20283</v>
      </c>
      <c r="I2476" t="s">
        <v>1357</v>
      </c>
      <c r="J2476" t="s">
        <v>1357</v>
      </c>
      <c r="K2476" t="s">
        <v>1357</v>
      </c>
      <c r="L2476" t="s">
        <v>1357</v>
      </c>
    </row>
    <row r="2477" spans="6:12">
      <c r="H2477" t="s">
        <v>20284</v>
      </c>
      <c r="I2477" t="s">
        <v>1357</v>
      </c>
      <c r="J2477" t="s">
        <v>1357</v>
      </c>
      <c r="K2477" t="s">
        <v>1357</v>
      </c>
      <c r="L2477" t="s">
        <v>1357</v>
      </c>
    </row>
    <row r="2478" spans="6:12">
      <c r="H2478" t="s">
        <v>20285</v>
      </c>
      <c r="I2478" t="s">
        <v>1357</v>
      </c>
      <c r="J2478" t="s">
        <v>1357</v>
      </c>
      <c r="K2478" t="s">
        <v>1357</v>
      </c>
      <c r="L2478" t="s">
        <v>1357</v>
      </c>
    </row>
    <row r="2479" spans="6:12">
      <c r="F2479" t="s">
        <v>14912</v>
      </c>
      <c r="G2479" t="s">
        <v>17756</v>
      </c>
      <c r="H2479" t="s">
        <v>20280</v>
      </c>
      <c r="I2479" t="s">
        <v>1357</v>
      </c>
      <c r="J2479" t="s">
        <v>1357</v>
      </c>
      <c r="K2479" t="s">
        <v>1357</v>
      </c>
      <c r="L2479" t="s">
        <v>1357</v>
      </c>
    </row>
    <row r="2480" spans="6:12">
      <c r="H2480" t="s">
        <v>20233</v>
      </c>
      <c r="I2480" t="s">
        <v>1357</v>
      </c>
      <c r="J2480" t="s">
        <v>1357</v>
      </c>
      <c r="K2480" t="s">
        <v>1357</v>
      </c>
      <c r="L2480" t="s">
        <v>1357</v>
      </c>
    </row>
    <row r="2481" spans="6:12">
      <c r="H2481" t="s">
        <v>20230</v>
      </c>
      <c r="I2481" t="s">
        <v>1357</v>
      </c>
      <c r="J2481" t="s">
        <v>1357</v>
      </c>
      <c r="K2481" t="s">
        <v>1357</v>
      </c>
      <c r="L2481" t="s">
        <v>1357</v>
      </c>
    </row>
    <row r="2482" spans="6:12">
      <c r="H2482" t="s">
        <v>20281</v>
      </c>
      <c r="I2482" t="s">
        <v>1357</v>
      </c>
      <c r="J2482" t="s">
        <v>1357</v>
      </c>
      <c r="K2482" t="s">
        <v>1357</v>
      </c>
      <c r="L2482" t="s">
        <v>1357</v>
      </c>
    </row>
    <row r="2483" spans="6:12">
      <c r="H2483" t="s">
        <v>20282</v>
      </c>
      <c r="I2483" t="s">
        <v>1357</v>
      </c>
      <c r="J2483" t="s">
        <v>1357</v>
      </c>
      <c r="K2483" t="s">
        <v>1357</v>
      </c>
      <c r="L2483" t="s">
        <v>1357</v>
      </c>
    </row>
    <row r="2484" spans="6:12">
      <c r="H2484" t="s">
        <v>20283</v>
      </c>
      <c r="I2484" t="s">
        <v>1357</v>
      </c>
      <c r="J2484" t="s">
        <v>1357</v>
      </c>
      <c r="K2484" t="s">
        <v>1357</v>
      </c>
      <c r="L2484" t="s">
        <v>1357</v>
      </c>
    </row>
    <row r="2485" spans="6:12">
      <c r="H2485" t="s">
        <v>20284</v>
      </c>
      <c r="I2485" t="s">
        <v>1357</v>
      </c>
      <c r="J2485" t="s">
        <v>1357</v>
      </c>
      <c r="K2485" t="s">
        <v>1357</v>
      </c>
      <c r="L2485" t="s">
        <v>1357</v>
      </c>
    </row>
    <row r="2486" spans="6:12">
      <c r="H2486" t="s">
        <v>20285</v>
      </c>
      <c r="I2486" t="s">
        <v>1357</v>
      </c>
      <c r="J2486" t="s">
        <v>1357</v>
      </c>
      <c r="K2486" t="s">
        <v>1357</v>
      </c>
      <c r="L2486" t="s">
        <v>1357</v>
      </c>
    </row>
    <row r="2487" spans="6:12">
      <c r="H2487" t="s">
        <v>20286</v>
      </c>
      <c r="I2487" t="s">
        <v>1357</v>
      </c>
      <c r="J2487" t="s">
        <v>1357</v>
      </c>
      <c r="K2487" t="s">
        <v>1357</v>
      </c>
      <c r="L2487" t="s">
        <v>1357</v>
      </c>
    </row>
    <row r="2488" spans="6:12">
      <c r="H2488" t="s">
        <v>20287</v>
      </c>
      <c r="I2488" t="s">
        <v>1357</v>
      </c>
      <c r="J2488" t="s">
        <v>1357</v>
      </c>
      <c r="K2488" t="s">
        <v>1357</v>
      </c>
      <c r="L2488" t="s">
        <v>1357</v>
      </c>
    </row>
    <row r="2489" spans="6:12">
      <c r="H2489" t="s">
        <v>20288</v>
      </c>
      <c r="I2489" t="s">
        <v>1357</v>
      </c>
      <c r="J2489" t="s">
        <v>1357</v>
      </c>
      <c r="K2489" t="s">
        <v>1357</v>
      </c>
      <c r="L2489" t="s">
        <v>1357</v>
      </c>
    </row>
    <row r="2490" spans="6:12">
      <c r="H2490" t="s">
        <v>20289</v>
      </c>
      <c r="I2490" t="s">
        <v>1357</v>
      </c>
      <c r="J2490" t="s">
        <v>1357</v>
      </c>
      <c r="K2490" t="s">
        <v>1357</v>
      </c>
      <c r="L2490" t="s">
        <v>1357</v>
      </c>
    </row>
    <row r="2491" spans="6:12">
      <c r="F2491" t="s">
        <v>14913</v>
      </c>
      <c r="G2491" t="s">
        <v>17757</v>
      </c>
      <c r="H2491" t="s">
        <v>20280</v>
      </c>
      <c r="I2491" t="s">
        <v>1357</v>
      </c>
      <c r="J2491" t="s">
        <v>1357</v>
      </c>
      <c r="K2491" t="s">
        <v>1357</v>
      </c>
      <c r="L2491" t="s">
        <v>1357</v>
      </c>
    </row>
    <row r="2492" spans="6:12">
      <c r="H2492" t="s">
        <v>20233</v>
      </c>
      <c r="I2492" t="s">
        <v>1357</v>
      </c>
      <c r="J2492" t="s">
        <v>1357</v>
      </c>
      <c r="K2492" t="s">
        <v>1357</v>
      </c>
      <c r="L2492" t="s">
        <v>1357</v>
      </c>
    </row>
    <row r="2493" spans="6:12">
      <c r="H2493" t="s">
        <v>20281</v>
      </c>
      <c r="I2493" t="s">
        <v>1357</v>
      </c>
      <c r="J2493" t="s">
        <v>1357</v>
      </c>
      <c r="K2493" t="s">
        <v>1357</v>
      </c>
      <c r="L2493" t="s">
        <v>1357</v>
      </c>
    </row>
    <row r="2494" spans="6:12">
      <c r="H2494" t="s">
        <v>20296</v>
      </c>
      <c r="I2494" t="s">
        <v>1357</v>
      </c>
      <c r="J2494" t="s">
        <v>1357</v>
      </c>
      <c r="K2494" t="s">
        <v>1357</v>
      </c>
      <c r="L2494" t="s">
        <v>1357</v>
      </c>
    </row>
    <row r="2495" spans="6:12">
      <c r="H2495" t="s">
        <v>20284</v>
      </c>
      <c r="I2495" t="s">
        <v>1357</v>
      </c>
      <c r="J2495" t="s">
        <v>1357</v>
      </c>
      <c r="K2495" t="s">
        <v>1357</v>
      </c>
      <c r="L2495" t="s">
        <v>1357</v>
      </c>
    </row>
    <row r="2496" spans="6:12">
      <c r="H2496" t="s">
        <v>20285</v>
      </c>
      <c r="I2496" t="s">
        <v>1357</v>
      </c>
      <c r="J2496" t="s">
        <v>1357</v>
      </c>
      <c r="K2496" t="s">
        <v>1357</v>
      </c>
      <c r="L2496" t="s">
        <v>1357</v>
      </c>
    </row>
    <row r="2497" spans="6:12">
      <c r="H2497" t="s">
        <v>20286</v>
      </c>
      <c r="I2497" t="s">
        <v>1357</v>
      </c>
      <c r="J2497" t="s">
        <v>1357</v>
      </c>
      <c r="K2497" t="s">
        <v>1357</v>
      </c>
      <c r="L2497" t="s">
        <v>1357</v>
      </c>
    </row>
    <row r="2498" spans="6:12">
      <c r="H2498" t="s">
        <v>20287</v>
      </c>
      <c r="I2498" t="s">
        <v>1357</v>
      </c>
      <c r="J2498" t="s">
        <v>1357</v>
      </c>
      <c r="K2498" t="s">
        <v>1357</v>
      </c>
      <c r="L2498" t="s">
        <v>1357</v>
      </c>
    </row>
    <row r="2499" spans="6:12">
      <c r="F2499" t="s">
        <v>14914</v>
      </c>
      <c r="G2499" t="s">
        <v>17758</v>
      </c>
      <c r="H2499" t="s">
        <v>20280</v>
      </c>
      <c r="I2499" t="s">
        <v>1357</v>
      </c>
      <c r="J2499" t="s">
        <v>1357</v>
      </c>
      <c r="K2499" t="s">
        <v>1357</v>
      </c>
      <c r="L2499" t="s">
        <v>1357</v>
      </c>
    </row>
    <row r="2500" spans="6:12">
      <c r="F2500" t="s">
        <v>14915</v>
      </c>
      <c r="G2500" t="s">
        <v>17759</v>
      </c>
      <c r="H2500" t="s">
        <v>20280</v>
      </c>
      <c r="I2500" t="s">
        <v>1357</v>
      </c>
      <c r="J2500" t="s">
        <v>1357</v>
      </c>
      <c r="K2500" t="s">
        <v>1357</v>
      </c>
      <c r="L2500" t="s">
        <v>1357</v>
      </c>
    </row>
    <row r="2501" spans="6:12">
      <c r="H2501" t="s">
        <v>20233</v>
      </c>
      <c r="I2501" t="s">
        <v>1357</v>
      </c>
      <c r="J2501" t="s">
        <v>1357</v>
      </c>
      <c r="K2501" t="s">
        <v>1357</v>
      </c>
      <c r="L2501" t="s">
        <v>1357</v>
      </c>
    </row>
    <row r="2502" spans="6:12">
      <c r="H2502" t="s">
        <v>20230</v>
      </c>
      <c r="I2502" t="s">
        <v>1357</v>
      </c>
      <c r="J2502" t="s">
        <v>1357</v>
      </c>
      <c r="K2502" t="s">
        <v>1357</v>
      </c>
      <c r="L2502" t="s">
        <v>1357</v>
      </c>
    </row>
    <row r="2503" spans="6:12">
      <c r="H2503" t="s">
        <v>20284</v>
      </c>
      <c r="I2503" t="s">
        <v>1357</v>
      </c>
      <c r="J2503" t="s">
        <v>1357</v>
      </c>
      <c r="K2503" t="s">
        <v>1357</v>
      </c>
      <c r="L2503" t="s">
        <v>1357</v>
      </c>
    </row>
    <row r="2504" spans="6:12">
      <c r="H2504" t="s">
        <v>20285</v>
      </c>
      <c r="I2504" t="s">
        <v>1357</v>
      </c>
      <c r="J2504" t="s">
        <v>1357</v>
      </c>
      <c r="K2504" t="s">
        <v>1357</v>
      </c>
      <c r="L2504" t="s">
        <v>1357</v>
      </c>
    </row>
    <row r="2505" spans="6:12">
      <c r="H2505" t="s">
        <v>20286</v>
      </c>
      <c r="I2505" t="s">
        <v>1357</v>
      </c>
      <c r="J2505" t="s">
        <v>1357</v>
      </c>
      <c r="K2505" t="s">
        <v>1357</v>
      </c>
      <c r="L2505" t="s">
        <v>1357</v>
      </c>
    </row>
    <row r="2506" spans="6:12">
      <c r="F2506" t="s">
        <v>14916</v>
      </c>
      <c r="G2506" t="s">
        <v>17760</v>
      </c>
      <c r="H2506" t="s">
        <v>20280</v>
      </c>
      <c r="I2506" t="s">
        <v>1357</v>
      </c>
      <c r="J2506" t="s">
        <v>1357</v>
      </c>
      <c r="K2506" t="s">
        <v>1357</v>
      </c>
      <c r="L2506" t="s">
        <v>1357</v>
      </c>
    </row>
    <row r="2507" spans="6:12">
      <c r="H2507" t="s">
        <v>20233</v>
      </c>
      <c r="I2507" t="s">
        <v>1357</v>
      </c>
      <c r="J2507" t="s">
        <v>1357</v>
      </c>
      <c r="K2507" t="s">
        <v>1357</v>
      </c>
      <c r="L2507" t="s">
        <v>1357</v>
      </c>
    </row>
    <row r="2508" spans="6:12">
      <c r="H2508" t="s">
        <v>20230</v>
      </c>
      <c r="I2508" t="s">
        <v>1357</v>
      </c>
      <c r="J2508" t="s">
        <v>1357</v>
      </c>
      <c r="K2508" t="s">
        <v>1357</v>
      </c>
      <c r="L2508" t="s">
        <v>1357</v>
      </c>
    </row>
    <row r="2509" spans="6:12">
      <c r="H2509" t="s">
        <v>20227</v>
      </c>
      <c r="I2509" t="s">
        <v>1357</v>
      </c>
      <c r="J2509" t="s">
        <v>1357</v>
      </c>
      <c r="K2509" t="s">
        <v>1357</v>
      </c>
      <c r="L2509" t="s">
        <v>1357</v>
      </c>
    </row>
    <row r="2510" spans="6:12">
      <c r="H2510" t="s">
        <v>20281</v>
      </c>
      <c r="I2510" t="s">
        <v>1357</v>
      </c>
      <c r="J2510" t="s">
        <v>1357</v>
      </c>
      <c r="K2510" t="s">
        <v>1357</v>
      </c>
      <c r="L2510" t="s">
        <v>1357</v>
      </c>
    </row>
    <row r="2511" spans="6:12">
      <c r="H2511" t="s">
        <v>20282</v>
      </c>
      <c r="I2511" t="s">
        <v>1357</v>
      </c>
      <c r="J2511" t="s">
        <v>1357</v>
      </c>
      <c r="K2511" t="s">
        <v>1357</v>
      </c>
      <c r="L2511" t="s">
        <v>1357</v>
      </c>
    </row>
    <row r="2512" spans="6:12">
      <c r="H2512" t="s">
        <v>20284</v>
      </c>
      <c r="I2512" t="s">
        <v>1357</v>
      </c>
      <c r="J2512" t="s">
        <v>1357</v>
      </c>
      <c r="K2512" t="s">
        <v>1357</v>
      </c>
      <c r="L2512" t="s">
        <v>1357</v>
      </c>
    </row>
    <row r="2513" spans="6:12">
      <c r="H2513" t="s">
        <v>20285</v>
      </c>
      <c r="I2513" t="s">
        <v>1357</v>
      </c>
      <c r="J2513" t="s">
        <v>1357</v>
      </c>
      <c r="K2513" t="s">
        <v>1357</v>
      </c>
      <c r="L2513" t="s">
        <v>1357</v>
      </c>
    </row>
    <row r="2514" spans="6:12">
      <c r="H2514" t="s">
        <v>20286</v>
      </c>
      <c r="I2514" t="s">
        <v>1357</v>
      </c>
      <c r="J2514" t="s">
        <v>1357</v>
      </c>
      <c r="K2514" t="s">
        <v>1357</v>
      </c>
      <c r="L2514" t="s">
        <v>1357</v>
      </c>
    </row>
    <row r="2515" spans="6:12">
      <c r="H2515" t="s">
        <v>20287</v>
      </c>
      <c r="I2515" t="s">
        <v>1357</v>
      </c>
      <c r="J2515" t="s">
        <v>1357</v>
      </c>
      <c r="K2515" t="s">
        <v>1357</v>
      </c>
      <c r="L2515" t="s">
        <v>1357</v>
      </c>
    </row>
    <row r="2516" spans="6:12">
      <c r="F2516" t="s">
        <v>14917</v>
      </c>
      <c r="G2516" t="s">
        <v>17761</v>
      </c>
      <c r="H2516" t="s">
        <v>20280</v>
      </c>
      <c r="I2516" t="s">
        <v>1357</v>
      </c>
      <c r="J2516" t="s">
        <v>1357</v>
      </c>
      <c r="K2516" t="s">
        <v>1357</v>
      </c>
      <c r="L2516" t="s">
        <v>1357</v>
      </c>
    </row>
    <row r="2517" spans="6:12">
      <c r="H2517" t="s">
        <v>20281</v>
      </c>
      <c r="I2517" t="s">
        <v>1357</v>
      </c>
      <c r="J2517" t="s">
        <v>1357</v>
      </c>
      <c r="K2517" t="s">
        <v>1357</v>
      </c>
      <c r="L2517" t="s">
        <v>1357</v>
      </c>
    </row>
    <row r="2518" spans="6:12">
      <c r="H2518" t="s">
        <v>20282</v>
      </c>
      <c r="I2518" t="s">
        <v>1357</v>
      </c>
      <c r="J2518" t="s">
        <v>1357</v>
      </c>
      <c r="K2518" t="s">
        <v>1357</v>
      </c>
      <c r="L2518" t="s">
        <v>1357</v>
      </c>
    </row>
    <row r="2519" spans="6:12">
      <c r="H2519" t="s">
        <v>20283</v>
      </c>
      <c r="I2519" t="s">
        <v>1357</v>
      </c>
      <c r="J2519" t="s">
        <v>1357</v>
      </c>
      <c r="K2519" t="s">
        <v>1357</v>
      </c>
      <c r="L2519" t="s">
        <v>1357</v>
      </c>
    </row>
    <row r="2520" spans="6:12">
      <c r="H2520" t="s">
        <v>20292</v>
      </c>
      <c r="I2520" t="s">
        <v>1357</v>
      </c>
      <c r="J2520" t="s">
        <v>1357</v>
      </c>
      <c r="K2520" t="s">
        <v>1357</v>
      </c>
      <c r="L2520" t="s">
        <v>1357</v>
      </c>
    </row>
    <row r="2521" spans="6:12">
      <c r="H2521" t="s">
        <v>20305</v>
      </c>
      <c r="I2521" t="s">
        <v>1357</v>
      </c>
      <c r="J2521" t="s">
        <v>1357</v>
      </c>
      <c r="K2521" t="s">
        <v>1357</v>
      </c>
      <c r="L2521" t="s">
        <v>1357</v>
      </c>
    </row>
    <row r="2522" spans="6:12">
      <c r="H2522" t="s">
        <v>20284</v>
      </c>
      <c r="I2522" t="s">
        <v>1357</v>
      </c>
      <c r="J2522" t="s">
        <v>1357</v>
      </c>
      <c r="K2522" t="s">
        <v>1357</v>
      </c>
      <c r="L2522" t="s">
        <v>1357</v>
      </c>
    </row>
    <row r="2523" spans="6:12">
      <c r="H2523" t="s">
        <v>20285</v>
      </c>
      <c r="I2523" t="s">
        <v>1357</v>
      </c>
      <c r="J2523" t="s">
        <v>1357</v>
      </c>
      <c r="K2523" t="s">
        <v>1357</v>
      </c>
      <c r="L2523" t="s">
        <v>1357</v>
      </c>
    </row>
    <row r="2524" spans="6:12">
      <c r="H2524" t="s">
        <v>20286</v>
      </c>
      <c r="I2524" t="s">
        <v>1357</v>
      </c>
      <c r="J2524" t="s">
        <v>1357</v>
      </c>
      <c r="K2524" t="s">
        <v>1357</v>
      </c>
      <c r="L2524" t="s">
        <v>1357</v>
      </c>
    </row>
    <row r="2525" spans="6:12">
      <c r="H2525" t="s">
        <v>20287</v>
      </c>
      <c r="I2525" t="s">
        <v>1357</v>
      </c>
      <c r="J2525" t="s">
        <v>1357</v>
      </c>
      <c r="K2525" t="s">
        <v>1357</v>
      </c>
      <c r="L2525" t="s">
        <v>1357</v>
      </c>
    </row>
    <row r="2526" spans="6:12">
      <c r="F2526" t="s">
        <v>14918</v>
      </c>
      <c r="G2526" t="s">
        <v>17762</v>
      </c>
      <c r="H2526" t="s">
        <v>20280</v>
      </c>
      <c r="I2526" t="s">
        <v>1357</v>
      </c>
      <c r="J2526" t="s">
        <v>1357</v>
      </c>
      <c r="K2526" t="s">
        <v>1357</v>
      </c>
      <c r="L2526" t="s">
        <v>1357</v>
      </c>
    </row>
    <row r="2527" spans="6:12">
      <c r="H2527" t="s">
        <v>20233</v>
      </c>
      <c r="I2527" t="s">
        <v>1357</v>
      </c>
      <c r="J2527" t="s">
        <v>1357</v>
      </c>
      <c r="K2527" t="s">
        <v>1357</v>
      </c>
      <c r="L2527" t="s">
        <v>1357</v>
      </c>
    </row>
    <row r="2528" spans="6:12">
      <c r="H2528" t="s">
        <v>20281</v>
      </c>
      <c r="I2528" t="s">
        <v>1357</v>
      </c>
      <c r="J2528" t="s">
        <v>1357</v>
      </c>
      <c r="K2528" t="s">
        <v>1357</v>
      </c>
      <c r="L2528" t="s">
        <v>1357</v>
      </c>
    </row>
    <row r="2529" spans="6:12">
      <c r="H2529" t="s">
        <v>20282</v>
      </c>
      <c r="I2529" t="s">
        <v>1357</v>
      </c>
      <c r="J2529" t="s">
        <v>1357</v>
      </c>
      <c r="K2529" t="s">
        <v>1357</v>
      </c>
      <c r="L2529" t="s">
        <v>1357</v>
      </c>
    </row>
    <row r="2530" spans="6:12">
      <c r="H2530" t="s">
        <v>20284</v>
      </c>
      <c r="I2530" t="s">
        <v>1357</v>
      </c>
      <c r="J2530" t="s">
        <v>1357</v>
      </c>
      <c r="K2530" t="s">
        <v>1357</v>
      </c>
      <c r="L2530" t="s">
        <v>1357</v>
      </c>
    </row>
    <row r="2531" spans="6:12">
      <c r="H2531" t="s">
        <v>20285</v>
      </c>
      <c r="I2531" t="s">
        <v>1357</v>
      </c>
      <c r="J2531" t="s">
        <v>1357</v>
      </c>
      <c r="K2531" t="s">
        <v>1357</v>
      </c>
      <c r="L2531" t="s">
        <v>1357</v>
      </c>
    </row>
    <row r="2532" spans="6:12">
      <c r="F2532" t="s">
        <v>14919</v>
      </c>
      <c r="G2532" t="s">
        <v>17763</v>
      </c>
      <c r="H2532" t="s">
        <v>20280</v>
      </c>
      <c r="I2532" t="s">
        <v>1357</v>
      </c>
      <c r="J2532" t="s">
        <v>1357</v>
      </c>
      <c r="K2532" t="s">
        <v>1357</v>
      </c>
      <c r="L2532" t="s">
        <v>1357</v>
      </c>
    </row>
    <row r="2533" spans="6:12">
      <c r="H2533" t="s">
        <v>20233</v>
      </c>
      <c r="I2533" t="s">
        <v>1357</v>
      </c>
      <c r="J2533" t="s">
        <v>1357</v>
      </c>
      <c r="K2533" t="s">
        <v>1357</v>
      </c>
      <c r="L2533" t="s">
        <v>1357</v>
      </c>
    </row>
    <row r="2534" spans="6:12">
      <c r="H2534" t="s">
        <v>20284</v>
      </c>
      <c r="I2534" t="s">
        <v>1357</v>
      </c>
      <c r="J2534" t="s">
        <v>1357</v>
      </c>
      <c r="K2534" t="s">
        <v>1357</v>
      </c>
      <c r="L2534" t="s">
        <v>1357</v>
      </c>
    </row>
    <row r="2535" spans="6:12">
      <c r="H2535" t="s">
        <v>20285</v>
      </c>
      <c r="I2535" t="s">
        <v>1357</v>
      </c>
      <c r="J2535" t="s">
        <v>1357</v>
      </c>
      <c r="K2535" t="s">
        <v>1357</v>
      </c>
      <c r="L2535" t="s">
        <v>1357</v>
      </c>
    </row>
    <row r="2536" spans="6:12">
      <c r="F2536" t="s">
        <v>14920</v>
      </c>
      <c r="G2536" t="s">
        <v>17764</v>
      </c>
      <c r="H2536" t="s">
        <v>20280</v>
      </c>
      <c r="I2536" t="s">
        <v>1357</v>
      </c>
      <c r="J2536" t="s">
        <v>1357</v>
      </c>
      <c r="K2536" t="s">
        <v>1357</v>
      </c>
      <c r="L2536" t="s">
        <v>1357</v>
      </c>
    </row>
    <row r="2537" spans="6:12">
      <c r="H2537" t="s">
        <v>20233</v>
      </c>
      <c r="I2537" t="s">
        <v>1357</v>
      </c>
      <c r="J2537" t="s">
        <v>1357</v>
      </c>
      <c r="K2537" t="s">
        <v>1357</v>
      </c>
      <c r="L2537" t="s">
        <v>1357</v>
      </c>
    </row>
    <row r="2538" spans="6:12">
      <c r="H2538" t="s">
        <v>20284</v>
      </c>
      <c r="I2538" t="s">
        <v>1357</v>
      </c>
      <c r="J2538" t="s">
        <v>1357</v>
      </c>
      <c r="K2538" t="s">
        <v>1357</v>
      </c>
      <c r="L2538" t="s">
        <v>1357</v>
      </c>
    </row>
    <row r="2539" spans="6:12">
      <c r="H2539" t="s">
        <v>20285</v>
      </c>
      <c r="I2539" t="s">
        <v>1357</v>
      </c>
      <c r="J2539" t="s">
        <v>1357</v>
      </c>
      <c r="K2539" t="s">
        <v>1357</v>
      </c>
      <c r="L2539" t="s">
        <v>1357</v>
      </c>
    </row>
    <row r="2540" spans="6:12">
      <c r="F2540" t="s">
        <v>14921</v>
      </c>
      <c r="G2540" t="s">
        <v>17765</v>
      </c>
      <c r="H2540" t="s">
        <v>20280</v>
      </c>
      <c r="I2540" t="s">
        <v>1357</v>
      </c>
      <c r="J2540" t="s">
        <v>1357</v>
      </c>
      <c r="K2540" t="s">
        <v>1357</v>
      </c>
      <c r="L2540" t="s">
        <v>1357</v>
      </c>
    </row>
    <row r="2541" spans="6:12">
      <c r="H2541" t="s">
        <v>20233</v>
      </c>
      <c r="I2541" t="s">
        <v>1357</v>
      </c>
      <c r="J2541" t="s">
        <v>1357</v>
      </c>
      <c r="K2541" t="s">
        <v>1357</v>
      </c>
      <c r="L2541" t="s">
        <v>1357</v>
      </c>
    </row>
    <row r="2542" spans="6:12">
      <c r="H2542" t="s">
        <v>20230</v>
      </c>
      <c r="I2542" t="s">
        <v>1357</v>
      </c>
      <c r="J2542" t="s">
        <v>1357</v>
      </c>
      <c r="K2542" t="s">
        <v>1357</v>
      </c>
      <c r="L2542" t="s">
        <v>1357</v>
      </c>
    </row>
    <row r="2543" spans="6:12">
      <c r="H2543" t="s">
        <v>20227</v>
      </c>
      <c r="I2543" t="s">
        <v>1357</v>
      </c>
      <c r="J2543" t="s">
        <v>1357</v>
      </c>
      <c r="K2543" t="s">
        <v>1357</v>
      </c>
      <c r="L2543" t="s">
        <v>1357</v>
      </c>
    </row>
    <row r="2544" spans="6:12">
      <c r="H2544" t="s">
        <v>20228</v>
      </c>
      <c r="I2544" t="s">
        <v>1357</v>
      </c>
      <c r="J2544" t="s">
        <v>1357</v>
      </c>
      <c r="K2544" t="s">
        <v>1357</v>
      </c>
      <c r="L2544" t="s">
        <v>1357</v>
      </c>
    </row>
    <row r="2545" spans="6:12">
      <c r="H2545" t="s">
        <v>20232</v>
      </c>
      <c r="I2545" t="s">
        <v>1357</v>
      </c>
      <c r="J2545" t="s">
        <v>1357</v>
      </c>
      <c r="K2545" t="s">
        <v>1357</v>
      </c>
      <c r="L2545" t="s">
        <v>1357</v>
      </c>
    </row>
    <row r="2546" spans="6:12">
      <c r="H2546" t="s">
        <v>20281</v>
      </c>
      <c r="I2546" t="s">
        <v>1357</v>
      </c>
      <c r="J2546" t="s">
        <v>1357</v>
      </c>
      <c r="K2546" t="s">
        <v>1357</v>
      </c>
      <c r="L2546" t="s">
        <v>1357</v>
      </c>
    </row>
    <row r="2547" spans="6:12">
      <c r="H2547" t="s">
        <v>20282</v>
      </c>
      <c r="I2547" t="s">
        <v>1357</v>
      </c>
      <c r="J2547" t="s">
        <v>1357</v>
      </c>
      <c r="K2547" t="s">
        <v>1357</v>
      </c>
      <c r="L2547" t="s">
        <v>1357</v>
      </c>
    </row>
    <row r="2548" spans="6:12">
      <c r="H2548" t="s">
        <v>20283</v>
      </c>
      <c r="I2548" t="s">
        <v>1357</v>
      </c>
      <c r="J2548" t="s">
        <v>1357</v>
      </c>
      <c r="K2548" t="s">
        <v>1357</v>
      </c>
      <c r="L2548" t="s">
        <v>1357</v>
      </c>
    </row>
    <row r="2549" spans="6:12">
      <c r="H2549" t="s">
        <v>20292</v>
      </c>
      <c r="I2549" t="s">
        <v>1357</v>
      </c>
      <c r="J2549" t="s">
        <v>1357</v>
      </c>
      <c r="K2549" t="s">
        <v>1357</v>
      </c>
      <c r="L2549" t="s">
        <v>1357</v>
      </c>
    </row>
    <row r="2550" spans="6:12">
      <c r="H2550" t="s">
        <v>20305</v>
      </c>
      <c r="I2550" t="s">
        <v>1357</v>
      </c>
      <c r="J2550" t="s">
        <v>1357</v>
      </c>
      <c r="K2550" t="s">
        <v>1357</v>
      </c>
      <c r="L2550" t="s">
        <v>1357</v>
      </c>
    </row>
    <row r="2551" spans="6:12">
      <c r="H2551" t="s">
        <v>20306</v>
      </c>
      <c r="I2551" t="s">
        <v>1357</v>
      </c>
      <c r="J2551" t="s">
        <v>1357</v>
      </c>
      <c r="K2551" t="s">
        <v>1357</v>
      </c>
      <c r="L2551" t="s">
        <v>1357</v>
      </c>
    </row>
    <row r="2552" spans="6:12">
      <c r="H2552" t="s">
        <v>20307</v>
      </c>
      <c r="I2552" t="s">
        <v>1357</v>
      </c>
      <c r="J2552" t="s">
        <v>1357</v>
      </c>
      <c r="K2552" t="s">
        <v>1357</v>
      </c>
      <c r="L2552" t="s">
        <v>1357</v>
      </c>
    </row>
    <row r="2553" spans="6:12">
      <c r="H2553" t="s">
        <v>20284</v>
      </c>
      <c r="I2553" t="s">
        <v>1357</v>
      </c>
      <c r="J2553" t="s">
        <v>1357</v>
      </c>
      <c r="K2553" t="s">
        <v>1357</v>
      </c>
      <c r="L2553" t="s">
        <v>1357</v>
      </c>
    </row>
    <row r="2554" spans="6:12">
      <c r="H2554" t="s">
        <v>20285</v>
      </c>
      <c r="I2554" t="s">
        <v>1357</v>
      </c>
      <c r="J2554" t="s">
        <v>1357</v>
      </c>
      <c r="K2554" t="s">
        <v>1357</v>
      </c>
      <c r="L2554" t="s">
        <v>1357</v>
      </c>
    </row>
    <row r="2555" spans="6:12">
      <c r="H2555" t="s">
        <v>20286</v>
      </c>
      <c r="I2555" t="s">
        <v>1357</v>
      </c>
      <c r="J2555" t="s">
        <v>1357</v>
      </c>
      <c r="K2555" t="s">
        <v>1357</v>
      </c>
      <c r="L2555" t="s">
        <v>1357</v>
      </c>
    </row>
    <row r="2556" spans="6:12">
      <c r="H2556" t="s">
        <v>20287</v>
      </c>
      <c r="I2556" t="s">
        <v>1357</v>
      </c>
      <c r="J2556" t="s">
        <v>1357</v>
      </c>
      <c r="K2556" t="s">
        <v>1357</v>
      </c>
      <c r="L2556" t="s">
        <v>1357</v>
      </c>
    </row>
    <row r="2557" spans="6:12">
      <c r="H2557" t="s">
        <v>20288</v>
      </c>
      <c r="I2557" t="s">
        <v>1357</v>
      </c>
      <c r="J2557" t="s">
        <v>1357</v>
      </c>
      <c r="K2557" t="s">
        <v>1357</v>
      </c>
      <c r="L2557" t="s">
        <v>1357</v>
      </c>
    </row>
    <row r="2558" spans="6:12">
      <c r="H2558" t="s">
        <v>20289</v>
      </c>
      <c r="I2558" t="s">
        <v>1357</v>
      </c>
      <c r="J2558" t="s">
        <v>1357</v>
      </c>
      <c r="K2558" t="s">
        <v>1357</v>
      </c>
      <c r="L2558" t="s">
        <v>1357</v>
      </c>
    </row>
    <row r="2559" spans="6:12">
      <c r="F2559" t="s">
        <v>14922</v>
      </c>
      <c r="G2559" t="s">
        <v>17766</v>
      </c>
      <c r="H2559" t="s">
        <v>20280</v>
      </c>
      <c r="I2559" t="s">
        <v>1357</v>
      </c>
      <c r="J2559" t="s">
        <v>1357</v>
      </c>
      <c r="K2559" t="s">
        <v>1357</v>
      </c>
      <c r="L2559" t="s">
        <v>1357</v>
      </c>
    </row>
    <row r="2560" spans="6:12">
      <c r="H2560" t="s">
        <v>20233</v>
      </c>
      <c r="I2560" t="s">
        <v>1357</v>
      </c>
      <c r="J2560" t="s">
        <v>1357</v>
      </c>
      <c r="K2560" t="s">
        <v>1357</v>
      </c>
      <c r="L2560" t="s">
        <v>1357</v>
      </c>
    </row>
    <row r="2561" spans="8:12">
      <c r="H2561" t="s">
        <v>20230</v>
      </c>
      <c r="I2561" t="s">
        <v>1357</v>
      </c>
      <c r="J2561" t="s">
        <v>1357</v>
      </c>
      <c r="K2561" t="s">
        <v>1357</v>
      </c>
      <c r="L2561" t="s">
        <v>1357</v>
      </c>
    </row>
    <row r="2562" spans="8:12">
      <c r="H2562" t="s">
        <v>20227</v>
      </c>
      <c r="I2562" t="s">
        <v>1357</v>
      </c>
      <c r="J2562" t="s">
        <v>1357</v>
      </c>
      <c r="K2562" t="s">
        <v>1357</v>
      </c>
      <c r="L2562" t="s">
        <v>1357</v>
      </c>
    </row>
    <row r="2563" spans="8:12">
      <c r="H2563" t="s">
        <v>20228</v>
      </c>
      <c r="I2563" t="s">
        <v>1357</v>
      </c>
      <c r="J2563" t="s">
        <v>1357</v>
      </c>
      <c r="K2563" t="s">
        <v>1357</v>
      </c>
      <c r="L2563" t="s">
        <v>1357</v>
      </c>
    </row>
    <row r="2564" spans="8:12">
      <c r="H2564" t="s">
        <v>20281</v>
      </c>
      <c r="I2564" t="s">
        <v>1357</v>
      </c>
      <c r="J2564" t="s">
        <v>1357</v>
      </c>
      <c r="K2564" t="s">
        <v>1357</v>
      </c>
      <c r="L2564" t="s">
        <v>1357</v>
      </c>
    </row>
    <row r="2565" spans="8:12">
      <c r="H2565" t="s">
        <v>20282</v>
      </c>
      <c r="I2565" t="s">
        <v>1357</v>
      </c>
      <c r="J2565" t="s">
        <v>1357</v>
      </c>
      <c r="K2565" t="s">
        <v>1357</v>
      </c>
      <c r="L2565" t="s">
        <v>1357</v>
      </c>
    </row>
    <row r="2566" spans="8:12">
      <c r="H2566" t="s">
        <v>20283</v>
      </c>
      <c r="I2566" t="s">
        <v>1357</v>
      </c>
      <c r="J2566" t="s">
        <v>1357</v>
      </c>
      <c r="K2566" t="s">
        <v>1357</v>
      </c>
      <c r="L2566" t="s">
        <v>1357</v>
      </c>
    </row>
    <row r="2567" spans="8:12">
      <c r="H2567" t="s">
        <v>20292</v>
      </c>
      <c r="I2567" t="s">
        <v>1357</v>
      </c>
      <c r="J2567" t="s">
        <v>1357</v>
      </c>
      <c r="K2567" t="s">
        <v>1357</v>
      </c>
      <c r="L2567" t="s">
        <v>1357</v>
      </c>
    </row>
    <row r="2568" spans="8:12">
      <c r="H2568" t="s">
        <v>20305</v>
      </c>
      <c r="I2568" t="s">
        <v>1357</v>
      </c>
      <c r="J2568" t="s">
        <v>1357</v>
      </c>
      <c r="K2568" t="s">
        <v>1357</v>
      </c>
      <c r="L2568" t="s">
        <v>1357</v>
      </c>
    </row>
    <row r="2569" spans="8:12">
      <c r="H2569" t="s">
        <v>20306</v>
      </c>
      <c r="I2569" t="s">
        <v>1357</v>
      </c>
      <c r="J2569" t="s">
        <v>1357</v>
      </c>
      <c r="K2569" t="s">
        <v>1357</v>
      </c>
      <c r="L2569" t="s">
        <v>1357</v>
      </c>
    </row>
    <row r="2570" spans="8:12">
      <c r="H2570" t="s">
        <v>20307</v>
      </c>
      <c r="I2570" t="s">
        <v>1357</v>
      </c>
      <c r="J2570" t="s">
        <v>1357</v>
      </c>
      <c r="K2570" t="s">
        <v>1357</v>
      </c>
      <c r="L2570" t="s">
        <v>1357</v>
      </c>
    </row>
    <row r="2571" spans="8:12">
      <c r="H2571" t="s">
        <v>20284</v>
      </c>
      <c r="I2571" t="s">
        <v>1357</v>
      </c>
      <c r="J2571" t="s">
        <v>1357</v>
      </c>
      <c r="K2571" t="s">
        <v>1357</v>
      </c>
      <c r="L2571" t="s">
        <v>1357</v>
      </c>
    </row>
    <row r="2572" spans="8:12">
      <c r="H2572" t="s">
        <v>20285</v>
      </c>
      <c r="I2572" t="s">
        <v>1357</v>
      </c>
      <c r="J2572" t="s">
        <v>1357</v>
      </c>
      <c r="K2572" t="s">
        <v>1357</v>
      </c>
      <c r="L2572" t="s">
        <v>1357</v>
      </c>
    </row>
    <row r="2573" spans="8:12">
      <c r="H2573" t="s">
        <v>20286</v>
      </c>
      <c r="I2573" t="s">
        <v>1357</v>
      </c>
      <c r="J2573" t="s">
        <v>1357</v>
      </c>
      <c r="K2573" t="s">
        <v>1357</v>
      </c>
      <c r="L2573" t="s">
        <v>1357</v>
      </c>
    </row>
    <row r="2574" spans="8:12">
      <c r="H2574" t="s">
        <v>20287</v>
      </c>
      <c r="I2574" t="s">
        <v>1357</v>
      </c>
      <c r="J2574" t="s">
        <v>1357</v>
      </c>
      <c r="K2574" t="s">
        <v>1357</v>
      </c>
      <c r="L2574" t="s">
        <v>1357</v>
      </c>
    </row>
    <row r="2575" spans="8:12">
      <c r="H2575" t="s">
        <v>20288</v>
      </c>
      <c r="I2575" t="s">
        <v>1357</v>
      </c>
      <c r="J2575" t="s">
        <v>1357</v>
      </c>
      <c r="K2575" t="s">
        <v>1357</v>
      </c>
      <c r="L2575" t="s">
        <v>1357</v>
      </c>
    </row>
    <row r="2576" spans="8:12">
      <c r="H2576" t="s">
        <v>20289</v>
      </c>
      <c r="I2576" t="s">
        <v>1357</v>
      </c>
      <c r="J2576" t="s">
        <v>1357</v>
      </c>
      <c r="K2576" t="s">
        <v>1357</v>
      </c>
      <c r="L2576" t="s">
        <v>1357</v>
      </c>
    </row>
    <row r="2577" spans="6:12">
      <c r="F2577" t="s">
        <v>14923</v>
      </c>
      <c r="G2577" t="s">
        <v>17767</v>
      </c>
      <c r="H2577" t="s">
        <v>20280</v>
      </c>
      <c r="I2577" t="s">
        <v>1357</v>
      </c>
      <c r="J2577" t="s">
        <v>1357</v>
      </c>
      <c r="K2577" t="s">
        <v>1357</v>
      </c>
      <c r="L2577" t="s">
        <v>1357</v>
      </c>
    </row>
    <row r="2578" spans="6:12">
      <c r="H2578" t="s">
        <v>20284</v>
      </c>
      <c r="I2578" t="s">
        <v>1357</v>
      </c>
      <c r="J2578" t="s">
        <v>1357</v>
      </c>
      <c r="K2578" t="s">
        <v>1357</v>
      </c>
      <c r="L2578" t="s">
        <v>1357</v>
      </c>
    </row>
    <row r="2579" spans="6:12">
      <c r="H2579" t="s">
        <v>20285</v>
      </c>
      <c r="I2579" t="s">
        <v>1357</v>
      </c>
      <c r="J2579" t="s">
        <v>1357</v>
      </c>
      <c r="K2579" t="s">
        <v>1357</v>
      </c>
      <c r="L2579" t="s">
        <v>1357</v>
      </c>
    </row>
    <row r="2580" spans="6:12">
      <c r="H2580" t="s">
        <v>20288</v>
      </c>
      <c r="I2580" t="s">
        <v>1357</v>
      </c>
      <c r="J2580" t="s">
        <v>1357</v>
      </c>
      <c r="K2580" t="s">
        <v>1357</v>
      </c>
      <c r="L2580" t="s">
        <v>1357</v>
      </c>
    </row>
    <row r="2581" spans="6:12">
      <c r="H2581" t="s">
        <v>20290</v>
      </c>
      <c r="I2581" t="s">
        <v>1357</v>
      </c>
      <c r="J2581" t="s">
        <v>1357</v>
      </c>
      <c r="K2581" t="s">
        <v>1357</v>
      </c>
      <c r="L2581" t="s">
        <v>1357</v>
      </c>
    </row>
    <row r="2582" spans="6:12">
      <c r="H2582" t="s">
        <v>20233</v>
      </c>
      <c r="I2582" t="s">
        <v>1357</v>
      </c>
      <c r="J2582" t="s">
        <v>1357</v>
      </c>
      <c r="K2582" t="s">
        <v>1357</v>
      </c>
      <c r="L2582" t="s">
        <v>1357</v>
      </c>
    </row>
    <row r="2583" spans="6:12">
      <c r="H2583" t="s">
        <v>20286</v>
      </c>
      <c r="I2583" t="s">
        <v>1357</v>
      </c>
      <c r="J2583" t="s">
        <v>1357</v>
      </c>
      <c r="K2583" t="s">
        <v>1357</v>
      </c>
      <c r="L2583" t="s">
        <v>1357</v>
      </c>
    </row>
    <row r="2584" spans="6:12">
      <c r="H2584" t="s">
        <v>20287</v>
      </c>
      <c r="I2584" t="s">
        <v>1357</v>
      </c>
      <c r="J2584" t="s">
        <v>1357</v>
      </c>
      <c r="K2584" t="s">
        <v>1357</v>
      </c>
      <c r="L2584" t="s">
        <v>1357</v>
      </c>
    </row>
    <row r="2585" spans="6:12">
      <c r="H2585" t="s">
        <v>20289</v>
      </c>
      <c r="I2585" t="s">
        <v>1357</v>
      </c>
      <c r="J2585" t="s">
        <v>1357</v>
      </c>
      <c r="K2585" t="s">
        <v>1357</v>
      </c>
      <c r="L2585" t="s">
        <v>1357</v>
      </c>
    </row>
    <row r="2586" spans="6:12">
      <c r="H2586" t="s">
        <v>20291</v>
      </c>
      <c r="I2586" t="s">
        <v>1357</v>
      </c>
      <c r="J2586" t="s">
        <v>1357</v>
      </c>
      <c r="K2586" t="s">
        <v>1357</v>
      </c>
      <c r="L2586" t="s">
        <v>1357</v>
      </c>
    </row>
    <row r="2587" spans="6:12">
      <c r="F2587" t="s">
        <v>14924</v>
      </c>
      <c r="G2587" t="s">
        <v>17768</v>
      </c>
      <c r="H2587" t="s">
        <v>20280</v>
      </c>
      <c r="I2587" t="s">
        <v>1357</v>
      </c>
      <c r="J2587" t="s">
        <v>1357</v>
      </c>
      <c r="K2587" t="s">
        <v>1357</v>
      </c>
      <c r="L2587" t="s">
        <v>1357</v>
      </c>
    </row>
    <row r="2588" spans="6:12">
      <c r="H2588" t="s">
        <v>20233</v>
      </c>
      <c r="I2588" t="s">
        <v>1357</v>
      </c>
      <c r="J2588" t="s">
        <v>1357</v>
      </c>
      <c r="K2588" t="s">
        <v>1357</v>
      </c>
      <c r="L2588" t="s">
        <v>1357</v>
      </c>
    </row>
    <row r="2589" spans="6:12">
      <c r="H2589" t="s">
        <v>20281</v>
      </c>
      <c r="I2589" t="s">
        <v>1357</v>
      </c>
      <c r="J2589" t="s">
        <v>1357</v>
      </c>
      <c r="K2589" t="s">
        <v>1357</v>
      </c>
      <c r="L2589" t="s">
        <v>1357</v>
      </c>
    </row>
    <row r="2590" spans="6:12">
      <c r="H2590" t="s">
        <v>20282</v>
      </c>
      <c r="I2590" t="s">
        <v>1357</v>
      </c>
      <c r="J2590" t="s">
        <v>1357</v>
      </c>
      <c r="K2590" t="s">
        <v>1357</v>
      </c>
      <c r="L2590" t="s">
        <v>1357</v>
      </c>
    </row>
    <row r="2591" spans="6:12">
      <c r="H2591" t="s">
        <v>20283</v>
      </c>
      <c r="I2591" t="s">
        <v>1357</v>
      </c>
      <c r="J2591" t="s">
        <v>1357</v>
      </c>
      <c r="K2591" t="s">
        <v>1357</v>
      </c>
      <c r="L2591" t="s">
        <v>1357</v>
      </c>
    </row>
    <row r="2592" spans="6:12">
      <c r="H2592" t="s">
        <v>20284</v>
      </c>
      <c r="I2592" t="s">
        <v>1357</v>
      </c>
      <c r="J2592" t="s">
        <v>1357</v>
      </c>
      <c r="K2592" t="s">
        <v>1357</v>
      </c>
      <c r="L2592" t="s">
        <v>1357</v>
      </c>
    </row>
    <row r="2593" spans="6:12">
      <c r="H2593" t="s">
        <v>20285</v>
      </c>
      <c r="I2593" t="s">
        <v>1357</v>
      </c>
      <c r="J2593" t="s">
        <v>1357</v>
      </c>
      <c r="K2593" t="s">
        <v>1357</v>
      </c>
      <c r="L2593" t="s">
        <v>1357</v>
      </c>
    </row>
    <row r="2594" spans="6:12">
      <c r="H2594" t="s">
        <v>20286</v>
      </c>
      <c r="I2594" t="s">
        <v>1357</v>
      </c>
      <c r="J2594" t="s">
        <v>1357</v>
      </c>
      <c r="K2594" t="s">
        <v>1357</v>
      </c>
      <c r="L2594" t="s">
        <v>1357</v>
      </c>
    </row>
    <row r="2595" spans="6:12">
      <c r="H2595" t="s">
        <v>20287</v>
      </c>
      <c r="I2595" t="s">
        <v>1357</v>
      </c>
      <c r="J2595" t="s">
        <v>1357</v>
      </c>
      <c r="K2595" t="s">
        <v>1357</v>
      </c>
      <c r="L2595" t="s">
        <v>1357</v>
      </c>
    </row>
    <row r="2596" spans="6:12">
      <c r="H2596" t="s">
        <v>20288</v>
      </c>
      <c r="I2596" t="s">
        <v>1357</v>
      </c>
      <c r="J2596" t="s">
        <v>1357</v>
      </c>
      <c r="K2596" t="s">
        <v>1357</v>
      </c>
      <c r="L2596" t="s">
        <v>1357</v>
      </c>
    </row>
    <row r="2597" spans="6:12">
      <c r="H2597" t="s">
        <v>20289</v>
      </c>
      <c r="I2597" t="s">
        <v>1357</v>
      </c>
      <c r="J2597" t="s">
        <v>1357</v>
      </c>
      <c r="K2597" t="s">
        <v>1357</v>
      </c>
      <c r="L2597" t="s">
        <v>1357</v>
      </c>
    </row>
    <row r="2598" spans="6:12">
      <c r="H2598" t="s">
        <v>20290</v>
      </c>
      <c r="I2598" t="s">
        <v>1357</v>
      </c>
      <c r="J2598" t="s">
        <v>1357</v>
      </c>
      <c r="K2598" t="s">
        <v>1357</v>
      </c>
      <c r="L2598" t="s">
        <v>1357</v>
      </c>
    </row>
    <row r="2599" spans="6:12">
      <c r="H2599" t="s">
        <v>20291</v>
      </c>
      <c r="I2599" t="s">
        <v>1357</v>
      </c>
      <c r="J2599" t="s">
        <v>1357</v>
      </c>
      <c r="K2599" t="s">
        <v>1357</v>
      </c>
      <c r="L2599" t="s">
        <v>1357</v>
      </c>
    </row>
    <row r="2600" spans="6:12">
      <c r="F2600" t="s">
        <v>14925</v>
      </c>
      <c r="G2600" t="s">
        <v>17769</v>
      </c>
      <c r="H2600" t="s">
        <v>20280</v>
      </c>
      <c r="I2600" t="s">
        <v>1357</v>
      </c>
      <c r="J2600" t="s">
        <v>1357</v>
      </c>
      <c r="K2600" t="s">
        <v>1357</v>
      </c>
      <c r="L2600" t="s">
        <v>1357</v>
      </c>
    </row>
    <row r="2601" spans="6:12">
      <c r="H2601" t="s">
        <v>20233</v>
      </c>
      <c r="I2601" t="s">
        <v>1357</v>
      </c>
      <c r="J2601" t="s">
        <v>1357</v>
      </c>
      <c r="K2601" t="s">
        <v>1357</v>
      </c>
      <c r="L2601" t="s">
        <v>1357</v>
      </c>
    </row>
    <row r="2602" spans="6:12">
      <c r="H2602" t="s">
        <v>20281</v>
      </c>
      <c r="I2602" t="s">
        <v>1357</v>
      </c>
      <c r="J2602" t="s">
        <v>1357</v>
      </c>
      <c r="K2602" t="s">
        <v>1357</v>
      </c>
      <c r="L2602" t="s">
        <v>1357</v>
      </c>
    </row>
    <row r="2603" spans="6:12">
      <c r="H2603" t="s">
        <v>20282</v>
      </c>
      <c r="I2603" t="s">
        <v>1357</v>
      </c>
      <c r="J2603" t="s">
        <v>1357</v>
      </c>
      <c r="K2603" t="s">
        <v>1357</v>
      </c>
      <c r="L2603" t="s">
        <v>1357</v>
      </c>
    </row>
    <row r="2604" spans="6:12">
      <c r="H2604" t="s">
        <v>20283</v>
      </c>
      <c r="I2604" t="s">
        <v>1357</v>
      </c>
      <c r="J2604" t="s">
        <v>1357</v>
      </c>
      <c r="K2604" t="s">
        <v>1357</v>
      </c>
      <c r="L2604" t="s">
        <v>1357</v>
      </c>
    </row>
    <row r="2605" spans="6:12">
      <c r="H2605" t="s">
        <v>20284</v>
      </c>
      <c r="I2605" t="s">
        <v>1357</v>
      </c>
      <c r="J2605" t="s">
        <v>1357</v>
      </c>
      <c r="K2605" t="s">
        <v>1357</v>
      </c>
      <c r="L2605" t="s">
        <v>1357</v>
      </c>
    </row>
    <row r="2606" spans="6:12">
      <c r="H2606" t="s">
        <v>20285</v>
      </c>
      <c r="I2606" t="s">
        <v>1357</v>
      </c>
      <c r="J2606" t="s">
        <v>1357</v>
      </c>
      <c r="K2606" t="s">
        <v>1357</v>
      </c>
      <c r="L2606" t="s">
        <v>1357</v>
      </c>
    </row>
    <row r="2607" spans="6:12">
      <c r="H2607" t="s">
        <v>20286</v>
      </c>
      <c r="I2607" t="s">
        <v>1357</v>
      </c>
      <c r="J2607" t="s">
        <v>1357</v>
      </c>
      <c r="K2607" t="s">
        <v>1357</v>
      </c>
      <c r="L2607" t="s">
        <v>1357</v>
      </c>
    </row>
    <row r="2608" spans="6:12">
      <c r="H2608" t="s">
        <v>20287</v>
      </c>
      <c r="I2608" t="s">
        <v>1357</v>
      </c>
      <c r="J2608" t="s">
        <v>1357</v>
      </c>
      <c r="K2608" t="s">
        <v>1357</v>
      </c>
      <c r="L2608" t="s">
        <v>1357</v>
      </c>
    </row>
    <row r="2609" spans="6:12">
      <c r="H2609" t="s">
        <v>20288</v>
      </c>
      <c r="I2609" t="s">
        <v>1357</v>
      </c>
      <c r="J2609" t="s">
        <v>1357</v>
      </c>
      <c r="K2609" t="s">
        <v>1357</v>
      </c>
      <c r="L2609" t="s">
        <v>1357</v>
      </c>
    </row>
    <row r="2610" spans="6:12">
      <c r="H2610" t="s">
        <v>20289</v>
      </c>
      <c r="I2610" t="s">
        <v>1357</v>
      </c>
      <c r="J2610" t="s">
        <v>1357</v>
      </c>
      <c r="K2610" t="s">
        <v>1357</v>
      </c>
      <c r="L2610" t="s">
        <v>1357</v>
      </c>
    </row>
    <row r="2611" spans="6:12">
      <c r="H2611" t="s">
        <v>20290</v>
      </c>
      <c r="I2611" t="s">
        <v>1357</v>
      </c>
      <c r="J2611" t="s">
        <v>1357</v>
      </c>
      <c r="K2611" t="s">
        <v>1357</v>
      </c>
      <c r="L2611" t="s">
        <v>1357</v>
      </c>
    </row>
    <row r="2612" spans="6:12">
      <c r="H2612" t="s">
        <v>20291</v>
      </c>
      <c r="I2612" t="s">
        <v>1357</v>
      </c>
      <c r="J2612" t="s">
        <v>1357</v>
      </c>
      <c r="K2612" t="s">
        <v>1357</v>
      </c>
      <c r="L2612" t="s">
        <v>1357</v>
      </c>
    </row>
    <row r="2613" spans="6:12">
      <c r="F2613" t="s">
        <v>14926</v>
      </c>
      <c r="G2613" t="s">
        <v>17770</v>
      </c>
      <c r="H2613" t="s">
        <v>20280</v>
      </c>
      <c r="I2613" t="s">
        <v>1357</v>
      </c>
      <c r="J2613" t="s">
        <v>1357</v>
      </c>
      <c r="K2613" t="s">
        <v>1357</v>
      </c>
      <c r="L2613" t="s">
        <v>1357</v>
      </c>
    </row>
    <row r="2614" spans="6:12">
      <c r="H2614" t="s">
        <v>20296</v>
      </c>
      <c r="I2614" t="s">
        <v>1357</v>
      </c>
      <c r="J2614" t="s">
        <v>1357</v>
      </c>
      <c r="K2614" t="s">
        <v>1357</v>
      </c>
      <c r="L2614" t="s">
        <v>1357</v>
      </c>
    </row>
    <row r="2615" spans="6:12">
      <c r="H2615" t="s">
        <v>20297</v>
      </c>
      <c r="I2615" t="s">
        <v>1357</v>
      </c>
      <c r="J2615" t="s">
        <v>1357</v>
      </c>
      <c r="K2615" t="s">
        <v>1357</v>
      </c>
      <c r="L2615" t="s">
        <v>1357</v>
      </c>
    </row>
    <row r="2616" spans="6:12">
      <c r="H2616" t="s">
        <v>20284</v>
      </c>
      <c r="I2616" t="s">
        <v>1357</v>
      </c>
      <c r="J2616" t="s">
        <v>1357</v>
      </c>
      <c r="K2616" t="s">
        <v>1357</v>
      </c>
      <c r="L2616" t="s">
        <v>1357</v>
      </c>
    </row>
    <row r="2617" spans="6:12">
      <c r="F2617" t="s">
        <v>14927</v>
      </c>
      <c r="G2617" t="s">
        <v>17771</v>
      </c>
      <c r="H2617" t="s">
        <v>20280</v>
      </c>
      <c r="I2617" t="s">
        <v>1357</v>
      </c>
      <c r="J2617" t="s">
        <v>1357</v>
      </c>
      <c r="K2617" t="s">
        <v>1357</v>
      </c>
      <c r="L2617" t="s">
        <v>1357</v>
      </c>
    </row>
    <row r="2618" spans="6:12">
      <c r="H2618" t="s">
        <v>20233</v>
      </c>
      <c r="I2618" t="s">
        <v>1357</v>
      </c>
      <c r="J2618" t="s">
        <v>1357</v>
      </c>
      <c r="K2618" t="s">
        <v>1357</v>
      </c>
      <c r="L2618" t="s">
        <v>1357</v>
      </c>
    </row>
    <row r="2619" spans="6:12">
      <c r="H2619" t="s">
        <v>20230</v>
      </c>
      <c r="I2619" t="s">
        <v>1357</v>
      </c>
      <c r="J2619" t="s">
        <v>1357</v>
      </c>
      <c r="K2619" t="s">
        <v>1357</v>
      </c>
      <c r="L2619" t="s">
        <v>1357</v>
      </c>
    </row>
    <row r="2620" spans="6:12">
      <c r="H2620" t="s">
        <v>20227</v>
      </c>
      <c r="I2620" t="s">
        <v>1357</v>
      </c>
      <c r="J2620" t="s">
        <v>1357</v>
      </c>
      <c r="K2620" t="s">
        <v>1357</v>
      </c>
      <c r="L2620" t="s">
        <v>1357</v>
      </c>
    </row>
    <row r="2621" spans="6:12">
      <c r="H2621" t="s">
        <v>20284</v>
      </c>
      <c r="I2621" t="s">
        <v>1357</v>
      </c>
      <c r="J2621" t="s">
        <v>1357</v>
      </c>
      <c r="K2621" t="s">
        <v>1357</v>
      </c>
      <c r="L2621" t="s">
        <v>1357</v>
      </c>
    </row>
    <row r="2622" spans="6:12">
      <c r="H2622" t="s">
        <v>20285</v>
      </c>
      <c r="I2622" t="s">
        <v>1357</v>
      </c>
      <c r="J2622" t="s">
        <v>1357</v>
      </c>
      <c r="K2622" t="s">
        <v>1357</v>
      </c>
      <c r="L2622" t="s">
        <v>1357</v>
      </c>
    </row>
    <row r="2623" spans="6:12">
      <c r="H2623" t="s">
        <v>20286</v>
      </c>
      <c r="I2623" t="s">
        <v>1357</v>
      </c>
      <c r="J2623" t="s">
        <v>1357</v>
      </c>
      <c r="K2623" t="s">
        <v>1357</v>
      </c>
      <c r="L2623" t="s">
        <v>1357</v>
      </c>
    </row>
    <row r="2624" spans="6:12">
      <c r="H2624" t="s">
        <v>20287</v>
      </c>
      <c r="I2624" t="s">
        <v>1357</v>
      </c>
      <c r="J2624" t="s">
        <v>1357</v>
      </c>
      <c r="K2624" t="s">
        <v>1357</v>
      </c>
      <c r="L2624" t="s">
        <v>1357</v>
      </c>
    </row>
    <row r="2625" spans="6:12">
      <c r="F2625" t="s">
        <v>14928</v>
      </c>
      <c r="G2625" t="s">
        <v>17772</v>
      </c>
      <c r="H2625" t="s">
        <v>20280</v>
      </c>
      <c r="I2625" t="s">
        <v>1357</v>
      </c>
      <c r="J2625" t="s">
        <v>1357</v>
      </c>
      <c r="K2625" t="s">
        <v>1357</v>
      </c>
      <c r="L2625" t="s">
        <v>1357</v>
      </c>
    </row>
    <row r="2626" spans="6:12">
      <c r="H2626" t="s">
        <v>20296</v>
      </c>
      <c r="I2626" t="s">
        <v>1357</v>
      </c>
      <c r="J2626" t="s">
        <v>1357</v>
      </c>
      <c r="K2626" t="s">
        <v>1357</v>
      </c>
      <c r="L2626" t="s">
        <v>1357</v>
      </c>
    </row>
    <row r="2627" spans="6:12">
      <c r="H2627" t="s">
        <v>20297</v>
      </c>
      <c r="I2627" t="s">
        <v>1357</v>
      </c>
      <c r="J2627" t="s">
        <v>1357</v>
      </c>
      <c r="K2627" t="s">
        <v>1357</v>
      </c>
      <c r="L2627" t="s">
        <v>1357</v>
      </c>
    </row>
    <row r="2628" spans="6:12">
      <c r="H2628" t="s">
        <v>20284</v>
      </c>
      <c r="I2628" t="s">
        <v>1357</v>
      </c>
      <c r="J2628" t="s">
        <v>1357</v>
      </c>
      <c r="K2628" t="s">
        <v>1357</v>
      </c>
      <c r="L2628" t="s">
        <v>1357</v>
      </c>
    </row>
    <row r="2629" spans="6:12">
      <c r="H2629" t="s">
        <v>20285</v>
      </c>
      <c r="I2629" t="s">
        <v>1357</v>
      </c>
      <c r="J2629" t="s">
        <v>1357</v>
      </c>
      <c r="K2629" t="s">
        <v>1357</v>
      </c>
      <c r="L2629" t="s">
        <v>1357</v>
      </c>
    </row>
    <row r="2630" spans="6:12">
      <c r="H2630" t="s">
        <v>20286</v>
      </c>
      <c r="I2630" t="s">
        <v>1357</v>
      </c>
      <c r="J2630" t="s">
        <v>1357</v>
      </c>
      <c r="K2630" t="s">
        <v>1357</v>
      </c>
      <c r="L2630" t="s">
        <v>1357</v>
      </c>
    </row>
    <row r="2631" spans="6:12">
      <c r="H2631" t="s">
        <v>20287</v>
      </c>
      <c r="I2631" t="s">
        <v>1357</v>
      </c>
      <c r="J2631" t="s">
        <v>1357</v>
      </c>
      <c r="K2631" t="s">
        <v>1357</v>
      </c>
      <c r="L2631" t="s">
        <v>1357</v>
      </c>
    </row>
    <row r="2632" spans="6:12">
      <c r="H2632" t="s">
        <v>20288</v>
      </c>
      <c r="I2632" t="s">
        <v>1357</v>
      </c>
      <c r="J2632" t="s">
        <v>1357</v>
      </c>
      <c r="K2632" t="s">
        <v>1357</v>
      </c>
      <c r="L2632" t="s">
        <v>1357</v>
      </c>
    </row>
    <row r="2633" spans="6:12">
      <c r="H2633" t="s">
        <v>20289</v>
      </c>
      <c r="I2633" t="s">
        <v>1357</v>
      </c>
      <c r="J2633" t="s">
        <v>1357</v>
      </c>
      <c r="K2633" t="s">
        <v>1357</v>
      </c>
      <c r="L2633" t="s">
        <v>1357</v>
      </c>
    </row>
    <row r="2634" spans="6:12">
      <c r="H2634" t="s">
        <v>20290</v>
      </c>
      <c r="I2634" t="s">
        <v>1357</v>
      </c>
      <c r="J2634" t="s">
        <v>1357</v>
      </c>
      <c r="K2634" t="s">
        <v>1357</v>
      </c>
      <c r="L2634" t="s">
        <v>1357</v>
      </c>
    </row>
    <row r="2635" spans="6:12">
      <c r="H2635" t="s">
        <v>20291</v>
      </c>
      <c r="I2635" t="s">
        <v>1357</v>
      </c>
      <c r="J2635" t="s">
        <v>1357</v>
      </c>
      <c r="K2635" t="s">
        <v>1357</v>
      </c>
      <c r="L2635" t="s">
        <v>1357</v>
      </c>
    </row>
    <row r="2636" spans="6:12">
      <c r="F2636" t="s">
        <v>14929</v>
      </c>
      <c r="G2636" t="s">
        <v>17773</v>
      </c>
      <c r="H2636" t="s">
        <v>20284</v>
      </c>
      <c r="I2636" t="s">
        <v>1357</v>
      </c>
      <c r="J2636" t="s">
        <v>1357</v>
      </c>
      <c r="K2636" t="s">
        <v>1357</v>
      </c>
      <c r="L2636" t="s">
        <v>1357</v>
      </c>
    </row>
    <row r="2637" spans="6:12">
      <c r="H2637" t="s">
        <v>20285</v>
      </c>
      <c r="I2637" t="s">
        <v>1357</v>
      </c>
      <c r="J2637" t="s">
        <v>1357</v>
      </c>
      <c r="K2637" t="s">
        <v>1357</v>
      </c>
      <c r="L2637" t="s">
        <v>1357</v>
      </c>
    </row>
    <row r="2638" spans="6:12">
      <c r="F2638" t="s">
        <v>14930</v>
      </c>
      <c r="G2638" t="s">
        <v>17774</v>
      </c>
      <c r="H2638" t="s">
        <v>20284</v>
      </c>
      <c r="I2638" t="s">
        <v>1357</v>
      </c>
      <c r="J2638" t="s">
        <v>1357</v>
      </c>
      <c r="K2638" t="s">
        <v>1357</v>
      </c>
      <c r="L2638" t="s">
        <v>1357</v>
      </c>
    </row>
    <row r="2639" spans="6:12">
      <c r="F2639" t="s">
        <v>14931</v>
      </c>
      <c r="G2639" t="s">
        <v>17775</v>
      </c>
      <c r="H2639" t="s">
        <v>20284</v>
      </c>
      <c r="I2639" t="s">
        <v>1357</v>
      </c>
      <c r="J2639" t="s">
        <v>1357</v>
      </c>
      <c r="K2639" t="s">
        <v>1357</v>
      </c>
      <c r="L2639" t="s">
        <v>1357</v>
      </c>
    </row>
    <row r="2640" spans="6:12">
      <c r="F2640" t="s">
        <v>14932</v>
      </c>
      <c r="G2640" t="s">
        <v>17776</v>
      </c>
      <c r="H2640" t="s">
        <v>20284</v>
      </c>
      <c r="I2640" t="s">
        <v>1357</v>
      </c>
      <c r="J2640" t="s">
        <v>1357</v>
      </c>
      <c r="K2640" t="s">
        <v>1357</v>
      </c>
      <c r="L2640" t="s">
        <v>1357</v>
      </c>
    </row>
    <row r="2641" spans="6:12">
      <c r="F2641" t="s">
        <v>14933</v>
      </c>
      <c r="G2641" t="s">
        <v>17777</v>
      </c>
      <c r="H2641" t="s">
        <v>20284</v>
      </c>
      <c r="I2641" t="s">
        <v>1357</v>
      </c>
      <c r="J2641" t="s">
        <v>1357</v>
      </c>
      <c r="K2641" t="s">
        <v>1357</v>
      </c>
      <c r="L2641" t="s">
        <v>1357</v>
      </c>
    </row>
    <row r="2642" spans="6:12">
      <c r="H2642" t="s">
        <v>20285</v>
      </c>
      <c r="I2642" t="s">
        <v>1357</v>
      </c>
      <c r="J2642" t="s">
        <v>1357</v>
      </c>
      <c r="K2642" t="s">
        <v>1357</v>
      </c>
      <c r="L2642" t="s">
        <v>1357</v>
      </c>
    </row>
    <row r="2643" spans="6:12">
      <c r="H2643" t="s">
        <v>20286</v>
      </c>
      <c r="I2643" t="s">
        <v>1357</v>
      </c>
      <c r="J2643" t="s">
        <v>1357</v>
      </c>
      <c r="K2643" t="s">
        <v>1357</v>
      </c>
      <c r="L2643" t="s">
        <v>1357</v>
      </c>
    </row>
    <row r="2644" spans="6:12">
      <c r="H2644" t="s">
        <v>20287</v>
      </c>
      <c r="I2644" t="s">
        <v>1357</v>
      </c>
      <c r="J2644" t="s">
        <v>1357</v>
      </c>
      <c r="K2644" t="s">
        <v>1357</v>
      </c>
      <c r="L2644" t="s">
        <v>1357</v>
      </c>
    </row>
    <row r="2645" spans="6:12">
      <c r="F2645" t="s">
        <v>14934</v>
      </c>
      <c r="G2645" t="s">
        <v>17778</v>
      </c>
      <c r="H2645" t="s">
        <v>20284</v>
      </c>
      <c r="I2645" t="s">
        <v>1357</v>
      </c>
      <c r="J2645" t="s">
        <v>1357</v>
      </c>
      <c r="K2645" t="s">
        <v>1357</v>
      </c>
      <c r="L2645" t="s">
        <v>1357</v>
      </c>
    </row>
    <row r="2646" spans="6:12">
      <c r="F2646" t="s">
        <v>14935</v>
      </c>
      <c r="G2646" t="s">
        <v>17779</v>
      </c>
      <c r="H2646" t="s">
        <v>20284</v>
      </c>
      <c r="I2646" t="s">
        <v>1357</v>
      </c>
      <c r="J2646" t="s">
        <v>1357</v>
      </c>
      <c r="K2646" t="s">
        <v>1357</v>
      </c>
      <c r="L2646" t="s">
        <v>1357</v>
      </c>
    </row>
    <row r="2647" spans="6:12">
      <c r="H2647" t="s">
        <v>20285</v>
      </c>
      <c r="I2647" t="s">
        <v>1357</v>
      </c>
      <c r="J2647" t="s">
        <v>1357</v>
      </c>
      <c r="K2647" t="s">
        <v>1357</v>
      </c>
      <c r="L2647" t="s">
        <v>1357</v>
      </c>
    </row>
    <row r="2648" spans="6:12">
      <c r="F2648" t="s">
        <v>14936</v>
      </c>
      <c r="G2648" t="s">
        <v>17780</v>
      </c>
      <c r="H2648" t="s">
        <v>20280</v>
      </c>
      <c r="I2648" t="s">
        <v>1357</v>
      </c>
      <c r="J2648" t="s">
        <v>1357</v>
      </c>
      <c r="K2648" t="s">
        <v>1357</v>
      </c>
      <c r="L2648" t="s">
        <v>1357</v>
      </c>
    </row>
    <row r="2649" spans="6:12">
      <c r="H2649" t="s">
        <v>20284</v>
      </c>
      <c r="I2649" t="s">
        <v>1357</v>
      </c>
      <c r="J2649" t="s">
        <v>1357</v>
      </c>
      <c r="K2649" t="s">
        <v>1357</v>
      </c>
      <c r="L2649" t="s">
        <v>1357</v>
      </c>
    </row>
    <row r="2650" spans="6:12">
      <c r="H2650" t="s">
        <v>20285</v>
      </c>
      <c r="I2650" t="s">
        <v>1357</v>
      </c>
      <c r="J2650" t="s">
        <v>1357</v>
      </c>
      <c r="K2650" t="s">
        <v>1357</v>
      </c>
      <c r="L2650" t="s">
        <v>1357</v>
      </c>
    </row>
    <row r="2651" spans="6:12">
      <c r="F2651" t="s">
        <v>14937</v>
      </c>
      <c r="G2651" t="s">
        <v>17781</v>
      </c>
      <c r="H2651" t="s">
        <v>20284</v>
      </c>
      <c r="I2651" t="s">
        <v>1357</v>
      </c>
      <c r="J2651" t="s">
        <v>1357</v>
      </c>
      <c r="K2651" t="s">
        <v>1357</v>
      </c>
      <c r="L2651" t="s">
        <v>1357</v>
      </c>
    </row>
    <row r="2652" spans="6:12">
      <c r="H2652" t="s">
        <v>20285</v>
      </c>
      <c r="I2652" t="s">
        <v>1357</v>
      </c>
      <c r="J2652" t="s">
        <v>1357</v>
      </c>
      <c r="K2652" t="s">
        <v>1357</v>
      </c>
      <c r="L2652" t="s">
        <v>1357</v>
      </c>
    </row>
    <row r="2653" spans="6:12">
      <c r="F2653" t="s">
        <v>14938</v>
      </c>
      <c r="G2653" t="s">
        <v>17782</v>
      </c>
      <c r="H2653" t="s">
        <v>20284</v>
      </c>
      <c r="I2653" t="s">
        <v>1357</v>
      </c>
      <c r="J2653" t="s">
        <v>1357</v>
      </c>
      <c r="K2653" t="s">
        <v>1357</v>
      </c>
      <c r="L2653" t="s">
        <v>1357</v>
      </c>
    </row>
    <row r="2654" spans="6:12">
      <c r="F2654" t="s">
        <v>14939</v>
      </c>
      <c r="G2654" t="s">
        <v>17783</v>
      </c>
      <c r="H2654" t="s">
        <v>20284</v>
      </c>
      <c r="I2654" t="s">
        <v>1357</v>
      </c>
      <c r="J2654" t="s">
        <v>1357</v>
      </c>
      <c r="K2654" t="s">
        <v>1357</v>
      </c>
      <c r="L2654" t="s">
        <v>1357</v>
      </c>
    </row>
    <row r="2655" spans="6:12">
      <c r="F2655" t="s">
        <v>14940</v>
      </c>
      <c r="G2655" t="s">
        <v>17784</v>
      </c>
      <c r="H2655" t="s">
        <v>20284</v>
      </c>
      <c r="I2655" t="s">
        <v>1357</v>
      </c>
      <c r="J2655" t="s">
        <v>1357</v>
      </c>
      <c r="K2655" t="s">
        <v>1357</v>
      </c>
      <c r="L2655" t="s">
        <v>1357</v>
      </c>
    </row>
    <row r="2656" spans="6:12">
      <c r="H2656" t="s">
        <v>20285</v>
      </c>
      <c r="I2656" t="s">
        <v>1357</v>
      </c>
      <c r="J2656" t="s">
        <v>1357</v>
      </c>
      <c r="K2656" t="s">
        <v>1357</v>
      </c>
      <c r="L2656" t="s">
        <v>1357</v>
      </c>
    </row>
    <row r="2657" spans="1:13">
      <c r="F2657" t="s">
        <v>14941</v>
      </c>
      <c r="G2657" t="s">
        <v>17785</v>
      </c>
      <c r="H2657" t="s">
        <v>20284</v>
      </c>
      <c r="I2657" t="s">
        <v>1357</v>
      </c>
      <c r="J2657" t="s">
        <v>1357</v>
      </c>
      <c r="K2657" t="s">
        <v>1357</v>
      </c>
      <c r="L2657" t="s">
        <v>1357</v>
      </c>
    </row>
    <row r="2658" spans="1:13">
      <c r="H2658" t="s">
        <v>20285</v>
      </c>
      <c r="I2658" t="s">
        <v>1357</v>
      </c>
      <c r="J2658" t="s">
        <v>1357</v>
      </c>
      <c r="K2658" t="s">
        <v>1357</v>
      </c>
      <c r="L2658" t="s">
        <v>1357</v>
      </c>
    </row>
    <row r="2659" spans="1:13">
      <c r="H2659" t="s">
        <v>20286</v>
      </c>
      <c r="I2659" t="s">
        <v>1357</v>
      </c>
      <c r="J2659" t="s">
        <v>1357</v>
      </c>
      <c r="K2659" t="s">
        <v>1357</v>
      </c>
      <c r="L2659" t="s">
        <v>1357</v>
      </c>
    </row>
    <row r="2660" spans="1:13">
      <c r="F2660" t="s">
        <v>14942</v>
      </c>
      <c r="G2660" t="s">
        <v>17786</v>
      </c>
      <c r="H2660" t="s">
        <v>20284</v>
      </c>
      <c r="I2660" t="s">
        <v>1357</v>
      </c>
      <c r="J2660" t="s">
        <v>1357</v>
      </c>
      <c r="K2660" t="s">
        <v>1357</v>
      </c>
      <c r="L2660" t="s">
        <v>1357</v>
      </c>
    </row>
    <row r="2661" spans="1:13">
      <c r="H2661" t="s">
        <v>20285</v>
      </c>
      <c r="I2661" t="s">
        <v>1357</v>
      </c>
      <c r="J2661" t="s">
        <v>1357</v>
      </c>
      <c r="K2661" t="s">
        <v>1357</v>
      </c>
      <c r="L2661" t="s">
        <v>1357</v>
      </c>
    </row>
    <row r="2662" spans="1:13">
      <c r="F2662" t="s">
        <v>14943</v>
      </c>
      <c r="G2662" t="s">
        <v>17787</v>
      </c>
      <c r="H2662" t="s">
        <v>20284</v>
      </c>
      <c r="I2662" t="s">
        <v>1357</v>
      </c>
      <c r="J2662" t="s">
        <v>1357</v>
      </c>
      <c r="K2662" t="s">
        <v>1357</v>
      </c>
      <c r="L2662" t="s">
        <v>1357</v>
      </c>
    </row>
    <row r="2663" spans="1:13">
      <c r="H2663" t="s">
        <v>20285</v>
      </c>
      <c r="I2663" t="s">
        <v>1357</v>
      </c>
      <c r="J2663" t="s">
        <v>1357</v>
      </c>
      <c r="K2663" t="s">
        <v>1357</v>
      </c>
      <c r="L2663" t="s">
        <v>1357</v>
      </c>
    </row>
    <row r="2664" spans="1:13">
      <c r="A2664" t="s">
        <v>10116</v>
      </c>
      <c r="B2664">
        <f>HYPERLINK("https://android.googlesource.com/platform/cts/+/66e57a3f34415ec36454bfafd405e8eafc934765", "66e57a3f34415ec36454bfafd405e8eafc934765")</f>
        <v>0</v>
      </c>
      <c r="C2664">
        <f>HYPERLINK("https://android.googlesource.com/platform/cts/+/c8ebe0c9f7868a84853148a30de456625f394ecb", "c8ebe0c9f7868a84853148a30de456625f394ecb")</f>
        <v>0</v>
      </c>
      <c r="D2664" t="s">
        <v>11982</v>
      </c>
      <c r="E2664" t="s">
        <v>12685</v>
      </c>
      <c r="F2664" t="s">
        <v>14944</v>
      </c>
      <c r="G2664" t="s">
        <v>17788</v>
      </c>
      <c r="H2664" t="s">
        <v>20314</v>
      </c>
      <c r="I2664" t="s">
        <v>1357</v>
      </c>
      <c r="J2664" t="s">
        <v>1357</v>
      </c>
      <c r="K2664" t="s">
        <v>1357</v>
      </c>
      <c r="L2664" t="s">
        <v>1357</v>
      </c>
    </row>
    <row r="2665" spans="1:13">
      <c r="F2665" t="s">
        <v>14945</v>
      </c>
      <c r="G2665" t="s">
        <v>17789</v>
      </c>
      <c r="H2665" t="s">
        <v>20315</v>
      </c>
      <c r="I2665" t="s">
        <v>1357</v>
      </c>
      <c r="J2665" t="s">
        <v>1357</v>
      </c>
      <c r="K2665" t="s">
        <v>1357</v>
      </c>
      <c r="L2665" t="s">
        <v>1357</v>
      </c>
    </row>
    <row r="2666" spans="1:13">
      <c r="H2666" t="s">
        <v>20316</v>
      </c>
      <c r="I2666" t="s">
        <v>1357</v>
      </c>
      <c r="J2666" t="s">
        <v>1357</v>
      </c>
      <c r="K2666" t="s">
        <v>1357</v>
      </c>
      <c r="L2666" t="s">
        <v>1357</v>
      </c>
    </row>
    <row r="2667" spans="1:13">
      <c r="H2667" t="s">
        <v>20317</v>
      </c>
      <c r="I2667" t="s">
        <v>1357</v>
      </c>
      <c r="J2667" t="s">
        <v>1357</v>
      </c>
      <c r="K2667" t="s">
        <v>1357</v>
      </c>
      <c r="L2667" t="s">
        <v>1357</v>
      </c>
    </row>
    <row r="2668" spans="1:13">
      <c r="H2668" t="s">
        <v>20318</v>
      </c>
      <c r="I2668" t="s">
        <v>1357</v>
      </c>
      <c r="J2668" t="s">
        <v>1357</v>
      </c>
      <c r="K2668" t="s">
        <v>1357</v>
      </c>
      <c r="L2668" t="s">
        <v>1357</v>
      </c>
    </row>
    <row r="2669" spans="1:13">
      <c r="A2669" t="s">
        <v>10117</v>
      </c>
      <c r="B2669">
        <f>HYPERLINK("https://android.googlesource.com/platform/cts/+/354ed32eea151544f9f1d211c582f3553952cc4b", "354ed32eea151544f9f1d211c582f3553952cc4b")</f>
        <v>0</v>
      </c>
      <c r="C2669">
        <f>HYPERLINK("https://android.googlesource.com/platform/cts/+/1c7bf662162e865509122b68c0bf6fcf6f65fdc0", "1c7bf662162e865509122b68c0bf6fcf6f65fdc0")</f>
        <v>0</v>
      </c>
      <c r="D2669" t="s">
        <v>12000</v>
      </c>
      <c r="E2669" t="s">
        <v>12686</v>
      </c>
      <c r="F2669" t="s">
        <v>14946</v>
      </c>
      <c r="G2669" t="s">
        <v>17790</v>
      </c>
      <c r="H2669" t="s">
        <v>20319</v>
      </c>
      <c r="I2669" t="s">
        <v>1357</v>
      </c>
      <c r="J2669" t="s">
        <v>1357</v>
      </c>
      <c r="K2669" t="s">
        <v>1357</v>
      </c>
      <c r="L2669" t="s">
        <v>1357</v>
      </c>
      <c r="M2669" t="s">
        <v>1360</v>
      </c>
    </row>
    <row r="2670" spans="1:13">
      <c r="H2670" t="s">
        <v>20320</v>
      </c>
      <c r="I2670" t="s">
        <v>1357</v>
      </c>
      <c r="J2670" t="s">
        <v>1357</v>
      </c>
      <c r="K2670" t="s">
        <v>1357</v>
      </c>
      <c r="L2670" t="s">
        <v>1357</v>
      </c>
      <c r="M2670" t="s">
        <v>1360</v>
      </c>
    </row>
    <row r="2671" spans="1:13">
      <c r="H2671" t="s">
        <v>20321</v>
      </c>
      <c r="I2671" t="s">
        <v>1357</v>
      </c>
      <c r="J2671" t="s">
        <v>1357</v>
      </c>
      <c r="K2671" t="s">
        <v>1357</v>
      </c>
      <c r="L2671" t="s">
        <v>1357</v>
      </c>
      <c r="M2671" t="s">
        <v>1360</v>
      </c>
    </row>
    <row r="2672" spans="1:13">
      <c r="H2672" t="s">
        <v>20322</v>
      </c>
      <c r="I2672" t="s">
        <v>1357</v>
      </c>
      <c r="J2672" t="s">
        <v>1357</v>
      </c>
      <c r="K2672" t="s">
        <v>1357</v>
      </c>
      <c r="L2672" t="s">
        <v>1357</v>
      </c>
      <c r="M2672" t="s">
        <v>1360</v>
      </c>
    </row>
    <row r="2673" spans="1:13">
      <c r="H2673" t="s">
        <v>20323</v>
      </c>
      <c r="I2673" t="s">
        <v>1357</v>
      </c>
      <c r="J2673" t="s">
        <v>1357</v>
      </c>
      <c r="K2673" t="s">
        <v>1357</v>
      </c>
      <c r="L2673" t="s">
        <v>1357</v>
      </c>
      <c r="M2673" t="s">
        <v>1360</v>
      </c>
    </row>
    <row r="2674" spans="1:13">
      <c r="H2674" t="s">
        <v>20324</v>
      </c>
      <c r="I2674" t="s">
        <v>1357</v>
      </c>
      <c r="J2674" t="s">
        <v>1357</v>
      </c>
      <c r="K2674" t="s">
        <v>1357</v>
      </c>
      <c r="L2674" t="s">
        <v>1357</v>
      </c>
      <c r="M2674" t="s">
        <v>1360</v>
      </c>
    </row>
    <row r="2675" spans="1:13">
      <c r="A2675" t="s">
        <v>10118</v>
      </c>
      <c r="B2675">
        <f>HYPERLINK("https://android.googlesource.com/platform/cts/+/9349ccb388ac3790315b87d7d5bf802cb0376560", "9349ccb388ac3790315b87d7d5bf802cb0376560")</f>
        <v>0</v>
      </c>
      <c r="C2675">
        <f>HYPERLINK("https://android.googlesource.com/platform/cts/+/611f9a02560d1726a82de9d4a0827ba49a4b682b", "611f9a02560d1726a82de9d4a0827ba49a4b682b")</f>
        <v>0</v>
      </c>
      <c r="D2675" t="s">
        <v>11982</v>
      </c>
      <c r="E2675" t="s">
        <v>12687</v>
      </c>
      <c r="F2675" t="s">
        <v>14947</v>
      </c>
      <c r="G2675" t="s">
        <v>17791</v>
      </c>
      <c r="H2675" t="s">
        <v>20284</v>
      </c>
      <c r="I2675" t="s">
        <v>1357</v>
      </c>
      <c r="J2675" t="s">
        <v>1357</v>
      </c>
      <c r="K2675" t="s">
        <v>1357</v>
      </c>
      <c r="L2675" t="s">
        <v>1357</v>
      </c>
    </row>
    <row r="2676" spans="1:13">
      <c r="H2676" t="s">
        <v>20285</v>
      </c>
      <c r="I2676" t="s">
        <v>1357</v>
      </c>
      <c r="J2676" t="s">
        <v>1357</v>
      </c>
      <c r="K2676" t="s">
        <v>1357</v>
      </c>
      <c r="L2676" t="s">
        <v>1357</v>
      </c>
    </row>
    <row r="2677" spans="1:13">
      <c r="H2677" t="s">
        <v>20286</v>
      </c>
      <c r="I2677" t="s">
        <v>1357</v>
      </c>
      <c r="J2677" t="s">
        <v>1357</v>
      </c>
      <c r="K2677" t="s">
        <v>1357</v>
      </c>
      <c r="L2677" t="s">
        <v>1357</v>
      </c>
    </row>
    <row r="2678" spans="1:13">
      <c r="H2678" t="s">
        <v>20287</v>
      </c>
      <c r="I2678" t="s">
        <v>1357</v>
      </c>
      <c r="J2678" t="s">
        <v>1357</v>
      </c>
      <c r="K2678" t="s">
        <v>1357</v>
      </c>
      <c r="L2678" t="s">
        <v>1357</v>
      </c>
    </row>
    <row r="2679" spans="1:13">
      <c r="H2679" t="s">
        <v>20288</v>
      </c>
      <c r="I2679" t="s">
        <v>1357</v>
      </c>
      <c r="J2679" t="s">
        <v>1357</v>
      </c>
      <c r="K2679" t="s">
        <v>1357</v>
      </c>
      <c r="L2679" t="s">
        <v>1357</v>
      </c>
    </row>
    <row r="2680" spans="1:13">
      <c r="H2680" t="s">
        <v>20289</v>
      </c>
      <c r="I2680" t="s">
        <v>1357</v>
      </c>
      <c r="J2680" t="s">
        <v>1357</v>
      </c>
      <c r="K2680" t="s">
        <v>1357</v>
      </c>
      <c r="L2680" t="s">
        <v>1357</v>
      </c>
    </row>
    <row r="2681" spans="1:13">
      <c r="H2681" t="s">
        <v>20290</v>
      </c>
      <c r="I2681" t="s">
        <v>1357</v>
      </c>
      <c r="J2681" t="s">
        <v>1357</v>
      </c>
      <c r="K2681" t="s">
        <v>1357</v>
      </c>
      <c r="L2681" t="s">
        <v>1357</v>
      </c>
    </row>
    <row r="2682" spans="1:13">
      <c r="H2682" t="s">
        <v>20291</v>
      </c>
      <c r="I2682" t="s">
        <v>1357</v>
      </c>
      <c r="J2682" t="s">
        <v>1357</v>
      </c>
      <c r="K2682" t="s">
        <v>1357</v>
      </c>
      <c r="L2682" t="s">
        <v>1357</v>
      </c>
    </row>
    <row r="2683" spans="1:13">
      <c r="H2683" t="s">
        <v>20293</v>
      </c>
      <c r="I2683" t="s">
        <v>1357</v>
      </c>
      <c r="J2683" t="s">
        <v>1357</v>
      </c>
      <c r="K2683" t="s">
        <v>1357</v>
      </c>
      <c r="L2683" t="s">
        <v>1357</v>
      </c>
    </row>
    <row r="2684" spans="1:13">
      <c r="H2684" t="s">
        <v>20312</v>
      </c>
      <c r="I2684" t="s">
        <v>1357</v>
      </c>
      <c r="J2684" t="s">
        <v>1357</v>
      </c>
      <c r="K2684" t="s">
        <v>1357</v>
      </c>
      <c r="L2684" t="s">
        <v>1357</v>
      </c>
    </row>
    <row r="2685" spans="1:13">
      <c r="H2685" t="s">
        <v>20313</v>
      </c>
      <c r="I2685" t="s">
        <v>1357</v>
      </c>
      <c r="J2685" t="s">
        <v>1357</v>
      </c>
      <c r="K2685" t="s">
        <v>1357</v>
      </c>
      <c r="L2685" t="s">
        <v>1357</v>
      </c>
    </row>
    <row r="2686" spans="1:13">
      <c r="F2686" t="s">
        <v>14948</v>
      </c>
      <c r="G2686" t="s">
        <v>17426</v>
      </c>
      <c r="H2686" t="s">
        <v>20280</v>
      </c>
      <c r="I2686" t="s">
        <v>1357</v>
      </c>
      <c r="J2686" t="s">
        <v>1357</v>
      </c>
      <c r="K2686" t="s">
        <v>1357</v>
      </c>
      <c r="L2686" t="s">
        <v>1357</v>
      </c>
    </row>
    <row r="2687" spans="1:13">
      <c r="H2687" t="s">
        <v>20233</v>
      </c>
      <c r="I2687" t="s">
        <v>1357</v>
      </c>
      <c r="J2687" t="s">
        <v>1357</v>
      </c>
      <c r="K2687" t="s">
        <v>1357</v>
      </c>
      <c r="L2687" t="s">
        <v>1357</v>
      </c>
    </row>
    <row r="2688" spans="1:13">
      <c r="H2688" t="s">
        <v>20230</v>
      </c>
      <c r="I2688" t="s">
        <v>1357</v>
      </c>
      <c r="J2688" t="s">
        <v>1357</v>
      </c>
      <c r="K2688" t="s">
        <v>1357</v>
      </c>
      <c r="L2688" t="s">
        <v>1357</v>
      </c>
    </row>
    <row r="2689" spans="6:12">
      <c r="H2689" t="s">
        <v>20227</v>
      </c>
      <c r="I2689" t="s">
        <v>1357</v>
      </c>
      <c r="J2689" t="s">
        <v>1357</v>
      </c>
      <c r="K2689" t="s">
        <v>1357</v>
      </c>
      <c r="L2689" t="s">
        <v>1357</v>
      </c>
    </row>
    <row r="2690" spans="6:12">
      <c r="H2690" t="s">
        <v>20296</v>
      </c>
      <c r="I2690" t="s">
        <v>1357</v>
      </c>
      <c r="J2690" t="s">
        <v>1357</v>
      </c>
      <c r="K2690" t="s">
        <v>1357</v>
      </c>
      <c r="L2690" t="s">
        <v>1357</v>
      </c>
    </row>
    <row r="2691" spans="6:12">
      <c r="H2691" t="s">
        <v>20297</v>
      </c>
      <c r="I2691" t="s">
        <v>1357</v>
      </c>
      <c r="J2691" t="s">
        <v>1357</v>
      </c>
      <c r="K2691" t="s">
        <v>1357</v>
      </c>
      <c r="L2691" t="s">
        <v>1357</v>
      </c>
    </row>
    <row r="2692" spans="6:12">
      <c r="H2692" t="s">
        <v>20234</v>
      </c>
      <c r="I2692" t="s">
        <v>1357</v>
      </c>
      <c r="J2692" t="s">
        <v>1357</v>
      </c>
      <c r="K2692" t="s">
        <v>1357</v>
      </c>
      <c r="L2692" t="s">
        <v>1357</v>
      </c>
    </row>
    <row r="2693" spans="6:12">
      <c r="H2693" t="s">
        <v>20235</v>
      </c>
      <c r="I2693" t="s">
        <v>1357</v>
      </c>
      <c r="J2693" t="s">
        <v>1357</v>
      </c>
      <c r="K2693" t="s">
        <v>1357</v>
      </c>
      <c r="L2693" t="s">
        <v>1357</v>
      </c>
    </row>
    <row r="2694" spans="6:12">
      <c r="H2694" t="s">
        <v>20298</v>
      </c>
      <c r="I2694" t="s">
        <v>1357</v>
      </c>
      <c r="J2694" t="s">
        <v>1357</v>
      </c>
      <c r="K2694" t="s">
        <v>1357</v>
      </c>
      <c r="L2694" t="s">
        <v>1357</v>
      </c>
    </row>
    <row r="2695" spans="6:12">
      <c r="H2695" t="s">
        <v>20299</v>
      </c>
      <c r="I2695" t="s">
        <v>1357</v>
      </c>
      <c r="J2695" t="s">
        <v>1357</v>
      </c>
      <c r="K2695" t="s">
        <v>1357</v>
      </c>
      <c r="L2695" t="s">
        <v>1357</v>
      </c>
    </row>
    <row r="2696" spans="6:12">
      <c r="H2696" t="s">
        <v>20300</v>
      </c>
      <c r="I2696" t="s">
        <v>1357</v>
      </c>
      <c r="J2696" t="s">
        <v>1357</v>
      </c>
      <c r="K2696" t="s">
        <v>1357</v>
      </c>
      <c r="L2696" t="s">
        <v>1357</v>
      </c>
    </row>
    <row r="2697" spans="6:12">
      <c r="H2697" t="s">
        <v>20301</v>
      </c>
      <c r="I2697" t="s">
        <v>1357</v>
      </c>
      <c r="J2697" t="s">
        <v>1357</v>
      </c>
      <c r="K2697" t="s">
        <v>1357</v>
      </c>
      <c r="L2697" t="s">
        <v>1357</v>
      </c>
    </row>
    <row r="2698" spans="6:12">
      <c r="H2698" t="s">
        <v>20302</v>
      </c>
      <c r="I2698" t="s">
        <v>1357</v>
      </c>
      <c r="J2698" t="s">
        <v>1357</v>
      </c>
      <c r="K2698" t="s">
        <v>1357</v>
      </c>
      <c r="L2698" t="s">
        <v>1357</v>
      </c>
    </row>
    <row r="2699" spans="6:12">
      <c r="H2699" t="s">
        <v>20284</v>
      </c>
      <c r="I2699" t="s">
        <v>1357</v>
      </c>
      <c r="J2699" t="s">
        <v>1357</v>
      </c>
      <c r="K2699" t="s">
        <v>1357</v>
      </c>
      <c r="L2699" t="s">
        <v>1357</v>
      </c>
    </row>
    <row r="2700" spans="6:12">
      <c r="H2700" t="s">
        <v>20285</v>
      </c>
      <c r="I2700" t="s">
        <v>1357</v>
      </c>
      <c r="J2700" t="s">
        <v>1357</v>
      </c>
      <c r="K2700" t="s">
        <v>1357</v>
      </c>
      <c r="L2700" t="s">
        <v>1357</v>
      </c>
    </row>
    <row r="2701" spans="6:12">
      <c r="H2701" t="s">
        <v>20286</v>
      </c>
      <c r="I2701" t="s">
        <v>1357</v>
      </c>
      <c r="J2701" t="s">
        <v>1357</v>
      </c>
      <c r="K2701" t="s">
        <v>1357</v>
      </c>
      <c r="L2701" t="s">
        <v>1357</v>
      </c>
    </row>
    <row r="2702" spans="6:12">
      <c r="H2702" t="s">
        <v>20287</v>
      </c>
      <c r="I2702" t="s">
        <v>1357</v>
      </c>
      <c r="J2702" t="s">
        <v>1357</v>
      </c>
      <c r="K2702" t="s">
        <v>1357</v>
      </c>
      <c r="L2702" t="s">
        <v>1357</v>
      </c>
    </row>
    <row r="2703" spans="6:12">
      <c r="F2703" t="s">
        <v>14949</v>
      </c>
      <c r="G2703" t="s">
        <v>17427</v>
      </c>
      <c r="H2703" t="s">
        <v>20280</v>
      </c>
      <c r="I2703" t="s">
        <v>1357</v>
      </c>
      <c r="J2703" t="s">
        <v>1357</v>
      </c>
      <c r="K2703" t="s">
        <v>1357</v>
      </c>
      <c r="L2703" t="s">
        <v>1357</v>
      </c>
    </row>
    <row r="2704" spans="6:12">
      <c r="H2704" t="s">
        <v>20233</v>
      </c>
      <c r="I2704" t="s">
        <v>1357</v>
      </c>
      <c r="J2704" t="s">
        <v>1357</v>
      </c>
      <c r="K2704" t="s">
        <v>1357</v>
      </c>
      <c r="L2704" t="s">
        <v>1357</v>
      </c>
    </row>
    <row r="2705" spans="6:12">
      <c r="H2705" t="s">
        <v>20230</v>
      </c>
      <c r="I2705" t="s">
        <v>1357</v>
      </c>
      <c r="J2705" t="s">
        <v>1357</v>
      </c>
      <c r="K2705" t="s">
        <v>1357</v>
      </c>
      <c r="L2705" t="s">
        <v>1357</v>
      </c>
    </row>
    <row r="2706" spans="6:12">
      <c r="H2706" t="s">
        <v>20227</v>
      </c>
      <c r="I2706" t="s">
        <v>1357</v>
      </c>
      <c r="J2706" t="s">
        <v>1357</v>
      </c>
      <c r="K2706" t="s">
        <v>1357</v>
      </c>
      <c r="L2706" t="s">
        <v>1357</v>
      </c>
    </row>
    <row r="2707" spans="6:12">
      <c r="H2707" t="s">
        <v>20296</v>
      </c>
      <c r="I2707" t="s">
        <v>1357</v>
      </c>
      <c r="J2707" t="s">
        <v>1357</v>
      </c>
      <c r="K2707" t="s">
        <v>1357</v>
      </c>
      <c r="L2707" t="s">
        <v>1357</v>
      </c>
    </row>
    <row r="2708" spans="6:12">
      <c r="H2708" t="s">
        <v>20297</v>
      </c>
      <c r="I2708" t="s">
        <v>1357</v>
      </c>
      <c r="J2708" t="s">
        <v>1357</v>
      </c>
      <c r="K2708" t="s">
        <v>1357</v>
      </c>
      <c r="L2708" t="s">
        <v>1357</v>
      </c>
    </row>
    <row r="2709" spans="6:12">
      <c r="H2709" t="s">
        <v>20234</v>
      </c>
      <c r="I2709" t="s">
        <v>1357</v>
      </c>
      <c r="J2709" t="s">
        <v>1357</v>
      </c>
      <c r="K2709" t="s">
        <v>1357</v>
      </c>
      <c r="L2709" t="s">
        <v>1357</v>
      </c>
    </row>
    <row r="2710" spans="6:12">
      <c r="H2710" t="s">
        <v>20235</v>
      </c>
      <c r="I2710" t="s">
        <v>1357</v>
      </c>
      <c r="J2710" t="s">
        <v>1357</v>
      </c>
      <c r="K2710" t="s">
        <v>1357</v>
      </c>
      <c r="L2710" t="s">
        <v>1357</v>
      </c>
    </row>
    <row r="2711" spans="6:12">
      <c r="H2711" t="s">
        <v>20298</v>
      </c>
      <c r="I2711" t="s">
        <v>1357</v>
      </c>
      <c r="J2711" t="s">
        <v>1357</v>
      </c>
      <c r="K2711" t="s">
        <v>1357</v>
      </c>
      <c r="L2711" t="s">
        <v>1357</v>
      </c>
    </row>
    <row r="2712" spans="6:12">
      <c r="H2712" t="s">
        <v>20299</v>
      </c>
      <c r="I2712" t="s">
        <v>1357</v>
      </c>
      <c r="J2712" t="s">
        <v>1357</v>
      </c>
      <c r="K2712" t="s">
        <v>1357</v>
      </c>
      <c r="L2712" t="s">
        <v>1357</v>
      </c>
    </row>
    <row r="2713" spans="6:12">
      <c r="H2713" t="s">
        <v>20300</v>
      </c>
      <c r="I2713" t="s">
        <v>1357</v>
      </c>
      <c r="J2713" t="s">
        <v>1357</v>
      </c>
      <c r="K2713" t="s">
        <v>1357</v>
      </c>
      <c r="L2713" t="s">
        <v>1357</v>
      </c>
    </row>
    <row r="2714" spans="6:12">
      <c r="H2714" t="s">
        <v>20301</v>
      </c>
      <c r="I2714" t="s">
        <v>1357</v>
      </c>
      <c r="J2714" t="s">
        <v>1357</v>
      </c>
      <c r="K2714" t="s">
        <v>1357</v>
      </c>
      <c r="L2714" t="s">
        <v>1357</v>
      </c>
    </row>
    <row r="2715" spans="6:12">
      <c r="H2715" t="s">
        <v>20302</v>
      </c>
      <c r="I2715" t="s">
        <v>1357</v>
      </c>
      <c r="J2715" t="s">
        <v>1357</v>
      </c>
      <c r="K2715" t="s">
        <v>1357</v>
      </c>
      <c r="L2715" t="s">
        <v>1357</v>
      </c>
    </row>
    <row r="2716" spans="6:12">
      <c r="H2716" t="s">
        <v>20284</v>
      </c>
      <c r="I2716" t="s">
        <v>1357</v>
      </c>
      <c r="J2716" t="s">
        <v>1357</v>
      </c>
      <c r="K2716" t="s">
        <v>1357</v>
      </c>
      <c r="L2716" t="s">
        <v>1357</v>
      </c>
    </row>
    <row r="2717" spans="6:12">
      <c r="H2717" t="s">
        <v>20285</v>
      </c>
      <c r="I2717" t="s">
        <v>1357</v>
      </c>
      <c r="J2717" t="s">
        <v>1357</v>
      </c>
      <c r="K2717" t="s">
        <v>1357</v>
      </c>
      <c r="L2717" t="s">
        <v>1357</v>
      </c>
    </row>
    <row r="2718" spans="6:12">
      <c r="H2718" t="s">
        <v>20286</v>
      </c>
      <c r="I2718" t="s">
        <v>1357</v>
      </c>
      <c r="J2718" t="s">
        <v>1357</v>
      </c>
      <c r="K2718" t="s">
        <v>1357</v>
      </c>
      <c r="L2718" t="s">
        <v>1357</v>
      </c>
    </row>
    <row r="2719" spans="6:12">
      <c r="H2719" t="s">
        <v>20287</v>
      </c>
      <c r="I2719" t="s">
        <v>1357</v>
      </c>
      <c r="J2719" t="s">
        <v>1357</v>
      </c>
      <c r="K2719" t="s">
        <v>1357</v>
      </c>
      <c r="L2719" t="s">
        <v>1357</v>
      </c>
    </row>
    <row r="2720" spans="6:12">
      <c r="F2720" t="s">
        <v>14950</v>
      </c>
      <c r="G2720" t="s">
        <v>17428</v>
      </c>
      <c r="H2720" t="s">
        <v>20280</v>
      </c>
      <c r="I2720" t="s">
        <v>1357</v>
      </c>
      <c r="J2720" t="s">
        <v>1357</v>
      </c>
      <c r="K2720" t="s">
        <v>1357</v>
      </c>
      <c r="L2720" t="s">
        <v>1357</v>
      </c>
    </row>
    <row r="2721" spans="8:12">
      <c r="H2721" t="s">
        <v>20233</v>
      </c>
      <c r="I2721" t="s">
        <v>1357</v>
      </c>
      <c r="J2721" t="s">
        <v>1357</v>
      </c>
      <c r="K2721" t="s">
        <v>1357</v>
      </c>
      <c r="L2721" t="s">
        <v>1357</v>
      </c>
    </row>
    <row r="2722" spans="8:12">
      <c r="H2722" t="s">
        <v>20230</v>
      </c>
      <c r="I2722" t="s">
        <v>1357</v>
      </c>
      <c r="J2722" t="s">
        <v>1357</v>
      </c>
      <c r="K2722" t="s">
        <v>1357</v>
      </c>
      <c r="L2722" t="s">
        <v>1357</v>
      </c>
    </row>
    <row r="2723" spans="8:12">
      <c r="H2723" t="s">
        <v>20228</v>
      </c>
      <c r="I2723" t="s">
        <v>1357</v>
      </c>
      <c r="J2723" t="s">
        <v>1357</v>
      </c>
      <c r="K2723" t="s">
        <v>1357</v>
      </c>
      <c r="L2723" t="s">
        <v>1357</v>
      </c>
    </row>
    <row r="2724" spans="8:12">
      <c r="H2724" t="s">
        <v>20296</v>
      </c>
      <c r="I2724" t="s">
        <v>1357</v>
      </c>
      <c r="J2724" t="s">
        <v>1357</v>
      </c>
      <c r="K2724" t="s">
        <v>1357</v>
      </c>
      <c r="L2724" t="s">
        <v>1357</v>
      </c>
    </row>
    <row r="2725" spans="8:12">
      <c r="H2725" t="s">
        <v>20297</v>
      </c>
      <c r="I2725" t="s">
        <v>1357</v>
      </c>
      <c r="J2725" t="s">
        <v>1357</v>
      </c>
      <c r="K2725" t="s">
        <v>1357</v>
      </c>
      <c r="L2725" t="s">
        <v>1357</v>
      </c>
    </row>
    <row r="2726" spans="8:12">
      <c r="H2726" t="s">
        <v>20234</v>
      </c>
      <c r="I2726" t="s">
        <v>1357</v>
      </c>
      <c r="J2726" t="s">
        <v>1357</v>
      </c>
      <c r="K2726" t="s">
        <v>1357</v>
      </c>
      <c r="L2726" t="s">
        <v>1357</v>
      </c>
    </row>
    <row r="2727" spans="8:12">
      <c r="H2727" t="s">
        <v>20235</v>
      </c>
      <c r="I2727" t="s">
        <v>1357</v>
      </c>
      <c r="J2727" t="s">
        <v>1357</v>
      </c>
      <c r="K2727" t="s">
        <v>1357</v>
      </c>
      <c r="L2727" t="s">
        <v>1357</v>
      </c>
    </row>
    <row r="2728" spans="8:12">
      <c r="H2728" t="s">
        <v>20298</v>
      </c>
      <c r="I2728" t="s">
        <v>1357</v>
      </c>
      <c r="J2728" t="s">
        <v>1357</v>
      </c>
      <c r="K2728" t="s">
        <v>1357</v>
      </c>
      <c r="L2728" t="s">
        <v>1357</v>
      </c>
    </row>
    <row r="2729" spans="8:12">
      <c r="H2729" t="s">
        <v>20299</v>
      </c>
      <c r="I2729" t="s">
        <v>1357</v>
      </c>
      <c r="J2729" t="s">
        <v>1357</v>
      </c>
      <c r="K2729" t="s">
        <v>1357</v>
      </c>
      <c r="L2729" t="s">
        <v>1357</v>
      </c>
    </row>
    <row r="2730" spans="8:12">
      <c r="H2730" t="s">
        <v>20300</v>
      </c>
      <c r="I2730" t="s">
        <v>1357</v>
      </c>
      <c r="J2730" t="s">
        <v>1357</v>
      </c>
      <c r="K2730" t="s">
        <v>1357</v>
      </c>
      <c r="L2730" t="s">
        <v>1357</v>
      </c>
    </row>
    <row r="2731" spans="8:12">
      <c r="H2731" t="s">
        <v>20301</v>
      </c>
      <c r="I2731" t="s">
        <v>1357</v>
      </c>
      <c r="J2731" t="s">
        <v>1357</v>
      </c>
      <c r="K2731" t="s">
        <v>1357</v>
      </c>
      <c r="L2731" t="s">
        <v>1357</v>
      </c>
    </row>
    <row r="2732" spans="8:12">
      <c r="H2732" t="s">
        <v>20302</v>
      </c>
      <c r="I2732" t="s">
        <v>1357</v>
      </c>
      <c r="J2732" t="s">
        <v>1357</v>
      </c>
      <c r="K2732" t="s">
        <v>1357</v>
      </c>
      <c r="L2732" t="s">
        <v>1357</v>
      </c>
    </row>
    <row r="2733" spans="8:12">
      <c r="H2733" t="s">
        <v>20284</v>
      </c>
      <c r="I2733" t="s">
        <v>1357</v>
      </c>
      <c r="J2733" t="s">
        <v>1357</v>
      </c>
      <c r="K2733" t="s">
        <v>1357</v>
      </c>
      <c r="L2733" t="s">
        <v>1357</v>
      </c>
    </row>
    <row r="2734" spans="8:12">
      <c r="H2734" t="s">
        <v>20285</v>
      </c>
      <c r="I2734" t="s">
        <v>1357</v>
      </c>
      <c r="J2734" t="s">
        <v>1357</v>
      </c>
      <c r="K2734" t="s">
        <v>1357</v>
      </c>
      <c r="L2734" t="s">
        <v>1357</v>
      </c>
    </row>
    <row r="2735" spans="8:12">
      <c r="H2735" t="s">
        <v>20286</v>
      </c>
      <c r="I2735" t="s">
        <v>1357</v>
      </c>
      <c r="J2735" t="s">
        <v>1357</v>
      </c>
      <c r="K2735" t="s">
        <v>1357</v>
      </c>
      <c r="L2735" t="s">
        <v>1357</v>
      </c>
    </row>
    <row r="2736" spans="8:12">
      <c r="H2736" t="s">
        <v>20287</v>
      </c>
      <c r="I2736" t="s">
        <v>1357</v>
      </c>
      <c r="J2736" t="s">
        <v>1357</v>
      </c>
      <c r="K2736" t="s">
        <v>1357</v>
      </c>
      <c r="L2736" t="s">
        <v>1357</v>
      </c>
    </row>
    <row r="2737" spans="6:12">
      <c r="F2737" t="s">
        <v>14951</v>
      </c>
      <c r="G2737" t="s">
        <v>17429</v>
      </c>
      <c r="H2737" t="s">
        <v>20280</v>
      </c>
      <c r="I2737" t="s">
        <v>1357</v>
      </c>
      <c r="J2737" t="s">
        <v>1357</v>
      </c>
      <c r="K2737" t="s">
        <v>1357</v>
      </c>
      <c r="L2737" t="s">
        <v>1357</v>
      </c>
    </row>
    <row r="2738" spans="6:12">
      <c r="H2738" t="s">
        <v>20233</v>
      </c>
      <c r="I2738" t="s">
        <v>1357</v>
      </c>
      <c r="J2738" t="s">
        <v>1357</v>
      </c>
      <c r="K2738" t="s">
        <v>1357</v>
      </c>
      <c r="L2738" t="s">
        <v>1357</v>
      </c>
    </row>
    <row r="2739" spans="6:12">
      <c r="H2739" t="s">
        <v>20230</v>
      </c>
      <c r="I2739" t="s">
        <v>1357</v>
      </c>
      <c r="J2739" t="s">
        <v>1357</v>
      </c>
      <c r="K2739" t="s">
        <v>1357</v>
      </c>
      <c r="L2739" t="s">
        <v>1357</v>
      </c>
    </row>
    <row r="2740" spans="6:12">
      <c r="H2740" t="s">
        <v>20228</v>
      </c>
      <c r="I2740" t="s">
        <v>1357</v>
      </c>
      <c r="J2740" t="s">
        <v>1357</v>
      </c>
      <c r="K2740" t="s">
        <v>1357</v>
      </c>
      <c r="L2740" t="s">
        <v>1357</v>
      </c>
    </row>
    <row r="2741" spans="6:12">
      <c r="H2741" t="s">
        <v>20296</v>
      </c>
      <c r="I2741" t="s">
        <v>1357</v>
      </c>
      <c r="J2741" t="s">
        <v>1357</v>
      </c>
      <c r="K2741" t="s">
        <v>1357</v>
      </c>
      <c r="L2741" t="s">
        <v>1357</v>
      </c>
    </row>
    <row r="2742" spans="6:12">
      <c r="H2742" t="s">
        <v>20297</v>
      </c>
      <c r="I2742" t="s">
        <v>1357</v>
      </c>
      <c r="J2742" t="s">
        <v>1357</v>
      </c>
      <c r="K2742" t="s">
        <v>1357</v>
      </c>
      <c r="L2742" t="s">
        <v>1357</v>
      </c>
    </row>
    <row r="2743" spans="6:12">
      <c r="H2743" t="s">
        <v>20234</v>
      </c>
      <c r="I2743" t="s">
        <v>1357</v>
      </c>
      <c r="J2743" t="s">
        <v>1357</v>
      </c>
      <c r="K2743" t="s">
        <v>1357</v>
      </c>
      <c r="L2743" t="s">
        <v>1357</v>
      </c>
    </row>
    <row r="2744" spans="6:12">
      <c r="H2744" t="s">
        <v>20235</v>
      </c>
      <c r="I2744" t="s">
        <v>1357</v>
      </c>
      <c r="J2744" t="s">
        <v>1357</v>
      </c>
      <c r="K2744" t="s">
        <v>1357</v>
      </c>
      <c r="L2744" t="s">
        <v>1357</v>
      </c>
    </row>
    <row r="2745" spans="6:12">
      <c r="H2745" t="s">
        <v>20298</v>
      </c>
      <c r="I2745" t="s">
        <v>1357</v>
      </c>
      <c r="J2745" t="s">
        <v>1357</v>
      </c>
      <c r="K2745" t="s">
        <v>1357</v>
      </c>
      <c r="L2745" t="s">
        <v>1357</v>
      </c>
    </row>
    <row r="2746" spans="6:12">
      <c r="H2746" t="s">
        <v>20299</v>
      </c>
      <c r="I2746" t="s">
        <v>1357</v>
      </c>
      <c r="J2746" t="s">
        <v>1357</v>
      </c>
      <c r="K2746" t="s">
        <v>1357</v>
      </c>
      <c r="L2746" t="s">
        <v>1357</v>
      </c>
    </row>
    <row r="2747" spans="6:12">
      <c r="H2747" t="s">
        <v>20300</v>
      </c>
      <c r="I2747" t="s">
        <v>1357</v>
      </c>
      <c r="J2747" t="s">
        <v>1357</v>
      </c>
      <c r="K2747" t="s">
        <v>1357</v>
      </c>
      <c r="L2747" t="s">
        <v>1357</v>
      </c>
    </row>
    <row r="2748" spans="6:12">
      <c r="H2748" t="s">
        <v>20301</v>
      </c>
      <c r="I2748" t="s">
        <v>1357</v>
      </c>
      <c r="J2748" t="s">
        <v>1357</v>
      </c>
      <c r="K2748" t="s">
        <v>1357</v>
      </c>
      <c r="L2748" t="s">
        <v>1357</v>
      </c>
    </row>
    <row r="2749" spans="6:12">
      <c r="H2749" t="s">
        <v>20302</v>
      </c>
      <c r="I2749" t="s">
        <v>1357</v>
      </c>
      <c r="J2749" t="s">
        <v>1357</v>
      </c>
      <c r="K2749" t="s">
        <v>1357</v>
      </c>
      <c r="L2749" t="s">
        <v>1357</v>
      </c>
    </row>
    <row r="2750" spans="6:12">
      <c r="H2750" t="s">
        <v>20284</v>
      </c>
      <c r="I2750" t="s">
        <v>1357</v>
      </c>
      <c r="J2750" t="s">
        <v>1357</v>
      </c>
      <c r="K2750" t="s">
        <v>1357</v>
      </c>
      <c r="L2750" t="s">
        <v>1357</v>
      </c>
    </row>
    <row r="2751" spans="6:12">
      <c r="H2751" t="s">
        <v>20285</v>
      </c>
      <c r="I2751" t="s">
        <v>1357</v>
      </c>
      <c r="J2751" t="s">
        <v>1357</v>
      </c>
      <c r="K2751" t="s">
        <v>1357</v>
      </c>
      <c r="L2751" t="s">
        <v>1357</v>
      </c>
    </row>
    <row r="2752" spans="6:12">
      <c r="H2752" t="s">
        <v>20286</v>
      </c>
      <c r="I2752" t="s">
        <v>1357</v>
      </c>
      <c r="J2752" t="s">
        <v>1357</v>
      </c>
      <c r="K2752" t="s">
        <v>1357</v>
      </c>
      <c r="L2752" t="s">
        <v>1357</v>
      </c>
    </row>
    <row r="2753" spans="6:12">
      <c r="H2753" t="s">
        <v>20287</v>
      </c>
      <c r="I2753" t="s">
        <v>1357</v>
      </c>
      <c r="J2753" t="s">
        <v>1357</v>
      </c>
      <c r="K2753" t="s">
        <v>1357</v>
      </c>
      <c r="L2753" t="s">
        <v>1357</v>
      </c>
    </row>
    <row r="2754" spans="6:12">
      <c r="F2754" t="s">
        <v>14952</v>
      </c>
      <c r="G2754" t="s">
        <v>17430</v>
      </c>
      <c r="H2754" t="s">
        <v>20280</v>
      </c>
      <c r="I2754" t="s">
        <v>1357</v>
      </c>
      <c r="J2754" t="s">
        <v>1357</v>
      </c>
      <c r="K2754" t="s">
        <v>1357</v>
      </c>
      <c r="L2754" t="s">
        <v>1357</v>
      </c>
    </row>
    <row r="2755" spans="6:12">
      <c r="H2755" t="s">
        <v>20233</v>
      </c>
      <c r="I2755" t="s">
        <v>1357</v>
      </c>
      <c r="J2755" t="s">
        <v>1357</v>
      </c>
      <c r="K2755" t="s">
        <v>1357</v>
      </c>
      <c r="L2755" t="s">
        <v>1357</v>
      </c>
    </row>
    <row r="2756" spans="6:12">
      <c r="H2756" t="s">
        <v>20230</v>
      </c>
      <c r="I2756" t="s">
        <v>1357</v>
      </c>
      <c r="J2756" t="s">
        <v>1357</v>
      </c>
      <c r="K2756" t="s">
        <v>1357</v>
      </c>
      <c r="L2756" t="s">
        <v>1357</v>
      </c>
    </row>
    <row r="2757" spans="6:12">
      <c r="H2757" t="s">
        <v>20227</v>
      </c>
      <c r="I2757" t="s">
        <v>1357</v>
      </c>
      <c r="J2757" t="s">
        <v>1357</v>
      </c>
      <c r="K2757" t="s">
        <v>1357</v>
      </c>
      <c r="L2757" t="s">
        <v>1357</v>
      </c>
    </row>
    <row r="2758" spans="6:12">
      <c r="H2758" t="s">
        <v>20228</v>
      </c>
      <c r="I2758" t="s">
        <v>1357</v>
      </c>
      <c r="J2758" t="s">
        <v>1357</v>
      </c>
      <c r="K2758" t="s">
        <v>1357</v>
      </c>
      <c r="L2758" t="s">
        <v>1357</v>
      </c>
    </row>
    <row r="2759" spans="6:12">
      <c r="H2759" t="s">
        <v>20232</v>
      </c>
      <c r="I2759" t="s">
        <v>1357</v>
      </c>
      <c r="J2759" t="s">
        <v>1357</v>
      </c>
      <c r="K2759" t="s">
        <v>1357</v>
      </c>
      <c r="L2759" t="s">
        <v>1357</v>
      </c>
    </row>
    <row r="2760" spans="6:12">
      <c r="H2760" t="s">
        <v>20229</v>
      </c>
      <c r="I2760" t="s">
        <v>1357</v>
      </c>
      <c r="J2760" t="s">
        <v>1357</v>
      </c>
      <c r="K2760" t="s">
        <v>1357</v>
      </c>
      <c r="L2760" t="s">
        <v>1357</v>
      </c>
    </row>
    <row r="2761" spans="6:12">
      <c r="H2761" t="s">
        <v>20296</v>
      </c>
      <c r="I2761" t="s">
        <v>1357</v>
      </c>
      <c r="J2761" t="s">
        <v>1357</v>
      </c>
      <c r="K2761" t="s">
        <v>1357</v>
      </c>
      <c r="L2761" t="s">
        <v>1357</v>
      </c>
    </row>
    <row r="2762" spans="6:12">
      <c r="H2762" t="s">
        <v>20297</v>
      </c>
      <c r="I2762" t="s">
        <v>1357</v>
      </c>
      <c r="J2762" t="s">
        <v>1357</v>
      </c>
      <c r="K2762" t="s">
        <v>1357</v>
      </c>
      <c r="L2762" t="s">
        <v>1357</v>
      </c>
    </row>
    <row r="2763" spans="6:12">
      <c r="H2763" t="s">
        <v>20234</v>
      </c>
      <c r="I2763" t="s">
        <v>1357</v>
      </c>
      <c r="J2763" t="s">
        <v>1357</v>
      </c>
      <c r="K2763" t="s">
        <v>1357</v>
      </c>
      <c r="L2763" t="s">
        <v>1357</v>
      </c>
    </row>
    <row r="2764" spans="6:12">
      <c r="H2764" t="s">
        <v>20235</v>
      </c>
      <c r="I2764" t="s">
        <v>1357</v>
      </c>
      <c r="J2764" t="s">
        <v>1357</v>
      </c>
      <c r="K2764" t="s">
        <v>1357</v>
      </c>
      <c r="L2764" t="s">
        <v>1357</v>
      </c>
    </row>
    <row r="2765" spans="6:12">
      <c r="H2765" t="s">
        <v>20298</v>
      </c>
      <c r="I2765" t="s">
        <v>1357</v>
      </c>
      <c r="J2765" t="s">
        <v>1357</v>
      </c>
      <c r="K2765" t="s">
        <v>1357</v>
      </c>
      <c r="L2765" t="s">
        <v>1357</v>
      </c>
    </row>
    <row r="2766" spans="6:12">
      <c r="H2766" t="s">
        <v>20299</v>
      </c>
      <c r="I2766" t="s">
        <v>1357</v>
      </c>
      <c r="J2766" t="s">
        <v>1357</v>
      </c>
      <c r="K2766" t="s">
        <v>1357</v>
      </c>
      <c r="L2766" t="s">
        <v>1357</v>
      </c>
    </row>
    <row r="2767" spans="6:12">
      <c r="H2767" t="s">
        <v>20284</v>
      </c>
      <c r="I2767" t="s">
        <v>1357</v>
      </c>
      <c r="J2767" t="s">
        <v>1357</v>
      </c>
      <c r="K2767" t="s">
        <v>1357</v>
      </c>
      <c r="L2767" t="s">
        <v>1357</v>
      </c>
    </row>
    <row r="2768" spans="6:12">
      <c r="H2768" t="s">
        <v>20285</v>
      </c>
      <c r="I2768" t="s">
        <v>1357</v>
      </c>
      <c r="J2768" t="s">
        <v>1357</v>
      </c>
      <c r="K2768" t="s">
        <v>1357</v>
      </c>
      <c r="L2768" t="s">
        <v>1357</v>
      </c>
    </row>
    <row r="2769" spans="6:12">
      <c r="H2769" t="s">
        <v>20286</v>
      </c>
      <c r="I2769" t="s">
        <v>1357</v>
      </c>
      <c r="J2769" t="s">
        <v>1357</v>
      </c>
      <c r="K2769" t="s">
        <v>1357</v>
      </c>
      <c r="L2769" t="s">
        <v>1357</v>
      </c>
    </row>
    <row r="2770" spans="6:12">
      <c r="H2770" t="s">
        <v>20287</v>
      </c>
      <c r="I2770" t="s">
        <v>1357</v>
      </c>
      <c r="J2770" t="s">
        <v>1357</v>
      </c>
      <c r="K2770" t="s">
        <v>1357</v>
      </c>
      <c r="L2770" t="s">
        <v>1357</v>
      </c>
    </row>
    <row r="2771" spans="6:12">
      <c r="F2771" t="s">
        <v>14953</v>
      </c>
      <c r="G2771" t="s">
        <v>17431</v>
      </c>
      <c r="H2771" t="s">
        <v>20280</v>
      </c>
      <c r="I2771" t="s">
        <v>1357</v>
      </c>
      <c r="J2771" t="s">
        <v>1357</v>
      </c>
      <c r="K2771" t="s">
        <v>1357</v>
      </c>
      <c r="L2771" t="s">
        <v>1357</v>
      </c>
    </row>
    <row r="2772" spans="6:12">
      <c r="H2772" t="s">
        <v>20233</v>
      </c>
      <c r="I2772" t="s">
        <v>1357</v>
      </c>
      <c r="J2772" t="s">
        <v>1357</v>
      </c>
      <c r="K2772" t="s">
        <v>1357</v>
      </c>
      <c r="L2772" t="s">
        <v>1357</v>
      </c>
    </row>
    <row r="2773" spans="6:12">
      <c r="H2773" t="s">
        <v>20230</v>
      </c>
      <c r="I2773" t="s">
        <v>1357</v>
      </c>
      <c r="J2773" t="s">
        <v>1357</v>
      </c>
      <c r="K2773" t="s">
        <v>1357</v>
      </c>
      <c r="L2773" t="s">
        <v>1357</v>
      </c>
    </row>
    <row r="2774" spans="6:12">
      <c r="H2774" t="s">
        <v>20227</v>
      </c>
      <c r="I2774" t="s">
        <v>1357</v>
      </c>
      <c r="J2774" t="s">
        <v>1357</v>
      </c>
      <c r="K2774" t="s">
        <v>1357</v>
      </c>
      <c r="L2774" t="s">
        <v>1357</v>
      </c>
    </row>
    <row r="2775" spans="6:12">
      <c r="H2775" t="s">
        <v>20228</v>
      </c>
      <c r="I2775" t="s">
        <v>1357</v>
      </c>
      <c r="J2775" t="s">
        <v>1357</v>
      </c>
      <c r="K2775" t="s">
        <v>1357</v>
      </c>
      <c r="L2775" t="s">
        <v>1357</v>
      </c>
    </row>
    <row r="2776" spans="6:12">
      <c r="H2776" t="s">
        <v>20232</v>
      </c>
      <c r="I2776" t="s">
        <v>1357</v>
      </c>
      <c r="J2776" t="s">
        <v>1357</v>
      </c>
      <c r="K2776" t="s">
        <v>1357</v>
      </c>
      <c r="L2776" t="s">
        <v>1357</v>
      </c>
    </row>
    <row r="2777" spans="6:12">
      <c r="H2777" t="s">
        <v>20229</v>
      </c>
      <c r="I2777" t="s">
        <v>1357</v>
      </c>
      <c r="J2777" t="s">
        <v>1357</v>
      </c>
      <c r="K2777" t="s">
        <v>1357</v>
      </c>
      <c r="L2777" t="s">
        <v>1357</v>
      </c>
    </row>
    <row r="2778" spans="6:12">
      <c r="H2778" t="s">
        <v>20296</v>
      </c>
      <c r="I2778" t="s">
        <v>1357</v>
      </c>
      <c r="J2778" t="s">
        <v>1357</v>
      </c>
      <c r="K2778" t="s">
        <v>1357</v>
      </c>
      <c r="L2778" t="s">
        <v>1357</v>
      </c>
    </row>
    <row r="2779" spans="6:12">
      <c r="H2779" t="s">
        <v>20297</v>
      </c>
      <c r="I2779" t="s">
        <v>1357</v>
      </c>
      <c r="J2779" t="s">
        <v>1357</v>
      </c>
      <c r="K2779" t="s">
        <v>1357</v>
      </c>
      <c r="L2779" t="s">
        <v>1357</v>
      </c>
    </row>
    <row r="2780" spans="6:12">
      <c r="H2780" t="s">
        <v>20234</v>
      </c>
      <c r="I2780" t="s">
        <v>1357</v>
      </c>
      <c r="J2780" t="s">
        <v>1357</v>
      </c>
      <c r="K2780" t="s">
        <v>1357</v>
      </c>
      <c r="L2780" t="s">
        <v>1357</v>
      </c>
    </row>
    <row r="2781" spans="6:12">
      <c r="H2781" t="s">
        <v>20235</v>
      </c>
      <c r="I2781" t="s">
        <v>1357</v>
      </c>
      <c r="J2781" t="s">
        <v>1357</v>
      </c>
      <c r="K2781" t="s">
        <v>1357</v>
      </c>
      <c r="L2781" t="s">
        <v>1357</v>
      </c>
    </row>
    <row r="2782" spans="6:12">
      <c r="H2782" t="s">
        <v>20298</v>
      </c>
      <c r="I2782" t="s">
        <v>1357</v>
      </c>
      <c r="J2782" t="s">
        <v>1357</v>
      </c>
      <c r="K2782" t="s">
        <v>1357</v>
      </c>
      <c r="L2782" t="s">
        <v>1357</v>
      </c>
    </row>
    <row r="2783" spans="6:12">
      <c r="H2783" t="s">
        <v>20299</v>
      </c>
      <c r="I2783" t="s">
        <v>1357</v>
      </c>
      <c r="J2783" t="s">
        <v>1357</v>
      </c>
      <c r="K2783" t="s">
        <v>1357</v>
      </c>
      <c r="L2783" t="s">
        <v>1357</v>
      </c>
    </row>
    <row r="2784" spans="6:12">
      <c r="H2784" t="s">
        <v>20284</v>
      </c>
      <c r="I2784" t="s">
        <v>1357</v>
      </c>
      <c r="J2784" t="s">
        <v>1357</v>
      </c>
      <c r="K2784" t="s">
        <v>1357</v>
      </c>
      <c r="L2784" t="s">
        <v>1357</v>
      </c>
    </row>
    <row r="2785" spans="6:12">
      <c r="H2785" t="s">
        <v>20285</v>
      </c>
      <c r="I2785" t="s">
        <v>1357</v>
      </c>
      <c r="J2785" t="s">
        <v>1357</v>
      </c>
      <c r="K2785" t="s">
        <v>1357</v>
      </c>
      <c r="L2785" t="s">
        <v>1357</v>
      </c>
    </row>
    <row r="2786" spans="6:12">
      <c r="H2786" t="s">
        <v>20286</v>
      </c>
      <c r="I2786" t="s">
        <v>1357</v>
      </c>
      <c r="J2786" t="s">
        <v>1357</v>
      </c>
      <c r="K2786" t="s">
        <v>1357</v>
      </c>
      <c r="L2786" t="s">
        <v>1357</v>
      </c>
    </row>
    <row r="2787" spans="6:12">
      <c r="H2787" t="s">
        <v>20287</v>
      </c>
      <c r="I2787" t="s">
        <v>1357</v>
      </c>
      <c r="J2787" t="s">
        <v>1357</v>
      </c>
      <c r="K2787" t="s">
        <v>1357</v>
      </c>
      <c r="L2787" t="s">
        <v>1357</v>
      </c>
    </row>
    <row r="2788" spans="6:12">
      <c r="F2788" t="s">
        <v>14954</v>
      </c>
      <c r="G2788" t="s">
        <v>17432</v>
      </c>
      <c r="H2788" t="s">
        <v>20280</v>
      </c>
      <c r="I2788" t="s">
        <v>1357</v>
      </c>
      <c r="J2788" t="s">
        <v>1357</v>
      </c>
      <c r="K2788" t="s">
        <v>1357</v>
      </c>
      <c r="L2788" t="s">
        <v>1357</v>
      </c>
    </row>
    <row r="2789" spans="6:12">
      <c r="H2789" t="s">
        <v>20233</v>
      </c>
      <c r="I2789" t="s">
        <v>1357</v>
      </c>
      <c r="J2789" t="s">
        <v>1357</v>
      </c>
      <c r="K2789" t="s">
        <v>1357</v>
      </c>
      <c r="L2789" t="s">
        <v>1357</v>
      </c>
    </row>
    <row r="2790" spans="6:12">
      <c r="H2790" t="s">
        <v>20230</v>
      </c>
      <c r="I2790" t="s">
        <v>1357</v>
      </c>
      <c r="J2790" t="s">
        <v>1357</v>
      </c>
      <c r="K2790" t="s">
        <v>1357</v>
      </c>
      <c r="L2790" t="s">
        <v>1357</v>
      </c>
    </row>
    <row r="2791" spans="6:12">
      <c r="H2791" t="s">
        <v>20227</v>
      </c>
      <c r="I2791" t="s">
        <v>1357</v>
      </c>
      <c r="J2791" t="s">
        <v>1357</v>
      </c>
      <c r="K2791" t="s">
        <v>1357</v>
      </c>
      <c r="L2791" t="s">
        <v>1357</v>
      </c>
    </row>
    <row r="2792" spans="6:12">
      <c r="H2792" t="s">
        <v>20228</v>
      </c>
      <c r="I2792" t="s">
        <v>1357</v>
      </c>
      <c r="J2792" t="s">
        <v>1357</v>
      </c>
      <c r="K2792" t="s">
        <v>1357</v>
      </c>
      <c r="L2792" t="s">
        <v>1357</v>
      </c>
    </row>
    <row r="2793" spans="6:12">
      <c r="H2793" t="s">
        <v>20232</v>
      </c>
      <c r="I2793" t="s">
        <v>1357</v>
      </c>
      <c r="J2793" t="s">
        <v>1357</v>
      </c>
      <c r="K2793" t="s">
        <v>1357</v>
      </c>
      <c r="L2793" t="s">
        <v>1357</v>
      </c>
    </row>
    <row r="2794" spans="6:12">
      <c r="H2794" t="s">
        <v>20229</v>
      </c>
      <c r="I2794" t="s">
        <v>1357</v>
      </c>
      <c r="J2794" t="s">
        <v>1357</v>
      </c>
      <c r="K2794" t="s">
        <v>1357</v>
      </c>
      <c r="L2794" t="s">
        <v>1357</v>
      </c>
    </row>
    <row r="2795" spans="6:12">
      <c r="H2795" t="s">
        <v>20296</v>
      </c>
      <c r="I2795" t="s">
        <v>1357</v>
      </c>
      <c r="J2795" t="s">
        <v>1357</v>
      </c>
      <c r="K2795" t="s">
        <v>1357</v>
      </c>
      <c r="L2795" t="s">
        <v>1357</v>
      </c>
    </row>
    <row r="2796" spans="6:12">
      <c r="H2796" t="s">
        <v>20297</v>
      </c>
      <c r="I2796" t="s">
        <v>1357</v>
      </c>
      <c r="J2796" t="s">
        <v>1357</v>
      </c>
      <c r="K2796" t="s">
        <v>1357</v>
      </c>
      <c r="L2796" t="s">
        <v>1357</v>
      </c>
    </row>
    <row r="2797" spans="6:12">
      <c r="H2797" t="s">
        <v>20234</v>
      </c>
      <c r="I2797" t="s">
        <v>1357</v>
      </c>
      <c r="J2797" t="s">
        <v>1357</v>
      </c>
      <c r="K2797" t="s">
        <v>1357</v>
      </c>
      <c r="L2797" t="s">
        <v>1357</v>
      </c>
    </row>
    <row r="2798" spans="6:12">
      <c r="H2798" t="s">
        <v>20235</v>
      </c>
      <c r="I2798" t="s">
        <v>1357</v>
      </c>
      <c r="J2798" t="s">
        <v>1357</v>
      </c>
      <c r="K2798" t="s">
        <v>1357</v>
      </c>
      <c r="L2798" t="s">
        <v>1357</v>
      </c>
    </row>
    <row r="2799" spans="6:12">
      <c r="H2799" t="s">
        <v>20298</v>
      </c>
      <c r="I2799" t="s">
        <v>1357</v>
      </c>
      <c r="J2799" t="s">
        <v>1357</v>
      </c>
      <c r="K2799" t="s">
        <v>1357</v>
      </c>
      <c r="L2799" t="s">
        <v>1357</v>
      </c>
    </row>
    <row r="2800" spans="6:12">
      <c r="H2800" t="s">
        <v>20299</v>
      </c>
      <c r="I2800" t="s">
        <v>1357</v>
      </c>
      <c r="J2800" t="s">
        <v>1357</v>
      </c>
      <c r="K2800" t="s">
        <v>1357</v>
      </c>
      <c r="L2800" t="s">
        <v>1357</v>
      </c>
    </row>
    <row r="2801" spans="6:12">
      <c r="H2801" t="s">
        <v>20284</v>
      </c>
      <c r="I2801" t="s">
        <v>1357</v>
      </c>
      <c r="J2801" t="s">
        <v>1357</v>
      </c>
      <c r="K2801" t="s">
        <v>1357</v>
      </c>
      <c r="L2801" t="s">
        <v>1357</v>
      </c>
    </row>
    <row r="2802" spans="6:12">
      <c r="H2802" t="s">
        <v>20285</v>
      </c>
      <c r="I2802" t="s">
        <v>1357</v>
      </c>
      <c r="J2802" t="s">
        <v>1357</v>
      </c>
      <c r="K2802" t="s">
        <v>1357</v>
      </c>
      <c r="L2802" t="s">
        <v>1357</v>
      </c>
    </row>
    <row r="2803" spans="6:12">
      <c r="H2803" t="s">
        <v>20286</v>
      </c>
      <c r="I2803" t="s">
        <v>1357</v>
      </c>
      <c r="J2803" t="s">
        <v>1357</v>
      </c>
      <c r="K2803" t="s">
        <v>1357</v>
      </c>
      <c r="L2803" t="s">
        <v>1357</v>
      </c>
    </row>
    <row r="2804" spans="6:12">
      <c r="H2804" t="s">
        <v>20287</v>
      </c>
      <c r="I2804" t="s">
        <v>1357</v>
      </c>
      <c r="J2804" t="s">
        <v>1357</v>
      </c>
      <c r="K2804" t="s">
        <v>1357</v>
      </c>
      <c r="L2804" t="s">
        <v>1357</v>
      </c>
    </row>
    <row r="2805" spans="6:12">
      <c r="F2805" t="s">
        <v>14955</v>
      </c>
      <c r="G2805" t="s">
        <v>17433</v>
      </c>
      <c r="H2805" t="s">
        <v>20280</v>
      </c>
      <c r="I2805" t="s">
        <v>1357</v>
      </c>
      <c r="J2805" t="s">
        <v>1357</v>
      </c>
      <c r="K2805" t="s">
        <v>1357</v>
      </c>
      <c r="L2805" t="s">
        <v>1357</v>
      </c>
    </row>
    <row r="2806" spans="6:12">
      <c r="H2806" t="s">
        <v>20233</v>
      </c>
      <c r="I2806" t="s">
        <v>1357</v>
      </c>
      <c r="J2806" t="s">
        <v>1357</v>
      </c>
      <c r="K2806" t="s">
        <v>1357</v>
      </c>
      <c r="L2806" t="s">
        <v>1357</v>
      </c>
    </row>
    <row r="2807" spans="6:12">
      <c r="H2807" t="s">
        <v>20230</v>
      </c>
      <c r="I2807" t="s">
        <v>1357</v>
      </c>
      <c r="J2807" t="s">
        <v>1357</v>
      </c>
      <c r="K2807" t="s">
        <v>1357</v>
      </c>
      <c r="L2807" t="s">
        <v>1357</v>
      </c>
    </row>
    <row r="2808" spans="6:12">
      <c r="H2808" t="s">
        <v>20227</v>
      </c>
      <c r="I2808" t="s">
        <v>1357</v>
      </c>
      <c r="J2808" t="s">
        <v>1357</v>
      </c>
      <c r="K2808" t="s">
        <v>1357</v>
      </c>
      <c r="L2808" t="s">
        <v>1357</v>
      </c>
    </row>
    <row r="2809" spans="6:12">
      <c r="H2809" t="s">
        <v>20228</v>
      </c>
      <c r="I2809" t="s">
        <v>1357</v>
      </c>
      <c r="J2809" t="s">
        <v>1357</v>
      </c>
      <c r="K2809" t="s">
        <v>1357</v>
      </c>
      <c r="L2809" t="s">
        <v>1357</v>
      </c>
    </row>
    <row r="2810" spans="6:12">
      <c r="H2810" t="s">
        <v>20232</v>
      </c>
      <c r="I2810" t="s">
        <v>1357</v>
      </c>
      <c r="J2810" t="s">
        <v>1357</v>
      </c>
      <c r="K2810" t="s">
        <v>1357</v>
      </c>
      <c r="L2810" t="s">
        <v>1357</v>
      </c>
    </row>
    <row r="2811" spans="6:12">
      <c r="H2811" t="s">
        <v>20229</v>
      </c>
      <c r="I2811" t="s">
        <v>1357</v>
      </c>
      <c r="J2811" t="s">
        <v>1357</v>
      </c>
      <c r="K2811" t="s">
        <v>1357</v>
      </c>
      <c r="L2811" t="s">
        <v>1357</v>
      </c>
    </row>
    <row r="2812" spans="6:12">
      <c r="H2812" t="s">
        <v>20296</v>
      </c>
      <c r="I2812" t="s">
        <v>1357</v>
      </c>
      <c r="J2812" t="s">
        <v>1357</v>
      </c>
      <c r="K2812" t="s">
        <v>1357</v>
      </c>
      <c r="L2812" t="s">
        <v>1357</v>
      </c>
    </row>
    <row r="2813" spans="6:12">
      <c r="H2813" t="s">
        <v>20297</v>
      </c>
      <c r="I2813" t="s">
        <v>1357</v>
      </c>
      <c r="J2813" t="s">
        <v>1357</v>
      </c>
      <c r="K2813" t="s">
        <v>1357</v>
      </c>
      <c r="L2813" t="s">
        <v>1357</v>
      </c>
    </row>
    <row r="2814" spans="6:12">
      <c r="H2814" t="s">
        <v>20234</v>
      </c>
      <c r="I2814" t="s">
        <v>1357</v>
      </c>
      <c r="J2814" t="s">
        <v>1357</v>
      </c>
      <c r="K2814" t="s">
        <v>1357</v>
      </c>
      <c r="L2814" t="s">
        <v>1357</v>
      </c>
    </row>
    <row r="2815" spans="6:12">
      <c r="H2815" t="s">
        <v>20235</v>
      </c>
      <c r="I2815" t="s">
        <v>1357</v>
      </c>
      <c r="J2815" t="s">
        <v>1357</v>
      </c>
      <c r="K2815" t="s">
        <v>1357</v>
      </c>
      <c r="L2815" t="s">
        <v>1357</v>
      </c>
    </row>
    <row r="2816" spans="6:12">
      <c r="H2816" t="s">
        <v>20298</v>
      </c>
      <c r="I2816" t="s">
        <v>1357</v>
      </c>
      <c r="J2816" t="s">
        <v>1357</v>
      </c>
      <c r="K2816" t="s">
        <v>1357</v>
      </c>
      <c r="L2816" t="s">
        <v>1357</v>
      </c>
    </row>
    <row r="2817" spans="6:12">
      <c r="H2817" t="s">
        <v>20299</v>
      </c>
      <c r="I2817" t="s">
        <v>1357</v>
      </c>
      <c r="J2817" t="s">
        <v>1357</v>
      </c>
      <c r="K2817" t="s">
        <v>1357</v>
      </c>
      <c r="L2817" t="s">
        <v>1357</v>
      </c>
    </row>
    <row r="2818" spans="6:12">
      <c r="H2818" t="s">
        <v>20284</v>
      </c>
      <c r="I2818" t="s">
        <v>1357</v>
      </c>
      <c r="J2818" t="s">
        <v>1357</v>
      </c>
      <c r="K2818" t="s">
        <v>1357</v>
      </c>
      <c r="L2818" t="s">
        <v>1357</v>
      </c>
    </row>
    <row r="2819" spans="6:12">
      <c r="H2819" t="s">
        <v>20285</v>
      </c>
      <c r="I2819" t="s">
        <v>1357</v>
      </c>
      <c r="J2819" t="s">
        <v>1357</v>
      </c>
      <c r="K2819" t="s">
        <v>1357</v>
      </c>
      <c r="L2819" t="s">
        <v>1357</v>
      </c>
    </row>
    <row r="2820" spans="6:12">
      <c r="H2820" t="s">
        <v>20286</v>
      </c>
      <c r="I2820" t="s">
        <v>1357</v>
      </c>
      <c r="J2820" t="s">
        <v>1357</v>
      </c>
      <c r="K2820" t="s">
        <v>1357</v>
      </c>
      <c r="L2820" t="s">
        <v>1357</v>
      </c>
    </row>
    <row r="2821" spans="6:12">
      <c r="H2821" t="s">
        <v>20287</v>
      </c>
      <c r="I2821" t="s">
        <v>1357</v>
      </c>
      <c r="J2821" t="s">
        <v>1357</v>
      </c>
      <c r="K2821" t="s">
        <v>1357</v>
      </c>
      <c r="L2821" t="s">
        <v>1357</v>
      </c>
    </row>
    <row r="2822" spans="6:12">
      <c r="F2822" t="s">
        <v>14956</v>
      </c>
      <c r="G2822" t="s">
        <v>17434</v>
      </c>
      <c r="H2822" t="s">
        <v>20280</v>
      </c>
      <c r="I2822" t="s">
        <v>1357</v>
      </c>
      <c r="J2822" t="s">
        <v>1357</v>
      </c>
      <c r="K2822" t="s">
        <v>1357</v>
      </c>
      <c r="L2822" t="s">
        <v>1357</v>
      </c>
    </row>
    <row r="2823" spans="6:12">
      <c r="H2823" t="s">
        <v>20233</v>
      </c>
      <c r="I2823" t="s">
        <v>1357</v>
      </c>
      <c r="J2823" t="s">
        <v>1357</v>
      </c>
      <c r="K2823" t="s">
        <v>1357</v>
      </c>
      <c r="L2823" t="s">
        <v>1357</v>
      </c>
    </row>
    <row r="2824" spans="6:12">
      <c r="H2824" t="s">
        <v>20230</v>
      </c>
      <c r="I2824" t="s">
        <v>1357</v>
      </c>
      <c r="J2824" t="s">
        <v>1357</v>
      </c>
      <c r="K2824" t="s">
        <v>1357</v>
      </c>
      <c r="L2824" t="s">
        <v>1357</v>
      </c>
    </row>
    <row r="2825" spans="6:12">
      <c r="H2825" t="s">
        <v>20227</v>
      </c>
      <c r="I2825" t="s">
        <v>1357</v>
      </c>
      <c r="J2825" t="s">
        <v>1357</v>
      </c>
      <c r="K2825" t="s">
        <v>1357</v>
      </c>
      <c r="L2825" t="s">
        <v>1357</v>
      </c>
    </row>
    <row r="2826" spans="6:12">
      <c r="H2826" t="s">
        <v>20296</v>
      </c>
      <c r="I2826" t="s">
        <v>1357</v>
      </c>
      <c r="J2826" t="s">
        <v>1357</v>
      </c>
      <c r="K2826" t="s">
        <v>1357</v>
      </c>
      <c r="L2826" t="s">
        <v>1357</v>
      </c>
    </row>
    <row r="2827" spans="6:12">
      <c r="H2827" t="s">
        <v>20297</v>
      </c>
      <c r="I2827" t="s">
        <v>1357</v>
      </c>
      <c r="J2827" t="s">
        <v>1357</v>
      </c>
      <c r="K2827" t="s">
        <v>1357</v>
      </c>
      <c r="L2827" t="s">
        <v>1357</v>
      </c>
    </row>
    <row r="2828" spans="6:12">
      <c r="H2828" t="s">
        <v>20234</v>
      </c>
      <c r="I2828" t="s">
        <v>1357</v>
      </c>
      <c r="J2828" t="s">
        <v>1357</v>
      </c>
      <c r="K2828" t="s">
        <v>1357</v>
      </c>
      <c r="L2828" t="s">
        <v>1357</v>
      </c>
    </row>
    <row r="2829" spans="6:12">
      <c r="H2829" t="s">
        <v>20235</v>
      </c>
      <c r="I2829" t="s">
        <v>1357</v>
      </c>
      <c r="J2829" t="s">
        <v>1357</v>
      </c>
      <c r="K2829" t="s">
        <v>1357</v>
      </c>
      <c r="L2829" t="s">
        <v>1357</v>
      </c>
    </row>
    <row r="2830" spans="6:12">
      <c r="H2830" t="s">
        <v>20298</v>
      </c>
      <c r="I2830" t="s">
        <v>1357</v>
      </c>
      <c r="J2830" t="s">
        <v>1357</v>
      </c>
      <c r="K2830" t="s">
        <v>1357</v>
      </c>
      <c r="L2830" t="s">
        <v>1357</v>
      </c>
    </row>
    <row r="2831" spans="6:12">
      <c r="H2831" t="s">
        <v>20299</v>
      </c>
      <c r="I2831" t="s">
        <v>1357</v>
      </c>
      <c r="J2831" t="s">
        <v>1357</v>
      </c>
      <c r="K2831" t="s">
        <v>1357</v>
      </c>
      <c r="L2831" t="s">
        <v>1357</v>
      </c>
    </row>
    <row r="2832" spans="6:12">
      <c r="H2832" t="s">
        <v>20300</v>
      </c>
      <c r="I2832" t="s">
        <v>1357</v>
      </c>
      <c r="J2832" t="s">
        <v>1357</v>
      </c>
      <c r="K2832" t="s">
        <v>1357</v>
      </c>
      <c r="L2832" t="s">
        <v>1357</v>
      </c>
    </row>
    <row r="2833" spans="6:12">
      <c r="H2833" t="s">
        <v>20301</v>
      </c>
      <c r="I2833" t="s">
        <v>1357</v>
      </c>
      <c r="J2833" t="s">
        <v>1357</v>
      </c>
      <c r="K2833" t="s">
        <v>1357</v>
      </c>
      <c r="L2833" t="s">
        <v>1357</v>
      </c>
    </row>
    <row r="2834" spans="6:12">
      <c r="H2834" t="s">
        <v>20284</v>
      </c>
      <c r="I2834" t="s">
        <v>1357</v>
      </c>
      <c r="J2834" t="s">
        <v>1357</v>
      </c>
      <c r="K2834" t="s">
        <v>1357</v>
      </c>
      <c r="L2834" t="s">
        <v>1357</v>
      </c>
    </row>
    <row r="2835" spans="6:12">
      <c r="H2835" t="s">
        <v>20285</v>
      </c>
      <c r="I2835" t="s">
        <v>1357</v>
      </c>
      <c r="J2835" t="s">
        <v>1357</v>
      </c>
      <c r="K2835" t="s">
        <v>1357</v>
      </c>
      <c r="L2835" t="s">
        <v>1357</v>
      </c>
    </row>
    <row r="2836" spans="6:12">
      <c r="H2836" t="s">
        <v>20286</v>
      </c>
      <c r="I2836" t="s">
        <v>1357</v>
      </c>
      <c r="J2836" t="s">
        <v>1357</v>
      </c>
      <c r="K2836" t="s">
        <v>1357</v>
      </c>
      <c r="L2836" t="s">
        <v>1357</v>
      </c>
    </row>
    <row r="2837" spans="6:12">
      <c r="H2837" t="s">
        <v>20287</v>
      </c>
      <c r="I2837" t="s">
        <v>1357</v>
      </c>
      <c r="J2837" t="s">
        <v>1357</v>
      </c>
      <c r="K2837" t="s">
        <v>1357</v>
      </c>
      <c r="L2837" t="s">
        <v>1357</v>
      </c>
    </row>
    <row r="2838" spans="6:12">
      <c r="F2838" t="s">
        <v>14957</v>
      </c>
      <c r="G2838" t="s">
        <v>17435</v>
      </c>
      <c r="H2838" t="s">
        <v>20280</v>
      </c>
      <c r="I2838" t="s">
        <v>1357</v>
      </c>
      <c r="J2838" t="s">
        <v>1357</v>
      </c>
      <c r="K2838" t="s">
        <v>1357</v>
      </c>
      <c r="L2838" t="s">
        <v>1357</v>
      </c>
    </row>
    <row r="2839" spans="6:12">
      <c r="H2839" t="s">
        <v>20233</v>
      </c>
      <c r="I2839" t="s">
        <v>1357</v>
      </c>
      <c r="J2839" t="s">
        <v>1357</v>
      </c>
      <c r="K2839" t="s">
        <v>1357</v>
      </c>
      <c r="L2839" t="s">
        <v>1357</v>
      </c>
    </row>
    <row r="2840" spans="6:12">
      <c r="H2840" t="s">
        <v>20230</v>
      </c>
      <c r="I2840" t="s">
        <v>1357</v>
      </c>
      <c r="J2840" t="s">
        <v>1357</v>
      </c>
      <c r="K2840" t="s">
        <v>1357</v>
      </c>
      <c r="L2840" t="s">
        <v>1357</v>
      </c>
    </row>
    <row r="2841" spans="6:12">
      <c r="H2841" t="s">
        <v>20227</v>
      </c>
      <c r="I2841" t="s">
        <v>1357</v>
      </c>
      <c r="J2841" t="s">
        <v>1357</v>
      </c>
      <c r="K2841" t="s">
        <v>1357</v>
      </c>
      <c r="L2841" t="s">
        <v>1357</v>
      </c>
    </row>
    <row r="2842" spans="6:12">
      <c r="H2842" t="s">
        <v>20296</v>
      </c>
      <c r="I2842" t="s">
        <v>1357</v>
      </c>
      <c r="J2842" t="s">
        <v>1357</v>
      </c>
      <c r="K2842" t="s">
        <v>1357</v>
      </c>
      <c r="L2842" t="s">
        <v>1357</v>
      </c>
    </row>
    <row r="2843" spans="6:12">
      <c r="H2843" t="s">
        <v>20297</v>
      </c>
      <c r="I2843" t="s">
        <v>1357</v>
      </c>
      <c r="J2843" t="s">
        <v>1357</v>
      </c>
      <c r="K2843" t="s">
        <v>1357</v>
      </c>
      <c r="L2843" t="s">
        <v>1357</v>
      </c>
    </row>
    <row r="2844" spans="6:12">
      <c r="H2844" t="s">
        <v>20234</v>
      </c>
      <c r="I2844" t="s">
        <v>1357</v>
      </c>
      <c r="J2844" t="s">
        <v>1357</v>
      </c>
      <c r="K2844" t="s">
        <v>1357</v>
      </c>
      <c r="L2844" t="s">
        <v>1357</v>
      </c>
    </row>
    <row r="2845" spans="6:12">
      <c r="H2845" t="s">
        <v>20235</v>
      </c>
      <c r="I2845" t="s">
        <v>1357</v>
      </c>
      <c r="J2845" t="s">
        <v>1357</v>
      </c>
      <c r="K2845" t="s">
        <v>1357</v>
      </c>
      <c r="L2845" t="s">
        <v>1357</v>
      </c>
    </row>
    <row r="2846" spans="6:12">
      <c r="H2846" t="s">
        <v>20298</v>
      </c>
      <c r="I2846" t="s">
        <v>1357</v>
      </c>
      <c r="J2846" t="s">
        <v>1357</v>
      </c>
      <c r="K2846" t="s">
        <v>1357</v>
      </c>
      <c r="L2846" t="s">
        <v>1357</v>
      </c>
    </row>
    <row r="2847" spans="6:12">
      <c r="H2847" t="s">
        <v>20299</v>
      </c>
      <c r="I2847" t="s">
        <v>1357</v>
      </c>
      <c r="J2847" t="s">
        <v>1357</v>
      </c>
      <c r="K2847" t="s">
        <v>1357</v>
      </c>
      <c r="L2847" t="s">
        <v>1357</v>
      </c>
    </row>
    <row r="2848" spans="6:12">
      <c r="H2848" t="s">
        <v>20300</v>
      </c>
      <c r="I2848" t="s">
        <v>1357</v>
      </c>
      <c r="J2848" t="s">
        <v>1357</v>
      </c>
      <c r="K2848" t="s">
        <v>1357</v>
      </c>
      <c r="L2848" t="s">
        <v>1357</v>
      </c>
    </row>
    <row r="2849" spans="6:12">
      <c r="H2849" t="s">
        <v>20301</v>
      </c>
      <c r="I2849" t="s">
        <v>1357</v>
      </c>
      <c r="J2849" t="s">
        <v>1357</v>
      </c>
      <c r="K2849" t="s">
        <v>1357</v>
      </c>
      <c r="L2849" t="s">
        <v>1357</v>
      </c>
    </row>
    <row r="2850" spans="6:12">
      <c r="H2850" t="s">
        <v>20285</v>
      </c>
      <c r="I2850" t="s">
        <v>1357</v>
      </c>
      <c r="J2850" t="s">
        <v>1357</v>
      </c>
      <c r="K2850" t="s">
        <v>1357</v>
      </c>
      <c r="L2850" t="s">
        <v>1357</v>
      </c>
    </row>
    <row r="2851" spans="6:12">
      <c r="H2851" t="s">
        <v>20286</v>
      </c>
      <c r="I2851" t="s">
        <v>1357</v>
      </c>
      <c r="J2851" t="s">
        <v>1357</v>
      </c>
      <c r="K2851" t="s">
        <v>1357</v>
      </c>
      <c r="L2851" t="s">
        <v>1357</v>
      </c>
    </row>
    <row r="2852" spans="6:12">
      <c r="H2852" t="s">
        <v>20287</v>
      </c>
      <c r="I2852" t="s">
        <v>1357</v>
      </c>
      <c r="J2852" t="s">
        <v>1357</v>
      </c>
      <c r="K2852" t="s">
        <v>1357</v>
      </c>
      <c r="L2852" t="s">
        <v>1357</v>
      </c>
    </row>
    <row r="2853" spans="6:12">
      <c r="H2853" t="s">
        <v>20288</v>
      </c>
      <c r="I2853" t="s">
        <v>1357</v>
      </c>
      <c r="J2853" t="s">
        <v>1357</v>
      </c>
      <c r="K2853" t="s">
        <v>1357</v>
      </c>
      <c r="L2853" t="s">
        <v>1357</v>
      </c>
    </row>
    <row r="2854" spans="6:12">
      <c r="F2854" t="s">
        <v>14958</v>
      </c>
      <c r="G2854" t="s">
        <v>17436</v>
      </c>
      <c r="H2854" t="s">
        <v>20280</v>
      </c>
      <c r="I2854" t="s">
        <v>1357</v>
      </c>
      <c r="J2854" t="s">
        <v>1357</v>
      </c>
      <c r="K2854" t="s">
        <v>1357</v>
      </c>
      <c r="L2854" t="s">
        <v>1357</v>
      </c>
    </row>
    <row r="2855" spans="6:12">
      <c r="H2855" t="s">
        <v>20233</v>
      </c>
      <c r="I2855" t="s">
        <v>1357</v>
      </c>
      <c r="J2855" t="s">
        <v>1357</v>
      </c>
      <c r="K2855" t="s">
        <v>1357</v>
      </c>
      <c r="L2855" t="s">
        <v>1357</v>
      </c>
    </row>
    <row r="2856" spans="6:12">
      <c r="H2856" t="s">
        <v>20230</v>
      </c>
      <c r="I2856" t="s">
        <v>1357</v>
      </c>
      <c r="J2856" t="s">
        <v>1357</v>
      </c>
      <c r="K2856" t="s">
        <v>1357</v>
      </c>
      <c r="L2856" t="s">
        <v>1357</v>
      </c>
    </row>
    <row r="2857" spans="6:12">
      <c r="H2857" t="s">
        <v>20281</v>
      </c>
      <c r="I2857" t="s">
        <v>1357</v>
      </c>
      <c r="J2857" t="s">
        <v>1357</v>
      </c>
      <c r="K2857" t="s">
        <v>1357</v>
      </c>
      <c r="L2857" t="s">
        <v>1357</v>
      </c>
    </row>
    <row r="2858" spans="6:12">
      <c r="H2858" t="s">
        <v>20282</v>
      </c>
      <c r="I2858" t="s">
        <v>1357</v>
      </c>
      <c r="J2858" t="s">
        <v>1357</v>
      </c>
      <c r="K2858" t="s">
        <v>1357</v>
      </c>
      <c r="L2858" t="s">
        <v>1357</v>
      </c>
    </row>
    <row r="2859" spans="6:12">
      <c r="H2859" t="s">
        <v>20283</v>
      </c>
      <c r="I2859" t="s">
        <v>1357</v>
      </c>
      <c r="J2859" t="s">
        <v>1357</v>
      </c>
      <c r="K2859" t="s">
        <v>1357</v>
      </c>
      <c r="L2859" t="s">
        <v>1357</v>
      </c>
    </row>
    <row r="2860" spans="6:12">
      <c r="H2860" t="s">
        <v>20284</v>
      </c>
      <c r="I2860" t="s">
        <v>1357</v>
      </c>
      <c r="J2860" t="s">
        <v>1357</v>
      </c>
      <c r="K2860" t="s">
        <v>1357</v>
      </c>
      <c r="L2860" t="s">
        <v>1357</v>
      </c>
    </row>
    <row r="2861" spans="6:12">
      <c r="H2861" t="s">
        <v>20285</v>
      </c>
      <c r="I2861" t="s">
        <v>1357</v>
      </c>
      <c r="J2861" t="s">
        <v>1357</v>
      </c>
      <c r="K2861" t="s">
        <v>1357</v>
      </c>
      <c r="L2861" t="s">
        <v>1357</v>
      </c>
    </row>
    <row r="2862" spans="6:12">
      <c r="H2862" t="s">
        <v>20286</v>
      </c>
      <c r="I2862" t="s">
        <v>1357</v>
      </c>
      <c r="J2862" t="s">
        <v>1357</v>
      </c>
      <c r="K2862" t="s">
        <v>1357</v>
      </c>
      <c r="L2862" t="s">
        <v>1357</v>
      </c>
    </row>
    <row r="2863" spans="6:12">
      <c r="H2863" t="s">
        <v>20287</v>
      </c>
      <c r="I2863" t="s">
        <v>1357</v>
      </c>
      <c r="J2863" t="s">
        <v>1357</v>
      </c>
      <c r="K2863" t="s">
        <v>1357</v>
      </c>
      <c r="L2863" t="s">
        <v>1357</v>
      </c>
    </row>
    <row r="2864" spans="6:12">
      <c r="H2864" t="s">
        <v>20288</v>
      </c>
      <c r="I2864" t="s">
        <v>1357</v>
      </c>
      <c r="J2864" t="s">
        <v>1357</v>
      </c>
      <c r="K2864" t="s">
        <v>1357</v>
      </c>
      <c r="L2864" t="s">
        <v>1357</v>
      </c>
    </row>
    <row r="2865" spans="6:12">
      <c r="H2865" t="s">
        <v>20289</v>
      </c>
      <c r="I2865" t="s">
        <v>1357</v>
      </c>
      <c r="J2865" t="s">
        <v>1357</v>
      </c>
      <c r="K2865" t="s">
        <v>1357</v>
      </c>
      <c r="L2865" t="s">
        <v>1357</v>
      </c>
    </row>
    <row r="2866" spans="6:12">
      <c r="H2866" t="s">
        <v>20290</v>
      </c>
      <c r="I2866" t="s">
        <v>1357</v>
      </c>
      <c r="J2866" t="s">
        <v>1357</v>
      </c>
      <c r="K2866" t="s">
        <v>1357</v>
      </c>
      <c r="L2866" t="s">
        <v>1357</v>
      </c>
    </row>
    <row r="2867" spans="6:12">
      <c r="F2867" t="s">
        <v>14959</v>
      </c>
      <c r="G2867" t="s">
        <v>17437</v>
      </c>
      <c r="H2867" t="s">
        <v>20280</v>
      </c>
      <c r="I2867" t="s">
        <v>1357</v>
      </c>
      <c r="J2867" t="s">
        <v>1357</v>
      </c>
      <c r="K2867" t="s">
        <v>1357</v>
      </c>
      <c r="L2867" t="s">
        <v>1357</v>
      </c>
    </row>
    <row r="2868" spans="6:12">
      <c r="H2868" t="s">
        <v>20233</v>
      </c>
      <c r="I2868" t="s">
        <v>1357</v>
      </c>
      <c r="J2868" t="s">
        <v>1357</v>
      </c>
      <c r="K2868" t="s">
        <v>1357</v>
      </c>
      <c r="L2868" t="s">
        <v>1357</v>
      </c>
    </row>
    <row r="2869" spans="6:12">
      <c r="H2869" t="s">
        <v>20230</v>
      </c>
      <c r="I2869" t="s">
        <v>1357</v>
      </c>
      <c r="J2869" t="s">
        <v>1357</v>
      </c>
      <c r="K2869" t="s">
        <v>1357</v>
      </c>
      <c r="L2869" t="s">
        <v>1357</v>
      </c>
    </row>
    <row r="2870" spans="6:12">
      <c r="H2870" t="s">
        <v>20281</v>
      </c>
      <c r="I2870" t="s">
        <v>1357</v>
      </c>
      <c r="J2870" t="s">
        <v>1357</v>
      </c>
      <c r="K2870" t="s">
        <v>1357</v>
      </c>
      <c r="L2870" t="s">
        <v>1357</v>
      </c>
    </row>
    <row r="2871" spans="6:12">
      <c r="H2871" t="s">
        <v>20282</v>
      </c>
      <c r="I2871" t="s">
        <v>1357</v>
      </c>
      <c r="J2871" t="s">
        <v>1357</v>
      </c>
      <c r="K2871" t="s">
        <v>1357</v>
      </c>
      <c r="L2871" t="s">
        <v>1357</v>
      </c>
    </row>
    <row r="2872" spans="6:12">
      <c r="H2872" t="s">
        <v>20283</v>
      </c>
      <c r="I2872" t="s">
        <v>1357</v>
      </c>
      <c r="J2872" t="s">
        <v>1357</v>
      </c>
      <c r="K2872" t="s">
        <v>1357</v>
      </c>
      <c r="L2872" t="s">
        <v>1357</v>
      </c>
    </row>
    <row r="2873" spans="6:12">
      <c r="H2873" t="s">
        <v>20284</v>
      </c>
      <c r="I2873" t="s">
        <v>1357</v>
      </c>
      <c r="J2873" t="s">
        <v>1357</v>
      </c>
      <c r="K2873" t="s">
        <v>1357</v>
      </c>
      <c r="L2873" t="s">
        <v>1357</v>
      </c>
    </row>
    <row r="2874" spans="6:12">
      <c r="H2874" t="s">
        <v>20285</v>
      </c>
      <c r="I2874" t="s">
        <v>1357</v>
      </c>
      <c r="J2874" t="s">
        <v>1357</v>
      </c>
      <c r="K2874" t="s">
        <v>1357</v>
      </c>
      <c r="L2874" t="s">
        <v>1357</v>
      </c>
    </row>
    <row r="2875" spans="6:12">
      <c r="H2875" t="s">
        <v>20286</v>
      </c>
      <c r="I2875" t="s">
        <v>1357</v>
      </c>
      <c r="J2875" t="s">
        <v>1357</v>
      </c>
      <c r="K2875" t="s">
        <v>1357</v>
      </c>
      <c r="L2875" t="s">
        <v>1357</v>
      </c>
    </row>
    <row r="2876" spans="6:12">
      <c r="H2876" t="s">
        <v>20287</v>
      </c>
      <c r="I2876" t="s">
        <v>1357</v>
      </c>
      <c r="J2876" t="s">
        <v>1357</v>
      </c>
      <c r="K2876" t="s">
        <v>1357</v>
      </c>
      <c r="L2876" t="s">
        <v>1357</v>
      </c>
    </row>
    <row r="2877" spans="6:12">
      <c r="H2877" t="s">
        <v>20288</v>
      </c>
      <c r="I2877" t="s">
        <v>1357</v>
      </c>
      <c r="J2877" t="s">
        <v>1357</v>
      </c>
      <c r="K2877" t="s">
        <v>1357</v>
      </c>
      <c r="L2877" t="s">
        <v>1357</v>
      </c>
    </row>
    <row r="2878" spans="6:12">
      <c r="H2878" t="s">
        <v>20289</v>
      </c>
      <c r="I2878" t="s">
        <v>1357</v>
      </c>
      <c r="J2878" t="s">
        <v>1357</v>
      </c>
      <c r="K2878" t="s">
        <v>1357</v>
      </c>
      <c r="L2878" t="s">
        <v>1357</v>
      </c>
    </row>
    <row r="2879" spans="6:12">
      <c r="H2879" t="s">
        <v>20290</v>
      </c>
      <c r="I2879" t="s">
        <v>1357</v>
      </c>
      <c r="J2879" t="s">
        <v>1357</v>
      </c>
      <c r="K2879" t="s">
        <v>1357</v>
      </c>
      <c r="L2879" t="s">
        <v>1357</v>
      </c>
    </row>
    <row r="2880" spans="6:12">
      <c r="F2880" t="s">
        <v>14960</v>
      </c>
      <c r="G2880" t="s">
        <v>17438</v>
      </c>
      <c r="H2880" t="s">
        <v>20280</v>
      </c>
      <c r="I2880" t="s">
        <v>1357</v>
      </c>
      <c r="J2880" t="s">
        <v>1357</v>
      </c>
      <c r="K2880" t="s">
        <v>1357</v>
      </c>
      <c r="L2880" t="s">
        <v>1357</v>
      </c>
    </row>
    <row r="2881" spans="6:12">
      <c r="H2881" t="s">
        <v>20233</v>
      </c>
      <c r="I2881" t="s">
        <v>1357</v>
      </c>
      <c r="J2881" t="s">
        <v>1357</v>
      </c>
      <c r="K2881" t="s">
        <v>1357</v>
      </c>
      <c r="L2881" t="s">
        <v>1357</v>
      </c>
    </row>
    <row r="2882" spans="6:12">
      <c r="H2882" t="s">
        <v>20230</v>
      </c>
      <c r="I2882" t="s">
        <v>1357</v>
      </c>
      <c r="J2882" t="s">
        <v>1357</v>
      </c>
      <c r="K2882" t="s">
        <v>1357</v>
      </c>
      <c r="L2882" t="s">
        <v>1357</v>
      </c>
    </row>
    <row r="2883" spans="6:12">
      <c r="H2883" t="s">
        <v>20281</v>
      </c>
      <c r="I2883" t="s">
        <v>1357</v>
      </c>
      <c r="J2883" t="s">
        <v>1357</v>
      </c>
      <c r="K2883" t="s">
        <v>1357</v>
      </c>
      <c r="L2883" t="s">
        <v>1357</v>
      </c>
    </row>
    <row r="2884" spans="6:12">
      <c r="H2884" t="s">
        <v>20282</v>
      </c>
      <c r="I2884" t="s">
        <v>1357</v>
      </c>
      <c r="J2884" t="s">
        <v>1357</v>
      </c>
      <c r="K2884" t="s">
        <v>1357</v>
      </c>
      <c r="L2884" t="s">
        <v>1357</v>
      </c>
    </row>
    <row r="2885" spans="6:12">
      <c r="H2885" t="s">
        <v>20283</v>
      </c>
      <c r="I2885" t="s">
        <v>1357</v>
      </c>
      <c r="J2885" t="s">
        <v>1357</v>
      </c>
      <c r="K2885" t="s">
        <v>1357</v>
      </c>
      <c r="L2885" t="s">
        <v>1357</v>
      </c>
    </row>
    <row r="2886" spans="6:12">
      <c r="H2886" t="s">
        <v>20284</v>
      </c>
      <c r="I2886" t="s">
        <v>1357</v>
      </c>
      <c r="J2886" t="s">
        <v>1357</v>
      </c>
      <c r="K2886" t="s">
        <v>1357</v>
      </c>
      <c r="L2886" t="s">
        <v>1357</v>
      </c>
    </row>
    <row r="2887" spans="6:12">
      <c r="H2887" t="s">
        <v>20285</v>
      </c>
      <c r="I2887" t="s">
        <v>1357</v>
      </c>
      <c r="J2887" t="s">
        <v>1357</v>
      </c>
      <c r="K2887" t="s">
        <v>1357</v>
      </c>
      <c r="L2887" t="s">
        <v>1357</v>
      </c>
    </row>
    <row r="2888" spans="6:12">
      <c r="H2888" t="s">
        <v>20286</v>
      </c>
      <c r="I2888" t="s">
        <v>1357</v>
      </c>
      <c r="J2888" t="s">
        <v>1357</v>
      </c>
      <c r="K2888" t="s">
        <v>1357</v>
      </c>
      <c r="L2888" t="s">
        <v>1357</v>
      </c>
    </row>
    <row r="2889" spans="6:12">
      <c r="H2889" t="s">
        <v>20287</v>
      </c>
      <c r="I2889" t="s">
        <v>1357</v>
      </c>
      <c r="J2889" t="s">
        <v>1357</v>
      </c>
      <c r="K2889" t="s">
        <v>1357</v>
      </c>
      <c r="L2889" t="s">
        <v>1357</v>
      </c>
    </row>
    <row r="2890" spans="6:12">
      <c r="H2890" t="s">
        <v>20288</v>
      </c>
      <c r="I2890" t="s">
        <v>1357</v>
      </c>
      <c r="J2890" t="s">
        <v>1357</v>
      </c>
      <c r="K2890" t="s">
        <v>1357</v>
      </c>
      <c r="L2890" t="s">
        <v>1357</v>
      </c>
    </row>
    <row r="2891" spans="6:12">
      <c r="H2891" t="s">
        <v>20289</v>
      </c>
      <c r="I2891" t="s">
        <v>1357</v>
      </c>
      <c r="J2891" t="s">
        <v>1357</v>
      </c>
      <c r="K2891" t="s">
        <v>1357</v>
      </c>
      <c r="L2891" t="s">
        <v>1357</v>
      </c>
    </row>
    <row r="2892" spans="6:12">
      <c r="H2892" t="s">
        <v>20290</v>
      </c>
      <c r="I2892" t="s">
        <v>1357</v>
      </c>
      <c r="J2892" t="s">
        <v>1357</v>
      </c>
      <c r="K2892" t="s">
        <v>1357</v>
      </c>
      <c r="L2892" t="s">
        <v>1357</v>
      </c>
    </row>
    <row r="2893" spans="6:12">
      <c r="F2893" t="s">
        <v>14961</v>
      </c>
      <c r="G2893" t="s">
        <v>17439</v>
      </c>
      <c r="H2893" t="s">
        <v>20280</v>
      </c>
      <c r="I2893" t="s">
        <v>1357</v>
      </c>
      <c r="J2893" t="s">
        <v>1357</v>
      </c>
      <c r="K2893" t="s">
        <v>1357</v>
      </c>
      <c r="L2893" t="s">
        <v>1357</v>
      </c>
    </row>
    <row r="2894" spans="6:12">
      <c r="H2894" t="s">
        <v>20233</v>
      </c>
      <c r="I2894" t="s">
        <v>1357</v>
      </c>
      <c r="J2894" t="s">
        <v>1357</v>
      </c>
      <c r="K2894" t="s">
        <v>1357</v>
      </c>
      <c r="L2894" t="s">
        <v>1357</v>
      </c>
    </row>
    <row r="2895" spans="6:12">
      <c r="H2895" t="s">
        <v>20230</v>
      </c>
      <c r="I2895" t="s">
        <v>1357</v>
      </c>
      <c r="J2895" t="s">
        <v>1357</v>
      </c>
      <c r="K2895" t="s">
        <v>1357</v>
      </c>
      <c r="L2895" t="s">
        <v>1357</v>
      </c>
    </row>
    <row r="2896" spans="6:12">
      <c r="H2896" t="s">
        <v>20281</v>
      </c>
      <c r="I2896" t="s">
        <v>1357</v>
      </c>
      <c r="J2896" t="s">
        <v>1357</v>
      </c>
      <c r="K2896" t="s">
        <v>1357</v>
      </c>
      <c r="L2896" t="s">
        <v>1357</v>
      </c>
    </row>
    <row r="2897" spans="6:12">
      <c r="H2897" t="s">
        <v>20282</v>
      </c>
      <c r="I2897" t="s">
        <v>1357</v>
      </c>
      <c r="J2897" t="s">
        <v>1357</v>
      </c>
      <c r="K2897" t="s">
        <v>1357</v>
      </c>
      <c r="L2897" t="s">
        <v>1357</v>
      </c>
    </row>
    <row r="2898" spans="6:12">
      <c r="H2898" t="s">
        <v>20283</v>
      </c>
      <c r="I2898" t="s">
        <v>1357</v>
      </c>
      <c r="J2898" t="s">
        <v>1357</v>
      </c>
      <c r="K2898" t="s">
        <v>1357</v>
      </c>
      <c r="L2898" t="s">
        <v>1357</v>
      </c>
    </row>
    <row r="2899" spans="6:12">
      <c r="H2899" t="s">
        <v>20284</v>
      </c>
      <c r="I2899" t="s">
        <v>1357</v>
      </c>
      <c r="J2899" t="s">
        <v>1357</v>
      </c>
      <c r="K2899" t="s">
        <v>1357</v>
      </c>
      <c r="L2899" t="s">
        <v>1357</v>
      </c>
    </row>
    <row r="2900" spans="6:12">
      <c r="H2900" t="s">
        <v>20285</v>
      </c>
      <c r="I2900" t="s">
        <v>1357</v>
      </c>
      <c r="J2900" t="s">
        <v>1357</v>
      </c>
      <c r="K2900" t="s">
        <v>1357</v>
      </c>
      <c r="L2900" t="s">
        <v>1357</v>
      </c>
    </row>
    <row r="2901" spans="6:12">
      <c r="H2901" t="s">
        <v>20286</v>
      </c>
      <c r="I2901" t="s">
        <v>1357</v>
      </c>
      <c r="J2901" t="s">
        <v>1357</v>
      </c>
      <c r="K2901" t="s">
        <v>1357</v>
      </c>
      <c r="L2901" t="s">
        <v>1357</v>
      </c>
    </row>
    <row r="2902" spans="6:12">
      <c r="H2902" t="s">
        <v>20287</v>
      </c>
      <c r="I2902" t="s">
        <v>1357</v>
      </c>
      <c r="J2902" t="s">
        <v>1357</v>
      </c>
      <c r="K2902" t="s">
        <v>1357</v>
      </c>
      <c r="L2902" t="s">
        <v>1357</v>
      </c>
    </row>
    <row r="2903" spans="6:12">
      <c r="H2903" t="s">
        <v>20288</v>
      </c>
      <c r="I2903" t="s">
        <v>1357</v>
      </c>
      <c r="J2903" t="s">
        <v>1357</v>
      </c>
      <c r="K2903" t="s">
        <v>1357</v>
      </c>
      <c r="L2903" t="s">
        <v>1357</v>
      </c>
    </row>
    <row r="2904" spans="6:12">
      <c r="H2904" t="s">
        <v>20289</v>
      </c>
      <c r="I2904" t="s">
        <v>1357</v>
      </c>
      <c r="J2904" t="s">
        <v>1357</v>
      </c>
      <c r="K2904" t="s">
        <v>1357</v>
      </c>
      <c r="L2904" t="s">
        <v>1357</v>
      </c>
    </row>
    <row r="2905" spans="6:12">
      <c r="H2905" t="s">
        <v>20290</v>
      </c>
      <c r="I2905" t="s">
        <v>1357</v>
      </c>
      <c r="J2905" t="s">
        <v>1357</v>
      </c>
      <c r="K2905" t="s">
        <v>1357</v>
      </c>
      <c r="L2905" t="s">
        <v>1357</v>
      </c>
    </row>
    <row r="2906" spans="6:12">
      <c r="F2906" t="s">
        <v>14962</v>
      </c>
      <c r="G2906" t="s">
        <v>17440</v>
      </c>
      <c r="H2906" t="s">
        <v>20280</v>
      </c>
      <c r="I2906" t="s">
        <v>1357</v>
      </c>
      <c r="J2906" t="s">
        <v>1357</v>
      </c>
      <c r="K2906" t="s">
        <v>1357</v>
      </c>
      <c r="L2906" t="s">
        <v>1357</v>
      </c>
    </row>
    <row r="2907" spans="6:12">
      <c r="H2907" t="s">
        <v>20233</v>
      </c>
      <c r="I2907" t="s">
        <v>1357</v>
      </c>
      <c r="J2907" t="s">
        <v>1357</v>
      </c>
      <c r="K2907" t="s">
        <v>1357</v>
      </c>
      <c r="L2907" t="s">
        <v>1357</v>
      </c>
    </row>
    <row r="2908" spans="6:12">
      <c r="H2908" t="s">
        <v>20230</v>
      </c>
      <c r="I2908" t="s">
        <v>1357</v>
      </c>
      <c r="J2908" t="s">
        <v>1357</v>
      </c>
      <c r="K2908" t="s">
        <v>1357</v>
      </c>
      <c r="L2908" t="s">
        <v>1357</v>
      </c>
    </row>
    <row r="2909" spans="6:12">
      <c r="H2909" t="s">
        <v>20281</v>
      </c>
      <c r="I2909" t="s">
        <v>1357</v>
      </c>
      <c r="J2909" t="s">
        <v>1357</v>
      </c>
      <c r="K2909" t="s">
        <v>1357</v>
      </c>
      <c r="L2909" t="s">
        <v>1357</v>
      </c>
    </row>
    <row r="2910" spans="6:12">
      <c r="H2910" t="s">
        <v>20282</v>
      </c>
      <c r="I2910" t="s">
        <v>1357</v>
      </c>
      <c r="J2910" t="s">
        <v>1357</v>
      </c>
      <c r="K2910" t="s">
        <v>1357</v>
      </c>
      <c r="L2910" t="s">
        <v>1357</v>
      </c>
    </row>
    <row r="2911" spans="6:12">
      <c r="H2911" t="s">
        <v>20283</v>
      </c>
      <c r="I2911" t="s">
        <v>1357</v>
      </c>
      <c r="J2911" t="s">
        <v>1357</v>
      </c>
      <c r="K2911" t="s">
        <v>1357</v>
      </c>
      <c r="L2911" t="s">
        <v>1357</v>
      </c>
    </row>
    <row r="2912" spans="6:12">
      <c r="H2912" t="s">
        <v>20284</v>
      </c>
      <c r="I2912" t="s">
        <v>1357</v>
      </c>
      <c r="J2912" t="s">
        <v>1357</v>
      </c>
      <c r="K2912" t="s">
        <v>1357</v>
      </c>
      <c r="L2912" t="s">
        <v>1357</v>
      </c>
    </row>
    <row r="2913" spans="6:12">
      <c r="H2913" t="s">
        <v>20285</v>
      </c>
      <c r="I2913" t="s">
        <v>1357</v>
      </c>
      <c r="J2913" t="s">
        <v>1357</v>
      </c>
      <c r="K2913" t="s">
        <v>1357</v>
      </c>
      <c r="L2913" t="s">
        <v>1357</v>
      </c>
    </row>
    <row r="2914" spans="6:12">
      <c r="H2914" t="s">
        <v>20286</v>
      </c>
      <c r="I2914" t="s">
        <v>1357</v>
      </c>
      <c r="J2914" t="s">
        <v>1357</v>
      </c>
      <c r="K2914" t="s">
        <v>1357</v>
      </c>
      <c r="L2914" t="s">
        <v>1357</v>
      </c>
    </row>
    <row r="2915" spans="6:12">
      <c r="H2915" t="s">
        <v>20287</v>
      </c>
      <c r="I2915" t="s">
        <v>1357</v>
      </c>
      <c r="J2915" t="s">
        <v>1357</v>
      </c>
      <c r="K2915" t="s">
        <v>1357</v>
      </c>
      <c r="L2915" t="s">
        <v>1357</v>
      </c>
    </row>
    <row r="2916" spans="6:12">
      <c r="H2916" t="s">
        <v>20288</v>
      </c>
      <c r="I2916" t="s">
        <v>1357</v>
      </c>
      <c r="J2916" t="s">
        <v>1357</v>
      </c>
      <c r="K2916" t="s">
        <v>1357</v>
      </c>
      <c r="L2916" t="s">
        <v>1357</v>
      </c>
    </row>
    <row r="2917" spans="6:12">
      <c r="H2917" t="s">
        <v>20289</v>
      </c>
      <c r="I2917" t="s">
        <v>1357</v>
      </c>
      <c r="J2917" t="s">
        <v>1357</v>
      </c>
      <c r="K2917" t="s">
        <v>1357</v>
      </c>
      <c r="L2917" t="s">
        <v>1357</v>
      </c>
    </row>
    <row r="2918" spans="6:12">
      <c r="H2918" t="s">
        <v>20290</v>
      </c>
      <c r="I2918" t="s">
        <v>1357</v>
      </c>
      <c r="J2918" t="s">
        <v>1357</v>
      </c>
      <c r="K2918" t="s">
        <v>1357</v>
      </c>
      <c r="L2918" t="s">
        <v>1357</v>
      </c>
    </row>
    <row r="2919" spans="6:12">
      <c r="F2919" t="s">
        <v>14963</v>
      </c>
      <c r="G2919" t="s">
        <v>17441</v>
      </c>
      <c r="H2919" t="s">
        <v>20280</v>
      </c>
      <c r="I2919" t="s">
        <v>1357</v>
      </c>
      <c r="J2919" t="s">
        <v>1357</v>
      </c>
      <c r="K2919" t="s">
        <v>1357</v>
      </c>
      <c r="L2919" t="s">
        <v>1357</v>
      </c>
    </row>
    <row r="2920" spans="6:12">
      <c r="H2920" t="s">
        <v>20233</v>
      </c>
      <c r="I2920" t="s">
        <v>1357</v>
      </c>
      <c r="J2920" t="s">
        <v>1357</v>
      </c>
      <c r="K2920" t="s">
        <v>1357</v>
      </c>
      <c r="L2920" t="s">
        <v>1357</v>
      </c>
    </row>
    <row r="2921" spans="6:12">
      <c r="H2921" t="s">
        <v>20230</v>
      </c>
      <c r="I2921" t="s">
        <v>1357</v>
      </c>
      <c r="J2921" t="s">
        <v>1357</v>
      </c>
      <c r="K2921" t="s">
        <v>1357</v>
      </c>
      <c r="L2921" t="s">
        <v>1357</v>
      </c>
    </row>
    <row r="2922" spans="6:12">
      <c r="H2922" t="s">
        <v>20281</v>
      </c>
      <c r="I2922" t="s">
        <v>1357</v>
      </c>
      <c r="J2922" t="s">
        <v>1357</v>
      </c>
      <c r="K2922" t="s">
        <v>1357</v>
      </c>
      <c r="L2922" t="s">
        <v>1357</v>
      </c>
    </row>
    <row r="2923" spans="6:12">
      <c r="H2923" t="s">
        <v>20282</v>
      </c>
      <c r="I2923" t="s">
        <v>1357</v>
      </c>
      <c r="J2923" t="s">
        <v>1357</v>
      </c>
      <c r="K2923" t="s">
        <v>1357</v>
      </c>
      <c r="L2923" t="s">
        <v>1357</v>
      </c>
    </row>
    <row r="2924" spans="6:12">
      <c r="H2924" t="s">
        <v>20283</v>
      </c>
      <c r="I2924" t="s">
        <v>1357</v>
      </c>
      <c r="J2924" t="s">
        <v>1357</v>
      </c>
      <c r="K2924" t="s">
        <v>1357</v>
      </c>
      <c r="L2924" t="s">
        <v>1357</v>
      </c>
    </row>
    <row r="2925" spans="6:12">
      <c r="H2925" t="s">
        <v>20284</v>
      </c>
      <c r="I2925" t="s">
        <v>1357</v>
      </c>
      <c r="J2925" t="s">
        <v>1357</v>
      </c>
      <c r="K2925" t="s">
        <v>1357</v>
      </c>
      <c r="L2925" t="s">
        <v>1357</v>
      </c>
    </row>
    <row r="2926" spans="6:12">
      <c r="H2926" t="s">
        <v>20285</v>
      </c>
      <c r="I2926" t="s">
        <v>1357</v>
      </c>
      <c r="J2926" t="s">
        <v>1357</v>
      </c>
      <c r="K2926" t="s">
        <v>1357</v>
      </c>
      <c r="L2926" t="s">
        <v>1357</v>
      </c>
    </row>
    <row r="2927" spans="6:12">
      <c r="H2927" t="s">
        <v>20286</v>
      </c>
      <c r="I2927" t="s">
        <v>1357</v>
      </c>
      <c r="J2927" t="s">
        <v>1357</v>
      </c>
      <c r="K2927" t="s">
        <v>1357</v>
      </c>
      <c r="L2927" t="s">
        <v>1357</v>
      </c>
    </row>
    <row r="2928" spans="6:12">
      <c r="H2928" t="s">
        <v>20287</v>
      </c>
      <c r="I2928" t="s">
        <v>1357</v>
      </c>
      <c r="J2928" t="s">
        <v>1357</v>
      </c>
      <c r="K2928" t="s">
        <v>1357</v>
      </c>
      <c r="L2928" t="s">
        <v>1357</v>
      </c>
    </row>
    <row r="2929" spans="6:12">
      <c r="H2929" t="s">
        <v>20288</v>
      </c>
      <c r="I2929" t="s">
        <v>1357</v>
      </c>
      <c r="J2929" t="s">
        <v>1357</v>
      </c>
      <c r="K2929" t="s">
        <v>1357</v>
      </c>
      <c r="L2929" t="s">
        <v>1357</v>
      </c>
    </row>
    <row r="2930" spans="6:12">
      <c r="H2930" t="s">
        <v>20289</v>
      </c>
      <c r="I2930" t="s">
        <v>1357</v>
      </c>
      <c r="J2930" t="s">
        <v>1357</v>
      </c>
      <c r="K2930" t="s">
        <v>1357</v>
      </c>
      <c r="L2930" t="s">
        <v>1357</v>
      </c>
    </row>
    <row r="2931" spans="6:12">
      <c r="H2931" t="s">
        <v>20290</v>
      </c>
      <c r="I2931" t="s">
        <v>1357</v>
      </c>
      <c r="J2931" t="s">
        <v>1357</v>
      </c>
      <c r="K2931" t="s">
        <v>1357</v>
      </c>
      <c r="L2931" t="s">
        <v>1357</v>
      </c>
    </row>
    <row r="2932" spans="6:12">
      <c r="F2932" t="s">
        <v>14964</v>
      </c>
      <c r="G2932" t="s">
        <v>17442</v>
      </c>
      <c r="H2932" t="s">
        <v>20280</v>
      </c>
      <c r="I2932" t="s">
        <v>1357</v>
      </c>
      <c r="J2932" t="s">
        <v>1357</v>
      </c>
      <c r="K2932" t="s">
        <v>1357</v>
      </c>
      <c r="L2932" t="s">
        <v>1357</v>
      </c>
    </row>
    <row r="2933" spans="6:12">
      <c r="H2933" t="s">
        <v>20233</v>
      </c>
      <c r="I2933" t="s">
        <v>1357</v>
      </c>
      <c r="J2933" t="s">
        <v>1357</v>
      </c>
      <c r="K2933" t="s">
        <v>1357</v>
      </c>
      <c r="L2933" t="s">
        <v>1357</v>
      </c>
    </row>
    <row r="2934" spans="6:12">
      <c r="H2934" t="s">
        <v>20230</v>
      </c>
      <c r="I2934" t="s">
        <v>1357</v>
      </c>
      <c r="J2934" t="s">
        <v>1357</v>
      </c>
      <c r="K2934" t="s">
        <v>1357</v>
      </c>
      <c r="L2934" t="s">
        <v>1357</v>
      </c>
    </row>
    <row r="2935" spans="6:12">
      <c r="H2935" t="s">
        <v>20227</v>
      </c>
      <c r="I2935" t="s">
        <v>1357</v>
      </c>
      <c r="J2935" t="s">
        <v>1357</v>
      </c>
      <c r="K2935" t="s">
        <v>1357</v>
      </c>
      <c r="L2935" t="s">
        <v>1357</v>
      </c>
    </row>
    <row r="2936" spans="6:12">
      <c r="H2936" t="s">
        <v>20281</v>
      </c>
      <c r="I2936" t="s">
        <v>1357</v>
      </c>
      <c r="J2936" t="s">
        <v>1357</v>
      </c>
      <c r="K2936" t="s">
        <v>1357</v>
      </c>
      <c r="L2936" t="s">
        <v>1357</v>
      </c>
    </row>
    <row r="2937" spans="6:12">
      <c r="H2937" t="s">
        <v>20282</v>
      </c>
      <c r="I2937" t="s">
        <v>1357</v>
      </c>
      <c r="J2937" t="s">
        <v>1357</v>
      </c>
      <c r="K2937" t="s">
        <v>1357</v>
      </c>
      <c r="L2937" t="s">
        <v>1357</v>
      </c>
    </row>
    <row r="2938" spans="6:12">
      <c r="H2938" t="s">
        <v>20283</v>
      </c>
      <c r="I2938" t="s">
        <v>1357</v>
      </c>
      <c r="J2938" t="s">
        <v>1357</v>
      </c>
      <c r="K2938" t="s">
        <v>1357</v>
      </c>
      <c r="L2938" t="s">
        <v>1357</v>
      </c>
    </row>
    <row r="2939" spans="6:12">
      <c r="H2939" t="s">
        <v>20284</v>
      </c>
      <c r="I2939" t="s">
        <v>1357</v>
      </c>
      <c r="J2939" t="s">
        <v>1357</v>
      </c>
      <c r="K2939" t="s">
        <v>1357</v>
      </c>
      <c r="L2939" t="s">
        <v>1357</v>
      </c>
    </row>
    <row r="2940" spans="6:12">
      <c r="H2940" t="s">
        <v>20285</v>
      </c>
      <c r="I2940" t="s">
        <v>1357</v>
      </c>
      <c r="J2940" t="s">
        <v>1357</v>
      </c>
      <c r="K2940" t="s">
        <v>1357</v>
      </c>
      <c r="L2940" t="s">
        <v>1357</v>
      </c>
    </row>
    <row r="2941" spans="6:12">
      <c r="H2941" t="s">
        <v>20286</v>
      </c>
      <c r="I2941" t="s">
        <v>1357</v>
      </c>
      <c r="J2941" t="s">
        <v>1357</v>
      </c>
      <c r="K2941" t="s">
        <v>1357</v>
      </c>
      <c r="L2941" t="s">
        <v>1357</v>
      </c>
    </row>
    <row r="2942" spans="6:12">
      <c r="H2942" t="s">
        <v>20287</v>
      </c>
      <c r="I2942" t="s">
        <v>1357</v>
      </c>
      <c r="J2942" t="s">
        <v>1357</v>
      </c>
      <c r="K2942" t="s">
        <v>1357</v>
      </c>
      <c r="L2942" t="s">
        <v>1357</v>
      </c>
    </row>
    <row r="2943" spans="6:12">
      <c r="H2943" t="s">
        <v>20288</v>
      </c>
      <c r="I2943" t="s">
        <v>1357</v>
      </c>
      <c r="J2943" t="s">
        <v>1357</v>
      </c>
      <c r="K2943" t="s">
        <v>1357</v>
      </c>
      <c r="L2943" t="s">
        <v>1357</v>
      </c>
    </row>
    <row r="2944" spans="6:12">
      <c r="H2944" t="s">
        <v>20289</v>
      </c>
      <c r="I2944" t="s">
        <v>1357</v>
      </c>
      <c r="J2944" t="s">
        <v>1357</v>
      </c>
      <c r="K2944" t="s">
        <v>1357</v>
      </c>
      <c r="L2944" t="s">
        <v>1357</v>
      </c>
    </row>
    <row r="2945" spans="6:12">
      <c r="H2945" t="s">
        <v>20290</v>
      </c>
      <c r="I2945" t="s">
        <v>1357</v>
      </c>
      <c r="J2945" t="s">
        <v>1357</v>
      </c>
      <c r="K2945" t="s">
        <v>1357</v>
      </c>
      <c r="L2945" t="s">
        <v>1357</v>
      </c>
    </row>
    <row r="2946" spans="6:12">
      <c r="F2946" t="s">
        <v>14965</v>
      </c>
      <c r="G2946" t="s">
        <v>17443</v>
      </c>
      <c r="H2946" t="s">
        <v>20280</v>
      </c>
      <c r="I2946" t="s">
        <v>1357</v>
      </c>
      <c r="J2946" t="s">
        <v>1357</v>
      </c>
      <c r="K2946" t="s">
        <v>1357</v>
      </c>
      <c r="L2946" t="s">
        <v>1357</v>
      </c>
    </row>
    <row r="2947" spans="6:12">
      <c r="H2947" t="s">
        <v>20233</v>
      </c>
      <c r="I2947" t="s">
        <v>1357</v>
      </c>
      <c r="J2947" t="s">
        <v>1357</v>
      </c>
      <c r="K2947" t="s">
        <v>1357</v>
      </c>
      <c r="L2947" t="s">
        <v>1357</v>
      </c>
    </row>
    <row r="2948" spans="6:12">
      <c r="H2948" t="s">
        <v>20230</v>
      </c>
      <c r="I2948" t="s">
        <v>1357</v>
      </c>
      <c r="J2948" t="s">
        <v>1357</v>
      </c>
      <c r="K2948" t="s">
        <v>1357</v>
      </c>
      <c r="L2948" t="s">
        <v>1357</v>
      </c>
    </row>
    <row r="2949" spans="6:12">
      <c r="H2949" t="s">
        <v>20227</v>
      </c>
      <c r="I2949" t="s">
        <v>1357</v>
      </c>
      <c r="J2949" t="s">
        <v>1357</v>
      </c>
      <c r="K2949" t="s">
        <v>1357</v>
      </c>
      <c r="L2949" t="s">
        <v>1357</v>
      </c>
    </row>
    <row r="2950" spans="6:12">
      <c r="H2950" t="s">
        <v>20296</v>
      </c>
      <c r="I2950" t="s">
        <v>1357</v>
      </c>
      <c r="J2950" t="s">
        <v>1357</v>
      </c>
      <c r="K2950" t="s">
        <v>1357</v>
      </c>
      <c r="L2950" t="s">
        <v>1357</v>
      </c>
    </row>
    <row r="2951" spans="6:12">
      <c r="H2951" t="s">
        <v>20297</v>
      </c>
      <c r="I2951" t="s">
        <v>1357</v>
      </c>
      <c r="J2951" t="s">
        <v>1357</v>
      </c>
      <c r="K2951" t="s">
        <v>1357</v>
      </c>
      <c r="L2951" t="s">
        <v>1357</v>
      </c>
    </row>
    <row r="2952" spans="6:12">
      <c r="H2952" t="s">
        <v>20285</v>
      </c>
      <c r="I2952" t="s">
        <v>1357</v>
      </c>
      <c r="J2952" t="s">
        <v>1357</v>
      </c>
      <c r="K2952" t="s">
        <v>1357</v>
      </c>
      <c r="L2952" t="s">
        <v>1357</v>
      </c>
    </row>
    <row r="2953" spans="6:12">
      <c r="H2953" t="s">
        <v>20286</v>
      </c>
      <c r="I2953" t="s">
        <v>1357</v>
      </c>
      <c r="J2953" t="s">
        <v>1357</v>
      </c>
      <c r="K2953" t="s">
        <v>1357</v>
      </c>
      <c r="L2953" t="s">
        <v>1357</v>
      </c>
    </row>
    <row r="2954" spans="6:12">
      <c r="H2954" t="s">
        <v>20287</v>
      </c>
      <c r="I2954" t="s">
        <v>1357</v>
      </c>
      <c r="J2954" t="s">
        <v>1357</v>
      </c>
      <c r="K2954" t="s">
        <v>1357</v>
      </c>
      <c r="L2954" t="s">
        <v>1357</v>
      </c>
    </row>
    <row r="2955" spans="6:12">
      <c r="H2955" t="s">
        <v>20288</v>
      </c>
      <c r="I2955" t="s">
        <v>1357</v>
      </c>
      <c r="J2955" t="s">
        <v>1357</v>
      </c>
      <c r="K2955" t="s">
        <v>1357</v>
      </c>
      <c r="L2955" t="s">
        <v>1357</v>
      </c>
    </row>
    <row r="2956" spans="6:12">
      <c r="F2956" t="s">
        <v>14966</v>
      </c>
      <c r="G2956" t="s">
        <v>17444</v>
      </c>
      <c r="H2956" t="s">
        <v>20280</v>
      </c>
      <c r="I2956" t="s">
        <v>1357</v>
      </c>
      <c r="J2956" t="s">
        <v>1357</v>
      </c>
      <c r="K2956" t="s">
        <v>1357</v>
      </c>
      <c r="L2956" t="s">
        <v>1357</v>
      </c>
    </row>
    <row r="2957" spans="6:12">
      <c r="H2957" t="s">
        <v>20233</v>
      </c>
      <c r="I2957" t="s">
        <v>1357</v>
      </c>
      <c r="J2957" t="s">
        <v>1357</v>
      </c>
      <c r="K2957" t="s">
        <v>1357</v>
      </c>
      <c r="L2957" t="s">
        <v>1357</v>
      </c>
    </row>
    <row r="2958" spans="6:12">
      <c r="H2958" t="s">
        <v>20230</v>
      </c>
      <c r="I2958" t="s">
        <v>1357</v>
      </c>
      <c r="J2958" t="s">
        <v>1357</v>
      </c>
      <c r="K2958" t="s">
        <v>1357</v>
      </c>
      <c r="L2958" t="s">
        <v>1357</v>
      </c>
    </row>
    <row r="2959" spans="6:12">
      <c r="H2959" t="s">
        <v>20227</v>
      </c>
      <c r="I2959" t="s">
        <v>1357</v>
      </c>
      <c r="J2959" t="s">
        <v>1357</v>
      </c>
      <c r="K2959" t="s">
        <v>1357</v>
      </c>
      <c r="L2959" t="s">
        <v>1357</v>
      </c>
    </row>
    <row r="2960" spans="6:12">
      <c r="H2960" t="s">
        <v>20296</v>
      </c>
      <c r="I2960" t="s">
        <v>1357</v>
      </c>
      <c r="J2960" t="s">
        <v>1357</v>
      </c>
      <c r="K2960" t="s">
        <v>1357</v>
      </c>
      <c r="L2960" t="s">
        <v>1357</v>
      </c>
    </row>
    <row r="2961" spans="6:12">
      <c r="H2961" t="s">
        <v>20297</v>
      </c>
      <c r="I2961" t="s">
        <v>1357</v>
      </c>
      <c r="J2961" t="s">
        <v>1357</v>
      </c>
      <c r="K2961" t="s">
        <v>1357</v>
      </c>
      <c r="L2961" t="s">
        <v>1357</v>
      </c>
    </row>
    <row r="2962" spans="6:12">
      <c r="H2962" t="s">
        <v>20285</v>
      </c>
      <c r="I2962" t="s">
        <v>1357</v>
      </c>
      <c r="J2962" t="s">
        <v>1357</v>
      </c>
      <c r="K2962" t="s">
        <v>1357</v>
      </c>
      <c r="L2962" t="s">
        <v>1357</v>
      </c>
    </row>
    <row r="2963" spans="6:12">
      <c r="H2963" t="s">
        <v>20286</v>
      </c>
      <c r="I2963" t="s">
        <v>1357</v>
      </c>
      <c r="J2963" t="s">
        <v>1357</v>
      </c>
      <c r="K2963" t="s">
        <v>1357</v>
      </c>
      <c r="L2963" t="s">
        <v>1357</v>
      </c>
    </row>
    <row r="2964" spans="6:12">
      <c r="H2964" t="s">
        <v>20287</v>
      </c>
      <c r="I2964" t="s">
        <v>1357</v>
      </c>
      <c r="J2964" t="s">
        <v>1357</v>
      </c>
      <c r="K2964" t="s">
        <v>1357</v>
      </c>
      <c r="L2964" t="s">
        <v>1357</v>
      </c>
    </row>
    <row r="2965" spans="6:12">
      <c r="H2965" t="s">
        <v>20288</v>
      </c>
      <c r="I2965" t="s">
        <v>1357</v>
      </c>
      <c r="J2965" t="s">
        <v>1357</v>
      </c>
      <c r="K2965" t="s">
        <v>1357</v>
      </c>
      <c r="L2965" t="s">
        <v>1357</v>
      </c>
    </row>
    <row r="2966" spans="6:12">
      <c r="F2966" t="s">
        <v>14967</v>
      </c>
      <c r="G2966" t="s">
        <v>17445</v>
      </c>
      <c r="H2966" t="s">
        <v>20280</v>
      </c>
      <c r="I2966" t="s">
        <v>1357</v>
      </c>
      <c r="J2966" t="s">
        <v>1357</v>
      </c>
      <c r="K2966" t="s">
        <v>1357</v>
      </c>
      <c r="L2966" t="s">
        <v>1357</v>
      </c>
    </row>
    <row r="2967" spans="6:12">
      <c r="H2967" t="s">
        <v>20233</v>
      </c>
      <c r="I2967" t="s">
        <v>1357</v>
      </c>
      <c r="J2967" t="s">
        <v>1357</v>
      </c>
      <c r="K2967" t="s">
        <v>1357</v>
      </c>
      <c r="L2967" t="s">
        <v>1357</v>
      </c>
    </row>
    <row r="2968" spans="6:12">
      <c r="H2968" t="s">
        <v>20230</v>
      </c>
      <c r="I2968" t="s">
        <v>1357</v>
      </c>
      <c r="J2968" t="s">
        <v>1357</v>
      </c>
      <c r="K2968" t="s">
        <v>1357</v>
      </c>
      <c r="L2968" t="s">
        <v>1357</v>
      </c>
    </row>
    <row r="2969" spans="6:12">
      <c r="H2969" t="s">
        <v>20227</v>
      </c>
      <c r="I2969" t="s">
        <v>1357</v>
      </c>
      <c r="J2969" t="s">
        <v>1357</v>
      </c>
      <c r="K2969" t="s">
        <v>1357</v>
      </c>
      <c r="L2969" t="s">
        <v>1357</v>
      </c>
    </row>
    <row r="2970" spans="6:12">
      <c r="H2970" t="s">
        <v>20296</v>
      </c>
      <c r="I2970" t="s">
        <v>1357</v>
      </c>
      <c r="J2970" t="s">
        <v>1357</v>
      </c>
      <c r="K2970" t="s">
        <v>1357</v>
      </c>
      <c r="L2970" t="s">
        <v>1357</v>
      </c>
    </row>
    <row r="2971" spans="6:12">
      <c r="H2971" t="s">
        <v>20297</v>
      </c>
      <c r="I2971" t="s">
        <v>1357</v>
      </c>
      <c r="J2971" t="s">
        <v>1357</v>
      </c>
      <c r="K2971" t="s">
        <v>1357</v>
      </c>
      <c r="L2971" t="s">
        <v>1357</v>
      </c>
    </row>
    <row r="2972" spans="6:12">
      <c r="H2972" t="s">
        <v>20284</v>
      </c>
      <c r="I2972" t="s">
        <v>1357</v>
      </c>
      <c r="J2972" t="s">
        <v>1357</v>
      </c>
      <c r="K2972" t="s">
        <v>1357</v>
      </c>
      <c r="L2972" t="s">
        <v>1357</v>
      </c>
    </row>
    <row r="2973" spans="6:12">
      <c r="H2973" t="s">
        <v>20285</v>
      </c>
      <c r="I2973" t="s">
        <v>1357</v>
      </c>
      <c r="J2973" t="s">
        <v>1357</v>
      </c>
      <c r="K2973" t="s">
        <v>1357</v>
      </c>
      <c r="L2973" t="s">
        <v>1357</v>
      </c>
    </row>
    <row r="2974" spans="6:12">
      <c r="H2974" t="s">
        <v>20286</v>
      </c>
      <c r="I2974" t="s">
        <v>1357</v>
      </c>
      <c r="J2974" t="s">
        <v>1357</v>
      </c>
      <c r="K2974" t="s">
        <v>1357</v>
      </c>
      <c r="L2974" t="s">
        <v>1357</v>
      </c>
    </row>
    <row r="2975" spans="6:12">
      <c r="H2975" t="s">
        <v>20288</v>
      </c>
      <c r="I2975" t="s">
        <v>1357</v>
      </c>
      <c r="J2975" t="s">
        <v>1357</v>
      </c>
      <c r="K2975" t="s">
        <v>1357</v>
      </c>
      <c r="L2975" t="s">
        <v>1357</v>
      </c>
    </row>
    <row r="2976" spans="6:12">
      <c r="F2976" t="s">
        <v>14968</v>
      </c>
      <c r="G2976" t="s">
        <v>17446</v>
      </c>
      <c r="H2976" t="s">
        <v>20280</v>
      </c>
      <c r="I2976" t="s">
        <v>1357</v>
      </c>
      <c r="J2976" t="s">
        <v>1357</v>
      </c>
      <c r="K2976" t="s">
        <v>1357</v>
      </c>
      <c r="L2976" t="s">
        <v>1357</v>
      </c>
    </row>
    <row r="2977" spans="6:12">
      <c r="H2977" t="s">
        <v>20233</v>
      </c>
      <c r="I2977" t="s">
        <v>1357</v>
      </c>
      <c r="J2977" t="s">
        <v>1357</v>
      </c>
      <c r="K2977" t="s">
        <v>1357</v>
      </c>
      <c r="L2977" t="s">
        <v>1357</v>
      </c>
    </row>
    <row r="2978" spans="6:12">
      <c r="H2978" t="s">
        <v>20230</v>
      </c>
      <c r="I2978" t="s">
        <v>1357</v>
      </c>
      <c r="J2978" t="s">
        <v>1357</v>
      </c>
      <c r="K2978" t="s">
        <v>1357</v>
      </c>
      <c r="L2978" t="s">
        <v>1357</v>
      </c>
    </row>
    <row r="2979" spans="6:12">
      <c r="H2979" t="s">
        <v>20227</v>
      </c>
      <c r="I2979" t="s">
        <v>1357</v>
      </c>
      <c r="J2979" t="s">
        <v>1357</v>
      </c>
      <c r="K2979" t="s">
        <v>1357</v>
      </c>
      <c r="L2979" t="s">
        <v>1357</v>
      </c>
    </row>
    <row r="2980" spans="6:12">
      <c r="H2980" t="s">
        <v>20296</v>
      </c>
      <c r="I2980" t="s">
        <v>1357</v>
      </c>
      <c r="J2980" t="s">
        <v>1357</v>
      </c>
      <c r="K2980" t="s">
        <v>1357</v>
      </c>
      <c r="L2980" t="s">
        <v>1357</v>
      </c>
    </row>
    <row r="2981" spans="6:12">
      <c r="H2981" t="s">
        <v>20297</v>
      </c>
      <c r="I2981" t="s">
        <v>1357</v>
      </c>
      <c r="J2981" t="s">
        <v>1357</v>
      </c>
      <c r="K2981" t="s">
        <v>1357</v>
      </c>
      <c r="L2981" t="s">
        <v>1357</v>
      </c>
    </row>
    <row r="2982" spans="6:12">
      <c r="H2982" t="s">
        <v>20284</v>
      </c>
      <c r="I2982" t="s">
        <v>1357</v>
      </c>
      <c r="J2982" t="s">
        <v>1357</v>
      </c>
      <c r="K2982" t="s">
        <v>1357</v>
      </c>
      <c r="L2982" t="s">
        <v>1357</v>
      </c>
    </row>
    <row r="2983" spans="6:12">
      <c r="H2983" t="s">
        <v>20285</v>
      </c>
      <c r="I2983" t="s">
        <v>1357</v>
      </c>
      <c r="J2983" t="s">
        <v>1357</v>
      </c>
      <c r="K2983" t="s">
        <v>1357</v>
      </c>
      <c r="L2983" t="s">
        <v>1357</v>
      </c>
    </row>
    <row r="2984" spans="6:12">
      <c r="H2984" t="s">
        <v>20286</v>
      </c>
      <c r="I2984" t="s">
        <v>1357</v>
      </c>
      <c r="J2984" t="s">
        <v>1357</v>
      </c>
      <c r="K2984" t="s">
        <v>1357</v>
      </c>
      <c r="L2984" t="s">
        <v>1357</v>
      </c>
    </row>
    <row r="2985" spans="6:12">
      <c r="H2985" t="s">
        <v>20288</v>
      </c>
      <c r="I2985" t="s">
        <v>1357</v>
      </c>
      <c r="J2985" t="s">
        <v>1357</v>
      </c>
      <c r="K2985" t="s">
        <v>1357</v>
      </c>
      <c r="L2985" t="s">
        <v>1357</v>
      </c>
    </row>
    <row r="2986" spans="6:12">
      <c r="F2986" t="s">
        <v>14969</v>
      </c>
      <c r="G2986" t="s">
        <v>17447</v>
      </c>
      <c r="H2986" t="s">
        <v>20280</v>
      </c>
      <c r="I2986" t="s">
        <v>1357</v>
      </c>
      <c r="J2986" t="s">
        <v>1357</v>
      </c>
      <c r="K2986" t="s">
        <v>1357</v>
      </c>
      <c r="L2986" t="s">
        <v>1357</v>
      </c>
    </row>
    <row r="2987" spans="6:12">
      <c r="H2987" t="s">
        <v>20233</v>
      </c>
      <c r="I2987" t="s">
        <v>1357</v>
      </c>
      <c r="J2987" t="s">
        <v>1357</v>
      </c>
      <c r="K2987" t="s">
        <v>1357</v>
      </c>
      <c r="L2987" t="s">
        <v>1357</v>
      </c>
    </row>
    <row r="2988" spans="6:12">
      <c r="H2988" t="s">
        <v>20230</v>
      </c>
      <c r="I2988" t="s">
        <v>1357</v>
      </c>
      <c r="J2988" t="s">
        <v>1357</v>
      </c>
      <c r="K2988" t="s">
        <v>1357</v>
      </c>
      <c r="L2988" t="s">
        <v>1357</v>
      </c>
    </row>
    <row r="2989" spans="6:12">
      <c r="H2989" t="s">
        <v>20227</v>
      </c>
      <c r="I2989" t="s">
        <v>1357</v>
      </c>
      <c r="J2989" t="s">
        <v>1357</v>
      </c>
      <c r="K2989" t="s">
        <v>1357</v>
      </c>
      <c r="L2989" t="s">
        <v>1357</v>
      </c>
    </row>
    <row r="2990" spans="6:12">
      <c r="H2990" t="s">
        <v>20296</v>
      </c>
      <c r="I2990" t="s">
        <v>1357</v>
      </c>
      <c r="J2990" t="s">
        <v>1357</v>
      </c>
      <c r="K2990" t="s">
        <v>1357</v>
      </c>
      <c r="L2990" t="s">
        <v>1357</v>
      </c>
    </row>
    <row r="2991" spans="6:12">
      <c r="H2991" t="s">
        <v>20297</v>
      </c>
      <c r="I2991" t="s">
        <v>1357</v>
      </c>
      <c r="J2991" t="s">
        <v>1357</v>
      </c>
      <c r="K2991" t="s">
        <v>1357</v>
      </c>
      <c r="L2991" t="s">
        <v>1357</v>
      </c>
    </row>
    <row r="2992" spans="6:12">
      <c r="H2992" t="s">
        <v>20284</v>
      </c>
      <c r="I2992" t="s">
        <v>1357</v>
      </c>
      <c r="J2992" t="s">
        <v>1357</v>
      </c>
      <c r="K2992" t="s">
        <v>1357</v>
      </c>
      <c r="L2992" t="s">
        <v>1357</v>
      </c>
    </row>
    <row r="2993" spans="6:12">
      <c r="H2993" t="s">
        <v>20285</v>
      </c>
      <c r="I2993" t="s">
        <v>1357</v>
      </c>
      <c r="J2993" t="s">
        <v>1357</v>
      </c>
      <c r="K2993" t="s">
        <v>1357</v>
      </c>
      <c r="L2993" t="s">
        <v>1357</v>
      </c>
    </row>
    <row r="2994" spans="6:12">
      <c r="H2994" t="s">
        <v>20286</v>
      </c>
      <c r="I2994" t="s">
        <v>1357</v>
      </c>
      <c r="J2994" t="s">
        <v>1357</v>
      </c>
      <c r="K2994" t="s">
        <v>1357</v>
      </c>
      <c r="L2994" t="s">
        <v>1357</v>
      </c>
    </row>
    <row r="2995" spans="6:12">
      <c r="H2995" t="s">
        <v>20287</v>
      </c>
      <c r="I2995" t="s">
        <v>1357</v>
      </c>
      <c r="J2995" t="s">
        <v>1357</v>
      </c>
      <c r="K2995" t="s">
        <v>1357</v>
      </c>
      <c r="L2995" t="s">
        <v>1357</v>
      </c>
    </row>
    <row r="2996" spans="6:12">
      <c r="F2996" t="s">
        <v>14970</v>
      </c>
      <c r="G2996" t="s">
        <v>17448</v>
      </c>
      <c r="H2996" t="s">
        <v>20280</v>
      </c>
      <c r="I2996" t="s">
        <v>1357</v>
      </c>
      <c r="J2996" t="s">
        <v>1357</v>
      </c>
      <c r="K2996" t="s">
        <v>1357</v>
      </c>
      <c r="L2996" t="s">
        <v>1357</v>
      </c>
    </row>
    <row r="2997" spans="6:12">
      <c r="H2997" t="s">
        <v>20233</v>
      </c>
      <c r="I2997" t="s">
        <v>1357</v>
      </c>
      <c r="J2997" t="s">
        <v>1357</v>
      </c>
      <c r="K2997" t="s">
        <v>1357</v>
      </c>
      <c r="L2997" t="s">
        <v>1357</v>
      </c>
    </row>
    <row r="2998" spans="6:12">
      <c r="H2998" t="s">
        <v>20230</v>
      </c>
      <c r="I2998" t="s">
        <v>1357</v>
      </c>
      <c r="J2998" t="s">
        <v>1357</v>
      </c>
      <c r="K2998" t="s">
        <v>1357</v>
      </c>
      <c r="L2998" t="s">
        <v>1357</v>
      </c>
    </row>
    <row r="2999" spans="6:12">
      <c r="H2999" t="s">
        <v>20227</v>
      </c>
      <c r="I2999" t="s">
        <v>1357</v>
      </c>
      <c r="J2999" t="s">
        <v>1357</v>
      </c>
      <c r="K2999" t="s">
        <v>1357</v>
      </c>
      <c r="L2999" t="s">
        <v>1357</v>
      </c>
    </row>
    <row r="3000" spans="6:12">
      <c r="H3000" t="s">
        <v>20296</v>
      </c>
      <c r="I3000" t="s">
        <v>1357</v>
      </c>
      <c r="J3000" t="s">
        <v>1357</v>
      </c>
      <c r="K3000" t="s">
        <v>1357</v>
      </c>
      <c r="L3000" t="s">
        <v>1357</v>
      </c>
    </row>
    <row r="3001" spans="6:12">
      <c r="H3001" t="s">
        <v>20297</v>
      </c>
      <c r="I3001" t="s">
        <v>1357</v>
      </c>
      <c r="J3001" t="s">
        <v>1357</v>
      </c>
      <c r="K3001" t="s">
        <v>1357</v>
      </c>
      <c r="L3001" t="s">
        <v>1357</v>
      </c>
    </row>
    <row r="3002" spans="6:12">
      <c r="H3002" t="s">
        <v>20284</v>
      </c>
      <c r="I3002" t="s">
        <v>1357</v>
      </c>
      <c r="J3002" t="s">
        <v>1357</v>
      </c>
      <c r="K3002" t="s">
        <v>1357</v>
      </c>
      <c r="L3002" t="s">
        <v>1357</v>
      </c>
    </row>
    <row r="3003" spans="6:12">
      <c r="H3003" t="s">
        <v>20285</v>
      </c>
      <c r="I3003" t="s">
        <v>1357</v>
      </c>
      <c r="J3003" t="s">
        <v>1357</v>
      </c>
      <c r="K3003" t="s">
        <v>1357</v>
      </c>
      <c r="L3003" t="s">
        <v>1357</v>
      </c>
    </row>
    <row r="3004" spans="6:12">
      <c r="H3004" t="s">
        <v>20286</v>
      </c>
      <c r="I3004" t="s">
        <v>1357</v>
      </c>
      <c r="J3004" t="s">
        <v>1357</v>
      </c>
      <c r="K3004" t="s">
        <v>1357</v>
      </c>
      <c r="L3004" t="s">
        <v>1357</v>
      </c>
    </row>
    <row r="3005" spans="6:12">
      <c r="H3005" t="s">
        <v>20287</v>
      </c>
      <c r="I3005" t="s">
        <v>1357</v>
      </c>
      <c r="J3005" t="s">
        <v>1357</v>
      </c>
      <c r="K3005" t="s">
        <v>1357</v>
      </c>
      <c r="L3005" t="s">
        <v>1357</v>
      </c>
    </row>
    <row r="3006" spans="6:12">
      <c r="F3006" t="s">
        <v>14971</v>
      </c>
      <c r="G3006" t="s">
        <v>17449</v>
      </c>
      <c r="H3006" t="s">
        <v>20280</v>
      </c>
      <c r="I3006" t="s">
        <v>1357</v>
      </c>
      <c r="J3006" t="s">
        <v>1357</v>
      </c>
      <c r="K3006" t="s">
        <v>1357</v>
      </c>
      <c r="L3006" t="s">
        <v>1357</v>
      </c>
    </row>
    <row r="3007" spans="6:12">
      <c r="H3007" t="s">
        <v>20233</v>
      </c>
      <c r="I3007" t="s">
        <v>1357</v>
      </c>
      <c r="J3007" t="s">
        <v>1357</v>
      </c>
      <c r="K3007" t="s">
        <v>1357</v>
      </c>
      <c r="L3007" t="s">
        <v>1357</v>
      </c>
    </row>
    <row r="3008" spans="6:12">
      <c r="H3008" t="s">
        <v>20230</v>
      </c>
      <c r="I3008" t="s">
        <v>1357</v>
      </c>
      <c r="J3008" t="s">
        <v>1357</v>
      </c>
      <c r="K3008" t="s">
        <v>1357</v>
      </c>
      <c r="L3008" t="s">
        <v>1357</v>
      </c>
    </row>
    <row r="3009" spans="6:12">
      <c r="H3009" t="s">
        <v>20281</v>
      </c>
      <c r="I3009" t="s">
        <v>1357</v>
      </c>
      <c r="J3009" t="s">
        <v>1357</v>
      </c>
      <c r="K3009" t="s">
        <v>1357</v>
      </c>
      <c r="L3009" t="s">
        <v>1357</v>
      </c>
    </row>
    <row r="3010" spans="6:12">
      <c r="H3010" t="s">
        <v>20282</v>
      </c>
      <c r="I3010" t="s">
        <v>1357</v>
      </c>
      <c r="J3010" t="s">
        <v>1357</v>
      </c>
      <c r="K3010" t="s">
        <v>1357</v>
      </c>
      <c r="L3010" t="s">
        <v>1357</v>
      </c>
    </row>
    <row r="3011" spans="6:12">
      <c r="H3011" t="s">
        <v>20283</v>
      </c>
      <c r="I3011" t="s">
        <v>1357</v>
      </c>
      <c r="J3011" t="s">
        <v>1357</v>
      </c>
      <c r="K3011" t="s">
        <v>1357</v>
      </c>
      <c r="L3011" t="s">
        <v>1357</v>
      </c>
    </row>
    <row r="3012" spans="6:12">
      <c r="H3012" t="s">
        <v>20284</v>
      </c>
      <c r="I3012" t="s">
        <v>1357</v>
      </c>
      <c r="J3012" t="s">
        <v>1357</v>
      </c>
      <c r="K3012" t="s">
        <v>1357</v>
      </c>
      <c r="L3012" t="s">
        <v>1357</v>
      </c>
    </row>
    <row r="3013" spans="6:12">
      <c r="H3013" t="s">
        <v>20285</v>
      </c>
      <c r="I3013" t="s">
        <v>1357</v>
      </c>
      <c r="J3013" t="s">
        <v>1357</v>
      </c>
      <c r="K3013" t="s">
        <v>1357</v>
      </c>
      <c r="L3013" t="s">
        <v>1357</v>
      </c>
    </row>
    <row r="3014" spans="6:12">
      <c r="H3014" t="s">
        <v>20286</v>
      </c>
      <c r="I3014" t="s">
        <v>1357</v>
      </c>
      <c r="J3014" t="s">
        <v>1357</v>
      </c>
      <c r="K3014" t="s">
        <v>1357</v>
      </c>
      <c r="L3014" t="s">
        <v>1357</v>
      </c>
    </row>
    <row r="3015" spans="6:12">
      <c r="H3015" t="s">
        <v>20287</v>
      </c>
      <c r="I3015" t="s">
        <v>1357</v>
      </c>
      <c r="J3015" t="s">
        <v>1357</v>
      </c>
      <c r="K3015" t="s">
        <v>1357</v>
      </c>
      <c r="L3015" t="s">
        <v>1357</v>
      </c>
    </row>
    <row r="3016" spans="6:12">
      <c r="H3016" t="s">
        <v>20288</v>
      </c>
      <c r="I3016" t="s">
        <v>1357</v>
      </c>
      <c r="J3016" t="s">
        <v>1357</v>
      </c>
      <c r="K3016" t="s">
        <v>1357</v>
      </c>
      <c r="L3016" t="s">
        <v>1357</v>
      </c>
    </row>
    <row r="3017" spans="6:12">
      <c r="H3017" t="s">
        <v>20289</v>
      </c>
      <c r="I3017" t="s">
        <v>1357</v>
      </c>
      <c r="J3017" t="s">
        <v>1357</v>
      </c>
      <c r="K3017" t="s">
        <v>1357</v>
      </c>
      <c r="L3017" t="s">
        <v>1357</v>
      </c>
    </row>
    <row r="3018" spans="6:12">
      <c r="H3018" t="s">
        <v>20290</v>
      </c>
      <c r="I3018" t="s">
        <v>1357</v>
      </c>
      <c r="J3018" t="s">
        <v>1357</v>
      </c>
      <c r="K3018" t="s">
        <v>1357</v>
      </c>
      <c r="L3018" t="s">
        <v>1357</v>
      </c>
    </row>
    <row r="3019" spans="6:12">
      <c r="F3019" t="s">
        <v>14972</v>
      </c>
      <c r="G3019" t="s">
        <v>17450</v>
      </c>
      <c r="H3019" t="s">
        <v>20280</v>
      </c>
      <c r="I3019" t="s">
        <v>1357</v>
      </c>
      <c r="J3019" t="s">
        <v>1357</v>
      </c>
      <c r="K3019" t="s">
        <v>1357</v>
      </c>
      <c r="L3019" t="s">
        <v>1357</v>
      </c>
    </row>
    <row r="3020" spans="6:12">
      <c r="H3020" t="s">
        <v>20233</v>
      </c>
      <c r="I3020" t="s">
        <v>1357</v>
      </c>
      <c r="J3020" t="s">
        <v>1357</v>
      </c>
      <c r="K3020" t="s">
        <v>1357</v>
      </c>
      <c r="L3020" t="s">
        <v>1357</v>
      </c>
    </row>
    <row r="3021" spans="6:12">
      <c r="H3021" t="s">
        <v>20230</v>
      </c>
      <c r="I3021" t="s">
        <v>1357</v>
      </c>
      <c r="J3021" t="s">
        <v>1357</v>
      </c>
      <c r="K3021" t="s">
        <v>1357</v>
      </c>
      <c r="L3021" t="s">
        <v>1357</v>
      </c>
    </row>
    <row r="3022" spans="6:12">
      <c r="H3022" t="s">
        <v>20281</v>
      </c>
      <c r="I3022" t="s">
        <v>1357</v>
      </c>
      <c r="J3022" t="s">
        <v>1357</v>
      </c>
      <c r="K3022" t="s">
        <v>1357</v>
      </c>
      <c r="L3022" t="s">
        <v>1357</v>
      </c>
    </row>
    <row r="3023" spans="6:12">
      <c r="H3023" t="s">
        <v>20282</v>
      </c>
      <c r="I3023" t="s">
        <v>1357</v>
      </c>
      <c r="J3023" t="s">
        <v>1357</v>
      </c>
      <c r="K3023" t="s">
        <v>1357</v>
      </c>
      <c r="L3023" t="s">
        <v>1357</v>
      </c>
    </row>
    <row r="3024" spans="6:12">
      <c r="H3024" t="s">
        <v>20283</v>
      </c>
      <c r="I3024" t="s">
        <v>1357</v>
      </c>
      <c r="J3024" t="s">
        <v>1357</v>
      </c>
      <c r="K3024" t="s">
        <v>1357</v>
      </c>
      <c r="L3024" t="s">
        <v>1357</v>
      </c>
    </row>
    <row r="3025" spans="6:12">
      <c r="H3025" t="s">
        <v>20284</v>
      </c>
      <c r="I3025" t="s">
        <v>1357</v>
      </c>
      <c r="J3025" t="s">
        <v>1357</v>
      </c>
      <c r="K3025" t="s">
        <v>1357</v>
      </c>
      <c r="L3025" t="s">
        <v>1357</v>
      </c>
    </row>
    <row r="3026" spans="6:12">
      <c r="H3026" t="s">
        <v>20285</v>
      </c>
      <c r="I3026" t="s">
        <v>1357</v>
      </c>
      <c r="J3026" t="s">
        <v>1357</v>
      </c>
      <c r="K3026" t="s">
        <v>1357</v>
      </c>
      <c r="L3026" t="s">
        <v>1357</v>
      </c>
    </row>
    <row r="3027" spans="6:12">
      <c r="H3027" t="s">
        <v>20286</v>
      </c>
      <c r="I3027" t="s">
        <v>1357</v>
      </c>
      <c r="J3027" t="s">
        <v>1357</v>
      </c>
      <c r="K3027" t="s">
        <v>1357</v>
      </c>
      <c r="L3027" t="s">
        <v>1357</v>
      </c>
    </row>
    <row r="3028" spans="6:12">
      <c r="H3028" t="s">
        <v>20287</v>
      </c>
      <c r="I3028" t="s">
        <v>1357</v>
      </c>
      <c r="J3028" t="s">
        <v>1357</v>
      </c>
      <c r="K3028" t="s">
        <v>1357</v>
      </c>
      <c r="L3028" t="s">
        <v>1357</v>
      </c>
    </row>
    <row r="3029" spans="6:12">
      <c r="H3029" t="s">
        <v>20288</v>
      </c>
      <c r="I3029" t="s">
        <v>1357</v>
      </c>
      <c r="J3029" t="s">
        <v>1357</v>
      </c>
      <c r="K3029" t="s">
        <v>1357</v>
      </c>
      <c r="L3029" t="s">
        <v>1357</v>
      </c>
    </row>
    <row r="3030" spans="6:12">
      <c r="H3030" t="s">
        <v>20289</v>
      </c>
      <c r="I3030" t="s">
        <v>1357</v>
      </c>
      <c r="J3030" t="s">
        <v>1357</v>
      </c>
      <c r="K3030" t="s">
        <v>1357</v>
      </c>
      <c r="L3030" t="s">
        <v>1357</v>
      </c>
    </row>
    <row r="3031" spans="6:12">
      <c r="H3031" t="s">
        <v>20290</v>
      </c>
      <c r="I3031" t="s">
        <v>1357</v>
      </c>
      <c r="J3031" t="s">
        <v>1357</v>
      </c>
      <c r="K3031" t="s">
        <v>1357</v>
      </c>
      <c r="L3031" t="s">
        <v>1357</v>
      </c>
    </row>
    <row r="3032" spans="6:12">
      <c r="H3032" t="s">
        <v>20293</v>
      </c>
      <c r="I3032" t="s">
        <v>1357</v>
      </c>
      <c r="J3032" t="s">
        <v>1357</v>
      </c>
      <c r="K3032" t="s">
        <v>1357</v>
      </c>
      <c r="L3032" t="s">
        <v>1357</v>
      </c>
    </row>
    <row r="3033" spans="6:12">
      <c r="F3033" t="s">
        <v>14973</v>
      </c>
      <c r="G3033" t="s">
        <v>17451</v>
      </c>
      <c r="H3033" t="s">
        <v>20280</v>
      </c>
      <c r="I3033" t="s">
        <v>1357</v>
      </c>
      <c r="J3033" t="s">
        <v>1357</v>
      </c>
      <c r="K3033" t="s">
        <v>1357</v>
      </c>
      <c r="L3033" t="s">
        <v>1357</v>
      </c>
    </row>
    <row r="3034" spans="6:12">
      <c r="H3034" t="s">
        <v>20233</v>
      </c>
      <c r="I3034" t="s">
        <v>1357</v>
      </c>
      <c r="J3034" t="s">
        <v>1357</v>
      </c>
      <c r="K3034" t="s">
        <v>1357</v>
      </c>
      <c r="L3034" t="s">
        <v>1357</v>
      </c>
    </row>
    <row r="3035" spans="6:12">
      <c r="H3035" t="s">
        <v>20230</v>
      </c>
      <c r="I3035" t="s">
        <v>1357</v>
      </c>
      <c r="J3035" t="s">
        <v>1357</v>
      </c>
      <c r="K3035" t="s">
        <v>1357</v>
      </c>
      <c r="L3035" t="s">
        <v>1357</v>
      </c>
    </row>
    <row r="3036" spans="6:12">
      <c r="H3036" t="s">
        <v>20281</v>
      </c>
      <c r="I3036" t="s">
        <v>1357</v>
      </c>
      <c r="J3036" t="s">
        <v>1357</v>
      </c>
      <c r="K3036" t="s">
        <v>1357</v>
      </c>
      <c r="L3036" t="s">
        <v>1357</v>
      </c>
    </row>
    <row r="3037" spans="6:12">
      <c r="H3037" t="s">
        <v>20282</v>
      </c>
      <c r="I3037" t="s">
        <v>1357</v>
      </c>
      <c r="J3037" t="s">
        <v>1357</v>
      </c>
      <c r="K3037" t="s">
        <v>1357</v>
      </c>
      <c r="L3037" t="s">
        <v>1357</v>
      </c>
    </row>
    <row r="3038" spans="6:12">
      <c r="H3038" t="s">
        <v>20283</v>
      </c>
      <c r="I3038" t="s">
        <v>1357</v>
      </c>
      <c r="J3038" t="s">
        <v>1357</v>
      </c>
      <c r="K3038" t="s">
        <v>1357</v>
      </c>
      <c r="L3038" t="s">
        <v>1357</v>
      </c>
    </row>
    <row r="3039" spans="6:12">
      <c r="H3039" t="s">
        <v>20284</v>
      </c>
      <c r="I3039" t="s">
        <v>1357</v>
      </c>
      <c r="J3039" t="s">
        <v>1357</v>
      </c>
      <c r="K3039" t="s">
        <v>1357</v>
      </c>
      <c r="L3039" t="s">
        <v>1357</v>
      </c>
    </row>
    <row r="3040" spans="6:12">
      <c r="H3040" t="s">
        <v>20285</v>
      </c>
      <c r="I3040" t="s">
        <v>1357</v>
      </c>
      <c r="J3040" t="s">
        <v>1357</v>
      </c>
      <c r="K3040" t="s">
        <v>1357</v>
      </c>
      <c r="L3040" t="s">
        <v>1357</v>
      </c>
    </row>
    <row r="3041" spans="6:12">
      <c r="H3041" t="s">
        <v>20286</v>
      </c>
      <c r="I3041" t="s">
        <v>1357</v>
      </c>
      <c r="J3041" t="s">
        <v>1357</v>
      </c>
      <c r="K3041" t="s">
        <v>1357</v>
      </c>
      <c r="L3041" t="s">
        <v>1357</v>
      </c>
    </row>
    <row r="3042" spans="6:12">
      <c r="H3042" t="s">
        <v>20287</v>
      </c>
      <c r="I3042" t="s">
        <v>1357</v>
      </c>
      <c r="J3042" t="s">
        <v>1357</v>
      </c>
      <c r="K3042" t="s">
        <v>1357</v>
      </c>
      <c r="L3042" t="s">
        <v>1357</v>
      </c>
    </row>
    <row r="3043" spans="6:12">
      <c r="H3043" t="s">
        <v>20288</v>
      </c>
      <c r="I3043" t="s">
        <v>1357</v>
      </c>
      <c r="J3043" t="s">
        <v>1357</v>
      </c>
      <c r="K3043" t="s">
        <v>1357</v>
      </c>
      <c r="L3043" t="s">
        <v>1357</v>
      </c>
    </row>
    <row r="3044" spans="6:12">
      <c r="H3044" t="s">
        <v>20289</v>
      </c>
      <c r="I3044" t="s">
        <v>1357</v>
      </c>
      <c r="J3044" t="s">
        <v>1357</v>
      </c>
      <c r="K3044" t="s">
        <v>1357</v>
      </c>
      <c r="L3044" t="s">
        <v>1357</v>
      </c>
    </row>
    <row r="3045" spans="6:12">
      <c r="H3045" t="s">
        <v>20290</v>
      </c>
      <c r="I3045" t="s">
        <v>1357</v>
      </c>
      <c r="J3045" t="s">
        <v>1357</v>
      </c>
      <c r="K3045" t="s">
        <v>1357</v>
      </c>
      <c r="L3045" t="s">
        <v>1357</v>
      </c>
    </row>
    <row r="3046" spans="6:12">
      <c r="H3046" t="s">
        <v>20291</v>
      </c>
      <c r="I3046" t="s">
        <v>1357</v>
      </c>
      <c r="J3046" t="s">
        <v>1357</v>
      </c>
      <c r="K3046" t="s">
        <v>1357</v>
      </c>
      <c r="L3046" t="s">
        <v>1357</v>
      </c>
    </row>
    <row r="3047" spans="6:12">
      <c r="F3047" t="s">
        <v>14974</v>
      </c>
      <c r="G3047" t="s">
        <v>17452</v>
      </c>
      <c r="H3047" t="s">
        <v>20280</v>
      </c>
      <c r="I3047" t="s">
        <v>1357</v>
      </c>
      <c r="J3047" t="s">
        <v>1357</v>
      </c>
      <c r="K3047" t="s">
        <v>1357</v>
      </c>
      <c r="L3047" t="s">
        <v>1357</v>
      </c>
    </row>
    <row r="3048" spans="6:12">
      <c r="H3048" t="s">
        <v>20233</v>
      </c>
      <c r="I3048" t="s">
        <v>1357</v>
      </c>
      <c r="J3048" t="s">
        <v>1357</v>
      </c>
      <c r="K3048" t="s">
        <v>1357</v>
      </c>
      <c r="L3048" t="s">
        <v>1357</v>
      </c>
    </row>
    <row r="3049" spans="6:12">
      <c r="H3049" t="s">
        <v>20230</v>
      </c>
      <c r="I3049" t="s">
        <v>1357</v>
      </c>
      <c r="J3049" t="s">
        <v>1357</v>
      </c>
      <c r="K3049" t="s">
        <v>1357</v>
      </c>
      <c r="L3049" t="s">
        <v>1357</v>
      </c>
    </row>
    <row r="3050" spans="6:12">
      <c r="H3050" t="s">
        <v>20281</v>
      </c>
      <c r="I3050" t="s">
        <v>1357</v>
      </c>
      <c r="J3050" t="s">
        <v>1357</v>
      </c>
      <c r="K3050" t="s">
        <v>1357</v>
      </c>
      <c r="L3050" t="s">
        <v>1357</v>
      </c>
    </row>
    <row r="3051" spans="6:12">
      <c r="H3051" t="s">
        <v>20282</v>
      </c>
      <c r="I3051" t="s">
        <v>1357</v>
      </c>
      <c r="J3051" t="s">
        <v>1357</v>
      </c>
      <c r="K3051" t="s">
        <v>1357</v>
      </c>
      <c r="L3051" t="s">
        <v>1357</v>
      </c>
    </row>
    <row r="3052" spans="6:12">
      <c r="H3052" t="s">
        <v>20283</v>
      </c>
      <c r="I3052" t="s">
        <v>1357</v>
      </c>
      <c r="J3052" t="s">
        <v>1357</v>
      </c>
      <c r="K3052" t="s">
        <v>1357</v>
      </c>
      <c r="L3052" t="s">
        <v>1357</v>
      </c>
    </row>
    <row r="3053" spans="6:12">
      <c r="H3053" t="s">
        <v>20284</v>
      </c>
      <c r="I3053" t="s">
        <v>1357</v>
      </c>
      <c r="J3053" t="s">
        <v>1357</v>
      </c>
      <c r="K3053" t="s">
        <v>1357</v>
      </c>
      <c r="L3053" t="s">
        <v>1357</v>
      </c>
    </row>
    <row r="3054" spans="6:12">
      <c r="H3054" t="s">
        <v>20285</v>
      </c>
      <c r="I3054" t="s">
        <v>1357</v>
      </c>
      <c r="J3054" t="s">
        <v>1357</v>
      </c>
      <c r="K3054" t="s">
        <v>1357</v>
      </c>
      <c r="L3054" t="s">
        <v>1357</v>
      </c>
    </row>
    <row r="3055" spans="6:12">
      <c r="H3055" t="s">
        <v>20286</v>
      </c>
      <c r="I3055" t="s">
        <v>1357</v>
      </c>
      <c r="J3055" t="s">
        <v>1357</v>
      </c>
      <c r="K3055" t="s">
        <v>1357</v>
      </c>
      <c r="L3055" t="s">
        <v>1357</v>
      </c>
    </row>
    <row r="3056" spans="6:12">
      <c r="H3056" t="s">
        <v>20287</v>
      </c>
      <c r="I3056" t="s">
        <v>1357</v>
      </c>
      <c r="J3056" t="s">
        <v>1357</v>
      </c>
      <c r="K3056" t="s">
        <v>1357</v>
      </c>
      <c r="L3056" t="s">
        <v>1357</v>
      </c>
    </row>
    <row r="3057" spans="6:12">
      <c r="H3057" t="s">
        <v>20288</v>
      </c>
      <c r="I3057" t="s">
        <v>1357</v>
      </c>
      <c r="J3057" t="s">
        <v>1357</v>
      </c>
      <c r="K3057" t="s">
        <v>1357</v>
      </c>
      <c r="L3057" t="s">
        <v>1357</v>
      </c>
    </row>
    <row r="3058" spans="6:12">
      <c r="H3058" t="s">
        <v>20289</v>
      </c>
      <c r="I3058" t="s">
        <v>1357</v>
      </c>
      <c r="J3058" t="s">
        <v>1357</v>
      </c>
      <c r="K3058" t="s">
        <v>1357</v>
      </c>
      <c r="L3058" t="s">
        <v>1357</v>
      </c>
    </row>
    <row r="3059" spans="6:12">
      <c r="H3059" t="s">
        <v>20290</v>
      </c>
      <c r="I3059" t="s">
        <v>1357</v>
      </c>
      <c r="J3059" t="s">
        <v>1357</v>
      </c>
      <c r="K3059" t="s">
        <v>1357</v>
      </c>
      <c r="L3059" t="s">
        <v>1357</v>
      </c>
    </row>
    <row r="3060" spans="6:12">
      <c r="H3060" t="s">
        <v>20293</v>
      </c>
      <c r="I3060" t="s">
        <v>1357</v>
      </c>
      <c r="J3060" t="s">
        <v>1357</v>
      </c>
      <c r="K3060" t="s">
        <v>1357</v>
      </c>
      <c r="L3060" t="s">
        <v>1357</v>
      </c>
    </row>
    <row r="3061" spans="6:12">
      <c r="F3061" t="s">
        <v>14975</v>
      </c>
      <c r="G3061" t="s">
        <v>17453</v>
      </c>
      <c r="H3061" t="s">
        <v>20280</v>
      </c>
      <c r="I3061" t="s">
        <v>1357</v>
      </c>
      <c r="J3061" t="s">
        <v>1357</v>
      </c>
      <c r="K3061" t="s">
        <v>1357</v>
      </c>
      <c r="L3061" t="s">
        <v>1357</v>
      </c>
    </row>
    <row r="3062" spans="6:12">
      <c r="H3062" t="s">
        <v>20233</v>
      </c>
      <c r="I3062" t="s">
        <v>1357</v>
      </c>
      <c r="J3062" t="s">
        <v>1357</v>
      </c>
      <c r="K3062" t="s">
        <v>1357</v>
      </c>
      <c r="L3062" t="s">
        <v>1357</v>
      </c>
    </row>
    <row r="3063" spans="6:12">
      <c r="H3063" t="s">
        <v>20230</v>
      </c>
      <c r="I3063" t="s">
        <v>1357</v>
      </c>
      <c r="J3063" t="s">
        <v>1357</v>
      </c>
      <c r="K3063" t="s">
        <v>1357</v>
      </c>
      <c r="L3063" t="s">
        <v>1357</v>
      </c>
    </row>
    <row r="3064" spans="6:12">
      <c r="H3064" t="s">
        <v>20227</v>
      </c>
      <c r="I3064" t="s">
        <v>1357</v>
      </c>
      <c r="J3064" t="s">
        <v>1357</v>
      </c>
      <c r="K3064" t="s">
        <v>1357</v>
      </c>
      <c r="L3064" t="s">
        <v>1357</v>
      </c>
    </row>
    <row r="3065" spans="6:12">
      <c r="H3065" t="s">
        <v>20228</v>
      </c>
      <c r="I3065" t="s">
        <v>1357</v>
      </c>
      <c r="J3065" t="s">
        <v>1357</v>
      </c>
      <c r="K3065" t="s">
        <v>1357</v>
      </c>
      <c r="L3065" t="s">
        <v>1357</v>
      </c>
    </row>
    <row r="3066" spans="6:12">
      <c r="H3066" t="s">
        <v>20281</v>
      </c>
      <c r="I3066" t="s">
        <v>1357</v>
      </c>
      <c r="J3066" t="s">
        <v>1357</v>
      </c>
      <c r="K3066" t="s">
        <v>1357</v>
      </c>
      <c r="L3066" t="s">
        <v>1357</v>
      </c>
    </row>
    <row r="3067" spans="6:12">
      <c r="H3067" t="s">
        <v>20282</v>
      </c>
      <c r="I3067" t="s">
        <v>1357</v>
      </c>
      <c r="J3067" t="s">
        <v>1357</v>
      </c>
      <c r="K3067" t="s">
        <v>1357</v>
      </c>
      <c r="L3067" t="s">
        <v>1357</v>
      </c>
    </row>
    <row r="3068" spans="6:12">
      <c r="H3068" t="s">
        <v>20283</v>
      </c>
      <c r="I3068" t="s">
        <v>1357</v>
      </c>
      <c r="J3068" t="s">
        <v>1357</v>
      </c>
      <c r="K3068" t="s">
        <v>1357</v>
      </c>
      <c r="L3068" t="s">
        <v>1357</v>
      </c>
    </row>
    <row r="3069" spans="6:12">
      <c r="H3069" t="s">
        <v>20292</v>
      </c>
      <c r="I3069" t="s">
        <v>1357</v>
      </c>
      <c r="J3069" t="s">
        <v>1357</v>
      </c>
      <c r="K3069" t="s">
        <v>1357</v>
      </c>
      <c r="L3069" t="s">
        <v>1357</v>
      </c>
    </row>
    <row r="3070" spans="6:12">
      <c r="H3070" t="s">
        <v>20284</v>
      </c>
      <c r="I3070" t="s">
        <v>1357</v>
      </c>
      <c r="J3070" t="s">
        <v>1357</v>
      </c>
      <c r="K3070" t="s">
        <v>1357</v>
      </c>
      <c r="L3070" t="s">
        <v>1357</v>
      </c>
    </row>
    <row r="3071" spans="6:12">
      <c r="H3071" t="s">
        <v>20285</v>
      </c>
      <c r="I3071" t="s">
        <v>1357</v>
      </c>
      <c r="J3071" t="s">
        <v>1357</v>
      </c>
      <c r="K3071" t="s">
        <v>1357</v>
      </c>
      <c r="L3071" t="s">
        <v>1357</v>
      </c>
    </row>
    <row r="3072" spans="6:12">
      <c r="H3072" t="s">
        <v>20286</v>
      </c>
      <c r="I3072" t="s">
        <v>1357</v>
      </c>
      <c r="J3072" t="s">
        <v>1357</v>
      </c>
      <c r="K3072" t="s">
        <v>1357</v>
      </c>
      <c r="L3072" t="s">
        <v>1357</v>
      </c>
    </row>
    <row r="3073" spans="6:12">
      <c r="H3073" t="s">
        <v>20287</v>
      </c>
      <c r="I3073" t="s">
        <v>1357</v>
      </c>
      <c r="J3073" t="s">
        <v>1357</v>
      </c>
      <c r="K3073" t="s">
        <v>1357</v>
      </c>
      <c r="L3073" t="s">
        <v>1357</v>
      </c>
    </row>
    <row r="3074" spans="6:12">
      <c r="H3074" t="s">
        <v>20288</v>
      </c>
      <c r="I3074" t="s">
        <v>1357</v>
      </c>
      <c r="J3074" t="s">
        <v>1357</v>
      </c>
      <c r="K3074" t="s">
        <v>1357</v>
      </c>
      <c r="L3074" t="s">
        <v>1357</v>
      </c>
    </row>
    <row r="3075" spans="6:12">
      <c r="H3075" t="s">
        <v>20289</v>
      </c>
      <c r="I3075" t="s">
        <v>1357</v>
      </c>
      <c r="J3075" t="s">
        <v>1357</v>
      </c>
      <c r="K3075" t="s">
        <v>1357</v>
      </c>
      <c r="L3075" t="s">
        <v>1357</v>
      </c>
    </row>
    <row r="3076" spans="6:12">
      <c r="H3076" t="s">
        <v>20290</v>
      </c>
      <c r="I3076" t="s">
        <v>1357</v>
      </c>
      <c r="J3076" t="s">
        <v>1357</v>
      </c>
      <c r="K3076" t="s">
        <v>1357</v>
      </c>
      <c r="L3076" t="s">
        <v>1357</v>
      </c>
    </row>
    <row r="3077" spans="6:12">
      <c r="H3077" t="s">
        <v>20291</v>
      </c>
      <c r="I3077" t="s">
        <v>1357</v>
      </c>
      <c r="J3077" t="s">
        <v>1357</v>
      </c>
      <c r="K3077" t="s">
        <v>1357</v>
      </c>
      <c r="L3077" t="s">
        <v>1357</v>
      </c>
    </row>
    <row r="3078" spans="6:12">
      <c r="F3078" t="s">
        <v>14976</v>
      </c>
      <c r="G3078" t="s">
        <v>17454</v>
      </c>
      <c r="H3078" t="s">
        <v>20280</v>
      </c>
      <c r="I3078" t="s">
        <v>1357</v>
      </c>
      <c r="J3078" t="s">
        <v>1357</v>
      </c>
      <c r="K3078" t="s">
        <v>1357</v>
      </c>
      <c r="L3078" t="s">
        <v>1357</v>
      </c>
    </row>
    <row r="3079" spans="6:12">
      <c r="H3079" t="s">
        <v>20233</v>
      </c>
      <c r="I3079" t="s">
        <v>1357</v>
      </c>
      <c r="J3079" t="s">
        <v>1357</v>
      </c>
      <c r="K3079" t="s">
        <v>1357</v>
      </c>
      <c r="L3079" t="s">
        <v>1357</v>
      </c>
    </row>
    <row r="3080" spans="6:12">
      <c r="H3080" t="s">
        <v>20230</v>
      </c>
      <c r="I3080" t="s">
        <v>1357</v>
      </c>
      <c r="J3080" t="s">
        <v>1357</v>
      </c>
      <c r="K3080" t="s">
        <v>1357</v>
      </c>
      <c r="L3080" t="s">
        <v>1357</v>
      </c>
    </row>
    <row r="3081" spans="6:12">
      <c r="H3081" t="s">
        <v>20281</v>
      </c>
      <c r="I3081" t="s">
        <v>1357</v>
      </c>
      <c r="J3081" t="s">
        <v>1357</v>
      </c>
      <c r="K3081" t="s">
        <v>1357</v>
      </c>
      <c r="L3081" t="s">
        <v>1357</v>
      </c>
    </row>
    <row r="3082" spans="6:12">
      <c r="H3082" t="s">
        <v>20282</v>
      </c>
      <c r="I3082" t="s">
        <v>1357</v>
      </c>
      <c r="J3082" t="s">
        <v>1357</v>
      </c>
      <c r="K3082" t="s">
        <v>1357</v>
      </c>
      <c r="L3082" t="s">
        <v>1357</v>
      </c>
    </row>
    <row r="3083" spans="6:12">
      <c r="H3083" t="s">
        <v>20283</v>
      </c>
      <c r="I3083" t="s">
        <v>1357</v>
      </c>
      <c r="J3083" t="s">
        <v>1357</v>
      </c>
      <c r="K3083" t="s">
        <v>1357</v>
      </c>
      <c r="L3083" t="s">
        <v>1357</v>
      </c>
    </row>
    <row r="3084" spans="6:12">
      <c r="H3084" t="s">
        <v>20284</v>
      </c>
      <c r="I3084" t="s">
        <v>1357</v>
      </c>
      <c r="J3084" t="s">
        <v>1357</v>
      </c>
      <c r="K3084" t="s">
        <v>1357</v>
      </c>
      <c r="L3084" t="s">
        <v>1357</v>
      </c>
    </row>
    <row r="3085" spans="6:12">
      <c r="H3085" t="s">
        <v>20285</v>
      </c>
      <c r="I3085" t="s">
        <v>1357</v>
      </c>
      <c r="J3085" t="s">
        <v>1357</v>
      </c>
      <c r="K3085" t="s">
        <v>1357</v>
      </c>
      <c r="L3085" t="s">
        <v>1357</v>
      </c>
    </row>
    <row r="3086" spans="6:12">
      <c r="H3086" t="s">
        <v>20286</v>
      </c>
      <c r="I3086" t="s">
        <v>1357</v>
      </c>
      <c r="J3086" t="s">
        <v>1357</v>
      </c>
      <c r="K3086" t="s">
        <v>1357</v>
      </c>
      <c r="L3086" t="s">
        <v>1357</v>
      </c>
    </row>
    <row r="3087" spans="6:12">
      <c r="H3087" t="s">
        <v>20287</v>
      </c>
      <c r="I3087" t="s">
        <v>1357</v>
      </c>
      <c r="J3087" t="s">
        <v>1357</v>
      </c>
      <c r="K3087" t="s">
        <v>1357</v>
      </c>
      <c r="L3087" t="s">
        <v>1357</v>
      </c>
    </row>
    <row r="3088" spans="6:12">
      <c r="H3088" t="s">
        <v>20288</v>
      </c>
      <c r="I3088" t="s">
        <v>1357</v>
      </c>
      <c r="J3088" t="s">
        <v>1357</v>
      </c>
      <c r="K3088" t="s">
        <v>1357</v>
      </c>
      <c r="L3088" t="s">
        <v>1357</v>
      </c>
    </row>
    <row r="3089" spans="6:12">
      <c r="H3089" t="s">
        <v>20289</v>
      </c>
      <c r="I3089" t="s">
        <v>1357</v>
      </c>
      <c r="J3089" t="s">
        <v>1357</v>
      </c>
      <c r="K3089" t="s">
        <v>1357</v>
      </c>
      <c r="L3089" t="s">
        <v>1357</v>
      </c>
    </row>
    <row r="3090" spans="6:12">
      <c r="H3090" t="s">
        <v>20290</v>
      </c>
      <c r="I3090" t="s">
        <v>1357</v>
      </c>
      <c r="J3090" t="s">
        <v>1357</v>
      </c>
      <c r="K3090" t="s">
        <v>1357</v>
      </c>
      <c r="L3090" t="s">
        <v>1357</v>
      </c>
    </row>
    <row r="3091" spans="6:12">
      <c r="H3091" t="s">
        <v>20291</v>
      </c>
      <c r="I3091" t="s">
        <v>1357</v>
      </c>
      <c r="J3091" t="s">
        <v>1357</v>
      </c>
      <c r="K3091" t="s">
        <v>1357</v>
      </c>
      <c r="L3091" t="s">
        <v>1357</v>
      </c>
    </row>
    <row r="3092" spans="6:12">
      <c r="F3092" t="s">
        <v>14977</v>
      </c>
      <c r="G3092" t="s">
        <v>17455</v>
      </c>
      <c r="H3092" t="s">
        <v>20280</v>
      </c>
      <c r="I3092" t="s">
        <v>1357</v>
      </c>
      <c r="J3092" t="s">
        <v>1357</v>
      </c>
      <c r="K3092" t="s">
        <v>1357</v>
      </c>
      <c r="L3092" t="s">
        <v>1357</v>
      </c>
    </row>
    <row r="3093" spans="6:12">
      <c r="H3093" t="s">
        <v>20233</v>
      </c>
      <c r="I3093" t="s">
        <v>1357</v>
      </c>
      <c r="J3093" t="s">
        <v>1357</v>
      </c>
      <c r="K3093" t="s">
        <v>1357</v>
      </c>
      <c r="L3093" t="s">
        <v>1357</v>
      </c>
    </row>
    <row r="3094" spans="6:12">
      <c r="H3094" t="s">
        <v>20230</v>
      </c>
      <c r="I3094" t="s">
        <v>1357</v>
      </c>
      <c r="J3094" t="s">
        <v>1357</v>
      </c>
      <c r="K3094" t="s">
        <v>1357</v>
      </c>
      <c r="L3094" t="s">
        <v>1357</v>
      </c>
    </row>
    <row r="3095" spans="6:12">
      <c r="H3095" t="s">
        <v>20227</v>
      </c>
      <c r="I3095" t="s">
        <v>1357</v>
      </c>
      <c r="J3095" t="s">
        <v>1357</v>
      </c>
      <c r="K3095" t="s">
        <v>1357</v>
      </c>
      <c r="L3095" t="s">
        <v>1357</v>
      </c>
    </row>
    <row r="3096" spans="6:12">
      <c r="H3096" t="s">
        <v>20228</v>
      </c>
      <c r="I3096" t="s">
        <v>1357</v>
      </c>
      <c r="J3096" t="s">
        <v>1357</v>
      </c>
      <c r="K3096" t="s">
        <v>1357</v>
      </c>
      <c r="L3096" t="s">
        <v>1357</v>
      </c>
    </row>
    <row r="3097" spans="6:12">
      <c r="H3097" t="s">
        <v>20281</v>
      </c>
      <c r="I3097" t="s">
        <v>1357</v>
      </c>
      <c r="J3097" t="s">
        <v>1357</v>
      </c>
      <c r="K3097" t="s">
        <v>1357</v>
      </c>
      <c r="L3097" t="s">
        <v>1357</v>
      </c>
    </row>
    <row r="3098" spans="6:12">
      <c r="H3098" t="s">
        <v>20282</v>
      </c>
      <c r="I3098" t="s">
        <v>1357</v>
      </c>
      <c r="J3098" t="s">
        <v>1357</v>
      </c>
      <c r="K3098" t="s">
        <v>1357</v>
      </c>
      <c r="L3098" t="s">
        <v>1357</v>
      </c>
    </row>
    <row r="3099" spans="6:12">
      <c r="H3099" t="s">
        <v>20283</v>
      </c>
      <c r="I3099" t="s">
        <v>1357</v>
      </c>
      <c r="J3099" t="s">
        <v>1357</v>
      </c>
      <c r="K3099" t="s">
        <v>1357</v>
      </c>
      <c r="L3099" t="s">
        <v>1357</v>
      </c>
    </row>
    <row r="3100" spans="6:12">
      <c r="H3100" t="s">
        <v>20284</v>
      </c>
      <c r="I3100" t="s">
        <v>1357</v>
      </c>
      <c r="J3100" t="s">
        <v>1357</v>
      </c>
      <c r="K3100" t="s">
        <v>1357</v>
      </c>
      <c r="L3100" t="s">
        <v>1357</v>
      </c>
    </row>
    <row r="3101" spans="6:12">
      <c r="H3101" t="s">
        <v>20285</v>
      </c>
      <c r="I3101" t="s">
        <v>1357</v>
      </c>
      <c r="J3101" t="s">
        <v>1357</v>
      </c>
      <c r="K3101" t="s">
        <v>1357</v>
      </c>
      <c r="L3101" t="s">
        <v>1357</v>
      </c>
    </row>
    <row r="3102" spans="6:12">
      <c r="H3102" t="s">
        <v>20286</v>
      </c>
      <c r="I3102" t="s">
        <v>1357</v>
      </c>
      <c r="J3102" t="s">
        <v>1357</v>
      </c>
      <c r="K3102" t="s">
        <v>1357</v>
      </c>
      <c r="L3102" t="s">
        <v>1357</v>
      </c>
    </row>
    <row r="3103" spans="6:12">
      <c r="H3103" t="s">
        <v>20288</v>
      </c>
      <c r="I3103" t="s">
        <v>1357</v>
      </c>
      <c r="J3103" t="s">
        <v>1357</v>
      </c>
      <c r="K3103" t="s">
        <v>1357</v>
      </c>
      <c r="L3103" t="s">
        <v>1357</v>
      </c>
    </row>
    <row r="3104" spans="6:12">
      <c r="H3104" t="s">
        <v>20289</v>
      </c>
      <c r="I3104" t="s">
        <v>1357</v>
      </c>
      <c r="J3104" t="s">
        <v>1357</v>
      </c>
      <c r="K3104" t="s">
        <v>1357</v>
      </c>
      <c r="L3104" t="s">
        <v>1357</v>
      </c>
    </row>
    <row r="3105" spans="6:12">
      <c r="H3105" t="s">
        <v>20290</v>
      </c>
      <c r="I3105" t="s">
        <v>1357</v>
      </c>
      <c r="J3105" t="s">
        <v>1357</v>
      </c>
      <c r="K3105" t="s">
        <v>1357</v>
      </c>
      <c r="L3105" t="s">
        <v>1357</v>
      </c>
    </row>
    <row r="3106" spans="6:12">
      <c r="F3106" t="s">
        <v>14978</v>
      </c>
      <c r="G3106" t="s">
        <v>17792</v>
      </c>
      <c r="H3106" t="s">
        <v>20280</v>
      </c>
      <c r="I3106" t="s">
        <v>1357</v>
      </c>
      <c r="J3106" t="s">
        <v>1357</v>
      </c>
      <c r="K3106" t="s">
        <v>1357</v>
      </c>
      <c r="L3106" t="s">
        <v>1357</v>
      </c>
    </row>
    <row r="3107" spans="6:12">
      <c r="H3107" t="s">
        <v>20233</v>
      </c>
      <c r="I3107" t="s">
        <v>1357</v>
      </c>
      <c r="J3107" t="s">
        <v>1357</v>
      </c>
      <c r="K3107" t="s">
        <v>1357</v>
      </c>
      <c r="L3107" t="s">
        <v>1357</v>
      </c>
    </row>
    <row r="3108" spans="6:12">
      <c r="H3108" t="s">
        <v>20295</v>
      </c>
      <c r="I3108" t="s">
        <v>1357</v>
      </c>
      <c r="J3108" t="s">
        <v>1357</v>
      </c>
      <c r="K3108" t="s">
        <v>1357</v>
      </c>
      <c r="L3108" t="s">
        <v>1357</v>
      </c>
    </row>
    <row r="3109" spans="6:12">
      <c r="H3109" t="s">
        <v>20284</v>
      </c>
      <c r="I3109" t="s">
        <v>1357</v>
      </c>
      <c r="J3109" t="s">
        <v>1357</v>
      </c>
      <c r="K3109" t="s">
        <v>1357</v>
      </c>
      <c r="L3109" t="s">
        <v>1357</v>
      </c>
    </row>
    <row r="3110" spans="6:12">
      <c r="H3110" t="s">
        <v>20285</v>
      </c>
      <c r="I3110" t="s">
        <v>1357</v>
      </c>
      <c r="J3110" t="s">
        <v>1357</v>
      </c>
      <c r="K3110" t="s">
        <v>1357</v>
      </c>
      <c r="L3110" t="s">
        <v>1357</v>
      </c>
    </row>
    <row r="3111" spans="6:12">
      <c r="H3111" t="s">
        <v>20286</v>
      </c>
      <c r="I3111" t="s">
        <v>1357</v>
      </c>
      <c r="J3111" t="s">
        <v>1357</v>
      </c>
      <c r="K3111" t="s">
        <v>1357</v>
      </c>
      <c r="L3111" t="s">
        <v>1357</v>
      </c>
    </row>
    <row r="3112" spans="6:12">
      <c r="F3112" t="s">
        <v>14979</v>
      </c>
      <c r="G3112" t="s">
        <v>17793</v>
      </c>
      <c r="H3112" t="s">
        <v>20280</v>
      </c>
      <c r="I3112" t="s">
        <v>1357</v>
      </c>
      <c r="J3112" t="s">
        <v>1357</v>
      </c>
      <c r="K3112" t="s">
        <v>1357</v>
      </c>
      <c r="L3112" t="s">
        <v>1357</v>
      </c>
    </row>
    <row r="3113" spans="6:12">
      <c r="H3113" t="s">
        <v>20233</v>
      </c>
      <c r="I3113" t="s">
        <v>1357</v>
      </c>
      <c r="J3113" t="s">
        <v>1357</v>
      </c>
      <c r="K3113" t="s">
        <v>1357</v>
      </c>
      <c r="L3113" t="s">
        <v>1357</v>
      </c>
    </row>
    <row r="3114" spans="6:12">
      <c r="H3114" t="s">
        <v>20227</v>
      </c>
      <c r="I3114" t="s">
        <v>1357</v>
      </c>
      <c r="J3114" t="s">
        <v>1357</v>
      </c>
      <c r="K3114" t="s">
        <v>1357</v>
      </c>
      <c r="L3114" t="s">
        <v>1357</v>
      </c>
    </row>
    <row r="3115" spans="6:12">
      <c r="H3115" t="s">
        <v>20281</v>
      </c>
      <c r="I3115" t="s">
        <v>1357</v>
      </c>
      <c r="J3115" t="s">
        <v>1357</v>
      </c>
      <c r="K3115" t="s">
        <v>1357</v>
      </c>
      <c r="L3115" t="s">
        <v>1357</v>
      </c>
    </row>
    <row r="3116" spans="6:12">
      <c r="H3116" t="s">
        <v>20284</v>
      </c>
      <c r="I3116" t="s">
        <v>1357</v>
      </c>
      <c r="J3116" t="s">
        <v>1357</v>
      </c>
      <c r="K3116" t="s">
        <v>1357</v>
      </c>
      <c r="L3116" t="s">
        <v>1357</v>
      </c>
    </row>
    <row r="3117" spans="6:12">
      <c r="H3117" t="s">
        <v>20285</v>
      </c>
      <c r="I3117" t="s">
        <v>1357</v>
      </c>
      <c r="J3117" t="s">
        <v>1357</v>
      </c>
      <c r="K3117" t="s">
        <v>1357</v>
      </c>
      <c r="L3117" t="s">
        <v>1357</v>
      </c>
    </row>
    <row r="3118" spans="6:12">
      <c r="H3118" t="s">
        <v>20286</v>
      </c>
      <c r="I3118" t="s">
        <v>1357</v>
      </c>
      <c r="J3118" t="s">
        <v>1357</v>
      </c>
      <c r="K3118" t="s">
        <v>1357</v>
      </c>
      <c r="L3118" t="s">
        <v>1357</v>
      </c>
    </row>
    <row r="3119" spans="6:12">
      <c r="H3119" t="s">
        <v>20287</v>
      </c>
      <c r="I3119" t="s">
        <v>1357</v>
      </c>
      <c r="J3119" t="s">
        <v>1357</v>
      </c>
      <c r="K3119" t="s">
        <v>1357</v>
      </c>
      <c r="L3119" t="s">
        <v>1357</v>
      </c>
    </row>
    <row r="3120" spans="6:12">
      <c r="H3120" t="s">
        <v>20288</v>
      </c>
      <c r="I3120" t="s">
        <v>1357</v>
      </c>
      <c r="J3120" t="s">
        <v>1357</v>
      </c>
      <c r="K3120" t="s">
        <v>1357</v>
      </c>
      <c r="L3120" t="s">
        <v>1357</v>
      </c>
    </row>
    <row r="3121" spans="6:12">
      <c r="H3121" t="s">
        <v>20289</v>
      </c>
      <c r="I3121" t="s">
        <v>1357</v>
      </c>
      <c r="J3121" t="s">
        <v>1357</v>
      </c>
      <c r="K3121" t="s">
        <v>1357</v>
      </c>
      <c r="L3121" t="s">
        <v>1357</v>
      </c>
    </row>
    <row r="3122" spans="6:12">
      <c r="H3122" t="s">
        <v>20290</v>
      </c>
      <c r="I3122" t="s">
        <v>1357</v>
      </c>
      <c r="J3122" t="s">
        <v>1357</v>
      </c>
      <c r="K3122" t="s">
        <v>1357</v>
      </c>
      <c r="L3122" t="s">
        <v>1357</v>
      </c>
    </row>
    <row r="3123" spans="6:12">
      <c r="F3123" t="s">
        <v>14980</v>
      </c>
      <c r="G3123" t="s">
        <v>17456</v>
      </c>
      <c r="H3123" t="s">
        <v>20280</v>
      </c>
      <c r="I3123" t="s">
        <v>1357</v>
      </c>
      <c r="J3123" t="s">
        <v>1357</v>
      </c>
      <c r="K3123" t="s">
        <v>1357</v>
      </c>
      <c r="L3123" t="s">
        <v>1357</v>
      </c>
    </row>
    <row r="3124" spans="6:12">
      <c r="H3124" t="s">
        <v>20233</v>
      </c>
      <c r="I3124" t="s">
        <v>1357</v>
      </c>
      <c r="J3124" t="s">
        <v>1357</v>
      </c>
      <c r="K3124" t="s">
        <v>1357</v>
      </c>
      <c r="L3124" t="s">
        <v>1357</v>
      </c>
    </row>
    <row r="3125" spans="6:12">
      <c r="H3125" t="s">
        <v>20230</v>
      </c>
      <c r="I3125" t="s">
        <v>1357</v>
      </c>
      <c r="J3125" t="s">
        <v>1357</v>
      </c>
      <c r="K3125" t="s">
        <v>1357</v>
      </c>
      <c r="L3125" t="s">
        <v>1357</v>
      </c>
    </row>
    <row r="3126" spans="6:12">
      <c r="H3126" t="s">
        <v>20227</v>
      </c>
      <c r="I3126" t="s">
        <v>1357</v>
      </c>
      <c r="J3126" t="s">
        <v>1357</v>
      </c>
      <c r="K3126" t="s">
        <v>1357</v>
      </c>
      <c r="L3126" t="s">
        <v>1357</v>
      </c>
    </row>
    <row r="3127" spans="6:12">
      <c r="H3127" t="s">
        <v>20296</v>
      </c>
      <c r="I3127" t="s">
        <v>1357</v>
      </c>
      <c r="J3127" t="s">
        <v>1357</v>
      </c>
      <c r="K3127" t="s">
        <v>1357</v>
      </c>
      <c r="L3127" t="s">
        <v>1357</v>
      </c>
    </row>
    <row r="3128" spans="6:12">
      <c r="H3128" t="s">
        <v>20297</v>
      </c>
      <c r="I3128" t="s">
        <v>1357</v>
      </c>
      <c r="J3128" t="s">
        <v>1357</v>
      </c>
      <c r="K3128" t="s">
        <v>1357</v>
      </c>
      <c r="L3128" t="s">
        <v>1357</v>
      </c>
    </row>
    <row r="3129" spans="6:12">
      <c r="H3129" t="s">
        <v>20234</v>
      </c>
      <c r="I3129" t="s">
        <v>1357</v>
      </c>
      <c r="J3129" t="s">
        <v>1357</v>
      </c>
      <c r="K3129" t="s">
        <v>1357</v>
      </c>
      <c r="L3129" t="s">
        <v>1357</v>
      </c>
    </row>
    <row r="3130" spans="6:12">
      <c r="H3130" t="s">
        <v>20235</v>
      </c>
      <c r="I3130" t="s">
        <v>1357</v>
      </c>
      <c r="J3130" t="s">
        <v>1357</v>
      </c>
      <c r="K3130" t="s">
        <v>1357</v>
      </c>
      <c r="L3130" t="s">
        <v>1357</v>
      </c>
    </row>
    <row r="3131" spans="6:12">
      <c r="H3131" t="s">
        <v>20298</v>
      </c>
      <c r="I3131" t="s">
        <v>1357</v>
      </c>
      <c r="J3131" t="s">
        <v>1357</v>
      </c>
      <c r="K3131" t="s">
        <v>1357</v>
      </c>
      <c r="L3131" t="s">
        <v>1357</v>
      </c>
    </row>
    <row r="3132" spans="6:12">
      <c r="H3132" t="s">
        <v>20299</v>
      </c>
      <c r="I3132" t="s">
        <v>1357</v>
      </c>
      <c r="J3132" t="s">
        <v>1357</v>
      </c>
      <c r="K3132" t="s">
        <v>1357</v>
      </c>
      <c r="L3132" t="s">
        <v>1357</v>
      </c>
    </row>
    <row r="3133" spans="6:12">
      <c r="H3133" t="s">
        <v>20284</v>
      </c>
      <c r="I3133" t="s">
        <v>1357</v>
      </c>
      <c r="J3133" t="s">
        <v>1357</v>
      </c>
      <c r="K3133" t="s">
        <v>1357</v>
      </c>
      <c r="L3133" t="s">
        <v>1357</v>
      </c>
    </row>
    <row r="3134" spans="6:12">
      <c r="H3134" t="s">
        <v>20285</v>
      </c>
      <c r="I3134" t="s">
        <v>1357</v>
      </c>
      <c r="J3134" t="s">
        <v>1357</v>
      </c>
      <c r="K3134" t="s">
        <v>1357</v>
      </c>
      <c r="L3134" t="s">
        <v>1357</v>
      </c>
    </row>
    <row r="3135" spans="6:12">
      <c r="H3135" t="s">
        <v>20286</v>
      </c>
      <c r="I3135" t="s">
        <v>1357</v>
      </c>
      <c r="J3135" t="s">
        <v>1357</v>
      </c>
      <c r="K3135" t="s">
        <v>1357</v>
      </c>
      <c r="L3135" t="s">
        <v>1357</v>
      </c>
    </row>
    <row r="3136" spans="6:12">
      <c r="H3136" t="s">
        <v>20287</v>
      </c>
      <c r="I3136" t="s">
        <v>1357</v>
      </c>
      <c r="J3136" t="s">
        <v>1357</v>
      </c>
      <c r="K3136" t="s">
        <v>1357</v>
      </c>
      <c r="L3136" t="s">
        <v>1357</v>
      </c>
    </row>
    <row r="3137" spans="6:12">
      <c r="F3137" t="s">
        <v>14981</v>
      </c>
      <c r="G3137" t="s">
        <v>17457</v>
      </c>
      <c r="H3137" t="s">
        <v>20280</v>
      </c>
      <c r="I3137" t="s">
        <v>1357</v>
      </c>
      <c r="J3137" t="s">
        <v>1357</v>
      </c>
      <c r="K3137" t="s">
        <v>1357</v>
      </c>
      <c r="L3137" t="s">
        <v>1357</v>
      </c>
    </row>
    <row r="3138" spans="6:12">
      <c r="H3138" t="s">
        <v>20233</v>
      </c>
      <c r="I3138" t="s">
        <v>1357</v>
      </c>
      <c r="J3138" t="s">
        <v>1357</v>
      </c>
      <c r="K3138" t="s">
        <v>1357</v>
      </c>
      <c r="L3138" t="s">
        <v>1357</v>
      </c>
    </row>
    <row r="3139" spans="6:12">
      <c r="H3139" t="s">
        <v>20230</v>
      </c>
      <c r="I3139" t="s">
        <v>1357</v>
      </c>
      <c r="J3139" t="s">
        <v>1357</v>
      </c>
      <c r="K3139" t="s">
        <v>1357</v>
      </c>
      <c r="L3139" t="s">
        <v>1357</v>
      </c>
    </row>
    <row r="3140" spans="6:12">
      <c r="H3140" t="s">
        <v>20227</v>
      </c>
      <c r="I3140" t="s">
        <v>1357</v>
      </c>
      <c r="J3140" t="s">
        <v>1357</v>
      </c>
      <c r="K3140" t="s">
        <v>1357</v>
      </c>
      <c r="L3140" t="s">
        <v>1357</v>
      </c>
    </row>
    <row r="3141" spans="6:12">
      <c r="H3141" t="s">
        <v>20296</v>
      </c>
      <c r="I3141" t="s">
        <v>1357</v>
      </c>
      <c r="J3141" t="s">
        <v>1357</v>
      </c>
      <c r="K3141" t="s">
        <v>1357</v>
      </c>
      <c r="L3141" t="s">
        <v>1357</v>
      </c>
    </row>
    <row r="3142" spans="6:12">
      <c r="H3142" t="s">
        <v>20297</v>
      </c>
      <c r="I3142" t="s">
        <v>1357</v>
      </c>
      <c r="J3142" t="s">
        <v>1357</v>
      </c>
      <c r="K3142" t="s">
        <v>1357</v>
      </c>
      <c r="L3142" t="s">
        <v>1357</v>
      </c>
    </row>
    <row r="3143" spans="6:12">
      <c r="H3143" t="s">
        <v>20234</v>
      </c>
      <c r="I3143" t="s">
        <v>1357</v>
      </c>
      <c r="J3143" t="s">
        <v>1357</v>
      </c>
      <c r="K3143" t="s">
        <v>1357</v>
      </c>
      <c r="L3143" t="s">
        <v>1357</v>
      </c>
    </row>
    <row r="3144" spans="6:12">
      <c r="H3144" t="s">
        <v>20235</v>
      </c>
      <c r="I3144" t="s">
        <v>1357</v>
      </c>
      <c r="J3144" t="s">
        <v>1357</v>
      </c>
      <c r="K3144" t="s">
        <v>1357</v>
      </c>
      <c r="L3144" t="s">
        <v>1357</v>
      </c>
    </row>
    <row r="3145" spans="6:12">
      <c r="H3145" t="s">
        <v>20298</v>
      </c>
      <c r="I3145" t="s">
        <v>1357</v>
      </c>
      <c r="J3145" t="s">
        <v>1357</v>
      </c>
      <c r="K3145" t="s">
        <v>1357</v>
      </c>
      <c r="L3145" t="s">
        <v>1357</v>
      </c>
    </row>
    <row r="3146" spans="6:12">
      <c r="H3146" t="s">
        <v>20284</v>
      </c>
      <c r="I3146" t="s">
        <v>1357</v>
      </c>
      <c r="J3146" t="s">
        <v>1357</v>
      </c>
      <c r="K3146" t="s">
        <v>1357</v>
      </c>
      <c r="L3146" t="s">
        <v>1357</v>
      </c>
    </row>
    <row r="3147" spans="6:12">
      <c r="H3147" t="s">
        <v>20285</v>
      </c>
      <c r="I3147" t="s">
        <v>1357</v>
      </c>
      <c r="J3147" t="s">
        <v>1357</v>
      </c>
      <c r="K3147" t="s">
        <v>1357</v>
      </c>
      <c r="L3147" t="s">
        <v>1357</v>
      </c>
    </row>
    <row r="3148" spans="6:12">
      <c r="H3148" t="s">
        <v>20286</v>
      </c>
      <c r="I3148" t="s">
        <v>1357</v>
      </c>
      <c r="J3148" t="s">
        <v>1357</v>
      </c>
      <c r="K3148" t="s">
        <v>1357</v>
      </c>
      <c r="L3148" t="s">
        <v>1357</v>
      </c>
    </row>
    <row r="3149" spans="6:12">
      <c r="H3149" t="s">
        <v>20287</v>
      </c>
      <c r="I3149" t="s">
        <v>1357</v>
      </c>
      <c r="J3149" t="s">
        <v>1357</v>
      </c>
      <c r="K3149" t="s">
        <v>1357</v>
      </c>
      <c r="L3149" t="s">
        <v>1357</v>
      </c>
    </row>
    <row r="3150" spans="6:12">
      <c r="F3150" t="s">
        <v>14982</v>
      </c>
      <c r="G3150" t="s">
        <v>17458</v>
      </c>
      <c r="H3150" t="s">
        <v>20280</v>
      </c>
      <c r="I3150" t="s">
        <v>1357</v>
      </c>
      <c r="J3150" t="s">
        <v>1357</v>
      </c>
      <c r="K3150" t="s">
        <v>1357</v>
      </c>
      <c r="L3150" t="s">
        <v>1357</v>
      </c>
    </row>
    <row r="3151" spans="6:12">
      <c r="H3151" t="s">
        <v>20233</v>
      </c>
      <c r="I3151" t="s">
        <v>1357</v>
      </c>
      <c r="J3151" t="s">
        <v>1357</v>
      </c>
      <c r="K3151" t="s">
        <v>1357</v>
      </c>
      <c r="L3151" t="s">
        <v>1357</v>
      </c>
    </row>
    <row r="3152" spans="6:12">
      <c r="H3152" t="s">
        <v>20230</v>
      </c>
      <c r="I3152" t="s">
        <v>1357</v>
      </c>
      <c r="J3152" t="s">
        <v>1357</v>
      </c>
      <c r="K3152" t="s">
        <v>1357</v>
      </c>
      <c r="L3152" t="s">
        <v>1357</v>
      </c>
    </row>
    <row r="3153" spans="6:12">
      <c r="H3153" t="s">
        <v>20227</v>
      </c>
      <c r="I3153" t="s">
        <v>1357</v>
      </c>
      <c r="J3153" t="s">
        <v>1357</v>
      </c>
      <c r="K3153" t="s">
        <v>1357</v>
      </c>
      <c r="L3153" t="s">
        <v>1357</v>
      </c>
    </row>
    <row r="3154" spans="6:12">
      <c r="H3154" t="s">
        <v>20296</v>
      </c>
      <c r="I3154" t="s">
        <v>1357</v>
      </c>
      <c r="J3154" t="s">
        <v>1357</v>
      </c>
      <c r="K3154" t="s">
        <v>1357</v>
      </c>
      <c r="L3154" t="s">
        <v>1357</v>
      </c>
    </row>
    <row r="3155" spans="6:12">
      <c r="H3155" t="s">
        <v>20297</v>
      </c>
      <c r="I3155" t="s">
        <v>1357</v>
      </c>
      <c r="J3155" t="s">
        <v>1357</v>
      </c>
      <c r="K3155" t="s">
        <v>1357</v>
      </c>
      <c r="L3155" t="s">
        <v>1357</v>
      </c>
    </row>
    <row r="3156" spans="6:12">
      <c r="H3156" t="s">
        <v>20234</v>
      </c>
      <c r="I3156" t="s">
        <v>1357</v>
      </c>
      <c r="J3156" t="s">
        <v>1357</v>
      </c>
      <c r="K3156" t="s">
        <v>1357</v>
      </c>
      <c r="L3156" t="s">
        <v>1357</v>
      </c>
    </row>
    <row r="3157" spans="6:12">
      <c r="H3157" t="s">
        <v>20235</v>
      </c>
      <c r="I3157" t="s">
        <v>1357</v>
      </c>
      <c r="J3157" t="s">
        <v>1357</v>
      </c>
      <c r="K3157" t="s">
        <v>1357</v>
      </c>
      <c r="L3157" t="s">
        <v>1357</v>
      </c>
    </row>
    <row r="3158" spans="6:12">
      <c r="H3158" t="s">
        <v>20298</v>
      </c>
      <c r="I3158" t="s">
        <v>1357</v>
      </c>
      <c r="J3158" t="s">
        <v>1357</v>
      </c>
      <c r="K3158" t="s">
        <v>1357</v>
      </c>
      <c r="L3158" t="s">
        <v>1357</v>
      </c>
    </row>
    <row r="3159" spans="6:12">
      <c r="H3159" t="s">
        <v>20284</v>
      </c>
      <c r="I3159" t="s">
        <v>1357</v>
      </c>
      <c r="J3159" t="s">
        <v>1357</v>
      </c>
      <c r="K3159" t="s">
        <v>1357</v>
      </c>
      <c r="L3159" t="s">
        <v>1357</v>
      </c>
    </row>
    <row r="3160" spans="6:12">
      <c r="H3160" t="s">
        <v>20285</v>
      </c>
      <c r="I3160" t="s">
        <v>1357</v>
      </c>
      <c r="J3160" t="s">
        <v>1357</v>
      </c>
      <c r="K3160" t="s">
        <v>1357</v>
      </c>
      <c r="L3160" t="s">
        <v>1357</v>
      </c>
    </row>
    <row r="3161" spans="6:12">
      <c r="H3161" t="s">
        <v>20286</v>
      </c>
      <c r="I3161" t="s">
        <v>1357</v>
      </c>
      <c r="J3161" t="s">
        <v>1357</v>
      </c>
      <c r="K3161" t="s">
        <v>1357</v>
      </c>
      <c r="L3161" t="s">
        <v>1357</v>
      </c>
    </row>
    <row r="3162" spans="6:12">
      <c r="H3162" t="s">
        <v>20287</v>
      </c>
      <c r="I3162" t="s">
        <v>1357</v>
      </c>
      <c r="J3162" t="s">
        <v>1357</v>
      </c>
      <c r="K3162" t="s">
        <v>1357</v>
      </c>
      <c r="L3162" t="s">
        <v>1357</v>
      </c>
    </row>
    <row r="3163" spans="6:12">
      <c r="F3163" t="s">
        <v>14983</v>
      </c>
      <c r="G3163" t="s">
        <v>17459</v>
      </c>
      <c r="H3163" t="s">
        <v>20280</v>
      </c>
      <c r="I3163" t="s">
        <v>1357</v>
      </c>
      <c r="J3163" t="s">
        <v>1357</v>
      </c>
      <c r="K3163" t="s">
        <v>1357</v>
      </c>
      <c r="L3163" t="s">
        <v>1357</v>
      </c>
    </row>
    <row r="3164" spans="6:12">
      <c r="H3164" t="s">
        <v>20233</v>
      </c>
      <c r="I3164" t="s">
        <v>1357</v>
      </c>
      <c r="J3164" t="s">
        <v>1357</v>
      </c>
      <c r="K3164" t="s">
        <v>1357</v>
      </c>
      <c r="L3164" t="s">
        <v>1357</v>
      </c>
    </row>
    <row r="3165" spans="6:12">
      <c r="H3165" t="s">
        <v>20230</v>
      </c>
      <c r="I3165" t="s">
        <v>1357</v>
      </c>
      <c r="J3165" t="s">
        <v>1357</v>
      </c>
      <c r="K3165" t="s">
        <v>1357</v>
      </c>
      <c r="L3165" t="s">
        <v>1357</v>
      </c>
    </row>
    <row r="3166" spans="6:12">
      <c r="H3166" t="s">
        <v>20227</v>
      </c>
      <c r="I3166" t="s">
        <v>1357</v>
      </c>
      <c r="J3166" t="s">
        <v>1357</v>
      </c>
      <c r="K3166" t="s">
        <v>1357</v>
      </c>
      <c r="L3166" t="s">
        <v>1357</v>
      </c>
    </row>
    <row r="3167" spans="6:12">
      <c r="H3167" t="s">
        <v>20296</v>
      </c>
      <c r="I3167" t="s">
        <v>1357</v>
      </c>
      <c r="J3167" t="s">
        <v>1357</v>
      </c>
      <c r="K3167" t="s">
        <v>1357</v>
      </c>
      <c r="L3167" t="s">
        <v>1357</v>
      </c>
    </row>
    <row r="3168" spans="6:12">
      <c r="H3168" t="s">
        <v>20297</v>
      </c>
      <c r="I3168" t="s">
        <v>1357</v>
      </c>
      <c r="J3168" t="s">
        <v>1357</v>
      </c>
      <c r="K3168" t="s">
        <v>1357</v>
      </c>
      <c r="L3168" t="s">
        <v>1357</v>
      </c>
    </row>
    <row r="3169" spans="6:12">
      <c r="H3169" t="s">
        <v>20234</v>
      </c>
      <c r="I3169" t="s">
        <v>1357</v>
      </c>
      <c r="J3169" t="s">
        <v>1357</v>
      </c>
      <c r="K3169" t="s">
        <v>1357</v>
      </c>
      <c r="L3169" t="s">
        <v>1357</v>
      </c>
    </row>
    <row r="3170" spans="6:12">
      <c r="H3170" t="s">
        <v>20235</v>
      </c>
      <c r="I3170" t="s">
        <v>1357</v>
      </c>
      <c r="J3170" t="s">
        <v>1357</v>
      </c>
      <c r="K3170" t="s">
        <v>1357</v>
      </c>
      <c r="L3170" t="s">
        <v>1357</v>
      </c>
    </row>
    <row r="3171" spans="6:12">
      <c r="H3171" t="s">
        <v>20298</v>
      </c>
      <c r="I3171" t="s">
        <v>1357</v>
      </c>
      <c r="J3171" t="s">
        <v>1357</v>
      </c>
      <c r="K3171" t="s">
        <v>1357</v>
      </c>
      <c r="L3171" t="s">
        <v>1357</v>
      </c>
    </row>
    <row r="3172" spans="6:12">
      <c r="H3172" t="s">
        <v>20284</v>
      </c>
      <c r="I3172" t="s">
        <v>1357</v>
      </c>
      <c r="J3172" t="s">
        <v>1357</v>
      </c>
      <c r="K3172" t="s">
        <v>1357</v>
      </c>
      <c r="L3172" t="s">
        <v>1357</v>
      </c>
    </row>
    <row r="3173" spans="6:12">
      <c r="H3173" t="s">
        <v>20285</v>
      </c>
      <c r="I3173" t="s">
        <v>1357</v>
      </c>
      <c r="J3173" t="s">
        <v>1357</v>
      </c>
      <c r="K3173" t="s">
        <v>1357</v>
      </c>
      <c r="L3173" t="s">
        <v>1357</v>
      </c>
    </row>
    <row r="3174" spans="6:12">
      <c r="H3174" t="s">
        <v>20286</v>
      </c>
      <c r="I3174" t="s">
        <v>1357</v>
      </c>
      <c r="J3174" t="s">
        <v>1357</v>
      </c>
      <c r="K3174" t="s">
        <v>1357</v>
      </c>
      <c r="L3174" t="s">
        <v>1357</v>
      </c>
    </row>
    <row r="3175" spans="6:12">
      <c r="H3175" t="s">
        <v>20287</v>
      </c>
      <c r="I3175" t="s">
        <v>1357</v>
      </c>
      <c r="J3175" t="s">
        <v>1357</v>
      </c>
      <c r="K3175" t="s">
        <v>1357</v>
      </c>
      <c r="L3175" t="s">
        <v>1357</v>
      </c>
    </row>
    <row r="3176" spans="6:12">
      <c r="F3176" t="s">
        <v>14984</v>
      </c>
      <c r="G3176" t="s">
        <v>17460</v>
      </c>
      <c r="H3176" t="s">
        <v>20280</v>
      </c>
      <c r="I3176" t="s">
        <v>1357</v>
      </c>
      <c r="J3176" t="s">
        <v>1357</v>
      </c>
      <c r="K3176" t="s">
        <v>1357</v>
      </c>
      <c r="L3176" t="s">
        <v>1357</v>
      </c>
    </row>
    <row r="3177" spans="6:12">
      <c r="H3177" t="s">
        <v>20233</v>
      </c>
      <c r="I3177" t="s">
        <v>1357</v>
      </c>
      <c r="J3177" t="s">
        <v>1357</v>
      </c>
      <c r="K3177" t="s">
        <v>1357</v>
      </c>
      <c r="L3177" t="s">
        <v>1357</v>
      </c>
    </row>
    <row r="3178" spans="6:12">
      <c r="H3178" t="s">
        <v>20230</v>
      </c>
      <c r="I3178" t="s">
        <v>1357</v>
      </c>
      <c r="J3178" t="s">
        <v>1357</v>
      </c>
      <c r="K3178" t="s">
        <v>1357</v>
      </c>
      <c r="L3178" t="s">
        <v>1357</v>
      </c>
    </row>
    <row r="3179" spans="6:12">
      <c r="H3179" t="s">
        <v>20227</v>
      </c>
      <c r="I3179" t="s">
        <v>1357</v>
      </c>
      <c r="J3179" t="s">
        <v>1357</v>
      </c>
      <c r="K3179" t="s">
        <v>1357</v>
      </c>
      <c r="L3179" t="s">
        <v>1357</v>
      </c>
    </row>
    <row r="3180" spans="6:12">
      <c r="H3180" t="s">
        <v>20296</v>
      </c>
      <c r="I3180" t="s">
        <v>1357</v>
      </c>
      <c r="J3180" t="s">
        <v>1357</v>
      </c>
      <c r="K3180" t="s">
        <v>1357</v>
      </c>
      <c r="L3180" t="s">
        <v>1357</v>
      </c>
    </row>
    <row r="3181" spans="6:12">
      <c r="H3181" t="s">
        <v>20297</v>
      </c>
      <c r="I3181" t="s">
        <v>1357</v>
      </c>
      <c r="J3181" t="s">
        <v>1357</v>
      </c>
      <c r="K3181" t="s">
        <v>1357</v>
      </c>
      <c r="L3181" t="s">
        <v>1357</v>
      </c>
    </row>
    <row r="3182" spans="6:12">
      <c r="H3182" t="s">
        <v>20234</v>
      </c>
      <c r="I3182" t="s">
        <v>1357</v>
      </c>
      <c r="J3182" t="s">
        <v>1357</v>
      </c>
      <c r="K3182" t="s">
        <v>1357</v>
      </c>
      <c r="L3182" t="s">
        <v>1357</v>
      </c>
    </row>
    <row r="3183" spans="6:12">
      <c r="H3183" t="s">
        <v>20235</v>
      </c>
      <c r="I3183" t="s">
        <v>1357</v>
      </c>
      <c r="J3183" t="s">
        <v>1357</v>
      </c>
      <c r="K3183" t="s">
        <v>1357</v>
      </c>
      <c r="L3183" t="s">
        <v>1357</v>
      </c>
    </row>
    <row r="3184" spans="6:12">
      <c r="H3184" t="s">
        <v>20298</v>
      </c>
      <c r="I3184" t="s">
        <v>1357</v>
      </c>
      <c r="J3184" t="s">
        <v>1357</v>
      </c>
      <c r="K3184" t="s">
        <v>1357</v>
      </c>
      <c r="L3184" t="s">
        <v>1357</v>
      </c>
    </row>
    <row r="3185" spans="6:12">
      <c r="H3185" t="s">
        <v>20284</v>
      </c>
      <c r="I3185" t="s">
        <v>1357</v>
      </c>
      <c r="J3185" t="s">
        <v>1357</v>
      </c>
      <c r="K3185" t="s">
        <v>1357</v>
      </c>
      <c r="L3185" t="s">
        <v>1357</v>
      </c>
    </row>
    <row r="3186" spans="6:12">
      <c r="H3186" t="s">
        <v>20285</v>
      </c>
      <c r="I3186" t="s">
        <v>1357</v>
      </c>
      <c r="J3186" t="s">
        <v>1357</v>
      </c>
      <c r="K3186" t="s">
        <v>1357</v>
      </c>
      <c r="L3186" t="s">
        <v>1357</v>
      </c>
    </row>
    <row r="3187" spans="6:12">
      <c r="H3187" t="s">
        <v>20286</v>
      </c>
      <c r="I3187" t="s">
        <v>1357</v>
      </c>
      <c r="J3187" t="s">
        <v>1357</v>
      </c>
      <c r="K3187" t="s">
        <v>1357</v>
      </c>
      <c r="L3187" t="s">
        <v>1357</v>
      </c>
    </row>
    <row r="3188" spans="6:12">
      <c r="H3188" t="s">
        <v>20287</v>
      </c>
      <c r="I3188" t="s">
        <v>1357</v>
      </c>
      <c r="J3188" t="s">
        <v>1357</v>
      </c>
      <c r="K3188" t="s">
        <v>1357</v>
      </c>
      <c r="L3188" t="s">
        <v>1357</v>
      </c>
    </row>
    <row r="3189" spans="6:12">
      <c r="F3189" t="s">
        <v>14985</v>
      </c>
      <c r="G3189" t="s">
        <v>17794</v>
      </c>
      <c r="H3189" t="s">
        <v>20233</v>
      </c>
      <c r="I3189" t="s">
        <v>1357</v>
      </c>
      <c r="J3189" t="s">
        <v>1357</v>
      </c>
      <c r="K3189" t="s">
        <v>1357</v>
      </c>
      <c r="L3189" t="s">
        <v>1357</v>
      </c>
    </row>
    <row r="3190" spans="6:12">
      <c r="H3190" t="s">
        <v>20284</v>
      </c>
      <c r="I3190" t="s">
        <v>1357</v>
      </c>
      <c r="J3190" t="s">
        <v>1357</v>
      </c>
      <c r="K3190" t="s">
        <v>1357</v>
      </c>
      <c r="L3190" t="s">
        <v>1357</v>
      </c>
    </row>
    <row r="3191" spans="6:12">
      <c r="H3191" t="s">
        <v>20285</v>
      </c>
      <c r="I3191" t="s">
        <v>1357</v>
      </c>
      <c r="J3191" t="s">
        <v>1357</v>
      </c>
      <c r="K3191" t="s">
        <v>1357</v>
      </c>
      <c r="L3191" t="s">
        <v>1357</v>
      </c>
    </row>
    <row r="3192" spans="6:12">
      <c r="F3192" t="s">
        <v>14986</v>
      </c>
      <c r="G3192" t="s">
        <v>17795</v>
      </c>
      <c r="H3192" t="s">
        <v>20233</v>
      </c>
      <c r="I3192" t="s">
        <v>1357</v>
      </c>
      <c r="J3192" t="s">
        <v>1357</v>
      </c>
      <c r="K3192" t="s">
        <v>1357</v>
      </c>
      <c r="L3192" t="s">
        <v>1357</v>
      </c>
    </row>
    <row r="3193" spans="6:12">
      <c r="H3193" t="s">
        <v>20284</v>
      </c>
      <c r="I3193" t="s">
        <v>1357</v>
      </c>
      <c r="J3193" t="s">
        <v>1357</v>
      </c>
      <c r="K3193" t="s">
        <v>1357</v>
      </c>
      <c r="L3193" t="s">
        <v>1357</v>
      </c>
    </row>
    <row r="3194" spans="6:12">
      <c r="H3194" t="s">
        <v>20285</v>
      </c>
      <c r="I3194" t="s">
        <v>1357</v>
      </c>
      <c r="J3194" t="s">
        <v>1357</v>
      </c>
      <c r="K3194" t="s">
        <v>1357</v>
      </c>
      <c r="L3194" t="s">
        <v>1357</v>
      </c>
    </row>
    <row r="3195" spans="6:12">
      <c r="F3195" t="s">
        <v>14987</v>
      </c>
      <c r="G3195" t="s">
        <v>17796</v>
      </c>
      <c r="H3195" t="s">
        <v>20280</v>
      </c>
      <c r="I3195" t="s">
        <v>1357</v>
      </c>
      <c r="J3195" t="s">
        <v>1357</v>
      </c>
      <c r="K3195" t="s">
        <v>1357</v>
      </c>
      <c r="L3195" t="s">
        <v>1357</v>
      </c>
    </row>
    <row r="3196" spans="6:12">
      <c r="H3196" t="s">
        <v>20233</v>
      </c>
      <c r="I3196" t="s">
        <v>1357</v>
      </c>
      <c r="J3196" t="s">
        <v>1357</v>
      </c>
      <c r="K3196" t="s">
        <v>1357</v>
      </c>
      <c r="L3196" t="s">
        <v>1357</v>
      </c>
    </row>
    <row r="3197" spans="6:12">
      <c r="H3197" t="s">
        <v>20281</v>
      </c>
      <c r="I3197" t="s">
        <v>1357</v>
      </c>
      <c r="J3197" t="s">
        <v>1357</v>
      </c>
      <c r="K3197" t="s">
        <v>1357</v>
      </c>
      <c r="L3197" t="s">
        <v>1357</v>
      </c>
    </row>
    <row r="3198" spans="6:12">
      <c r="H3198" t="s">
        <v>20282</v>
      </c>
      <c r="I3198" t="s">
        <v>1357</v>
      </c>
      <c r="J3198" t="s">
        <v>1357</v>
      </c>
      <c r="K3198" t="s">
        <v>1357</v>
      </c>
      <c r="L3198" t="s">
        <v>1357</v>
      </c>
    </row>
    <row r="3199" spans="6:12">
      <c r="H3199" t="s">
        <v>20284</v>
      </c>
      <c r="I3199" t="s">
        <v>1357</v>
      </c>
      <c r="J3199" t="s">
        <v>1357</v>
      </c>
      <c r="K3199" t="s">
        <v>1357</v>
      </c>
      <c r="L3199" t="s">
        <v>1357</v>
      </c>
    </row>
    <row r="3200" spans="6:12">
      <c r="H3200" t="s">
        <v>20285</v>
      </c>
      <c r="I3200" t="s">
        <v>1357</v>
      </c>
      <c r="J3200" t="s">
        <v>1357</v>
      </c>
      <c r="K3200" t="s">
        <v>1357</v>
      </c>
      <c r="L3200" t="s">
        <v>1357</v>
      </c>
    </row>
    <row r="3201" spans="6:12">
      <c r="H3201" t="s">
        <v>20286</v>
      </c>
      <c r="I3201" t="s">
        <v>1357</v>
      </c>
      <c r="J3201" t="s">
        <v>1357</v>
      </c>
      <c r="K3201" t="s">
        <v>1357</v>
      </c>
      <c r="L3201" t="s">
        <v>1357</v>
      </c>
    </row>
    <row r="3202" spans="6:12">
      <c r="F3202" t="s">
        <v>14988</v>
      </c>
      <c r="G3202" t="s">
        <v>17797</v>
      </c>
      <c r="H3202" t="s">
        <v>20280</v>
      </c>
      <c r="I3202" t="s">
        <v>1357</v>
      </c>
      <c r="J3202" t="s">
        <v>1357</v>
      </c>
      <c r="K3202" t="s">
        <v>1357</v>
      </c>
      <c r="L3202" t="s">
        <v>1357</v>
      </c>
    </row>
    <row r="3203" spans="6:12">
      <c r="H3203" t="s">
        <v>20284</v>
      </c>
      <c r="I3203" t="s">
        <v>1357</v>
      </c>
      <c r="J3203" t="s">
        <v>1357</v>
      </c>
      <c r="K3203" t="s">
        <v>1357</v>
      </c>
      <c r="L3203" t="s">
        <v>1357</v>
      </c>
    </row>
    <row r="3204" spans="6:12">
      <c r="H3204" t="s">
        <v>20285</v>
      </c>
      <c r="I3204" t="s">
        <v>1357</v>
      </c>
      <c r="J3204" t="s">
        <v>1357</v>
      </c>
      <c r="K3204" t="s">
        <v>1357</v>
      </c>
      <c r="L3204" t="s">
        <v>1357</v>
      </c>
    </row>
    <row r="3205" spans="6:12">
      <c r="F3205" t="s">
        <v>14989</v>
      </c>
      <c r="G3205" t="s">
        <v>17798</v>
      </c>
      <c r="H3205" t="s">
        <v>20280</v>
      </c>
      <c r="I3205" t="s">
        <v>1357</v>
      </c>
      <c r="J3205" t="s">
        <v>1357</v>
      </c>
      <c r="K3205" t="s">
        <v>1357</v>
      </c>
      <c r="L3205" t="s">
        <v>1357</v>
      </c>
    </row>
    <row r="3206" spans="6:12">
      <c r="H3206" t="s">
        <v>20284</v>
      </c>
      <c r="I3206" t="s">
        <v>1357</v>
      </c>
      <c r="J3206" t="s">
        <v>1357</v>
      </c>
      <c r="K3206" t="s">
        <v>1357</v>
      </c>
      <c r="L3206" t="s">
        <v>1357</v>
      </c>
    </row>
    <row r="3207" spans="6:12">
      <c r="H3207" t="s">
        <v>20285</v>
      </c>
      <c r="I3207" t="s">
        <v>1357</v>
      </c>
      <c r="J3207" t="s">
        <v>1357</v>
      </c>
      <c r="K3207" t="s">
        <v>1357</v>
      </c>
      <c r="L3207" t="s">
        <v>1357</v>
      </c>
    </row>
    <row r="3208" spans="6:12">
      <c r="H3208" t="s">
        <v>20286</v>
      </c>
      <c r="I3208" t="s">
        <v>1357</v>
      </c>
      <c r="J3208" t="s">
        <v>1357</v>
      </c>
      <c r="K3208" t="s">
        <v>1357</v>
      </c>
      <c r="L3208" t="s">
        <v>1357</v>
      </c>
    </row>
    <row r="3209" spans="6:12">
      <c r="F3209" t="s">
        <v>14990</v>
      </c>
      <c r="G3209" t="s">
        <v>17799</v>
      </c>
      <c r="H3209" t="s">
        <v>20280</v>
      </c>
      <c r="I3209" t="s">
        <v>1357</v>
      </c>
      <c r="J3209" t="s">
        <v>1357</v>
      </c>
      <c r="K3209" t="s">
        <v>1357</v>
      </c>
      <c r="L3209" t="s">
        <v>1357</v>
      </c>
    </row>
    <row r="3210" spans="6:12">
      <c r="H3210" t="s">
        <v>20284</v>
      </c>
      <c r="I3210" t="s">
        <v>1357</v>
      </c>
      <c r="J3210" t="s">
        <v>1357</v>
      </c>
      <c r="K3210" t="s">
        <v>1357</v>
      </c>
      <c r="L3210" t="s">
        <v>1357</v>
      </c>
    </row>
    <row r="3211" spans="6:12">
      <c r="H3211" t="s">
        <v>20285</v>
      </c>
      <c r="I3211" t="s">
        <v>1357</v>
      </c>
      <c r="J3211" t="s">
        <v>1357</v>
      </c>
      <c r="K3211" t="s">
        <v>1357</v>
      </c>
      <c r="L3211" t="s">
        <v>1357</v>
      </c>
    </row>
    <row r="3212" spans="6:12">
      <c r="H3212" t="s">
        <v>20286</v>
      </c>
      <c r="I3212" t="s">
        <v>1357</v>
      </c>
      <c r="J3212" t="s">
        <v>1357</v>
      </c>
      <c r="K3212" t="s">
        <v>1357</v>
      </c>
      <c r="L3212" t="s">
        <v>1357</v>
      </c>
    </row>
    <row r="3213" spans="6:12">
      <c r="F3213" t="s">
        <v>14991</v>
      </c>
      <c r="G3213" t="s">
        <v>17800</v>
      </c>
      <c r="H3213" t="s">
        <v>20280</v>
      </c>
      <c r="I3213" t="s">
        <v>1357</v>
      </c>
      <c r="J3213" t="s">
        <v>1357</v>
      </c>
      <c r="K3213" t="s">
        <v>1357</v>
      </c>
      <c r="L3213" t="s">
        <v>1357</v>
      </c>
    </row>
    <row r="3214" spans="6:12">
      <c r="H3214" t="s">
        <v>20233</v>
      </c>
      <c r="I3214" t="s">
        <v>1357</v>
      </c>
      <c r="J3214" t="s">
        <v>1357</v>
      </c>
      <c r="K3214" t="s">
        <v>1357</v>
      </c>
      <c r="L3214" t="s">
        <v>1357</v>
      </c>
    </row>
    <row r="3215" spans="6:12">
      <c r="H3215" t="s">
        <v>20284</v>
      </c>
      <c r="I3215" t="s">
        <v>1357</v>
      </c>
      <c r="J3215" t="s">
        <v>1357</v>
      </c>
      <c r="K3215" t="s">
        <v>1357</v>
      </c>
      <c r="L3215" t="s">
        <v>1357</v>
      </c>
    </row>
    <row r="3216" spans="6:12">
      <c r="H3216" t="s">
        <v>20285</v>
      </c>
      <c r="I3216" t="s">
        <v>1357</v>
      </c>
      <c r="J3216" t="s">
        <v>1357</v>
      </c>
      <c r="K3216" t="s">
        <v>1357</v>
      </c>
      <c r="L3216" t="s">
        <v>1357</v>
      </c>
    </row>
    <row r="3217" spans="6:12">
      <c r="F3217" t="s">
        <v>14992</v>
      </c>
      <c r="G3217" t="s">
        <v>17801</v>
      </c>
      <c r="H3217" t="s">
        <v>20280</v>
      </c>
      <c r="I3217" t="s">
        <v>1357</v>
      </c>
      <c r="J3217" t="s">
        <v>1357</v>
      </c>
      <c r="K3217" t="s">
        <v>1357</v>
      </c>
      <c r="L3217" t="s">
        <v>1357</v>
      </c>
    </row>
    <row r="3218" spans="6:12">
      <c r="H3218" t="s">
        <v>20284</v>
      </c>
      <c r="I3218" t="s">
        <v>1357</v>
      </c>
      <c r="J3218" t="s">
        <v>1357</v>
      </c>
      <c r="K3218" t="s">
        <v>1357</v>
      </c>
      <c r="L3218" t="s">
        <v>1357</v>
      </c>
    </row>
    <row r="3219" spans="6:12">
      <c r="H3219" t="s">
        <v>20285</v>
      </c>
      <c r="I3219" t="s">
        <v>1357</v>
      </c>
      <c r="J3219" t="s">
        <v>1357</v>
      </c>
      <c r="K3219" t="s">
        <v>1357</v>
      </c>
      <c r="L3219" t="s">
        <v>1357</v>
      </c>
    </row>
    <row r="3220" spans="6:12">
      <c r="F3220" t="s">
        <v>14993</v>
      </c>
      <c r="G3220" t="s">
        <v>17802</v>
      </c>
      <c r="H3220" t="s">
        <v>20280</v>
      </c>
      <c r="I3220" t="s">
        <v>1357</v>
      </c>
      <c r="J3220" t="s">
        <v>1357</v>
      </c>
      <c r="K3220" t="s">
        <v>1357</v>
      </c>
      <c r="L3220" t="s">
        <v>1357</v>
      </c>
    </row>
    <row r="3221" spans="6:12">
      <c r="H3221" t="s">
        <v>20284</v>
      </c>
      <c r="I3221" t="s">
        <v>1357</v>
      </c>
      <c r="J3221" t="s">
        <v>1357</v>
      </c>
      <c r="K3221" t="s">
        <v>1357</v>
      </c>
      <c r="L3221" t="s">
        <v>1357</v>
      </c>
    </row>
    <row r="3222" spans="6:12">
      <c r="H3222" t="s">
        <v>20285</v>
      </c>
      <c r="I3222" t="s">
        <v>1357</v>
      </c>
      <c r="J3222" t="s">
        <v>1357</v>
      </c>
      <c r="K3222" t="s">
        <v>1357</v>
      </c>
      <c r="L3222" t="s">
        <v>1357</v>
      </c>
    </row>
    <row r="3223" spans="6:12">
      <c r="F3223" t="s">
        <v>14994</v>
      </c>
      <c r="G3223" t="s">
        <v>17803</v>
      </c>
      <c r="H3223" t="s">
        <v>20233</v>
      </c>
      <c r="I3223" t="s">
        <v>1357</v>
      </c>
      <c r="J3223" t="s">
        <v>1357</v>
      </c>
      <c r="K3223" t="s">
        <v>1357</v>
      </c>
      <c r="L3223" t="s">
        <v>1357</v>
      </c>
    </row>
    <row r="3224" spans="6:12">
      <c r="H3224" t="s">
        <v>20284</v>
      </c>
      <c r="I3224" t="s">
        <v>1357</v>
      </c>
      <c r="J3224" t="s">
        <v>1357</v>
      </c>
      <c r="K3224" t="s">
        <v>1357</v>
      </c>
      <c r="L3224" t="s">
        <v>1357</v>
      </c>
    </row>
    <row r="3225" spans="6:12">
      <c r="H3225" t="s">
        <v>20285</v>
      </c>
      <c r="I3225" t="s">
        <v>1357</v>
      </c>
      <c r="J3225" t="s">
        <v>1357</v>
      </c>
      <c r="K3225" t="s">
        <v>1357</v>
      </c>
      <c r="L3225" t="s">
        <v>1357</v>
      </c>
    </row>
    <row r="3226" spans="6:12">
      <c r="F3226" t="s">
        <v>14995</v>
      </c>
      <c r="G3226" t="s">
        <v>17461</v>
      </c>
      <c r="H3226" t="s">
        <v>20280</v>
      </c>
      <c r="I3226" t="s">
        <v>1357</v>
      </c>
      <c r="J3226" t="s">
        <v>1357</v>
      </c>
      <c r="K3226" t="s">
        <v>1357</v>
      </c>
      <c r="L3226" t="s">
        <v>1357</v>
      </c>
    </row>
    <row r="3227" spans="6:12">
      <c r="H3227" t="s">
        <v>20233</v>
      </c>
      <c r="I3227" t="s">
        <v>1357</v>
      </c>
      <c r="J3227" t="s">
        <v>1357</v>
      </c>
      <c r="K3227" t="s">
        <v>1357</v>
      </c>
      <c r="L3227" t="s">
        <v>1357</v>
      </c>
    </row>
    <row r="3228" spans="6:12">
      <c r="H3228" t="s">
        <v>20230</v>
      </c>
      <c r="I3228" t="s">
        <v>1357</v>
      </c>
      <c r="J3228" t="s">
        <v>1357</v>
      </c>
      <c r="K3228" t="s">
        <v>1357</v>
      </c>
      <c r="L3228" t="s">
        <v>1357</v>
      </c>
    </row>
    <row r="3229" spans="6:12">
      <c r="H3229" t="s">
        <v>20227</v>
      </c>
      <c r="I3229" t="s">
        <v>1357</v>
      </c>
      <c r="J3229" t="s">
        <v>1357</v>
      </c>
      <c r="K3229" t="s">
        <v>1357</v>
      </c>
      <c r="L3229" t="s">
        <v>1357</v>
      </c>
    </row>
    <row r="3230" spans="6:12">
      <c r="H3230" t="s">
        <v>20228</v>
      </c>
      <c r="I3230" t="s">
        <v>1357</v>
      </c>
      <c r="J3230" t="s">
        <v>1357</v>
      </c>
      <c r="K3230" t="s">
        <v>1357</v>
      </c>
      <c r="L3230" t="s">
        <v>1357</v>
      </c>
    </row>
    <row r="3231" spans="6:12">
      <c r="H3231" t="s">
        <v>20297</v>
      </c>
      <c r="I3231" t="s">
        <v>1357</v>
      </c>
      <c r="J3231" t="s">
        <v>1357</v>
      </c>
      <c r="K3231" t="s">
        <v>1357</v>
      </c>
      <c r="L3231" t="s">
        <v>1357</v>
      </c>
    </row>
    <row r="3232" spans="6:12">
      <c r="H3232" t="s">
        <v>20234</v>
      </c>
      <c r="I3232" t="s">
        <v>1357</v>
      </c>
      <c r="J3232" t="s">
        <v>1357</v>
      </c>
      <c r="K3232" t="s">
        <v>1357</v>
      </c>
      <c r="L3232" t="s">
        <v>1357</v>
      </c>
    </row>
    <row r="3233" spans="6:12">
      <c r="H3233" t="s">
        <v>20235</v>
      </c>
      <c r="I3233" t="s">
        <v>1357</v>
      </c>
      <c r="J3233" t="s">
        <v>1357</v>
      </c>
      <c r="K3233" t="s">
        <v>1357</v>
      </c>
      <c r="L3233" t="s">
        <v>1357</v>
      </c>
    </row>
    <row r="3234" spans="6:12">
      <c r="H3234" t="s">
        <v>20298</v>
      </c>
      <c r="I3234" t="s">
        <v>1357</v>
      </c>
      <c r="J3234" t="s">
        <v>1357</v>
      </c>
      <c r="K3234" t="s">
        <v>1357</v>
      </c>
      <c r="L3234" t="s">
        <v>1357</v>
      </c>
    </row>
    <row r="3235" spans="6:12">
      <c r="H3235" t="s">
        <v>20299</v>
      </c>
      <c r="I3235" t="s">
        <v>1357</v>
      </c>
      <c r="J3235" t="s">
        <v>1357</v>
      </c>
      <c r="K3235" t="s">
        <v>1357</v>
      </c>
      <c r="L3235" t="s">
        <v>1357</v>
      </c>
    </row>
    <row r="3236" spans="6:12">
      <c r="H3236" t="s">
        <v>20300</v>
      </c>
      <c r="I3236" t="s">
        <v>1357</v>
      </c>
      <c r="J3236" t="s">
        <v>1357</v>
      </c>
      <c r="K3236" t="s">
        <v>1357</v>
      </c>
      <c r="L3236" t="s">
        <v>1357</v>
      </c>
    </row>
    <row r="3237" spans="6:12">
      <c r="H3237" t="s">
        <v>20301</v>
      </c>
      <c r="I3237" t="s">
        <v>1357</v>
      </c>
      <c r="J3237" t="s">
        <v>1357</v>
      </c>
      <c r="K3237" t="s">
        <v>1357</v>
      </c>
      <c r="L3237" t="s">
        <v>1357</v>
      </c>
    </row>
    <row r="3238" spans="6:12">
      <c r="H3238" t="s">
        <v>20302</v>
      </c>
      <c r="I3238" t="s">
        <v>1357</v>
      </c>
      <c r="J3238" t="s">
        <v>1357</v>
      </c>
      <c r="K3238" t="s">
        <v>1357</v>
      </c>
      <c r="L3238" t="s">
        <v>1357</v>
      </c>
    </row>
    <row r="3239" spans="6:12">
      <c r="H3239" t="s">
        <v>20284</v>
      </c>
      <c r="I3239" t="s">
        <v>1357</v>
      </c>
      <c r="J3239" t="s">
        <v>1357</v>
      </c>
      <c r="K3239" t="s">
        <v>1357</v>
      </c>
      <c r="L3239" t="s">
        <v>1357</v>
      </c>
    </row>
    <row r="3240" spans="6:12">
      <c r="H3240" t="s">
        <v>20285</v>
      </c>
      <c r="I3240" t="s">
        <v>1357</v>
      </c>
      <c r="J3240" t="s">
        <v>1357</v>
      </c>
      <c r="K3240" t="s">
        <v>1357</v>
      </c>
      <c r="L3240" t="s">
        <v>1357</v>
      </c>
    </row>
    <row r="3241" spans="6:12">
      <c r="H3241" t="s">
        <v>20286</v>
      </c>
      <c r="I3241" t="s">
        <v>1357</v>
      </c>
      <c r="J3241" t="s">
        <v>1357</v>
      </c>
      <c r="K3241" t="s">
        <v>1357</v>
      </c>
      <c r="L3241" t="s">
        <v>1357</v>
      </c>
    </row>
    <row r="3242" spans="6:12">
      <c r="H3242" t="s">
        <v>20287</v>
      </c>
      <c r="I3242" t="s">
        <v>1357</v>
      </c>
      <c r="J3242" t="s">
        <v>1357</v>
      </c>
      <c r="K3242" t="s">
        <v>1357</v>
      </c>
      <c r="L3242" t="s">
        <v>1357</v>
      </c>
    </row>
    <row r="3243" spans="6:12">
      <c r="F3243" t="s">
        <v>14996</v>
      </c>
      <c r="G3243" t="s">
        <v>17462</v>
      </c>
      <c r="H3243" t="s">
        <v>20280</v>
      </c>
      <c r="I3243" t="s">
        <v>1357</v>
      </c>
      <c r="J3243" t="s">
        <v>1357</v>
      </c>
      <c r="K3243" t="s">
        <v>1357</v>
      </c>
      <c r="L3243" t="s">
        <v>1357</v>
      </c>
    </row>
    <row r="3244" spans="6:12">
      <c r="H3244" t="s">
        <v>20233</v>
      </c>
      <c r="I3244" t="s">
        <v>1357</v>
      </c>
      <c r="J3244" t="s">
        <v>1357</v>
      </c>
      <c r="K3244" t="s">
        <v>1357</v>
      </c>
      <c r="L3244" t="s">
        <v>1357</v>
      </c>
    </row>
    <row r="3245" spans="6:12">
      <c r="H3245" t="s">
        <v>20230</v>
      </c>
      <c r="I3245" t="s">
        <v>1357</v>
      </c>
      <c r="J3245" t="s">
        <v>1357</v>
      </c>
      <c r="K3245" t="s">
        <v>1357</v>
      </c>
      <c r="L3245" t="s">
        <v>1357</v>
      </c>
    </row>
    <row r="3246" spans="6:12">
      <c r="H3246" t="s">
        <v>20227</v>
      </c>
      <c r="I3246" t="s">
        <v>1357</v>
      </c>
      <c r="J3246" t="s">
        <v>1357</v>
      </c>
      <c r="K3246" t="s">
        <v>1357</v>
      </c>
      <c r="L3246" t="s">
        <v>1357</v>
      </c>
    </row>
    <row r="3247" spans="6:12">
      <c r="H3247" t="s">
        <v>20228</v>
      </c>
      <c r="I3247" t="s">
        <v>1357</v>
      </c>
      <c r="J3247" t="s">
        <v>1357</v>
      </c>
      <c r="K3247" t="s">
        <v>1357</v>
      </c>
      <c r="L3247" t="s">
        <v>1357</v>
      </c>
    </row>
    <row r="3248" spans="6:12">
      <c r="H3248" t="s">
        <v>20297</v>
      </c>
      <c r="I3248" t="s">
        <v>1357</v>
      </c>
      <c r="J3248" t="s">
        <v>1357</v>
      </c>
      <c r="K3248" t="s">
        <v>1357</v>
      </c>
      <c r="L3248" t="s">
        <v>1357</v>
      </c>
    </row>
    <row r="3249" spans="6:12">
      <c r="H3249" t="s">
        <v>20234</v>
      </c>
      <c r="I3249" t="s">
        <v>1357</v>
      </c>
      <c r="J3249" t="s">
        <v>1357</v>
      </c>
      <c r="K3249" t="s">
        <v>1357</v>
      </c>
      <c r="L3249" t="s">
        <v>1357</v>
      </c>
    </row>
    <row r="3250" spans="6:12">
      <c r="H3250" t="s">
        <v>20235</v>
      </c>
      <c r="I3250" t="s">
        <v>1357</v>
      </c>
      <c r="J3250" t="s">
        <v>1357</v>
      </c>
      <c r="K3250" t="s">
        <v>1357</v>
      </c>
      <c r="L3250" t="s">
        <v>1357</v>
      </c>
    </row>
    <row r="3251" spans="6:12">
      <c r="H3251" t="s">
        <v>20298</v>
      </c>
      <c r="I3251" t="s">
        <v>1357</v>
      </c>
      <c r="J3251" t="s">
        <v>1357</v>
      </c>
      <c r="K3251" t="s">
        <v>1357</v>
      </c>
      <c r="L3251" t="s">
        <v>1357</v>
      </c>
    </row>
    <row r="3252" spans="6:12">
      <c r="H3252" t="s">
        <v>20299</v>
      </c>
      <c r="I3252" t="s">
        <v>1357</v>
      </c>
      <c r="J3252" t="s">
        <v>1357</v>
      </c>
      <c r="K3252" t="s">
        <v>1357</v>
      </c>
      <c r="L3252" t="s">
        <v>1357</v>
      </c>
    </row>
    <row r="3253" spans="6:12">
      <c r="H3253" t="s">
        <v>20300</v>
      </c>
      <c r="I3253" t="s">
        <v>1357</v>
      </c>
      <c r="J3253" t="s">
        <v>1357</v>
      </c>
      <c r="K3253" t="s">
        <v>1357</v>
      </c>
      <c r="L3253" t="s">
        <v>1357</v>
      </c>
    </row>
    <row r="3254" spans="6:12">
      <c r="H3254" t="s">
        <v>20301</v>
      </c>
      <c r="I3254" t="s">
        <v>1357</v>
      </c>
      <c r="J3254" t="s">
        <v>1357</v>
      </c>
      <c r="K3254" t="s">
        <v>1357</v>
      </c>
      <c r="L3254" t="s">
        <v>1357</v>
      </c>
    </row>
    <row r="3255" spans="6:12">
      <c r="H3255" t="s">
        <v>20302</v>
      </c>
      <c r="I3255" t="s">
        <v>1357</v>
      </c>
      <c r="J3255" t="s">
        <v>1357</v>
      </c>
      <c r="K3255" t="s">
        <v>1357</v>
      </c>
      <c r="L3255" t="s">
        <v>1357</v>
      </c>
    </row>
    <row r="3256" spans="6:12">
      <c r="H3256" t="s">
        <v>20284</v>
      </c>
      <c r="I3256" t="s">
        <v>1357</v>
      </c>
      <c r="J3256" t="s">
        <v>1357</v>
      </c>
      <c r="K3256" t="s">
        <v>1357</v>
      </c>
      <c r="L3256" t="s">
        <v>1357</v>
      </c>
    </row>
    <row r="3257" spans="6:12">
      <c r="H3257" t="s">
        <v>20285</v>
      </c>
      <c r="I3257" t="s">
        <v>1357</v>
      </c>
      <c r="J3257" t="s">
        <v>1357</v>
      </c>
      <c r="K3257" t="s">
        <v>1357</v>
      </c>
      <c r="L3257" t="s">
        <v>1357</v>
      </c>
    </row>
    <row r="3258" spans="6:12">
      <c r="H3258" t="s">
        <v>20286</v>
      </c>
      <c r="I3258" t="s">
        <v>1357</v>
      </c>
      <c r="J3258" t="s">
        <v>1357</v>
      </c>
      <c r="K3258" t="s">
        <v>1357</v>
      </c>
      <c r="L3258" t="s">
        <v>1357</v>
      </c>
    </row>
    <row r="3259" spans="6:12">
      <c r="H3259" t="s">
        <v>20287</v>
      </c>
      <c r="I3259" t="s">
        <v>1357</v>
      </c>
      <c r="J3259" t="s">
        <v>1357</v>
      </c>
      <c r="K3259" t="s">
        <v>1357</v>
      </c>
      <c r="L3259" t="s">
        <v>1357</v>
      </c>
    </row>
    <row r="3260" spans="6:12">
      <c r="F3260" t="s">
        <v>14997</v>
      </c>
      <c r="G3260" t="s">
        <v>17463</v>
      </c>
      <c r="H3260" t="s">
        <v>20280</v>
      </c>
      <c r="I3260" t="s">
        <v>1357</v>
      </c>
      <c r="J3260" t="s">
        <v>1357</v>
      </c>
      <c r="K3260" t="s">
        <v>1357</v>
      </c>
      <c r="L3260" t="s">
        <v>1357</v>
      </c>
    </row>
    <row r="3261" spans="6:12">
      <c r="H3261" t="s">
        <v>20233</v>
      </c>
      <c r="I3261" t="s">
        <v>1357</v>
      </c>
      <c r="J3261" t="s">
        <v>1357</v>
      </c>
      <c r="K3261" t="s">
        <v>1357</v>
      </c>
      <c r="L3261" t="s">
        <v>1357</v>
      </c>
    </row>
    <row r="3262" spans="6:12">
      <c r="H3262" t="s">
        <v>20230</v>
      </c>
      <c r="I3262" t="s">
        <v>1357</v>
      </c>
      <c r="J3262" t="s">
        <v>1357</v>
      </c>
      <c r="K3262" t="s">
        <v>1357</v>
      </c>
      <c r="L3262" t="s">
        <v>1357</v>
      </c>
    </row>
    <row r="3263" spans="6:12">
      <c r="H3263" t="s">
        <v>20227</v>
      </c>
      <c r="I3263" t="s">
        <v>1357</v>
      </c>
      <c r="J3263" t="s">
        <v>1357</v>
      </c>
      <c r="K3263" t="s">
        <v>1357</v>
      </c>
      <c r="L3263" t="s">
        <v>1357</v>
      </c>
    </row>
    <row r="3264" spans="6:12">
      <c r="H3264" t="s">
        <v>20296</v>
      </c>
      <c r="I3264" t="s">
        <v>1357</v>
      </c>
      <c r="J3264" t="s">
        <v>1357</v>
      </c>
      <c r="K3264" t="s">
        <v>1357</v>
      </c>
      <c r="L3264" t="s">
        <v>1357</v>
      </c>
    </row>
    <row r="3265" spans="6:12">
      <c r="H3265" t="s">
        <v>20297</v>
      </c>
      <c r="I3265" t="s">
        <v>1357</v>
      </c>
      <c r="J3265" t="s">
        <v>1357</v>
      </c>
      <c r="K3265" t="s">
        <v>1357</v>
      </c>
      <c r="L3265" t="s">
        <v>1357</v>
      </c>
    </row>
    <row r="3266" spans="6:12">
      <c r="H3266" t="s">
        <v>20234</v>
      </c>
      <c r="I3266" t="s">
        <v>1357</v>
      </c>
      <c r="J3266" t="s">
        <v>1357</v>
      </c>
      <c r="K3266" t="s">
        <v>1357</v>
      </c>
      <c r="L3266" t="s">
        <v>1357</v>
      </c>
    </row>
    <row r="3267" spans="6:12">
      <c r="H3267" t="s">
        <v>20235</v>
      </c>
      <c r="I3267" t="s">
        <v>1357</v>
      </c>
      <c r="J3267" t="s">
        <v>1357</v>
      </c>
      <c r="K3267" t="s">
        <v>1357</v>
      </c>
      <c r="L3267" t="s">
        <v>1357</v>
      </c>
    </row>
    <row r="3268" spans="6:12">
      <c r="H3268" t="s">
        <v>20298</v>
      </c>
      <c r="I3268" t="s">
        <v>1357</v>
      </c>
      <c r="J3268" t="s">
        <v>1357</v>
      </c>
      <c r="K3268" t="s">
        <v>1357</v>
      </c>
      <c r="L3268" t="s">
        <v>1357</v>
      </c>
    </row>
    <row r="3269" spans="6:12">
      <c r="H3269" t="s">
        <v>20299</v>
      </c>
      <c r="I3269" t="s">
        <v>1357</v>
      </c>
      <c r="J3269" t="s">
        <v>1357</v>
      </c>
      <c r="K3269" t="s">
        <v>1357</v>
      </c>
      <c r="L3269" t="s">
        <v>1357</v>
      </c>
    </row>
    <row r="3270" spans="6:12">
      <c r="H3270" t="s">
        <v>20300</v>
      </c>
      <c r="I3270" t="s">
        <v>1357</v>
      </c>
      <c r="J3270" t="s">
        <v>1357</v>
      </c>
      <c r="K3270" t="s">
        <v>1357</v>
      </c>
      <c r="L3270" t="s">
        <v>1357</v>
      </c>
    </row>
    <row r="3271" spans="6:12">
      <c r="H3271" t="s">
        <v>20301</v>
      </c>
      <c r="I3271" t="s">
        <v>1357</v>
      </c>
      <c r="J3271" t="s">
        <v>1357</v>
      </c>
      <c r="K3271" t="s">
        <v>1357</v>
      </c>
      <c r="L3271" t="s">
        <v>1357</v>
      </c>
    </row>
    <row r="3272" spans="6:12">
      <c r="H3272" t="s">
        <v>20302</v>
      </c>
      <c r="I3272" t="s">
        <v>1357</v>
      </c>
      <c r="J3272" t="s">
        <v>1357</v>
      </c>
      <c r="K3272" t="s">
        <v>1357</v>
      </c>
      <c r="L3272" t="s">
        <v>1357</v>
      </c>
    </row>
    <row r="3273" spans="6:12">
      <c r="H3273" t="s">
        <v>20284</v>
      </c>
      <c r="I3273" t="s">
        <v>1357</v>
      </c>
      <c r="J3273" t="s">
        <v>1357</v>
      </c>
      <c r="K3273" t="s">
        <v>1357</v>
      </c>
      <c r="L3273" t="s">
        <v>1357</v>
      </c>
    </row>
    <row r="3274" spans="6:12">
      <c r="H3274" t="s">
        <v>20285</v>
      </c>
      <c r="I3274" t="s">
        <v>1357</v>
      </c>
      <c r="J3274" t="s">
        <v>1357</v>
      </c>
      <c r="K3274" t="s">
        <v>1357</v>
      </c>
      <c r="L3274" t="s">
        <v>1357</v>
      </c>
    </row>
    <row r="3275" spans="6:12">
      <c r="H3275" t="s">
        <v>20286</v>
      </c>
      <c r="I3275" t="s">
        <v>1357</v>
      </c>
      <c r="J3275" t="s">
        <v>1357</v>
      </c>
      <c r="K3275" t="s">
        <v>1357</v>
      </c>
      <c r="L3275" t="s">
        <v>1357</v>
      </c>
    </row>
    <row r="3276" spans="6:12">
      <c r="H3276" t="s">
        <v>20287</v>
      </c>
      <c r="I3276" t="s">
        <v>1357</v>
      </c>
      <c r="J3276" t="s">
        <v>1357</v>
      </c>
      <c r="K3276" t="s">
        <v>1357</v>
      </c>
      <c r="L3276" t="s">
        <v>1357</v>
      </c>
    </row>
    <row r="3277" spans="6:12">
      <c r="F3277" t="s">
        <v>14998</v>
      </c>
      <c r="G3277" t="s">
        <v>17464</v>
      </c>
      <c r="H3277" t="s">
        <v>20280</v>
      </c>
      <c r="I3277" t="s">
        <v>1357</v>
      </c>
      <c r="J3277" t="s">
        <v>1357</v>
      </c>
      <c r="K3277" t="s">
        <v>1357</v>
      </c>
      <c r="L3277" t="s">
        <v>1357</v>
      </c>
    </row>
    <row r="3278" spans="6:12">
      <c r="H3278" t="s">
        <v>20233</v>
      </c>
      <c r="I3278" t="s">
        <v>1357</v>
      </c>
      <c r="J3278" t="s">
        <v>1357</v>
      </c>
      <c r="K3278" t="s">
        <v>1357</v>
      </c>
      <c r="L3278" t="s">
        <v>1357</v>
      </c>
    </row>
    <row r="3279" spans="6:12">
      <c r="H3279" t="s">
        <v>20230</v>
      </c>
      <c r="I3279" t="s">
        <v>1357</v>
      </c>
      <c r="J3279" t="s">
        <v>1357</v>
      </c>
      <c r="K3279" t="s">
        <v>1357</v>
      </c>
      <c r="L3279" t="s">
        <v>1357</v>
      </c>
    </row>
    <row r="3280" spans="6:12">
      <c r="H3280" t="s">
        <v>20227</v>
      </c>
      <c r="I3280" t="s">
        <v>1357</v>
      </c>
      <c r="J3280" t="s">
        <v>1357</v>
      </c>
      <c r="K3280" t="s">
        <v>1357</v>
      </c>
      <c r="L3280" t="s">
        <v>1357</v>
      </c>
    </row>
    <row r="3281" spans="6:12">
      <c r="H3281" t="s">
        <v>20296</v>
      </c>
      <c r="I3281" t="s">
        <v>1357</v>
      </c>
      <c r="J3281" t="s">
        <v>1357</v>
      </c>
      <c r="K3281" t="s">
        <v>1357</v>
      </c>
      <c r="L3281" t="s">
        <v>1357</v>
      </c>
    </row>
    <row r="3282" spans="6:12">
      <c r="H3282" t="s">
        <v>20297</v>
      </c>
      <c r="I3282" t="s">
        <v>1357</v>
      </c>
      <c r="J3282" t="s">
        <v>1357</v>
      </c>
      <c r="K3282" t="s">
        <v>1357</v>
      </c>
      <c r="L3282" t="s">
        <v>1357</v>
      </c>
    </row>
    <row r="3283" spans="6:12">
      <c r="H3283" t="s">
        <v>20234</v>
      </c>
      <c r="I3283" t="s">
        <v>1357</v>
      </c>
      <c r="J3283" t="s">
        <v>1357</v>
      </c>
      <c r="K3283" t="s">
        <v>1357</v>
      </c>
      <c r="L3283" t="s">
        <v>1357</v>
      </c>
    </row>
    <row r="3284" spans="6:12">
      <c r="H3284" t="s">
        <v>20235</v>
      </c>
      <c r="I3284" t="s">
        <v>1357</v>
      </c>
      <c r="J3284" t="s">
        <v>1357</v>
      </c>
      <c r="K3284" t="s">
        <v>1357</v>
      </c>
      <c r="L3284" t="s">
        <v>1357</v>
      </c>
    </row>
    <row r="3285" spans="6:12">
      <c r="H3285" t="s">
        <v>20298</v>
      </c>
      <c r="I3285" t="s">
        <v>1357</v>
      </c>
      <c r="J3285" t="s">
        <v>1357</v>
      </c>
      <c r="K3285" t="s">
        <v>1357</v>
      </c>
      <c r="L3285" t="s">
        <v>1357</v>
      </c>
    </row>
    <row r="3286" spans="6:12">
      <c r="H3286" t="s">
        <v>20299</v>
      </c>
      <c r="I3286" t="s">
        <v>1357</v>
      </c>
      <c r="J3286" t="s">
        <v>1357</v>
      </c>
      <c r="K3286" t="s">
        <v>1357</v>
      </c>
      <c r="L3286" t="s">
        <v>1357</v>
      </c>
    </row>
    <row r="3287" spans="6:12">
      <c r="H3287" t="s">
        <v>20300</v>
      </c>
      <c r="I3287" t="s">
        <v>1357</v>
      </c>
      <c r="J3287" t="s">
        <v>1357</v>
      </c>
      <c r="K3287" t="s">
        <v>1357</v>
      </c>
      <c r="L3287" t="s">
        <v>1357</v>
      </c>
    </row>
    <row r="3288" spans="6:12">
      <c r="H3288" t="s">
        <v>20301</v>
      </c>
      <c r="I3288" t="s">
        <v>1357</v>
      </c>
      <c r="J3288" t="s">
        <v>1357</v>
      </c>
      <c r="K3288" t="s">
        <v>1357</v>
      </c>
      <c r="L3288" t="s">
        <v>1357</v>
      </c>
    </row>
    <row r="3289" spans="6:12">
      <c r="H3289" t="s">
        <v>20302</v>
      </c>
      <c r="I3289" t="s">
        <v>1357</v>
      </c>
      <c r="J3289" t="s">
        <v>1357</v>
      </c>
      <c r="K3289" t="s">
        <v>1357</v>
      </c>
      <c r="L3289" t="s">
        <v>1357</v>
      </c>
    </row>
    <row r="3290" spans="6:12">
      <c r="H3290" t="s">
        <v>20284</v>
      </c>
      <c r="I3290" t="s">
        <v>1357</v>
      </c>
      <c r="J3290" t="s">
        <v>1357</v>
      </c>
      <c r="K3290" t="s">
        <v>1357</v>
      </c>
      <c r="L3290" t="s">
        <v>1357</v>
      </c>
    </row>
    <row r="3291" spans="6:12">
      <c r="H3291" t="s">
        <v>20285</v>
      </c>
      <c r="I3291" t="s">
        <v>1357</v>
      </c>
      <c r="J3291" t="s">
        <v>1357</v>
      </c>
      <c r="K3291" t="s">
        <v>1357</v>
      </c>
      <c r="L3291" t="s">
        <v>1357</v>
      </c>
    </row>
    <row r="3292" spans="6:12">
      <c r="H3292" t="s">
        <v>20286</v>
      </c>
      <c r="I3292" t="s">
        <v>1357</v>
      </c>
      <c r="J3292" t="s">
        <v>1357</v>
      </c>
      <c r="K3292" t="s">
        <v>1357</v>
      </c>
      <c r="L3292" t="s">
        <v>1357</v>
      </c>
    </row>
    <row r="3293" spans="6:12">
      <c r="H3293" t="s">
        <v>20287</v>
      </c>
      <c r="I3293" t="s">
        <v>1357</v>
      </c>
      <c r="J3293" t="s">
        <v>1357</v>
      </c>
      <c r="K3293" t="s">
        <v>1357</v>
      </c>
      <c r="L3293" t="s">
        <v>1357</v>
      </c>
    </row>
    <row r="3294" spans="6:12">
      <c r="F3294" t="s">
        <v>14999</v>
      </c>
      <c r="G3294" t="s">
        <v>17465</v>
      </c>
      <c r="H3294" t="s">
        <v>20280</v>
      </c>
      <c r="I3294" t="s">
        <v>1357</v>
      </c>
      <c r="J3294" t="s">
        <v>1357</v>
      </c>
      <c r="K3294" t="s">
        <v>1357</v>
      </c>
      <c r="L3294" t="s">
        <v>1357</v>
      </c>
    </row>
    <row r="3295" spans="6:12">
      <c r="H3295" t="s">
        <v>20233</v>
      </c>
      <c r="I3295" t="s">
        <v>1357</v>
      </c>
      <c r="J3295" t="s">
        <v>1357</v>
      </c>
      <c r="K3295" t="s">
        <v>1357</v>
      </c>
      <c r="L3295" t="s">
        <v>1357</v>
      </c>
    </row>
    <row r="3296" spans="6:12">
      <c r="H3296" t="s">
        <v>20230</v>
      </c>
      <c r="I3296" t="s">
        <v>1357</v>
      </c>
      <c r="J3296" t="s">
        <v>1357</v>
      </c>
      <c r="K3296" t="s">
        <v>1357</v>
      </c>
      <c r="L3296" t="s">
        <v>1357</v>
      </c>
    </row>
    <row r="3297" spans="6:12">
      <c r="H3297" t="s">
        <v>20227</v>
      </c>
      <c r="I3297" t="s">
        <v>1357</v>
      </c>
      <c r="J3297" t="s">
        <v>1357</v>
      </c>
      <c r="K3297" t="s">
        <v>1357</v>
      </c>
      <c r="L3297" t="s">
        <v>1357</v>
      </c>
    </row>
    <row r="3298" spans="6:12">
      <c r="H3298" t="s">
        <v>20228</v>
      </c>
      <c r="I3298" t="s">
        <v>1357</v>
      </c>
      <c r="J3298" t="s">
        <v>1357</v>
      </c>
      <c r="K3298" t="s">
        <v>1357</v>
      </c>
      <c r="L3298" t="s">
        <v>1357</v>
      </c>
    </row>
    <row r="3299" spans="6:12">
      <c r="H3299" t="s">
        <v>20232</v>
      </c>
      <c r="I3299" t="s">
        <v>1357</v>
      </c>
      <c r="J3299" t="s">
        <v>1357</v>
      </c>
      <c r="K3299" t="s">
        <v>1357</v>
      </c>
      <c r="L3299" t="s">
        <v>1357</v>
      </c>
    </row>
    <row r="3300" spans="6:12">
      <c r="H3300" t="s">
        <v>20229</v>
      </c>
      <c r="I3300" t="s">
        <v>1357</v>
      </c>
      <c r="J3300" t="s">
        <v>1357</v>
      </c>
      <c r="K3300" t="s">
        <v>1357</v>
      </c>
      <c r="L3300" t="s">
        <v>1357</v>
      </c>
    </row>
    <row r="3301" spans="6:12">
      <c r="H3301" t="s">
        <v>20296</v>
      </c>
      <c r="I3301" t="s">
        <v>1357</v>
      </c>
      <c r="J3301" t="s">
        <v>1357</v>
      </c>
      <c r="K3301" t="s">
        <v>1357</v>
      </c>
      <c r="L3301" t="s">
        <v>1357</v>
      </c>
    </row>
    <row r="3302" spans="6:12">
      <c r="H3302" t="s">
        <v>20297</v>
      </c>
      <c r="I3302" t="s">
        <v>1357</v>
      </c>
      <c r="J3302" t="s">
        <v>1357</v>
      </c>
      <c r="K3302" t="s">
        <v>1357</v>
      </c>
      <c r="L3302" t="s">
        <v>1357</v>
      </c>
    </row>
    <row r="3303" spans="6:12">
      <c r="H3303" t="s">
        <v>20234</v>
      </c>
      <c r="I3303" t="s">
        <v>1357</v>
      </c>
      <c r="J3303" t="s">
        <v>1357</v>
      </c>
      <c r="K3303" t="s">
        <v>1357</v>
      </c>
      <c r="L3303" t="s">
        <v>1357</v>
      </c>
    </row>
    <row r="3304" spans="6:12">
      <c r="H3304" t="s">
        <v>20235</v>
      </c>
      <c r="I3304" t="s">
        <v>1357</v>
      </c>
      <c r="J3304" t="s">
        <v>1357</v>
      </c>
      <c r="K3304" t="s">
        <v>1357</v>
      </c>
      <c r="L3304" t="s">
        <v>1357</v>
      </c>
    </row>
    <row r="3305" spans="6:12">
      <c r="H3305" t="s">
        <v>20298</v>
      </c>
      <c r="I3305" t="s">
        <v>1357</v>
      </c>
      <c r="J3305" t="s">
        <v>1357</v>
      </c>
      <c r="K3305" t="s">
        <v>1357</v>
      </c>
      <c r="L3305" t="s">
        <v>1357</v>
      </c>
    </row>
    <row r="3306" spans="6:12">
      <c r="H3306" t="s">
        <v>20299</v>
      </c>
      <c r="I3306" t="s">
        <v>1357</v>
      </c>
      <c r="J3306" t="s">
        <v>1357</v>
      </c>
      <c r="K3306" t="s">
        <v>1357</v>
      </c>
      <c r="L3306" t="s">
        <v>1357</v>
      </c>
    </row>
    <row r="3307" spans="6:12">
      <c r="H3307" t="s">
        <v>20281</v>
      </c>
      <c r="I3307" t="s">
        <v>1357</v>
      </c>
      <c r="J3307" t="s">
        <v>1357</v>
      </c>
      <c r="K3307" t="s">
        <v>1357</v>
      </c>
      <c r="L3307" t="s">
        <v>1357</v>
      </c>
    </row>
    <row r="3308" spans="6:12">
      <c r="H3308" t="s">
        <v>20284</v>
      </c>
      <c r="I3308" t="s">
        <v>1357</v>
      </c>
      <c r="J3308" t="s">
        <v>1357</v>
      </c>
      <c r="K3308" t="s">
        <v>1357</v>
      </c>
      <c r="L3308" t="s">
        <v>1357</v>
      </c>
    </row>
    <row r="3309" spans="6:12">
      <c r="H3309" t="s">
        <v>20285</v>
      </c>
      <c r="I3309" t="s">
        <v>1357</v>
      </c>
      <c r="J3309" t="s">
        <v>1357</v>
      </c>
      <c r="K3309" t="s">
        <v>1357</v>
      </c>
      <c r="L3309" t="s">
        <v>1357</v>
      </c>
    </row>
    <row r="3310" spans="6:12">
      <c r="H3310" t="s">
        <v>20286</v>
      </c>
      <c r="I3310" t="s">
        <v>1357</v>
      </c>
      <c r="J3310" t="s">
        <v>1357</v>
      </c>
      <c r="K3310" t="s">
        <v>1357</v>
      </c>
      <c r="L3310" t="s">
        <v>1357</v>
      </c>
    </row>
    <row r="3311" spans="6:12">
      <c r="H3311" t="s">
        <v>20287</v>
      </c>
      <c r="I3311" t="s">
        <v>1357</v>
      </c>
      <c r="J3311" t="s">
        <v>1357</v>
      </c>
      <c r="K3311" t="s">
        <v>1357</v>
      </c>
      <c r="L3311" t="s">
        <v>1357</v>
      </c>
    </row>
    <row r="3312" spans="6:12">
      <c r="F3312" t="s">
        <v>15000</v>
      </c>
      <c r="G3312" t="s">
        <v>17466</v>
      </c>
      <c r="H3312" t="s">
        <v>20280</v>
      </c>
      <c r="I3312" t="s">
        <v>1357</v>
      </c>
      <c r="J3312" t="s">
        <v>1357</v>
      </c>
      <c r="K3312" t="s">
        <v>1357</v>
      </c>
      <c r="L3312" t="s">
        <v>1357</v>
      </c>
    </row>
    <row r="3313" spans="8:12">
      <c r="H3313" t="s">
        <v>20233</v>
      </c>
      <c r="I3313" t="s">
        <v>1357</v>
      </c>
      <c r="J3313" t="s">
        <v>1357</v>
      </c>
      <c r="K3313" t="s">
        <v>1357</v>
      </c>
      <c r="L3313" t="s">
        <v>1357</v>
      </c>
    </row>
    <row r="3314" spans="8:12">
      <c r="H3314" t="s">
        <v>20230</v>
      </c>
      <c r="I3314" t="s">
        <v>1357</v>
      </c>
      <c r="J3314" t="s">
        <v>1357</v>
      </c>
      <c r="K3314" t="s">
        <v>1357</v>
      </c>
      <c r="L3314" t="s">
        <v>1357</v>
      </c>
    </row>
    <row r="3315" spans="8:12">
      <c r="H3315" t="s">
        <v>20227</v>
      </c>
      <c r="I3315" t="s">
        <v>1357</v>
      </c>
      <c r="J3315" t="s">
        <v>1357</v>
      </c>
      <c r="K3315" t="s">
        <v>1357</v>
      </c>
      <c r="L3315" t="s">
        <v>1357</v>
      </c>
    </row>
    <row r="3316" spans="8:12">
      <c r="H3316" t="s">
        <v>20228</v>
      </c>
      <c r="I3316" t="s">
        <v>1357</v>
      </c>
      <c r="J3316" t="s">
        <v>1357</v>
      </c>
      <c r="K3316" t="s">
        <v>1357</v>
      </c>
      <c r="L3316" t="s">
        <v>1357</v>
      </c>
    </row>
    <row r="3317" spans="8:12">
      <c r="H3317" t="s">
        <v>20232</v>
      </c>
      <c r="I3317" t="s">
        <v>1357</v>
      </c>
      <c r="J3317" t="s">
        <v>1357</v>
      </c>
      <c r="K3317" t="s">
        <v>1357</v>
      </c>
      <c r="L3317" t="s">
        <v>1357</v>
      </c>
    </row>
    <row r="3318" spans="8:12">
      <c r="H3318" t="s">
        <v>20229</v>
      </c>
      <c r="I3318" t="s">
        <v>1357</v>
      </c>
      <c r="J3318" t="s">
        <v>1357</v>
      </c>
      <c r="K3318" t="s">
        <v>1357</v>
      </c>
      <c r="L3318" t="s">
        <v>1357</v>
      </c>
    </row>
    <row r="3319" spans="8:12">
      <c r="H3319" t="s">
        <v>20296</v>
      </c>
      <c r="I3319" t="s">
        <v>1357</v>
      </c>
      <c r="J3319" t="s">
        <v>1357</v>
      </c>
      <c r="K3319" t="s">
        <v>1357</v>
      </c>
      <c r="L3319" t="s">
        <v>1357</v>
      </c>
    </row>
    <row r="3320" spans="8:12">
      <c r="H3320" t="s">
        <v>20297</v>
      </c>
      <c r="I3320" t="s">
        <v>1357</v>
      </c>
      <c r="J3320" t="s">
        <v>1357</v>
      </c>
      <c r="K3320" t="s">
        <v>1357</v>
      </c>
      <c r="L3320" t="s">
        <v>1357</v>
      </c>
    </row>
    <row r="3321" spans="8:12">
      <c r="H3321" t="s">
        <v>20234</v>
      </c>
      <c r="I3321" t="s">
        <v>1357</v>
      </c>
      <c r="J3321" t="s">
        <v>1357</v>
      </c>
      <c r="K3321" t="s">
        <v>1357</v>
      </c>
      <c r="L3321" t="s">
        <v>1357</v>
      </c>
    </row>
    <row r="3322" spans="8:12">
      <c r="H3322" t="s">
        <v>20235</v>
      </c>
      <c r="I3322" t="s">
        <v>1357</v>
      </c>
      <c r="J3322" t="s">
        <v>1357</v>
      </c>
      <c r="K3322" t="s">
        <v>1357</v>
      </c>
      <c r="L3322" t="s">
        <v>1357</v>
      </c>
    </row>
    <row r="3323" spans="8:12">
      <c r="H3323" t="s">
        <v>20298</v>
      </c>
      <c r="I3323" t="s">
        <v>1357</v>
      </c>
      <c r="J3323" t="s">
        <v>1357</v>
      </c>
      <c r="K3323" t="s">
        <v>1357</v>
      </c>
      <c r="L3323" t="s">
        <v>1357</v>
      </c>
    </row>
    <row r="3324" spans="8:12">
      <c r="H3324" t="s">
        <v>20299</v>
      </c>
      <c r="I3324" t="s">
        <v>1357</v>
      </c>
      <c r="J3324" t="s">
        <v>1357</v>
      </c>
      <c r="K3324" t="s">
        <v>1357</v>
      </c>
      <c r="L3324" t="s">
        <v>1357</v>
      </c>
    </row>
    <row r="3325" spans="8:12">
      <c r="H3325" t="s">
        <v>20281</v>
      </c>
      <c r="I3325" t="s">
        <v>1357</v>
      </c>
      <c r="J3325" t="s">
        <v>1357</v>
      </c>
      <c r="K3325" t="s">
        <v>1357</v>
      </c>
      <c r="L3325" t="s">
        <v>1357</v>
      </c>
    </row>
    <row r="3326" spans="8:12">
      <c r="H3326" t="s">
        <v>20284</v>
      </c>
      <c r="I3326" t="s">
        <v>1357</v>
      </c>
      <c r="J3326" t="s">
        <v>1357</v>
      </c>
      <c r="K3326" t="s">
        <v>1357</v>
      </c>
      <c r="L3326" t="s">
        <v>1357</v>
      </c>
    </row>
    <row r="3327" spans="8:12">
      <c r="H3327" t="s">
        <v>20285</v>
      </c>
      <c r="I3327" t="s">
        <v>1357</v>
      </c>
      <c r="J3327" t="s">
        <v>1357</v>
      </c>
      <c r="K3327" t="s">
        <v>1357</v>
      </c>
      <c r="L3327" t="s">
        <v>1357</v>
      </c>
    </row>
    <row r="3328" spans="8:12">
      <c r="H3328" t="s">
        <v>20286</v>
      </c>
      <c r="I3328" t="s">
        <v>1357</v>
      </c>
      <c r="J3328" t="s">
        <v>1357</v>
      </c>
      <c r="K3328" t="s">
        <v>1357</v>
      </c>
      <c r="L3328" t="s">
        <v>1357</v>
      </c>
    </row>
    <row r="3329" spans="6:12">
      <c r="H3329" t="s">
        <v>20287</v>
      </c>
      <c r="I3329" t="s">
        <v>1357</v>
      </c>
      <c r="J3329" t="s">
        <v>1357</v>
      </c>
      <c r="K3329" t="s">
        <v>1357</v>
      </c>
      <c r="L3329" t="s">
        <v>1357</v>
      </c>
    </row>
    <row r="3330" spans="6:12">
      <c r="F3330" t="s">
        <v>15001</v>
      </c>
      <c r="G3330" t="s">
        <v>17467</v>
      </c>
      <c r="H3330" t="s">
        <v>20280</v>
      </c>
      <c r="I3330" t="s">
        <v>1357</v>
      </c>
      <c r="J3330" t="s">
        <v>1357</v>
      </c>
      <c r="K3330" t="s">
        <v>1357</v>
      </c>
      <c r="L3330" t="s">
        <v>1357</v>
      </c>
    </row>
    <row r="3331" spans="6:12">
      <c r="H3331" t="s">
        <v>20233</v>
      </c>
      <c r="I3331" t="s">
        <v>1357</v>
      </c>
      <c r="J3331" t="s">
        <v>1357</v>
      </c>
      <c r="K3331" t="s">
        <v>1357</v>
      </c>
      <c r="L3331" t="s">
        <v>1357</v>
      </c>
    </row>
    <row r="3332" spans="6:12">
      <c r="H3332" t="s">
        <v>20230</v>
      </c>
      <c r="I3332" t="s">
        <v>1357</v>
      </c>
      <c r="J3332" t="s">
        <v>1357</v>
      </c>
      <c r="K3332" t="s">
        <v>1357</v>
      </c>
      <c r="L3332" t="s">
        <v>1357</v>
      </c>
    </row>
    <row r="3333" spans="6:12">
      <c r="H3333" t="s">
        <v>20227</v>
      </c>
      <c r="I3333" t="s">
        <v>1357</v>
      </c>
      <c r="J3333" t="s">
        <v>1357</v>
      </c>
      <c r="K3333" t="s">
        <v>1357</v>
      </c>
      <c r="L3333" t="s">
        <v>1357</v>
      </c>
    </row>
    <row r="3334" spans="6:12">
      <c r="H3334" t="s">
        <v>20228</v>
      </c>
      <c r="I3334" t="s">
        <v>1357</v>
      </c>
      <c r="J3334" t="s">
        <v>1357</v>
      </c>
      <c r="K3334" t="s">
        <v>1357</v>
      </c>
      <c r="L3334" t="s">
        <v>1357</v>
      </c>
    </row>
    <row r="3335" spans="6:12">
      <c r="H3335" t="s">
        <v>20232</v>
      </c>
      <c r="I3335" t="s">
        <v>1357</v>
      </c>
      <c r="J3335" t="s">
        <v>1357</v>
      </c>
      <c r="K3335" t="s">
        <v>1357</v>
      </c>
      <c r="L3335" t="s">
        <v>1357</v>
      </c>
    </row>
    <row r="3336" spans="6:12">
      <c r="H3336" t="s">
        <v>20229</v>
      </c>
      <c r="I3336" t="s">
        <v>1357</v>
      </c>
      <c r="J3336" t="s">
        <v>1357</v>
      </c>
      <c r="K3336" t="s">
        <v>1357</v>
      </c>
      <c r="L3336" t="s">
        <v>1357</v>
      </c>
    </row>
    <row r="3337" spans="6:12">
      <c r="H3337" t="s">
        <v>20296</v>
      </c>
      <c r="I3337" t="s">
        <v>1357</v>
      </c>
      <c r="J3337" t="s">
        <v>1357</v>
      </c>
      <c r="K3337" t="s">
        <v>1357</v>
      </c>
      <c r="L3337" t="s">
        <v>1357</v>
      </c>
    </row>
    <row r="3338" spans="6:12">
      <c r="H3338" t="s">
        <v>20297</v>
      </c>
      <c r="I3338" t="s">
        <v>1357</v>
      </c>
      <c r="J3338" t="s">
        <v>1357</v>
      </c>
      <c r="K3338" t="s">
        <v>1357</v>
      </c>
      <c r="L3338" t="s">
        <v>1357</v>
      </c>
    </row>
    <row r="3339" spans="6:12">
      <c r="H3339" t="s">
        <v>20234</v>
      </c>
      <c r="I3339" t="s">
        <v>1357</v>
      </c>
      <c r="J3339" t="s">
        <v>1357</v>
      </c>
      <c r="K3339" t="s">
        <v>1357</v>
      </c>
      <c r="L3339" t="s">
        <v>1357</v>
      </c>
    </row>
    <row r="3340" spans="6:12">
      <c r="H3340" t="s">
        <v>20235</v>
      </c>
      <c r="I3340" t="s">
        <v>1357</v>
      </c>
      <c r="J3340" t="s">
        <v>1357</v>
      </c>
      <c r="K3340" t="s">
        <v>1357</v>
      </c>
      <c r="L3340" t="s">
        <v>1357</v>
      </c>
    </row>
    <row r="3341" spans="6:12">
      <c r="H3341" t="s">
        <v>20298</v>
      </c>
      <c r="I3341" t="s">
        <v>1357</v>
      </c>
      <c r="J3341" t="s">
        <v>1357</v>
      </c>
      <c r="K3341" t="s">
        <v>1357</v>
      </c>
      <c r="L3341" t="s">
        <v>1357</v>
      </c>
    </row>
    <row r="3342" spans="6:12">
      <c r="H3342" t="s">
        <v>20299</v>
      </c>
      <c r="I3342" t="s">
        <v>1357</v>
      </c>
      <c r="J3342" t="s">
        <v>1357</v>
      </c>
      <c r="K3342" t="s">
        <v>1357</v>
      </c>
      <c r="L3342" t="s">
        <v>1357</v>
      </c>
    </row>
    <row r="3343" spans="6:12">
      <c r="H3343" t="s">
        <v>20281</v>
      </c>
      <c r="I3343" t="s">
        <v>1357</v>
      </c>
      <c r="J3343" t="s">
        <v>1357</v>
      </c>
      <c r="K3343" t="s">
        <v>1357</v>
      </c>
      <c r="L3343" t="s">
        <v>1357</v>
      </c>
    </row>
    <row r="3344" spans="6:12">
      <c r="H3344" t="s">
        <v>20284</v>
      </c>
      <c r="I3344" t="s">
        <v>1357</v>
      </c>
      <c r="J3344" t="s">
        <v>1357</v>
      </c>
      <c r="K3344" t="s">
        <v>1357</v>
      </c>
      <c r="L3344" t="s">
        <v>1357</v>
      </c>
    </row>
    <row r="3345" spans="6:12">
      <c r="H3345" t="s">
        <v>20285</v>
      </c>
      <c r="I3345" t="s">
        <v>1357</v>
      </c>
      <c r="J3345" t="s">
        <v>1357</v>
      </c>
      <c r="K3345" t="s">
        <v>1357</v>
      </c>
      <c r="L3345" t="s">
        <v>1357</v>
      </c>
    </row>
    <row r="3346" spans="6:12">
      <c r="H3346" t="s">
        <v>20286</v>
      </c>
      <c r="I3346" t="s">
        <v>1357</v>
      </c>
      <c r="J3346" t="s">
        <v>1357</v>
      </c>
      <c r="K3346" t="s">
        <v>1357</v>
      </c>
      <c r="L3346" t="s">
        <v>1357</v>
      </c>
    </row>
    <row r="3347" spans="6:12">
      <c r="H3347" t="s">
        <v>20287</v>
      </c>
      <c r="I3347" t="s">
        <v>1357</v>
      </c>
      <c r="J3347" t="s">
        <v>1357</v>
      </c>
      <c r="K3347" t="s">
        <v>1357</v>
      </c>
      <c r="L3347" t="s">
        <v>1357</v>
      </c>
    </row>
    <row r="3348" spans="6:12">
      <c r="F3348" t="s">
        <v>15002</v>
      </c>
      <c r="G3348" t="s">
        <v>17468</v>
      </c>
      <c r="H3348" t="s">
        <v>20280</v>
      </c>
      <c r="I3348" t="s">
        <v>1357</v>
      </c>
      <c r="J3348" t="s">
        <v>1357</v>
      </c>
      <c r="K3348" t="s">
        <v>1357</v>
      </c>
      <c r="L3348" t="s">
        <v>1357</v>
      </c>
    </row>
    <row r="3349" spans="6:12">
      <c r="H3349" t="s">
        <v>20233</v>
      </c>
      <c r="I3349" t="s">
        <v>1357</v>
      </c>
      <c r="J3349" t="s">
        <v>1357</v>
      </c>
      <c r="K3349" t="s">
        <v>1357</v>
      </c>
      <c r="L3349" t="s">
        <v>1357</v>
      </c>
    </row>
    <row r="3350" spans="6:12">
      <c r="H3350" t="s">
        <v>20230</v>
      </c>
      <c r="I3350" t="s">
        <v>1357</v>
      </c>
      <c r="J3350" t="s">
        <v>1357</v>
      </c>
      <c r="K3350" t="s">
        <v>1357</v>
      </c>
      <c r="L3350" t="s">
        <v>1357</v>
      </c>
    </row>
    <row r="3351" spans="6:12">
      <c r="H3351" t="s">
        <v>20227</v>
      </c>
      <c r="I3351" t="s">
        <v>1357</v>
      </c>
      <c r="J3351" t="s">
        <v>1357</v>
      </c>
      <c r="K3351" t="s">
        <v>1357</v>
      </c>
      <c r="L3351" t="s">
        <v>1357</v>
      </c>
    </row>
    <row r="3352" spans="6:12">
      <c r="H3352" t="s">
        <v>20228</v>
      </c>
      <c r="I3352" t="s">
        <v>1357</v>
      </c>
      <c r="J3352" t="s">
        <v>1357</v>
      </c>
      <c r="K3352" t="s">
        <v>1357</v>
      </c>
      <c r="L3352" t="s">
        <v>1357</v>
      </c>
    </row>
    <row r="3353" spans="6:12">
      <c r="H3353" t="s">
        <v>20232</v>
      </c>
      <c r="I3353" t="s">
        <v>1357</v>
      </c>
      <c r="J3353" t="s">
        <v>1357</v>
      </c>
      <c r="K3353" t="s">
        <v>1357</v>
      </c>
      <c r="L3353" t="s">
        <v>1357</v>
      </c>
    </row>
    <row r="3354" spans="6:12">
      <c r="H3354" t="s">
        <v>20229</v>
      </c>
      <c r="I3354" t="s">
        <v>1357</v>
      </c>
      <c r="J3354" t="s">
        <v>1357</v>
      </c>
      <c r="K3354" t="s">
        <v>1357</v>
      </c>
      <c r="L3354" t="s">
        <v>1357</v>
      </c>
    </row>
    <row r="3355" spans="6:12">
      <c r="H3355" t="s">
        <v>20296</v>
      </c>
      <c r="I3355" t="s">
        <v>1357</v>
      </c>
      <c r="J3355" t="s">
        <v>1357</v>
      </c>
      <c r="K3355" t="s">
        <v>1357</v>
      </c>
      <c r="L3355" t="s">
        <v>1357</v>
      </c>
    </row>
    <row r="3356" spans="6:12">
      <c r="H3356" t="s">
        <v>20297</v>
      </c>
      <c r="I3356" t="s">
        <v>1357</v>
      </c>
      <c r="J3356" t="s">
        <v>1357</v>
      </c>
      <c r="K3356" t="s">
        <v>1357</v>
      </c>
      <c r="L3356" t="s">
        <v>1357</v>
      </c>
    </row>
    <row r="3357" spans="6:12">
      <c r="H3357" t="s">
        <v>20234</v>
      </c>
      <c r="I3357" t="s">
        <v>1357</v>
      </c>
      <c r="J3357" t="s">
        <v>1357</v>
      </c>
      <c r="K3357" t="s">
        <v>1357</v>
      </c>
      <c r="L3357" t="s">
        <v>1357</v>
      </c>
    </row>
    <row r="3358" spans="6:12">
      <c r="H3358" t="s">
        <v>20235</v>
      </c>
      <c r="I3358" t="s">
        <v>1357</v>
      </c>
      <c r="J3358" t="s">
        <v>1357</v>
      </c>
      <c r="K3358" t="s">
        <v>1357</v>
      </c>
      <c r="L3358" t="s">
        <v>1357</v>
      </c>
    </row>
    <row r="3359" spans="6:12">
      <c r="H3359" t="s">
        <v>20298</v>
      </c>
      <c r="I3359" t="s">
        <v>1357</v>
      </c>
      <c r="J3359" t="s">
        <v>1357</v>
      </c>
      <c r="K3359" t="s">
        <v>1357</v>
      </c>
      <c r="L3359" t="s">
        <v>1357</v>
      </c>
    </row>
    <row r="3360" spans="6:12">
      <c r="H3360" t="s">
        <v>20299</v>
      </c>
      <c r="I3360" t="s">
        <v>1357</v>
      </c>
      <c r="J3360" t="s">
        <v>1357</v>
      </c>
      <c r="K3360" t="s">
        <v>1357</v>
      </c>
      <c r="L3360" t="s">
        <v>1357</v>
      </c>
    </row>
    <row r="3361" spans="6:12">
      <c r="H3361" t="s">
        <v>20281</v>
      </c>
      <c r="I3361" t="s">
        <v>1357</v>
      </c>
      <c r="J3361" t="s">
        <v>1357</v>
      </c>
      <c r="K3361" t="s">
        <v>1357</v>
      </c>
      <c r="L3361" t="s">
        <v>1357</v>
      </c>
    </row>
    <row r="3362" spans="6:12">
      <c r="H3362" t="s">
        <v>20284</v>
      </c>
      <c r="I3362" t="s">
        <v>1357</v>
      </c>
      <c r="J3362" t="s">
        <v>1357</v>
      </c>
      <c r="K3362" t="s">
        <v>1357</v>
      </c>
      <c r="L3362" t="s">
        <v>1357</v>
      </c>
    </row>
    <row r="3363" spans="6:12">
      <c r="H3363" t="s">
        <v>20285</v>
      </c>
      <c r="I3363" t="s">
        <v>1357</v>
      </c>
      <c r="J3363" t="s">
        <v>1357</v>
      </c>
      <c r="K3363" t="s">
        <v>1357</v>
      </c>
      <c r="L3363" t="s">
        <v>1357</v>
      </c>
    </row>
    <row r="3364" spans="6:12">
      <c r="H3364" t="s">
        <v>20286</v>
      </c>
      <c r="I3364" t="s">
        <v>1357</v>
      </c>
      <c r="J3364" t="s">
        <v>1357</v>
      </c>
      <c r="K3364" t="s">
        <v>1357</v>
      </c>
      <c r="L3364" t="s">
        <v>1357</v>
      </c>
    </row>
    <row r="3365" spans="6:12">
      <c r="H3365" t="s">
        <v>20287</v>
      </c>
      <c r="I3365" t="s">
        <v>1357</v>
      </c>
      <c r="J3365" t="s">
        <v>1357</v>
      </c>
      <c r="K3365" t="s">
        <v>1357</v>
      </c>
      <c r="L3365" t="s">
        <v>1357</v>
      </c>
    </row>
    <row r="3366" spans="6:12">
      <c r="F3366" t="s">
        <v>15003</v>
      </c>
      <c r="G3366" t="s">
        <v>17469</v>
      </c>
      <c r="H3366" t="s">
        <v>20280</v>
      </c>
      <c r="I3366" t="s">
        <v>1357</v>
      </c>
      <c r="J3366" t="s">
        <v>1357</v>
      </c>
      <c r="K3366" t="s">
        <v>1357</v>
      </c>
      <c r="L3366" t="s">
        <v>1357</v>
      </c>
    </row>
    <row r="3367" spans="6:12">
      <c r="H3367" t="s">
        <v>20233</v>
      </c>
      <c r="I3367" t="s">
        <v>1357</v>
      </c>
      <c r="J3367" t="s">
        <v>1357</v>
      </c>
      <c r="K3367" t="s">
        <v>1357</v>
      </c>
      <c r="L3367" t="s">
        <v>1357</v>
      </c>
    </row>
    <row r="3368" spans="6:12">
      <c r="H3368" t="s">
        <v>20230</v>
      </c>
      <c r="I3368" t="s">
        <v>1357</v>
      </c>
      <c r="J3368" t="s">
        <v>1357</v>
      </c>
      <c r="K3368" t="s">
        <v>1357</v>
      </c>
      <c r="L3368" t="s">
        <v>1357</v>
      </c>
    </row>
    <row r="3369" spans="6:12">
      <c r="H3369" t="s">
        <v>20227</v>
      </c>
      <c r="I3369" t="s">
        <v>1357</v>
      </c>
      <c r="J3369" t="s">
        <v>1357</v>
      </c>
      <c r="K3369" t="s">
        <v>1357</v>
      </c>
      <c r="L3369" t="s">
        <v>1357</v>
      </c>
    </row>
    <row r="3370" spans="6:12">
      <c r="H3370" t="s">
        <v>20228</v>
      </c>
      <c r="I3370" t="s">
        <v>1357</v>
      </c>
      <c r="J3370" t="s">
        <v>1357</v>
      </c>
      <c r="K3370" t="s">
        <v>1357</v>
      </c>
      <c r="L3370" t="s">
        <v>1357</v>
      </c>
    </row>
    <row r="3371" spans="6:12">
      <c r="H3371" t="s">
        <v>20232</v>
      </c>
      <c r="I3371" t="s">
        <v>1357</v>
      </c>
      <c r="J3371" t="s">
        <v>1357</v>
      </c>
      <c r="K3371" t="s">
        <v>1357</v>
      </c>
      <c r="L3371" t="s">
        <v>1357</v>
      </c>
    </row>
    <row r="3372" spans="6:12">
      <c r="H3372" t="s">
        <v>20229</v>
      </c>
      <c r="I3372" t="s">
        <v>1357</v>
      </c>
      <c r="J3372" t="s">
        <v>1357</v>
      </c>
      <c r="K3372" t="s">
        <v>1357</v>
      </c>
      <c r="L3372" t="s">
        <v>1357</v>
      </c>
    </row>
    <row r="3373" spans="6:12">
      <c r="H3373" t="s">
        <v>20296</v>
      </c>
      <c r="I3373" t="s">
        <v>1357</v>
      </c>
      <c r="J3373" t="s">
        <v>1357</v>
      </c>
      <c r="K3373" t="s">
        <v>1357</v>
      </c>
      <c r="L3373" t="s">
        <v>1357</v>
      </c>
    </row>
    <row r="3374" spans="6:12">
      <c r="H3374" t="s">
        <v>20297</v>
      </c>
      <c r="I3374" t="s">
        <v>1357</v>
      </c>
      <c r="J3374" t="s">
        <v>1357</v>
      </c>
      <c r="K3374" t="s">
        <v>1357</v>
      </c>
      <c r="L3374" t="s">
        <v>1357</v>
      </c>
    </row>
    <row r="3375" spans="6:12">
      <c r="H3375" t="s">
        <v>20234</v>
      </c>
      <c r="I3375" t="s">
        <v>1357</v>
      </c>
      <c r="J3375" t="s">
        <v>1357</v>
      </c>
      <c r="K3375" t="s">
        <v>1357</v>
      </c>
      <c r="L3375" t="s">
        <v>1357</v>
      </c>
    </row>
    <row r="3376" spans="6:12">
      <c r="H3376" t="s">
        <v>20235</v>
      </c>
      <c r="I3376" t="s">
        <v>1357</v>
      </c>
      <c r="J3376" t="s">
        <v>1357</v>
      </c>
      <c r="K3376" t="s">
        <v>1357</v>
      </c>
      <c r="L3376" t="s">
        <v>1357</v>
      </c>
    </row>
    <row r="3377" spans="6:12">
      <c r="H3377" t="s">
        <v>20298</v>
      </c>
      <c r="I3377" t="s">
        <v>1357</v>
      </c>
      <c r="J3377" t="s">
        <v>1357</v>
      </c>
      <c r="K3377" t="s">
        <v>1357</v>
      </c>
      <c r="L3377" t="s">
        <v>1357</v>
      </c>
    </row>
    <row r="3378" spans="6:12">
      <c r="H3378" t="s">
        <v>20299</v>
      </c>
      <c r="I3378" t="s">
        <v>1357</v>
      </c>
      <c r="J3378" t="s">
        <v>1357</v>
      </c>
      <c r="K3378" t="s">
        <v>1357</v>
      </c>
      <c r="L3378" t="s">
        <v>1357</v>
      </c>
    </row>
    <row r="3379" spans="6:12">
      <c r="H3379" t="s">
        <v>20281</v>
      </c>
      <c r="I3379" t="s">
        <v>1357</v>
      </c>
      <c r="J3379" t="s">
        <v>1357</v>
      </c>
      <c r="K3379" t="s">
        <v>1357</v>
      </c>
      <c r="L3379" t="s">
        <v>1357</v>
      </c>
    </row>
    <row r="3380" spans="6:12">
      <c r="H3380" t="s">
        <v>20284</v>
      </c>
      <c r="I3380" t="s">
        <v>1357</v>
      </c>
      <c r="J3380" t="s">
        <v>1357</v>
      </c>
      <c r="K3380" t="s">
        <v>1357</v>
      </c>
      <c r="L3380" t="s">
        <v>1357</v>
      </c>
    </row>
    <row r="3381" spans="6:12">
      <c r="H3381" t="s">
        <v>20285</v>
      </c>
      <c r="I3381" t="s">
        <v>1357</v>
      </c>
      <c r="J3381" t="s">
        <v>1357</v>
      </c>
      <c r="K3381" t="s">
        <v>1357</v>
      </c>
      <c r="L3381" t="s">
        <v>1357</v>
      </c>
    </row>
    <row r="3382" spans="6:12">
      <c r="H3382" t="s">
        <v>20286</v>
      </c>
      <c r="I3382" t="s">
        <v>1357</v>
      </c>
      <c r="J3382" t="s">
        <v>1357</v>
      </c>
      <c r="K3382" t="s">
        <v>1357</v>
      </c>
      <c r="L3382" t="s">
        <v>1357</v>
      </c>
    </row>
    <row r="3383" spans="6:12">
      <c r="H3383" t="s">
        <v>20287</v>
      </c>
      <c r="I3383" t="s">
        <v>1357</v>
      </c>
      <c r="J3383" t="s">
        <v>1357</v>
      </c>
      <c r="K3383" t="s">
        <v>1357</v>
      </c>
      <c r="L3383" t="s">
        <v>1357</v>
      </c>
    </row>
    <row r="3384" spans="6:12">
      <c r="F3384" t="s">
        <v>15004</v>
      </c>
      <c r="G3384" t="s">
        <v>17470</v>
      </c>
      <c r="H3384" t="s">
        <v>20280</v>
      </c>
      <c r="I3384" t="s">
        <v>1357</v>
      </c>
      <c r="J3384" t="s">
        <v>1357</v>
      </c>
      <c r="K3384" t="s">
        <v>1357</v>
      </c>
      <c r="L3384" t="s">
        <v>1357</v>
      </c>
    </row>
    <row r="3385" spans="6:12">
      <c r="H3385" t="s">
        <v>20233</v>
      </c>
      <c r="I3385" t="s">
        <v>1357</v>
      </c>
      <c r="J3385" t="s">
        <v>1357</v>
      </c>
      <c r="K3385" t="s">
        <v>1357</v>
      </c>
      <c r="L3385" t="s">
        <v>1357</v>
      </c>
    </row>
    <row r="3386" spans="6:12">
      <c r="H3386" t="s">
        <v>20230</v>
      </c>
      <c r="I3386" t="s">
        <v>1357</v>
      </c>
      <c r="J3386" t="s">
        <v>1357</v>
      </c>
      <c r="K3386" t="s">
        <v>1357</v>
      </c>
      <c r="L3386" t="s">
        <v>1357</v>
      </c>
    </row>
    <row r="3387" spans="6:12">
      <c r="H3387" t="s">
        <v>20227</v>
      </c>
      <c r="I3387" t="s">
        <v>1357</v>
      </c>
      <c r="J3387" t="s">
        <v>1357</v>
      </c>
      <c r="K3387" t="s">
        <v>1357</v>
      </c>
      <c r="L3387" t="s">
        <v>1357</v>
      </c>
    </row>
    <row r="3388" spans="6:12">
      <c r="H3388" t="s">
        <v>20228</v>
      </c>
      <c r="I3388" t="s">
        <v>1357</v>
      </c>
      <c r="J3388" t="s">
        <v>1357</v>
      </c>
      <c r="K3388" t="s">
        <v>1357</v>
      </c>
      <c r="L3388" t="s">
        <v>1357</v>
      </c>
    </row>
    <row r="3389" spans="6:12">
      <c r="H3389" t="s">
        <v>20232</v>
      </c>
      <c r="I3389" t="s">
        <v>1357</v>
      </c>
      <c r="J3389" t="s">
        <v>1357</v>
      </c>
      <c r="K3389" t="s">
        <v>1357</v>
      </c>
      <c r="L3389" t="s">
        <v>1357</v>
      </c>
    </row>
    <row r="3390" spans="6:12">
      <c r="H3390" t="s">
        <v>20229</v>
      </c>
      <c r="I3390" t="s">
        <v>1357</v>
      </c>
      <c r="J3390" t="s">
        <v>1357</v>
      </c>
      <c r="K3390" t="s">
        <v>1357</v>
      </c>
      <c r="L3390" t="s">
        <v>1357</v>
      </c>
    </row>
    <row r="3391" spans="6:12">
      <c r="H3391" t="s">
        <v>20296</v>
      </c>
      <c r="I3391" t="s">
        <v>1357</v>
      </c>
      <c r="J3391" t="s">
        <v>1357</v>
      </c>
      <c r="K3391" t="s">
        <v>1357</v>
      </c>
      <c r="L3391" t="s">
        <v>1357</v>
      </c>
    </row>
    <row r="3392" spans="6:12">
      <c r="H3392" t="s">
        <v>20297</v>
      </c>
      <c r="I3392" t="s">
        <v>1357</v>
      </c>
      <c r="J3392" t="s">
        <v>1357</v>
      </c>
      <c r="K3392" t="s">
        <v>1357</v>
      </c>
      <c r="L3392" t="s">
        <v>1357</v>
      </c>
    </row>
    <row r="3393" spans="6:12">
      <c r="H3393" t="s">
        <v>20234</v>
      </c>
      <c r="I3393" t="s">
        <v>1357</v>
      </c>
      <c r="J3393" t="s">
        <v>1357</v>
      </c>
      <c r="K3393" t="s">
        <v>1357</v>
      </c>
      <c r="L3393" t="s">
        <v>1357</v>
      </c>
    </row>
    <row r="3394" spans="6:12">
      <c r="H3394" t="s">
        <v>20235</v>
      </c>
      <c r="I3394" t="s">
        <v>1357</v>
      </c>
      <c r="J3394" t="s">
        <v>1357</v>
      </c>
      <c r="K3394" t="s">
        <v>1357</v>
      </c>
      <c r="L3394" t="s">
        <v>1357</v>
      </c>
    </row>
    <row r="3395" spans="6:12">
      <c r="H3395" t="s">
        <v>20298</v>
      </c>
      <c r="I3395" t="s">
        <v>1357</v>
      </c>
      <c r="J3395" t="s">
        <v>1357</v>
      </c>
      <c r="K3395" t="s">
        <v>1357</v>
      </c>
      <c r="L3395" t="s">
        <v>1357</v>
      </c>
    </row>
    <row r="3396" spans="6:12">
      <c r="H3396" t="s">
        <v>20299</v>
      </c>
      <c r="I3396" t="s">
        <v>1357</v>
      </c>
      <c r="J3396" t="s">
        <v>1357</v>
      </c>
      <c r="K3396" t="s">
        <v>1357</v>
      </c>
      <c r="L3396" t="s">
        <v>1357</v>
      </c>
    </row>
    <row r="3397" spans="6:12">
      <c r="H3397" t="s">
        <v>20281</v>
      </c>
      <c r="I3397" t="s">
        <v>1357</v>
      </c>
      <c r="J3397" t="s">
        <v>1357</v>
      </c>
      <c r="K3397" t="s">
        <v>1357</v>
      </c>
      <c r="L3397" t="s">
        <v>1357</v>
      </c>
    </row>
    <row r="3398" spans="6:12">
      <c r="H3398" t="s">
        <v>20284</v>
      </c>
      <c r="I3398" t="s">
        <v>1357</v>
      </c>
      <c r="J3398" t="s">
        <v>1357</v>
      </c>
      <c r="K3398" t="s">
        <v>1357</v>
      </c>
      <c r="L3398" t="s">
        <v>1357</v>
      </c>
    </row>
    <row r="3399" spans="6:12">
      <c r="H3399" t="s">
        <v>20285</v>
      </c>
      <c r="I3399" t="s">
        <v>1357</v>
      </c>
      <c r="J3399" t="s">
        <v>1357</v>
      </c>
      <c r="K3399" t="s">
        <v>1357</v>
      </c>
      <c r="L3399" t="s">
        <v>1357</v>
      </c>
    </row>
    <row r="3400" spans="6:12">
      <c r="H3400" t="s">
        <v>20286</v>
      </c>
      <c r="I3400" t="s">
        <v>1357</v>
      </c>
      <c r="J3400" t="s">
        <v>1357</v>
      </c>
      <c r="K3400" t="s">
        <v>1357</v>
      </c>
      <c r="L3400" t="s">
        <v>1357</v>
      </c>
    </row>
    <row r="3401" spans="6:12">
      <c r="H3401" t="s">
        <v>20287</v>
      </c>
      <c r="I3401" t="s">
        <v>1357</v>
      </c>
      <c r="J3401" t="s">
        <v>1357</v>
      </c>
      <c r="K3401" t="s">
        <v>1357</v>
      </c>
      <c r="L3401" t="s">
        <v>1357</v>
      </c>
    </row>
    <row r="3402" spans="6:12">
      <c r="F3402" t="s">
        <v>15005</v>
      </c>
      <c r="G3402" t="s">
        <v>17471</v>
      </c>
      <c r="H3402" t="s">
        <v>20280</v>
      </c>
      <c r="I3402" t="s">
        <v>1357</v>
      </c>
      <c r="J3402" t="s">
        <v>1357</v>
      </c>
      <c r="K3402" t="s">
        <v>1357</v>
      </c>
      <c r="L3402" t="s">
        <v>1357</v>
      </c>
    </row>
    <row r="3403" spans="6:12">
      <c r="H3403" t="s">
        <v>20233</v>
      </c>
      <c r="I3403" t="s">
        <v>1357</v>
      </c>
      <c r="J3403" t="s">
        <v>1357</v>
      </c>
      <c r="K3403" t="s">
        <v>1357</v>
      </c>
      <c r="L3403" t="s">
        <v>1357</v>
      </c>
    </row>
    <row r="3404" spans="6:12">
      <c r="H3404" t="s">
        <v>20230</v>
      </c>
      <c r="I3404" t="s">
        <v>1357</v>
      </c>
      <c r="J3404" t="s">
        <v>1357</v>
      </c>
      <c r="K3404" t="s">
        <v>1357</v>
      </c>
      <c r="L3404" t="s">
        <v>1357</v>
      </c>
    </row>
    <row r="3405" spans="6:12">
      <c r="H3405" t="s">
        <v>20227</v>
      </c>
      <c r="I3405" t="s">
        <v>1357</v>
      </c>
      <c r="J3405" t="s">
        <v>1357</v>
      </c>
      <c r="K3405" t="s">
        <v>1357</v>
      </c>
      <c r="L3405" t="s">
        <v>1357</v>
      </c>
    </row>
    <row r="3406" spans="6:12">
      <c r="H3406" t="s">
        <v>20296</v>
      </c>
      <c r="I3406" t="s">
        <v>1357</v>
      </c>
      <c r="J3406" t="s">
        <v>1357</v>
      </c>
      <c r="K3406" t="s">
        <v>1357</v>
      </c>
      <c r="L3406" t="s">
        <v>1357</v>
      </c>
    </row>
    <row r="3407" spans="6:12">
      <c r="H3407" t="s">
        <v>20297</v>
      </c>
      <c r="I3407" t="s">
        <v>1357</v>
      </c>
      <c r="J3407" t="s">
        <v>1357</v>
      </c>
      <c r="K3407" t="s">
        <v>1357</v>
      </c>
      <c r="L3407" t="s">
        <v>1357</v>
      </c>
    </row>
    <row r="3408" spans="6:12">
      <c r="H3408" t="s">
        <v>20234</v>
      </c>
      <c r="I3408" t="s">
        <v>1357</v>
      </c>
      <c r="J3408" t="s">
        <v>1357</v>
      </c>
      <c r="K3408" t="s">
        <v>1357</v>
      </c>
      <c r="L3408" t="s">
        <v>1357</v>
      </c>
    </row>
    <row r="3409" spans="6:12">
      <c r="H3409" t="s">
        <v>20235</v>
      </c>
      <c r="I3409" t="s">
        <v>1357</v>
      </c>
      <c r="J3409" t="s">
        <v>1357</v>
      </c>
      <c r="K3409" t="s">
        <v>1357</v>
      </c>
      <c r="L3409" t="s">
        <v>1357</v>
      </c>
    </row>
    <row r="3410" spans="6:12">
      <c r="H3410" t="s">
        <v>20298</v>
      </c>
      <c r="I3410" t="s">
        <v>1357</v>
      </c>
      <c r="J3410" t="s">
        <v>1357</v>
      </c>
      <c r="K3410" t="s">
        <v>1357</v>
      </c>
      <c r="L3410" t="s">
        <v>1357</v>
      </c>
    </row>
    <row r="3411" spans="6:12">
      <c r="H3411" t="s">
        <v>20299</v>
      </c>
      <c r="I3411" t="s">
        <v>1357</v>
      </c>
      <c r="J3411" t="s">
        <v>1357</v>
      </c>
      <c r="K3411" t="s">
        <v>1357</v>
      </c>
      <c r="L3411" t="s">
        <v>1357</v>
      </c>
    </row>
    <row r="3412" spans="6:12">
      <c r="H3412" t="s">
        <v>20300</v>
      </c>
      <c r="I3412" t="s">
        <v>1357</v>
      </c>
      <c r="J3412" t="s">
        <v>1357</v>
      </c>
      <c r="K3412" t="s">
        <v>1357</v>
      </c>
      <c r="L3412" t="s">
        <v>1357</v>
      </c>
    </row>
    <row r="3413" spans="6:12">
      <c r="H3413" t="s">
        <v>20285</v>
      </c>
      <c r="I3413" t="s">
        <v>1357</v>
      </c>
      <c r="J3413" t="s">
        <v>1357</v>
      </c>
      <c r="K3413" t="s">
        <v>1357</v>
      </c>
      <c r="L3413" t="s">
        <v>1357</v>
      </c>
    </row>
    <row r="3414" spans="6:12">
      <c r="H3414" t="s">
        <v>20286</v>
      </c>
      <c r="I3414" t="s">
        <v>1357</v>
      </c>
      <c r="J3414" t="s">
        <v>1357</v>
      </c>
      <c r="K3414" t="s">
        <v>1357</v>
      </c>
      <c r="L3414" t="s">
        <v>1357</v>
      </c>
    </row>
    <row r="3415" spans="6:12">
      <c r="H3415" t="s">
        <v>20287</v>
      </c>
      <c r="I3415" t="s">
        <v>1357</v>
      </c>
      <c r="J3415" t="s">
        <v>1357</v>
      </c>
      <c r="K3415" t="s">
        <v>1357</v>
      </c>
      <c r="L3415" t="s">
        <v>1357</v>
      </c>
    </row>
    <row r="3416" spans="6:12">
      <c r="H3416" t="s">
        <v>20288</v>
      </c>
      <c r="I3416" t="s">
        <v>1357</v>
      </c>
      <c r="J3416" t="s">
        <v>1357</v>
      </c>
      <c r="K3416" t="s">
        <v>1357</v>
      </c>
      <c r="L3416" t="s">
        <v>1357</v>
      </c>
    </row>
    <row r="3417" spans="6:12">
      <c r="F3417" t="s">
        <v>15006</v>
      </c>
      <c r="G3417" t="s">
        <v>17472</v>
      </c>
      <c r="H3417" t="s">
        <v>20280</v>
      </c>
      <c r="I3417" t="s">
        <v>1357</v>
      </c>
      <c r="J3417" t="s">
        <v>1357</v>
      </c>
      <c r="K3417" t="s">
        <v>1357</v>
      </c>
      <c r="L3417" t="s">
        <v>1357</v>
      </c>
    </row>
    <row r="3418" spans="6:12">
      <c r="H3418" t="s">
        <v>20233</v>
      </c>
      <c r="I3418" t="s">
        <v>1357</v>
      </c>
      <c r="J3418" t="s">
        <v>1357</v>
      </c>
      <c r="K3418" t="s">
        <v>1357</v>
      </c>
      <c r="L3418" t="s">
        <v>1357</v>
      </c>
    </row>
    <row r="3419" spans="6:12">
      <c r="H3419" t="s">
        <v>20230</v>
      </c>
      <c r="I3419" t="s">
        <v>1357</v>
      </c>
      <c r="J3419" t="s">
        <v>1357</v>
      </c>
      <c r="K3419" t="s">
        <v>1357</v>
      </c>
      <c r="L3419" t="s">
        <v>1357</v>
      </c>
    </row>
    <row r="3420" spans="6:12">
      <c r="H3420" t="s">
        <v>20227</v>
      </c>
      <c r="I3420" t="s">
        <v>1357</v>
      </c>
      <c r="J3420" t="s">
        <v>1357</v>
      </c>
      <c r="K3420" t="s">
        <v>1357</v>
      </c>
      <c r="L3420" t="s">
        <v>1357</v>
      </c>
    </row>
    <row r="3421" spans="6:12">
      <c r="H3421" t="s">
        <v>20296</v>
      </c>
      <c r="I3421" t="s">
        <v>1357</v>
      </c>
      <c r="J3421" t="s">
        <v>1357</v>
      </c>
      <c r="K3421" t="s">
        <v>1357</v>
      </c>
      <c r="L3421" t="s">
        <v>1357</v>
      </c>
    </row>
    <row r="3422" spans="6:12">
      <c r="H3422" t="s">
        <v>20297</v>
      </c>
      <c r="I3422" t="s">
        <v>1357</v>
      </c>
      <c r="J3422" t="s">
        <v>1357</v>
      </c>
      <c r="K3422" t="s">
        <v>1357</v>
      </c>
      <c r="L3422" t="s">
        <v>1357</v>
      </c>
    </row>
    <row r="3423" spans="6:12">
      <c r="H3423" t="s">
        <v>20234</v>
      </c>
      <c r="I3423" t="s">
        <v>1357</v>
      </c>
      <c r="J3423" t="s">
        <v>1357</v>
      </c>
      <c r="K3423" t="s">
        <v>1357</v>
      </c>
      <c r="L3423" t="s">
        <v>1357</v>
      </c>
    </row>
    <row r="3424" spans="6:12">
      <c r="H3424" t="s">
        <v>20235</v>
      </c>
      <c r="I3424" t="s">
        <v>1357</v>
      </c>
      <c r="J3424" t="s">
        <v>1357</v>
      </c>
      <c r="K3424" t="s">
        <v>1357</v>
      </c>
      <c r="L3424" t="s">
        <v>1357</v>
      </c>
    </row>
    <row r="3425" spans="6:12">
      <c r="H3425" t="s">
        <v>20298</v>
      </c>
      <c r="I3425" t="s">
        <v>1357</v>
      </c>
      <c r="J3425" t="s">
        <v>1357</v>
      </c>
      <c r="K3425" t="s">
        <v>1357</v>
      </c>
      <c r="L3425" t="s">
        <v>1357</v>
      </c>
    </row>
    <row r="3426" spans="6:12">
      <c r="H3426" t="s">
        <v>20299</v>
      </c>
      <c r="I3426" t="s">
        <v>1357</v>
      </c>
      <c r="J3426" t="s">
        <v>1357</v>
      </c>
      <c r="K3426" t="s">
        <v>1357</v>
      </c>
      <c r="L3426" t="s">
        <v>1357</v>
      </c>
    </row>
    <row r="3427" spans="6:12">
      <c r="H3427" t="s">
        <v>20285</v>
      </c>
      <c r="I3427" t="s">
        <v>1357</v>
      </c>
      <c r="J3427" t="s">
        <v>1357</v>
      </c>
      <c r="K3427" t="s">
        <v>1357</v>
      </c>
      <c r="L3427" t="s">
        <v>1357</v>
      </c>
    </row>
    <row r="3428" spans="6:12">
      <c r="H3428" t="s">
        <v>20286</v>
      </c>
      <c r="I3428" t="s">
        <v>1357</v>
      </c>
      <c r="J3428" t="s">
        <v>1357</v>
      </c>
      <c r="K3428" t="s">
        <v>1357</v>
      </c>
      <c r="L3428" t="s">
        <v>1357</v>
      </c>
    </row>
    <row r="3429" spans="6:12">
      <c r="H3429" t="s">
        <v>20287</v>
      </c>
      <c r="I3429" t="s">
        <v>1357</v>
      </c>
      <c r="J3429" t="s">
        <v>1357</v>
      </c>
      <c r="K3429" t="s">
        <v>1357</v>
      </c>
      <c r="L3429" t="s">
        <v>1357</v>
      </c>
    </row>
    <row r="3430" spans="6:12">
      <c r="H3430" t="s">
        <v>20288</v>
      </c>
      <c r="I3430" t="s">
        <v>1357</v>
      </c>
      <c r="J3430" t="s">
        <v>1357</v>
      </c>
      <c r="K3430" t="s">
        <v>1357</v>
      </c>
      <c r="L3430" t="s">
        <v>1357</v>
      </c>
    </row>
    <row r="3431" spans="6:12">
      <c r="F3431" t="s">
        <v>15007</v>
      </c>
      <c r="G3431" t="s">
        <v>17473</v>
      </c>
      <c r="H3431" t="s">
        <v>20280</v>
      </c>
      <c r="I3431" t="s">
        <v>1357</v>
      </c>
      <c r="J3431" t="s">
        <v>1357</v>
      </c>
      <c r="K3431" t="s">
        <v>1357</v>
      </c>
      <c r="L3431" t="s">
        <v>1357</v>
      </c>
    </row>
    <row r="3432" spans="6:12">
      <c r="H3432" t="s">
        <v>20233</v>
      </c>
      <c r="I3432" t="s">
        <v>1357</v>
      </c>
      <c r="J3432" t="s">
        <v>1357</v>
      </c>
      <c r="K3432" t="s">
        <v>1357</v>
      </c>
      <c r="L3432" t="s">
        <v>1357</v>
      </c>
    </row>
    <row r="3433" spans="6:12">
      <c r="H3433" t="s">
        <v>20230</v>
      </c>
      <c r="I3433" t="s">
        <v>1357</v>
      </c>
      <c r="J3433" t="s">
        <v>1357</v>
      </c>
      <c r="K3433" t="s">
        <v>1357</v>
      </c>
      <c r="L3433" t="s">
        <v>1357</v>
      </c>
    </row>
    <row r="3434" spans="6:12">
      <c r="H3434" t="s">
        <v>20227</v>
      </c>
      <c r="I3434" t="s">
        <v>1357</v>
      </c>
      <c r="J3434" t="s">
        <v>1357</v>
      </c>
      <c r="K3434" t="s">
        <v>1357</v>
      </c>
      <c r="L3434" t="s">
        <v>1357</v>
      </c>
    </row>
    <row r="3435" spans="6:12">
      <c r="H3435" t="s">
        <v>20296</v>
      </c>
      <c r="I3435" t="s">
        <v>1357</v>
      </c>
      <c r="J3435" t="s">
        <v>1357</v>
      </c>
      <c r="K3435" t="s">
        <v>1357</v>
      </c>
      <c r="L3435" t="s">
        <v>1357</v>
      </c>
    </row>
    <row r="3436" spans="6:12">
      <c r="H3436" t="s">
        <v>20297</v>
      </c>
      <c r="I3436" t="s">
        <v>1357</v>
      </c>
      <c r="J3436" t="s">
        <v>1357</v>
      </c>
      <c r="K3436" t="s">
        <v>1357</v>
      </c>
      <c r="L3436" t="s">
        <v>1357</v>
      </c>
    </row>
    <row r="3437" spans="6:12">
      <c r="H3437" t="s">
        <v>20234</v>
      </c>
      <c r="I3437" t="s">
        <v>1357</v>
      </c>
      <c r="J3437" t="s">
        <v>1357</v>
      </c>
      <c r="K3437" t="s">
        <v>1357</v>
      </c>
      <c r="L3437" t="s">
        <v>1357</v>
      </c>
    </row>
    <row r="3438" spans="6:12">
      <c r="H3438" t="s">
        <v>20235</v>
      </c>
      <c r="I3438" t="s">
        <v>1357</v>
      </c>
      <c r="J3438" t="s">
        <v>1357</v>
      </c>
      <c r="K3438" t="s">
        <v>1357</v>
      </c>
      <c r="L3438" t="s">
        <v>1357</v>
      </c>
    </row>
    <row r="3439" spans="6:12">
      <c r="H3439" t="s">
        <v>20298</v>
      </c>
      <c r="I3439" t="s">
        <v>1357</v>
      </c>
      <c r="J3439" t="s">
        <v>1357</v>
      </c>
      <c r="K3439" t="s">
        <v>1357</v>
      </c>
      <c r="L3439" t="s">
        <v>1357</v>
      </c>
    </row>
    <row r="3440" spans="6:12">
      <c r="H3440" t="s">
        <v>20299</v>
      </c>
      <c r="I3440" t="s">
        <v>1357</v>
      </c>
      <c r="J3440" t="s">
        <v>1357</v>
      </c>
      <c r="K3440" t="s">
        <v>1357</v>
      </c>
      <c r="L3440" t="s">
        <v>1357</v>
      </c>
    </row>
    <row r="3441" spans="6:12">
      <c r="H3441" t="s">
        <v>20284</v>
      </c>
      <c r="I3441" t="s">
        <v>1357</v>
      </c>
      <c r="J3441" t="s">
        <v>1357</v>
      </c>
      <c r="K3441" t="s">
        <v>1357</v>
      </c>
      <c r="L3441" t="s">
        <v>1357</v>
      </c>
    </row>
    <row r="3442" spans="6:12">
      <c r="H3442" t="s">
        <v>20285</v>
      </c>
      <c r="I3442" t="s">
        <v>1357</v>
      </c>
      <c r="J3442" t="s">
        <v>1357</v>
      </c>
      <c r="K3442" t="s">
        <v>1357</v>
      </c>
      <c r="L3442" t="s">
        <v>1357</v>
      </c>
    </row>
    <row r="3443" spans="6:12">
      <c r="H3443" t="s">
        <v>20286</v>
      </c>
      <c r="I3443" t="s">
        <v>1357</v>
      </c>
      <c r="J3443" t="s">
        <v>1357</v>
      </c>
      <c r="K3443" t="s">
        <v>1357</v>
      </c>
      <c r="L3443" t="s">
        <v>1357</v>
      </c>
    </row>
    <row r="3444" spans="6:12">
      <c r="H3444" t="s">
        <v>20287</v>
      </c>
      <c r="I3444" t="s">
        <v>1357</v>
      </c>
      <c r="J3444" t="s">
        <v>1357</v>
      </c>
      <c r="K3444" t="s">
        <v>1357</v>
      </c>
      <c r="L3444" t="s">
        <v>1357</v>
      </c>
    </row>
    <row r="3445" spans="6:12">
      <c r="F3445" t="s">
        <v>15008</v>
      </c>
      <c r="G3445" t="s">
        <v>17804</v>
      </c>
      <c r="H3445" t="s">
        <v>20280</v>
      </c>
      <c r="I3445" t="s">
        <v>1357</v>
      </c>
      <c r="J3445" t="s">
        <v>1357</v>
      </c>
      <c r="K3445" t="s">
        <v>1357</v>
      </c>
      <c r="L3445" t="s">
        <v>1357</v>
      </c>
    </row>
    <row r="3446" spans="6:12">
      <c r="H3446" t="s">
        <v>20233</v>
      </c>
      <c r="I3446" t="s">
        <v>1357</v>
      </c>
      <c r="J3446" t="s">
        <v>1357</v>
      </c>
      <c r="K3446" t="s">
        <v>1357</v>
      </c>
      <c r="L3446" t="s">
        <v>1357</v>
      </c>
    </row>
    <row r="3447" spans="6:12">
      <c r="H3447" t="s">
        <v>20230</v>
      </c>
      <c r="I3447" t="s">
        <v>1357</v>
      </c>
      <c r="J3447" t="s">
        <v>1357</v>
      </c>
      <c r="K3447" t="s">
        <v>1357</v>
      </c>
      <c r="L3447" t="s">
        <v>1357</v>
      </c>
    </row>
    <row r="3448" spans="6:12">
      <c r="H3448" t="s">
        <v>20281</v>
      </c>
      <c r="I3448" t="s">
        <v>1357</v>
      </c>
      <c r="J3448" t="s">
        <v>1357</v>
      </c>
      <c r="K3448" t="s">
        <v>1357</v>
      </c>
      <c r="L3448" t="s">
        <v>1357</v>
      </c>
    </row>
    <row r="3449" spans="6:12">
      <c r="H3449" t="s">
        <v>20282</v>
      </c>
      <c r="I3449" t="s">
        <v>1357</v>
      </c>
      <c r="J3449" t="s">
        <v>1357</v>
      </c>
      <c r="K3449" t="s">
        <v>1357</v>
      </c>
      <c r="L3449" t="s">
        <v>1357</v>
      </c>
    </row>
    <row r="3450" spans="6:12">
      <c r="H3450" t="s">
        <v>20284</v>
      </c>
      <c r="I3450" t="s">
        <v>1357</v>
      </c>
      <c r="J3450" t="s">
        <v>1357</v>
      </c>
      <c r="K3450" t="s">
        <v>1357</v>
      </c>
      <c r="L3450" t="s">
        <v>1357</v>
      </c>
    </row>
    <row r="3451" spans="6:12">
      <c r="H3451" t="s">
        <v>20285</v>
      </c>
      <c r="I3451" t="s">
        <v>1357</v>
      </c>
      <c r="J3451" t="s">
        <v>1357</v>
      </c>
      <c r="K3451" t="s">
        <v>1357</v>
      </c>
      <c r="L3451" t="s">
        <v>1357</v>
      </c>
    </row>
    <row r="3452" spans="6:12">
      <c r="H3452" t="s">
        <v>20286</v>
      </c>
      <c r="I3452" t="s">
        <v>1357</v>
      </c>
      <c r="J3452" t="s">
        <v>1357</v>
      </c>
      <c r="K3452" t="s">
        <v>1357</v>
      </c>
      <c r="L3452" t="s">
        <v>1357</v>
      </c>
    </row>
    <row r="3453" spans="6:12">
      <c r="H3453" t="s">
        <v>20287</v>
      </c>
      <c r="I3453" t="s">
        <v>1357</v>
      </c>
      <c r="J3453" t="s">
        <v>1357</v>
      </c>
      <c r="K3453" t="s">
        <v>1357</v>
      </c>
      <c r="L3453" t="s">
        <v>1357</v>
      </c>
    </row>
    <row r="3454" spans="6:12">
      <c r="H3454" t="s">
        <v>20288</v>
      </c>
      <c r="I3454" t="s">
        <v>1357</v>
      </c>
      <c r="J3454" t="s">
        <v>1357</v>
      </c>
      <c r="K3454" t="s">
        <v>1357</v>
      </c>
      <c r="L3454" t="s">
        <v>1357</v>
      </c>
    </row>
    <row r="3455" spans="6:12">
      <c r="H3455" t="s">
        <v>20289</v>
      </c>
      <c r="I3455" t="s">
        <v>1357</v>
      </c>
      <c r="J3455" t="s">
        <v>1357</v>
      </c>
      <c r="K3455" t="s">
        <v>1357</v>
      </c>
      <c r="L3455" t="s">
        <v>1357</v>
      </c>
    </row>
    <row r="3456" spans="6:12">
      <c r="H3456" t="s">
        <v>20290</v>
      </c>
      <c r="I3456" t="s">
        <v>1357</v>
      </c>
      <c r="J3456" t="s">
        <v>1357</v>
      </c>
      <c r="K3456" t="s">
        <v>1357</v>
      </c>
      <c r="L3456" t="s">
        <v>1357</v>
      </c>
    </row>
    <row r="3457" spans="6:12">
      <c r="H3457" t="s">
        <v>20293</v>
      </c>
      <c r="I3457" t="s">
        <v>1357</v>
      </c>
      <c r="J3457" t="s">
        <v>1357</v>
      </c>
      <c r="K3457" t="s">
        <v>1357</v>
      </c>
      <c r="L3457" t="s">
        <v>1357</v>
      </c>
    </row>
    <row r="3458" spans="6:12">
      <c r="H3458" t="s">
        <v>20294</v>
      </c>
      <c r="I3458" t="s">
        <v>1357</v>
      </c>
      <c r="J3458" t="s">
        <v>1357</v>
      </c>
      <c r="K3458" t="s">
        <v>1357</v>
      </c>
      <c r="L3458" t="s">
        <v>1357</v>
      </c>
    </row>
    <row r="3459" spans="6:12">
      <c r="H3459" t="s">
        <v>20312</v>
      </c>
      <c r="I3459" t="s">
        <v>1357</v>
      </c>
      <c r="J3459" t="s">
        <v>1357</v>
      </c>
      <c r="K3459" t="s">
        <v>1357</v>
      </c>
      <c r="L3459" t="s">
        <v>1357</v>
      </c>
    </row>
    <row r="3460" spans="6:12">
      <c r="F3460" t="s">
        <v>15009</v>
      </c>
      <c r="G3460" t="s">
        <v>17805</v>
      </c>
      <c r="H3460" t="s">
        <v>20280</v>
      </c>
      <c r="I3460" t="s">
        <v>1357</v>
      </c>
      <c r="J3460" t="s">
        <v>1357</v>
      </c>
      <c r="K3460" t="s">
        <v>1357</v>
      </c>
      <c r="L3460" t="s">
        <v>1357</v>
      </c>
    </row>
    <row r="3461" spans="6:12">
      <c r="H3461" t="s">
        <v>20233</v>
      </c>
      <c r="I3461" t="s">
        <v>1357</v>
      </c>
      <c r="J3461" t="s">
        <v>1357</v>
      </c>
      <c r="K3461" t="s">
        <v>1357</v>
      </c>
      <c r="L3461" t="s">
        <v>1357</v>
      </c>
    </row>
    <row r="3462" spans="6:12">
      <c r="H3462" t="s">
        <v>20284</v>
      </c>
      <c r="I3462" t="s">
        <v>1357</v>
      </c>
      <c r="J3462" t="s">
        <v>1357</v>
      </c>
      <c r="K3462" t="s">
        <v>1357</v>
      </c>
      <c r="L3462" t="s">
        <v>1357</v>
      </c>
    </row>
    <row r="3463" spans="6:12">
      <c r="H3463" t="s">
        <v>20285</v>
      </c>
      <c r="I3463" t="s">
        <v>1357</v>
      </c>
      <c r="J3463" t="s">
        <v>1357</v>
      </c>
      <c r="K3463" t="s">
        <v>1357</v>
      </c>
      <c r="L3463" t="s">
        <v>1357</v>
      </c>
    </row>
    <row r="3464" spans="6:12">
      <c r="H3464" t="s">
        <v>20286</v>
      </c>
      <c r="I3464" t="s">
        <v>1357</v>
      </c>
      <c r="J3464" t="s">
        <v>1357</v>
      </c>
      <c r="K3464" t="s">
        <v>1357</v>
      </c>
      <c r="L3464" t="s">
        <v>1357</v>
      </c>
    </row>
    <row r="3465" spans="6:12">
      <c r="H3465" t="s">
        <v>20287</v>
      </c>
      <c r="I3465" t="s">
        <v>1357</v>
      </c>
      <c r="J3465" t="s">
        <v>1357</v>
      </c>
      <c r="K3465" t="s">
        <v>1357</v>
      </c>
      <c r="L3465" t="s">
        <v>1357</v>
      </c>
    </row>
    <row r="3466" spans="6:12">
      <c r="H3466" t="s">
        <v>20288</v>
      </c>
      <c r="I3466" t="s">
        <v>1357</v>
      </c>
      <c r="J3466" t="s">
        <v>1357</v>
      </c>
      <c r="K3466" t="s">
        <v>1357</v>
      </c>
      <c r="L3466" t="s">
        <v>1357</v>
      </c>
    </row>
    <row r="3467" spans="6:12">
      <c r="H3467" t="s">
        <v>20289</v>
      </c>
      <c r="I3467" t="s">
        <v>1357</v>
      </c>
      <c r="J3467" t="s">
        <v>1357</v>
      </c>
      <c r="K3467" t="s">
        <v>1357</v>
      </c>
      <c r="L3467" t="s">
        <v>1357</v>
      </c>
    </row>
    <row r="3468" spans="6:12">
      <c r="H3468" t="s">
        <v>20290</v>
      </c>
      <c r="I3468" t="s">
        <v>1357</v>
      </c>
      <c r="J3468" t="s">
        <v>1357</v>
      </c>
      <c r="K3468" t="s">
        <v>1357</v>
      </c>
      <c r="L3468" t="s">
        <v>1357</v>
      </c>
    </row>
    <row r="3469" spans="6:12">
      <c r="H3469" t="s">
        <v>20291</v>
      </c>
      <c r="I3469" t="s">
        <v>1357</v>
      </c>
      <c r="J3469" t="s">
        <v>1357</v>
      </c>
      <c r="K3469" t="s">
        <v>1357</v>
      </c>
      <c r="L3469" t="s">
        <v>1357</v>
      </c>
    </row>
    <row r="3470" spans="6:12">
      <c r="H3470" t="s">
        <v>20293</v>
      </c>
      <c r="I3470" t="s">
        <v>1357</v>
      </c>
      <c r="J3470" t="s">
        <v>1357</v>
      </c>
      <c r="K3470" t="s">
        <v>1357</v>
      </c>
      <c r="L3470" t="s">
        <v>1357</v>
      </c>
    </row>
    <row r="3471" spans="6:12">
      <c r="F3471" t="s">
        <v>15010</v>
      </c>
      <c r="G3471" t="s">
        <v>17806</v>
      </c>
      <c r="H3471" t="s">
        <v>20280</v>
      </c>
      <c r="I3471" t="s">
        <v>1357</v>
      </c>
      <c r="J3471" t="s">
        <v>1357</v>
      </c>
      <c r="K3471" t="s">
        <v>1357</v>
      </c>
      <c r="L3471" t="s">
        <v>1357</v>
      </c>
    </row>
    <row r="3472" spans="6:12">
      <c r="H3472" t="s">
        <v>20233</v>
      </c>
      <c r="I3472" t="s">
        <v>1357</v>
      </c>
      <c r="J3472" t="s">
        <v>1357</v>
      </c>
      <c r="K3472" t="s">
        <v>1357</v>
      </c>
      <c r="L3472" t="s">
        <v>1357</v>
      </c>
    </row>
    <row r="3473" spans="6:12">
      <c r="H3473" t="s">
        <v>20284</v>
      </c>
      <c r="I3473" t="s">
        <v>1357</v>
      </c>
      <c r="J3473" t="s">
        <v>1357</v>
      </c>
      <c r="K3473" t="s">
        <v>1357</v>
      </c>
      <c r="L3473" t="s">
        <v>1357</v>
      </c>
    </row>
    <row r="3474" spans="6:12">
      <c r="H3474" t="s">
        <v>20285</v>
      </c>
      <c r="I3474" t="s">
        <v>1357</v>
      </c>
      <c r="J3474" t="s">
        <v>1357</v>
      </c>
      <c r="K3474" t="s">
        <v>1357</v>
      </c>
      <c r="L3474" t="s">
        <v>1357</v>
      </c>
    </row>
    <row r="3475" spans="6:12">
      <c r="H3475" t="s">
        <v>20286</v>
      </c>
      <c r="I3475" t="s">
        <v>1357</v>
      </c>
      <c r="J3475" t="s">
        <v>1357</v>
      </c>
      <c r="K3475" t="s">
        <v>1357</v>
      </c>
      <c r="L3475" t="s">
        <v>1357</v>
      </c>
    </row>
    <row r="3476" spans="6:12">
      <c r="H3476" t="s">
        <v>20287</v>
      </c>
      <c r="I3476" t="s">
        <v>1357</v>
      </c>
      <c r="J3476" t="s">
        <v>1357</v>
      </c>
      <c r="K3476" t="s">
        <v>1357</v>
      </c>
      <c r="L3476" t="s">
        <v>1357</v>
      </c>
    </row>
    <row r="3477" spans="6:12">
      <c r="H3477" t="s">
        <v>20288</v>
      </c>
      <c r="I3477" t="s">
        <v>1357</v>
      </c>
      <c r="J3477" t="s">
        <v>1357</v>
      </c>
      <c r="K3477" t="s">
        <v>1357</v>
      </c>
      <c r="L3477" t="s">
        <v>1357</v>
      </c>
    </row>
    <row r="3478" spans="6:12">
      <c r="H3478" t="s">
        <v>20289</v>
      </c>
      <c r="I3478" t="s">
        <v>1357</v>
      </c>
      <c r="J3478" t="s">
        <v>1357</v>
      </c>
      <c r="K3478" t="s">
        <v>1357</v>
      </c>
      <c r="L3478" t="s">
        <v>1357</v>
      </c>
    </row>
    <row r="3479" spans="6:12">
      <c r="H3479" t="s">
        <v>20290</v>
      </c>
      <c r="I3479" t="s">
        <v>1357</v>
      </c>
      <c r="J3479" t="s">
        <v>1357</v>
      </c>
      <c r="K3479" t="s">
        <v>1357</v>
      </c>
      <c r="L3479" t="s">
        <v>1357</v>
      </c>
    </row>
    <row r="3480" spans="6:12">
      <c r="H3480" t="s">
        <v>20291</v>
      </c>
      <c r="I3480" t="s">
        <v>1357</v>
      </c>
      <c r="J3480" t="s">
        <v>1357</v>
      </c>
      <c r="K3480" t="s">
        <v>1357</v>
      </c>
      <c r="L3480" t="s">
        <v>1357</v>
      </c>
    </row>
    <row r="3481" spans="6:12">
      <c r="H3481" t="s">
        <v>20293</v>
      </c>
      <c r="I3481" t="s">
        <v>1357</v>
      </c>
      <c r="J3481" t="s">
        <v>1357</v>
      </c>
      <c r="K3481" t="s">
        <v>1357</v>
      </c>
      <c r="L3481" t="s">
        <v>1357</v>
      </c>
    </row>
    <row r="3482" spans="6:12">
      <c r="F3482" t="s">
        <v>15011</v>
      </c>
      <c r="G3482" t="s">
        <v>17474</v>
      </c>
      <c r="H3482" t="s">
        <v>20280</v>
      </c>
      <c r="I3482" t="s">
        <v>1357</v>
      </c>
      <c r="J3482" t="s">
        <v>1357</v>
      </c>
      <c r="K3482" t="s">
        <v>1357</v>
      </c>
      <c r="L3482" t="s">
        <v>1357</v>
      </c>
    </row>
    <row r="3483" spans="6:12">
      <c r="H3483" t="s">
        <v>20233</v>
      </c>
      <c r="I3483" t="s">
        <v>1357</v>
      </c>
      <c r="J3483" t="s">
        <v>1357</v>
      </c>
      <c r="K3483" t="s">
        <v>1357</v>
      </c>
      <c r="L3483" t="s">
        <v>1357</v>
      </c>
    </row>
    <row r="3484" spans="6:12">
      <c r="H3484" t="s">
        <v>20230</v>
      </c>
      <c r="I3484" t="s">
        <v>1357</v>
      </c>
      <c r="J3484" t="s">
        <v>1357</v>
      </c>
      <c r="K3484" t="s">
        <v>1357</v>
      </c>
      <c r="L3484" t="s">
        <v>1357</v>
      </c>
    </row>
    <row r="3485" spans="6:12">
      <c r="H3485" t="s">
        <v>20227</v>
      </c>
      <c r="I3485" t="s">
        <v>1357</v>
      </c>
      <c r="J3485" t="s">
        <v>1357</v>
      </c>
      <c r="K3485" t="s">
        <v>1357</v>
      </c>
      <c r="L3485" t="s">
        <v>1357</v>
      </c>
    </row>
    <row r="3486" spans="6:12">
      <c r="H3486" t="s">
        <v>20296</v>
      </c>
      <c r="I3486" t="s">
        <v>1357</v>
      </c>
      <c r="J3486" t="s">
        <v>1357</v>
      </c>
      <c r="K3486" t="s">
        <v>1357</v>
      </c>
      <c r="L3486" t="s">
        <v>1357</v>
      </c>
    </row>
    <row r="3487" spans="6:12">
      <c r="H3487" t="s">
        <v>20297</v>
      </c>
      <c r="I3487" t="s">
        <v>1357</v>
      </c>
      <c r="J3487" t="s">
        <v>1357</v>
      </c>
      <c r="K3487" t="s">
        <v>1357</v>
      </c>
      <c r="L3487" t="s">
        <v>1357</v>
      </c>
    </row>
    <row r="3488" spans="6:12">
      <c r="H3488" t="s">
        <v>20234</v>
      </c>
      <c r="I3488" t="s">
        <v>1357</v>
      </c>
      <c r="J3488" t="s">
        <v>1357</v>
      </c>
      <c r="K3488" t="s">
        <v>1357</v>
      </c>
      <c r="L3488" t="s">
        <v>1357</v>
      </c>
    </row>
    <row r="3489" spans="6:12">
      <c r="H3489" t="s">
        <v>20235</v>
      </c>
      <c r="I3489" t="s">
        <v>1357</v>
      </c>
      <c r="J3489" t="s">
        <v>1357</v>
      </c>
      <c r="K3489" t="s">
        <v>1357</v>
      </c>
      <c r="L3489" t="s">
        <v>1357</v>
      </c>
    </row>
    <row r="3490" spans="6:12">
      <c r="H3490" t="s">
        <v>20298</v>
      </c>
      <c r="I3490" t="s">
        <v>1357</v>
      </c>
      <c r="J3490" t="s">
        <v>1357</v>
      </c>
      <c r="K3490" t="s">
        <v>1357</v>
      </c>
      <c r="L3490" t="s">
        <v>1357</v>
      </c>
    </row>
    <row r="3491" spans="6:12">
      <c r="H3491" t="s">
        <v>20299</v>
      </c>
      <c r="I3491" t="s">
        <v>1357</v>
      </c>
      <c r="J3491" t="s">
        <v>1357</v>
      </c>
      <c r="K3491" t="s">
        <v>1357</v>
      </c>
      <c r="L3491" t="s">
        <v>1357</v>
      </c>
    </row>
    <row r="3492" spans="6:12">
      <c r="H3492" t="s">
        <v>20284</v>
      </c>
      <c r="I3492" t="s">
        <v>1357</v>
      </c>
      <c r="J3492" t="s">
        <v>1357</v>
      </c>
      <c r="K3492" t="s">
        <v>1357</v>
      </c>
      <c r="L3492" t="s">
        <v>1357</v>
      </c>
    </row>
    <row r="3493" spans="6:12">
      <c r="H3493" t="s">
        <v>20285</v>
      </c>
      <c r="I3493" t="s">
        <v>1357</v>
      </c>
      <c r="J3493" t="s">
        <v>1357</v>
      </c>
      <c r="K3493" t="s">
        <v>1357</v>
      </c>
      <c r="L3493" t="s">
        <v>1357</v>
      </c>
    </row>
    <row r="3494" spans="6:12">
      <c r="H3494" t="s">
        <v>20286</v>
      </c>
      <c r="I3494" t="s">
        <v>1357</v>
      </c>
      <c r="J3494" t="s">
        <v>1357</v>
      </c>
      <c r="K3494" t="s">
        <v>1357</v>
      </c>
      <c r="L3494" t="s">
        <v>1357</v>
      </c>
    </row>
    <row r="3495" spans="6:12">
      <c r="H3495" t="s">
        <v>20287</v>
      </c>
      <c r="I3495" t="s">
        <v>1357</v>
      </c>
      <c r="J3495" t="s">
        <v>1357</v>
      </c>
      <c r="K3495" t="s">
        <v>1357</v>
      </c>
      <c r="L3495" t="s">
        <v>1357</v>
      </c>
    </row>
    <row r="3496" spans="6:12">
      <c r="H3496" t="s">
        <v>20288</v>
      </c>
      <c r="I3496" t="s">
        <v>1357</v>
      </c>
      <c r="J3496" t="s">
        <v>1357</v>
      </c>
      <c r="K3496" t="s">
        <v>1357</v>
      </c>
      <c r="L3496" t="s">
        <v>1357</v>
      </c>
    </row>
    <row r="3497" spans="6:12">
      <c r="F3497" t="s">
        <v>15012</v>
      </c>
      <c r="G3497" t="s">
        <v>17475</v>
      </c>
      <c r="H3497" t="s">
        <v>20280</v>
      </c>
      <c r="I3497" t="s">
        <v>1357</v>
      </c>
      <c r="J3497" t="s">
        <v>1357</v>
      </c>
      <c r="K3497" t="s">
        <v>1357</v>
      </c>
      <c r="L3497" t="s">
        <v>1357</v>
      </c>
    </row>
    <row r="3498" spans="6:12">
      <c r="H3498" t="s">
        <v>20233</v>
      </c>
      <c r="I3498" t="s">
        <v>1357</v>
      </c>
      <c r="J3498" t="s">
        <v>1357</v>
      </c>
      <c r="K3498" t="s">
        <v>1357</v>
      </c>
      <c r="L3498" t="s">
        <v>1357</v>
      </c>
    </row>
    <row r="3499" spans="6:12">
      <c r="H3499" t="s">
        <v>20230</v>
      </c>
      <c r="I3499" t="s">
        <v>1357</v>
      </c>
      <c r="J3499" t="s">
        <v>1357</v>
      </c>
      <c r="K3499" t="s">
        <v>1357</v>
      </c>
      <c r="L3499" t="s">
        <v>1357</v>
      </c>
    </row>
    <row r="3500" spans="6:12">
      <c r="H3500" t="s">
        <v>20227</v>
      </c>
      <c r="I3500" t="s">
        <v>1357</v>
      </c>
      <c r="J3500" t="s">
        <v>1357</v>
      </c>
      <c r="K3500" t="s">
        <v>1357</v>
      </c>
      <c r="L3500" t="s">
        <v>1357</v>
      </c>
    </row>
    <row r="3501" spans="6:12">
      <c r="H3501" t="s">
        <v>20296</v>
      </c>
      <c r="I3501" t="s">
        <v>1357</v>
      </c>
      <c r="J3501" t="s">
        <v>1357</v>
      </c>
      <c r="K3501" t="s">
        <v>1357</v>
      </c>
      <c r="L3501" t="s">
        <v>1357</v>
      </c>
    </row>
    <row r="3502" spans="6:12">
      <c r="H3502" t="s">
        <v>20297</v>
      </c>
      <c r="I3502" t="s">
        <v>1357</v>
      </c>
      <c r="J3502" t="s">
        <v>1357</v>
      </c>
      <c r="K3502" t="s">
        <v>1357</v>
      </c>
      <c r="L3502" t="s">
        <v>1357</v>
      </c>
    </row>
    <row r="3503" spans="6:12">
      <c r="H3503" t="s">
        <v>20234</v>
      </c>
      <c r="I3503" t="s">
        <v>1357</v>
      </c>
      <c r="J3503" t="s">
        <v>1357</v>
      </c>
      <c r="K3503" t="s">
        <v>1357</v>
      </c>
      <c r="L3503" t="s">
        <v>1357</v>
      </c>
    </row>
    <row r="3504" spans="6:12">
      <c r="H3504" t="s">
        <v>20235</v>
      </c>
      <c r="I3504" t="s">
        <v>1357</v>
      </c>
      <c r="J3504" t="s">
        <v>1357</v>
      </c>
      <c r="K3504" t="s">
        <v>1357</v>
      </c>
      <c r="L3504" t="s">
        <v>1357</v>
      </c>
    </row>
    <row r="3505" spans="6:12">
      <c r="H3505" t="s">
        <v>20298</v>
      </c>
      <c r="I3505" t="s">
        <v>1357</v>
      </c>
      <c r="J3505" t="s">
        <v>1357</v>
      </c>
      <c r="K3505" t="s">
        <v>1357</v>
      </c>
      <c r="L3505" t="s">
        <v>1357</v>
      </c>
    </row>
    <row r="3506" spans="6:12">
      <c r="H3506" t="s">
        <v>20299</v>
      </c>
      <c r="I3506" t="s">
        <v>1357</v>
      </c>
      <c r="J3506" t="s">
        <v>1357</v>
      </c>
      <c r="K3506" t="s">
        <v>1357</v>
      </c>
      <c r="L3506" t="s">
        <v>1357</v>
      </c>
    </row>
    <row r="3507" spans="6:12">
      <c r="H3507" t="s">
        <v>20285</v>
      </c>
      <c r="I3507" t="s">
        <v>1357</v>
      </c>
      <c r="J3507" t="s">
        <v>1357</v>
      </c>
      <c r="K3507" t="s">
        <v>1357</v>
      </c>
      <c r="L3507" t="s">
        <v>1357</v>
      </c>
    </row>
    <row r="3508" spans="6:12">
      <c r="H3508" t="s">
        <v>20286</v>
      </c>
      <c r="I3508" t="s">
        <v>1357</v>
      </c>
      <c r="J3508" t="s">
        <v>1357</v>
      </c>
      <c r="K3508" t="s">
        <v>1357</v>
      </c>
      <c r="L3508" t="s">
        <v>1357</v>
      </c>
    </row>
    <row r="3509" spans="6:12">
      <c r="H3509" t="s">
        <v>20287</v>
      </c>
      <c r="I3509" t="s">
        <v>1357</v>
      </c>
      <c r="J3509" t="s">
        <v>1357</v>
      </c>
      <c r="K3509" t="s">
        <v>1357</v>
      </c>
      <c r="L3509" t="s">
        <v>1357</v>
      </c>
    </row>
    <row r="3510" spans="6:12">
      <c r="H3510" t="s">
        <v>20288</v>
      </c>
      <c r="I3510" t="s">
        <v>1357</v>
      </c>
      <c r="J3510" t="s">
        <v>1357</v>
      </c>
      <c r="K3510" t="s">
        <v>1357</v>
      </c>
      <c r="L3510" t="s">
        <v>1357</v>
      </c>
    </row>
    <row r="3511" spans="6:12">
      <c r="F3511" t="s">
        <v>15013</v>
      </c>
      <c r="G3511" t="s">
        <v>17476</v>
      </c>
      <c r="H3511" t="s">
        <v>20280</v>
      </c>
      <c r="I3511" t="s">
        <v>1357</v>
      </c>
      <c r="J3511" t="s">
        <v>1357</v>
      </c>
      <c r="K3511" t="s">
        <v>1357</v>
      </c>
      <c r="L3511" t="s">
        <v>1357</v>
      </c>
    </row>
    <row r="3512" spans="6:12">
      <c r="H3512" t="s">
        <v>20233</v>
      </c>
      <c r="I3512" t="s">
        <v>1357</v>
      </c>
      <c r="J3512" t="s">
        <v>1357</v>
      </c>
      <c r="K3512" t="s">
        <v>1357</v>
      </c>
      <c r="L3512" t="s">
        <v>1357</v>
      </c>
    </row>
    <row r="3513" spans="6:12">
      <c r="H3513" t="s">
        <v>20230</v>
      </c>
      <c r="I3513" t="s">
        <v>1357</v>
      </c>
      <c r="J3513" t="s">
        <v>1357</v>
      </c>
      <c r="K3513" t="s">
        <v>1357</v>
      </c>
      <c r="L3513" t="s">
        <v>1357</v>
      </c>
    </row>
    <row r="3514" spans="6:12">
      <c r="H3514" t="s">
        <v>20227</v>
      </c>
      <c r="I3514" t="s">
        <v>1357</v>
      </c>
      <c r="J3514" t="s">
        <v>1357</v>
      </c>
      <c r="K3514" t="s">
        <v>1357</v>
      </c>
      <c r="L3514" t="s">
        <v>1357</v>
      </c>
    </row>
    <row r="3515" spans="6:12">
      <c r="H3515" t="s">
        <v>20296</v>
      </c>
      <c r="I3515" t="s">
        <v>1357</v>
      </c>
      <c r="J3515" t="s">
        <v>1357</v>
      </c>
      <c r="K3515" t="s">
        <v>1357</v>
      </c>
      <c r="L3515" t="s">
        <v>1357</v>
      </c>
    </row>
    <row r="3516" spans="6:12">
      <c r="H3516" t="s">
        <v>20297</v>
      </c>
      <c r="I3516" t="s">
        <v>1357</v>
      </c>
      <c r="J3516" t="s">
        <v>1357</v>
      </c>
      <c r="K3516" t="s">
        <v>1357</v>
      </c>
      <c r="L3516" t="s">
        <v>1357</v>
      </c>
    </row>
    <row r="3517" spans="6:12">
      <c r="H3517" t="s">
        <v>20234</v>
      </c>
      <c r="I3517" t="s">
        <v>1357</v>
      </c>
      <c r="J3517" t="s">
        <v>1357</v>
      </c>
      <c r="K3517" t="s">
        <v>1357</v>
      </c>
      <c r="L3517" t="s">
        <v>1357</v>
      </c>
    </row>
    <row r="3518" spans="6:12">
      <c r="H3518" t="s">
        <v>20235</v>
      </c>
      <c r="I3518" t="s">
        <v>1357</v>
      </c>
      <c r="J3518" t="s">
        <v>1357</v>
      </c>
      <c r="K3518" t="s">
        <v>1357</v>
      </c>
      <c r="L3518" t="s">
        <v>1357</v>
      </c>
    </row>
    <row r="3519" spans="6:12">
      <c r="H3519" t="s">
        <v>20298</v>
      </c>
      <c r="I3519" t="s">
        <v>1357</v>
      </c>
      <c r="J3519" t="s">
        <v>1357</v>
      </c>
      <c r="K3519" t="s">
        <v>1357</v>
      </c>
      <c r="L3519" t="s">
        <v>1357</v>
      </c>
    </row>
    <row r="3520" spans="6:12">
      <c r="H3520" t="s">
        <v>20299</v>
      </c>
      <c r="I3520" t="s">
        <v>1357</v>
      </c>
      <c r="J3520" t="s">
        <v>1357</v>
      </c>
      <c r="K3520" t="s">
        <v>1357</v>
      </c>
      <c r="L3520" t="s">
        <v>1357</v>
      </c>
    </row>
    <row r="3521" spans="6:12">
      <c r="H3521" t="s">
        <v>20284</v>
      </c>
      <c r="I3521" t="s">
        <v>1357</v>
      </c>
      <c r="J3521" t="s">
        <v>1357</v>
      </c>
      <c r="K3521" t="s">
        <v>1357</v>
      </c>
      <c r="L3521" t="s">
        <v>1357</v>
      </c>
    </row>
    <row r="3522" spans="6:12">
      <c r="H3522" t="s">
        <v>20285</v>
      </c>
      <c r="I3522" t="s">
        <v>1357</v>
      </c>
      <c r="J3522" t="s">
        <v>1357</v>
      </c>
      <c r="K3522" t="s">
        <v>1357</v>
      </c>
      <c r="L3522" t="s">
        <v>1357</v>
      </c>
    </row>
    <row r="3523" spans="6:12">
      <c r="H3523" t="s">
        <v>20286</v>
      </c>
      <c r="I3523" t="s">
        <v>1357</v>
      </c>
      <c r="J3523" t="s">
        <v>1357</v>
      </c>
      <c r="K3523" t="s">
        <v>1357</v>
      </c>
      <c r="L3523" t="s">
        <v>1357</v>
      </c>
    </row>
    <row r="3524" spans="6:12">
      <c r="H3524" t="s">
        <v>20287</v>
      </c>
      <c r="I3524" t="s">
        <v>1357</v>
      </c>
      <c r="J3524" t="s">
        <v>1357</v>
      </c>
      <c r="K3524" t="s">
        <v>1357</v>
      </c>
      <c r="L3524" t="s">
        <v>1357</v>
      </c>
    </row>
    <row r="3525" spans="6:12">
      <c r="H3525" t="s">
        <v>20288</v>
      </c>
      <c r="I3525" t="s">
        <v>1357</v>
      </c>
      <c r="J3525" t="s">
        <v>1357</v>
      </c>
      <c r="K3525" t="s">
        <v>1357</v>
      </c>
      <c r="L3525" t="s">
        <v>1357</v>
      </c>
    </row>
    <row r="3526" spans="6:12">
      <c r="H3526" t="s">
        <v>20289</v>
      </c>
      <c r="I3526" t="s">
        <v>1357</v>
      </c>
      <c r="J3526" t="s">
        <v>1357</v>
      </c>
      <c r="K3526" t="s">
        <v>1357</v>
      </c>
      <c r="L3526" t="s">
        <v>1357</v>
      </c>
    </row>
    <row r="3527" spans="6:12">
      <c r="F3527" t="s">
        <v>15014</v>
      </c>
      <c r="G3527" t="s">
        <v>17807</v>
      </c>
      <c r="H3527" t="s">
        <v>20280</v>
      </c>
      <c r="I3527" t="s">
        <v>1357</v>
      </c>
      <c r="J3527" t="s">
        <v>1357</v>
      </c>
      <c r="K3527" t="s">
        <v>1357</v>
      </c>
      <c r="L3527" t="s">
        <v>1357</v>
      </c>
    </row>
    <row r="3528" spans="6:12">
      <c r="H3528" t="s">
        <v>20284</v>
      </c>
      <c r="I3528" t="s">
        <v>1357</v>
      </c>
      <c r="J3528" t="s">
        <v>1357</v>
      </c>
      <c r="K3528" t="s">
        <v>1357</v>
      </c>
      <c r="L3528" t="s">
        <v>1357</v>
      </c>
    </row>
    <row r="3529" spans="6:12">
      <c r="H3529" t="s">
        <v>20285</v>
      </c>
      <c r="I3529" t="s">
        <v>1357</v>
      </c>
      <c r="J3529" t="s">
        <v>1357</v>
      </c>
      <c r="K3529" t="s">
        <v>1357</v>
      </c>
      <c r="L3529" t="s">
        <v>1357</v>
      </c>
    </row>
    <row r="3530" spans="6:12">
      <c r="H3530" t="s">
        <v>20286</v>
      </c>
      <c r="I3530" t="s">
        <v>1357</v>
      </c>
      <c r="J3530" t="s">
        <v>1357</v>
      </c>
      <c r="K3530" t="s">
        <v>1357</v>
      </c>
      <c r="L3530" t="s">
        <v>1357</v>
      </c>
    </row>
    <row r="3531" spans="6:12">
      <c r="F3531" t="s">
        <v>15015</v>
      </c>
      <c r="G3531" t="s">
        <v>17808</v>
      </c>
      <c r="H3531" t="s">
        <v>20280</v>
      </c>
      <c r="I3531" t="s">
        <v>1357</v>
      </c>
      <c r="J3531" t="s">
        <v>1357</v>
      </c>
      <c r="K3531" t="s">
        <v>1357</v>
      </c>
      <c r="L3531" t="s">
        <v>1357</v>
      </c>
    </row>
    <row r="3532" spans="6:12">
      <c r="H3532" t="s">
        <v>20284</v>
      </c>
      <c r="I3532" t="s">
        <v>1357</v>
      </c>
      <c r="J3532" t="s">
        <v>1357</v>
      </c>
      <c r="K3532" t="s">
        <v>1357</v>
      </c>
      <c r="L3532" t="s">
        <v>1357</v>
      </c>
    </row>
    <row r="3533" spans="6:12">
      <c r="H3533" t="s">
        <v>20285</v>
      </c>
      <c r="I3533" t="s">
        <v>1357</v>
      </c>
      <c r="J3533" t="s">
        <v>1357</v>
      </c>
      <c r="K3533" t="s">
        <v>1357</v>
      </c>
      <c r="L3533" t="s">
        <v>1357</v>
      </c>
    </row>
    <row r="3534" spans="6:12">
      <c r="H3534" t="s">
        <v>20286</v>
      </c>
      <c r="I3534" t="s">
        <v>1357</v>
      </c>
      <c r="J3534" t="s">
        <v>1357</v>
      </c>
      <c r="K3534" t="s">
        <v>1357</v>
      </c>
      <c r="L3534" t="s">
        <v>1357</v>
      </c>
    </row>
    <row r="3535" spans="6:12">
      <c r="F3535" t="s">
        <v>15016</v>
      </c>
      <c r="G3535" t="s">
        <v>17477</v>
      </c>
      <c r="H3535" t="s">
        <v>20280</v>
      </c>
      <c r="I3535" t="s">
        <v>1357</v>
      </c>
      <c r="J3535" t="s">
        <v>1357</v>
      </c>
      <c r="K3535" t="s">
        <v>1357</v>
      </c>
      <c r="L3535" t="s">
        <v>1357</v>
      </c>
    </row>
    <row r="3536" spans="6:12">
      <c r="H3536" t="s">
        <v>20233</v>
      </c>
      <c r="I3536" t="s">
        <v>1357</v>
      </c>
      <c r="J3536" t="s">
        <v>1357</v>
      </c>
      <c r="K3536" t="s">
        <v>1357</v>
      </c>
      <c r="L3536" t="s">
        <v>1357</v>
      </c>
    </row>
    <row r="3537" spans="8:12">
      <c r="H3537" t="s">
        <v>20230</v>
      </c>
      <c r="I3537" t="s">
        <v>1357</v>
      </c>
      <c r="J3537" t="s">
        <v>1357</v>
      </c>
      <c r="K3537" t="s">
        <v>1357</v>
      </c>
      <c r="L3537" t="s">
        <v>1357</v>
      </c>
    </row>
    <row r="3538" spans="8:12">
      <c r="H3538" t="s">
        <v>20227</v>
      </c>
      <c r="I3538" t="s">
        <v>1357</v>
      </c>
      <c r="J3538" t="s">
        <v>1357</v>
      </c>
      <c r="K3538" t="s">
        <v>1357</v>
      </c>
      <c r="L3538" t="s">
        <v>1357</v>
      </c>
    </row>
    <row r="3539" spans="8:12">
      <c r="H3539" t="s">
        <v>20228</v>
      </c>
      <c r="I3539" t="s">
        <v>1357</v>
      </c>
      <c r="J3539" t="s">
        <v>1357</v>
      </c>
      <c r="K3539" t="s">
        <v>1357</v>
      </c>
      <c r="L3539" t="s">
        <v>1357</v>
      </c>
    </row>
    <row r="3540" spans="8:12">
      <c r="H3540" t="s">
        <v>20232</v>
      </c>
      <c r="I3540" t="s">
        <v>1357</v>
      </c>
      <c r="J3540" t="s">
        <v>1357</v>
      </c>
      <c r="K3540" t="s">
        <v>1357</v>
      </c>
      <c r="L3540" t="s">
        <v>1357</v>
      </c>
    </row>
    <row r="3541" spans="8:12">
      <c r="H3541" t="s">
        <v>20229</v>
      </c>
      <c r="I3541" t="s">
        <v>1357</v>
      </c>
      <c r="J3541" t="s">
        <v>1357</v>
      </c>
      <c r="K3541" t="s">
        <v>1357</v>
      </c>
      <c r="L3541" t="s">
        <v>1357</v>
      </c>
    </row>
    <row r="3542" spans="8:12">
      <c r="H3542" t="s">
        <v>20296</v>
      </c>
      <c r="I3542" t="s">
        <v>1357</v>
      </c>
      <c r="J3542" t="s">
        <v>1357</v>
      </c>
      <c r="K3542" t="s">
        <v>1357</v>
      </c>
      <c r="L3542" t="s">
        <v>1357</v>
      </c>
    </row>
    <row r="3543" spans="8:12">
      <c r="H3543" t="s">
        <v>20297</v>
      </c>
      <c r="I3543" t="s">
        <v>1357</v>
      </c>
      <c r="J3543" t="s">
        <v>1357</v>
      </c>
      <c r="K3543" t="s">
        <v>1357</v>
      </c>
      <c r="L3543" t="s">
        <v>1357</v>
      </c>
    </row>
    <row r="3544" spans="8:12">
      <c r="H3544" t="s">
        <v>20234</v>
      </c>
      <c r="I3544" t="s">
        <v>1357</v>
      </c>
      <c r="J3544" t="s">
        <v>1357</v>
      </c>
      <c r="K3544" t="s">
        <v>1357</v>
      </c>
      <c r="L3544" t="s">
        <v>1357</v>
      </c>
    </row>
    <row r="3545" spans="8:12">
      <c r="H3545" t="s">
        <v>20235</v>
      </c>
      <c r="I3545" t="s">
        <v>1357</v>
      </c>
      <c r="J3545" t="s">
        <v>1357</v>
      </c>
      <c r="K3545" t="s">
        <v>1357</v>
      </c>
      <c r="L3545" t="s">
        <v>1357</v>
      </c>
    </row>
    <row r="3546" spans="8:12">
      <c r="H3546" t="s">
        <v>20298</v>
      </c>
      <c r="I3546" t="s">
        <v>1357</v>
      </c>
      <c r="J3546" t="s">
        <v>1357</v>
      </c>
      <c r="K3546" t="s">
        <v>1357</v>
      </c>
      <c r="L3546" t="s">
        <v>1357</v>
      </c>
    </row>
    <row r="3547" spans="8:12">
      <c r="H3547" t="s">
        <v>20284</v>
      </c>
      <c r="I3547" t="s">
        <v>1357</v>
      </c>
      <c r="J3547" t="s">
        <v>1357</v>
      </c>
      <c r="K3547" t="s">
        <v>1357</v>
      </c>
      <c r="L3547" t="s">
        <v>1357</v>
      </c>
    </row>
    <row r="3548" spans="8:12">
      <c r="H3548" t="s">
        <v>20285</v>
      </c>
      <c r="I3548" t="s">
        <v>1357</v>
      </c>
      <c r="J3548" t="s">
        <v>1357</v>
      </c>
      <c r="K3548" t="s">
        <v>1357</v>
      </c>
      <c r="L3548" t="s">
        <v>1357</v>
      </c>
    </row>
    <row r="3549" spans="8:12">
      <c r="H3549" t="s">
        <v>20286</v>
      </c>
      <c r="I3549" t="s">
        <v>1357</v>
      </c>
      <c r="J3549" t="s">
        <v>1357</v>
      </c>
      <c r="K3549" t="s">
        <v>1357</v>
      </c>
      <c r="L3549" t="s">
        <v>1357</v>
      </c>
    </row>
    <row r="3550" spans="8:12">
      <c r="H3550" t="s">
        <v>20287</v>
      </c>
      <c r="I3550" t="s">
        <v>1357</v>
      </c>
      <c r="J3550" t="s">
        <v>1357</v>
      </c>
      <c r="K3550" t="s">
        <v>1357</v>
      </c>
      <c r="L3550" t="s">
        <v>1357</v>
      </c>
    </row>
    <row r="3551" spans="8:12">
      <c r="H3551" t="s">
        <v>20288</v>
      </c>
      <c r="I3551" t="s">
        <v>1357</v>
      </c>
      <c r="J3551" t="s">
        <v>1357</v>
      </c>
      <c r="K3551" t="s">
        <v>1357</v>
      </c>
      <c r="L3551" t="s">
        <v>1357</v>
      </c>
    </row>
    <row r="3552" spans="8:12">
      <c r="H3552" t="s">
        <v>20289</v>
      </c>
      <c r="I3552" t="s">
        <v>1357</v>
      </c>
      <c r="J3552" t="s">
        <v>1357</v>
      </c>
      <c r="K3552" t="s">
        <v>1357</v>
      </c>
      <c r="L3552" t="s">
        <v>1357</v>
      </c>
    </row>
    <row r="3553" spans="6:12">
      <c r="H3553" t="s">
        <v>20290</v>
      </c>
      <c r="I3553" t="s">
        <v>1357</v>
      </c>
      <c r="J3553" t="s">
        <v>1357</v>
      </c>
      <c r="K3553" t="s">
        <v>1357</v>
      </c>
      <c r="L3553" t="s">
        <v>1357</v>
      </c>
    </row>
    <row r="3554" spans="6:12">
      <c r="F3554" t="s">
        <v>15017</v>
      </c>
      <c r="G3554" t="s">
        <v>17478</v>
      </c>
      <c r="H3554" t="s">
        <v>20280</v>
      </c>
      <c r="I3554" t="s">
        <v>1357</v>
      </c>
      <c r="J3554" t="s">
        <v>1357</v>
      </c>
      <c r="K3554" t="s">
        <v>1357</v>
      </c>
      <c r="L3554" t="s">
        <v>1357</v>
      </c>
    </row>
    <row r="3555" spans="6:12">
      <c r="H3555" t="s">
        <v>20233</v>
      </c>
      <c r="I3555" t="s">
        <v>1357</v>
      </c>
      <c r="J3555" t="s">
        <v>1357</v>
      </c>
      <c r="K3555" t="s">
        <v>1357</v>
      </c>
      <c r="L3555" t="s">
        <v>1357</v>
      </c>
    </row>
    <row r="3556" spans="6:12">
      <c r="H3556" t="s">
        <v>20230</v>
      </c>
      <c r="I3556" t="s">
        <v>1357</v>
      </c>
      <c r="J3556" t="s">
        <v>1357</v>
      </c>
      <c r="K3556" t="s">
        <v>1357</v>
      </c>
      <c r="L3556" t="s">
        <v>1357</v>
      </c>
    </row>
    <row r="3557" spans="6:12">
      <c r="H3557" t="s">
        <v>20296</v>
      </c>
      <c r="I3557" t="s">
        <v>1357</v>
      </c>
      <c r="J3557" t="s">
        <v>1357</v>
      </c>
      <c r="K3557" t="s">
        <v>1357</v>
      </c>
      <c r="L3557" t="s">
        <v>1357</v>
      </c>
    </row>
    <row r="3558" spans="6:12">
      <c r="H3558" t="s">
        <v>20297</v>
      </c>
      <c r="I3558" t="s">
        <v>1357</v>
      </c>
      <c r="J3558" t="s">
        <v>1357</v>
      </c>
      <c r="K3558" t="s">
        <v>1357</v>
      </c>
      <c r="L3558" t="s">
        <v>1357</v>
      </c>
    </row>
    <row r="3559" spans="6:12">
      <c r="H3559" t="s">
        <v>20234</v>
      </c>
      <c r="I3559" t="s">
        <v>1357</v>
      </c>
      <c r="J3559" t="s">
        <v>1357</v>
      </c>
      <c r="K3559" t="s">
        <v>1357</v>
      </c>
      <c r="L3559" t="s">
        <v>1357</v>
      </c>
    </row>
    <row r="3560" spans="6:12">
      <c r="H3560" t="s">
        <v>20235</v>
      </c>
      <c r="I3560" t="s">
        <v>1357</v>
      </c>
      <c r="J3560" t="s">
        <v>1357</v>
      </c>
      <c r="K3560" t="s">
        <v>1357</v>
      </c>
      <c r="L3560" t="s">
        <v>1357</v>
      </c>
    </row>
    <row r="3561" spans="6:12">
      <c r="H3561" t="s">
        <v>20298</v>
      </c>
      <c r="I3561" t="s">
        <v>1357</v>
      </c>
      <c r="J3561" t="s">
        <v>1357</v>
      </c>
      <c r="K3561" t="s">
        <v>1357</v>
      </c>
      <c r="L3561" t="s">
        <v>1357</v>
      </c>
    </row>
    <row r="3562" spans="6:12">
      <c r="H3562" t="s">
        <v>20299</v>
      </c>
      <c r="I3562" t="s">
        <v>1357</v>
      </c>
      <c r="J3562" t="s">
        <v>1357</v>
      </c>
      <c r="K3562" t="s">
        <v>1357</v>
      </c>
      <c r="L3562" t="s">
        <v>1357</v>
      </c>
    </row>
    <row r="3563" spans="6:12">
      <c r="H3563" t="s">
        <v>20284</v>
      </c>
      <c r="I3563" t="s">
        <v>1357</v>
      </c>
      <c r="J3563" t="s">
        <v>1357</v>
      </c>
      <c r="K3563" t="s">
        <v>1357</v>
      </c>
      <c r="L3563" t="s">
        <v>1357</v>
      </c>
    </row>
    <row r="3564" spans="6:12">
      <c r="H3564" t="s">
        <v>20285</v>
      </c>
      <c r="I3564" t="s">
        <v>1357</v>
      </c>
      <c r="J3564" t="s">
        <v>1357</v>
      </c>
      <c r="K3564" t="s">
        <v>1357</v>
      </c>
      <c r="L3564" t="s">
        <v>1357</v>
      </c>
    </row>
    <row r="3565" spans="6:12">
      <c r="H3565" t="s">
        <v>20286</v>
      </c>
      <c r="I3565" t="s">
        <v>1357</v>
      </c>
      <c r="J3565" t="s">
        <v>1357</v>
      </c>
      <c r="K3565" t="s">
        <v>1357</v>
      </c>
      <c r="L3565" t="s">
        <v>1357</v>
      </c>
    </row>
    <row r="3566" spans="6:12">
      <c r="H3566" t="s">
        <v>20287</v>
      </c>
      <c r="I3566" t="s">
        <v>1357</v>
      </c>
      <c r="J3566" t="s">
        <v>1357</v>
      </c>
      <c r="K3566" t="s">
        <v>1357</v>
      </c>
      <c r="L3566" t="s">
        <v>1357</v>
      </c>
    </row>
    <row r="3567" spans="6:12">
      <c r="H3567" t="s">
        <v>20288</v>
      </c>
      <c r="I3567" t="s">
        <v>1357</v>
      </c>
      <c r="J3567" t="s">
        <v>1357</v>
      </c>
      <c r="K3567" t="s">
        <v>1357</v>
      </c>
      <c r="L3567" t="s">
        <v>1357</v>
      </c>
    </row>
    <row r="3568" spans="6:12">
      <c r="H3568" t="s">
        <v>20289</v>
      </c>
      <c r="I3568" t="s">
        <v>1357</v>
      </c>
      <c r="J3568" t="s">
        <v>1357</v>
      </c>
      <c r="K3568" t="s">
        <v>1357</v>
      </c>
      <c r="L3568" t="s">
        <v>1357</v>
      </c>
    </row>
    <row r="3569" spans="6:12">
      <c r="F3569" t="s">
        <v>15018</v>
      </c>
      <c r="G3569" t="s">
        <v>17479</v>
      </c>
      <c r="H3569" t="s">
        <v>20280</v>
      </c>
      <c r="I3569" t="s">
        <v>1357</v>
      </c>
      <c r="J3569" t="s">
        <v>1357</v>
      </c>
      <c r="K3569" t="s">
        <v>1357</v>
      </c>
      <c r="L3569" t="s">
        <v>1357</v>
      </c>
    </row>
    <row r="3570" spans="6:12">
      <c r="H3570" t="s">
        <v>20233</v>
      </c>
      <c r="I3570" t="s">
        <v>1357</v>
      </c>
      <c r="J3570" t="s">
        <v>1357</v>
      </c>
      <c r="K3570" t="s">
        <v>1357</v>
      </c>
      <c r="L3570" t="s">
        <v>1357</v>
      </c>
    </row>
    <row r="3571" spans="6:12">
      <c r="H3571" t="s">
        <v>20230</v>
      </c>
      <c r="I3571" t="s">
        <v>1357</v>
      </c>
      <c r="J3571" t="s">
        <v>1357</v>
      </c>
      <c r="K3571" t="s">
        <v>1357</v>
      </c>
      <c r="L3571" t="s">
        <v>1357</v>
      </c>
    </row>
    <row r="3572" spans="6:12">
      <c r="H3572" t="s">
        <v>20227</v>
      </c>
      <c r="I3572" t="s">
        <v>1357</v>
      </c>
      <c r="J3572" t="s">
        <v>1357</v>
      </c>
      <c r="K3572" t="s">
        <v>1357</v>
      </c>
      <c r="L3572" t="s">
        <v>1357</v>
      </c>
    </row>
    <row r="3573" spans="6:12">
      <c r="H3573" t="s">
        <v>20296</v>
      </c>
      <c r="I3573" t="s">
        <v>1357</v>
      </c>
      <c r="J3573" t="s">
        <v>1357</v>
      </c>
      <c r="K3573" t="s">
        <v>1357</v>
      </c>
      <c r="L3573" t="s">
        <v>1357</v>
      </c>
    </row>
    <row r="3574" spans="6:12">
      <c r="H3574" t="s">
        <v>20297</v>
      </c>
      <c r="I3574" t="s">
        <v>1357</v>
      </c>
      <c r="J3574" t="s">
        <v>1357</v>
      </c>
      <c r="K3574" t="s">
        <v>1357</v>
      </c>
      <c r="L3574" t="s">
        <v>1357</v>
      </c>
    </row>
    <row r="3575" spans="6:12">
      <c r="H3575" t="s">
        <v>20234</v>
      </c>
      <c r="I3575" t="s">
        <v>1357</v>
      </c>
      <c r="J3575" t="s">
        <v>1357</v>
      </c>
      <c r="K3575" t="s">
        <v>1357</v>
      </c>
      <c r="L3575" t="s">
        <v>1357</v>
      </c>
    </row>
    <row r="3576" spans="6:12">
      <c r="H3576" t="s">
        <v>20235</v>
      </c>
      <c r="I3576" t="s">
        <v>1357</v>
      </c>
      <c r="J3576" t="s">
        <v>1357</v>
      </c>
      <c r="K3576" t="s">
        <v>1357</v>
      </c>
      <c r="L3576" t="s">
        <v>1357</v>
      </c>
    </row>
    <row r="3577" spans="6:12">
      <c r="H3577" t="s">
        <v>20298</v>
      </c>
      <c r="I3577" t="s">
        <v>1357</v>
      </c>
      <c r="J3577" t="s">
        <v>1357</v>
      </c>
      <c r="K3577" t="s">
        <v>1357</v>
      </c>
      <c r="L3577" t="s">
        <v>1357</v>
      </c>
    </row>
    <row r="3578" spans="6:12">
      <c r="H3578" t="s">
        <v>20284</v>
      </c>
      <c r="I3578" t="s">
        <v>1357</v>
      </c>
      <c r="J3578" t="s">
        <v>1357</v>
      </c>
      <c r="K3578" t="s">
        <v>1357</v>
      </c>
      <c r="L3578" t="s">
        <v>1357</v>
      </c>
    </row>
    <row r="3579" spans="6:12">
      <c r="H3579" t="s">
        <v>20285</v>
      </c>
      <c r="I3579" t="s">
        <v>1357</v>
      </c>
      <c r="J3579" t="s">
        <v>1357</v>
      </c>
      <c r="K3579" t="s">
        <v>1357</v>
      </c>
      <c r="L3579" t="s">
        <v>1357</v>
      </c>
    </row>
    <row r="3580" spans="6:12">
      <c r="H3580" t="s">
        <v>20286</v>
      </c>
      <c r="I3580" t="s">
        <v>1357</v>
      </c>
      <c r="J3580" t="s">
        <v>1357</v>
      </c>
      <c r="K3580" t="s">
        <v>1357</v>
      </c>
      <c r="L3580" t="s">
        <v>1357</v>
      </c>
    </row>
    <row r="3581" spans="6:12">
      <c r="H3581" t="s">
        <v>20287</v>
      </c>
      <c r="I3581" t="s">
        <v>1357</v>
      </c>
      <c r="J3581" t="s">
        <v>1357</v>
      </c>
      <c r="K3581" t="s">
        <v>1357</v>
      </c>
      <c r="L3581" t="s">
        <v>1357</v>
      </c>
    </row>
    <row r="3582" spans="6:12">
      <c r="H3582" t="s">
        <v>20289</v>
      </c>
      <c r="I3582" t="s">
        <v>1357</v>
      </c>
      <c r="J3582" t="s">
        <v>1357</v>
      </c>
      <c r="K3582" t="s">
        <v>1357</v>
      </c>
      <c r="L3582" t="s">
        <v>1357</v>
      </c>
    </row>
    <row r="3583" spans="6:12">
      <c r="H3583" t="s">
        <v>20290</v>
      </c>
      <c r="I3583" t="s">
        <v>1357</v>
      </c>
      <c r="J3583" t="s">
        <v>1357</v>
      </c>
      <c r="K3583" t="s">
        <v>1357</v>
      </c>
      <c r="L3583" t="s">
        <v>1357</v>
      </c>
    </row>
    <row r="3584" spans="6:12">
      <c r="H3584" t="s">
        <v>20291</v>
      </c>
      <c r="I3584" t="s">
        <v>1357</v>
      </c>
      <c r="J3584" t="s">
        <v>1357</v>
      </c>
      <c r="K3584" t="s">
        <v>1357</v>
      </c>
      <c r="L3584" t="s">
        <v>1357</v>
      </c>
    </row>
    <row r="3585" spans="6:12">
      <c r="F3585" t="s">
        <v>15019</v>
      </c>
      <c r="G3585" t="s">
        <v>17480</v>
      </c>
      <c r="H3585" t="s">
        <v>20280</v>
      </c>
      <c r="I3585" t="s">
        <v>1357</v>
      </c>
      <c r="J3585" t="s">
        <v>1357</v>
      </c>
      <c r="K3585" t="s">
        <v>1357</v>
      </c>
      <c r="L3585" t="s">
        <v>1357</v>
      </c>
    </row>
    <row r="3586" spans="6:12">
      <c r="H3586" t="s">
        <v>20233</v>
      </c>
      <c r="I3586" t="s">
        <v>1357</v>
      </c>
      <c r="J3586" t="s">
        <v>1357</v>
      </c>
      <c r="K3586" t="s">
        <v>1357</v>
      </c>
      <c r="L3586" t="s">
        <v>1357</v>
      </c>
    </row>
    <row r="3587" spans="6:12">
      <c r="H3587" t="s">
        <v>20230</v>
      </c>
      <c r="I3587" t="s">
        <v>1357</v>
      </c>
      <c r="J3587" t="s">
        <v>1357</v>
      </c>
      <c r="K3587" t="s">
        <v>1357</v>
      </c>
      <c r="L3587" t="s">
        <v>1357</v>
      </c>
    </row>
    <row r="3588" spans="6:12">
      <c r="H3588" t="s">
        <v>20296</v>
      </c>
      <c r="I3588" t="s">
        <v>1357</v>
      </c>
      <c r="J3588" t="s">
        <v>1357</v>
      </c>
      <c r="K3588" t="s">
        <v>1357</v>
      </c>
      <c r="L3588" t="s">
        <v>1357</v>
      </c>
    </row>
    <row r="3589" spans="6:12">
      <c r="H3589" t="s">
        <v>20297</v>
      </c>
      <c r="I3589" t="s">
        <v>1357</v>
      </c>
      <c r="J3589" t="s">
        <v>1357</v>
      </c>
      <c r="K3589" t="s">
        <v>1357</v>
      </c>
      <c r="L3589" t="s">
        <v>1357</v>
      </c>
    </row>
    <row r="3590" spans="6:12">
      <c r="H3590" t="s">
        <v>20234</v>
      </c>
      <c r="I3590" t="s">
        <v>1357</v>
      </c>
      <c r="J3590" t="s">
        <v>1357</v>
      </c>
      <c r="K3590" t="s">
        <v>1357</v>
      </c>
      <c r="L3590" t="s">
        <v>1357</v>
      </c>
    </row>
    <row r="3591" spans="6:12">
      <c r="H3591" t="s">
        <v>20284</v>
      </c>
      <c r="I3591" t="s">
        <v>1357</v>
      </c>
      <c r="J3591" t="s">
        <v>1357</v>
      </c>
      <c r="K3591" t="s">
        <v>1357</v>
      </c>
      <c r="L3591" t="s">
        <v>1357</v>
      </c>
    </row>
    <row r="3592" spans="6:12">
      <c r="H3592" t="s">
        <v>20285</v>
      </c>
      <c r="I3592" t="s">
        <v>1357</v>
      </c>
      <c r="J3592" t="s">
        <v>1357</v>
      </c>
      <c r="K3592" t="s">
        <v>1357</v>
      </c>
      <c r="L3592" t="s">
        <v>1357</v>
      </c>
    </row>
    <row r="3593" spans="6:12">
      <c r="H3593" t="s">
        <v>20286</v>
      </c>
      <c r="I3593" t="s">
        <v>1357</v>
      </c>
      <c r="J3593" t="s">
        <v>1357</v>
      </c>
      <c r="K3593" t="s">
        <v>1357</v>
      </c>
      <c r="L3593" t="s">
        <v>1357</v>
      </c>
    </row>
    <row r="3594" spans="6:12">
      <c r="H3594" t="s">
        <v>20287</v>
      </c>
      <c r="I3594" t="s">
        <v>1357</v>
      </c>
      <c r="J3594" t="s">
        <v>1357</v>
      </c>
      <c r="K3594" t="s">
        <v>1357</v>
      </c>
      <c r="L3594" t="s">
        <v>1357</v>
      </c>
    </row>
    <row r="3595" spans="6:12">
      <c r="H3595" t="s">
        <v>20288</v>
      </c>
      <c r="I3595" t="s">
        <v>1357</v>
      </c>
      <c r="J3595" t="s">
        <v>1357</v>
      </c>
      <c r="K3595" t="s">
        <v>1357</v>
      </c>
      <c r="L3595" t="s">
        <v>1357</v>
      </c>
    </row>
    <row r="3596" spans="6:12">
      <c r="H3596" t="s">
        <v>20289</v>
      </c>
      <c r="I3596" t="s">
        <v>1357</v>
      </c>
      <c r="J3596" t="s">
        <v>1357</v>
      </c>
      <c r="K3596" t="s">
        <v>1357</v>
      </c>
      <c r="L3596" t="s">
        <v>1357</v>
      </c>
    </row>
    <row r="3597" spans="6:12">
      <c r="H3597" t="s">
        <v>20290</v>
      </c>
      <c r="I3597" t="s">
        <v>1357</v>
      </c>
      <c r="J3597" t="s">
        <v>1357</v>
      </c>
      <c r="K3597" t="s">
        <v>1357</v>
      </c>
      <c r="L3597" t="s">
        <v>1357</v>
      </c>
    </row>
    <row r="3598" spans="6:12">
      <c r="F3598" t="s">
        <v>15020</v>
      </c>
      <c r="G3598" t="s">
        <v>17481</v>
      </c>
      <c r="H3598" t="s">
        <v>20280</v>
      </c>
      <c r="I3598" t="s">
        <v>1357</v>
      </c>
      <c r="J3598" t="s">
        <v>1357</v>
      </c>
      <c r="K3598" t="s">
        <v>1357</v>
      </c>
      <c r="L3598" t="s">
        <v>1357</v>
      </c>
    </row>
    <row r="3599" spans="6:12">
      <c r="H3599" t="s">
        <v>20233</v>
      </c>
      <c r="I3599" t="s">
        <v>1357</v>
      </c>
      <c r="J3599" t="s">
        <v>1357</v>
      </c>
      <c r="K3599" t="s">
        <v>1357</v>
      </c>
      <c r="L3599" t="s">
        <v>1357</v>
      </c>
    </row>
    <row r="3600" spans="6:12">
      <c r="H3600" t="s">
        <v>20230</v>
      </c>
      <c r="I3600" t="s">
        <v>1357</v>
      </c>
      <c r="J3600" t="s">
        <v>1357</v>
      </c>
      <c r="K3600" t="s">
        <v>1357</v>
      </c>
      <c r="L3600" t="s">
        <v>1357</v>
      </c>
    </row>
    <row r="3601" spans="6:12">
      <c r="H3601" t="s">
        <v>20227</v>
      </c>
      <c r="I3601" t="s">
        <v>1357</v>
      </c>
      <c r="J3601" t="s">
        <v>1357</v>
      </c>
      <c r="K3601" t="s">
        <v>1357</v>
      </c>
      <c r="L3601" t="s">
        <v>1357</v>
      </c>
    </row>
    <row r="3602" spans="6:12">
      <c r="H3602" t="s">
        <v>20296</v>
      </c>
      <c r="I3602" t="s">
        <v>1357</v>
      </c>
      <c r="J3602" t="s">
        <v>1357</v>
      </c>
      <c r="K3602" t="s">
        <v>1357</v>
      </c>
      <c r="L3602" t="s">
        <v>1357</v>
      </c>
    </row>
    <row r="3603" spans="6:12">
      <c r="H3603" t="s">
        <v>20297</v>
      </c>
      <c r="I3603" t="s">
        <v>1357</v>
      </c>
      <c r="J3603" t="s">
        <v>1357</v>
      </c>
      <c r="K3603" t="s">
        <v>1357</v>
      </c>
      <c r="L3603" t="s">
        <v>1357</v>
      </c>
    </row>
    <row r="3604" spans="6:12">
      <c r="H3604" t="s">
        <v>20234</v>
      </c>
      <c r="I3604" t="s">
        <v>1357</v>
      </c>
      <c r="J3604" t="s">
        <v>1357</v>
      </c>
      <c r="K3604" t="s">
        <v>1357</v>
      </c>
      <c r="L3604" t="s">
        <v>1357</v>
      </c>
    </row>
    <row r="3605" spans="6:12">
      <c r="H3605" t="s">
        <v>20235</v>
      </c>
      <c r="I3605" t="s">
        <v>1357</v>
      </c>
      <c r="J3605" t="s">
        <v>1357</v>
      </c>
      <c r="K3605" t="s">
        <v>1357</v>
      </c>
      <c r="L3605" t="s">
        <v>1357</v>
      </c>
    </row>
    <row r="3606" spans="6:12">
      <c r="H3606" t="s">
        <v>20298</v>
      </c>
      <c r="I3606" t="s">
        <v>1357</v>
      </c>
      <c r="J3606" t="s">
        <v>1357</v>
      </c>
      <c r="K3606" t="s">
        <v>1357</v>
      </c>
      <c r="L3606" t="s">
        <v>1357</v>
      </c>
    </row>
    <row r="3607" spans="6:12">
      <c r="H3607" t="s">
        <v>20284</v>
      </c>
      <c r="I3607" t="s">
        <v>1357</v>
      </c>
      <c r="J3607" t="s">
        <v>1357</v>
      </c>
      <c r="K3607" t="s">
        <v>1357</v>
      </c>
      <c r="L3607" t="s">
        <v>1357</v>
      </c>
    </row>
    <row r="3608" spans="6:12">
      <c r="H3608" t="s">
        <v>20285</v>
      </c>
      <c r="I3608" t="s">
        <v>1357</v>
      </c>
      <c r="J3608" t="s">
        <v>1357</v>
      </c>
      <c r="K3608" t="s">
        <v>1357</v>
      </c>
      <c r="L3608" t="s">
        <v>1357</v>
      </c>
    </row>
    <row r="3609" spans="6:12">
      <c r="H3609" t="s">
        <v>20286</v>
      </c>
      <c r="I3609" t="s">
        <v>1357</v>
      </c>
      <c r="J3609" t="s">
        <v>1357</v>
      </c>
      <c r="K3609" t="s">
        <v>1357</v>
      </c>
      <c r="L3609" t="s">
        <v>1357</v>
      </c>
    </row>
    <row r="3610" spans="6:12">
      <c r="H3610" t="s">
        <v>20287</v>
      </c>
      <c r="I3610" t="s">
        <v>1357</v>
      </c>
      <c r="J3610" t="s">
        <v>1357</v>
      </c>
      <c r="K3610" t="s">
        <v>1357</v>
      </c>
      <c r="L3610" t="s">
        <v>1357</v>
      </c>
    </row>
    <row r="3611" spans="6:12">
      <c r="H3611" t="s">
        <v>20288</v>
      </c>
      <c r="I3611" t="s">
        <v>1357</v>
      </c>
      <c r="J3611" t="s">
        <v>1357</v>
      </c>
      <c r="K3611" t="s">
        <v>1357</v>
      </c>
      <c r="L3611" t="s">
        <v>1357</v>
      </c>
    </row>
    <row r="3612" spans="6:12">
      <c r="H3612" t="s">
        <v>20289</v>
      </c>
      <c r="I3612" t="s">
        <v>1357</v>
      </c>
      <c r="J3612" t="s">
        <v>1357</v>
      </c>
      <c r="K3612" t="s">
        <v>1357</v>
      </c>
      <c r="L3612" t="s">
        <v>1357</v>
      </c>
    </row>
    <row r="3613" spans="6:12">
      <c r="H3613" t="s">
        <v>20290</v>
      </c>
      <c r="I3613" t="s">
        <v>1357</v>
      </c>
      <c r="J3613" t="s">
        <v>1357</v>
      </c>
      <c r="K3613" t="s">
        <v>1357</v>
      </c>
      <c r="L3613" t="s">
        <v>1357</v>
      </c>
    </row>
    <row r="3614" spans="6:12">
      <c r="F3614" t="s">
        <v>15021</v>
      </c>
      <c r="G3614" t="s">
        <v>17482</v>
      </c>
      <c r="H3614" t="s">
        <v>20280</v>
      </c>
      <c r="I3614" t="s">
        <v>1357</v>
      </c>
      <c r="J3614" t="s">
        <v>1357</v>
      </c>
      <c r="K3614" t="s">
        <v>1357</v>
      </c>
      <c r="L3614" t="s">
        <v>1357</v>
      </c>
    </row>
    <row r="3615" spans="6:12">
      <c r="H3615" t="s">
        <v>20233</v>
      </c>
      <c r="I3615" t="s">
        <v>1357</v>
      </c>
      <c r="J3615" t="s">
        <v>1357</v>
      </c>
      <c r="K3615" t="s">
        <v>1357</v>
      </c>
      <c r="L3615" t="s">
        <v>1357</v>
      </c>
    </row>
    <row r="3616" spans="6:12">
      <c r="H3616" t="s">
        <v>20230</v>
      </c>
      <c r="I3616" t="s">
        <v>1357</v>
      </c>
      <c r="J3616" t="s">
        <v>1357</v>
      </c>
      <c r="K3616" t="s">
        <v>1357</v>
      </c>
      <c r="L3616" t="s">
        <v>1357</v>
      </c>
    </row>
    <row r="3617" spans="6:12">
      <c r="H3617" t="s">
        <v>20296</v>
      </c>
      <c r="I3617" t="s">
        <v>1357</v>
      </c>
      <c r="J3617" t="s">
        <v>1357</v>
      </c>
      <c r="K3617" t="s">
        <v>1357</v>
      </c>
      <c r="L3617" t="s">
        <v>1357</v>
      </c>
    </row>
    <row r="3618" spans="6:12">
      <c r="H3618" t="s">
        <v>20297</v>
      </c>
      <c r="I3618" t="s">
        <v>1357</v>
      </c>
      <c r="J3618" t="s">
        <v>1357</v>
      </c>
      <c r="K3618" t="s">
        <v>1357</v>
      </c>
      <c r="L3618" t="s">
        <v>1357</v>
      </c>
    </row>
    <row r="3619" spans="6:12">
      <c r="H3619" t="s">
        <v>20234</v>
      </c>
      <c r="I3619" t="s">
        <v>1357</v>
      </c>
      <c r="J3619" t="s">
        <v>1357</v>
      </c>
      <c r="K3619" t="s">
        <v>1357</v>
      </c>
      <c r="L3619" t="s">
        <v>1357</v>
      </c>
    </row>
    <row r="3620" spans="6:12">
      <c r="H3620" t="s">
        <v>20284</v>
      </c>
      <c r="I3620" t="s">
        <v>1357</v>
      </c>
      <c r="J3620" t="s">
        <v>1357</v>
      </c>
      <c r="K3620" t="s">
        <v>1357</v>
      </c>
      <c r="L3620" t="s">
        <v>1357</v>
      </c>
    </row>
    <row r="3621" spans="6:12">
      <c r="H3621" t="s">
        <v>20285</v>
      </c>
      <c r="I3621" t="s">
        <v>1357</v>
      </c>
      <c r="J3621" t="s">
        <v>1357</v>
      </c>
      <c r="K3621" t="s">
        <v>1357</v>
      </c>
      <c r="L3621" t="s">
        <v>1357</v>
      </c>
    </row>
    <row r="3622" spans="6:12">
      <c r="H3622" t="s">
        <v>20286</v>
      </c>
      <c r="I3622" t="s">
        <v>1357</v>
      </c>
      <c r="J3622" t="s">
        <v>1357</v>
      </c>
      <c r="K3622" t="s">
        <v>1357</v>
      </c>
      <c r="L3622" t="s">
        <v>1357</v>
      </c>
    </row>
    <row r="3623" spans="6:12">
      <c r="H3623" t="s">
        <v>20287</v>
      </c>
      <c r="I3623" t="s">
        <v>1357</v>
      </c>
      <c r="J3623" t="s">
        <v>1357</v>
      </c>
      <c r="K3623" t="s">
        <v>1357</v>
      </c>
      <c r="L3623" t="s">
        <v>1357</v>
      </c>
    </row>
    <row r="3624" spans="6:12">
      <c r="H3624" t="s">
        <v>20288</v>
      </c>
      <c r="I3624" t="s">
        <v>1357</v>
      </c>
      <c r="J3624" t="s">
        <v>1357</v>
      </c>
      <c r="K3624" t="s">
        <v>1357</v>
      </c>
      <c r="L3624" t="s">
        <v>1357</v>
      </c>
    </row>
    <row r="3625" spans="6:12">
      <c r="H3625" t="s">
        <v>20289</v>
      </c>
      <c r="I3625" t="s">
        <v>1357</v>
      </c>
      <c r="J3625" t="s">
        <v>1357</v>
      </c>
      <c r="K3625" t="s">
        <v>1357</v>
      </c>
      <c r="L3625" t="s">
        <v>1357</v>
      </c>
    </row>
    <row r="3626" spans="6:12">
      <c r="H3626" t="s">
        <v>20290</v>
      </c>
      <c r="I3626" t="s">
        <v>1357</v>
      </c>
      <c r="J3626" t="s">
        <v>1357</v>
      </c>
      <c r="K3626" t="s">
        <v>1357</v>
      </c>
      <c r="L3626" t="s">
        <v>1357</v>
      </c>
    </row>
    <row r="3627" spans="6:12">
      <c r="F3627" t="s">
        <v>15022</v>
      </c>
      <c r="G3627" t="s">
        <v>17483</v>
      </c>
      <c r="H3627" t="s">
        <v>20280</v>
      </c>
      <c r="I3627" t="s">
        <v>1357</v>
      </c>
      <c r="J3627" t="s">
        <v>1357</v>
      </c>
      <c r="K3627" t="s">
        <v>1357</v>
      </c>
      <c r="L3627" t="s">
        <v>1357</v>
      </c>
    </row>
    <row r="3628" spans="6:12">
      <c r="H3628" t="s">
        <v>20233</v>
      </c>
      <c r="I3628" t="s">
        <v>1357</v>
      </c>
      <c r="J3628" t="s">
        <v>1357</v>
      </c>
      <c r="K3628" t="s">
        <v>1357</v>
      </c>
      <c r="L3628" t="s">
        <v>1357</v>
      </c>
    </row>
    <row r="3629" spans="6:12">
      <c r="H3629" t="s">
        <v>20230</v>
      </c>
      <c r="I3629" t="s">
        <v>1357</v>
      </c>
      <c r="J3629" t="s">
        <v>1357</v>
      </c>
      <c r="K3629" t="s">
        <v>1357</v>
      </c>
      <c r="L3629" t="s">
        <v>1357</v>
      </c>
    </row>
    <row r="3630" spans="6:12">
      <c r="H3630" t="s">
        <v>20227</v>
      </c>
      <c r="I3630" t="s">
        <v>1357</v>
      </c>
      <c r="J3630" t="s">
        <v>1357</v>
      </c>
      <c r="K3630" t="s">
        <v>1357</v>
      </c>
      <c r="L3630" t="s">
        <v>1357</v>
      </c>
    </row>
    <row r="3631" spans="6:12">
      <c r="H3631" t="s">
        <v>20296</v>
      </c>
      <c r="I3631" t="s">
        <v>1357</v>
      </c>
      <c r="J3631" t="s">
        <v>1357</v>
      </c>
      <c r="K3631" t="s">
        <v>1357</v>
      </c>
      <c r="L3631" t="s">
        <v>1357</v>
      </c>
    </row>
    <row r="3632" spans="6:12">
      <c r="H3632" t="s">
        <v>20297</v>
      </c>
      <c r="I3632" t="s">
        <v>1357</v>
      </c>
      <c r="J3632" t="s">
        <v>1357</v>
      </c>
      <c r="K3632" t="s">
        <v>1357</v>
      </c>
      <c r="L3632" t="s">
        <v>1357</v>
      </c>
    </row>
    <row r="3633" spans="6:12">
      <c r="H3633" t="s">
        <v>20234</v>
      </c>
      <c r="I3633" t="s">
        <v>1357</v>
      </c>
      <c r="J3633" t="s">
        <v>1357</v>
      </c>
      <c r="K3633" t="s">
        <v>1357</v>
      </c>
      <c r="L3633" t="s">
        <v>1357</v>
      </c>
    </row>
    <row r="3634" spans="6:12">
      <c r="H3634" t="s">
        <v>20235</v>
      </c>
      <c r="I3634" t="s">
        <v>1357</v>
      </c>
      <c r="J3634" t="s">
        <v>1357</v>
      </c>
      <c r="K3634" t="s">
        <v>1357</v>
      </c>
      <c r="L3634" t="s">
        <v>1357</v>
      </c>
    </row>
    <row r="3635" spans="6:12">
      <c r="H3635" t="s">
        <v>20298</v>
      </c>
      <c r="I3635" t="s">
        <v>1357</v>
      </c>
      <c r="J3635" t="s">
        <v>1357</v>
      </c>
      <c r="K3635" t="s">
        <v>1357</v>
      </c>
      <c r="L3635" t="s">
        <v>1357</v>
      </c>
    </row>
    <row r="3636" spans="6:12">
      <c r="H3636" t="s">
        <v>20284</v>
      </c>
      <c r="I3636" t="s">
        <v>1357</v>
      </c>
      <c r="J3636" t="s">
        <v>1357</v>
      </c>
      <c r="K3636" t="s">
        <v>1357</v>
      </c>
      <c r="L3636" t="s">
        <v>1357</v>
      </c>
    </row>
    <row r="3637" spans="6:12">
      <c r="H3637" t="s">
        <v>20285</v>
      </c>
      <c r="I3637" t="s">
        <v>1357</v>
      </c>
      <c r="J3637" t="s">
        <v>1357</v>
      </c>
      <c r="K3637" t="s">
        <v>1357</v>
      </c>
      <c r="L3637" t="s">
        <v>1357</v>
      </c>
    </row>
    <row r="3638" spans="6:12">
      <c r="H3638" t="s">
        <v>20286</v>
      </c>
      <c r="I3638" t="s">
        <v>1357</v>
      </c>
      <c r="J3638" t="s">
        <v>1357</v>
      </c>
      <c r="K3638" t="s">
        <v>1357</v>
      </c>
      <c r="L3638" t="s">
        <v>1357</v>
      </c>
    </row>
    <row r="3639" spans="6:12">
      <c r="H3639" t="s">
        <v>20287</v>
      </c>
      <c r="I3639" t="s">
        <v>1357</v>
      </c>
      <c r="J3639" t="s">
        <v>1357</v>
      </c>
      <c r="K3639" t="s">
        <v>1357</v>
      </c>
      <c r="L3639" t="s">
        <v>1357</v>
      </c>
    </row>
    <row r="3640" spans="6:12">
      <c r="H3640" t="s">
        <v>20288</v>
      </c>
      <c r="I3640" t="s">
        <v>1357</v>
      </c>
      <c r="J3640" t="s">
        <v>1357</v>
      </c>
      <c r="K3640" t="s">
        <v>1357</v>
      </c>
      <c r="L3640" t="s">
        <v>1357</v>
      </c>
    </row>
    <row r="3641" spans="6:12">
      <c r="H3641" t="s">
        <v>20289</v>
      </c>
      <c r="I3641" t="s">
        <v>1357</v>
      </c>
      <c r="J3641" t="s">
        <v>1357</v>
      </c>
      <c r="K3641" t="s">
        <v>1357</v>
      </c>
      <c r="L3641" t="s">
        <v>1357</v>
      </c>
    </row>
    <row r="3642" spans="6:12">
      <c r="H3642" t="s">
        <v>20290</v>
      </c>
      <c r="I3642" t="s">
        <v>1357</v>
      </c>
      <c r="J3642" t="s">
        <v>1357</v>
      </c>
      <c r="K3642" t="s">
        <v>1357</v>
      </c>
      <c r="L3642" t="s">
        <v>1357</v>
      </c>
    </row>
    <row r="3643" spans="6:12">
      <c r="F3643" t="s">
        <v>15023</v>
      </c>
      <c r="G3643" t="s">
        <v>17484</v>
      </c>
      <c r="H3643" t="s">
        <v>20280</v>
      </c>
      <c r="I3643" t="s">
        <v>1357</v>
      </c>
      <c r="J3643" t="s">
        <v>1357</v>
      </c>
      <c r="K3643" t="s">
        <v>1357</v>
      </c>
      <c r="L3643" t="s">
        <v>1357</v>
      </c>
    </row>
    <row r="3644" spans="6:12">
      <c r="H3644" t="s">
        <v>20233</v>
      </c>
      <c r="I3644" t="s">
        <v>1357</v>
      </c>
      <c r="J3644" t="s">
        <v>1357</v>
      </c>
      <c r="K3644" t="s">
        <v>1357</v>
      </c>
      <c r="L3644" t="s">
        <v>1357</v>
      </c>
    </row>
    <row r="3645" spans="6:12">
      <c r="H3645" t="s">
        <v>20230</v>
      </c>
      <c r="I3645" t="s">
        <v>1357</v>
      </c>
      <c r="J3645" t="s">
        <v>1357</v>
      </c>
      <c r="K3645" t="s">
        <v>1357</v>
      </c>
      <c r="L3645" t="s">
        <v>1357</v>
      </c>
    </row>
    <row r="3646" spans="6:12">
      <c r="H3646" t="s">
        <v>20296</v>
      </c>
      <c r="I3646" t="s">
        <v>1357</v>
      </c>
      <c r="J3646" t="s">
        <v>1357</v>
      </c>
      <c r="K3646" t="s">
        <v>1357</v>
      </c>
      <c r="L3646" t="s">
        <v>1357</v>
      </c>
    </row>
    <row r="3647" spans="6:12">
      <c r="H3647" t="s">
        <v>20297</v>
      </c>
      <c r="I3647" t="s">
        <v>1357</v>
      </c>
      <c r="J3647" t="s">
        <v>1357</v>
      </c>
      <c r="K3647" t="s">
        <v>1357</v>
      </c>
      <c r="L3647" t="s">
        <v>1357</v>
      </c>
    </row>
    <row r="3648" spans="6:12">
      <c r="H3648" t="s">
        <v>20234</v>
      </c>
      <c r="I3648" t="s">
        <v>1357</v>
      </c>
      <c r="J3648" t="s">
        <v>1357</v>
      </c>
      <c r="K3648" t="s">
        <v>1357</v>
      </c>
      <c r="L3648" t="s">
        <v>1357</v>
      </c>
    </row>
    <row r="3649" spans="6:12">
      <c r="H3649" t="s">
        <v>20284</v>
      </c>
      <c r="I3649" t="s">
        <v>1357</v>
      </c>
      <c r="J3649" t="s">
        <v>1357</v>
      </c>
      <c r="K3649" t="s">
        <v>1357</v>
      </c>
      <c r="L3649" t="s">
        <v>1357</v>
      </c>
    </row>
    <row r="3650" spans="6:12">
      <c r="H3650" t="s">
        <v>20285</v>
      </c>
      <c r="I3650" t="s">
        <v>1357</v>
      </c>
      <c r="J3650" t="s">
        <v>1357</v>
      </c>
      <c r="K3650" t="s">
        <v>1357</v>
      </c>
      <c r="L3650" t="s">
        <v>1357</v>
      </c>
    </row>
    <row r="3651" spans="6:12">
      <c r="H3651" t="s">
        <v>20286</v>
      </c>
      <c r="I3651" t="s">
        <v>1357</v>
      </c>
      <c r="J3651" t="s">
        <v>1357</v>
      </c>
      <c r="K3651" t="s">
        <v>1357</v>
      </c>
      <c r="L3651" t="s">
        <v>1357</v>
      </c>
    </row>
    <row r="3652" spans="6:12">
      <c r="H3652" t="s">
        <v>20287</v>
      </c>
      <c r="I3652" t="s">
        <v>1357</v>
      </c>
      <c r="J3652" t="s">
        <v>1357</v>
      </c>
      <c r="K3652" t="s">
        <v>1357</v>
      </c>
      <c r="L3652" t="s">
        <v>1357</v>
      </c>
    </row>
    <row r="3653" spans="6:12">
      <c r="H3653" t="s">
        <v>20288</v>
      </c>
      <c r="I3653" t="s">
        <v>1357</v>
      </c>
      <c r="J3653" t="s">
        <v>1357</v>
      </c>
      <c r="K3653" t="s">
        <v>1357</v>
      </c>
      <c r="L3653" t="s">
        <v>1357</v>
      </c>
    </row>
    <row r="3654" spans="6:12">
      <c r="H3654" t="s">
        <v>20289</v>
      </c>
      <c r="I3654" t="s">
        <v>1357</v>
      </c>
      <c r="J3654" t="s">
        <v>1357</v>
      </c>
      <c r="K3654" t="s">
        <v>1357</v>
      </c>
      <c r="L3654" t="s">
        <v>1357</v>
      </c>
    </row>
    <row r="3655" spans="6:12">
      <c r="H3655" t="s">
        <v>20290</v>
      </c>
      <c r="I3655" t="s">
        <v>1357</v>
      </c>
      <c r="J3655" t="s">
        <v>1357</v>
      </c>
      <c r="K3655" t="s">
        <v>1357</v>
      </c>
      <c r="L3655" t="s">
        <v>1357</v>
      </c>
    </row>
    <row r="3656" spans="6:12">
      <c r="F3656" t="s">
        <v>15024</v>
      </c>
      <c r="G3656" t="s">
        <v>17485</v>
      </c>
      <c r="H3656" t="s">
        <v>20280</v>
      </c>
      <c r="I3656" t="s">
        <v>1357</v>
      </c>
      <c r="J3656" t="s">
        <v>1357</v>
      </c>
      <c r="K3656" t="s">
        <v>1357</v>
      </c>
      <c r="L3656" t="s">
        <v>1357</v>
      </c>
    </row>
    <row r="3657" spans="6:12">
      <c r="H3657" t="s">
        <v>20233</v>
      </c>
      <c r="I3657" t="s">
        <v>1357</v>
      </c>
      <c r="J3657" t="s">
        <v>1357</v>
      </c>
      <c r="K3657" t="s">
        <v>1357</v>
      </c>
      <c r="L3657" t="s">
        <v>1357</v>
      </c>
    </row>
    <row r="3658" spans="6:12">
      <c r="H3658" t="s">
        <v>20230</v>
      </c>
      <c r="I3658" t="s">
        <v>1357</v>
      </c>
      <c r="J3658" t="s">
        <v>1357</v>
      </c>
      <c r="K3658" t="s">
        <v>1357</v>
      </c>
      <c r="L3658" t="s">
        <v>1357</v>
      </c>
    </row>
    <row r="3659" spans="6:12">
      <c r="H3659" t="s">
        <v>20227</v>
      </c>
      <c r="I3659" t="s">
        <v>1357</v>
      </c>
      <c r="J3659" t="s">
        <v>1357</v>
      </c>
      <c r="K3659" t="s">
        <v>1357</v>
      </c>
      <c r="L3659" t="s">
        <v>1357</v>
      </c>
    </row>
    <row r="3660" spans="6:12">
      <c r="H3660" t="s">
        <v>20296</v>
      </c>
      <c r="I3660" t="s">
        <v>1357</v>
      </c>
      <c r="J3660" t="s">
        <v>1357</v>
      </c>
      <c r="K3660" t="s">
        <v>1357</v>
      </c>
      <c r="L3660" t="s">
        <v>1357</v>
      </c>
    </row>
    <row r="3661" spans="6:12">
      <c r="H3661" t="s">
        <v>20297</v>
      </c>
      <c r="I3661" t="s">
        <v>1357</v>
      </c>
      <c r="J3661" t="s">
        <v>1357</v>
      </c>
      <c r="K3661" t="s">
        <v>1357</v>
      </c>
      <c r="L3661" t="s">
        <v>1357</v>
      </c>
    </row>
    <row r="3662" spans="6:12">
      <c r="H3662" t="s">
        <v>20234</v>
      </c>
      <c r="I3662" t="s">
        <v>1357</v>
      </c>
      <c r="J3662" t="s">
        <v>1357</v>
      </c>
      <c r="K3662" t="s">
        <v>1357</v>
      </c>
      <c r="L3662" t="s">
        <v>1357</v>
      </c>
    </row>
    <row r="3663" spans="6:12">
      <c r="H3663" t="s">
        <v>20235</v>
      </c>
      <c r="I3663" t="s">
        <v>1357</v>
      </c>
      <c r="J3663" t="s">
        <v>1357</v>
      </c>
      <c r="K3663" t="s">
        <v>1357</v>
      </c>
      <c r="L3663" t="s">
        <v>1357</v>
      </c>
    </row>
    <row r="3664" spans="6:12">
      <c r="H3664" t="s">
        <v>20298</v>
      </c>
      <c r="I3664" t="s">
        <v>1357</v>
      </c>
      <c r="J3664" t="s">
        <v>1357</v>
      </c>
      <c r="K3664" t="s">
        <v>1357</v>
      </c>
      <c r="L3664" t="s">
        <v>1357</v>
      </c>
    </row>
    <row r="3665" spans="6:12">
      <c r="H3665" t="s">
        <v>20284</v>
      </c>
      <c r="I3665" t="s">
        <v>1357</v>
      </c>
      <c r="J3665" t="s">
        <v>1357</v>
      </c>
      <c r="K3665" t="s">
        <v>1357</v>
      </c>
      <c r="L3665" t="s">
        <v>1357</v>
      </c>
    </row>
    <row r="3666" spans="6:12">
      <c r="H3666" t="s">
        <v>20285</v>
      </c>
      <c r="I3666" t="s">
        <v>1357</v>
      </c>
      <c r="J3666" t="s">
        <v>1357</v>
      </c>
      <c r="K3666" t="s">
        <v>1357</v>
      </c>
      <c r="L3666" t="s">
        <v>1357</v>
      </c>
    </row>
    <row r="3667" spans="6:12">
      <c r="H3667" t="s">
        <v>20286</v>
      </c>
      <c r="I3667" t="s">
        <v>1357</v>
      </c>
      <c r="J3667" t="s">
        <v>1357</v>
      </c>
      <c r="K3667" t="s">
        <v>1357</v>
      </c>
      <c r="L3667" t="s">
        <v>1357</v>
      </c>
    </row>
    <row r="3668" spans="6:12">
      <c r="H3668" t="s">
        <v>20287</v>
      </c>
      <c r="I3668" t="s">
        <v>1357</v>
      </c>
      <c r="J3668" t="s">
        <v>1357</v>
      </c>
      <c r="K3668" t="s">
        <v>1357</v>
      </c>
      <c r="L3668" t="s">
        <v>1357</v>
      </c>
    </row>
    <row r="3669" spans="6:12">
      <c r="H3669" t="s">
        <v>20288</v>
      </c>
      <c r="I3669" t="s">
        <v>1357</v>
      </c>
      <c r="J3669" t="s">
        <v>1357</v>
      </c>
      <c r="K3669" t="s">
        <v>1357</v>
      </c>
      <c r="L3669" t="s">
        <v>1357</v>
      </c>
    </row>
    <row r="3670" spans="6:12">
      <c r="H3670" t="s">
        <v>20289</v>
      </c>
      <c r="I3670" t="s">
        <v>1357</v>
      </c>
      <c r="J3670" t="s">
        <v>1357</v>
      </c>
      <c r="K3670" t="s">
        <v>1357</v>
      </c>
      <c r="L3670" t="s">
        <v>1357</v>
      </c>
    </row>
    <row r="3671" spans="6:12">
      <c r="H3671" t="s">
        <v>20290</v>
      </c>
      <c r="I3671" t="s">
        <v>1357</v>
      </c>
      <c r="J3671" t="s">
        <v>1357</v>
      </c>
      <c r="K3671" t="s">
        <v>1357</v>
      </c>
      <c r="L3671" t="s">
        <v>1357</v>
      </c>
    </row>
    <row r="3672" spans="6:12">
      <c r="F3672" t="s">
        <v>15025</v>
      </c>
      <c r="G3672" t="s">
        <v>17486</v>
      </c>
      <c r="H3672" t="s">
        <v>20280</v>
      </c>
      <c r="I3672" t="s">
        <v>1357</v>
      </c>
      <c r="J3672" t="s">
        <v>1357</v>
      </c>
      <c r="K3672" t="s">
        <v>1357</v>
      </c>
      <c r="L3672" t="s">
        <v>1357</v>
      </c>
    </row>
    <row r="3673" spans="6:12">
      <c r="H3673" t="s">
        <v>20233</v>
      </c>
      <c r="I3673" t="s">
        <v>1357</v>
      </c>
      <c r="J3673" t="s">
        <v>1357</v>
      </c>
      <c r="K3673" t="s">
        <v>1357</v>
      </c>
      <c r="L3673" t="s">
        <v>1357</v>
      </c>
    </row>
    <row r="3674" spans="6:12">
      <c r="H3674" t="s">
        <v>20230</v>
      </c>
      <c r="I3674" t="s">
        <v>1357</v>
      </c>
      <c r="J3674" t="s">
        <v>1357</v>
      </c>
      <c r="K3674" t="s">
        <v>1357</v>
      </c>
      <c r="L3674" t="s">
        <v>1357</v>
      </c>
    </row>
    <row r="3675" spans="6:12">
      <c r="H3675" t="s">
        <v>20296</v>
      </c>
      <c r="I3675" t="s">
        <v>1357</v>
      </c>
      <c r="J3675" t="s">
        <v>1357</v>
      </c>
      <c r="K3675" t="s">
        <v>1357</v>
      </c>
      <c r="L3675" t="s">
        <v>1357</v>
      </c>
    </row>
    <row r="3676" spans="6:12">
      <c r="H3676" t="s">
        <v>20297</v>
      </c>
      <c r="I3676" t="s">
        <v>1357</v>
      </c>
      <c r="J3676" t="s">
        <v>1357</v>
      </c>
      <c r="K3676" t="s">
        <v>1357</v>
      </c>
      <c r="L3676" t="s">
        <v>1357</v>
      </c>
    </row>
    <row r="3677" spans="6:12">
      <c r="H3677" t="s">
        <v>20234</v>
      </c>
      <c r="I3677" t="s">
        <v>1357</v>
      </c>
      <c r="J3677" t="s">
        <v>1357</v>
      </c>
      <c r="K3677" t="s">
        <v>1357</v>
      </c>
      <c r="L3677" t="s">
        <v>1357</v>
      </c>
    </row>
    <row r="3678" spans="6:12">
      <c r="H3678" t="s">
        <v>20284</v>
      </c>
      <c r="I3678" t="s">
        <v>1357</v>
      </c>
      <c r="J3678" t="s">
        <v>1357</v>
      </c>
      <c r="K3678" t="s">
        <v>1357</v>
      </c>
      <c r="L3678" t="s">
        <v>1357</v>
      </c>
    </row>
    <row r="3679" spans="6:12">
      <c r="H3679" t="s">
        <v>20285</v>
      </c>
      <c r="I3679" t="s">
        <v>1357</v>
      </c>
      <c r="J3679" t="s">
        <v>1357</v>
      </c>
      <c r="K3679" t="s">
        <v>1357</v>
      </c>
      <c r="L3679" t="s">
        <v>1357</v>
      </c>
    </row>
    <row r="3680" spans="6:12">
      <c r="H3680" t="s">
        <v>20286</v>
      </c>
      <c r="I3680" t="s">
        <v>1357</v>
      </c>
      <c r="J3680" t="s">
        <v>1357</v>
      </c>
      <c r="K3680" t="s">
        <v>1357</v>
      </c>
      <c r="L3680" t="s">
        <v>1357</v>
      </c>
    </row>
    <row r="3681" spans="6:12">
      <c r="H3681" t="s">
        <v>20287</v>
      </c>
      <c r="I3681" t="s">
        <v>1357</v>
      </c>
      <c r="J3681" t="s">
        <v>1357</v>
      </c>
      <c r="K3681" t="s">
        <v>1357</v>
      </c>
      <c r="L3681" t="s">
        <v>1357</v>
      </c>
    </row>
    <row r="3682" spans="6:12">
      <c r="H3682" t="s">
        <v>20288</v>
      </c>
      <c r="I3682" t="s">
        <v>1357</v>
      </c>
      <c r="J3682" t="s">
        <v>1357</v>
      </c>
      <c r="K3682" t="s">
        <v>1357</v>
      </c>
      <c r="L3682" t="s">
        <v>1357</v>
      </c>
    </row>
    <row r="3683" spans="6:12">
      <c r="H3683" t="s">
        <v>20289</v>
      </c>
      <c r="I3683" t="s">
        <v>1357</v>
      </c>
      <c r="J3683" t="s">
        <v>1357</v>
      </c>
      <c r="K3683" t="s">
        <v>1357</v>
      </c>
      <c r="L3683" t="s">
        <v>1357</v>
      </c>
    </row>
    <row r="3684" spans="6:12">
      <c r="H3684" t="s">
        <v>20290</v>
      </c>
      <c r="I3684" t="s">
        <v>1357</v>
      </c>
      <c r="J3684" t="s">
        <v>1357</v>
      </c>
      <c r="K3684" t="s">
        <v>1357</v>
      </c>
      <c r="L3684" t="s">
        <v>1357</v>
      </c>
    </row>
    <row r="3685" spans="6:12">
      <c r="F3685" t="s">
        <v>15026</v>
      </c>
      <c r="G3685" t="s">
        <v>17487</v>
      </c>
      <c r="H3685" t="s">
        <v>20280</v>
      </c>
      <c r="I3685" t="s">
        <v>1357</v>
      </c>
      <c r="J3685" t="s">
        <v>1357</v>
      </c>
      <c r="K3685" t="s">
        <v>1357</v>
      </c>
      <c r="L3685" t="s">
        <v>1357</v>
      </c>
    </row>
    <row r="3686" spans="6:12">
      <c r="H3686" t="s">
        <v>20233</v>
      </c>
      <c r="I3686" t="s">
        <v>1357</v>
      </c>
      <c r="J3686" t="s">
        <v>1357</v>
      </c>
      <c r="K3686" t="s">
        <v>1357</v>
      </c>
      <c r="L3686" t="s">
        <v>1357</v>
      </c>
    </row>
    <row r="3687" spans="6:12">
      <c r="H3687" t="s">
        <v>20230</v>
      </c>
      <c r="I3687" t="s">
        <v>1357</v>
      </c>
      <c r="J3687" t="s">
        <v>1357</v>
      </c>
      <c r="K3687" t="s">
        <v>1357</v>
      </c>
      <c r="L3687" t="s">
        <v>1357</v>
      </c>
    </row>
    <row r="3688" spans="6:12">
      <c r="H3688" t="s">
        <v>20227</v>
      </c>
      <c r="I3688" t="s">
        <v>1357</v>
      </c>
      <c r="J3688" t="s">
        <v>1357</v>
      </c>
      <c r="K3688" t="s">
        <v>1357</v>
      </c>
      <c r="L3688" t="s">
        <v>1357</v>
      </c>
    </row>
    <row r="3689" spans="6:12">
      <c r="H3689" t="s">
        <v>20228</v>
      </c>
      <c r="I3689" t="s">
        <v>1357</v>
      </c>
      <c r="J3689" t="s">
        <v>1357</v>
      </c>
      <c r="K3689" t="s">
        <v>1357</v>
      </c>
      <c r="L3689" t="s">
        <v>1357</v>
      </c>
    </row>
    <row r="3690" spans="6:12">
      <c r="H3690" t="s">
        <v>20232</v>
      </c>
      <c r="I3690" t="s">
        <v>1357</v>
      </c>
      <c r="J3690" t="s">
        <v>1357</v>
      </c>
      <c r="K3690" t="s">
        <v>1357</v>
      </c>
      <c r="L3690" t="s">
        <v>1357</v>
      </c>
    </row>
    <row r="3691" spans="6:12">
      <c r="H3691" t="s">
        <v>20229</v>
      </c>
      <c r="I3691" t="s">
        <v>1357</v>
      </c>
      <c r="J3691" t="s">
        <v>1357</v>
      </c>
      <c r="K3691" t="s">
        <v>1357</v>
      </c>
      <c r="L3691" t="s">
        <v>1357</v>
      </c>
    </row>
    <row r="3692" spans="6:12">
      <c r="H3692" t="s">
        <v>20296</v>
      </c>
      <c r="I3692" t="s">
        <v>1357</v>
      </c>
      <c r="J3692" t="s">
        <v>1357</v>
      </c>
      <c r="K3692" t="s">
        <v>1357</v>
      </c>
      <c r="L3692" t="s">
        <v>1357</v>
      </c>
    </row>
    <row r="3693" spans="6:12">
      <c r="H3693" t="s">
        <v>20297</v>
      </c>
      <c r="I3693" t="s">
        <v>1357</v>
      </c>
      <c r="J3693" t="s">
        <v>1357</v>
      </c>
      <c r="K3693" t="s">
        <v>1357</v>
      </c>
      <c r="L3693" t="s">
        <v>1357</v>
      </c>
    </row>
    <row r="3694" spans="6:12">
      <c r="H3694" t="s">
        <v>20234</v>
      </c>
      <c r="I3694" t="s">
        <v>1357</v>
      </c>
      <c r="J3694" t="s">
        <v>1357</v>
      </c>
      <c r="K3694" t="s">
        <v>1357</v>
      </c>
      <c r="L3694" t="s">
        <v>1357</v>
      </c>
    </row>
    <row r="3695" spans="6:12">
      <c r="H3695" t="s">
        <v>20235</v>
      </c>
      <c r="I3695" t="s">
        <v>1357</v>
      </c>
      <c r="J3695" t="s">
        <v>1357</v>
      </c>
      <c r="K3695" t="s">
        <v>1357</v>
      </c>
      <c r="L3695" t="s">
        <v>1357</v>
      </c>
    </row>
    <row r="3696" spans="6:12">
      <c r="H3696" t="s">
        <v>20298</v>
      </c>
      <c r="I3696" t="s">
        <v>1357</v>
      </c>
      <c r="J3696" t="s">
        <v>1357</v>
      </c>
      <c r="K3696" t="s">
        <v>1357</v>
      </c>
      <c r="L3696" t="s">
        <v>1357</v>
      </c>
    </row>
    <row r="3697" spans="6:12">
      <c r="H3697" t="s">
        <v>20284</v>
      </c>
      <c r="I3697" t="s">
        <v>1357</v>
      </c>
      <c r="J3697" t="s">
        <v>1357</v>
      </c>
      <c r="K3697" t="s">
        <v>1357</v>
      </c>
      <c r="L3697" t="s">
        <v>1357</v>
      </c>
    </row>
    <row r="3698" spans="6:12">
      <c r="H3698" t="s">
        <v>20285</v>
      </c>
      <c r="I3698" t="s">
        <v>1357</v>
      </c>
      <c r="J3698" t="s">
        <v>1357</v>
      </c>
      <c r="K3698" t="s">
        <v>1357</v>
      </c>
      <c r="L3698" t="s">
        <v>1357</v>
      </c>
    </row>
    <row r="3699" spans="6:12">
      <c r="H3699" t="s">
        <v>20286</v>
      </c>
      <c r="I3699" t="s">
        <v>1357</v>
      </c>
      <c r="J3699" t="s">
        <v>1357</v>
      </c>
      <c r="K3699" t="s">
        <v>1357</v>
      </c>
      <c r="L3699" t="s">
        <v>1357</v>
      </c>
    </row>
    <row r="3700" spans="6:12">
      <c r="H3700" t="s">
        <v>20287</v>
      </c>
      <c r="I3700" t="s">
        <v>1357</v>
      </c>
      <c r="J3700" t="s">
        <v>1357</v>
      </c>
      <c r="K3700" t="s">
        <v>1357</v>
      </c>
      <c r="L3700" t="s">
        <v>1357</v>
      </c>
    </row>
    <row r="3701" spans="6:12">
      <c r="H3701" t="s">
        <v>20288</v>
      </c>
      <c r="I3701" t="s">
        <v>1357</v>
      </c>
      <c r="J3701" t="s">
        <v>1357</v>
      </c>
      <c r="K3701" t="s">
        <v>1357</v>
      </c>
      <c r="L3701" t="s">
        <v>1357</v>
      </c>
    </row>
    <row r="3702" spans="6:12">
      <c r="H3702" t="s">
        <v>20289</v>
      </c>
      <c r="I3702" t="s">
        <v>1357</v>
      </c>
      <c r="J3702" t="s">
        <v>1357</v>
      </c>
      <c r="K3702" t="s">
        <v>1357</v>
      </c>
      <c r="L3702" t="s">
        <v>1357</v>
      </c>
    </row>
    <row r="3703" spans="6:12">
      <c r="H3703" t="s">
        <v>20290</v>
      </c>
      <c r="I3703" t="s">
        <v>1357</v>
      </c>
      <c r="J3703" t="s">
        <v>1357</v>
      </c>
      <c r="K3703" t="s">
        <v>1357</v>
      </c>
      <c r="L3703" t="s">
        <v>1357</v>
      </c>
    </row>
    <row r="3704" spans="6:12">
      <c r="F3704" t="s">
        <v>15027</v>
      </c>
      <c r="G3704" t="s">
        <v>17488</v>
      </c>
      <c r="H3704" t="s">
        <v>20280</v>
      </c>
      <c r="I3704" t="s">
        <v>1357</v>
      </c>
      <c r="J3704" t="s">
        <v>1357</v>
      </c>
      <c r="K3704" t="s">
        <v>1357</v>
      </c>
      <c r="L3704" t="s">
        <v>1357</v>
      </c>
    </row>
    <row r="3705" spans="6:12">
      <c r="H3705" t="s">
        <v>20233</v>
      </c>
      <c r="I3705" t="s">
        <v>1357</v>
      </c>
      <c r="J3705" t="s">
        <v>1357</v>
      </c>
      <c r="K3705" t="s">
        <v>1357</v>
      </c>
      <c r="L3705" t="s">
        <v>1357</v>
      </c>
    </row>
    <row r="3706" spans="6:12">
      <c r="H3706" t="s">
        <v>20230</v>
      </c>
      <c r="I3706" t="s">
        <v>1357</v>
      </c>
      <c r="J3706" t="s">
        <v>1357</v>
      </c>
      <c r="K3706" t="s">
        <v>1357</v>
      </c>
      <c r="L3706" t="s">
        <v>1357</v>
      </c>
    </row>
    <row r="3707" spans="6:12">
      <c r="H3707" t="s">
        <v>20227</v>
      </c>
      <c r="I3707" t="s">
        <v>1357</v>
      </c>
      <c r="J3707" t="s">
        <v>1357</v>
      </c>
      <c r="K3707" t="s">
        <v>1357</v>
      </c>
      <c r="L3707" t="s">
        <v>1357</v>
      </c>
    </row>
    <row r="3708" spans="6:12">
      <c r="H3708" t="s">
        <v>20296</v>
      </c>
      <c r="I3708" t="s">
        <v>1357</v>
      </c>
      <c r="J3708" t="s">
        <v>1357</v>
      </c>
      <c r="K3708" t="s">
        <v>1357</v>
      </c>
      <c r="L3708" t="s">
        <v>1357</v>
      </c>
    </row>
    <row r="3709" spans="6:12">
      <c r="H3709" t="s">
        <v>20297</v>
      </c>
      <c r="I3709" t="s">
        <v>1357</v>
      </c>
      <c r="J3709" t="s">
        <v>1357</v>
      </c>
      <c r="K3709" t="s">
        <v>1357</v>
      </c>
      <c r="L3709" t="s">
        <v>1357</v>
      </c>
    </row>
    <row r="3710" spans="6:12">
      <c r="H3710" t="s">
        <v>20234</v>
      </c>
      <c r="I3710" t="s">
        <v>1357</v>
      </c>
      <c r="J3710" t="s">
        <v>1357</v>
      </c>
      <c r="K3710" t="s">
        <v>1357</v>
      </c>
      <c r="L3710" t="s">
        <v>1357</v>
      </c>
    </row>
    <row r="3711" spans="6:12">
      <c r="H3711" t="s">
        <v>20235</v>
      </c>
      <c r="I3711" t="s">
        <v>1357</v>
      </c>
      <c r="J3711" t="s">
        <v>1357</v>
      </c>
      <c r="K3711" t="s">
        <v>1357</v>
      </c>
      <c r="L3711" t="s">
        <v>1357</v>
      </c>
    </row>
    <row r="3712" spans="6:12">
      <c r="H3712" t="s">
        <v>20284</v>
      </c>
      <c r="I3712" t="s">
        <v>1357</v>
      </c>
      <c r="J3712" t="s">
        <v>1357</v>
      </c>
      <c r="K3712" t="s">
        <v>1357</v>
      </c>
      <c r="L3712" t="s">
        <v>1357</v>
      </c>
    </row>
    <row r="3713" spans="6:12">
      <c r="H3713" t="s">
        <v>20285</v>
      </c>
      <c r="I3713" t="s">
        <v>1357</v>
      </c>
      <c r="J3713" t="s">
        <v>1357</v>
      </c>
      <c r="K3713" t="s">
        <v>1357</v>
      </c>
      <c r="L3713" t="s">
        <v>1357</v>
      </c>
    </row>
    <row r="3714" spans="6:12">
      <c r="H3714" t="s">
        <v>20286</v>
      </c>
      <c r="I3714" t="s">
        <v>1357</v>
      </c>
      <c r="J3714" t="s">
        <v>1357</v>
      </c>
      <c r="K3714" t="s">
        <v>1357</v>
      </c>
      <c r="L3714" t="s">
        <v>1357</v>
      </c>
    </row>
    <row r="3715" spans="6:12">
      <c r="H3715" t="s">
        <v>20288</v>
      </c>
      <c r="I3715" t="s">
        <v>1357</v>
      </c>
      <c r="J3715" t="s">
        <v>1357</v>
      </c>
      <c r="K3715" t="s">
        <v>1357</v>
      </c>
      <c r="L3715" t="s">
        <v>1357</v>
      </c>
    </row>
    <row r="3716" spans="6:12">
      <c r="H3716" t="s">
        <v>20289</v>
      </c>
      <c r="I3716" t="s">
        <v>1357</v>
      </c>
      <c r="J3716" t="s">
        <v>1357</v>
      </c>
      <c r="K3716" t="s">
        <v>1357</v>
      </c>
      <c r="L3716" t="s">
        <v>1357</v>
      </c>
    </row>
    <row r="3717" spans="6:12">
      <c r="H3717" t="s">
        <v>20290</v>
      </c>
      <c r="I3717" t="s">
        <v>1357</v>
      </c>
      <c r="J3717" t="s">
        <v>1357</v>
      </c>
      <c r="K3717" t="s">
        <v>1357</v>
      </c>
      <c r="L3717" t="s">
        <v>1357</v>
      </c>
    </row>
    <row r="3718" spans="6:12">
      <c r="F3718" t="s">
        <v>15028</v>
      </c>
      <c r="G3718" t="s">
        <v>17809</v>
      </c>
      <c r="H3718" t="s">
        <v>20280</v>
      </c>
      <c r="I3718" t="s">
        <v>1357</v>
      </c>
      <c r="J3718" t="s">
        <v>1357</v>
      </c>
      <c r="K3718" t="s">
        <v>1357</v>
      </c>
      <c r="L3718" t="s">
        <v>1357</v>
      </c>
    </row>
    <row r="3719" spans="6:12">
      <c r="H3719" t="s">
        <v>20233</v>
      </c>
      <c r="I3719" t="s">
        <v>1357</v>
      </c>
      <c r="J3719" t="s">
        <v>1357</v>
      </c>
      <c r="K3719" t="s">
        <v>1357</v>
      </c>
      <c r="L3719" t="s">
        <v>1357</v>
      </c>
    </row>
    <row r="3720" spans="6:12">
      <c r="H3720" t="s">
        <v>20230</v>
      </c>
      <c r="I3720" t="s">
        <v>1357</v>
      </c>
      <c r="J3720" t="s">
        <v>1357</v>
      </c>
      <c r="K3720" t="s">
        <v>1357</v>
      </c>
      <c r="L3720" t="s">
        <v>1357</v>
      </c>
    </row>
    <row r="3721" spans="6:12">
      <c r="H3721" t="s">
        <v>20282</v>
      </c>
      <c r="I3721" t="s">
        <v>1357</v>
      </c>
      <c r="J3721" t="s">
        <v>1357</v>
      </c>
      <c r="K3721" t="s">
        <v>1357</v>
      </c>
      <c r="L3721" t="s">
        <v>1357</v>
      </c>
    </row>
    <row r="3722" spans="6:12">
      <c r="H3722" t="s">
        <v>20284</v>
      </c>
      <c r="I3722" t="s">
        <v>1357</v>
      </c>
      <c r="J3722" t="s">
        <v>1357</v>
      </c>
      <c r="K3722" t="s">
        <v>1357</v>
      </c>
      <c r="L3722" t="s">
        <v>1357</v>
      </c>
    </row>
    <row r="3723" spans="6:12">
      <c r="H3723" t="s">
        <v>20285</v>
      </c>
      <c r="I3723" t="s">
        <v>1357</v>
      </c>
      <c r="J3723" t="s">
        <v>1357</v>
      </c>
      <c r="K3723" t="s">
        <v>1357</v>
      </c>
      <c r="L3723" t="s">
        <v>1357</v>
      </c>
    </row>
    <row r="3724" spans="6:12">
      <c r="H3724" t="s">
        <v>20286</v>
      </c>
      <c r="I3724" t="s">
        <v>1357</v>
      </c>
      <c r="J3724" t="s">
        <v>1357</v>
      </c>
      <c r="K3724" t="s">
        <v>1357</v>
      </c>
      <c r="L3724" t="s">
        <v>1357</v>
      </c>
    </row>
    <row r="3725" spans="6:12">
      <c r="H3725" t="s">
        <v>20287</v>
      </c>
      <c r="I3725" t="s">
        <v>1357</v>
      </c>
      <c r="J3725" t="s">
        <v>1357</v>
      </c>
      <c r="K3725" t="s">
        <v>1357</v>
      </c>
      <c r="L3725" t="s">
        <v>1357</v>
      </c>
    </row>
    <row r="3726" spans="6:12">
      <c r="H3726" t="s">
        <v>20288</v>
      </c>
      <c r="I3726" t="s">
        <v>1357</v>
      </c>
      <c r="J3726" t="s">
        <v>1357</v>
      </c>
      <c r="K3726" t="s">
        <v>1357</v>
      </c>
      <c r="L3726" t="s">
        <v>1357</v>
      </c>
    </row>
    <row r="3727" spans="6:12">
      <c r="H3727" t="s">
        <v>20289</v>
      </c>
      <c r="I3727" t="s">
        <v>1357</v>
      </c>
      <c r="J3727" t="s">
        <v>1357</v>
      </c>
      <c r="K3727" t="s">
        <v>1357</v>
      </c>
      <c r="L3727" t="s">
        <v>1357</v>
      </c>
    </row>
    <row r="3728" spans="6:12">
      <c r="H3728" t="s">
        <v>20290</v>
      </c>
      <c r="I3728" t="s">
        <v>1357</v>
      </c>
      <c r="J3728" t="s">
        <v>1357</v>
      </c>
      <c r="K3728" t="s">
        <v>1357</v>
      </c>
      <c r="L3728" t="s">
        <v>1357</v>
      </c>
    </row>
    <row r="3729" spans="6:12">
      <c r="H3729" t="s">
        <v>20291</v>
      </c>
      <c r="I3729" t="s">
        <v>1357</v>
      </c>
      <c r="J3729" t="s">
        <v>1357</v>
      </c>
      <c r="K3729" t="s">
        <v>1357</v>
      </c>
      <c r="L3729" t="s">
        <v>1357</v>
      </c>
    </row>
    <row r="3730" spans="6:12">
      <c r="H3730" t="s">
        <v>20293</v>
      </c>
      <c r="I3730" t="s">
        <v>1357</v>
      </c>
      <c r="J3730" t="s">
        <v>1357</v>
      </c>
      <c r="K3730" t="s">
        <v>1357</v>
      </c>
      <c r="L3730" t="s">
        <v>1357</v>
      </c>
    </row>
    <row r="3731" spans="6:12">
      <c r="H3731" t="s">
        <v>20294</v>
      </c>
      <c r="I3731" t="s">
        <v>1357</v>
      </c>
      <c r="J3731" t="s">
        <v>1357</v>
      </c>
      <c r="K3731" t="s">
        <v>1357</v>
      </c>
      <c r="L3731" t="s">
        <v>1357</v>
      </c>
    </row>
    <row r="3732" spans="6:12">
      <c r="H3732" t="s">
        <v>20312</v>
      </c>
      <c r="I3732" t="s">
        <v>1357</v>
      </c>
      <c r="J3732" t="s">
        <v>1357</v>
      </c>
      <c r="K3732" t="s">
        <v>1357</v>
      </c>
      <c r="L3732" t="s">
        <v>1357</v>
      </c>
    </row>
    <row r="3733" spans="6:12">
      <c r="H3733" t="s">
        <v>20313</v>
      </c>
      <c r="I3733" t="s">
        <v>1357</v>
      </c>
      <c r="J3733" t="s">
        <v>1357</v>
      </c>
      <c r="K3733" t="s">
        <v>1357</v>
      </c>
      <c r="L3733" t="s">
        <v>1357</v>
      </c>
    </row>
    <row r="3734" spans="6:12">
      <c r="H3734" t="s">
        <v>20325</v>
      </c>
      <c r="I3734" t="s">
        <v>1357</v>
      </c>
      <c r="J3734" t="s">
        <v>1357</v>
      </c>
      <c r="K3734" t="s">
        <v>1357</v>
      </c>
      <c r="L3734" t="s">
        <v>1357</v>
      </c>
    </row>
    <row r="3735" spans="6:12">
      <c r="H3735" t="s">
        <v>20326</v>
      </c>
      <c r="I3735" t="s">
        <v>1357</v>
      </c>
      <c r="J3735" t="s">
        <v>1357</v>
      </c>
      <c r="K3735" t="s">
        <v>1357</v>
      </c>
      <c r="L3735" t="s">
        <v>1357</v>
      </c>
    </row>
    <row r="3736" spans="6:12">
      <c r="H3736" t="s">
        <v>20327</v>
      </c>
      <c r="I3736" t="s">
        <v>1357</v>
      </c>
      <c r="J3736" t="s">
        <v>1357</v>
      </c>
      <c r="K3736" t="s">
        <v>1357</v>
      </c>
      <c r="L3736" t="s">
        <v>1357</v>
      </c>
    </row>
    <row r="3737" spans="6:12">
      <c r="H3737" t="s">
        <v>20009</v>
      </c>
      <c r="I3737" t="s">
        <v>1357</v>
      </c>
      <c r="J3737" t="s">
        <v>1357</v>
      </c>
      <c r="K3737" t="s">
        <v>1357</v>
      </c>
      <c r="L3737" t="s">
        <v>1357</v>
      </c>
    </row>
    <row r="3738" spans="6:12">
      <c r="H3738" t="s">
        <v>20328</v>
      </c>
      <c r="I3738" t="s">
        <v>1357</v>
      </c>
      <c r="J3738" t="s">
        <v>1357</v>
      </c>
      <c r="K3738" t="s">
        <v>1357</v>
      </c>
      <c r="L3738" t="s">
        <v>1357</v>
      </c>
    </row>
    <row r="3739" spans="6:12">
      <c r="F3739" t="s">
        <v>15029</v>
      </c>
      <c r="G3739" t="s">
        <v>17810</v>
      </c>
      <c r="H3739" t="s">
        <v>20280</v>
      </c>
      <c r="I3739" t="s">
        <v>1357</v>
      </c>
      <c r="J3739" t="s">
        <v>1357</v>
      </c>
      <c r="K3739" t="s">
        <v>1357</v>
      </c>
      <c r="L3739" t="s">
        <v>1357</v>
      </c>
    </row>
    <row r="3740" spans="6:12">
      <c r="H3740" t="s">
        <v>20230</v>
      </c>
      <c r="I3740" t="s">
        <v>1357</v>
      </c>
      <c r="J3740" t="s">
        <v>1357</v>
      </c>
      <c r="K3740" t="s">
        <v>1357</v>
      </c>
      <c r="L3740" t="s">
        <v>1357</v>
      </c>
    </row>
    <row r="3741" spans="6:12">
      <c r="H3741" t="s">
        <v>20282</v>
      </c>
      <c r="I3741" t="s">
        <v>1357</v>
      </c>
      <c r="J3741" t="s">
        <v>1357</v>
      </c>
      <c r="K3741" t="s">
        <v>1357</v>
      </c>
      <c r="L3741" t="s">
        <v>1357</v>
      </c>
    </row>
    <row r="3742" spans="6:12">
      <c r="H3742" t="s">
        <v>20284</v>
      </c>
      <c r="I3742" t="s">
        <v>1357</v>
      </c>
      <c r="J3742" t="s">
        <v>1357</v>
      </c>
      <c r="K3742" t="s">
        <v>1357</v>
      </c>
      <c r="L3742" t="s">
        <v>1357</v>
      </c>
    </row>
    <row r="3743" spans="6:12">
      <c r="H3743" t="s">
        <v>20285</v>
      </c>
      <c r="I3743" t="s">
        <v>1357</v>
      </c>
      <c r="J3743" t="s">
        <v>1357</v>
      </c>
      <c r="K3743" t="s">
        <v>1357</v>
      </c>
      <c r="L3743" t="s">
        <v>1357</v>
      </c>
    </row>
    <row r="3744" spans="6:12">
      <c r="H3744" t="s">
        <v>20286</v>
      </c>
      <c r="I3744" t="s">
        <v>1357</v>
      </c>
      <c r="J3744" t="s">
        <v>1357</v>
      </c>
      <c r="K3744" t="s">
        <v>1357</v>
      </c>
      <c r="L3744" t="s">
        <v>1357</v>
      </c>
    </row>
    <row r="3745" spans="6:12">
      <c r="H3745" t="s">
        <v>20287</v>
      </c>
      <c r="I3745" t="s">
        <v>1357</v>
      </c>
      <c r="J3745" t="s">
        <v>1357</v>
      </c>
      <c r="K3745" t="s">
        <v>1357</v>
      </c>
      <c r="L3745" t="s">
        <v>1357</v>
      </c>
    </row>
    <row r="3746" spans="6:12">
      <c r="H3746" t="s">
        <v>20288</v>
      </c>
      <c r="I3746" t="s">
        <v>1357</v>
      </c>
      <c r="J3746" t="s">
        <v>1357</v>
      </c>
      <c r="K3746" t="s">
        <v>1357</v>
      </c>
      <c r="L3746" t="s">
        <v>1357</v>
      </c>
    </row>
    <row r="3747" spans="6:12">
      <c r="H3747" t="s">
        <v>20289</v>
      </c>
      <c r="I3747" t="s">
        <v>1357</v>
      </c>
      <c r="J3747" t="s">
        <v>1357</v>
      </c>
      <c r="K3747" t="s">
        <v>1357</v>
      </c>
      <c r="L3747" t="s">
        <v>1357</v>
      </c>
    </row>
    <row r="3748" spans="6:12">
      <c r="H3748" t="s">
        <v>20290</v>
      </c>
      <c r="I3748" t="s">
        <v>1357</v>
      </c>
      <c r="J3748" t="s">
        <v>1357</v>
      </c>
      <c r="K3748" t="s">
        <v>1357</v>
      </c>
      <c r="L3748" t="s">
        <v>1357</v>
      </c>
    </row>
    <row r="3749" spans="6:12">
      <c r="H3749" t="s">
        <v>20291</v>
      </c>
      <c r="I3749" t="s">
        <v>1357</v>
      </c>
      <c r="J3749" t="s">
        <v>1357</v>
      </c>
      <c r="K3749" t="s">
        <v>1357</v>
      </c>
      <c r="L3749" t="s">
        <v>1357</v>
      </c>
    </row>
    <row r="3750" spans="6:12">
      <c r="H3750" t="s">
        <v>20293</v>
      </c>
      <c r="I3750" t="s">
        <v>1357</v>
      </c>
      <c r="J3750" t="s">
        <v>1357</v>
      </c>
      <c r="K3750" t="s">
        <v>1357</v>
      </c>
      <c r="L3750" t="s">
        <v>1357</v>
      </c>
    </row>
    <row r="3751" spans="6:12">
      <c r="H3751" t="s">
        <v>20294</v>
      </c>
      <c r="I3751" t="s">
        <v>1357</v>
      </c>
      <c r="J3751" t="s">
        <v>1357</v>
      </c>
      <c r="K3751" t="s">
        <v>1357</v>
      </c>
      <c r="L3751" t="s">
        <v>1357</v>
      </c>
    </row>
    <row r="3752" spans="6:12">
      <c r="H3752" t="s">
        <v>20312</v>
      </c>
      <c r="I3752" t="s">
        <v>1357</v>
      </c>
      <c r="J3752" t="s">
        <v>1357</v>
      </c>
      <c r="K3752" t="s">
        <v>1357</v>
      </c>
      <c r="L3752" t="s">
        <v>1357</v>
      </c>
    </row>
    <row r="3753" spans="6:12">
      <c r="H3753" t="s">
        <v>20313</v>
      </c>
      <c r="I3753" t="s">
        <v>1357</v>
      </c>
      <c r="J3753" t="s">
        <v>1357</v>
      </c>
      <c r="K3753" t="s">
        <v>1357</v>
      </c>
      <c r="L3753" t="s">
        <v>1357</v>
      </c>
    </row>
    <row r="3754" spans="6:12">
      <c r="H3754" t="s">
        <v>20325</v>
      </c>
      <c r="I3754" t="s">
        <v>1357</v>
      </c>
      <c r="J3754" t="s">
        <v>1357</v>
      </c>
      <c r="K3754" t="s">
        <v>1357</v>
      </c>
      <c r="L3754" t="s">
        <v>1357</v>
      </c>
    </row>
    <row r="3755" spans="6:12">
      <c r="H3755" t="s">
        <v>20326</v>
      </c>
      <c r="I3755" t="s">
        <v>1357</v>
      </c>
      <c r="J3755" t="s">
        <v>1357</v>
      </c>
      <c r="K3755" t="s">
        <v>1357</v>
      </c>
      <c r="L3755" t="s">
        <v>1357</v>
      </c>
    </row>
    <row r="3756" spans="6:12">
      <c r="H3756" t="s">
        <v>20327</v>
      </c>
      <c r="I3756" t="s">
        <v>1357</v>
      </c>
      <c r="J3756" t="s">
        <v>1357</v>
      </c>
      <c r="K3756" t="s">
        <v>1357</v>
      </c>
      <c r="L3756" t="s">
        <v>1357</v>
      </c>
    </row>
    <row r="3757" spans="6:12">
      <c r="H3757" t="s">
        <v>20009</v>
      </c>
      <c r="I3757" t="s">
        <v>1357</v>
      </c>
      <c r="J3757" t="s">
        <v>1357</v>
      </c>
      <c r="K3757" t="s">
        <v>1357</v>
      </c>
      <c r="L3757" t="s">
        <v>1357</v>
      </c>
    </row>
    <row r="3758" spans="6:12">
      <c r="H3758" t="s">
        <v>20328</v>
      </c>
      <c r="I3758" t="s">
        <v>1357</v>
      </c>
      <c r="J3758" t="s">
        <v>1357</v>
      </c>
      <c r="K3758" t="s">
        <v>1357</v>
      </c>
      <c r="L3758" t="s">
        <v>1357</v>
      </c>
    </row>
    <row r="3759" spans="6:12">
      <c r="F3759" t="s">
        <v>15030</v>
      </c>
      <c r="G3759" t="s">
        <v>17811</v>
      </c>
      <c r="H3759" t="s">
        <v>20280</v>
      </c>
      <c r="I3759" t="s">
        <v>1357</v>
      </c>
      <c r="J3759" t="s">
        <v>1357</v>
      </c>
      <c r="K3759" t="s">
        <v>1357</v>
      </c>
      <c r="L3759" t="s">
        <v>1357</v>
      </c>
    </row>
    <row r="3760" spans="6:12">
      <c r="H3760" t="s">
        <v>20230</v>
      </c>
      <c r="I3760" t="s">
        <v>1357</v>
      </c>
      <c r="J3760" t="s">
        <v>1357</v>
      </c>
      <c r="K3760" t="s">
        <v>1357</v>
      </c>
      <c r="L3760" t="s">
        <v>1357</v>
      </c>
    </row>
    <row r="3761" spans="8:12">
      <c r="H3761" t="s">
        <v>20282</v>
      </c>
      <c r="I3761" t="s">
        <v>1357</v>
      </c>
      <c r="J3761" t="s">
        <v>1357</v>
      </c>
      <c r="K3761" t="s">
        <v>1357</v>
      </c>
      <c r="L3761" t="s">
        <v>1357</v>
      </c>
    </row>
    <row r="3762" spans="8:12">
      <c r="H3762" t="s">
        <v>20284</v>
      </c>
      <c r="I3762" t="s">
        <v>1357</v>
      </c>
      <c r="J3762" t="s">
        <v>1357</v>
      </c>
      <c r="K3762" t="s">
        <v>1357</v>
      </c>
      <c r="L3762" t="s">
        <v>1357</v>
      </c>
    </row>
    <row r="3763" spans="8:12">
      <c r="H3763" t="s">
        <v>20285</v>
      </c>
      <c r="I3763" t="s">
        <v>1357</v>
      </c>
      <c r="J3763" t="s">
        <v>1357</v>
      </c>
      <c r="K3763" t="s">
        <v>1357</v>
      </c>
      <c r="L3763" t="s">
        <v>1357</v>
      </c>
    </row>
    <row r="3764" spans="8:12">
      <c r="H3764" t="s">
        <v>20286</v>
      </c>
      <c r="I3764" t="s">
        <v>1357</v>
      </c>
      <c r="J3764" t="s">
        <v>1357</v>
      </c>
      <c r="K3764" t="s">
        <v>1357</v>
      </c>
      <c r="L3764" t="s">
        <v>1357</v>
      </c>
    </row>
    <row r="3765" spans="8:12">
      <c r="H3765" t="s">
        <v>20287</v>
      </c>
      <c r="I3765" t="s">
        <v>1357</v>
      </c>
      <c r="J3765" t="s">
        <v>1357</v>
      </c>
      <c r="K3765" t="s">
        <v>1357</v>
      </c>
      <c r="L3765" t="s">
        <v>1357</v>
      </c>
    </row>
    <row r="3766" spans="8:12">
      <c r="H3766" t="s">
        <v>20288</v>
      </c>
      <c r="I3766" t="s">
        <v>1357</v>
      </c>
      <c r="J3766" t="s">
        <v>1357</v>
      </c>
      <c r="K3766" t="s">
        <v>1357</v>
      </c>
      <c r="L3766" t="s">
        <v>1357</v>
      </c>
    </row>
    <row r="3767" spans="8:12">
      <c r="H3767" t="s">
        <v>20289</v>
      </c>
      <c r="I3767" t="s">
        <v>1357</v>
      </c>
      <c r="J3767" t="s">
        <v>1357</v>
      </c>
      <c r="K3767" t="s">
        <v>1357</v>
      </c>
      <c r="L3767" t="s">
        <v>1357</v>
      </c>
    </row>
    <row r="3768" spans="8:12">
      <c r="H3768" t="s">
        <v>20290</v>
      </c>
      <c r="I3768" t="s">
        <v>1357</v>
      </c>
      <c r="J3768" t="s">
        <v>1357</v>
      </c>
      <c r="K3768" t="s">
        <v>1357</v>
      </c>
      <c r="L3768" t="s">
        <v>1357</v>
      </c>
    </row>
    <row r="3769" spans="8:12">
      <c r="H3769" t="s">
        <v>20291</v>
      </c>
      <c r="I3769" t="s">
        <v>1357</v>
      </c>
      <c r="J3769" t="s">
        <v>1357</v>
      </c>
      <c r="K3769" t="s">
        <v>1357</v>
      </c>
      <c r="L3769" t="s">
        <v>1357</v>
      </c>
    </row>
    <row r="3770" spans="8:12">
      <c r="H3770" t="s">
        <v>20293</v>
      </c>
      <c r="I3770" t="s">
        <v>1357</v>
      </c>
      <c r="J3770" t="s">
        <v>1357</v>
      </c>
      <c r="K3770" t="s">
        <v>1357</v>
      </c>
      <c r="L3770" t="s">
        <v>1357</v>
      </c>
    </row>
    <row r="3771" spans="8:12">
      <c r="H3771" t="s">
        <v>20294</v>
      </c>
      <c r="I3771" t="s">
        <v>1357</v>
      </c>
      <c r="J3771" t="s">
        <v>1357</v>
      </c>
      <c r="K3771" t="s">
        <v>1357</v>
      </c>
      <c r="L3771" t="s">
        <v>1357</v>
      </c>
    </row>
    <row r="3772" spans="8:12">
      <c r="H3772" t="s">
        <v>20312</v>
      </c>
      <c r="I3772" t="s">
        <v>1357</v>
      </c>
      <c r="J3772" t="s">
        <v>1357</v>
      </c>
      <c r="K3772" t="s">
        <v>1357</v>
      </c>
      <c r="L3772" t="s">
        <v>1357</v>
      </c>
    </row>
    <row r="3773" spans="8:12">
      <c r="H3773" t="s">
        <v>20313</v>
      </c>
      <c r="I3773" t="s">
        <v>1357</v>
      </c>
      <c r="J3773" t="s">
        <v>1357</v>
      </c>
      <c r="K3773" t="s">
        <v>1357</v>
      </c>
      <c r="L3773" t="s">
        <v>1357</v>
      </c>
    </row>
    <row r="3774" spans="8:12">
      <c r="H3774" t="s">
        <v>20325</v>
      </c>
      <c r="I3774" t="s">
        <v>1357</v>
      </c>
      <c r="J3774" t="s">
        <v>1357</v>
      </c>
      <c r="K3774" t="s">
        <v>1357</v>
      </c>
      <c r="L3774" t="s">
        <v>1357</v>
      </c>
    </row>
    <row r="3775" spans="8:12">
      <c r="H3775" t="s">
        <v>20326</v>
      </c>
      <c r="I3775" t="s">
        <v>1357</v>
      </c>
      <c r="J3775" t="s">
        <v>1357</v>
      </c>
      <c r="K3775" t="s">
        <v>1357</v>
      </c>
      <c r="L3775" t="s">
        <v>1357</v>
      </c>
    </row>
    <row r="3776" spans="8:12">
      <c r="H3776" t="s">
        <v>20327</v>
      </c>
      <c r="I3776" t="s">
        <v>1357</v>
      </c>
      <c r="J3776" t="s">
        <v>1357</v>
      </c>
      <c r="K3776" t="s">
        <v>1357</v>
      </c>
      <c r="L3776" t="s">
        <v>1357</v>
      </c>
    </row>
    <row r="3777" spans="6:12">
      <c r="H3777" t="s">
        <v>20009</v>
      </c>
      <c r="I3777" t="s">
        <v>1357</v>
      </c>
      <c r="J3777" t="s">
        <v>1357</v>
      </c>
      <c r="K3777" t="s">
        <v>1357</v>
      </c>
      <c r="L3777" t="s">
        <v>1357</v>
      </c>
    </row>
    <row r="3778" spans="6:12">
      <c r="H3778" t="s">
        <v>20328</v>
      </c>
      <c r="I3778" t="s">
        <v>1357</v>
      </c>
      <c r="J3778" t="s">
        <v>1357</v>
      </c>
      <c r="K3778" t="s">
        <v>1357</v>
      </c>
      <c r="L3778" t="s">
        <v>1357</v>
      </c>
    </row>
    <row r="3779" spans="6:12">
      <c r="F3779" t="s">
        <v>15031</v>
      </c>
      <c r="G3779" t="s">
        <v>17812</v>
      </c>
      <c r="H3779" t="s">
        <v>20280</v>
      </c>
      <c r="I3779" t="s">
        <v>1357</v>
      </c>
      <c r="J3779" t="s">
        <v>1357</v>
      </c>
      <c r="K3779" t="s">
        <v>1357</v>
      </c>
      <c r="L3779" t="s">
        <v>1357</v>
      </c>
    </row>
    <row r="3780" spans="6:12">
      <c r="H3780" t="s">
        <v>20230</v>
      </c>
      <c r="I3780" t="s">
        <v>1357</v>
      </c>
      <c r="J3780" t="s">
        <v>1357</v>
      </c>
      <c r="K3780" t="s">
        <v>1357</v>
      </c>
      <c r="L3780" t="s">
        <v>1357</v>
      </c>
    </row>
    <row r="3781" spans="6:12">
      <c r="H3781" t="s">
        <v>20282</v>
      </c>
      <c r="I3781" t="s">
        <v>1357</v>
      </c>
      <c r="J3781" t="s">
        <v>1357</v>
      </c>
      <c r="K3781" t="s">
        <v>1357</v>
      </c>
      <c r="L3781" t="s">
        <v>1357</v>
      </c>
    </row>
    <row r="3782" spans="6:12">
      <c r="H3782" t="s">
        <v>20284</v>
      </c>
      <c r="I3782" t="s">
        <v>1357</v>
      </c>
      <c r="J3782" t="s">
        <v>1357</v>
      </c>
      <c r="K3782" t="s">
        <v>1357</v>
      </c>
      <c r="L3782" t="s">
        <v>1357</v>
      </c>
    </row>
    <row r="3783" spans="6:12">
      <c r="H3783" t="s">
        <v>20285</v>
      </c>
      <c r="I3783" t="s">
        <v>1357</v>
      </c>
      <c r="J3783" t="s">
        <v>1357</v>
      </c>
      <c r="K3783" t="s">
        <v>1357</v>
      </c>
      <c r="L3783" t="s">
        <v>1357</v>
      </c>
    </row>
    <row r="3784" spans="6:12">
      <c r="H3784" t="s">
        <v>20286</v>
      </c>
      <c r="I3784" t="s">
        <v>1357</v>
      </c>
      <c r="J3784" t="s">
        <v>1357</v>
      </c>
      <c r="K3784" t="s">
        <v>1357</v>
      </c>
      <c r="L3784" t="s">
        <v>1357</v>
      </c>
    </row>
    <row r="3785" spans="6:12">
      <c r="H3785" t="s">
        <v>20287</v>
      </c>
      <c r="I3785" t="s">
        <v>1357</v>
      </c>
      <c r="J3785" t="s">
        <v>1357</v>
      </c>
      <c r="K3785" t="s">
        <v>1357</v>
      </c>
      <c r="L3785" t="s">
        <v>1357</v>
      </c>
    </row>
    <row r="3786" spans="6:12">
      <c r="H3786" t="s">
        <v>20288</v>
      </c>
      <c r="I3786" t="s">
        <v>1357</v>
      </c>
      <c r="J3786" t="s">
        <v>1357</v>
      </c>
      <c r="K3786" t="s">
        <v>1357</v>
      </c>
      <c r="L3786" t="s">
        <v>1357</v>
      </c>
    </row>
    <row r="3787" spans="6:12">
      <c r="H3787" t="s">
        <v>20289</v>
      </c>
      <c r="I3787" t="s">
        <v>1357</v>
      </c>
      <c r="J3787" t="s">
        <v>1357</v>
      </c>
      <c r="K3787" t="s">
        <v>1357</v>
      </c>
      <c r="L3787" t="s">
        <v>1357</v>
      </c>
    </row>
    <row r="3788" spans="6:12">
      <c r="H3788" t="s">
        <v>20290</v>
      </c>
      <c r="I3788" t="s">
        <v>1357</v>
      </c>
      <c r="J3788" t="s">
        <v>1357</v>
      </c>
      <c r="K3788" t="s">
        <v>1357</v>
      </c>
      <c r="L3788" t="s">
        <v>1357</v>
      </c>
    </row>
    <row r="3789" spans="6:12">
      <c r="H3789" t="s">
        <v>20291</v>
      </c>
      <c r="I3789" t="s">
        <v>1357</v>
      </c>
      <c r="J3789" t="s">
        <v>1357</v>
      </c>
      <c r="K3789" t="s">
        <v>1357</v>
      </c>
      <c r="L3789" t="s">
        <v>1357</v>
      </c>
    </row>
    <row r="3790" spans="6:12">
      <c r="H3790" t="s">
        <v>20293</v>
      </c>
      <c r="I3790" t="s">
        <v>1357</v>
      </c>
      <c r="J3790" t="s">
        <v>1357</v>
      </c>
      <c r="K3790" t="s">
        <v>1357</v>
      </c>
      <c r="L3790" t="s">
        <v>1357</v>
      </c>
    </row>
    <row r="3791" spans="6:12">
      <c r="H3791" t="s">
        <v>20294</v>
      </c>
      <c r="I3791" t="s">
        <v>1357</v>
      </c>
      <c r="J3791" t="s">
        <v>1357</v>
      </c>
      <c r="K3791" t="s">
        <v>1357</v>
      </c>
      <c r="L3791" t="s">
        <v>1357</v>
      </c>
    </row>
    <row r="3792" spans="6:12">
      <c r="H3792" t="s">
        <v>20312</v>
      </c>
      <c r="I3792" t="s">
        <v>1357</v>
      </c>
      <c r="J3792" t="s">
        <v>1357</v>
      </c>
      <c r="K3792" t="s">
        <v>1357</v>
      </c>
      <c r="L3792" t="s">
        <v>1357</v>
      </c>
    </row>
    <row r="3793" spans="6:12">
      <c r="H3793" t="s">
        <v>20313</v>
      </c>
      <c r="I3793" t="s">
        <v>1357</v>
      </c>
      <c r="J3793" t="s">
        <v>1357</v>
      </c>
      <c r="K3793" t="s">
        <v>1357</v>
      </c>
      <c r="L3793" t="s">
        <v>1357</v>
      </c>
    </row>
    <row r="3794" spans="6:12">
      <c r="H3794" t="s">
        <v>20325</v>
      </c>
      <c r="I3794" t="s">
        <v>1357</v>
      </c>
      <c r="J3794" t="s">
        <v>1357</v>
      </c>
      <c r="K3794" t="s">
        <v>1357</v>
      </c>
      <c r="L3794" t="s">
        <v>1357</v>
      </c>
    </row>
    <row r="3795" spans="6:12">
      <c r="H3795" t="s">
        <v>20326</v>
      </c>
      <c r="I3795" t="s">
        <v>1357</v>
      </c>
      <c r="J3795" t="s">
        <v>1357</v>
      </c>
      <c r="K3795" t="s">
        <v>1357</v>
      </c>
      <c r="L3795" t="s">
        <v>1357</v>
      </c>
    </row>
    <row r="3796" spans="6:12">
      <c r="H3796" t="s">
        <v>20327</v>
      </c>
      <c r="I3796" t="s">
        <v>1357</v>
      </c>
      <c r="J3796" t="s">
        <v>1357</v>
      </c>
      <c r="K3796" t="s">
        <v>1357</v>
      </c>
      <c r="L3796" t="s">
        <v>1357</v>
      </c>
    </row>
    <row r="3797" spans="6:12">
      <c r="H3797" t="s">
        <v>20009</v>
      </c>
      <c r="I3797" t="s">
        <v>1357</v>
      </c>
      <c r="J3797" t="s">
        <v>1357</v>
      </c>
      <c r="K3797" t="s">
        <v>1357</v>
      </c>
      <c r="L3797" t="s">
        <v>1357</v>
      </c>
    </row>
    <row r="3798" spans="6:12">
      <c r="H3798" t="s">
        <v>20328</v>
      </c>
      <c r="I3798" t="s">
        <v>1357</v>
      </c>
      <c r="J3798" t="s">
        <v>1357</v>
      </c>
      <c r="K3798" t="s">
        <v>1357</v>
      </c>
      <c r="L3798" t="s">
        <v>1357</v>
      </c>
    </row>
    <row r="3799" spans="6:12">
      <c r="F3799" t="s">
        <v>15032</v>
      </c>
      <c r="G3799" t="s">
        <v>17813</v>
      </c>
      <c r="H3799" t="s">
        <v>20280</v>
      </c>
      <c r="I3799" t="s">
        <v>1357</v>
      </c>
      <c r="J3799" t="s">
        <v>1357</v>
      </c>
      <c r="K3799" t="s">
        <v>1357</v>
      </c>
      <c r="L3799" t="s">
        <v>1357</v>
      </c>
    </row>
    <row r="3800" spans="6:12">
      <c r="H3800" t="s">
        <v>20230</v>
      </c>
      <c r="I3800" t="s">
        <v>1357</v>
      </c>
      <c r="J3800" t="s">
        <v>1357</v>
      </c>
      <c r="K3800" t="s">
        <v>1357</v>
      </c>
      <c r="L3800" t="s">
        <v>1357</v>
      </c>
    </row>
    <row r="3801" spans="6:12">
      <c r="H3801" t="s">
        <v>20282</v>
      </c>
      <c r="I3801" t="s">
        <v>1357</v>
      </c>
      <c r="J3801" t="s">
        <v>1357</v>
      </c>
      <c r="K3801" t="s">
        <v>1357</v>
      </c>
      <c r="L3801" t="s">
        <v>1357</v>
      </c>
    </row>
    <row r="3802" spans="6:12">
      <c r="H3802" t="s">
        <v>20284</v>
      </c>
      <c r="I3802" t="s">
        <v>1357</v>
      </c>
      <c r="J3802" t="s">
        <v>1357</v>
      </c>
      <c r="K3802" t="s">
        <v>1357</v>
      </c>
      <c r="L3802" t="s">
        <v>1357</v>
      </c>
    </row>
    <row r="3803" spans="6:12">
      <c r="H3803" t="s">
        <v>20285</v>
      </c>
      <c r="I3803" t="s">
        <v>1357</v>
      </c>
      <c r="J3803" t="s">
        <v>1357</v>
      </c>
      <c r="K3803" t="s">
        <v>1357</v>
      </c>
      <c r="L3803" t="s">
        <v>1357</v>
      </c>
    </row>
    <row r="3804" spans="6:12">
      <c r="H3804" t="s">
        <v>20286</v>
      </c>
      <c r="I3804" t="s">
        <v>1357</v>
      </c>
      <c r="J3804" t="s">
        <v>1357</v>
      </c>
      <c r="K3804" t="s">
        <v>1357</v>
      </c>
      <c r="L3804" t="s">
        <v>1357</v>
      </c>
    </row>
    <row r="3805" spans="6:12">
      <c r="H3805" t="s">
        <v>20287</v>
      </c>
      <c r="I3805" t="s">
        <v>1357</v>
      </c>
      <c r="J3805" t="s">
        <v>1357</v>
      </c>
      <c r="K3805" t="s">
        <v>1357</v>
      </c>
      <c r="L3805" t="s">
        <v>1357</v>
      </c>
    </row>
    <row r="3806" spans="6:12">
      <c r="H3806" t="s">
        <v>20288</v>
      </c>
      <c r="I3806" t="s">
        <v>1357</v>
      </c>
      <c r="J3806" t="s">
        <v>1357</v>
      </c>
      <c r="K3806" t="s">
        <v>1357</v>
      </c>
      <c r="L3806" t="s">
        <v>1357</v>
      </c>
    </row>
    <row r="3807" spans="6:12">
      <c r="H3807" t="s">
        <v>20289</v>
      </c>
      <c r="I3807" t="s">
        <v>1357</v>
      </c>
      <c r="J3807" t="s">
        <v>1357</v>
      </c>
      <c r="K3807" t="s">
        <v>1357</v>
      </c>
      <c r="L3807" t="s">
        <v>1357</v>
      </c>
    </row>
    <row r="3808" spans="6:12">
      <c r="H3808" t="s">
        <v>20290</v>
      </c>
      <c r="I3808" t="s">
        <v>1357</v>
      </c>
      <c r="J3808" t="s">
        <v>1357</v>
      </c>
      <c r="K3808" t="s">
        <v>1357</v>
      </c>
      <c r="L3808" t="s">
        <v>1357</v>
      </c>
    </row>
    <row r="3809" spans="6:12">
      <c r="H3809" t="s">
        <v>20291</v>
      </c>
      <c r="I3809" t="s">
        <v>1357</v>
      </c>
      <c r="J3809" t="s">
        <v>1357</v>
      </c>
      <c r="K3809" t="s">
        <v>1357</v>
      </c>
      <c r="L3809" t="s">
        <v>1357</v>
      </c>
    </row>
    <row r="3810" spans="6:12">
      <c r="H3810" t="s">
        <v>20293</v>
      </c>
      <c r="I3810" t="s">
        <v>1357</v>
      </c>
      <c r="J3810" t="s">
        <v>1357</v>
      </c>
      <c r="K3810" t="s">
        <v>1357</v>
      </c>
      <c r="L3810" t="s">
        <v>1357</v>
      </c>
    </row>
    <row r="3811" spans="6:12">
      <c r="H3811" t="s">
        <v>20294</v>
      </c>
      <c r="I3811" t="s">
        <v>1357</v>
      </c>
      <c r="J3811" t="s">
        <v>1357</v>
      </c>
      <c r="K3811" t="s">
        <v>1357</v>
      </c>
      <c r="L3811" t="s">
        <v>1357</v>
      </c>
    </row>
    <row r="3812" spans="6:12">
      <c r="H3812" t="s">
        <v>20312</v>
      </c>
      <c r="I3812" t="s">
        <v>1357</v>
      </c>
      <c r="J3812" t="s">
        <v>1357</v>
      </c>
      <c r="K3812" t="s">
        <v>1357</v>
      </c>
      <c r="L3812" t="s">
        <v>1357</v>
      </c>
    </row>
    <row r="3813" spans="6:12">
      <c r="H3813" t="s">
        <v>20313</v>
      </c>
      <c r="I3813" t="s">
        <v>1357</v>
      </c>
      <c r="J3813" t="s">
        <v>1357</v>
      </c>
      <c r="K3813" t="s">
        <v>1357</v>
      </c>
      <c r="L3813" t="s">
        <v>1357</v>
      </c>
    </row>
    <row r="3814" spans="6:12">
      <c r="H3814" t="s">
        <v>20325</v>
      </c>
      <c r="I3814" t="s">
        <v>1357</v>
      </c>
      <c r="J3814" t="s">
        <v>1357</v>
      </c>
      <c r="K3814" t="s">
        <v>1357</v>
      </c>
      <c r="L3814" t="s">
        <v>1357</v>
      </c>
    </row>
    <row r="3815" spans="6:12">
      <c r="H3815" t="s">
        <v>20326</v>
      </c>
      <c r="I3815" t="s">
        <v>1357</v>
      </c>
      <c r="J3815" t="s">
        <v>1357</v>
      </c>
      <c r="K3815" t="s">
        <v>1357</v>
      </c>
      <c r="L3815" t="s">
        <v>1357</v>
      </c>
    </row>
    <row r="3816" spans="6:12">
      <c r="H3816" t="s">
        <v>20327</v>
      </c>
      <c r="I3816" t="s">
        <v>1357</v>
      </c>
      <c r="J3816" t="s">
        <v>1357</v>
      </c>
      <c r="K3816" t="s">
        <v>1357</v>
      </c>
      <c r="L3816" t="s">
        <v>1357</v>
      </c>
    </row>
    <row r="3817" spans="6:12">
      <c r="H3817" t="s">
        <v>20009</v>
      </c>
      <c r="I3817" t="s">
        <v>1357</v>
      </c>
      <c r="J3817" t="s">
        <v>1357</v>
      </c>
      <c r="K3817" t="s">
        <v>1357</v>
      </c>
      <c r="L3817" t="s">
        <v>1357</v>
      </c>
    </row>
    <row r="3818" spans="6:12">
      <c r="H3818" t="s">
        <v>20329</v>
      </c>
      <c r="I3818" t="s">
        <v>1357</v>
      </c>
      <c r="J3818" t="s">
        <v>1357</v>
      </c>
      <c r="K3818" t="s">
        <v>1357</v>
      </c>
      <c r="L3818" t="s">
        <v>1357</v>
      </c>
    </row>
    <row r="3819" spans="6:12">
      <c r="H3819" t="s">
        <v>20328</v>
      </c>
      <c r="I3819" t="s">
        <v>1357</v>
      </c>
      <c r="J3819" t="s">
        <v>1357</v>
      </c>
      <c r="K3819" t="s">
        <v>1357</v>
      </c>
      <c r="L3819" t="s">
        <v>1357</v>
      </c>
    </row>
    <row r="3820" spans="6:12">
      <c r="F3820" t="s">
        <v>15033</v>
      </c>
      <c r="G3820" t="s">
        <v>17814</v>
      </c>
      <c r="H3820" t="s">
        <v>20280</v>
      </c>
      <c r="I3820" t="s">
        <v>1357</v>
      </c>
      <c r="J3820" t="s">
        <v>1357</v>
      </c>
      <c r="K3820" t="s">
        <v>1357</v>
      </c>
      <c r="L3820" t="s">
        <v>1357</v>
      </c>
    </row>
    <row r="3821" spans="6:12">
      <c r="H3821" t="s">
        <v>20230</v>
      </c>
      <c r="I3821" t="s">
        <v>1357</v>
      </c>
      <c r="J3821" t="s">
        <v>1357</v>
      </c>
      <c r="K3821" t="s">
        <v>1357</v>
      </c>
      <c r="L3821" t="s">
        <v>1357</v>
      </c>
    </row>
    <row r="3822" spans="6:12">
      <c r="H3822" t="s">
        <v>20282</v>
      </c>
      <c r="I3822" t="s">
        <v>1357</v>
      </c>
      <c r="J3822" t="s">
        <v>1357</v>
      </c>
      <c r="K3822" t="s">
        <v>1357</v>
      </c>
      <c r="L3822" t="s">
        <v>1357</v>
      </c>
    </row>
    <row r="3823" spans="6:12">
      <c r="H3823" t="s">
        <v>20284</v>
      </c>
      <c r="I3823" t="s">
        <v>1357</v>
      </c>
      <c r="J3823" t="s">
        <v>1357</v>
      </c>
      <c r="K3823" t="s">
        <v>1357</v>
      </c>
      <c r="L3823" t="s">
        <v>1357</v>
      </c>
    </row>
    <row r="3824" spans="6:12">
      <c r="H3824" t="s">
        <v>20285</v>
      </c>
      <c r="I3824" t="s">
        <v>1357</v>
      </c>
      <c r="J3824" t="s">
        <v>1357</v>
      </c>
      <c r="K3824" t="s">
        <v>1357</v>
      </c>
      <c r="L3824" t="s">
        <v>1357</v>
      </c>
    </row>
    <row r="3825" spans="6:12">
      <c r="H3825" t="s">
        <v>20286</v>
      </c>
      <c r="I3825" t="s">
        <v>1357</v>
      </c>
      <c r="J3825" t="s">
        <v>1357</v>
      </c>
      <c r="K3825" t="s">
        <v>1357</v>
      </c>
      <c r="L3825" t="s">
        <v>1357</v>
      </c>
    </row>
    <row r="3826" spans="6:12">
      <c r="H3826" t="s">
        <v>20287</v>
      </c>
      <c r="I3826" t="s">
        <v>1357</v>
      </c>
      <c r="J3826" t="s">
        <v>1357</v>
      </c>
      <c r="K3826" t="s">
        <v>1357</v>
      </c>
      <c r="L3826" t="s">
        <v>1357</v>
      </c>
    </row>
    <row r="3827" spans="6:12">
      <c r="H3827" t="s">
        <v>20288</v>
      </c>
      <c r="I3827" t="s">
        <v>1357</v>
      </c>
      <c r="J3827" t="s">
        <v>1357</v>
      </c>
      <c r="K3827" t="s">
        <v>1357</v>
      </c>
      <c r="L3827" t="s">
        <v>1357</v>
      </c>
    </row>
    <row r="3828" spans="6:12">
      <c r="H3828" t="s">
        <v>20289</v>
      </c>
      <c r="I3828" t="s">
        <v>1357</v>
      </c>
      <c r="J3828" t="s">
        <v>1357</v>
      </c>
      <c r="K3828" t="s">
        <v>1357</v>
      </c>
      <c r="L3828" t="s">
        <v>1357</v>
      </c>
    </row>
    <row r="3829" spans="6:12">
      <c r="H3829" t="s">
        <v>20290</v>
      </c>
      <c r="I3829" t="s">
        <v>1357</v>
      </c>
      <c r="J3829" t="s">
        <v>1357</v>
      </c>
      <c r="K3829" t="s">
        <v>1357</v>
      </c>
      <c r="L3829" t="s">
        <v>1357</v>
      </c>
    </row>
    <row r="3830" spans="6:12">
      <c r="H3830" t="s">
        <v>20291</v>
      </c>
      <c r="I3830" t="s">
        <v>1357</v>
      </c>
      <c r="J3830" t="s">
        <v>1357</v>
      </c>
      <c r="K3830" t="s">
        <v>1357</v>
      </c>
      <c r="L3830" t="s">
        <v>1357</v>
      </c>
    </row>
    <row r="3831" spans="6:12">
      <c r="H3831" t="s">
        <v>20293</v>
      </c>
      <c r="I3831" t="s">
        <v>1357</v>
      </c>
      <c r="J3831" t="s">
        <v>1357</v>
      </c>
      <c r="K3831" t="s">
        <v>1357</v>
      </c>
      <c r="L3831" t="s">
        <v>1357</v>
      </c>
    </row>
    <row r="3832" spans="6:12">
      <c r="H3832" t="s">
        <v>20294</v>
      </c>
      <c r="I3832" t="s">
        <v>1357</v>
      </c>
      <c r="J3832" t="s">
        <v>1357</v>
      </c>
      <c r="K3832" t="s">
        <v>1357</v>
      </c>
      <c r="L3832" t="s">
        <v>1357</v>
      </c>
    </row>
    <row r="3833" spans="6:12">
      <c r="H3833" t="s">
        <v>20312</v>
      </c>
      <c r="I3833" t="s">
        <v>1357</v>
      </c>
      <c r="J3833" t="s">
        <v>1357</v>
      </c>
      <c r="K3833" t="s">
        <v>1357</v>
      </c>
      <c r="L3833" t="s">
        <v>1357</v>
      </c>
    </row>
    <row r="3834" spans="6:12">
      <c r="H3834" t="s">
        <v>20313</v>
      </c>
      <c r="I3834" t="s">
        <v>1357</v>
      </c>
      <c r="J3834" t="s">
        <v>1357</v>
      </c>
      <c r="K3834" t="s">
        <v>1357</v>
      </c>
      <c r="L3834" t="s">
        <v>1357</v>
      </c>
    </row>
    <row r="3835" spans="6:12">
      <c r="H3835" t="s">
        <v>20325</v>
      </c>
      <c r="I3835" t="s">
        <v>1357</v>
      </c>
      <c r="J3835" t="s">
        <v>1357</v>
      </c>
      <c r="K3835" t="s">
        <v>1357</v>
      </c>
      <c r="L3835" t="s">
        <v>1357</v>
      </c>
    </row>
    <row r="3836" spans="6:12">
      <c r="H3836" t="s">
        <v>20326</v>
      </c>
      <c r="I3836" t="s">
        <v>1357</v>
      </c>
      <c r="J3836" t="s">
        <v>1357</v>
      </c>
      <c r="K3836" t="s">
        <v>1357</v>
      </c>
      <c r="L3836" t="s">
        <v>1357</v>
      </c>
    </row>
    <row r="3837" spans="6:12">
      <c r="H3837" t="s">
        <v>20327</v>
      </c>
      <c r="I3837" t="s">
        <v>1357</v>
      </c>
      <c r="J3837" t="s">
        <v>1357</v>
      </c>
      <c r="K3837" t="s">
        <v>1357</v>
      </c>
      <c r="L3837" t="s">
        <v>1357</v>
      </c>
    </row>
    <row r="3838" spans="6:12">
      <c r="H3838" t="s">
        <v>20009</v>
      </c>
      <c r="I3838" t="s">
        <v>1357</v>
      </c>
      <c r="J3838" t="s">
        <v>1357</v>
      </c>
      <c r="K3838" t="s">
        <v>1357</v>
      </c>
      <c r="L3838" t="s">
        <v>1357</v>
      </c>
    </row>
    <row r="3839" spans="6:12">
      <c r="H3839" t="s">
        <v>20328</v>
      </c>
      <c r="I3839" t="s">
        <v>1357</v>
      </c>
      <c r="J3839" t="s">
        <v>1357</v>
      </c>
      <c r="K3839" t="s">
        <v>1357</v>
      </c>
      <c r="L3839" t="s">
        <v>1357</v>
      </c>
    </row>
    <row r="3840" spans="6:12">
      <c r="F3840" t="s">
        <v>15034</v>
      </c>
      <c r="G3840" t="s">
        <v>17815</v>
      </c>
      <c r="H3840" t="s">
        <v>20280</v>
      </c>
      <c r="I3840" t="s">
        <v>1357</v>
      </c>
      <c r="J3840" t="s">
        <v>1357</v>
      </c>
      <c r="K3840" t="s">
        <v>1357</v>
      </c>
      <c r="L3840" t="s">
        <v>1357</v>
      </c>
    </row>
    <row r="3841" spans="8:12">
      <c r="H3841" t="s">
        <v>20233</v>
      </c>
      <c r="I3841" t="s">
        <v>1357</v>
      </c>
      <c r="J3841" t="s">
        <v>1357</v>
      </c>
      <c r="K3841" t="s">
        <v>1357</v>
      </c>
      <c r="L3841" t="s">
        <v>1357</v>
      </c>
    </row>
    <row r="3842" spans="8:12">
      <c r="H3842" t="s">
        <v>20230</v>
      </c>
      <c r="I3842" t="s">
        <v>1357</v>
      </c>
      <c r="J3842" t="s">
        <v>1357</v>
      </c>
      <c r="K3842" t="s">
        <v>1357</v>
      </c>
      <c r="L3842" t="s">
        <v>1357</v>
      </c>
    </row>
    <row r="3843" spans="8:12">
      <c r="H3843" t="s">
        <v>20282</v>
      </c>
      <c r="I3843" t="s">
        <v>1357</v>
      </c>
      <c r="J3843" t="s">
        <v>1357</v>
      </c>
      <c r="K3843" t="s">
        <v>1357</v>
      </c>
      <c r="L3843" t="s">
        <v>1357</v>
      </c>
    </row>
    <row r="3844" spans="8:12">
      <c r="H3844" t="s">
        <v>20284</v>
      </c>
      <c r="I3844" t="s">
        <v>1357</v>
      </c>
      <c r="J3844" t="s">
        <v>1357</v>
      </c>
      <c r="K3844" t="s">
        <v>1357</v>
      </c>
      <c r="L3844" t="s">
        <v>1357</v>
      </c>
    </row>
    <row r="3845" spans="8:12">
      <c r="H3845" t="s">
        <v>20285</v>
      </c>
      <c r="I3845" t="s">
        <v>1357</v>
      </c>
      <c r="J3845" t="s">
        <v>1357</v>
      </c>
      <c r="K3845" t="s">
        <v>1357</v>
      </c>
      <c r="L3845" t="s">
        <v>1357</v>
      </c>
    </row>
    <row r="3846" spans="8:12">
      <c r="H3846" t="s">
        <v>20286</v>
      </c>
      <c r="I3846" t="s">
        <v>1357</v>
      </c>
      <c r="J3846" t="s">
        <v>1357</v>
      </c>
      <c r="K3846" t="s">
        <v>1357</v>
      </c>
      <c r="L3846" t="s">
        <v>1357</v>
      </c>
    </row>
    <row r="3847" spans="8:12">
      <c r="H3847" t="s">
        <v>20287</v>
      </c>
      <c r="I3847" t="s">
        <v>1357</v>
      </c>
      <c r="J3847" t="s">
        <v>1357</v>
      </c>
      <c r="K3847" t="s">
        <v>1357</v>
      </c>
      <c r="L3847" t="s">
        <v>1357</v>
      </c>
    </row>
    <row r="3848" spans="8:12">
      <c r="H3848" t="s">
        <v>20288</v>
      </c>
      <c r="I3848" t="s">
        <v>1357</v>
      </c>
      <c r="J3848" t="s">
        <v>1357</v>
      </c>
      <c r="K3848" t="s">
        <v>1357</v>
      </c>
      <c r="L3848" t="s">
        <v>1357</v>
      </c>
    </row>
    <row r="3849" spans="8:12">
      <c r="H3849" t="s">
        <v>20289</v>
      </c>
      <c r="I3849" t="s">
        <v>1357</v>
      </c>
      <c r="J3849" t="s">
        <v>1357</v>
      </c>
      <c r="K3849" t="s">
        <v>1357</v>
      </c>
      <c r="L3849" t="s">
        <v>1357</v>
      </c>
    </row>
    <row r="3850" spans="8:12">
      <c r="H3850" t="s">
        <v>20290</v>
      </c>
      <c r="I3850" t="s">
        <v>1357</v>
      </c>
      <c r="J3850" t="s">
        <v>1357</v>
      </c>
      <c r="K3850" t="s">
        <v>1357</v>
      </c>
      <c r="L3850" t="s">
        <v>1357</v>
      </c>
    </row>
    <row r="3851" spans="8:12">
      <c r="H3851" t="s">
        <v>20291</v>
      </c>
      <c r="I3851" t="s">
        <v>1357</v>
      </c>
      <c r="J3851" t="s">
        <v>1357</v>
      </c>
      <c r="K3851" t="s">
        <v>1357</v>
      </c>
      <c r="L3851" t="s">
        <v>1357</v>
      </c>
    </row>
    <row r="3852" spans="8:12">
      <c r="H3852" t="s">
        <v>20293</v>
      </c>
      <c r="I3852" t="s">
        <v>1357</v>
      </c>
      <c r="J3852" t="s">
        <v>1357</v>
      </c>
      <c r="K3852" t="s">
        <v>1357</v>
      </c>
      <c r="L3852" t="s">
        <v>1357</v>
      </c>
    </row>
    <row r="3853" spans="8:12">
      <c r="H3853" t="s">
        <v>20294</v>
      </c>
      <c r="I3853" t="s">
        <v>1357</v>
      </c>
      <c r="J3853" t="s">
        <v>1357</v>
      </c>
      <c r="K3853" t="s">
        <v>1357</v>
      </c>
      <c r="L3853" t="s">
        <v>1357</v>
      </c>
    </row>
    <row r="3854" spans="8:12">
      <c r="H3854" t="s">
        <v>20312</v>
      </c>
      <c r="I3854" t="s">
        <v>1357</v>
      </c>
      <c r="J3854" t="s">
        <v>1357</v>
      </c>
      <c r="K3854" t="s">
        <v>1357</v>
      </c>
      <c r="L3854" t="s">
        <v>1357</v>
      </c>
    </row>
    <row r="3855" spans="8:12">
      <c r="H3855" t="s">
        <v>20313</v>
      </c>
      <c r="I3855" t="s">
        <v>1357</v>
      </c>
      <c r="J3855" t="s">
        <v>1357</v>
      </c>
      <c r="K3855" t="s">
        <v>1357</v>
      </c>
      <c r="L3855" t="s">
        <v>1357</v>
      </c>
    </row>
    <row r="3856" spans="8:12">
      <c r="H3856" t="s">
        <v>20325</v>
      </c>
      <c r="I3856" t="s">
        <v>1357</v>
      </c>
      <c r="J3856" t="s">
        <v>1357</v>
      </c>
      <c r="K3856" t="s">
        <v>1357</v>
      </c>
      <c r="L3856" t="s">
        <v>1357</v>
      </c>
    </row>
    <row r="3857" spans="6:12">
      <c r="H3857" t="s">
        <v>20326</v>
      </c>
      <c r="I3857" t="s">
        <v>1357</v>
      </c>
      <c r="J3857" t="s">
        <v>1357</v>
      </c>
      <c r="K3857" t="s">
        <v>1357</v>
      </c>
      <c r="L3857" t="s">
        <v>1357</v>
      </c>
    </row>
    <row r="3858" spans="6:12">
      <c r="H3858" t="s">
        <v>20327</v>
      </c>
      <c r="I3858" t="s">
        <v>1357</v>
      </c>
      <c r="J3858" t="s">
        <v>1357</v>
      </c>
      <c r="K3858" t="s">
        <v>1357</v>
      </c>
      <c r="L3858" t="s">
        <v>1357</v>
      </c>
    </row>
    <row r="3859" spans="6:12">
      <c r="H3859" t="s">
        <v>20009</v>
      </c>
      <c r="I3859" t="s">
        <v>1357</v>
      </c>
      <c r="J3859" t="s">
        <v>1357</v>
      </c>
      <c r="K3859" t="s">
        <v>1357</v>
      </c>
      <c r="L3859" t="s">
        <v>1357</v>
      </c>
    </row>
    <row r="3860" spans="6:12">
      <c r="H3860" t="s">
        <v>20328</v>
      </c>
      <c r="I3860" t="s">
        <v>1357</v>
      </c>
      <c r="J3860" t="s">
        <v>1357</v>
      </c>
      <c r="K3860" t="s">
        <v>1357</v>
      </c>
      <c r="L3860" t="s">
        <v>1357</v>
      </c>
    </row>
    <row r="3861" spans="6:12">
      <c r="F3861" t="s">
        <v>15035</v>
      </c>
      <c r="G3861" t="s">
        <v>17816</v>
      </c>
      <c r="H3861" t="s">
        <v>20280</v>
      </c>
      <c r="I3861" t="s">
        <v>1357</v>
      </c>
      <c r="J3861" t="s">
        <v>1357</v>
      </c>
      <c r="K3861" t="s">
        <v>1357</v>
      </c>
      <c r="L3861" t="s">
        <v>1357</v>
      </c>
    </row>
    <row r="3862" spans="6:12">
      <c r="H3862" t="s">
        <v>20233</v>
      </c>
      <c r="I3862" t="s">
        <v>1357</v>
      </c>
      <c r="J3862" t="s">
        <v>1357</v>
      </c>
      <c r="K3862" t="s">
        <v>1357</v>
      </c>
      <c r="L3862" t="s">
        <v>1357</v>
      </c>
    </row>
    <row r="3863" spans="6:12">
      <c r="H3863" t="s">
        <v>20227</v>
      </c>
      <c r="I3863" t="s">
        <v>1357</v>
      </c>
      <c r="J3863" t="s">
        <v>1357</v>
      </c>
      <c r="K3863" t="s">
        <v>1357</v>
      </c>
      <c r="L3863" t="s">
        <v>1357</v>
      </c>
    </row>
    <row r="3864" spans="6:12">
      <c r="H3864" t="s">
        <v>20281</v>
      </c>
      <c r="I3864" t="s">
        <v>1357</v>
      </c>
      <c r="J3864" t="s">
        <v>1357</v>
      </c>
      <c r="K3864" t="s">
        <v>1357</v>
      </c>
      <c r="L3864" t="s">
        <v>1357</v>
      </c>
    </row>
    <row r="3865" spans="6:12">
      <c r="H3865" t="s">
        <v>20282</v>
      </c>
      <c r="I3865" t="s">
        <v>1357</v>
      </c>
      <c r="J3865" t="s">
        <v>1357</v>
      </c>
      <c r="K3865" t="s">
        <v>1357</v>
      </c>
      <c r="L3865" t="s">
        <v>1357</v>
      </c>
    </row>
    <row r="3866" spans="6:12">
      <c r="H3866" t="s">
        <v>20283</v>
      </c>
      <c r="I3866" t="s">
        <v>1357</v>
      </c>
      <c r="J3866" t="s">
        <v>1357</v>
      </c>
      <c r="K3866" t="s">
        <v>1357</v>
      </c>
      <c r="L3866" t="s">
        <v>1357</v>
      </c>
    </row>
    <row r="3867" spans="6:12">
      <c r="H3867" t="s">
        <v>20284</v>
      </c>
      <c r="I3867" t="s">
        <v>1357</v>
      </c>
      <c r="J3867" t="s">
        <v>1357</v>
      </c>
      <c r="K3867" t="s">
        <v>1357</v>
      </c>
      <c r="L3867" t="s">
        <v>1357</v>
      </c>
    </row>
    <row r="3868" spans="6:12">
      <c r="H3868" t="s">
        <v>20285</v>
      </c>
      <c r="I3868" t="s">
        <v>1357</v>
      </c>
      <c r="J3868" t="s">
        <v>1357</v>
      </c>
      <c r="K3868" t="s">
        <v>1357</v>
      </c>
      <c r="L3868" t="s">
        <v>1357</v>
      </c>
    </row>
    <row r="3869" spans="6:12">
      <c r="H3869" t="s">
        <v>20286</v>
      </c>
      <c r="I3869" t="s">
        <v>1357</v>
      </c>
      <c r="J3869" t="s">
        <v>1357</v>
      </c>
      <c r="K3869" t="s">
        <v>1357</v>
      </c>
      <c r="L3869" t="s">
        <v>1357</v>
      </c>
    </row>
    <row r="3870" spans="6:12">
      <c r="H3870" t="s">
        <v>20287</v>
      </c>
      <c r="I3870" t="s">
        <v>1357</v>
      </c>
      <c r="J3870" t="s">
        <v>1357</v>
      </c>
      <c r="K3870" t="s">
        <v>1357</v>
      </c>
      <c r="L3870" t="s">
        <v>1357</v>
      </c>
    </row>
    <row r="3871" spans="6:12">
      <c r="F3871" t="s">
        <v>15036</v>
      </c>
      <c r="G3871" t="s">
        <v>17489</v>
      </c>
      <c r="H3871" t="s">
        <v>20280</v>
      </c>
      <c r="I3871" t="s">
        <v>1357</v>
      </c>
      <c r="J3871" t="s">
        <v>1357</v>
      </c>
      <c r="K3871" t="s">
        <v>1357</v>
      </c>
      <c r="L3871" t="s">
        <v>1357</v>
      </c>
    </row>
    <row r="3872" spans="6:12">
      <c r="H3872" t="s">
        <v>20233</v>
      </c>
      <c r="I3872" t="s">
        <v>1357</v>
      </c>
      <c r="J3872" t="s">
        <v>1357</v>
      </c>
      <c r="K3872" t="s">
        <v>1357</v>
      </c>
      <c r="L3872" t="s">
        <v>1357</v>
      </c>
    </row>
    <row r="3873" spans="8:12">
      <c r="H3873" t="s">
        <v>20230</v>
      </c>
      <c r="I3873" t="s">
        <v>1357</v>
      </c>
      <c r="J3873" t="s">
        <v>1357</v>
      </c>
      <c r="K3873" t="s">
        <v>1357</v>
      </c>
      <c r="L3873" t="s">
        <v>1357</v>
      </c>
    </row>
    <row r="3874" spans="8:12">
      <c r="H3874" t="s">
        <v>20227</v>
      </c>
      <c r="I3874" t="s">
        <v>1357</v>
      </c>
      <c r="J3874" t="s">
        <v>1357</v>
      </c>
      <c r="K3874" t="s">
        <v>1357</v>
      </c>
      <c r="L3874" t="s">
        <v>1357</v>
      </c>
    </row>
    <row r="3875" spans="8:12">
      <c r="H3875" t="s">
        <v>20228</v>
      </c>
      <c r="I3875" t="s">
        <v>1357</v>
      </c>
      <c r="J3875" t="s">
        <v>1357</v>
      </c>
      <c r="K3875" t="s">
        <v>1357</v>
      </c>
      <c r="L3875" t="s">
        <v>1357</v>
      </c>
    </row>
    <row r="3876" spans="8:12">
      <c r="H3876" t="s">
        <v>20232</v>
      </c>
      <c r="I3876" t="s">
        <v>1357</v>
      </c>
      <c r="J3876" t="s">
        <v>1357</v>
      </c>
      <c r="K3876" t="s">
        <v>1357</v>
      </c>
      <c r="L3876" t="s">
        <v>1357</v>
      </c>
    </row>
    <row r="3877" spans="8:12">
      <c r="H3877" t="s">
        <v>20229</v>
      </c>
      <c r="I3877" t="s">
        <v>1357</v>
      </c>
      <c r="J3877" t="s">
        <v>1357</v>
      </c>
      <c r="K3877" t="s">
        <v>1357</v>
      </c>
      <c r="L3877" t="s">
        <v>1357</v>
      </c>
    </row>
    <row r="3878" spans="8:12">
      <c r="H3878" t="s">
        <v>20296</v>
      </c>
      <c r="I3878" t="s">
        <v>1357</v>
      </c>
      <c r="J3878" t="s">
        <v>1357</v>
      </c>
      <c r="K3878" t="s">
        <v>1357</v>
      </c>
      <c r="L3878" t="s">
        <v>1357</v>
      </c>
    </row>
    <row r="3879" spans="8:12">
      <c r="H3879" t="s">
        <v>20297</v>
      </c>
      <c r="I3879" t="s">
        <v>1357</v>
      </c>
      <c r="J3879" t="s">
        <v>1357</v>
      </c>
      <c r="K3879" t="s">
        <v>1357</v>
      </c>
      <c r="L3879" t="s">
        <v>1357</v>
      </c>
    </row>
    <row r="3880" spans="8:12">
      <c r="H3880" t="s">
        <v>20234</v>
      </c>
      <c r="I3880" t="s">
        <v>1357</v>
      </c>
      <c r="J3880" t="s">
        <v>1357</v>
      </c>
      <c r="K3880" t="s">
        <v>1357</v>
      </c>
      <c r="L3880" t="s">
        <v>1357</v>
      </c>
    </row>
    <row r="3881" spans="8:12">
      <c r="H3881" t="s">
        <v>20235</v>
      </c>
      <c r="I3881" t="s">
        <v>1357</v>
      </c>
      <c r="J3881" t="s">
        <v>1357</v>
      </c>
      <c r="K3881" t="s">
        <v>1357</v>
      </c>
      <c r="L3881" t="s">
        <v>1357</v>
      </c>
    </row>
    <row r="3882" spans="8:12">
      <c r="H3882" t="s">
        <v>20298</v>
      </c>
      <c r="I3882" t="s">
        <v>1357</v>
      </c>
      <c r="J3882" t="s">
        <v>1357</v>
      </c>
      <c r="K3882" t="s">
        <v>1357</v>
      </c>
      <c r="L3882" t="s">
        <v>1357</v>
      </c>
    </row>
    <row r="3883" spans="8:12">
      <c r="H3883" t="s">
        <v>20299</v>
      </c>
      <c r="I3883" t="s">
        <v>1357</v>
      </c>
      <c r="J3883" t="s">
        <v>1357</v>
      </c>
      <c r="K3883" t="s">
        <v>1357</v>
      </c>
      <c r="L3883" t="s">
        <v>1357</v>
      </c>
    </row>
    <row r="3884" spans="8:12">
      <c r="H3884" t="s">
        <v>20300</v>
      </c>
      <c r="I3884" t="s">
        <v>1357</v>
      </c>
      <c r="J3884" t="s">
        <v>1357</v>
      </c>
      <c r="K3884" t="s">
        <v>1357</v>
      </c>
      <c r="L3884" t="s">
        <v>1357</v>
      </c>
    </row>
    <row r="3885" spans="8:12">
      <c r="H3885" t="s">
        <v>20284</v>
      </c>
      <c r="I3885" t="s">
        <v>1357</v>
      </c>
      <c r="J3885" t="s">
        <v>1357</v>
      </c>
      <c r="K3885" t="s">
        <v>1357</v>
      </c>
      <c r="L3885" t="s">
        <v>1357</v>
      </c>
    </row>
    <row r="3886" spans="8:12">
      <c r="H3886" t="s">
        <v>20285</v>
      </c>
      <c r="I3886" t="s">
        <v>1357</v>
      </c>
      <c r="J3886" t="s">
        <v>1357</v>
      </c>
      <c r="K3886" t="s">
        <v>1357</v>
      </c>
      <c r="L3886" t="s">
        <v>1357</v>
      </c>
    </row>
    <row r="3887" spans="8:12">
      <c r="H3887" t="s">
        <v>20286</v>
      </c>
      <c r="I3887" t="s">
        <v>1357</v>
      </c>
      <c r="J3887" t="s">
        <v>1357</v>
      </c>
      <c r="K3887" t="s">
        <v>1357</v>
      </c>
      <c r="L3887" t="s">
        <v>1357</v>
      </c>
    </row>
    <row r="3888" spans="8:12">
      <c r="H3888" t="s">
        <v>20287</v>
      </c>
      <c r="I3888" t="s">
        <v>1357</v>
      </c>
      <c r="J3888" t="s">
        <v>1357</v>
      </c>
      <c r="K3888" t="s">
        <v>1357</v>
      </c>
      <c r="L3888" t="s">
        <v>1357</v>
      </c>
    </row>
    <row r="3889" spans="6:12">
      <c r="F3889" t="s">
        <v>15037</v>
      </c>
      <c r="G3889" t="s">
        <v>17490</v>
      </c>
      <c r="H3889" t="s">
        <v>20280</v>
      </c>
      <c r="I3889" t="s">
        <v>1357</v>
      </c>
      <c r="J3889" t="s">
        <v>1357</v>
      </c>
      <c r="K3889" t="s">
        <v>1357</v>
      </c>
      <c r="L3889" t="s">
        <v>1357</v>
      </c>
    </row>
    <row r="3890" spans="6:12">
      <c r="H3890" t="s">
        <v>20233</v>
      </c>
      <c r="I3890" t="s">
        <v>1357</v>
      </c>
      <c r="J3890" t="s">
        <v>1357</v>
      </c>
      <c r="K3890" t="s">
        <v>1357</v>
      </c>
      <c r="L3890" t="s">
        <v>1357</v>
      </c>
    </row>
    <row r="3891" spans="6:12">
      <c r="H3891" t="s">
        <v>20230</v>
      </c>
      <c r="I3891" t="s">
        <v>1357</v>
      </c>
      <c r="J3891" t="s">
        <v>1357</v>
      </c>
      <c r="K3891" t="s">
        <v>1357</v>
      </c>
      <c r="L3891" t="s">
        <v>1357</v>
      </c>
    </row>
    <row r="3892" spans="6:12">
      <c r="H3892" t="s">
        <v>20227</v>
      </c>
      <c r="I3892" t="s">
        <v>1357</v>
      </c>
      <c r="J3892" t="s">
        <v>1357</v>
      </c>
      <c r="K3892" t="s">
        <v>1357</v>
      </c>
      <c r="L3892" t="s">
        <v>1357</v>
      </c>
    </row>
    <row r="3893" spans="6:12">
      <c r="H3893" t="s">
        <v>20228</v>
      </c>
      <c r="I3893" t="s">
        <v>1357</v>
      </c>
      <c r="J3893" t="s">
        <v>1357</v>
      </c>
      <c r="K3893" t="s">
        <v>1357</v>
      </c>
      <c r="L3893" t="s">
        <v>1357</v>
      </c>
    </row>
    <row r="3894" spans="6:12">
      <c r="H3894" t="s">
        <v>20296</v>
      </c>
      <c r="I3894" t="s">
        <v>1357</v>
      </c>
      <c r="J3894" t="s">
        <v>1357</v>
      </c>
      <c r="K3894" t="s">
        <v>1357</v>
      </c>
      <c r="L3894" t="s">
        <v>1357</v>
      </c>
    </row>
    <row r="3895" spans="6:12">
      <c r="H3895" t="s">
        <v>20297</v>
      </c>
      <c r="I3895" t="s">
        <v>1357</v>
      </c>
      <c r="J3895" t="s">
        <v>1357</v>
      </c>
      <c r="K3895" t="s">
        <v>1357</v>
      </c>
      <c r="L3895" t="s">
        <v>1357</v>
      </c>
    </row>
    <row r="3896" spans="6:12">
      <c r="H3896" t="s">
        <v>20234</v>
      </c>
      <c r="I3896" t="s">
        <v>1357</v>
      </c>
      <c r="J3896" t="s">
        <v>1357</v>
      </c>
      <c r="K3896" t="s">
        <v>1357</v>
      </c>
      <c r="L3896" t="s">
        <v>1357</v>
      </c>
    </row>
    <row r="3897" spans="6:12">
      <c r="H3897" t="s">
        <v>20235</v>
      </c>
      <c r="I3897" t="s">
        <v>1357</v>
      </c>
      <c r="J3897" t="s">
        <v>1357</v>
      </c>
      <c r="K3897" t="s">
        <v>1357</v>
      </c>
      <c r="L3897" t="s">
        <v>1357</v>
      </c>
    </row>
    <row r="3898" spans="6:12">
      <c r="H3898" t="s">
        <v>20285</v>
      </c>
      <c r="I3898" t="s">
        <v>1357</v>
      </c>
      <c r="J3898" t="s">
        <v>1357</v>
      </c>
      <c r="K3898" t="s">
        <v>1357</v>
      </c>
      <c r="L3898" t="s">
        <v>1357</v>
      </c>
    </row>
    <row r="3899" spans="6:12">
      <c r="H3899" t="s">
        <v>20286</v>
      </c>
      <c r="I3899" t="s">
        <v>1357</v>
      </c>
      <c r="J3899" t="s">
        <v>1357</v>
      </c>
      <c r="K3899" t="s">
        <v>1357</v>
      </c>
      <c r="L3899" t="s">
        <v>1357</v>
      </c>
    </row>
    <row r="3900" spans="6:12">
      <c r="H3900" t="s">
        <v>20287</v>
      </c>
      <c r="I3900" t="s">
        <v>1357</v>
      </c>
      <c r="J3900" t="s">
        <v>1357</v>
      </c>
      <c r="K3900" t="s">
        <v>1357</v>
      </c>
      <c r="L3900" t="s">
        <v>1357</v>
      </c>
    </row>
    <row r="3901" spans="6:12">
      <c r="H3901" t="s">
        <v>20288</v>
      </c>
      <c r="I3901" t="s">
        <v>1357</v>
      </c>
      <c r="J3901" t="s">
        <v>1357</v>
      </c>
      <c r="K3901" t="s">
        <v>1357</v>
      </c>
      <c r="L3901" t="s">
        <v>1357</v>
      </c>
    </row>
    <row r="3902" spans="6:12">
      <c r="F3902" t="s">
        <v>15038</v>
      </c>
      <c r="G3902" t="s">
        <v>17491</v>
      </c>
      <c r="H3902" t="s">
        <v>20280</v>
      </c>
      <c r="I3902" t="s">
        <v>1357</v>
      </c>
      <c r="J3902" t="s">
        <v>1357</v>
      </c>
      <c r="K3902" t="s">
        <v>1357</v>
      </c>
      <c r="L3902" t="s">
        <v>1357</v>
      </c>
    </row>
    <row r="3903" spans="6:12">
      <c r="H3903" t="s">
        <v>20233</v>
      </c>
      <c r="I3903" t="s">
        <v>1357</v>
      </c>
      <c r="J3903" t="s">
        <v>1357</v>
      </c>
      <c r="K3903" t="s">
        <v>1357</v>
      </c>
      <c r="L3903" t="s">
        <v>1357</v>
      </c>
    </row>
    <row r="3904" spans="6:12">
      <c r="H3904" t="s">
        <v>20230</v>
      </c>
      <c r="I3904" t="s">
        <v>1357</v>
      </c>
      <c r="J3904" t="s">
        <v>1357</v>
      </c>
      <c r="K3904" t="s">
        <v>1357</v>
      </c>
      <c r="L3904" t="s">
        <v>1357</v>
      </c>
    </row>
    <row r="3905" spans="6:12">
      <c r="H3905" t="s">
        <v>20231</v>
      </c>
      <c r="I3905" t="s">
        <v>1357</v>
      </c>
      <c r="J3905" t="s">
        <v>1357</v>
      </c>
      <c r="K3905" t="s">
        <v>1357</v>
      </c>
      <c r="L3905" t="s">
        <v>1357</v>
      </c>
    </row>
    <row r="3906" spans="6:12">
      <c r="H3906" t="s">
        <v>20296</v>
      </c>
      <c r="I3906" t="s">
        <v>1357</v>
      </c>
      <c r="J3906" t="s">
        <v>1357</v>
      </c>
      <c r="K3906" t="s">
        <v>1357</v>
      </c>
      <c r="L3906" t="s">
        <v>1357</v>
      </c>
    </row>
    <row r="3907" spans="6:12">
      <c r="H3907" t="s">
        <v>20297</v>
      </c>
      <c r="I3907" t="s">
        <v>1357</v>
      </c>
      <c r="J3907" t="s">
        <v>1357</v>
      </c>
      <c r="K3907" t="s">
        <v>1357</v>
      </c>
      <c r="L3907" t="s">
        <v>1357</v>
      </c>
    </row>
    <row r="3908" spans="6:12">
      <c r="H3908" t="s">
        <v>20234</v>
      </c>
      <c r="I3908" t="s">
        <v>1357</v>
      </c>
      <c r="J3908" t="s">
        <v>1357</v>
      </c>
      <c r="K3908" t="s">
        <v>1357</v>
      </c>
      <c r="L3908" t="s">
        <v>1357</v>
      </c>
    </row>
    <row r="3909" spans="6:12">
      <c r="H3909" t="s">
        <v>20284</v>
      </c>
      <c r="I3909" t="s">
        <v>1357</v>
      </c>
      <c r="J3909" t="s">
        <v>1357</v>
      </c>
      <c r="K3909" t="s">
        <v>1357</v>
      </c>
      <c r="L3909" t="s">
        <v>1357</v>
      </c>
    </row>
    <row r="3910" spans="6:12">
      <c r="H3910" t="s">
        <v>20285</v>
      </c>
      <c r="I3910" t="s">
        <v>1357</v>
      </c>
      <c r="J3910" t="s">
        <v>1357</v>
      </c>
      <c r="K3910" t="s">
        <v>1357</v>
      </c>
      <c r="L3910" t="s">
        <v>1357</v>
      </c>
    </row>
    <row r="3911" spans="6:12">
      <c r="H3911" t="s">
        <v>20286</v>
      </c>
      <c r="I3911" t="s">
        <v>1357</v>
      </c>
      <c r="J3911" t="s">
        <v>1357</v>
      </c>
      <c r="K3911" t="s">
        <v>1357</v>
      </c>
      <c r="L3911" t="s">
        <v>1357</v>
      </c>
    </row>
    <row r="3912" spans="6:12">
      <c r="H3912" t="s">
        <v>20287</v>
      </c>
      <c r="I3912" t="s">
        <v>1357</v>
      </c>
      <c r="J3912" t="s">
        <v>1357</v>
      </c>
      <c r="K3912" t="s">
        <v>1357</v>
      </c>
      <c r="L3912" t="s">
        <v>1357</v>
      </c>
    </row>
    <row r="3913" spans="6:12">
      <c r="F3913" t="s">
        <v>15039</v>
      </c>
      <c r="G3913" t="s">
        <v>17492</v>
      </c>
      <c r="H3913" t="s">
        <v>20280</v>
      </c>
      <c r="I3913" t="s">
        <v>1357</v>
      </c>
      <c r="J3913" t="s">
        <v>1357</v>
      </c>
      <c r="K3913" t="s">
        <v>1357</v>
      </c>
      <c r="L3913" t="s">
        <v>1357</v>
      </c>
    </row>
    <row r="3914" spans="6:12">
      <c r="H3914" t="s">
        <v>20233</v>
      </c>
      <c r="I3914" t="s">
        <v>1357</v>
      </c>
      <c r="J3914" t="s">
        <v>1357</v>
      </c>
      <c r="K3914" t="s">
        <v>1357</v>
      </c>
      <c r="L3914" t="s">
        <v>1357</v>
      </c>
    </row>
    <row r="3915" spans="6:12">
      <c r="H3915" t="s">
        <v>20230</v>
      </c>
      <c r="I3915" t="s">
        <v>1357</v>
      </c>
      <c r="J3915" t="s">
        <v>1357</v>
      </c>
      <c r="K3915" t="s">
        <v>1357</v>
      </c>
      <c r="L3915" t="s">
        <v>1357</v>
      </c>
    </row>
    <row r="3916" spans="6:12">
      <c r="H3916" t="s">
        <v>20227</v>
      </c>
      <c r="I3916" t="s">
        <v>1357</v>
      </c>
      <c r="J3916" t="s">
        <v>1357</v>
      </c>
      <c r="K3916" t="s">
        <v>1357</v>
      </c>
      <c r="L3916" t="s">
        <v>1357</v>
      </c>
    </row>
    <row r="3917" spans="6:12">
      <c r="H3917" t="s">
        <v>20228</v>
      </c>
      <c r="I3917" t="s">
        <v>1357</v>
      </c>
      <c r="J3917" t="s">
        <v>1357</v>
      </c>
      <c r="K3917" t="s">
        <v>1357</v>
      </c>
      <c r="L3917" t="s">
        <v>1357</v>
      </c>
    </row>
    <row r="3918" spans="6:12">
      <c r="H3918" t="s">
        <v>20296</v>
      </c>
      <c r="I3918" t="s">
        <v>1357</v>
      </c>
      <c r="J3918" t="s">
        <v>1357</v>
      </c>
      <c r="K3918" t="s">
        <v>1357</v>
      </c>
      <c r="L3918" t="s">
        <v>1357</v>
      </c>
    </row>
    <row r="3919" spans="6:12">
      <c r="H3919" t="s">
        <v>20297</v>
      </c>
      <c r="I3919" t="s">
        <v>1357</v>
      </c>
      <c r="J3919" t="s">
        <v>1357</v>
      </c>
      <c r="K3919" t="s">
        <v>1357</v>
      </c>
      <c r="L3919" t="s">
        <v>1357</v>
      </c>
    </row>
    <row r="3920" spans="6:12">
      <c r="H3920" t="s">
        <v>20234</v>
      </c>
      <c r="I3920" t="s">
        <v>1357</v>
      </c>
      <c r="J3920" t="s">
        <v>1357</v>
      </c>
      <c r="K3920" t="s">
        <v>1357</v>
      </c>
      <c r="L3920" t="s">
        <v>1357</v>
      </c>
    </row>
    <row r="3921" spans="6:12">
      <c r="H3921" t="s">
        <v>20284</v>
      </c>
      <c r="I3921" t="s">
        <v>1357</v>
      </c>
      <c r="J3921" t="s">
        <v>1357</v>
      </c>
      <c r="K3921" t="s">
        <v>1357</v>
      </c>
      <c r="L3921" t="s">
        <v>1357</v>
      </c>
    </row>
    <row r="3922" spans="6:12">
      <c r="H3922" t="s">
        <v>20285</v>
      </c>
      <c r="I3922" t="s">
        <v>1357</v>
      </c>
      <c r="J3922" t="s">
        <v>1357</v>
      </c>
      <c r="K3922" t="s">
        <v>1357</v>
      </c>
      <c r="L3922" t="s">
        <v>1357</v>
      </c>
    </row>
    <row r="3923" spans="6:12">
      <c r="H3923" t="s">
        <v>20286</v>
      </c>
      <c r="I3923" t="s">
        <v>1357</v>
      </c>
      <c r="J3923" t="s">
        <v>1357</v>
      </c>
      <c r="K3923" t="s">
        <v>1357</v>
      </c>
      <c r="L3923" t="s">
        <v>1357</v>
      </c>
    </row>
    <row r="3924" spans="6:12">
      <c r="H3924" t="s">
        <v>20287</v>
      </c>
      <c r="I3924" t="s">
        <v>1357</v>
      </c>
      <c r="J3924" t="s">
        <v>1357</v>
      </c>
      <c r="K3924" t="s">
        <v>1357</v>
      </c>
      <c r="L3924" t="s">
        <v>1357</v>
      </c>
    </row>
    <row r="3925" spans="6:12">
      <c r="F3925" t="s">
        <v>15040</v>
      </c>
      <c r="G3925" t="s">
        <v>17493</v>
      </c>
      <c r="H3925" t="s">
        <v>20280</v>
      </c>
      <c r="I3925" t="s">
        <v>1357</v>
      </c>
      <c r="J3925" t="s">
        <v>1357</v>
      </c>
      <c r="K3925" t="s">
        <v>1357</v>
      </c>
      <c r="L3925" t="s">
        <v>1357</v>
      </c>
    </row>
    <row r="3926" spans="6:12">
      <c r="H3926" t="s">
        <v>20233</v>
      </c>
      <c r="I3926" t="s">
        <v>1357</v>
      </c>
      <c r="J3926" t="s">
        <v>1357</v>
      </c>
      <c r="K3926" t="s">
        <v>1357</v>
      </c>
      <c r="L3926" t="s">
        <v>1357</v>
      </c>
    </row>
    <row r="3927" spans="6:12">
      <c r="H3927" t="s">
        <v>20230</v>
      </c>
      <c r="I3927" t="s">
        <v>1357</v>
      </c>
      <c r="J3927" t="s">
        <v>1357</v>
      </c>
      <c r="K3927" t="s">
        <v>1357</v>
      </c>
      <c r="L3927" t="s">
        <v>1357</v>
      </c>
    </row>
    <row r="3928" spans="6:12">
      <c r="H3928" t="s">
        <v>20231</v>
      </c>
      <c r="I3928" t="s">
        <v>1357</v>
      </c>
      <c r="J3928" t="s">
        <v>1357</v>
      </c>
      <c r="K3928" t="s">
        <v>1357</v>
      </c>
      <c r="L3928" t="s">
        <v>1357</v>
      </c>
    </row>
    <row r="3929" spans="6:12">
      <c r="H3929" t="s">
        <v>20296</v>
      </c>
      <c r="I3929" t="s">
        <v>1357</v>
      </c>
      <c r="J3929" t="s">
        <v>1357</v>
      </c>
      <c r="K3929" t="s">
        <v>1357</v>
      </c>
      <c r="L3929" t="s">
        <v>1357</v>
      </c>
    </row>
    <row r="3930" spans="6:12">
      <c r="H3930" t="s">
        <v>20297</v>
      </c>
      <c r="I3930" t="s">
        <v>1357</v>
      </c>
      <c r="J3930" t="s">
        <v>1357</v>
      </c>
      <c r="K3930" t="s">
        <v>1357</v>
      </c>
      <c r="L3930" t="s">
        <v>1357</v>
      </c>
    </row>
    <row r="3931" spans="6:12">
      <c r="H3931" t="s">
        <v>20234</v>
      </c>
      <c r="I3931" t="s">
        <v>1357</v>
      </c>
      <c r="J3931" t="s">
        <v>1357</v>
      </c>
      <c r="K3931" t="s">
        <v>1357</v>
      </c>
      <c r="L3931" t="s">
        <v>1357</v>
      </c>
    </row>
    <row r="3932" spans="6:12">
      <c r="H3932" t="s">
        <v>20284</v>
      </c>
      <c r="I3932" t="s">
        <v>1357</v>
      </c>
      <c r="J3932" t="s">
        <v>1357</v>
      </c>
      <c r="K3932" t="s">
        <v>1357</v>
      </c>
      <c r="L3932" t="s">
        <v>1357</v>
      </c>
    </row>
    <row r="3933" spans="6:12">
      <c r="H3933" t="s">
        <v>20285</v>
      </c>
      <c r="I3933" t="s">
        <v>1357</v>
      </c>
      <c r="J3933" t="s">
        <v>1357</v>
      </c>
      <c r="K3933" t="s">
        <v>1357</v>
      </c>
      <c r="L3933" t="s">
        <v>1357</v>
      </c>
    </row>
    <row r="3934" spans="6:12">
      <c r="H3934" t="s">
        <v>20286</v>
      </c>
      <c r="I3934" t="s">
        <v>1357</v>
      </c>
      <c r="J3934" t="s">
        <v>1357</v>
      </c>
      <c r="K3934" t="s">
        <v>1357</v>
      </c>
      <c r="L3934" t="s">
        <v>1357</v>
      </c>
    </row>
    <row r="3935" spans="6:12">
      <c r="H3935" t="s">
        <v>20287</v>
      </c>
      <c r="I3935" t="s">
        <v>1357</v>
      </c>
      <c r="J3935" t="s">
        <v>1357</v>
      </c>
      <c r="K3935" t="s">
        <v>1357</v>
      </c>
      <c r="L3935" t="s">
        <v>1357</v>
      </c>
    </row>
    <row r="3936" spans="6:12">
      <c r="H3936" t="s">
        <v>20288</v>
      </c>
      <c r="I3936" t="s">
        <v>1357</v>
      </c>
      <c r="J3936" t="s">
        <v>1357</v>
      </c>
      <c r="K3936" t="s">
        <v>1357</v>
      </c>
      <c r="L3936" t="s">
        <v>1357</v>
      </c>
    </row>
    <row r="3937" spans="6:12">
      <c r="F3937" t="s">
        <v>15041</v>
      </c>
      <c r="G3937" t="s">
        <v>17494</v>
      </c>
      <c r="H3937" t="s">
        <v>20280</v>
      </c>
      <c r="I3937" t="s">
        <v>1357</v>
      </c>
      <c r="J3937" t="s">
        <v>1357</v>
      </c>
      <c r="K3937" t="s">
        <v>1357</v>
      </c>
      <c r="L3937" t="s">
        <v>1357</v>
      </c>
    </row>
    <row r="3938" spans="6:12">
      <c r="H3938" t="s">
        <v>20233</v>
      </c>
      <c r="I3938" t="s">
        <v>1357</v>
      </c>
      <c r="J3938" t="s">
        <v>1357</v>
      </c>
      <c r="K3938" t="s">
        <v>1357</v>
      </c>
      <c r="L3938" t="s">
        <v>1357</v>
      </c>
    </row>
    <row r="3939" spans="6:12">
      <c r="H3939" t="s">
        <v>20230</v>
      </c>
      <c r="I3939" t="s">
        <v>1357</v>
      </c>
      <c r="J3939" t="s">
        <v>1357</v>
      </c>
      <c r="K3939" t="s">
        <v>1357</v>
      </c>
      <c r="L3939" t="s">
        <v>1357</v>
      </c>
    </row>
    <row r="3940" spans="6:12">
      <c r="H3940" t="s">
        <v>20227</v>
      </c>
      <c r="I3940" t="s">
        <v>1357</v>
      </c>
      <c r="J3940" t="s">
        <v>1357</v>
      </c>
      <c r="K3940" t="s">
        <v>1357</v>
      </c>
      <c r="L3940" t="s">
        <v>1357</v>
      </c>
    </row>
    <row r="3941" spans="6:12">
      <c r="H3941" t="s">
        <v>20228</v>
      </c>
      <c r="I3941" t="s">
        <v>1357</v>
      </c>
      <c r="J3941" t="s">
        <v>1357</v>
      </c>
      <c r="K3941" t="s">
        <v>1357</v>
      </c>
      <c r="L3941" t="s">
        <v>1357</v>
      </c>
    </row>
    <row r="3942" spans="6:12">
      <c r="H3942" t="s">
        <v>20232</v>
      </c>
      <c r="I3942" t="s">
        <v>1357</v>
      </c>
      <c r="J3942" t="s">
        <v>1357</v>
      </c>
      <c r="K3942" t="s">
        <v>1357</v>
      </c>
      <c r="L3942" t="s">
        <v>1357</v>
      </c>
    </row>
    <row r="3943" spans="6:12">
      <c r="H3943" t="s">
        <v>20229</v>
      </c>
      <c r="I3943" t="s">
        <v>1357</v>
      </c>
      <c r="J3943" t="s">
        <v>1357</v>
      </c>
      <c r="K3943" t="s">
        <v>1357</v>
      </c>
      <c r="L3943" t="s">
        <v>1357</v>
      </c>
    </row>
    <row r="3944" spans="6:12">
      <c r="H3944" t="s">
        <v>20231</v>
      </c>
      <c r="I3944" t="s">
        <v>1357</v>
      </c>
      <c r="J3944" t="s">
        <v>1357</v>
      </c>
      <c r="K3944" t="s">
        <v>1357</v>
      </c>
      <c r="L3944" t="s">
        <v>1357</v>
      </c>
    </row>
    <row r="3945" spans="6:12">
      <c r="H3945" t="s">
        <v>20296</v>
      </c>
      <c r="I3945" t="s">
        <v>1357</v>
      </c>
      <c r="J3945" t="s">
        <v>1357</v>
      </c>
      <c r="K3945" t="s">
        <v>1357</v>
      </c>
      <c r="L3945" t="s">
        <v>1357</v>
      </c>
    </row>
    <row r="3946" spans="6:12">
      <c r="H3946" t="s">
        <v>20297</v>
      </c>
      <c r="I3946" t="s">
        <v>1357</v>
      </c>
      <c r="J3946" t="s">
        <v>1357</v>
      </c>
      <c r="K3946" t="s">
        <v>1357</v>
      </c>
      <c r="L3946" t="s">
        <v>1357</v>
      </c>
    </row>
    <row r="3947" spans="6:12">
      <c r="H3947" t="s">
        <v>20234</v>
      </c>
      <c r="I3947" t="s">
        <v>1357</v>
      </c>
      <c r="J3947" t="s">
        <v>1357</v>
      </c>
      <c r="K3947" t="s">
        <v>1357</v>
      </c>
      <c r="L3947" t="s">
        <v>1357</v>
      </c>
    </row>
    <row r="3948" spans="6:12">
      <c r="H3948" t="s">
        <v>20284</v>
      </c>
      <c r="I3948" t="s">
        <v>1357</v>
      </c>
      <c r="J3948" t="s">
        <v>1357</v>
      </c>
      <c r="K3948" t="s">
        <v>1357</v>
      </c>
      <c r="L3948" t="s">
        <v>1357</v>
      </c>
    </row>
    <row r="3949" spans="6:12">
      <c r="H3949" t="s">
        <v>20285</v>
      </c>
      <c r="I3949" t="s">
        <v>1357</v>
      </c>
      <c r="J3949" t="s">
        <v>1357</v>
      </c>
      <c r="K3949" t="s">
        <v>1357</v>
      </c>
      <c r="L3949" t="s">
        <v>1357</v>
      </c>
    </row>
    <row r="3950" spans="6:12">
      <c r="H3950" t="s">
        <v>20286</v>
      </c>
      <c r="I3950" t="s">
        <v>1357</v>
      </c>
      <c r="J3950" t="s">
        <v>1357</v>
      </c>
      <c r="K3950" t="s">
        <v>1357</v>
      </c>
      <c r="L3950" t="s">
        <v>1357</v>
      </c>
    </row>
    <row r="3951" spans="6:12">
      <c r="H3951" t="s">
        <v>20287</v>
      </c>
      <c r="I3951" t="s">
        <v>1357</v>
      </c>
      <c r="J3951" t="s">
        <v>1357</v>
      </c>
      <c r="K3951" t="s">
        <v>1357</v>
      </c>
      <c r="L3951" t="s">
        <v>1357</v>
      </c>
    </row>
    <row r="3952" spans="6:12">
      <c r="F3952" t="s">
        <v>15042</v>
      </c>
      <c r="G3952" t="s">
        <v>17817</v>
      </c>
      <c r="H3952" t="s">
        <v>20233</v>
      </c>
      <c r="I3952" t="s">
        <v>1357</v>
      </c>
      <c r="J3952" t="s">
        <v>1357</v>
      </c>
      <c r="K3952" t="s">
        <v>1357</v>
      </c>
      <c r="L3952" t="s">
        <v>1357</v>
      </c>
    </row>
    <row r="3953" spans="8:12">
      <c r="H3953" t="s">
        <v>20229</v>
      </c>
      <c r="I3953" t="s">
        <v>1357</v>
      </c>
      <c r="J3953" t="s">
        <v>1357</v>
      </c>
      <c r="K3953" t="s">
        <v>1357</v>
      </c>
      <c r="L3953" t="s">
        <v>1357</v>
      </c>
    </row>
    <row r="3954" spans="8:12">
      <c r="H3954" t="s">
        <v>20283</v>
      </c>
      <c r="I3954" t="s">
        <v>1357</v>
      </c>
      <c r="J3954" t="s">
        <v>1357</v>
      </c>
      <c r="K3954" t="s">
        <v>1357</v>
      </c>
      <c r="L3954" t="s">
        <v>1357</v>
      </c>
    </row>
    <row r="3955" spans="8:12">
      <c r="H3955" t="s">
        <v>20305</v>
      </c>
      <c r="I3955" t="s">
        <v>1357</v>
      </c>
      <c r="J3955" t="s">
        <v>1357</v>
      </c>
      <c r="K3955" t="s">
        <v>1357</v>
      </c>
      <c r="L3955" t="s">
        <v>1357</v>
      </c>
    </row>
    <row r="3956" spans="8:12">
      <c r="H3956" t="s">
        <v>20284</v>
      </c>
      <c r="I3956" t="s">
        <v>1357</v>
      </c>
      <c r="J3956" t="s">
        <v>1357</v>
      </c>
      <c r="K3956" t="s">
        <v>1357</v>
      </c>
      <c r="L3956" t="s">
        <v>1357</v>
      </c>
    </row>
    <row r="3957" spans="8:12">
      <c r="H3957" t="s">
        <v>20286</v>
      </c>
      <c r="I3957" t="s">
        <v>1357</v>
      </c>
      <c r="J3957" t="s">
        <v>1357</v>
      </c>
      <c r="K3957" t="s">
        <v>1357</v>
      </c>
      <c r="L3957" t="s">
        <v>1357</v>
      </c>
    </row>
    <row r="3958" spans="8:12">
      <c r="H3958" t="s">
        <v>20287</v>
      </c>
      <c r="I3958" t="s">
        <v>1357</v>
      </c>
      <c r="J3958" t="s">
        <v>1357</v>
      </c>
      <c r="K3958" t="s">
        <v>1357</v>
      </c>
      <c r="L3958" t="s">
        <v>1357</v>
      </c>
    </row>
    <row r="3959" spans="8:12">
      <c r="H3959" t="s">
        <v>20288</v>
      </c>
      <c r="I3959" t="s">
        <v>1357</v>
      </c>
      <c r="J3959" t="s">
        <v>1357</v>
      </c>
      <c r="K3959" t="s">
        <v>1357</v>
      </c>
      <c r="L3959" t="s">
        <v>1357</v>
      </c>
    </row>
    <row r="3960" spans="8:12">
      <c r="H3960" t="s">
        <v>20289</v>
      </c>
      <c r="I3960" t="s">
        <v>1357</v>
      </c>
      <c r="J3960" t="s">
        <v>1357</v>
      </c>
      <c r="K3960" t="s">
        <v>1357</v>
      </c>
      <c r="L3960" t="s">
        <v>1357</v>
      </c>
    </row>
    <row r="3961" spans="8:12">
      <c r="H3961" t="s">
        <v>20291</v>
      </c>
      <c r="I3961" t="s">
        <v>1357</v>
      </c>
      <c r="J3961" t="s">
        <v>1357</v>
      </c>
      <c r="K3961" t="s">
        <v>1357</v>
      </c>
      <c r="L3961" t="s">
        <v>1357</v>
      </c>
    </row>
    <row r="3962" spans="8:12">
      <c r="H3962" t="s">
        <v>20293</v>
      </c>
      <c r="I3962" t="s">
        <v>1357</v>
      </c>
      <c r="J3962" t="s">
        <v>1357</v>
      </c>
      <c r="K3962" t="s">
        <v>1357</v>
      </c>
      <c r="L3962" t="s">
        <v>1357</v>
      </c>
    </row>
    <row r="3963" spans="8:12">
      <c r="H3963" t="s">
        <v>20294</v>
      </c>
      <c r="I3963" t="s">
        <v>1357</v>
      </c>
      <c r="J3963" t="s">
        <v>1357</v>
      </c>
      <c r="K3963" t="s">
        <v>1357</v>
      </c>
      <c r="L3963" t="s">
        <v>1357</v>
      </c>
    </row>
    <row r="3964" spans="8:12">
      <c r="H3964" t="s">
        <v>20312</v>
      </c>
      <c r="I3964" t="s">
        <v>1357</v>
      </c>
      <c r="J3964" t="s">
        <v>1357</v>
      </c>
      <c r="K3964" t="s">
        <v>1357</v>
      </c>
      <c r="L3964" t="s">
        <v>1357</v>
      </c>
    </row>
    <row r="3965" spans="8:12">
      <c r="H3965" t="s">
        <v>20313</v>
      </c>
      <c r="I3965" t="s">
        <v>1357</v>
      </c>
      <c r="J3965" t="s">
        <v>1357</v>
      </c>
      <c r="K3965" t="s">
        <v>1357</v>
      </c>
      <c r="L3965" t="s">
        <v>1357</v>
      </c>
    </row>
    <row r="3966" spans="8:12">
      <c r="H3966" t="s">
        <v>20325</v>
      </c>
      <c r="I3966" t="s">
        <v>1357</v>
      </c>
      <c r="J3966" t="s">
        <v>1357</v>
      </c>
      <c r="K3966" t="s">
        <v>1357</v>
      </c>
      <c r="L3966" t="s">
        <v>1357</v>
      </c>
    </row>
    <row r="3967" spans="8:12">
      <c r="H3967" t="s">
        <v>20326</v>
      </c>
      <c r="I3967" t="s">
        <v>1357</v>
      </c>
      <c r="J3967" t="s">
        <v>1357</v>
      </c>
      <c r="K3967" t="s">
        <v>1357</v>
      </c>
      <c r="L3967" t="s">
        <v>1357</v>
      </c>
    </row>
    <row r="3968" spans="8:12">
      <c r="H3968" t="s">
        <v>20327</v>
      </c>
      <c r="I3968" t="s">
        <v>1357</v>
      </c>
      <c r="J3968" t="s">
        <v>1357</v>
      </c>
      <c r="K3968" t="s">
        <v>1357</v>
      </c>
      <c r="L3968" t="s">
        <v>1357</v>
      </c>
    </row>
    <row r="3969" spans="6:12">
      <c r="H3969" t="s">
        <v>20009</v>
      </c>
      <c r="I3969" t="s">
        <v>1357</v>
      </c>
      <c r="J3969" t="s">
        <v>1357</v>
      </c>
      <c r="K3969" t="s">
        <v>1357</v>
      </c>
      <c r="L3969" t="s">
        <v>1357</v>
      </c>
    </row>
    <row r="3970" spans="6:12">
      <c r="H3970" t="s">
        <v>20329</v>
      </c>
      <c r="I3970" t="s">
        <v>1357</v>
      </c>
      <c r="J3970" t="s">
        <v>1357</v>
      </c>
      <c r="K3970" t="s">
        <v>1357</v>
      </c>
      <c r="L3970" t="s">
        <v>1357</v>
      </c>
    </row>
    <row r="3971" spans="6:12">
      <c r="H3971" t="s">
        <v>20330</v>
      </c>
      <c r="I3971" t="s">
        <v>1357</v>
      </c>
      <c r="J3971" t="s">
        <v>1357</v>
      </c>
      <c r="K3971" t="s">
        <v>1357</v>
      </c>
      <c r="L3971" t="s">
        <v>1357</v>
      </c>
    </row>
    <row r="3972" spans="6:12">
      <c r="H3972" t="s">
        <v>20331</v>
      </c>
      <c r="I3972" t="s">
        <v>1357</v>
      </c>
      <c r="J3972" t="s">
        <v>1357</v>
      </c>
      <c r="K3972" t="s">
        <v>1357</v>
      </c>
      <c r="L3972" t="s">
        <v>1357</v>
      </c>
    </row>
    <row r="3973" spans="6:12">
      <c r="H3973" t="s">
        <v>20332</v>
      </c>
      <c r="I3973" t="s">
        <v>1357</v>
      </c>
      <c r="J3973" t="s">
        <v>1357</v>
      </c>
      <c r="K3973" t="s">
        <v>1357</v>
      </c>
      <c r="L3973" t="s">
        <v>1357</v>
      </c>
    </row>
    <row r="3974" spans="6:12">
      <c r="H3974" t="s">
        <v>20333</v>
      </c>
      <c r="I3974" t="s">
        <v>1357</v>
      </c>
      <c r="J3974" t="s">
        <v>1357</v>
      </c>
      <c r="K3974" t="s">
        <v>1357</v>
      </c>
      <c r="L3974" t="s">
        <v>1357</v>
      </c>
    </row>
    <row r="3975" spans="6:12">
      <c r="F3975" t="s">
        <v>15043</v>
      </c>
      <c r="G3975" t="s">
        <v>17818</v>
      </c>
      <c r="H3975" t="s">
        <v>20233</v>
      </c>
      <c r="I3975" t="s">
        <v>1357</v>
      </c>
      <c r="J3975" t="s">
        <v>1357</v>
      </c>
      <c r="K3975" t="s">
        <v>1357</v>
      </c>
      <c r="L3975" t="s">
        <v>1357</v>
      </c>
    </row>
    <row r="3976" spans="6:12">
      <c r="H3976" t="s">
        <v>20229</v>
      </c>
      <c r="I3976" t="s">
        <v>1357</v>
      </c>
      <c r="J3976" t="s">
        <v>1357</v>
      </c>
      <c r="K3976" t="s">
        <v>1357</v>
      </c>
      <c r="L3976" t="s">
        <v>1357</v>
      </c>
    </row>
    <row r="3977" spans="6:12">
      <c r="H3977" t="s">
        <v>20283</v>
      </c>
      <c r="I3977" t="s">
        <v>1357</v>
      </c>
      <c r="J3977" t="s">
        <v>1357</v>
      </c>
      <c r="K3977" t="s">
        <v>1357</v>
      </c>
      <c r="L3977" t="s">
        <v>1357</v>
      </c>
    </row>
    <row r="3978" spans="6:12">
      <c r="H3978" t="s">
        <v>20305</v>
      </c>
      <c r="I3978" t="s">
        <v>1357</v>
      </c>
      <c r="J3978" t="s">
        <v>1357</v>
      </c>
      <c r="K3978" t="s">
        <v>1357</v>
      </c>
      <c r="L3978" t="s">
        <v>1357</v>
      </c>
    </row>
    <row r="3979" spans="6:12">
      <c r="H3979" t="s">
        <v>20284</v>
      </c>
      <c r="I3979" t="s">
        <v>1357</v>
      </c>
      <c r="J3979" t="s">
        <v>1357</v>
      </c>
      <c r="K3979" t="s">
        <v>1357</v>
      </c>
      <c r="L3979" t="s">
        <v>1357</v>
      </c>
    </row>
    <row r="3980" spans="6:12">
      <c r="H3980" t="s">
        <v>20286</v>
      </c>
      <c r="I3980" t="s">
        <v>1357</v>
      </c>
      <c r="J3980" t="s">
        <v>1357</v>
      </c>
      <c r="K3980" t="s">
        <v>1357</v>
      </c>
      <c r="L3980" t="s">
        <v>1357</v>
      </c>
    </row>
    <row r="3981" spans="6:12">
      <c r="H3981" t="s">
        <v>20287</v>
      </c>
      <c r="I3981" t="s">
        <v>1357</v>
      </c>
      <c r="J3981" t="s">
        <v>1357</v>
      </c>
      <c r="K3981" t="s">
        <v>1357</v>
      </c>
      <c r="L3981" t="s">
        <v>1357</v>
      </c>
    </row>
    <row r="3982" spans="6:12">
      <c r="H3982" t="s">
        <v>20288</v>
      </c>
      <c r="I3982" t="s">
        <v>1357</v>
      </c>
      <c r="J3982" t="s">
        <v>1357</v>
      </c>
      <c r="K3982" t="s">
        <v>1357</v>
      </c>
      <c r="L3982" t="s">
        <v>1357</v>
      </c>
    </row>
    <row r="3983" spans="6:12">
      <c r="H3983" t="s">
        <v>20289</v>
      </c>
      <c r="I3983" t="s">
        <v>1357</v>
      </c>
      <c r="J3983" t="s">
        <v>1357</v>
      </c>
      <c r="K3983" t="s">
        <v>1357</v>
      </c>
      <c r="L3983" t="s">
        <v>1357</v>
      </c>
    </row>
    <row r="3984" spans="6:12">
      <c r="H3984" t="s">
        <v>20291</v>
      </c>
      <c r="I3984" t="s">
        <v>1357</v>
      </c>
      <c r="J3984" t="s">
        <v>1357</v>
      </c>
      <c r="K3984" t="s">
        <v>1357</v>
      </c>
      <c r="L3984" t="s">
        <v>1357</v>
      </c>
    </row>
    <row r="3985" spans="6:12">
      <c r="H3985" t="s">
        <v>20293</v>
      </c>
      <c r="I3985" t="s">
        <v>1357</v>
      </c>
      <c r="J3985" t="s">
        <v>1357</v>
      </c>
      <c r="K3985" t="s">
        <v>1357</v>
      </c>
      <c r="L3985" t="s">
        <v>1357</v>
      </c>
    </row>
    <row r="3986" spans="6:12">
      <c r="H3986" t="s">
        <v>20294</v>
      </c>
      <c r="I3986" t="s">
        <v>1357</v>
      </c>
      <c r="J3986" t="s">
        <v>1357</v>
      </c>
      <c r="K3986" t="s">
        <v>1357</v>
      </c>
      <c r="L3986" t="s">
        <v>1357</v>
      </c>
    </row>
    <row r="3987" spans="6:12">
      <c r="H3987" t="s">
        <v>20312</v>
      </c>
      <c r="I3987" t="s">
        <v>1357</v>
      </c>
      <c r="J3987" t="s">
        <v>1357</v>
      </c>
      <c r="K3987" t="s">
        <v>1357</v>
      </c>
      <c r="L3987" t="s">
        <v>1357</v>
      </c>
    </row>
    <row r="3988" spans="6:12">
      <c r="H3988" t="s">
        <v>20313</v>
      </c>
      <c r="I3988" t="s">
        <v>1357</v>
      </c>
      <c r="J3988" t="s">
        <v>1357</v>
      </c>
      <c r="K3988" t="s">
        <v>1357</v>
      </c>
      <c r="L3988" t="s">
        <v>1357</v>
      </c>
    </row>
    <row r="3989" spans="6:12">
      <c r="H3989" t="s">
        <v>20325</v>
      </c>
      <c r="I3989" t="s">
        <v>1357</v>
      </c>
      <c r="J3989" t="s">
        <v>1357</v>
      </c>
      <c r="K3989" t="s">
        <v>1357</v>
      </c>
      <c r="L3989" t="s">
        <v>1357</v>
      </c>
    </row>
    <row r="3990" spans="6:12">
      <c r="H3990" t="s">
        <v>20326</v>
      </c>
      <c r="I3990" t="s">
        <v>1357</v>
      </c>
      <c r="J3990" t="s">
        <v>1357</v>
      </c>
      <c r="K3990" t="s">
        <v>1357</v>
      </c>
      <c r="L3990" t="s">
        <v>1357</v>
      </c>
    </row>
    <row r="3991" spans="6:12">
      <c r="H3991" t="s">
        <v>20327</v>
      </c>
      <c r="I3991" t="s">
        <v>1357</v>
      </c>
      <c r="J3991" t="s">
        <v>1357</v>
      </c>
      <c r="K3991" t="s">
        <v>1357</v>
      </c>
      <c r="L3991" t="s">
        <v>1357</v>
      </c>
    </row>
    <row r="3992" spans="6:12">
      <c r="H3992" t="s">
        <v>20009</v>
      </c>
      <c r="I3992" t="s">
        <v>1357</v>
      </c>
      <c r="J3992" t="s">
        <v>1357</v>
      </c>
      <c r="K3992" t="s">
        <v>1357</v>
      </c>
      <c r="L3992" t="s">
        <v>1357</v>
      </c>
    </row>
    <row r="3993" spans="6:12">
      <c r="H3993" t="s">
        <v>20329</v>
      </c>
      <c r="I3993" t="s">
        <v>1357</v>
      </c>
      <c r="J3993" t="s">
        <v>1357</v>
      </c>
      <c r="K3993" t="s">
        <v>1357</v>
      </c>
      <c r="L3993" t="s">
        <v>1357</v>
      </c>
    </row>
    <row r="3994" spans="6:12">
      <c r="H3994" t="s">
        <v>20330</v>
      </c>
      <c r="I3994" t="s">
        <v>1357</v>
      </c>
      <c r="J3994" t="s">
        <v>1357</v>
      </c>
      <c r="K3994" t="s">
        <v>1357</v>
      </c>
      <c r="L3994" t="s">
        <v>1357</v>
      </c>
    </row>
    <row r="3995" spans="6:12">
      <c r="H3995" t="s">
        <v>20331</v>
      </c>
      <c r="I3995" t="s">
        <v>1357</v>
      </c>
      <c r="J3995" t="s">
        <v>1357</v>
      </c>
      <c r="K3995" t="s">
        <v>1357</v>
      </c>
      <c r="L3995" t="s">
        <v>1357</v>
      </c>
    </row>
    <row r="3996" spans="6:12">
      <c r="H3996" t="s">
        <v>20332</v>
      </c>
      <c r="I3996" t="s">
        <v>1357</v>
      </c>
      <c r="J3996" t="s">
        <v>1357</v>
      </c>
      <c r="K3996" t="s">
        <v>1357</v>
      </c>
      <c r="L3996" t="s">
        <v>1357</v>
      </c>
    </row>
    <row r="3997" spans="6:12">
      <c r="H3997" t="s">
        <v>20333</v>
      </c>
      <c r="I3997" t="s">
        <v>1357</v>
      </c>
      <c r="J3997" t="s">
        <v>1357</v>
      </c>
      <c r="K3997" t="s">
        <v>1357</v>
      </c>
      <c r="L3997" t="s">
        <v>1357</v>
      </c>
    </row>
    <row r="3998" spans="6:12">
      <c r="F3998" t="s">
        <v>14523</v>
      </c>
      <c r="G3998" t="s">
        <v>17368</v>
      </c>
      <c r="H3998" t="s">
        <v>20280</v>
      </c>
      <c r="I3998" t="s">
        <v>1357</v>
      </c>
      <c r="J3998" t="s">
        <v>1357</v>
      </c>
      <c r="K3998" t="s">
        <v>1357</v>
      </c>
      <c r="L3998" t="s">
        <v>1357</v>
      </c>
    </row>
    <row r="3999" spans="6:12">
      <c r="H3999" t="s">
        <v>20233</v>
      </c>
      <c r="I3999" t="s">
        <v>1357</v>
      </c>
      <c r="J3999" t="s">
        <v>1357</v>
      </c>
      <c r="K3999" t="s">
        <v>1357</v>
      </c>
      <c r="L3999" t="s">
        <v>1357</v>
      </c>
    </row>
    <row r="4000" spans="6:12">
      <c r="H4000" t="s">
        <v>20283</v>
      </c>
      <c r="I4000" t="s">
        <v>1357</v>
      </c>
      <c r="J4000" t="s">
        <v>1357</v>
      </c>
      <c r="K4000" t="s">
        <v>1357</v>
      </c>
      <c r="L4000" t="s">
        <v>1357</v>
      </c>
    </row>
    <row r="4001" spans="6:12">
      <c r="H4001" t="s">
        <v>20292</v>
      </c>
      <c r="I4001" t="s">
        <v>1357</v>
      </c>
      <c r="J4001" t="s">
        <v>1357</v>
      </c>
      <c r="K4001" t="s">
        <v>1357</v>
      </c>
      <c r="L4001" t="s">
        <v>1357</v>
      </c>
    </row>
    <row r="4002" spans="6:12">
      <c r="H4002" t="s">
        <v>20305</v>
      </c>
      <c r="I4002" t="s">
        <v>1357</v>
      </c>
      <c r="J4002" t="s">
        <v>1357</v>
      </c>
      <c r="K4002" t="s">
        <v>1357</v>
      </c>
      <c r="L4002" t="s">
        <v>1357</v>
      </c>
    </row>
    <row r="4003" spans="6:12">
      <c r="H4003" t="s">
        <v>20306</v>
      </c>
      <c r="I4003" t="s">
        <v>1357</v>
      </c>
      <c r="J4003" t="s">
        <v>1357</v>
      </c>
      <c r="K4003" t="s">
        <v>1357</v>
      </c>
      <c r="L4003" t="s">
        <v>1357</v>
      </c>
    </row>
    <row r="4004" spans="6:12">
      <c r="H4004" t="s">
        <v>20284</v>
      </c>
      <c r="I4004" t="s">
        <v>1357</v>
      </c>
      <c r="J4004" t="s">
        <v>1357</v>
      </c>
      <c r="K4004" t="s">
        <v>1357</v>
      </c>
      <c r="L4004" t="s">
        <v>1357</v>
      </c>
    </row>
    <row r="4005" spans="6:12">
      <c r="H4005" t="s">
        <v>20285</v>
      </c>
      <c r="I4005" t="s">
        <v>1357</v>
      </c>
      <c r="J4005" t="s">
        <v>1357</v>
      </c>
      <c r="K4005" t="s">
        <v>1357</v>
      </c>
      <c r="L4005" t="s">
        <v>1357</v>
      </c>
    </row>
    <row r="4006" spans="6:12">
      <c r="H4006" t="s">
        <v>20288</v>
      </c>
      <c r="I4006" t="s">
        <v>1357</v>
      </c>
      <c r="J4006" t="s">
        <v>1357</v>
      </c>
      <c r="K4006" t="s">
        <v>1357</v>
      </c>
      <c r="L4006" t="s">
        <v>1357</v>
      </c>
    </row>
    <row r="4007" spans="6:12">
      <c r="H4007" t="s">
        <v>20289</v>
      </c>
      <c r="I4007" t="s">
        <v>1357</v>
      </c>
      <c r="J4007" t="s">
        <v>1357</v>
      </c>
      <c r="K4007" t="s">
        <v>1357</v>
      </c>
      <c r="L4007" t="s">
        <v>1357</v>
      </c>
    </row>
    <row r="4008" spans="6:12">
      <c r="H4008" t="s">
        <v>20293</v>
      </c>
      <c r="I4008" t="s">
        <v>1357</v>
      </c>
      <c r="J4008" t="s">
        <v>1357</v>
      </c>
      <c r="K4008" t="s">
        <v>1357</v>
      </c>
      <c r="L4008" t="s">
        <v>1357</v>
      </c>
    </row>
    <row r="4009" spans="6:12">
      <c r="H4009" t="s">
        <v>20294</v>
      </c>
      <c r="I4009" t="s">
        <v>1357</v>
      </c>
      <c r="J4009" t="s">
        <v>1357</v>
      </c>
      <c r="K4009" t="s">
        <v>1357</v>
      </c>
      <c r="L4009" t="s">
        <v>1357</v>
      </c>
    </row>
    <row r="4010" spans="6:12">
      <c r="H4010" t="s">
        <v>20312</v>
      </c>
      <c r="I4010" t="s">
        <v>1357</v>
      </c>
      <c r="J4010" t="s">
        <v>1357</v>
      </c>
      <c r="K4010" t="s">
        <v>1357</v>
      </c>
      <c r="L4010" t="s">
        <v>1357</v>
      </c>
    </row>
    <row r="4011" spans="6:12">
      <c r="H4011" t="s">
        <v>20313</v>
      </c>
      <c r="I4011" t="s">
        <v>1357</v>
      </c>
      <c r="J4011" t="s">
        <v>1357</v>
      </c>
      <c r="K4011" t="s">
        <v>1357</v>
      </c>
      <c r="L4011" t="s">
        <v>1357</v>
      </c>
    </row>
    <row r="4012" spans="6:12">
      <c r="H4012" t="s">
        <v>20325</v>
      </c>
      <c r="I4012" t="s">
        <v>1357</v>
      </c>
      <c r="J4012" t="s">
        <v>1357</v>
      </c>
      <c r="K4012" t="s">
        <v>1357</v>
      </c>
      <c r="L4012" t="s">
        <v>1357</v>
      </c>
    </row>
    <row r="4013" spans="6:12">
      <c r="H4013" t="s">
        <v>20326</v>
      </c>
      <c r="I4013" t="s">
        <v>1357</v>
      </c>
      <c r="J4013" t="s">
        <v>1357</v>
      </c>
      <c r="K4013" t="s">
        <v>1357</v>
      </c>
      <c r="L4013" t="s">
        <v>1357</v>
      </c>
    </row>
    <row r="4014" spans="6:12">
      <c r="H4014" t="s">
        <v>20327</v>
      </c>
      <c r="I4014" t="s">
        <v>1357</v>
      </c>
      <c r="J4014" t="s">
        <v>1357</v>
      </c>
      <c r="K4014" t="s">
        <v>1357</v>
      </c>
      <c r="L4014" t="s">
        <v>1357</v>
      </c>
    </row>
    <row r="4015" spans="6:12">
      <c r="H4015" t="s">
        <v>20333</v>
      </c>
      <c r="I4015" t="s">
        <v>1357</v>
      </c>
      <c r="J4015" t="s">
        <v>1357</v>
      </c>
      <c r="K4015" t="s">
        <v>1357</v>
      </c>
      <c r="L4015" t="s">
        <v>1357</v>
      </c>
    </row>
    <row r="4016" spans="6:12">
      <c r="F4016" t="s">
        <v>14524</v>
      </c>
      <c r="G4016" t="s">
        <v>17369</v>
      </c>
      <c r="H4016" t="s">
        <v>20280</v>
      </c>
      <c r="I4016" t="s">
        <v>1357</v>
      </c>
      <c r="J4016" t="s">
        <v>1357</v>
      </c>
      <c r="K4016" t="s">
        <v>1357</v>
      </c>
      <c r="L4016" t="s">
        <v>1357</v>
      </c>
    </row>
    <row r="4017" spans="8:12">
      <c r="H4017" t="s">
        <v>20233</v>
      </c>
      <c r="I4017" t="s">
        <v>1357</v>
      </c>
      <c r="J4017" t="s">
        <v>1357</v>
      </c>
      <c r="K4017" t="s">
        <v>1357</v>
      </c>
      <c r="L4017" t="s">
        <v>1357</v>
      </c>
    </row>
    <row r="4018" spans="8:12">
      <c r="H4018" t="s">
        <v>20283</v>
      </c>
      <c r="I4018" t="s">
        <v>1357</v>
      </c>
      <c r="J4018" t="s">
        <v>1357</v>
      </c>
      <c r="K4018" t="s">
        <v>1357</v>
      </c>
      <c r="L4018" t="s">
        <v>1357</v>
      </c>
    </row>
    <row r="4019" spans="8:12">
      <c r="H4019" t="s">
        <v>20292</v>
      </c>
      <c r="I4019" t="s">
        <v>1357</v>
      </c>
      <c r="J4019" t="s">
        <v>1357</v>
      </c>
      <c r="K4019" t="s">
        <v>1357</v>
      </c>
      <c r="L4019" t="s">
        <v>1357</v>
      </c>
    </row>
    <row r="4020" spans="8:12">
      <c r="H4020" t="s">
        <v>20305</v>
      </c>
      <c r="I4020" t="s">
        <v>1357</v>
      </c>
      <c r="J4020" t="s">
        <v>1357</v>
      </c>
      <c r="K4020" t="s">
        <v>1357</v>
      </c>
      <c r="L4020" t="s">
        <v>1357</v>
      </c>
    </row>
    <row r="4021" spans="8:12">
      <c r="H4021" t="s">
        <v>20306</v>
      </c>
      <c r="I4021" t="s">
        <v>1357</v>
      </c>
      <c r="J4021" t="s">
        <v>1357</v>
      </c>
      <c r="K4021" t="s">
        <v>1357</v>
      </c>
      <c r="L4021" t="s">
        <v>1357</v>
      </c>
    </row>
    <row r="4022" spans="8:12">
      <c r="H4022" t="s">
        <v>20284</v>
      </c>
      <c r="I4022" t="s">
        <v>1357</v>
      </c>
      <c r="J4022" t="s">
        <v>1357</v>
      </c>
      <c r="K4022" t="s">
        <v>1357</v>
      </c>
      <c r="L4022" t="s">
        <v>1357</v>
      </c>
    </row>
    <row r="4023" spans="8:12">
      <c r="H4023" t="s">
        <v>20285</v>
      </c>
      <c r="I4023" t="s">
        <v>1357</v>
      </c>
      <c r="J4023" t="s">
        <v>1357</v>
      </c>
      <c r="K4023" t="s">
        <v>1357</v>
      </c>
      <c r="L4023" t="s">
        <v>1357</v>
      </c>
    </row>
    <row r="4024" spans="8:12">
      <c r="H4024" t="s">
        <v>20288</v>
      </c>
      <c r="I4024" t="s">
        <v>1357</v>
      </c>
      <c r="J4024" t="s">
        <v>1357</v>
      </c>
      <c r="K4024" t="s">
        <v>1357</v>
      </c>
      <c r="L4024" t="s">
        <v>1357</v>
      </c>
    </row>
    <row r="4025" spans="8:12">
      <c r="H4025" t="s">
        <v>20289</v>
      </c>
      <c r="I4025" t="s">
        <v>1357</v>
      </c>
      <c r="J4025" t="s">
        <v>1357</v>
      </c>
      <c r="K4025" t="s">
        <v>1357</v>
      </c>
      <c r="L4025" t="s">
        <v>1357</v>
      </c>
    </row>
    <row r="4026" spans="8:12">
      <c r="H4026" t="s">
        <v>20293</v>
      </c>
      <c r="I4026" t="s">
        <v>1357</v>
      </c>
      <c r="J4026" t="s">
        <v>1357</v>
      </c>
      <c r="K4026" t="s">
        <v>1357</v>
      </c>
      <c r="L4026" t="s">
        <v>1357</v>
      </c>
    </row>
    <row r="4027" spans="8:12">
      <c r="H4027" t="s">
        <v>20294</v>
      </c>
      <c r="I4027" t="s">
        <v>1357</v>
      </c>
      <c r="J4027" t="s">
        <v>1357</v>
      </c>
      <c r="K4027" t="s">
        <v>1357</v>
      </c>
      <c r="L4027" t="s">
        <v>1357</v>
      </c>
    </row>
    <row r="4028" spans="8:12">
      <c r="H4028" t="s">
        <v>20312</v>
      </c>
      <c r="I4028" t="s">
        <v>1357</v>
      </c>
      <c r="J4028" t="s">
        <v>1357</v>
      </c>
      <c r="K4028" t="s">
        <v>1357</v>
      </c>
      <c r="L4028" t="s">
        <v>1357</v>
      </c>
    </row>
    <row r="4029" spans="8:12">
      <c r="H4029" t="s">
        <v>20313</v>
      </c>
      <c r="I4029" t="s">
        <v>1357</v>
      </c>
      <c r="J4029" t="s">
        <v>1357</v>
      </c>
      <c r="K4029" t="s">
        <v>1357</v>
      </c>
      <c r="L4029" t="s">
        <v>1357</v>
      </c>
    </row>
    <row r="4030" spans="8:12">
      <c r="H4030" t="s">
        <v>20325</v>
      </c>
      <c r="I4030" t="s">
        <v>1357</v>
      </c>
      <c r="J4030" t="s">
        <v>1357</v>
      </c>
      <c r="K4030" t="s">
        <v>1357</v>
      </c>
      <c r="L4030" t="s">
        <v>1357</v>
      </c>
    </row>
    <row r="4031" spans="8:12">
      <c r="H4031" t="s">
        <v>20326</v>
      </c>
      <c r="I4031" t="s">
        <v>1357</v>
      </c>
      <c r="J4031" t="s">
        <v>1357</v>
      </c>
      <c r="K4031" t="s">
        <v>1357</v>
      </c>
      <c r="L4031" t="s">
        <v>1357</v>
      </c>
    </row>
    <row r="4032" spans="8:12">
      <c r="H4032" t="s">
        <v>20327</v>
      </c>
      <c r="I4032" t="s">
        <v>1357</v>
      </c>
      <c r="J4032" t="s">
        <v>1357</v>
      </c>
      <c r="K4032" t="s">
        <v>1357</v>
      </c>
      <c r="L4032" t="s">
        <v>1357</v>
      </c>
    </row>
    <row r="4033" spans="6:12">
      <c r="H4033" t="s">
        <v>20333</v>
      </c>
      <c r="I4033" t="s">
        <v>1357</v>
      </c>
      <c r="J4033" t="s">
        <v>1357</v>
      </c>
      <c r="K4033" t="s">
        <v>1357</v>
      </c>
      <c r="L4033" t="s">
        <v>1357</v>
      </c>
    </row>
    <row r="4034" spans="6:12">
      <c r="F4034" t="s">
        <v>15044</v>
      </c>
      <c r="G4034" t="s">
        <v>17819</v>
      </c>
      <c r="H4034" t="s">
        <v>20280</v>
      </c>
      <c r="I4034" t="s">
        <v>1357</v>
      </c>
      <c r="J4034" t="s">
        <v>1357</v>
      </c>
      <c r="K4034" t="s">
        <v>1357</v>
      </c>
      <c r="L4034" t="s">
        <v>1357</v>
      </c>
    </row>
    <row r="4035" spans="6:12">
      <c r="H4035" t="s">
        <v>20233</v>
      </c>
      <c r="I4035" t="s">
        <v>1357</v>
      </c>
      <c r="J4035" t="s">
        <v>1357</v>
      </c>
      <c r="K4035" t="s">
        <v>1357</v>
      </c>
      <c r="L4035" t="s">
        <v>1357</v>
      </c>
    </row>
    <row r="4036" spans="6:12">
      <c r="H4036" t="s">
        <v>20230</v>
      </c>
      <c r="I4036" t="s">
        <v>1357</v>
      </c>
      <c r="J4036" t="s">
        <v>1357</v>
      </c>
      <c r="K4036" t="s">
        <v>1357</v>
      </c>
      <c r="L4036" t="s">
        <v>1357</v>
      </c>
    </row>
    <row r="4037" spans="6:12">
      <c r="H4037" t="s">
        <v>20228</v>
      </c>
      <c r="I4037" t="s">
        <v>1357</v>
      </c>
      <c r="J4037" t="s">
        <v>1357</v>
      </c>
      <c r="K4037" t="s">
        <v>1357</v>
      </c>
      <c r="L4037" t="s">
        <v>1357</v>
      </c>
    </row>
    <row r="4038" spans="6:12">
      <c r="H4038" t="s">
        <v>20232</v>
      </c>
      <c r="I4038" t="s">
        <v>1357</v>
      </c>
      <c r="J4038" t="s">
        <v>1357</v>
      </c>
      <c r="K4038" t="s">
        <v>1357</v>
      </c>
      <c r="L4038" t="s">
        <v>1357</v>
      </c>
    </row>
    <row r="4039" spans="6:12">
      <c r="H4039" t="s">
        <v>20282</v>
      </c>
      <c r="I4039" t="s">
        <v>1357</v>
      </c>
      <c r="J4039" t="s">
        <v>1357</v>
      </c>
      <c r="K4039" t="s">
        <v>1357</v>
      </c>
      <c r="L4039" t="s">
        <v>1357</v>
      </c>
    </row>
    <row r="4040" spans="6:12">
      <c r="H4040" t="s">
        <v>20307</v>
      </c>
      <c r="I4040" t="s">
        <v>1357</v>
      </c>
      <c r="J4040" t="s">
        <v>1357</v>
      </c>
      <c r="K4040" t="s">
        <v>1357</v>
      </c>
      <c r="L4040" t="s">
        <v>1357</v>
      </c>
    </row>
    <row r="4041" spans="6:12">
      <c r="H4041" t="s">
        <v>20284</v>
      </c>
      <c r="I4041" t="s">
        <v>1357</v>
      </c>
      <c r="J4041" t="s">
        <v>1357</v>
      </c>
      <c r="K4041" t="s">
        <v>1357</v>
      </c>
      <c r="L4041" t="s">
        <v>1357</v>
      </c>
    </row>
    <row r="4042" spans="6:12">
      <c r="H4042" t="s">
        <v>20286</v>
      </c>
      <c r="I4042" t="s">
        <v>1357</v>
      </c>
      <c r="J4042" t="s">
        <v>1357</v>
      </c>
      <c r="K4042" t="s">
        <v>1357</v>
      </c>
      <c r="L4042" t="s">
        <v>1357</v>
      </c>
    </row>
    <row r="4043" spans="6:12">
      <c r="H4043" t="s">
        <v>20287</v>
      </c>
      <c r="I4043" t="s">
        <v>1357</v>
      </c>
      <c r="J4043" t="s">
        <v>1357</v>
      </c>
      <c r="K4043" t="s">
        <v>1357</v>
      </c>
      <c r="L4043" t="s">
        <v>1357</v>
      </c>
    </row>
    <row r="4044" spans="6:12">
      <c r="H4044" t="s">
        <v>20288</v>
      </c>
      <c r="I4044" t="s">
        <v>1357</v>
      </c>
      <c r="J4044" t="s">
        <v>1357</v>
      </c>
      <c r="K4044" t="s">
        <v>1357</v>
      </c>
      <c r="L4044" t="s">
        <v>1357</v>
      </c>
    </row>
    <row r="4045" spans="6:12">
      <c r="H4045" t="s">
        <v>20289</v>
      </c>
      <c r="I4045" t="s">
        <v>1357</v>
      </c>
      <c r="J4045" t="s">
        <v>1357</v>
      </c>
      <c r="K4045" t="s">
        <v>1357</v>
      </c>
      <c r="L4045" t="s">
        <v>1357</v>
      </c>
    </row>
    <row r="4046" spans="6:12">
      <c r="H4046" t="s">
        <v>20290</v>
      </c>
      <c r="I4046" t="s">
        <v>1357</v>
      </c>
      <c r="J4046" t="s">
        <v>1357</v>
      </c>
      <c r="K4046" t="s">
        <v>1357</v>
      </c>
      <c r="L4046" t="s">
        <v>1357</v>
      </c>
    </row>
    <row r="4047" spans="6:12">
      <c r="H4047" t="s">
        <v>20291</v>
      </c>
      <c r="I4047" t="s">
        <v>1357</v>
      </c>
      <c r="J4047" t="s">
        <v>1357</v>
      </c>
      <c r="K4047" t="s">
        <v>1357</v>
      </c>
      <c r="L4047" t="s">
        <v>1357</v>
      </c>
    </row>
    <row r="4048" spans="6:12">
      <c r="H4048" t="s">
        <v>20293</v>
      </c>
      <c r="I4048" t="s">
        <v>1357</v>
      </c>
      <c r="J4048" t="s">
        <v>1357</v>
      </c>
      <c r="K4048" t="s">
        <v>1357</v>
      </c>
      <c r="L4048" t="s">
        <v>1357</v>
      </c>
    </row>
    <row r="4049" spans="6:12">
      <c r="H4049" t="s">
        <v>20294</v>
      </c>
      <c r="I4049" t="s">
        <v>1357</v>
      </c>
      <c r="J4049" t="s">
        <v>1357</v>
      </c>
      <c r="K4049" t="s">
        <v>1357</v>
      </c>
      <c r="L4049" t="s">
        <v>1357</v>
      </c>
    </row>
    <row r="4050" spans="6:12">
      <c r="H4050" t="s">
        <v>20313</v>
      </c>
      <c r="I4050" t="s">
        <v>1357</v>
      </c>
      <c r="J4050" t="s">
        <v>1357</v>
      </c>
      <c r="K4050" t="s">
        <v>1357</v>
      </c>
      <c r="L4050" t="s">
        <v>1357</v>
      </c>
    </row>
    <row r="4051" spans="6:12">
      <c r="H4051" t="s">
        <v>20325</v>
      </c>
      <c r="I4051" t="s">
        <v>1357</v>
      </c>
      <c r="J4051" t="s">
        <v>1357</v>
      </c>
      <c r="K4051" t="s">
        <v>1357</v>
      </c>
      <c r="L4051" t="s">
        <v>1357</v>
      </c>
    </row>
    <row r="4052" spans="6:12">
      <c r="H4052" t="s">
        <v>20330</v>
      </c>
      <c r="I4052" t="s">
        <v>1357</v>
      </c>
      <c r="J4052" t="s">
        <v>1357</v>
      </c>
      <c r="K4052" t="s">
        <v>1357</v>
      </c>
      <c r="L4052" t="s">
        <v>1357</v>
      </c>
    </row>
    <row r="4053" spans="6:12">
      <c r="F4053" t="s">
        <v>15045</v>
      </c>
      <c r="G4053" t="s">
        <v>17820</v>
      </c>
      <c r="H4053" t="s">
        <v>20280</v>
      </c>
      <c r="I4053" t="s">
        <v>1357</v>
      </c>
      <c r="J4053" t="s">
        <v>1357</v>
      </c>
      <c r="K4053" t="s">
        <v>1357</v>
      </c>
      <c r="L4053" t="s">
        <v>1357</v>
      </c>
    </row>
    <row r="4054" spans="6:12">
      <c r="H4054" t="s">
        <v>20233</v>
      </c>
      <c r="I4054" t="s">
        <v>1357</v>
      </c>
      <c r="J4054" t="s">
        <v>1357</v>
      </c>
      <c r="K4054" t="s">
        <v>1357</v>
      </c>
      <c r="L4054" t="s">
        <v>1357</v>
      </c>
    </row>
    <row r="4055" spans="6:12">
      <c r="H4055" t="s">
        <v>20230</v>
      </c>
      <c r="I4055" t="s">
        <v>1357</v>
      </c>
      <c r="J4055" t="s">
        <v>1357</v>
      </c>
      <c r="K4055" t="s">
        <v>1357</v>
      </c>
      <c r="L4055" t="s">
        <v>1357</v>
      </c>
    </row>
    <row r="4056" spans="6:12">
      <c r="H4056" t="s">
        <v>20228</v>
      </c>
      <c r="I4056" t="s">
        <v>1357</v>
      </c>
      <c r="J4056" t="s">
        <v>1357</v>
      </c>
      <c r="K4056" t="s">
        <v>1357</v>
      </c>
      <c r="L4056" t="s">
        <v>1357</v>
      </c>
    </row>
    <row r="4057" spans="6:12">
      <c r="H4057" t="s">
        <v>20232</v>
      </c>
      <c r="I4057" t="s">
        <v>1357</v>
      </c>
      <c r="J4057" t="s">
        <v>1357</v>
      </c>
      <c r="K4057" t="s">
        <v>1357</v>
      </c>
      <c r="L4057" t="s">
        <v>1357</v>
      </c>
    </row>
    <row r="4058" spans="6:12">
      <c r="H4058" t="s">
        <v>20282</v>
      </c>
      <c r="I4058" t="s">
        <v>1357</v>
      </c>
      <c r="J4058" t="s">
        <v>1357</v>
      </c>
      <c r="K4058" t="s">
        <v>1357</v>
      </c>
      <c r="L4058" t="s">
        <v>1357</v>
      </c>
    </row>
    <row r="4059" spans="6:12">
      <c r="H4059" t="s">
        <v>20307</v>
      </c>
      <c r="I4059" t="s">
        <v>1357</v>
      </c>
      <c r="J4059" t="s">
        <v>1357</v>
      </c>
      <c r="K4059" t="s">
        <v>1357</v>
      </c>
      <c r="L4059" t="s">
        <v>1357</v>
      </c>
    </row>
    <row r="4060" spans="6:12">
      <c r="H4060" t="s">
        <v>20284</v>
      </c>
      <c r="I4060" t="s">
        <v>1357</v>
      </c>
      <c r="J4060" t="s">
        <v>1357</v>
      </c>
      <c r="K4060" t="s">
        <v>1357</v>
      </c>
      <c r="L4060" t="s">
        <v>1357</v>
      </c>
    </row>
    <row r="4061" spans="6:12">
      <c r="H4061" t="s">
        <v>20286</v>
      </c>
      <c r="I4061" t="s">
        <v>1357</v>
      </c>
      <c r="J4061" t="s">
        <v>1357</v>
      </c>
      <c r="K4061" t="s">
        <v>1357</v>
      </c>
      <c r="L4061" t="s">
        <v>1357</v>
      </c>
    </row>
    <row r="4062" spans="6:12">
      <c r="H4062" t="s">
        <v>20287</v>
      </c>
      <c r="I4062" t="s">
        <v>1357</v>
      </c>
      <c r="J4062" t="s">
        <v>1357</v>
      </c>
      <c r="K4062" t="s">
        <v>1357</v>
      </c>
      <c r="L4062" t="s">
        <v>1357</v>
      </c>
    </row>
    <row r="4063" spans="6:12">
      <c r="H4063" t="s">
        <v>20288</v>
      </c>
      <c r="I4063" t="s">
        <v>1357</v>
      </c>
      <c r="J4063" t="s">
        <v>1357</v>
      </c>
      <c r="K4063" t="s">
        <v>1357</v>
      </c>
      <c r="L4063" t="s">
        <v>1357</v>
      </c>
    </row>
    <row r="4064" spans="6:12">
      <c r="H4064" t="s">
        <v>20289</v>
      </c>
      <c r="I4064" t="s">
        <v>1357</v>
      </c>
      <c r="J4064" t="s">
        <v>1357</v>
      </c>
      <c r="K4064" t="s">
        <v>1357</v>
      </c>
      <c r="L4064" t="s">
        <v>1357</v>
      </c>
    </row>
    <row r="4065" spans="6:12">
      <c r="H4065" t="s">
        <v>20290</v>
      </c>
      <c r="I4065" t="s">
        <v>1357</v>
      </c>
      <c r="J4065" t="s">
        <v>1357</v>
      </c>
      <c r="K4065" t="s">
        <v>1357</v>
      </c>
      <c r="L4065" t="s">
        <v>1357</v>
      </c>
    </row>
    <row r="4066" spans="6:12">
      <c r="H4066" t="s">
        <v>20291</v>
      </c>
      <c r="I4066" t="s">
        <v>1357</v>
      </c>
      <c r="J4066" t="s">
        <v>1357</v>
      </c>
      <c r="K4066" t="s">
        <v>1357</v>
      </c>
      <c r="L4066" t="s">
        <v>1357</v>
      </c>
    </row>
    <row r="4067" spans="6:12">
      <c r="H4067" t="s">
        <v>20293</v>
      </c>
      <c r="I4067" t="s">
        <v>1357</v>
      </c>
      <c r="J4067" t="s">
        <v>1357</v>
      </c>
      <c r="K4067" t="s">
        <v>1357</v>
      </c>
      <c r="L4067" t="s">
        <v>1357</v>
      </c>
    </row>
    <row r="4068" spans="6:12">
      <c r="H4068" t="s">
        <v>20294</v>
      </c>
      <c r="I4068" t="s">
        <v>1357</v>
      </c>
      <c r="J4068" t="s">
        <v>1357</v>
      </c>
      <c r="K4068" t="s">
        <v>1357</v>
      </c>
      <c r="L4068" t="s">
        <v>1357</v>
      </c>
    </row>
    <row r="4069" spans="6:12">
      <c r="H4069" t="s">
        <v>20313</v>
      </c>
      <c r="I4069" t="s">
        <v>1357</v>
      </c>
      <c r="J4069" t="s">
        <v>1357</v>
      </c>
      <c r="K4069" t="s">
        <v>1357</v>
      </c>
      <c r="L4069" t="s">
        <v>1357</v>
      </c>
    </row>
    <row r="4070" spans="6:12">
      <c r="H4070" t="s">
        <v>20325</v>
      </c>
      <c r="I4070" t="s">
        <v>1357</v>
      </c>
      <c r="J4070" t="s">
        <v>1357</v>
      </c>
      <c r="K4070" t="s">
        <v>1357</v>
      </c>
      <c r="L4070" t="s">
        <v>1357</v>
      </c>
    </row>
    <row r="4071" spans="6:12">
      <c r="H4071" t="s">
        <v>20330</v>
      </c>
      <c r="I4071" t="s">
        <v>1357</v>
      </c>
      <c r="J4071" t="s">
        <v>1357</v>
      </c>
      <c r="K4071" t="s">
        <v>1357</v>
      </c>
      <c r="L4071" t="s">
        <v>1357</v>
      </c>
    </row>
    <row r="4072" spans="6:12">
      <c r="F4072" t="s">
        <v>14525</v>
      </c>
      <c r="G4072" t="s">
        <v>17370</v>
      </c>
      <c r="H4072" t="s">
        <v>20280</v>
      </c>
      <c r="I4072" t="s">
        <v>1357</v>
      </c>
      <c r="J4072" t="s">
        <v>1357</v>
      </c>
      <c r="K4072" t="s">
        <v>1357</v>
      </c>
      <c r="L4072" t="s">
        <v>1357</v>
      </c>
    </row>
    <row r="4073" spans="6:12">
      <c r="H4073" t="s">
        <v>20230</v>
      </c>
      <c r="I4073" t="s">
        <v>1357</v>
      </c>
      <c r="J4073" t="s">
        <v>1357</v>
      </c>
      <c r="K4073" t="s">
        <v>1357</v>
      </c>
      <c r="L4073" t="s">
        <v>1357</v>
      </c>
    </row>
    <row r="4074" spans="6:12">
      <c r="H4074" t="s">
        <v>20228</v>
      </c>
      <c r="I4074" t="s">
        <v>1357</v>
      </c>
      <c r="J4074" t="s">
        <v>1357</v>
      </c>
      <c r="K4074" t="s">
        <v>1357</v>
      </c>
      <c r="L4074" t="s">
        <v>1357</v>
      </c>
    </row>
    <row r="4075" spans="6:12">
      <c r="H4075" t="s">
        <v>20232</v>
      </c>
      <c r="I4075" t="s">
        <v>1357</v>
      </c>
      <c r="J4075" t="s">
        <v>1357</v>
      </c>
      <c r="K4075" t="s">
        <v>1357</v>
      </c>
      <c r="L4075" t="s">
        <v>1357</v>
      </c>
    </row>
    <row r="4076" spans="6:12">
      <c r="H4076" t="s">
        <v>20281</v>
      </c>
      <c r="I4076" t="s">
        <v>1357</v>
      </c>
      <c r="J4076" t="s">
        <v>1357</v>
      </c>
      <c r="K4076" t="s">
        <v>1357</v>
      </c>
      <c r="L4076" t="s">
        <v>1357</v>
      </c>
    </row>
    <row r="4077" spans="6:12">
      <c r="H4077" t="s">
        <v>20282</v>
      </c>
      <c r="I4077" t="s">
        <v>1357</v>
      </c>
      <c r="J4077" t="s">
        <v>1357</v>
      </c>
      <c r="K4077" t="s">
        <v>1357</v>
      </c>
      <c r="L4077" t="s">
        <v>1357</v>
      </c>
    </row>
    <row r="4078" spans="6:12">
      <c r="H4078" t="s">
        <v>20292</v>
      </c>
      <c r="I4078" t="s">
        <v>1357</v>
      </c>
      <c r="J4078" t="s">
        <v>1357</v>
      </c>
      <c r="K4078" t="s">
        <v>1357</v>
      </c>
      <c r="L4078" t="s">
        <v>1357</v>
      </c>
    </row>
    <row r="4079" spans="6:12">
      <c r="H4079" t="s">
        <v>20284</v>
      </c>
      <c r="I4079" t="s">
        <v>1357</v>
      </c>
      <c r="J4079" t="s">
        <v>1357</v>
      </c>
      <c r="K4079" t="s">
        <v>1357</v>
      </c>
      <c r="L4079" t="s">
        <v>1357</v>
      </c>
    </row>
    <row r="4080" spans="6:12">
      <c r="H4080" t="s">
        <v>20286</v>
      </c>
      <c r="I4080" t="s">
        <v>1357</v>
      </c>
      <c r="J4080" t="s">
        <v>1357</v>
      </c>
      <c r="K4080" t="s">
        <v>1357</v>
      </c>
      <c r="L4080" t="s">
        <v>1357</v>
      </c>
    </row>
    <row r="4081" spans="6:12">
      <c r="H4081" t="s">
        <v>20287</v>
      </c>
      <c r="I4081" t="s">
        <v>1357</v>
      </c>
      <c r="J4081" t="s">
        <v>1357</v>
      </c>
      <c r="K4081" t="s">
        <v>1357</v>
      </c>
      <c r="L4081" t="s">
        <v>1357</v>
      </c>
    </row>
    <row r="4082" spans="6:12">
      <c r="H4082" t="s">
        <v>20288</v>
      </c>
      <c r="I4082" t="s">
        <v>1357</v>
      </c>
      <c r="J4082" t="s">
        <v>1357</v>
      </c>
      <c r="K4082" t="s">
        <v>1357</v>
      </c>
      <c r="L4082" t="s">
        <v>1357</v>
      </c>
    </row>
    <row r="4083" spans="6:12">
      <c r="H4083" t="s">
        <v>20289</v>
      </c>
      <c r="I4083" t="s">
        <v>1357</v>
      </c>
      <c r="J4083" t="s">
        <v>1357</v>
      </c>
      <c r="K4083" t="s">
        <v>1357</v>
      </c>
      <c r="L4083" t="s">
        <v>1357</v>
      </c>
    </row>
    <row r="4084" spans="6:12">
      <c r="H4084" t="s">
        <v>20291</v>
      </c>
      <c r="I4084" t="s">
        <v>1357</v>
      </c>
      <c r="J4084" t="s">
        <v>1357</v>
      </c>
      <c r="K4084" t="s">
        <v>1357</v>
      </c>
      <c r="L4084" t="s">
        <v>1357</v>
      </c>
    </row>
    <row r="4085" spans="6:12">
      <c r="H4085" t="s">
        <v>20293</v>
      </c>
      <c r="I4085" t="s">
        <v>1357</v>
      </c>
      <c r="J4085" t="s">
        <v>1357</v>
      </c>
      <c r="K4085" t="s">
        <v>1357</v>
      </c>
      <c r="L4085" t="s">
        <v>1357</v>
      </c>
    </row>
    <row r="4086" spans="6:12">
      <c r="H4086" t="s">
        <v>20294</v>
      </c>
      <c r="I4086" t="s">
        <v>1357</v>
      </c>
      <c r="J4086" t="s">
        <v>1357</v>
      </c>
      <c r="K4086" t="s">
        <v>1357</v>
      </c>
      <c r="L4086" t="s">
        <v>1357</v>
      </c>
    </row>
    <row r="4087" spans="6:12">
      <c r="H4087" t="s">
        <v>20313</v>
      </c>
      <c r="I4087" t="s">
        <v>1357</v>
      </c>
      <c r="J4087" t="s">
        <v>1357</v>
      </c>
      <c r="K4087" t="s">
        <v>1357</v>
      </c>
      <c r="L4087" t="s">
        <v>1357</v>
      </c>
    </row>
    <row r="4088" spans="6:12">
      <c r="H4088" t="s">
        <v>20325</v>
      </c>
      <c r="I4088" t="s">
        <v>1357</v>
      </c>
      <c r="J4088" t="s">
        <v>1357</v>
      </c>
      <c r="K4088" t="s">
        <v>1357</v>
      </c>
      <c r="L4088" t="s">
        <v>1357</v>
      </c>
    </row>
    <row r="4089" spans="6:12">
      <c r="H4089" t="s">
        <v>20326</v>
      </c>
      <c r="I4089" t="s">
        <v>1357</v>
      </c>
      <c r="J4089" t="s">
        <v>1357</v>
      </c>
      <c r="K4089" t="s">
        <v>1357</v>
      </c>
      <c r="L4089" t="s">
        <v>1357</v>
      </c>
    </row>
    <row r="4090" spans="6:12">
      <c r="H4090" t="s">
        <v>20327</v>
      </c>
      <c r="I4090" t="s">
        <v>1357</v>
      </c>
      <c r="J4090" t="s">
        <v>1357</v>
      </c>
      <c r="K4090" t="s">
        <v>1357</v>
      </c>
      <c r="L4090" t="s">
        <v>1357</v>
      </c>
    </row>
    <row r="4091" spans="6:12">
      <c r="H4091" t="s">
        <v>20009</v>
      </c>
      <c r="I4091" t="s">
        <v>1357</v>
      </c>
      <c r="J4091" t="s">
        <v>1357</v>
      </c>
      <c r="K4091" t="s">
        <v>1357</v>
      </c>
      <c r="L4091" t="s">
        <v>1357</v>
      </c>
    </row>
    <row r="4092" spans="6:12">
      <c r="H4092" t="s">
        <v>20329</v>
      </c>
      <c r="I4092" t="s">
        <v>1357</v>
      </c>
      <c r="J4092" t="s">
        <v>1357</v>
      </c>
      <c r="K4092" t="s">
        <v>1357</v>
      </c>
      <c r="L4092" t="s">
        <v>1357</v>
      </c>
    </row>
    <row r="4093" spans="6:12">
      <c r="H4093" t="s">
        <v>20330</v>
      </c>
      <c r="I4093" t="s">
        <v>1357</v>
      </c>
      <c r="J4093" t="s">
        <v>1357</v>
      </c>
      <c r="K4093" t="s">
        <v>1357</v>
      </c>
      <c r="L4093" t="s">
        <v>1357</v>
      </c>
    </row>
    <row r="4094" spans="6:12">
      <c r="H4094" t="s">
        <v>20331</v>
      </c>
      <c r="I4094" t="s">
        <v>1357</v>
      </c>
      <c r="J4094" t="s">
        <v>1357</v>
      </c>
      <c r="K4094" t="s">
        <v>1357</v>
      </c>
      <c r="L4094" t="s">
        <v>1357</v>
      </c>
    </row>
    <row r="4095" spans="6:12">
      <c r="F4095" t="s">
        <v>14526</v>
      </c>
      <c r="G4095" t="s">
        <v>17371</v>
      </c>
      <c r="H4095" t="s">
        <v>20280</v>
      </c>
      <c r="I4095" t="s">
        <v>1357</v>
      </c>
      <c r="J4095" t="s">
        <v>1357</v>
      </c>
      <c r="K4095" t="s">
        <v>1357</v>
      </c>
      <c r="L4095" t="s">
        <v>1357</v>
      </c>
    </row>
    <row r="4096" spans="6:12">
      <c r="H4096" t="s">
        <v>20230</v>
      </c>
      <c r="I4096" t="s">
        <v>1357</v>
      </c>
      <c r="J4096" t="s">
        <v>1357</v>
      </c>
      <c r="K4096" t="s">
        <v>1357</v>
      </c>
      <c r="L4096" t="s">
        <v>1357</v>
      </c>
    </row>
    <row r="4097" spans="8:12">
      <c r="H4097" t="s">
        <v>20228</v>
      </c>
      <c r="I4097" t="s">
        <v>1357</v>
      </c>
      <c r="J4097" t="s">
        <v>1357</v>
      </c>
      <c r="K4097" t="s">
        <v>1357</v>
      </c>
      <c r="L4097" t="s">
        <v>1357</v>
      </c>
    </row>
    <row r="4098" spans="8:12">
      <c r="H4098" t="s">
        <v>20232</v>
      </c>
      <c r="I4098" t="s">
        <v>1357</v>
      </c>
      <c r="J4098" t="s">
        <v>1357</v>
      </c>
      <c r="K4098" t="s">
        <v>1357</v>
      </c>
      <c r="L4098" t="s">
        <v>1357</v>
      </c>
    </row>
    <row r="4099" spans="8:12">
      <c r="H4099" t="s">
        <v>20281</v>
      </c>
      <c r="I4099" t="s">
        <v>1357</v>
      </c>
      <c r="J4099" t="s">
        <v>1357</v>
      </c>
      <c r="K4099" t="s">
        <v>1357</v>
      </c>
      <c r="L4099" t="s">
        <v>1357</v>
      </c>
    </row>
    <row r="4100" spans="8:12">
      <c r="H4100" t="s">
        <v>20282</v>
      </c>
      <c r="I4100" t="s">
        <v>1357</v>
      </c>
      <c r="J4100" t="s">
        <v>1357</v>
      </c>
      <c r="K4100" t="s">
        <v>1357</v>
      </c>
      <c r="L4100" t="s">
        <v>1357</v>
      </c>
    </row>
    <row r="4101" spans="8:12">
      <c r="H4101" t="s">
        <v>20292</v>
      </c>
      <c r="I4101" t="s">
        <v>1357</v>
      </c>
      <c r="J4101" t="s">
        <v>1357</v>
      </c>
      <c r="K4101" t="s">
        <v>1357</v>
      </c>
      <c r="L4101" t="s">
        <v>1357</v>
      </c>
    </row>
    <row r="4102" spans="8:12">
      <c r="H4102" t="s">
        <v>20284</v>
      </c>
      <c r="I4102" t="s">
        <v>1357</v>
      </c>
      <c r="J4102" t="s">
        <v>1357</v>
      </c>
      <c r="K4102" t="s">
        <v>1357</v>
      </c>
      <c r="L4102" t="s">
        <v>1357</v>
      </c>
    </row>
    <row r="4103" spans="8:12">
      <c r="H4103" t="s">
        <v>20286</v>
      </c>
      <c r="I4103" t="s">
        <v>1357</v>
      </c>
      <c r="J4103" t="s">
        <v>1357</v>
      </c>
      <c r="K4103" t="s">
        <v>1357</v>
      </c>
      <c r="L4103" t="s">
        <v>1357</v>
      </c>
    </row>
    <row r="4104" spans="8:12">
      <c r="H4104" t="s">
        <v>20287</v>
      </c>
      <c r="I4104" t="s">
        <v>1357</v>
      </c>
      <c r="J4104" t="s">
        <v>1357</v>
      </c>
      <c r="K4104" t="s">
        <v>1357</v>
      </c>
      <c r="L4104" t="s">
        <v>1357</v>
      </c>
    </row>
    <row r="4105" spans="8:12">
      <c r="H4105" t="s">
        <v>20288</v>
      </c>
      <c r="I4105" t="s">
        <v>1357</v>
      </c>
      <c r="J4105" t="s">
        <v>1357</v>
      </c>
      <c r="K4105" t="s">
        <v>1357</v>
      </c>
      <c r="L4105" t="s">
        <v>1357</v>
      </c>
    </row>
    <row r="4106" spans="8:12">
      <c r="H4106" t="s">
        <v>20289</v>
      </c>
      <c r="I4106" t="s">
        <v>1357</v>
      </c>
      <c r="J4106" t="s">
        <v>1357</v>
      </c>
      <c r="K4106" t="s">
        <v>1357</v>
      </c>
      <c r="L4106" t="s">
        <v>1357</v>
      </c>
    </row>
    <row r="4107" spans="8:12">
      <c r="H4107" t="s">
        <v>20291</v>
      </c>
      <c r="I4107" t="s">
        <v>1357</v>
      </c>
      <c r="J4107" t="s">
        <v>1357</v>
      </c>
      <c r="K4107" t="s">
        <v>1357</v>
      </c>
      <c r="L4107" t="s">
        <v>1357</v>
      </c>
    </row>
    <row r="4108" spans="8:12">
      <c r="H4108" t="s">
        <v>20293</v>
      </c>
      <c r="I4108" t="s">
        <v>1357</v>
      </c>
      <c r="J4108" t="s">
        <v>1357</v>
      </c>
      <c r="K4108" t="s">
        <v>1357</v>
      </c>
      <c r="L4108" t="s">
        <v>1357</v>
      </c>
    </row>
    <row r="4109" spans="8:12">
      <c r="H4109" t="s">
        <v>20294</v>
      </c>
      <c r="I4109" t="s">
        <v>1357</v>
      </c>
      <c r="J4109" t="s">
        <v>1357</v>
      </c>
      <c r="K4109" t="s">
        <v>1357</v>
      </c>
      <c r="L4109" t="s">
        <v>1357</v>
      </c>
    </row>
    <row r="4110" spans="8:12">
      <c r="H4110" t="s">
        <v>20313</v>
      </c>
      <c r="I4110" t="s">
        <v>1357</v>
      </c>
      <c r="J4110" t="s">
        <v>1357</v>
      </c>
      <c r="K4110" t="s">
        <v>1357</v>
      </c>
      <c r="L4110" t="s">
        <v>1357</v>
      </c>
    </row>
    <row r="4111" spans="8:12">
      <c r="H4111" t="s">
        <v>20325</v>
      </c>
      <c r="I4111" t="s">
        <v>1357</v>
      </c>
      <c r="J4111" t="s">
        <v>1357</v>
      </c>
      <c r="K4111" t="s">
        <v>1357</v>
      </c>
      <c r="L4111" t="s">
        <v>1357</v>
      </c>
    </row>
    <row r="4112" spans="8:12">
      <c r="H4112" t="s">
        <v>20326</v>
      </c>
      <c r="I4112" t="s">
        <v>1357</v>
      </c>
      <c r="J4112" t="s">
        <v>1357</v>
      </c>
      <c r="K4112" t="s">
        <v>1357</v>
      </c>
      <c r="L4112" t="s">
        <v>1357</v>
      </c>
    </row>
    <row r="4113" spans="6:12">
      <c r="H4113" t="s">
        <v>20327</v>
      </c>
      <c r="I4113" t="s">
        <v>1357</v>
      </c>
      <c r="J4113" t="s">
        <v>1357</v>
      </c>
      <c r="K4113" t="s">
        <v>1357</v>
      </c>
      <c r="L4113" t="s">
        <v>1357</v>
      </c>
    </row>
    <row r="4114" spans="6:12">
      <c r="H4114" t="s">
        <v>20009</v>
      </c>
      <c r="I4114" t="s">
        <v>1357</v>
      </c>
      <c r="J4114" t="s">
        <v>1357</v>
      </c>
      <c r="K4114" t="s">
        <v>1357</v>
      </c>
      <c r="L4114" t="s">
        <v>1357</v>
      </c>
    </row>
    <row r="4115" spans="6:12">
      <c r="H4115" t="s">
        <v>20329</v>
      </c>
      <c r="I4115" t="s">
        <v>1357</v>
      </c>
      <c r="J4115" t="s">
        <v>1357</v>
      </c>
      <c r="K4115" t="s">
        <v>1357</v>
      </c>
      <c r="L4115" t="s">
        <v>1357</v>
      </c>
    </row>
    <row r="4116" spans="6:12">
      <c r="H4116" t="s">
        <v>20330</v>
      </c>
      <c r="I4116" t="s">
        <v>1357</v>
      </c>
      <c r="J4116" t="s">
        <v>1357</v>
      </c>
      <c r="K4116" t="s">
        <v>1357</v>
      </c>
      <c r="L4116" t="s">
        <v>1357</v>
      </c>
    </row>
    <row r="4117" spans="6:12">
      <c r="H4117" t="s">
        <v>20331</v>
      </c>
      <c r="I4117" t="s">
        <v>1357</v>
      </c>
      <c r="J4117" t="s">
        <v>1357</v>
      </c>
      <c r="K4117" t="s">
        <v>1357</v>
      </c>
      <c r="L4117" t="s">
        <v>1357</v>
      </c>
    </row>
    <row r="4118" spans="6:12">
      <c r="F4118" t="s">
        <v>14527</v>
      </c>
      <c r="G4118" t="s">
        <v>17372</v>
      </c>
      <c r="H4118" t="s">
        <v>20280</v>
      </c>
      <c r="I4118" t="s">
        <v>1357</v>
      </c>
      <c r="J4118" t="s">
        <v>1357</v>
      </c>
      <c r="K4118" t="s">
        <v>1357</v>
      </c>
      <c r="L4118" t="s">
        <v>1357</v>
      </c>
    </row>
    <row r="4119" spans="6:12">
      <c r="H4119" t="s">
        <v>20230</v>
      </c>
      <c r="I4119" t="s">
        <v>1357</v>
      </c>
      <c r="J4119" t="s">
        <v>1357</v>
      </c>
      <c r="K4119" t="s">
        <v>1357</v>
      </c>
      <c r="L4119" t="s">
        <v>1357</v>
      </c>
    </row>
    <row r="4120" spans="6:12">
      <c r="H4120" t="s">
        <v>20228</v>
      </c>
      <c r="I4120" t="s">
        <v>1357</v>
      </c>
      <c r="J4120" t="s">
        <v>1357</v>
      </c>
      <c r="K4120" t="s">
        <v>1357</v>
      </c>
      <c r="L4120" t="s">
        <v>1357</v>
      </c>
    </row>
    <row r="4121" spans="6:12">
      <c r="H4121" t="s">
        <v>20232</v>
      </c>
      <c r="I4121" t="s">
        <v>1357</v>
      </c>
      <c r="J4121" t="s">
        <v>1357</v>
      </c>
      <c r="K4121" t="s">
        <v>1357</v>
      </c>
      <c r="L4121" t="s">
        <v>1357</v>
      </c>
    </row>
    <row r="4122" spans="6:12">
      <c r="H4122" t="s">
        <v>20281</v>
      </c>
      <c r="I4122" t="s">
        <v>1357</v>
      </c>
      <c r="J4122" t="s">
        <v>1357</v>
      </c>
      <c r="K4122" t="s">
        <v>1357</v>
      </c>
      <c r="L4122" t="s">
        <v>1357</v>
      </c>
    </row>
    <row r="4123" spans="6:12">
      <c r="H4123" t="s">
        <v>20282</v>
      </c>
      <c r="I4123" t="s">
        <v>1357</v>
      </c>
      <c r="J4123" t="s">
        <v>1357</v>
      </c>
      <c r="K4123" t="s">
        <v>1357</v>
      </c>
      <c r="L4123" t="s">
        <v>1357</v>
      </c>
    </row>
    <row r="4124" spans="6:12">
      <c r="H4124" t="s">
        <v>20292</v>
      </c>
      <c r="I4124" t="s">
        <v>1357</v>
      </c>
      <c r="J4124" t="s">
        <v>1357</v>
      </c>
      <c r="K4124" t="s">
        <v>1357</v>
      </c>
      <c r="L4124" t="s">
        <v>1357</v>
      </c>
    </row>
    <row r="4125" spans="6:12">
      <c r="H4125" t="s">
        <v>20284</v>
      </c>
      <c r="I4125" t="s">
        <v>1357</v>
      </c>
      <c r="J4125" t="s">
        <v>1357</v>
      </c>
      <c r="K4125" t="s">
        <v>1357</v>
      </c>
      <c r="L4125" t="s">
        <v>1357</v>
      </c>
    </row>
    <row r="4126" spans="6:12">
      <c r="H4126" t="s">
        <v>20286</v>
      </c>
      <c r="I4126" t="s">
        <v>1357</v>
      </c>
      <c r="J4126" t="s">
        <v>1357</v>
      </c>
      <c r="K4126" t="s">
        <v>1357</v>
      </c>
      <c r="L4126" t="s">
        <v>1357</v>
      </c>
    </row>
    <row r="4127" spans="6:12">
      <c r="H4127" t="s">
        <v>20287</v>
      </c>
      <c r="I4127" t="s">
        <v>1357</v>
      </c>
      <c r="J4127" t="s">
        <v>1357</v>
      </c>
      <c r="K4127" t="s">
        <v>1357</v>
      </c>
      <c r="L4127" t="s">
        <v>1357</v>
      </c>
    </row>
    <row r="4128" spans="6:12">
      <c r="H4128" t="s">
        <v>20288</v>
      </c>
      <c r="I4128" t="s">
        <v>1357</v>
      </c>
      <c r="J4128" t="s">
        <v>1357</v>
      </c>
      <c r="K4128" t="s">
        <v>1357</v>
      </c>
      <c r="L4128" t="s">
        <v>1357</v>
      </c>
    </row>
    <row r="4129" spans="6:12">
      <c r="H4129" t="s">
        <v>20289</v>
      </c>
      <c r="I4129" t="s">
        <v>1357</v>
      </c>
      <c r="J4129" t="s">
        <v>1357</v>
      </c>
      <c r="K4129" t="s">
        <v>1357</v>
      </c>
      <c r="L4129" t="s">
        <v>1357</v>
      </c>
    </row>
    <row r="4130" spans="6:12">
      <c r="H4130" t="s">
        <v>20291</v>
      </c>
      <c r="I4130" t="s">
        <v>1357</v>
      </c>
      <c r="J4130" t="s">
        <v>1357</v>
      </c>
      <c r="K4130" t="s">
        <v>1357</v>
      </c>
      <c r="L4130" t="s">
        <v>1357</v>
      </c>
    </row>
    <row r="4131" spans="6:12">
      <c r="H4131" t="s">
        <v>20293</v>
      </c>
      <c r="I4131" t="s">
        <v>1357</v>
      </c>
      <c r="J4131" t="s">
        <v>1357</v>
      </c>
      <c r="K4131" t="s">
        <v>1357</v>
      </c>
      <c r="L4131" t="s">
        <v>1357</v>
      </c>
    </row>
    <row r="4132" spans="6:12">
      <c r="H4132" t="s">
        <v>20294</v>
      </c>
      <c r="I4132" t="s">
        <v>1357</v>
      </c>
      <c r="J4132" t="s">
        <v>1357</v>
      </c>
      <c r="K4132" t="s">
        <v>1357</v>
      </c>
      <c r="L4132" t="s">
        <v>1357</v>
      </c>
    </row>
    <row r="4133" spans="6:12">
      <c r="H4133" t="s">
        <v>20313</v>
      </c>
      <c r="I4133" t="s">
        <v>1357</v>
      </c>
      <c r="J4133" t="s">
        <v>1357</v>
      </c>
      <c r="K4133" t="s">
        <v>1357</v>
      </c>
      <c r="L4133" t="s">
        <v>1357</v>
      </c>
    </row>
    <row r="4134" spans="6:12">
      <c r="H4134" t="s">
        <v>20325</v>
      </c>
      <c r="I4134" t="s">
        <v>1357</v>
      </c>
      <c r="J4134" t="s">
        <v>1357</v>
      </c>
      <c r="K4134" t="s">
        <v>1357</v>
      </c>
      <c r="L4134" t="s">
        <v>1357</v>
      </c>
    </row>
    <row r="4135" spans="6:12">
      <c r="H4135" t="s">
        <v>20326</v>
      </c>
      <c r="I4135" t="s">
        <v>1357</v>
      </c>
      <c r="J4135" t="s">
        <v>1357</v>
      </c>
      <c r="K4135" t="s">
        <v>1357</v>
      </c>
      <c r="L4135" t="s">
        <v>1357</v>
      </c>
    </row>
    <row r="4136" spans="6:12">
      <c r="H4136" t="s">
        <v>20327</v>
      </c>
      <c r="I4136" t="s">
        <v>1357</v>
      </c>
      <c r="J4136" t="s">
        <v>1357</v>
      </c>
      <c r="K4136" t="s">
        <v>1357</v>
      </c>
      <c r="L4136" t="s">
        <v>1357</v>
      </c>
    </row>
    <row r="4137" spans="6:12">
      <c r="H4137" t="s">
        <v>20009</v>
      </c>
      <c r="I4137" t="s">
        <v>1357</v>
      </c>
      <c r="J4137" t="s">
        <v>1357</v>
      </c>
      <c r="K4137" t="s">
        <v>1357</v>
      </c>
      <c r="L4137" t="s">
        <v>1357</v>
      </c>
    </row>
    <row r="4138" spans="6:12">
      <c r="H4138" t="s">
        <v>20329</v>
      </c>
      <c r="I4138" t="s">
        <v>1357</v>
      </c>
      <c r="J4138" t="s">
        <v>1357</v>
      </c>
      <c r="K4138" t="s">
        <v>1357</v>
      </c>
      <c r="L4138" t="s">
        <v>1357</v>
      </c>
    </row>
    <row r="4139" spans="6:12">
      <c r="H4139" t="s">
        <v>20330</v>
      </c>
      <c r="I4139" t="s">
        <v>1357</v>
      </c>
      <c r="J4139" t="s">
        <v>1357</v>
      </c>
      <c r="K4139" t="s">
        <v>1357</v>
      </c>
      <c r="L4139" t="s">
        <v>1357</v>
      </c>
    </row>
    <row r="4140" spans="6:12">
      <c r="H4140" t="s">
        <v>20331</v>
      </c>
      <c r="I4140" t="s">
        <v>1357</v>
      </c>
      <c r="J4140" t="s">
        <v>1357</v>
      </c>
      <c r="K4140" t="s">
        <v>1357</v>
      </c>
      <c r="L4140" t="s">
        <v>1357</v>
      </c>
    </row>
    <row r="4141" spans="6:12">
      <c r="F4141" t="s">
        <v>14528</v>
      </c>
      <c r="G4141" t="s">
        <v>17373</v>
      </c>
      <c r="H4141" t="s">
        <v>20280</v>
      </c>
      <c r="I4141" t="s">
        <v>1357</v>
      </c>
      <c r="J4141" t="s">
        <v>1357</v>
      </c>
      <c r="K4141" t="s">
        <v>1357</v>
      </c>
      <c r="L4141" t="s">
        <v>1357</v>
      </c>
    </row>
    <row r="4142" spans="6:12">
      <c r="H4142" t="s">
        <v>20230</v>
      </c>
      <c r="I4142" t="s">
        <v>1357</v>
      </c>
      <c r="J4142" t="s">
        <v>1357</v>
      </c>
      <c r="K4142" t="s">
        <v>1357</v>
      </c>
      <c r="L4142" t="s">
        <v>1357</v>
      </c>
    </row>
    <row r="4143" spans="6:12">
      <c r="H4143" t="s">
        <v>20228</v>
      </c>
      <c r="I4143" t="s">
        <v>1357</v>
      </c>
      <c r="J4143" t="s">
        <v>1357</v>
      </c>
      <c r="K4143" t="s">
        <v>1357</v>
      </c>
      <c r="L4143" t="s">
        <v>1357</v>
      </c>
    </row>
    <row r="4144" spans="6:12">
      <c r="H4144" t="s">
        <v>20232</v>
      </c>
      <c r="I4144" t="s">
        <v>1357</v>
      </c>
      <c r="J4144" t="s">
        <v>1357</v>
      </c>
      <c r="K4144" t="s">
        <v>1357</v>
      </c>
      <c r="L4144" t="s">
        <v>1357</v>
      </c>
    </row>
    <row r="4145" spans="8:12">
      <c r="H4145" t="s">
        <v>20229</v>
      </c>
      <c r="I4145" t="s">
        <v>1357</v>
      </c>
      <c r="J4145" t="s">
        <v>1357</v>
      </c>
      <c r="K4145" t="s">
        <v>1357</v>
      </c>
      <c r="L4145" t="s">
        <v>1357</v>
      </c>
    </row>
    <row r="4146" spans="8:12">
      <c r="H4146" t="s">
        <v>20281</v>
      </c>
      <c r="I4146" t="s">
        <v>1357</v>
      </c>
      <c r="J4146" t="s">
        <v>1357</v>
      </c>
      <c r="K4146" t="s">
        <v>1357</v>
      </c>
      <c r="L4146" t="s">
        <v>1357</v>
      </c>
    </row>
    <row r="4147" spans="8:12">
      <c r="H4147" t="s">
        <v>20282</v>
      </c>
      <c r="I4147" t="s">
        <v>1357</v>
      </c>
      <c r="J4147" t="s">
        <v>1357</v>
      </c>
      <c r="K4147" t="s">
        <v>1357</v>
      </c>
      <c r="L4147" t="s">
        <v>1357</v>
      </c>
    </row>
    <row r="4148" spans="8:12">
      <c r="H4148" t="s">
        <v>20292</v>
      </c>
      <c r="I4148" t="s">
        <v>1357</v>
      </c>
      <c r="J4148" t="s">
        <v>1357</v>
      </c>
      <c r="K4148" t="s">
        <v>1357</v>
      </c>
      <c r="L4148" t="s">
        <v>1357</v>
      </c>
    </row>
    <row r="4149" spans="8:12">
      <c r="H4149" t="s">
        <v>20284</v>
      </c>
      <c r="I4149" t="s">
        <v>1357</v>
      </c>
      <c r="J4149" t="s">
        <v>1357</v>
      </c>
      <c r="K4149" t="s">
        <v>1357</v>
      </c>
      <c r="L4149" t="s">
        <v>1357</v>
      </c>
    </row>
    <row r="4150" spans="8:12">
      <c r="H4150" t="s">
        <v>20286</v>
      </c>
      <c r="I4150" t="s">
        <v>1357</v>
      </c>
      <c r="J4150" t="s">
        <v>1357</v>
      </c>
      <c r="K4150" t="s">
        <v>1357</v>
      </c>
      <c r="L4150" t="s">
        <v>1357</v>
      </c>
    </row>
    <row r="4151" spans="8:12">
      <c r="H4151" t="s">
        <v>20287</v>
      </c>
      <c r="I4151" t="s">
        <v>1357</v>
      </c>
      <c r="J4151" t="s">
        <v>1357</v>
      </c>
      <c r="K4151" t="s">
        <v>1357</v>
      </c>
      <c r="L4151" t="s">
        <v>1357</v>
      </c>
    </row>
    <row r="4152" spans="8:12">
      <c r="H4152" t="s">
        <v>20288</v>
      </c>
      <c r="I4152" t="s">
        <v>1357</v>
      </c>
      <c r="J4152" t="s">
        <v>1357</v>
      </c>
      <c r="K4152" t="s">
        <v>1357</v>
      </c>
      <c r="L4152" t="s">
        <v>1357</v>
      </c>
    </row>
    <row r="4153" spans="8:12">
      <c r="H4153" t="s">
        <v>20289</v>
      </c>
      <c r="I4153" t="s">
        <v>1357</v>
      </c>
      <c r="J4153" t="s">
        <v>1357</v>
      </c>
      <c r="K4153" t="s">
        <v>1357</v>
      </c>
      <c r="L4153" t="s">
        <v>1357</v>
      </c>
    </row>
    <row r="4154" spans="8:12">
      <c r="H4154" t="s">
        <v>20291</v>
      </c>
      <c r="I4154" t="s">
        <v>1357</v>
      </c>
      <c r="J4154" t="s">
        <v>1357</v>
      </c>
      <c r="K4154" t="s">
        <v>1357</v>
      </c>
      <c r="L4154" t="s">
        <v>1357</v>
      </c>
    </row>
    <row r="4155" spans="8:12">
      <c r="H4155" t="s">
        <v>20293</v>
      </c>
      <c r="I4155" t="s">
        <v>1357</v>
      </c>
      <c r="J4155" t="s">
        <v>1357</v>
      </c>
      <c r="K4155" t="s">
        <v>1357</v>
      </c>
      <c r="L4155" t="s">
        <v>1357</v>
      </c>
    </row>
    <row r="4156" spans="8:12">
      <c r="H4156" t="s">
        <v>20294</v>
      </c>
      <c r="I4156" t="s">
        <v>1357</v>
      </c>
      <c r="J4156" t="s">
        <v>1357</v>
      </c>
      <c r="K4156" t="s">
        <v>1357</v>
      </c>
      <c r="L4156" t="s">
        <v>1357</v>
      </c>
    </row>
    <row r="4157" spans="8:12">
      <c r="H4157" t="s">
        <v>20313</v>
      </c>
      <c r="I4157" t="s">
        <v>1357</v>
      </c>
      <c r="J4157" t="s">
        <v>1357</v>
      </c>
      <c r="K4157" t="s">
        <v>1357</v>
      </c>
      <c r="L4157" t="s">
        <v>1357</v>
      </c>
    </row>
    <row r="4158" spans="8:12">
      <c r="H4158" t="s">
        <v>20325</v>
      </c>
      <c r="I4158" t="s">
        <v>1357</v>
      </c>
      <c r="J4158" t="s">
        <v>1357</v>
      </c>
      <c r="K4158" t="s">
        <v>1357</v>
      </c>
      <c r="L4158" t="s">
        <v>1357</v>
      </c>
    </row>
    <row r="4159" spans="8:12">
      <c r="H4159" t="s">
        <v>20326</v>
      </c>
      <c r="I4159" t="s">
        <v>1357</v>
      </c>
      <c r="J4159" t="s">
        <v>1357</v>
      </c>
      <c r="K4159" t="s">
        <v>1357</v>
      </c>
      <c r="L4159" t="s">
        <v>1357</v>
      </c>
    </row>
    <row r="4160" spans="8:12">
      <c r="H4160" t="s">
        <v>20327</v>
      </c>
      <c r="I4160" t="s">
        <v>1357</v>
      </c>
      <c r="J4160" t="s">
        <v>1357</v>
      </c>
      <c r="K4160" t="s">
        <v>1357</v>
      </c>
      <c r="L4160" t="s">
        <v>1357</v>
      </c>
    </row>
    <row r="4161" spans="6:12">
      <c r="H4161" t="s">
        <v>20009</v>
      </c>
      <c r="I4161" t="s">
        <v>1357</v>
      </c>
      <c r="J4161" t="s">
        <v>1357</v>
      </c>
      <c r="K4161" t="s">
        <v>1357</v>
      </c>
      <c r="L4161" t="s">
        <v>1357</v>
      </c>
    </row>
    <row r="4162" spans="6:12">
      <c r="H4162" t="s">
        <v>20329</v>
      </c>
      <c r="I4162" t="s">
        <v>1357</v>
      </c>
      <c r="J4162" t="s">
        <v>1357</v>
      </c>
      <c r="K4162" t="s">
        <v>1357</v>
      </c>
      <c r="L4162" t="s">
        <v>1357</v>
      </c>
    </row>
    <row r="4163" spans="6:12">
      <c r="H4163" t="s">
        <v>20330</v>
      </c>
      <c r="I4163" t="s">
        <v>1357</v>
      </c>
      <c r="J4163" t="s">
        <v>1357</v>
      </c>
      <c r="K4163" t="s">
        <v>1357</v>
      </c>
      <c r="L4163" t="s">
        <v>1357</v>
      </c>
    </row>
    <row r="4164" spans="6:12">
      <c r="H4164" t="s">
        <v>20331</v>
      </c>
      <c r="I4164" t="s">
        <v>1357</v>
      </c>
      <c r="J4164" t="s">
        <v>1357</v>
      </c>
      <c r="K4164" t="s">
        <v>1357</v>
      </c>
      <c r="L4164" t="s">
        <v>1357</v>
      </c>
    </row>
    <row r="4165" spans="6:12">
      <c r="F4165" t="s">
        <v>15046</v>
      </c>
      <c r="G4165" t="s">
        <v>17495</v>
      </c>
      <c r="H4165" t="s">
        <v>20280</v>
      </c>
      <c r="I4165" t="s">
        <v>1357</v>
      </c>
      <c r="J4165" t="s">
        <v>1357</v>
      </c>
      <c r="K4165" t="s">
        <v>1357</v>
      </c>
      <c r="L4165" t="s">
        <v>1357</v>
      </c>
    </row>
    <row r="4166" spans="6:12">
      <c r="H4166" t="s">
        <v>20233</v>
      </c>
      <c r="I4166" t="s">
        <v>1357</v>
      </c>
      <c r="J4166" t="s">
        <v>1357</v>
      </c>
      <c r="K4166" t="s">
        <v>1357</v>
      </c>
      <c r="L4166" t="s">
        <v>1357</v>
      </c>
    </row>
    <row r="4167" spans="6:12">
      <c r="H4167" t="s">
        <v>20230</v>
      </c>
      <c r="I4167" t="s">
        <v>1357</v>
      </c>
      <c r="J4167" t="s">
        <v>1357</v>
      </c>
      <c r="K4167" t="s">
        <v>1357</v>
      </c>
      <c r="L4167" t="s">
        <v>1357</v>
      </c>
    </row>
    <row r="4168" spans="6:12">
      <c r="H4168" t="s">
        <v>20227</v>
      </c>
      <c r="I4168" t="s">
        <v>1357</v>
      </c>
      <c r="J4168" t="s">
        <v>1357</v>
      </c>
      <c r="K4168" t="s">
        <v>1357</v>
      </c>
      <c r="L4168" t="s">
        <v>1357</v>
      </c>
    </row>
    <row r="4169" spans="6:12">
      <c r="H4169" t="s">
        <v>20232</v>
      </c>
      <c r="I4169" t="s">
        <v>1357</v>
      </c>
      <c r="J4169" t="s">
        <v>1357</v>
      </c>
      <c r="K4169" t="s">
        <v>1357</v>
      </c>
      <c r="L4169" t="s">
        <v>1357</v>
      </c>
    </row>
    <row r="4170" spans="6:12">
      <c r="H4170" t="s">
        <v>20282</v>
      </c>
      <c r="I4170" t="s">
        <v>1357</v>
      </c>
      <c r="J4170" t="s">
        <v>1357</v>
      </c>
      <c r="K4170" t="s">
        <v>1357</v>
      </c>
      <c r="L4170" t="s">
        <v>1357</v>
      </c>
    </row>
    <row r="4171" spans="6:12">
      <c r="H4171" t="s">
        <v>20284</v>
      </c>
      <c r="I4171" t="s">
        <v>1357</v>
      </c>
      <c r="J4171" t="s">
        <v>1357</v>
      </c>
      <c r="K4171" t="s">
        <v>1357</v>
      </c>
      <c r="L4171" t="s">
        <v>1357</v>
      </c>
    </row>
    <row r="4172" spans="6:12">
      <c r="H4172" t="s">
        <v>20285</v>
      </c>
      <c r="I4172" t="s">
        <v>1357</v>
      </c>
      <c r="J4172" t="s">
        <v>1357</v>
      </c>
      <c r="K4172" t="s">
        <v>1357</v>
      </c>
      <c r="L4172" t="s">
        <v>1357</v>
      </c>
    </row>
    <row r="4173" spans="6:12">
      <c r="H4173" t="s">
        <v>20288</v>
      </c>
      <c r="I4173" t="s">
        <v>1357</v>
      </c>
      <c r="J4173" t="s">
        <v>1357</v>
      </c>
      <c r="K4173" t="s">
        <v>1357</v>
      </c>
      <c r="L4173" t="s">
        <v>1357</v>
      </c>
    </row>
    <row r="4174" spans="6:12">
      <c r="H4174" t="s">
        <v>20290</v>
      </c>
      <c r="I4174" t="s">
        <v>1357</v>
      </c>
      <c r="J4174" t="s">
        <v>1357</v>
      </c>
      <c r="K4174" t="s">
        <v>1357</v>
      </c>
      <c r="L4174" t="s">
        <v>1357</v>
      </c>
    </row>
    <row r="4175" spans="6:12">
      <c r="H4175" t="s">
        <v>20291</v>
      </c>
      <c r="I4175" t="s">
        <v>1357</v>
      </c>
      <c r="J4175" t="s">
        <v>1357</v>
      </c>
      <c r="K4175" t="s">
        <v>1357</v>
      </c>
      <c r="L4175" t="s">
        <v>1357</v>
      </c>
    </row>
    <row r="4176" spans="6:12">
      <c r="H4176" t="s">
        <v>20293</v>
      </c>
      <c r="I4176" t="s">
        <v>1357</v>
      </c>
      <c r="J4176" t="s">
        <v>1357</v>
      </c>
      <c r="K4176" t="s">
        <v>1357</v>
      </c>
      <c r="L4176" t="s">
        <v>1357</v>
      </c>
    </row>
    <row r="4177" spans="6:12">
      <c r="H4177" t="s">
        <v>20294</v>
      </c>
      <c r="I4177" t="s">
        <v>1357</v>
      </c>
      <c r="J4177" t="s">
        <v>1357</v>
      </c>
      <c r="K4177" t="s">
        <v>1357</v>
      </c>
      <c r="L4177" t="s">
        <v>1357</v>
      </c>
    </row>
    <row r="4178" spans="6:12">
      <c r="H4178" t="s">
        <v>20312</v>
      </c>
      <c r="I4178" t="s">
        <v>1357</v>
      </c>
      <c r="J4178" t="s">
        <v>1357</v>
      </c>
      <c r="K4178" t="s">
        <v>1357</v>
      </c>
      <c r="L4178" t="s">
        <v>1357</v>
      </c>
    </row>
    <row r="4179" spans="6:12">
      <c r="H4179" t="s">
        <v>20313</v>
      </c>
      <c r="I4179" t="s">
        <v>1357</v>
      </c>
      <c r="J4179" t="s">
        <v>1357</v>
      </c>
      <c r="K4179" t="s">
        <v>1357</v>
      </c>
      <c r="L4179" t="s">
        <v>1357</v>
      </c>
    </row>
    <row r="4180" spans="6:12">
      <c r="H4180" t="s">
        <v>20325</v>
      </c>
      <c r="I4180" t="s">
        <v>1357</v>
      </c>
      <c r="J4180" t="s">
        <v>1357</v>
      </c>
      <c r="K4180" t="s">
        <v>1357</v>
      </c>
      <c r="L4180" t="s">
        <v>1357</v>
      </c>
    </row>
    <row r="4181" spans="6:12">
      <c r="H4181" t="s">
        <v>20326</v>
      </c>
      <c r="I4181" t="s">
        <v>1357</v>
      </c>
      <c r="J4181" t="s">
        <v>1357</v>
      </c>
      <c r="K4181" t="s">
        <v>1357</v>
      </c>
      <c r="L4181" t="s">
        <v>1357</v>
      </c>
    </row>
    <row r="4182" spans="6:12">
      <c r="H4182" t="s">
        <v>20327</v>
      </c>
      <c r="I4182" t="s">
        <v>1357</v>
      </c>
      <c r="J4182" t="s">
        <v>1357</v>
      </c>
      <c r="K4182" t="s">
        <v>1357</v>
      </c>
      <c r="L4182" t="s">
        <v>1357</v>
      </c>
    </row>
    <row r="4183" spans="6:12">
      <c r="H4183" t="s">
        <v>20009</v>
      </c>
      <c r="I4183" t="s">
        <v>1357</v>
      </c>
      <c r="J4183" t="s">
        <v>1357</v>
      </c>
      <c r="K4183" t="s">
        <v>1357</v>
      </c>
      <c r="L4183" t="s">
        <v>1357</v>
      </c>
    </row>
    <row r="4184" spans="6:12">
      <c r="H4184" t="s">
        <v>20329</v>
      </c>
      <c r="I4184" t="s">
        <v>1357</v>
      </c>
      <c r="J4184" t="s">
        <v>1357</v>
      </c>
      <c r="K4184" t="s">
        <v>1357</v>
      </c>
      <c r="L4184" t="s">
        <v>1357</v>
      </c>
    </row>
    <row r="4185" spans="6:12">
      <c r="H4185" t="s">
        <v>20330</v>
      </c>
      <c r="I4185" t="s">
        <v>1357</v>
      </c>
      <c r="J4185" t="s">
        <v>1357</v>
      </c>
      <c r="K4185" t="s">
        <v>1357</v>
      </c>
      <c r="L4185" t="s">
        <v>1357</v>
      </c>
    </row>
    <row r="4186" spans="6:12">
      <c r="H4186" t="s">
        <v>20328</v>
      </c>
      <c r="I4186" t="s">
        <v>1357</v>
      </c>
      <c r="J4186" t="s">
        <v>1357</v>
      </c>
      <c r="K4186" t="s">
        <v>1357</v>
      </c>
      <c r="L4186" t="s">
        <v>1357</v>
      </c>
    </row>
    <row r="4187" spans="6:12">
      <c r="H4187" t="s">
        <v>20305</v>
      </c>
      <c r="I4187" t="s">
        <v>1357</v>
      </c>
      <c r="J4187" t="s">
        <v>1357</v>
      </c>
      <c r="K4187" t="s">
        <v>1357</v>
      </c>
      <c r="L4187" t="s">
        <v>1357</v>
      </c>
    </row>
    <row r="4188" spans="6:12">
      <c r="F4188" t="s">
        <v>15047</v>
      </c>
      <c r="G4188" t="s">
        <v>17821</v>
      </c>
      <c r="H4188" t="s">
        <v>20280</v>
      </c>
      <c r="I4188" t="s">
        <v>1357</v>
      </c>
      <c r="J4188" t="s">
        <v>1357</v>
      </c>
      <c r="K4188" t="s">
        <v>1357</v>
      </c>
      <c r="L4188" t="s">
        <v>1357</v>
      </c>
    </row>
    <row r="4189" spans="6:12">
      <c r="H4189" t="s">
        <v>20233</v>
      </c>
      <c r="I4189" t="s">
        <v>1357</v>
      </c>
      <c r="J4189" t="s">
        <v>1357</v>
      </c>
      <c r="K4189" t="s">
        <v>1357</v>
      </c>
      <c r="L4189" t="s">
        <v>1357</v>
      </c>
    </row>
    <row r="4190" spans="6:12">
      <c r="H4190" t="s">
        <v>20227</v>
      </c>
      <c r="I4190" t="s">
        <v>1357</v>
      </c>
      <c r="J4190" t="s">
        <v>1357</v>
      </c>
      <c r="K4190" t="s">
        <v>1357</v>
      </c>
      <c r="L4190" t="s">
        <v>1357</v>
      </c>
    </row>
    <row r="4191" spans="6:12">
      <c r="H4191" t="s">
        <v>20282</v>
      </c>
      <c r="I4191" t="s">
        <v>1357</v>
      </c>
      <c r="J4191" t="s">
        <v>1357</v>
      </c>
      <c r="K4191" t="s">
        <v>1357</v>
      </c>
      <c r="L4191" t="s">
        <v>1357</v>
      </c>
    </row>
    <row r="4192" spans="6:12">
      <c r="H4192" t="s">
        <v>20284</v>
      </c>
      <c r="I4192" t="s">
        <v>1357</v>
      </c>
      <c r="J4192" t="s">
        <v>1357</v>
      </c>
      <c r="K4192" t="s">
        <v>1357</v>
      </c>
      <c r="L4192" t="s">
        <v>1357</v>
      </c>
    </row>
    <row r="4193" spans="8:12">
      <c r="H4193" t="s">
        <v>20285</v>
      </c>
      <c r="I4193" t="s">
        <v>1357</v>
      </c>
      <c r="J4193" t="s">
        <v>1357</v>
      </c>
      <c r="K4193" t="s">
        <v>1357</v>
      </c>
      <c r="L4193" t="s">
        <v>1357</v>
      </c>
    </row>
    <row r="4194" spans="8:12">
      <c r="H4194" t="s">
        <v>20288</v>
      </c>
      <c r="I4194" t="s">
        <v>1357</v>
      </c>
      <c r="J4194" t="s">
        <v>1357</v>
      </c>
      <c r="K4194" t="s">
        <v>1357</v>
      </c>
      <c r="L4194" t="s">
        <v>1357</v>
      </c>
    </row>
    <row r="4195" spans="8:12">
      <c r="H4195" t="s">
        <v>20289</v>
      </c>
      <c r="I4195" t="s">
        <v>1357</v>
      </c>
      <c r="J4195" t="s">
        <v>1357</v>
      </c>
      <c r="K4195" t="s">
        <v>1357</v>
      </c>
      <c r="L4195" t="s">
        <v>1357</v>
      </c>
    </row>
    <row r="4196" spans="8:12">
      <c r="H4196" t="s">
        <v>20290</v>
      </c>
      <c r="I4196" t="s">
        <v>1357</v>
      </c>
      <c r="J4196" t="s">
        <v>1357</v>
      </c>
      <c r="K4196" t="s">
        <v>1357</v>
      </c>
      <c r="L4196" t="s">
        <v>1357</v>
      </c>
    </row>
    <row r="4197" spans="8:12">
      <c r="H4197" t="s">
        <v>20291</v>
      </c>
      <c r="I4197" t="s">
        <v>1357</v>
      </c>
      <c r="J4197" t="s">
        <v>1357</v>
      </c>
      <c r="K4197" t="s">
        <v>1357</v>
      </c>
      <c r="L4197" t="s">
        <v>1357</v>
      </c>
    </row>
    <row r="4198" spans="8:12">
      <c r="H4198" t="s">
        <v>20293</v>
      </c>
      <c r="I4198" t="s">
        <v>1357</v>
      </c>
      <c r="J4198" t="s">
        <v>1357</v>
      </c>
      <c r="K4198" t="s">
        <v>1357</v>
      </c>
      <c r="L4198" t="s">
        <v>1357</v>
      </c>
    </row>
    <row r="4199" spans="8:12">
      <c r="H4199" t="s">
        <v>20294</v>
      </c>
      <c r="I4199" t="s">
        <v>1357</v>
      </c>
      <c r="J4199" t="s">
        <v>1357</v>
      </c>
      <c r="K4199" t="s">
        <v>1357</v>
      </c>
      <c r="L4199" t="s">
        <v>1357</v>
      </c>
    </row>
    <row r="4200" spans="8:12">
      <c r="H4200" t="s">
        <v>20312</v>
      </c>
      <c r="I4200" t="s">
        <v>1357</v>
      </c>
      <c r="J4200" t="s">
        <v>1357</v>
      </c>
      <c r="K4200" t="s">
        <v>1357</v>
      </c>
      <c r="L4200" t="s">
        <v>1357</v>
      </c>
    </row>
    <row r="4201" spans="8:12">
      <c r="H4201" t="s">
        <v>20313</v>
      </c>
      <c r="I4201" t="s">
        <v>1357</v>
      </c>
      <c r="J4201" t="s">
        <v>1357</v>
      </c>
      <c r="K4201" t="s">
        <v>1357</v>
      </c>
      <c r="L4201" t="s">
        <v>1357</v>
      </c>
    </row>
    <row r="4202" spans="8:12">
      <c r="H4202" t="s">
        <v>20325</v>
      </c>
      <c r="I4202" t="s">
        <v>1357</v>
      </c>
      <c r="J4202" t="s">
        <v>1357</v>
      </c>
      <c r="K4202" t="s">
        <v>1357</v>
      </c>
      <c r="L4202" t="s">
        <v>1357</v>
      </c>
    </row>
    <row r="4203" spans="8:12">
      <c r="H4203" t="s">
        <v>20326</v>
      </c>
      <c r="I4203" t="s">
        <v>1357</v>
      </c>
      <c r="J4203" t="s">
        <v>1357</v>
      </c>
      <c r="K4203" t="s">
        <v>1357</v>
      </c>
      <c r="L4203" t="s">
        <v>1357</v>
      </c>
    </row>
    <row r="4204" spans="8:12">
      <c r="H4204" t="s">
        <v>20327</v>
      </c>
      <c r="I4204" t="s">
        <v>1357</v>
      </c>
      <c r="J4204" t="s">
        <v>1357</v>
      </c>
      <c r="K4204" t="s">
        <v>1357</v>
      </c>
      <c r="L4204" t="s">
        <v>1357</v>
      </c>
    </row>
    <row r="4205" spans="8:12">
      <c r="H4205" t="s">
        <v>20009</v>
      </c>
      <c r="I4205" t="s">
        <v>1357</v>
      </c>
      <c r="J4205" t="s">
        <v>1357</v>
      </c>
      <c r="K4205" t="s">
        <v>1357</v>
      </c>
      <c r="L4205" t="s">
        <v>1357</v>
      </c>
    </row>
    <row r="4206" spans="8:12">
      <c r="H4206" t="s">
        <v>20329</v>
      </c>
      <c r="I4206" t="s">
        <v>1357</v>
      </c>
      <c r="J4206" t="s">
        <v>1357</v>
      </c>
      <c r="K4206" t="s">
        <v>1357</v>
      </c>
      <c r="L4206" t="s">
        <v>1357</v>
      </c>
    </row>
    <row r="4207" spans="8:12">
      <c r="H4207" t="s">
        <v>20330</v>
      </c>
      <c r="I4207" t="s">
        <v>1357</v>
      </c>
      <c r="J4207" t="s">
        <v>1357</v>
      </c>
      <c r="K4207" t="s">
        <v>1357</v>
      </c>
      <c r="L4207" t="s">
        <v>1357</v>
      </c>
    </row>
    <row r="4208" spans="8:12">
      <c r="H4208" t="s">
        <v>20328</v>
      </c>
      <c r="I4208" t="s">
        <v>1357</v>
      </c>
      <c r="J4208" t="s">
        <v>1357</v>
      </c>
      <c r="K4208" t="s">
        <v>1357</v>
      </c>
      <c r="L4208" t="s">
        <v>1357</v>
      </c>
    </row>
    <row r="4209" spans="6:12">
      <c r="H4209" t="s">
        <v>20331</v>
      </c>
      <c r="I4209" t="s">
        <v>1357</v>
      </c>
      <c r="J4209" t="s">
        <v>1357</v>
      </c>
      <c r="K4209" t="s">
        <v>1357</v>
      </c>
      <c r="L4209" t="s">
        <v>1357</v>
      </c>
    </row>
    <row r="4210" spans="6:12">
      <c r="F4210" t="s">
        <v>15048</v>
      </c>
      <c r="G4210" t="s">
        <v>17822</v>
      </c>
      <c r="H4210" t="s">
        <v>20280</v>
      </c>
      <c r="I4210" t="s">
        <v>1357</v>
      </c>
      <c r="J4210" t="s">
        <v>1357</v>
      </c>
      <c r="K4210" t="s">
        <v>1357</v>
      </c>
      <c r="L4210" t="s">
        <v>1357</v>
      </c>
    </row>
    <row r="4211" spans="6:12">
      <c r="H4211" t="s">
        <v>20233</v>
      </c>
      <c r="I4211" t="s">
        <v>1357</v>
      </c>
      <c r="J4211" t="s">
        <v>1357</v>
      </c>
      <c r="K4211" t="s">
        <v>1357</v>
      </c>
      <c r="L4211" t="s">
        <v>1357</v>
      </c>
    </row>
    <row r="4212" spans="6:12">
      <c r="H4212" t="s">
        <v>20227</v>
      </c>
      <c r="I4212" t="s">
        <v>1357</v>
      </c>
      <c r="J4212" t="s">
        <v>1357</v>
      </c>
      <c r="K4212" t="s">
        <v>1357</v>
      </c>
      <c r="L4212" t="s">
        <v>1357</v>
      </c>
    </row>
    <row r="4213" spans="6:12">
      <c r="H4213" t="s">
        <v>20282</v>
      </c>
      <c r="I4213" t="s">
        <v>1357</v>
      </c>
      <c r="J4213" t="s">
        <v>1357</v>
      </c>
      <c r="K4213" t="s">
        <v>1357</v>
      </c>
      <c r="L4213" t="s">
        <v>1357</v>
      </c>
    </row>
    <row r="4214" spans="6:12">
      <c r="H4214" t="s">
        <v>20284</v>
      </c>
      <c r="I4214" t="s">
        <v>1357</v>
      </c>
      <c r="J4214" t="s">
        <v>1357</v>
      </c>
      <c r="K4214" t="s">
        <v>1357</v>
      </c>
      <c r="L4214" t="s">
        <v>1357</v>
      </c>
    </row>
    <row r="4215" spans="6:12">
      <c r="H4215" t="s">
        <v>20285</v>
      </c>
      <c r="I4215" t="s">
        <v>1357</v>
      </c>
      <c r="J4215" t="s">
        <v>1357</v>
      </c>
      <c r="K4215" t="s">
        <v>1357</v>
      </c>
      <c r="L4215" t="s">
        <v>1357</v>
      </c>
    </row>
    <row r="4216" spans="6:12">
      <c r="H4216" t="s">
        <v>20288</v>
      </c>
      <c r="I4216" t="s">
        <v>1357</v>
      </c>
      <c r="J4216" t="s">
        <v>1357</v>
      </c>
      <c r="K4216" t="s">
        <v>1357</v>
      </c>
      <c r="L4216" t="s">
        <v>1357</v>
      </c>
    </row>
    <row r="4217" spans="6:12">
      <c r="H4217" t="s">
        <v>20289</v>
      </c>
      <c r="I4217" t="s">
        <v>1357</v>
      </c>
      <c r="J4217" t="s">
        <v>1357</v>
      </c>
      <c r="K4217" t="s">
        <v>1357</v>
      </c>
      <c r="L4217" t="s">
        <v>1357</v>
      </c>
    </row>
    <row r="4218" spans="6:12">
      <c r="H4218" t="s">
        <v>20290</v>
      </c>
      <c r="I4218" t="s">
        <v>1357</v>
      </c>
      <c r="J4218" t="s">
        <v>1357</v>
      </c>
      <c r="K4218" t="s">
        <v>1357</v>
      </c>
      <c r="L4218" t="s">
        <v>1357</v>
      </c>
    </row>
    <row r="4219" spans="6:12">
      <c r="H4219" t="s">
        <v>20291</v>
      </c>
      <c r="I4219" t="s">
        <v>1357</v>
      </c>
      <c r="J4219" t="s">
        <v>1357</v>
      </c>
      <c r="K4219" t="s">
        <v>1357</v>
      </c>
      <c r="L4219" t="s">
        <v>1357</v>
      </c>
    </row>
    <row r="4220" spans="6:12">
      <c r="H4220" t="s">
        <v>20293</v>
      </c>
      <c r="I4220" t="s">
        <v>1357</v>
      </c>
      <c r="J4220" t="s">
        <v>1357</v>
      </c>
      <c r="K4220" t="s">
        <v>1357</v>
      </c>
      <c r="L4220" t="s">
        <v>1357</v>
      </c>
    </row>
    <row r="4221" spans="6:12">
      <c r="H4221" t="s">
        <v>20294</v>
      </c>
      <c r="I4221" t="s">
        <v>1357</v>
      </c>
      <c r="J4221" t="s">
        <v>1357</v>
      </c>
      <c r="K4221" t="s">
        <v>1357</v>
      </c>
      <c r="L4221" t="s">
        <v>1357</v>
      </c>
    </row>
    <row r="4222" spans="6:12">
      <c r="H4222" t="s">
        <v>20312</v>
      </c>
      <c r="I4222" t="s">
        <v>1357</v>
      </c>
      <c r="J4222" t="s">
        <v>1357</v>
      </c>
      <c r="K4222" t="s">
        <v>1357</v>
      </c>
      <c r="L4222" t="s">
        <v>1357</v>
      </c>
    </row>
    <row r="4223" spans="6:12">
      <c r="H4223" t="s">
        <v>20313</v>
      </c>
      <c r="I4223" t="s">
        <v>1357</v>
      </c>
      <c r="J4223" t="s">
        <v>1357</v>
      </c>
      <c r="K4223" t="s">
        <v>1357</v>
      </c>
      <c r="L4223" t="s">
        <v>1357</v>
      </c>
    </row>
    <row r="4224" spans="6:12">
      <c r="H4224" t="s">
        <v>20325</v>
      </c>
      <c r="I4224" t="s">
        <v>1357</v>
      </c>
      <c r="J4224" t="s">
        <v>1357</v>
      </c>
      <c r="K4224" t="s">
        <v>1357</v>
      </c>
      <c r="L4224" t="s">
        <v>1357</v>
      </c>
    </row>
    <row r="4225" spans="6:12">
      <c r="H4225" t="s">
        <v>20326</v>
      </c>
      <c r="I4225" t="s">
        <v>1357</v>
      </c>
      <c r="J4225" t="s">
        <v>1357</v>
      </c>
      <c r="K4225" t="s">
        <v>1357</v>
      </c>
      <c r="L4225" t="s">
        <v>1357</v>
      </c>
    </row>
    <row r="4226" spans="6:12">
      <c r="H4226" t="s">
        <v>20327</v>
      </c>
      <c r="I4226" t="s">
        <v>1357</v>
      </c>
      <c r="J4226" t="s">
        <v>1357</v>
      </c>
      <c r="K4226" t="s">
        <v>1357</v>
      </c>
      <c r="L4226" t="s">
        <v>1357</v>
      </c>
    </row>
    <row r="4227" spans="6:12">
      <c r="H4227" t="s">
        <v>20009</v>
      </c>
      <c r="I4227" t="s">
        <v>1357</v>
      </c>
      <c r="J4227" t="s">
        <v>1357</v>
      </c>
      <c r="K4227" t="s">
        <v>1357</v>
      </c>
      <c r="L4227" t="s">
        <v>1357</v>
      </c>
    </row>
    <row r="4228" spans="6:12">
      <c r="H4228" t="s">
        <v>20329</v>
      </c>
      <c r="I4228" t="s">
        <v>1357</v>
      </c>
      <c r="J4228" t="s">
        <v>1357</v>
      </c>
      <c r="K4228" t="s">
        <v>1357</v>
      </c>
      <c r="L4228" t="s">
        <v>1357</v>
      </c>
    </row>
    <row r="4229" spans="6:12">
      <c r="H4229" t="s">
        <v>20330</v>
      </c>
      <c r="I4229" t="s">
        <v>1357</v>
      </c>
      <c r="J4229" t="s">
        <v>1357</v>
      </c>
      <c r="K4229" t="s">
        <v>1357</v>
      </c>
      <c r="L4229" t="s">
        <v>1357</v>
      </c>
    </row>
    <row r="4230" spans="6:12">
      <c r="H4230" t="s">
        <v>20328</v>
      </c>
      <c r="I4230" t="s">
        <v>1357</v>
      </c>
      <c r="J4230" t="s">
        <v>1357</v>
      </c>
      <c r="K4230" t="s">
        <v>1357</v>
      </c>
      <c r="L4230" t="s">
        <v>1357</v>
      </c>
    </row>
    <row r="4231" spans="6:12">
      <c r="H4231" t="s">
        <v>20331</v>
      </c>
      <c r="I4231" t="s">
        <v>1357</v>
      </c>
      <c r="J4231" t="s">
        <v>1357</v>
      </c>
      <c r="K4231" t="s">
        <v>1357</v>
      </c>
      <c r="L4231" t="s">
        <v>1357</v>
      </c>
    </row>
    <row r="4232" spans="6:12">
      <c r="F4232" t="s">
        <v>15049</v>
      </c>
      <c r="G4232" t="s">
        <v>17823</v>
      </c>
      <c r="H4232" t="s">
        <v>20280</v>
      </c>
      <c r="I4232" t="s">
        <v>1357</v>
      </c>
      <c r="J4232" t="s">
        <v>1357</v>
      </c>
      <c r="K4232" t="s">
        <v>1357</v>
      </c>
      <c r="L4232" t="s">
        <v>1357</v>
      </c>
    </row>
    <row r="4233" spans="6:12">
      <c r="H4233" t="s">
        <v>20233</v>
      </c>
      <c r="I4233" t="s">
        <v>1357</v>
      </c>
      <c r="J4233" t="s">
        <v>1357</v>
      </c>
      <c r="K4233" t="s">
        <v>1357</v>
      </c>
      <c r="L4233" t="s">
        <v>1357</v>
      </c>
    </row>
    <row r="4234" spans="6:12">
      <c r="H4234" t="s">
        <v>20227</v>
      </c>
      <c r="I4234" t="s">
        <v>1357</v>
      </c>
      <c r="J4234" t="s">
        <v>1357</v>
      </c>
      <c r="K4234" t="s">
        <v>1357</v>
      </c>
      <c r="L4234" t="s">
        <v>1357</v>
      </c>
    </row>
    <row r="4235" spans="6:12">
      <c r="H4235" t="s">
        <v>20282</v>
      </c>
      <c r="I4235" t="s">
        <v>1357</v>
      </c>
      <c r="J4235" t="s">
        <v>1357</v>
      </c>
      <c r="K4235" t="s">
        <v>1357</v>
      </c>
      <c r="L4235" t="s">
        <v>1357</v>
      </c>
    </row>
    <row r="4236" spans="6:12">
      <c r="H4236" t="s">
        <v>20284</v>
      </c>
      <c r="I4236" t="s">
        <v>1357</v>
      </c>
      <c r="J4236" t="s">
        <v>1357</v>
      </c>
      <c r="K4236" t="s">
        <v>1357</v>
      </c>
      <c r="L4236" t="s">
        <v>1357</v>
      </c>
    </row>
    <row r="4237" spans="6:12">
      <c r="H4237" t="s">
        <v>20285</v>
      </c>
      <c r="I4237" t="s">
        <v>1357</v>
      </c>
      <c r="J4237" t="s">
        <v>1357</v>
      </c>
      <c r="K4237" t="s">
        <v>1357</v>
      </c>
      <c r="L4237" t="s">
        <v>1357</v>
      </c>
    </row>
    <row r="4238" spans="6:12">
      <c r="H4238" t="s">
        <v>20288</v>
      </c>
      <c r="I4238" t="s">
        <v>1357</v>
      </c>
      <c r="J4238" t="s">
        <v>1357</v>
      </c>
      <c r="K4238" t="s">
        <v>1357</v>
      </c>
      <c r="L4238" t="s">
        <v>1357</v>
      </c>
    </row>
    <row r="4239" spans="6:12">
      <c r="H4239" t="s">
        <v>20289</v>
      </c>
      <c r="I4239" t="s">
        <v>1357</v>
      </c>
      <c r="J4239" t="s">
        <v>1357</v>
      </c>
      <c r="K4239" t="s">
        <v>1357</v>
      </c>
      <c r="L4239" t="s">
        <v>1357</v>
      </c>
    </row>
    <row r="4240" spans="6:12">
      <c r="H4240" t="s">
        <v>20290</v>
      </c>
      <c r="I4240" t="s">
        <v>1357</v>
      </c>
      <c r="J4240" t="s">
        <v>1357</v>
      </c>
      <c r="K4240" t="s">
        <v>1357</v>
      </c>
      <c r="L4240" t="s">
        <v>1357</v>
      </c>
    </row>
    <row r="4241" spans="6:12">
      <c r="H4241" t="s">
        <v>20291</v>
      </c>
      <c r="I4241" t="s">
        <v>1357</v>
      </c>
      <c r="J4241" t="s">
        <v>1357</v>
      </c>
      <c r="K4241" t="s">
        <v>1357</v>
      </c>
      <c r="L4241" t="s">
        <v>1357</v>
      </c>
    </row>
    <row r="4242" spans="6:12">
      <c r="H4242" t="s">
        <v>20293</v>
      </c>
      <c r="I4242" t="s">
        <v>1357</v>
      </c>
      <c r="J4242" t="s">
        <v>1357</v>
      </c>
      <c r="K4242" t="s">
        <v>1357</v>
      </c>
      <c r="L4242" t="s">
        <v>1357</v>
      </c>
    </row>
    <row r="4243" spans="6:12">
      <c r="H4243" t="s">
        <v>20294</v>
      </c>
      <c r="I4243" t="s">
        <v>1357</v>
      </c>
      <c r="J4243" t="s">
        <v>1357</v>
      </c>
      <c r="K4243" t="s">
        <v>1357</v>
      </c>
      <c r="L4243" t="s">
        <v>1357</v>
      </c>
    </row>
    <row r="4244" spans="6:12">
      <c r="H4244" t="s">
        <v>20312</v>
      </c>
      <c r="I4244" t="s">
        <v>1357</v>
      </c>
      <c r="J4244" t="s">
        <v>1357</v>
      </c>
      <c r="K4244" t="s">
        <v>1357</v>
      </c>
      <c r="L4244" t="s">
        <v>1357</v>
      </c>
    </row>
    <row r="4245" spans="6:12">
      <c r="H4245" t="s">
        <v>20313</v>
      </c>
      <c r="I4245" t="s">
        <v>1357</v>
      </c>
      <c r="J4245" t="s">
        <v>1357</v>
      </c>
      <c r="K4245" t="s">
        <v>1357</v>
      </c>
      <c r="L4245" t="s">
        <v>1357</v>
      </c>
    </row>
    <row r="4246" spans="6:12">
      <c r="H4246" t="s">
        <v>20325</v>
      </c>
      <c r="I4246" t="s">
        <v>1357</v>
      </c>
      <c r="J4246" t="s">
        <v>1357</v>
      </c>
      <c r="K4246" t="s">
        <v>1357</v>
      </c>
      <c r="L4246" t="s">
        <v>1357</v>
      </c>
    </row>
    <row r="4247" spans="6:12">
      <c r="H4247" t="s">
        <v>20326</v>
      </c>
      <c r="I4247" t="s">
        <v>1357</v>
      </c>
      <c r="J4247" t="s">
        <v>1357</v>
      </c>
      <c r="K4247" t="s">
        <v>1357</v>
      </c>
      <c r="L4247" t="s">
        <v>1357</v>
      </c>
    </row>
    <row r="4248" spans="6:12">
      <c r="H4248" t="s">
        <v>20327</v>
      </c>
      <c r="I4248" t="s">
        <v>1357</v>
      </c>
      <c r="J4248" t="s">
        <v>1357</v>
      </c>
      <c r="K4248" t="s">
        <v>1357</v>
      </c>
      <c r="L4248" t="s">
        <v>1357</v>
      </c>
    </row>
    <row r="4249" spans="6:12">
      <c r="H4249" t="s">
        <v>20009</v>
      </c>
      <c r="I4249" t="s">
        <v>1357</v>
      </c>
      <c r="J4249" t="s">
        <v>1357</v>
      </c>
      <c r="K4249" t="s">
        <v>1357</v>
      </c>
      <c r="L4249" t="s">
        <v>1357</v>
      </c>
    </row>
    <row r="4250" spans="6:12">
      <c r="H4250" t="s">
        <v>20329</v>
      </c>
      <c r="I4250" t="s">
        <v>1357</v>
      </c>
      <c r="J4250" t="s">
        <v>1357</v>
      </c>
      <c r="K4250" t="s">
        <v>1357</v>
      </c>
      <c r="L4250" t="s">
        <v>1357</v>
      </c>
    </row>
    <row r="4251" spans="6:12">
      <c r="H4251" t="s">
        <v>20330</v>
      </c>
      <c r="I4251" t="s">
        <v>1357</v>
      </c>
      <c r="J4251" t="s">
        <v>1357</v>
      </c>
      <c r="K4251" t="s">
        <v>1357</v>
      </c>
      <c r="L4251" t="s">
        <v>1357</v>
      </c>
    </row>
    <row r="4252" spans="6:12">
      <c r="H4252" t="s">
        <v>20328</v>
      </c>
      <c r="I4252" t="s">
        <v>1357</v>
      </c>
      <c r="J4252" t="s">
        <v>1357</v>
      </c>
      <c r="K4252" t="s">
        <v>1357</v>
      </c>
      <c r="L4252" t="s">
        <v>1357</v>
      </c>
    </row>
    <row r="4253" spans="6:12">
      <c r="H4253" t="s">
        <v>20331</v>
      </c>
      <c r="I4253" t="s">
        <v>1357</v>
      </c>
      <c r="J4253" t="s">
        <v>1357</v>
      </c>
      <c r="K4253" t="s">
        <v>1357</v>
      </c>
      <c r="L4253" t="s">
        <v>1357</v>
      </c>
    </row>
    <row r="4254" spans="6:12">
      <c r="F4254" t="s">
        <v>15050</v>
      </c>
      <c r="G4254" t="s">
        <v>17824</v>
      </c>
      <c r="H4254" t="s">
        <v>20280</v>
      </c>
      <c r="I4254" t="s">
        <v>1357</v>
      </c>
      <c r="J4254" t="s">
        <v>1357</v>
      </c>
      <c r="K4254" t="s">
        <v>1357</v>
      </c>
      <c r="L4254" t="s">
        <v>1357</v>
      </c>
    </row>
    <row r="4255" spans="6:12">
      <c r="H4255" t="s">
        <v>20233</v>
      </c>
      <c r="I4255" t="s">
        <v>1357</v>
      </c>
      <c r="J4255" t="s">
        <v>1357</v>
      </c>
      <c r="K4255" t="s">
        <v>1357</v>
      </c>
      <c r="L4255" t="s">
        <v>1357</v>
      </c>
    </row>
    <row r="4256" spans="6:12">
      <c r="H4256" t="s">
        <v>20227</v>
      </c>
      <c r="I4256" t="s">
        <v>1357</v>
      </c>
      <c r="J4256" t="s">
        <v>1357</v>
      </c>
      <c r="K4256" t="s">
        <v>1357</v>
      </c>
      <c r="L4256" t="s">
        <v>1357</v>
      </c>
    </row>
    <row r="4257" spans="8:12">
      <c r="H4257" t="s">
        <v>20282</v>
      </c>
      <c r="I4257" t="s">
        <v>1357</v>
      </c>
      <c r="J4257" t="s">
        <v>1357</v>
      </c>
      <c r="K4257" t="s">
        <v>1357</v>
      </c>
      <c r="L4257" t="s">
        <v>1357</v>
      </c>
    </row>
    <row r="4258" spans="8:12">
      <c r="H4258" t="s">
        <v>20284</v>
      </c>
      <c r="I4258" t="s">
        <v>1357</v>
      </c>
      <c r="J4258" t="s">
        <v>1357</v>
      </c>
      <c r="K4258" t="s">
        <v>1357</v>
      </c>
      <c r="L4258" t="s">
        <v>1357</v>
      </c>
    </row>
    <row r="4259" spans="8:12">
      <c r="H4259" t="s">
        <v>20285</v>
      </c>
      <c r="I4259" t="s">
        <v>1357</v>
      </c>
      <c r="J4259" t="s">
        <v>1357</v>
      </c>
      <c r="K4259" t="s">
        <v>1357</v>
      </c>
      <c r="L4259" t="s">
        <v>1357</v>
      </c>
    </row>
    <row r="4260" spans="8:12">
      <c r="H4260" t="s">
        <v>20288</v>
      </c>
      <c r="I4260" t="s">
        <v>1357</v>
      </c>
      <c r="J4260" t="s">
        <v>1357</v>
      </c>
      <c r="K4260" t="s">
        <v>1357</v>
      </c>
      <c r="L4260" t="s">
        <v>1357</v>
      </c>
    </row>
    <row r="4261" spans="8:12">
      <c r="H4261" t="s">
        <v>20290</v>
      </c>
      <c r="I4261" t="s">
        <v>1357</v>
      </c>
      <c r="J4261" t="s">
        <v>1357</v>
      </c>
      <c r="K4261" t="s">
        <v>1357</v>
      </c>
      <c r="L4261" t="s">
        <v>1357</v>
      </c>
    </row>
    <row r="4262" spans="8:12">
      <c r="H4262" t="s">
        <v>20291</v>
      </c>
      <c r="I4262" t="s">
        <v>1357</v>
      </c>
      <c r="J4262" t="s">
        <v>1357</v>
      </c>
      <c r="K4262" t="s">
        <v>1357</v>
      </c>
      <c r="L4262" t="s">
        <v>1357</v>
      </c>
    </row>
    <row r="4263" spans="8:12">
      <c r="H4263" t="s">
        <v>20293</v>
      </c>
      <c r="I4263" t="s">
        <v>1357</v>
      </c>
      <c r="J4263" t="s">
        <v>1357</v>
      </c>
      <c r="K4263" t="s">
        <v>1357</v>
      </c>
      <c r="L4263" t="s">
        <v>1357</v>
      </c>
    </row>
    <row r="4264" spans="8:12">
      <c r="H4264" t="s">
        <v>20294</v>
      </c>
      <c r="I4264" t="s">
        <v>1357</v>
      </c>
      <c r="J4264" t="s">
        <v>1357</v>
      </c>
      <c r="K4264" t="s">
        <v>1357</v>
      </c>
      <c r="L4264" t="s">
        <v>1357</v>
      </c>
    </row>
    <row r="4265" spans="8:12">
      <c r="H4265" t="s">
        <v>20312</v>
      </c>
      <c r="I4265" t="s">
        <v>1357</v>
      </c>
      <c r="J4265" t="s">
        <v>1357</v>
      </c>
      <c r="K4265" t="s">
        <v>1357</v>
      </c>
      <c r="L4265" t="s">
        <v>1357</v>
      </c>
    </row>
    <row r="4266" spans="8:12">
      <c r="H4266" t="s">
        <v>20313</v>
      </c>
      <c r="I4266" t="s">
        <v>1357</v>
      </c>
      <c r="J4266" t="s">
        <v>1357</v>
      </c>
      <c r="K4266" t="s">
        <v>1357</v>
      </c>
      <c r="L4266" t="s">
        <v>1357</v>
      </c>
    </row>
    <row r="4267" spans="8:12">
      <c r="H4267" t="s">
        <v>20325</v>
      </c>
      <c r="I4267" t="s">
        <v>1357</v>
      </c>
      <c r="J4267" t="s">
        <v>1357</v>
      </c>
      <c r="K4267" t="s">
        <v>1357</v>
      </c>
      <c r="L4267" t="s">
        <v>1357</v>
      </c>
    </row>
    <row r="4268" spans="8:12">
      <c r="H4268" t="s">
        <v>20326</v>
      </c>
      <c r="I4268" t="s">
        <v>1357</v>
      </c>
      <c r="J4268" t="s">
        <v>1357</v>
      </c>
      <c r="K4268" t="s">
        <v>1357</v>
      </c>
      <c r="L4268" t="s">
        <v>1357</v>
      </c>
    </row>
    <row r="4269" spans="8:12">
      <c r="H4269" t="s">
        <v>20327</v>
      </c>
      <c r="I4269" t="s">
        <v>1357</v>
      </c>
      <c r="J4269" t="s">
        <v>1357</v>
      </c>
      <c r="K4269" t="s">
        <v>1357</v>
      </c>
      <c r="L4269" t="s">
        <v>1357</v>
      </c>
    </row>
    <row r="4270" spans="8:12">
      <c r="H4270" t="s">
        <v>20009</v>
      </c>
      <c r="I4270" t="s">
        <v>1357</v>
      </c>
      <c r="J4270" t="s">
        <v>1357</v>
      </c>
      <c r="K4270" t="s">
        <v>1357</v>
      </c>
      <c r="L4270" t="s">
        <v>1357</v>
      </c>
    </row>
    <row r="4271" spans="8:12">
      <c r="H4271" t="s">
        <v>20329</v>
      </c>
      <c r="I4271" t="s">
        <v>1357</v>
      </c>
      <c r="J4271" t="s">
        <v>1357</v>
      </c>
      <c r="K4271" t="s">
        <v>1357</v>
      </c>
      <c r="L4271" t="s">
        <v>1357</v>
      </c>
    </row>
    <row r="4272" spans="8:12">
      <c r="H4272" t="s">
        <v>20330</v>
      </c>
      <c r="I4272" t="s">
        <v>1357</v>
      </c>
      <c r="J4272" t="s">
        <v>1357</v>
      </c>
      <c r="K4272" t="s">
        <v>1357</v>
      </c>
      <c r="L4272" t="s">
        <v>1357</v>
      </c>
    </row>
    <row r="4273" spans="6:12">
      <c r="H4273" t="s">
        <v>20289</v>
      </c>
      <c r="I4273" t="s">
        <v>1357</v>
      </c>
      <c r="J4273" t="s">
        <v>1357</v>
      </c>
      <c r="K4273" t="s">
        <v>1357</v>
      </c>
      <c r="L4273" t="s">
        <v>1357</v>
      </c>
    </row>
    <row r="4274" spans="6:12">
      <c r="H4274" t="s">
        <v>20328</v>
      </c>
      <c r="I4274" t="s">
        <v>1357</v>
      </c>
      <c r="J4274" t="s">
        <v>1357</v>
      </c>
      <c r="K4274" t="s">
        <v>1357</v>
      </c>
      <c r="L4274" t="s">
        <v>1357</v>
      </c>
    </row>
    <row r="4275" spans="6:12">
      <c r="H4275" t="s">
        <v>20331</v>
      </c>
      <c r="I4275" t="s">
        <v>1357</v>
      </c>
      <c r="J4275" t="s">
        <v>1357</v>
      </c>
      <c r="K4275" t="s">
        <v>1357</v>
      </c>
      <c r="L4275" t="s">
        <v>1357</v>
      </c>
    </row>
    <row r="4276" spans="6:12">
      <c r="F4276" t="s">
        <v>15051</v>
      </c>
      <c r="G4276" t="s">
        <v>17825</v>
      </c>
      <c r="H4276" t="s">
        <v>20280</v>
      </c>
      <c r="I4276" t="s">
        <v>1357</v>
      </c>
      <c r="J4276" t="s">
        <v>1357</v>
      </c>
      <c r="K4276" t="s">
        <v>1357</v>
      </c>
      <c r="L4276" t="s">
        <v>1357</v>
      </c>
    </row>
    <row r="4277" spans="6:12">
      <c r="H4277" t="s">
        <v>20233</v>
      </c>
      <c r="I4277" t="s">
        <v>1357</v>
      </c>
      <c r="J4277" t="s">
        <v>1357</v>
      </c>
      <c r="K4277" t="s">
        <v>1357</v>
      </c>
      <c r="L4277" t="s">
        <v>1357</v>
      </c>
    </row>
    <row r="4278" spans="6:12">
      <c r="H4278" t="s">
        <v>20227</v>
      </c>
      <c r="I4278" t="s">
        <v>1357</v>
      </c>
      <c r="J4278" t="s">
        <v>1357</v>
      </c>
      <c r="K4278" t="s">
        <v>1357</v>
      </c>
      <c r="L4278" t="s">
        <v>1357</v>
      </c>
    </row>
    <row r="4279" spans="6:12">
      <c r="H4279" t="s">
        <v>20282</v>
      </c>
      <c r="I4279" t="s">
        <v>1357</v>
      </c>
      <c r="J4279" t="s">
        <v>1357</v>
      </c>
      <c r="K4279" t="s">
        <v>1357</v>
      </c>
      <c r="L4279" t="s">
        <v>1357</v>
      </c>
    </row>
    <row r="4280" spans="6:12">
      <c r="H4280" t="s">
        <v>20284</v>
      </c>
      <c r="I4280" t="s">
        <v>1357</v>
      </c>
      <c r="J4280" t="s">
        <v>1357</v>
      </c>
      <c r="K4280" t="s">
        <v>1357</v>
      </c>
      <c r="L4280" t="s">
        <v>1357</v>
      </c>
    </row>
    <row r="4281" spans="6:12">
      <c r="H4281" t="s">
        <v>20285</v>
      </c>
      <c r="I4281" t="s">
        <v>1357</v>
      </c>
      <c r="J4281" t="s">
        <v>1357</v>
      </c>
      <c r="K4281" t="s">
        <v>1357</v>
      </c>
      <c r="L4281" t="s">
        <v>1357</v>
      </c>
    </row>
    <row r="4282" spans="6:12">
      <c r="H4282" t="s">
        <v>20288</v>
      </c>
      <c r="I4282" t="s">
        <v>1357</v>
      </c>
      <c r="J4282" t="s">
        <v>1357</v>
      </c>
      <c r="K4282" t="s">
        <v>1357</v>
      </c>
      <c r="L4282" t="s">
        <v>1357</v>
      </c>
    </row>
    <row r="4283" spans="6:12">
      <c r="H4283" t="s">
        <v>20289</v>
      </c>
      <c r="I4283" t="s">
        <v>1357</v>
      </c>
      <c r="J4283" t="s">
        <v>1357</v>
      </c>
      <c r="K4283" t="s">
        <v>1357</v>
      </c>
      <c r="L4283" t="s">
        <v>1357</v>
      </c>
    </row>
    <row r="4284" spans="6:12">
      <c r="H4284" t="s">
        <v>20290</v>
      </c>
      <c r="I4284" t="s">
        <v>1357</v>
      </c>
      <c r="J4284" t="s">
        <v>1357</v>
      </c>
      <c r="K4284" t="s">
        <v>1357</v>
      </c>
      <c r="L4284" t="s">
        <v>1357</v>
      </c>
    </row>
    <row r="4285" spans="6:12">
      <c r="H4285" t="s">
        <v>20291</v>
      </c>
      <c r="I4285" t="s">
        <v>1357</v>
      </c>
      <c r="J4285" t="s">
        <v>1357</v>
      </c>
      <c r="K4285" t="s">
        <v>1357</v>
      </c>
      <c r="L4285" t="s">
        <v>1357</v>
      </c>
    </row>
    <row r="4286" spans="6:12">
      <c r="H4286" t="s">
        <v>20293</v>
      </c>
      <c r="I4286" t="s">
        <v>1357</v>
      </c>
      <c r="J4286" t="s">
        <v>1357</v>
      </c>
      <c r="K4286" t="s">
        <v>1357</v>
      </c>
      <c r="L4286" t="s">
        <v>1357</v>
      </c>
    </row>
    <row r="4287" spans="6:12">
      <c r="H4287" t="s">
        <v>20294</v>
      </c>
      <c r="I4287" t="s">
        <v>1357</v>
      </c>
      <c r="J4287" t="s">
        <v>1357</v>
      </c>
      <c r="K4287" t="s">
        <v>1357</v>
      </c>
      <c r="L4287" t="s">
        <v>1357</v>
      </c>
    </row>
    <row r="4288" spans="6:12">
      <c r="H4288" t="s">
        <v>20312</v>
      </c>
      <c r="I4288" t="s">
        <v>1357</v>
      </c>
      <c r="J4288" t="s">
        <v>1357</v>
      </c>
      <c r="K4288" t="s">
        <v>1357</v>
      </c>
      <c r="L4288" t="s">
        <v>1357</v>
      </c>
    </row>
    <row r="4289" spans="6:12">
      <c r="H4289" t="s">
        <v>20313</v>
      </c>
      <c r="I4289" t="s">
        <v>1357</v>
      </c>
      <c r="J4289" t="s">
        <v>1357</v>
      </c>
      <c r="K4289" t="s">
        <v>1357</v>
      </c>
      <c r="L4289" t="s">
        <v>1357</v>
      </c>
    </row>
    <row r="4290" spans="6:12">
      <c r="H4290" t="s">
        <v>20325</v>
      </c>
      <c r="I4290" t="s">
        <v>1357</v>
      </c>
      <c r="J4290" t="s">
        <v>1357</v>
      </c>
      <c r="K4290" t="s">
        <v>1357</v>
      </c>
      <c r="L4290" t="s">
        <v>1357</v>
      </c>
    </row>
    <row r="4291" spans="6:12">
      <c r="H4291" t="s">
        <v>20326</v>
      </c>
      <c r="I4291" t="s">
        <v>1357</v>
      </c>
      <c r="J4291" t="s">
        <v>1357</v>
      </c>
      <c r="K4291" t="s">
        <v>1357</v>
      </c>
      <c r="L4291" t="s">
        <v>1357</v>
      </c>
    </row>
    <row r="4292" spans="6:12">
      <c r="H4292" t="s">
        <v>20327</v>
      </c>
      <c r="I4292" t="s">
        <v>1357</v>
      </c>
      <c r="J4292" t="s">
        <v>1357</v>
      </c>
      <c r="K4292" t="s">
        <v>1357</v>
      </c>
      <c r="L4292" t="s">
        <v>1357</v>
      </c>
    </row>
    <row r="4293" spans="6:12">
      <c r="H4293" t="s">
        <v>20009</v>
      </c>
      <c r="I4293" t="s">
        <v>1357</v>
      </c>
      <c r="J4293" t="s">
        <v>1357</v>
      </c>
      <c r="K4293" t="s">
        <v>1357</v>
      </c>
      <c r="L4293" t="s">
        <v>1357</v>
      </c>
    </row>
    <row r="4294" spans="6:12">
      <c r="H4294" t="s">
        <v>20329</v>
      </c>
      <c r="I4294" t="s">
        <v>1357</v>
      </c>
      <c r="J4294" t="s">
        <v>1357</v>
      </c>
      <c r="K4294" t="s">
        <v>1357</v>
      </c>
      <c r="L4294" t="s">
        <v>1357</v>
      </c>
    </row>
    <row r="4295" spans="6:12">
      <c r="H4295" t="s">
        <v>20330</v>
      </c>
      <c r="I4295" t="s">
        <v>1357</v>
      </c>
      <c r="J4295" t="s">
        <v>1357</v>
      </c>
      <c r="K4295" t="s">
        <v>1357</v>
      </c>
      <c r="L4295" t="s">
        <v>1357</v>
      </c>
    </row>
    <row r="4296" spans="6:12">
      <c r="H4296" t="s">
        <v>20328</v>
      </c>
      <c r="I4296" t="s">
        <v>1357</v>
      </c>
      <c r="J4296" t="s">
        <v>1357</v>
      </c>
      <c r="K4296" t="s">
        <v>1357</v>
      </c>
      <c r="L4296" t="s">
        <v>1357</v>
      </c>
    </row>
    <row r="4297" spans="6:12">
      <c r="H4297" t="s">
        <v>20331</v>
      </c>
      <c r="I4297" t="s">
        <v>1357</v>
      </c>
      <c r="J4297" t="s">
        <v>1357</v>
      </c>
      <c r="K4297" t="s">
        <v>1357</v>
      </c>
      <c r="L4297" t="s">
        <v>1357</v>
      </c>
    </row>
    <row r="4298" spans="6:12">
      <c r="F4298" t="s">
        <v>15052</v>
      </c>
      <c r="G4298" t="s">
        <v>17826</v>
      </c>
      <c r="H4298" t="s">
        <v>20280</v>
      </c>
      <c r="I4298" t="s">
        <v>1357</v>
      </c>
      <c r="J4298" t="s">
        <v>1357</v>
      </c>
      <c r="K4298" t="s">
        <v>1357</v>
      </c>
      <c r="L4298" t="s">
        <v>1357</v>
      </c>
    </row>
    <row r="4299" spans="6:12">
      <c r="H4299" t="s">
        <v>20233</v>
      </c>
      <c r="I4299" t="s">
        <v>1357</v>
      </c>
      <c r="J4299" t="s">
        <v>1357</v>
      </c>
      <c r="K4299" t="s">
        <v>1357</v>
      </c>
      <c r="L4299" t="s">
        <v>1357</v>
      </c>
    </row>
    <row r="4300" spans="6:12">
      <c r="H4300" t="s">
        <v>20230</v>
      </c>
      <c r="I4300" t="s">
        <v>1357</v>
      </c>
      <c r="J4300" t="s">
        <v>1357</v>
      </c>
      <c r="K4300" t="s">
        <v>1357</v>
      </c>
      <c r="L4300" t="s">
        <v>1357</v>
      </c>
    </row>
    <row r="4301" spans="6:12">
      <c r="H4301" t="s">
        <v>20227</v>
      </c>
      <c r="I4301" t="s">
        <v>1357</v>
      </c>
      <c r="J4301" t="s">
        <v>1357</v>
      </c>
      <c r="K4301" t="s">
        <v>1357</v>
      </c>
      <c r="L4301" t="s">
        <v>1357</v>
      </c>
    </row>
    <row r="4302" spans="6:12">
      <c r="H4302" t="s">
        <v>20282</v>
      </c>
      <c r="I4302" t="s">
        <v>1357</v>
      </c>
      <c r="J4302" t="s">
        <v>1357</v>
      </c>
      <c r="K4302" t="s">
        <v>1357</v>
      </c>
      <c r="L4302" t="s">
        <v>1357</v>
      </c>
    </row>
    <row r="4303" spans="6:12">
      <c r="H4303" t="s">
        <v>20284</v>
      </c>
      <c r="I4303" t="s">
        <v>1357</v>
      </c>
      <c r="J4303" t="s">
        <v>1357</v>
      </c>
      <c r="K4303" t="s">
        <v>1357</v>
      </c>
      <c r="L4303" t="s">
        <v>1357</v>
      </c>
    </row>
    <row r="4304" spans="6:12">
      <c r="H4304" t="s">
        <v>20285</v>
      </c>
      <c r="I4304" t="s">
        <v>1357</v>
      </c>
      <c r="J4304" t="s">
        <v>1357</v>
      </c>
      <c r="K4304" t="s">
        <v>1357</v>
      </c>
      <c r="L4304" t="s">
        <v>1357</v>
      </c>
    </row>
    <row r="4305" spans="8:12">
      <c r="H4305" t="s">
        <v>20288</v>
      </c>
      <c r="I4305" t="s">
        <v>1357</v>
      </c>
      <c r="J4305" t="s">
        <v>1357</v>
      </c>
      <c r="K4305" t="s">
        <v>1357</v>
      </c>
      <c r="L4305" t="s">
        <v>1357</v>
      </c>
    </row>
    <row r="4306" spans="8:12">
      <c r="H4306" t="s">
        <v>20290</v>
      </c>
      <c r="I4306" t="s">
        <v>1357</v>
      </c>
      <c r="J4306" t="s">
        <v>1357</v>
      </c>
      <c r="K4306" t="s">
        <v>1357</v>
      </c>
      <c r="L4306" t="s">
        <v>1357</v>
      </c>
    </row>
    <row r="4307" spans="8:12">
      <c r="H4307" t="s">
        <v>20291</v>
      </c>
      <c r="I4307" t="s">
        <v>1357</v>
      </c>
      <c r="J4307" t="s">
        <v>1357</v>
      </c>
      <c r="K4307" t="s">
        <v>1357</v>
      </c>
      <c r="L4307" t="s">
        <v>1357</v>
      </c>
    </row>
    <row r="4308" spans="8:12">
      <c r="H4308" t="s">
        <v>20293</v>
      </c>
      <c r="I4308" t="s">
        <v>1357</v>
      </c>
      <c r="J4308" t="s">
        <v>1357</v>
      </c>
      <c r="K4308" t="s">
        <v>1357</v>
      </c>
      <c r="L4308" t="s">
        <v>1357</v>
      </c>
    </row>
    <row r="4309" spans="8:12">
      <c r="H4309" t="s">
        <v>20294</v>
      </c>
      <c r="I4309" t="s">
        <v>1357</v>
      </c>
      <c r="J4309" t="s">
        <v>1357</v>
      </c>
      <c r="K4309" t="s">
        <v>1357</v>
      </c>
      <c r="L4309" t="s">
        <v>1357</v>
      </c>
    </row>
    <row r="4310" spans="8:12">
      <c r="H4310" t="s">
        <v>20312</v>
      </c>
      <c r="I4310" t="s">
        <v>1357</v>
      </c>
      <c r="J4310" t="s">
        <v>1357</v>
      </c>
      <c r="K4310" t="s">
        <v>1357</v>
      </c>
      <c r="L4310" t="s">
        <v>1357</v>
      </c>
    </row>
    <row r="4311" spans="8:12">
      <c r="H4311" t="s">
        <v>20313</v>
      </c>
      <c r="I4311" t="s">
        <v>1357</v>
      </c>
      <c r="J4311" t="s">
        <v>1357</v>
      </c>
      <c r="K4311" t="s">
        <v>1357</v>
      </c>
      <c r="L4311" t="s">
        <v>1357</v>
      </c>
    </row>
    <row r="4312" spans="8:12">
      <c r="H4312" t="s">
        <v>20325</v>
      </c>
      <c r="I4312" t="s">
        <v>1357</v>
      </c>
      <c r="J4312" t="s">
        <v>1357</v>
      </c>
      <c r="K4312" t="s">
        <v>1357</v>
      </c>
      <c r="L4312" t="s">
        <v>1357</v>
      </c>
    </row>
    <row r="4313" spans="8:12">
      <c r="H4313" t="s">
        <v>20326</v>
      </c>
      <c r="I4313" t="s">
        <v>1357</v>
      </c>
      <c r="J4313" t="s">
        <v>1357</v>
      </c>
      <c r="K4313" t="s">
        <v>1357</v>
      </c>
      <c r="L4313" t="s">
        <v>1357</v>
      </c>
    </row>
    <row r="4314" spans="8:12">
      <c r="H4314" t="s">
        <v>20327</v>
      </c>
      <c r="I4314" t="s">
        <v>1357</v>
      </c>
      <c r="J4314" t="s">
        <v>1357</v>
      </c>
      <c r="K4314" t="s">
        <v>1357</v>
      </c>
      <c r="L4314" t="s">
        <v>1357</v>
      </c>
    </row>
    <row r="4315" spans="8:12">
      <c r="H4315" t="s">
        <v>20009</v>
      </c>
      <c r="I4315" t="s">
        <v>1357</v>
      </c>
      <c r="J4315" t="s">
        <v>1357</v>
      </c>
      <c r="K4315" t="s">
        <v>1357</v>
      </c>
      <c r="L4315" t="s">
        <v>1357</v>
      </c>
    </row>
    <row r="4316" spans="8:12">
      <c r="H4316" t="s">
        <v>20329</v>
      </c>
      <c r="I4316" t="s">
        <v>1357</v>
      </c>
      <c r="J4316" t="s">
        <v>1357</v>
      </c>
      <c r="K4316" t="s">
        <v>1357</v>
      </c>
      <c r="L4316" t="s">
        <v>1357</v>
      </c>
    </row>
    <row r="4317" spans="8:12">
      <c r="H4317" t="s">
        <v>20330</v>
      </c>
      <c r="I4317" t="s">
        <v>1357</v>
      </c>
      <c r="J4317" t="s">
        <v>1357</v>
      </c>
      <c r="K4317" t="s">
        <v>1357</v>
      </c>
      <c r="L4317" t="s">
        <v>1357</v>
      </c>
    </row>
    <row r="4318" spans="8:12">
      <c r="H4318" t="s">
        <v>20289</v>
      </c>
      <c r="I4318" t="s">
        <v>1357</v>
      </c>
      <c r="J4318" t="s">
        <v>1357</v>
      </c>
      <c r="K4318" t="s">
        <v>1357</v>
      </c>
      <c r="L4318" t="s">
        <v>1357</v>
      </c>
    </row>
    <row r="4319" spans="8:12">
      <c r="H4319" t="s">
        <v>20328</v>
      </c>
      <c r="I4319" t="s">
        <v>1357</v>
      </c>
      <c r="J4319" t="s">
        <v>1357</v>
      </c>
      <c r="K4319" t="s">
        <v>1357</v>
      </c>
      <c r="L4319" t="s">
        <v>1357</v>
      </c>
    </row>
    <row r="4320" spans="8:12">
      <c r="H4320" t="s">
        <v>20305</v>
      </c>
      <c r="I4320" t="s">
        <v>1357</v>
      </c>
      <c r="J4320" t="s">
        <v>1357</v>
      </c>
      <c r="K4320" t="s">
        <v>1357</v>
      </c>
      <c r="L4320" t="s">
        <v>1357</v>
      </c>
    </row>
    <row r="4321" spans="6:12">
      <c r="F4321" t="s">
        <v>15053</v>
      </c>
      <c r="G4321" t="s">
        <v>17496</v>
      </c>
      <c r="H4321" t="s">
        <v>20280</v>
      </c>
      <c r="I4321" t="s">
        <v>1357</v>
      </c>
      <c r="J4321" t="s">
        <v>1357</v>
      </c>
      <c r="K4321" t="s">
        <v>1357</v>
      </c>
      <c r="L4321" t="s">
        <v>1357</v>
      </c>
    </row>
    <row r="4322" spans="6:12">
      <c r="H4322" t="s">
        <v>20233</v>
      </c>
      <c r="I4322" t="s">
        <v>1357</v>
      </c>
      <c r="J4322" t="s">
        <v>1357</v>
      </c>
      <c r="K4322" t="s">
        <v>1357</v>
      </c>
      <c r="L4322" t="s">
        <v>1357</v>
      </c>
    </row>
    <row r="4323" spans="6:12">
      <c r="H4323" t="s">
        <v>20230</v>
      </c>
      <c r="I4323" t="s">
        <v>1357</v>
      </c>
      <c r="J4323" t="s">
        <v>1357</v>
      </c>
      <c r="K4323" t="s">
        <v>1357</v>
      </c>
      <c r="L4323" t="s">
        <v>1357</v>
      </c>
    </row>
    <row r="4324" spans="6:12">
      <c r="H4324" t="s">
        <v>20227</v>
      </c>
      <c r="I4324" t="s">
        <v>1357</v>
      </c>
      <c r="J4324" t="s">
        <v>1357</v>
      </c>
      <c r="K4324" t="s">
        <v>1357</v>
      </c>
      <c r="L4324" t="s">
        <v>1357</v>
      </c>
    </row>
    <row r="4325" spans="6:12">
      <c r="H4325" t="s">
        <v>20296</v>
      </c>
      <c r="I4325" t="s">
        <v>1357</v>
      </c>
      <c r="J4325" t="s">
        <v>1357</v>
      </c>
      <c r="K4325" t="s">
        <v>1357</v>
      </c>
      <c r="L4325" t="s">
        <v>1357</v>
      </c>
    </row>
    <row r="4326" spans="6:12">
      <c r="H4326" t="s">
        <v>20297</v>
      </c>
      <c r="I4326" t="s">
        <v>1357</v>
      </c>
      <c r="J4326" t="s">
        <v>1357</v>
      </c>
      <c r="K4326" t="s">
        <v>1357</v>
      </c>
      <c r="L4326" t="s">
        <v>1357</v>
      </c>
    </row>
    <row r="4327" spans="6:12">
      <c r="H4327" t="s">
        <v>20234</v>
      </c>
      <c r="I4327" t="s">
        <v>1357</v>
      </c>
      <c r="J4327" t="s">
        <v>1357</v>
      </c>
      <c r="K4327" t="s">
        <v>1357</v>
      </c>
      <c r="L4327" t="s">
        <v>1357</v>
      </c>
    </row>
    <row r="4328" spans="6:12">
      <c r="H4328" t="s">
        <v>20284</v>
      </c>
      <c r="I4328" t="s">
        <v>1357</v>
      </c>
      <c r="J4328" t="s">
        <v>1357</v>
      </c>
      <c r="K4328" t="s">
        <v>1357</v>
      </c>
      <c r="L4328" t="s">
        <v>1357</v>
      </c>
    </row>
    <row r="4329" spans="6:12">
      <c r="H4329" t="s">
        <v>20285</v>
      </c>
      <c r="I4329" t="s">
        <v>1357</v>
      </c>
      <c r="J4329" t="s">
        <v>1357</v>
      </c>
      <c r="K4329" t="s">
        <v>1357</v>
      </c>
      <c r="L4329" t="s">
        <v>1357</v>
      </c>
    </row>
    <row r="4330" spans="6:12">
      <c r="H4330" t="s">
        <v>20286</v>
      </c>
      <c r="I4330" t="s">
        <v>1357</v>
      </c>
      <c r="J4330" t="s">
        <v>1357</v>
      </c>
      <c r="K4330" t="s">
        <v>1357</v>
      </c>
      <c r="L4330" t="s">
        <v>1357</v>
      </c>
    </row>
    <row r="4331" spans="6:12">
      <c r="H4331" t="s">
        <v>20287</v>
      </c>
      <c r="I4331" t="s">
        <v>1357</v>
      </c>
      <c r="J4331" t="s">
        <v>1357</v>
      </c>
      <c r="K4331" t="s">
        <v>1357</v>
      </c>
      <c r="L4331" t="s">
        <v>1357</v>
      </c>
    </row>
    <row r="4332" spans="6:12">
      <c r="F4332" t="s">
        <v>15054</v>
      </c>
      <c r="G4332" t="s">
        <v>17497</v>
      </c>
      <c r="H4332" t="s">
        <v>20280</v>
      </c>
      <c r="I4332" t="s">
        <v>1357</v>
      </c>
      <c r="J4332" t="s">
        <v>1357</v>
      </c>
      <c r="K4332" t="s">
        <v>1357</v>
      </c>
      <c r="L4332" t="s">
        <v>1357</v>
      </c>
    </row>
    <row r="4333" spans="6:12">
      <c r="H4333" t="s">
        <v>20233</v>
      </c>
      <c r="I4333" t="s">
        <v>1357</v>
      </c>
      <c r="J4333" t="s">
        <v>1357</v>
      </c>
      <c r="K4333" t="s">
        <v>1357</v>
      </c>
      <c r="L4333" t="s">
        <v>1357</v>
      </c>
    </row>
    <row r="4334" spans="6:12">
      <c r="H4334" t="s">
        <v>20230</v>
      </c>
      <c r="I4334" t="s">
        <v>1357</v>
      </c>
      <c r="J4334" t="s">
        <v>1357</v>
      </c>
      <c r="K4334" t="s">
        <v>1357</v>
      </c>
      <c r="L4334" t="s">
        <v>1357</v>
      </c>
    </row>
    <row r="4335" spans="6:12">
      <c r="H4335" t="s">
        <v>20227</v>
      </c>
      <c r="I4335" t="s">
        <v>1357</v>
      </c>
      <c r="J4335" t="s">
        <v>1357</v>
      </c>
      <c r="K4335" t="s">
        <v>1357</v>
      </c>
      <c r="L4335" t="s">
        <v>1357</v>
      </c>
    </row>
    <row r="4336" spans="6:12">
      <c r="H4336" t="s">
        <v>20296</v>
      </c>
      <c r="I4336" t="s">
        <v>1357</v>
      </c>
      <c r="J4336" t="s">
        <v>1357</v>
      </c>
      <c r="K4336" t="s">
        <v>1357</v>
      </c>
      <c r="L4336" t="s">
        <v>1357</v>
      </c>
    </row>
    <row r="4337" spans="6:12">
      <c r="H4337" t="s">
        <v>20297</v>
      </c>
      <c r="I4337" t="s">
        <v>1357</v>
      </c>
      <c r="J4337" t="s">
        <v>1357</v>
      </c>
      <c r="K4337" t="s">
        <v>1357</v>
      </c>
      <c r="L4337" t="s">
        <v>1357</v>
      </c>
    </row>
    <row r="4338" spans="6:12">
      <c r="H4338" t="s">
        <v>20234</v>
      </c>
      <c r="I4338" t="s">
        <v>1357</v>
      </c>
      <c r="J4338" t="s">
        <v>1357</v>
      </c>
      <c r="K4338" t="s">
        <v>1357</v>
      </c>
      <c r="L4338" t="s">
        <v>1357</v>
      </c>
    </row>
    <row r="4339" spans="6:12">
      <c r="H4339" t="s">
        <v>20285</v>
      </c>
      <c r="I4339" t="s">
        <v>1357</v>
      </c>
      <c r="J4339" t="s">
        <v>1357</v>
      </c>
      <c r="K4339" t="s">
        <v>1357</v>
      </c>
      <c r="L4339" t="s">
        <v>1357</v>
      </c>
    </row>
    <row r="4340" spans="6:12">
      <c r="H4340" t="s">
        <v>20286</v>
      </c>
      <c r="I4340" t="s">
        <v>1357</v>
      </c>
      <c r="J4340" t="s">
        <v>1357</v>
      </c>
      <c r="K4340" t="s">
        <v>1357</v>
      </c>
      <c r="L4340" t="s">
        <v>1357</v>
      </c>
    </row>
    <row r="4341" spans="6:12">
      <c r="H4341" t="s">
        <v>20287</v>
      </c>
      <c r="I4341" t="s">
        <v>1357</v>
      </c>
      <c r="J4341" t="s">
        <v>1357</v>
      </c>
      <c r="K4341" t="s">
        <v>1357</v>
      </c>
      <c r="L4341" t="s">
        <v>1357</v>
      </c>
    </row>
    <row r="4342" spans="6:12">
      <c r="F4342" t="s">
        <v>15055</v>
      </c>
      <c r="G4342" t="s">
        <v>17498</v>
      </c>
      <c r="H4342" t="s">
        <v>20280</v>
      </c>
      <c r="I4342" t="s">
        <v>1357</v>
      </c>
      <c r="J4342" t="s">
        <v>1357</v>
      </c>
      <c r="K4342" t="s">
        <v>1357</v>
      </c>
      <c r="L4342" t="s">
        <v>1357</v>
      </c>
    </row>
    <row r="4343" spans="6:12">
      <c r="H4343" t="s">
        <v>20233</v>
      </c>
      <c r="I4343" t="s">
        <v>1357</v>
      </c>
      <c r="J4343" t="s">
        <v>1357</v>
      </c>
      <c r="K4343" t="s">
        <v>1357</v>
      </c>
      <c r="L4343" t="s">
        <v>1357</v>
      </c>
    </row>
    <row r="4344" spans="6:12">
      <c r="H4344" t="s">
        <v>20230</v>
      </c>
      <c r="I4344" t="s">
        <v>1357</v>
      </c>
      <c r="J4344" t="s">
        <v>1357</v>
      </c>
      <c r="K4344" t="s">
        <v>1357</v>
      </c>
      <c r="L4344" t="s">
        <v>1357</v>
      </c>
    </row>
    <row r="4345" spans="6:12">
      <c r="H4345" t="s">
        <v>20227</v>
      </c>
      <c r="I4345" t="s">
        <v>1357</v>
      </c>
      <c r="J4345" t="s">
        <v>1357</v>
      </c>
      <c r="K4345" t="s">
        <v>1357</v>
      </c>
      <c r="L4345" t="s">
        <v>1357</v>
      </c>
    </row>
    <row r="4346" spans="6:12">
      <c r="H4346" t="s">
        <v>20228</v>
      </c>
      <c r="I4346" t="s">
        <v>1357</v>
      </c>
      <c r="J4346" t="s">
        <v>1357</v>
      </c>
      <c r="K4346" t="s">
        <v>1357</v>
      </c>
      <c r="L4346" t="s">
        <v>1357</v>
      </c>
    </row>
    <row r="4347" spans="6:12">
      <c r="H4347" t="s">
        <v>20296</v>
      </c>
      <c r="I4347" t="s">
        <v>1357</v>
      </c>
      <c r="J4347" t="s">
        <v>1357</v>
      </c>
      <c r="K4347" t="s">
        <v>1357</v>
      </c>
      <c r="L4347" t="s">
        <v>1357</v>
      </c>
    </row>
    <row r="4348" spans="6:12">
      <c r="H4348" t="s">
        <v>20297</v>
      </c>
      <c r="I4348" t="s">
        <v>1357</v>
      </c>
      <c r="J4348" t="s">
        <v>1357</v>
      </c>
      <c r="K4348" t="s">
        <v>1357</v>
      </c>
      <c r="L4348" t="s">
        <v>1357</v>
      </c>
    </row>
    <row r="4349" spans="6:12">
      <c r="H4349" t="s">
        <v>20234</v>
      </c>
      <c r="I4349" t="s">
        <v>1357</v>
      </c>
      <c r="J4349" t="s">
        <v>1357</v>
      </c>
      <c r="K4349" t="s">
        <v>1357</v>
      </c>
      <c r="L4349" t="s">
        <v>1357</v>
      </c>
    </row>
    <row r="4350" spans="6:12">
      <c r="H4350" t="s">
        <v>20284</v>
      </c>
      <c r="I4350" t="s">
        <v>1357</v>
      </c>
      <c r="J4350" t="s">
        <v>1357</v>
      </c>
      <c r="K4350" t="s">
        <v>1357</v>
      </c>
      <c r="L4350" t="s">
        <v>1357</v>
      </c>
    </row>
    <row r="4351" spans="6:12">
      <c r="H4351" t="s">
        <v>20285</v>
      </c>
      <c r="I4351" t="s">
        <v>1357</v>
      </c>
      <c r="J4351" t="s">
        <v>1357</v>
      </c>
      <c r="K4351" t="s">
        <v>1357</v>
      </c>
      <c r="L4351" t="s">
        <v>1357</v>
      </c>
    </row>
    <row r="4352" spans="6:12">
      <c r="H4352" t="s">
        <v>20286</v>
      </c>
      <c r="I4352" t="s">
        <v>1357</v>
      </c>
      <c r="J4352" t="s">
        <v>1357</v>
      </c>
      <c r="K4352" t="s">
        <v>1357</v>
      </c>
      <c r="L4352" t="s">
        <v>1357</v>
      </c>
    </row>
    <row r="4353" spans="6:12">
      <c r="H4353" t="s">
        <v>20287</v>
      </c>
      <c r="I4353" t="s">
        <v>1357</v>
      </c>
      <c r="J4353" t="s">
        <v>1357</v>
      </c>
      <c r="K4353" t="s">
        <v>1357</v>
      </c>
      <c r="L4353" t="s">
        <v>1357</v>
      </c>
    </row>
    <row r="4354" spans="6:12">
      <c r="F4354" t="s">
        <v>15056</v>
      </c>
      <c r="G4354" t="s">
        <v>17827</v>
      </c>
      <c r="H4354" t="s">
        <v>20280</v>
      </c>
      <c r="I4354" t="s">
        <v>1357</v>
      </c>
      <c r="J4354" t="s">
        <v>1357</v>
      </c>
      <c r="K4354" t="s">
        <v>1357</v>
      </c>
      <c r="L4354" t="s">
        <v>1357</v>
      </c>
    </row>
    <row r="4355" spans="6:12">
      <c r="H4355" t="s">
        <v>20233</v>
      </c>
      <c r="I4355" t="s">
        <v>1357</v>
      </c>
      <c r="J4355" t="s">
        <v>1357</v>
      </c>
      <c r="K4355" t="s">
        <v>1357</v>
      </c>
      <c r="L4355" t="s">
        <v>1357</v>
      </c>
    </row>
    <row r="4356" spans="6:12">
      <c r="H4356" t="s">
        <v>20281</v>
      </c>
      <c r="I4356" t="s">
        <v>1357</v>
      </c>
      <c r="J4356" t="s">
        <v>1357</v>
      </c>
      <c r="K4356" t="s">
        <v>1357</v>
      </c>
      <c r="L4356" t="s">
        <v>1357</v>
      </c>
    </row>
    <row r="4357" spans="6:12">
      <c r="H4357" t="s">
        <v>20284</v>
      </c>
      <c r="I4357" t="s">
        <v>1357</v>
      </c>
      <c r="J4357" t="s">
        <v>1357</v>
      </c>
      <c r="K4357" t="s">
        <v>1357</v>
      </c>
      <c r="L4357" t="s">
        <v>1357</v>
      </c>
    </row>
    <row r="4358" spans="6:12">
      <c r="H4358" t="s">
        <v>20285</v>
      </c>
      <c r="I4358" t="s">
        <v>1357</v>
      </c>
      <c r="J4358" t="s">
        <v>1357</v>
      </c>
      <c r="K4358" t="s">
        <v>1357</v>
      </c>
      <c r="L4358" t="s">
        <v>1357</v>
      </c>
    </row>
    <row r="4359" spans="6:12">
      <c r="H4359" t="s">
        <v>20286</v>
      </c>
      <c r="I4359" t="s">
        <v>1357</v>
      </c>
      <c r="J4359" t="s">
        <v>1357</v>
      </c>
      <c r="K4359" t="s">
        <v>1357</v>
      </c>
      <c r="L4359" t="s">
        <v>1357</v>
      </c>
    </row>
    <row r="4360" spans="6:12">
      <c r="H4360" t="s">
        <v>20287</v>
      </c>
      <c r="I4360" t="s">
        <v>1357</v>
      </c>
      <c r="J4360" t="s">
        <v>1357</v>
      </c>
      <c r="K4360" t="s">
        <v>1357</v>
      </c>
      <c r="L4360" t="s">
        <v>1357</v>
      </c>
    </row>
    <row r="4361" spans="6:12">
      <c r="H4361" t="s">
        <v>20288</v>
      </c>
      <c r="I4361" t="s">
        <v>1357</v>
      </c>
      <c r="J4361" t="s">
        <v>1357</v>
      </c>
      <c r="K4361" t="s">
        <v>1357</v>
      </c>
      <c r="L4361" t="s">
        <v>1357</v>
      </c>
    </row>
    <row r="4362" spans="6:12">
      <c r="F4362" t="s">
        <v>15057</v>
      </c>
      <c r="G4362" t="s">
        <v>17828</v>
      </c>
      <c r="H4362" t="s">
        <v>20281</v>
      </c>
      <c r="I4362" t="s">
        <v>1357</v>
      </c>
      <c r="J4362" t="s">
        <v>1357</v>
      </c>
      <c r="K4362" t="s">
        <v>1357</v>
      </c>
      <c r="L4362" t="s">
        <v>1357</v>
      </c>
    </row>
    <row r="4363" spans="6:12">
      <c r="H4363" t="s">
        <v>20283</v>
      </c>
      <c r="I4363" t="s">
        <v>1357</v>
      </c>
      <c r="J4363" t="s">
        <v>1357</v>
      </c>
      <c r="K4363" t="s">
        <v>1357</v>
      </c>
      <c r="L4363" t="s">
        <v>1357</v>
      </c>
    </row>
    <row r="4364" spans="6:12">
      <c r="H4364" t="s">
        <v>20284</v>
      </c>
      <c r="I4364" t="s">
        <v>1357</v>
      </c>
      <c r="J4364" t="s">
        <v>1357</v>
      </c>
      <c r="K4364" t="s">
        <v>1357</v>
      </c>
      <c r="L4364" t="s">
        <v>1357</v>
      </c>
    </row>
    <row r="4365" spans="6:12">
      <c r="H4365" t="s">
        <v>20285</v>
      </c>
      <c r="I4365" t="s">
        <v>1357</v>
      </c>
      <c r="J4365" t="s">
        <v>1357</v>
      </c>
      <c r="K4365" t="s">
        <v>1357</v>
      </c>
      <c r="L4365" t="s">
        <v>1357</v>
      </c>
    </row>
    <row r="4366" spans="6:12">
      <c r="H4366" t="s">
        <v>20286</v>
      </c>
      <c r="I4366" t="s">
        <v>1357</v>
      </c>
      <c r="J4366" t="s">
        <v>1357</v>
      </c>
      <c r="K4366" t="s">
        <v>1357</v>
      </c>
      <c r="L4366" t="s">
        <v>1357</v>
      </c>
    </row>
    <row r="4367" spans="6:12">
      <c r="H4367" t="s">
        <v>20287</v>
      </c>
      <c r="I4367" t="s">
        <v>1357</v>
      </c>
      <c r="J4367" t="s">
        <v>1357</v>
      </c>
      <c r="K4367" t="s">
        <v>1357</v>
      </c>
      <c r="L4367" t="s">
        <v>1357</v>
      </c>
    </row>
    <row r="4368" spans="6:12">
      <c r="H4368" t="s">
        <v>20288</v>
      </c>
      <c r="I4368" t="s">
        <v>1357</v>
      </c>
      <c r="J4368" t="s">
        <v>1357</v>
      </c>
      <c r="K4368" t="s">
        <v>1357</v>
      </c>
      <c r="L4368" t="s">
        <v>1357</v>
      </c>
    </row>
    <row r="4369" spans="6:12">
      <c r="F4369" t="s">
        <v>15058</v>
      </c>
      <c r="G4369" t="s">
        <v>17829</v>
      </c>
      <c r="H4369" t="s">
        <v>20280</v>
      </c>
      <c r="I4369" t="s">
        <v>1357</v>
      </c>
      <c r="J4369" t="s">
        <v>1357</v>
      </c>
      <c r="K4369" t="s">
        <v>1357</v>
      </c>
      <c r="L4369" t="s">
        <v>1357</v>
      </c>
    </row>
    <row r="4370" spans="6:12">
      <c r="H4370" t="s">
        <v>20284</v>
      </c>
      <c r="I4370" t="s">
        <v>1357</v>
      </c>
      <c r="J4370" t="s">
        <v>1357</v>
      </c>
      <c r="K4370" t="s">
        <v>1357</v>
      </c>
      <c r="L4370" t="s">
        <v>1357</v>
      </c>
    </row>
    <row r="4371" spans="6:12">
      <c r="H4371" t="s">
        <v>20285</v>
      </c>
      <c r="I4371" t="s">
        <v>1357</v>
      </c>
      <c r="J4371" t="s">
        <v>1357</v>
      </c>
      <c r="K4371" t="s">
        <v>1357</v>
      </c>
      <c r="L4371" t="s">
        <v>1357</v>
      </c>
    </row>
    <row r="4372" spans="6:12">
      <c r="H4372" t="s">
        <v>20286</v>
      </c>
      <c r="I4372" t="s">
        <v>1357</v>
      </c>
      <c r="J4372" t="s">
        <v>1357</v>
      </c>
      <c r="K4372" t="s">
        <v>1357</v>
      </c>
      <c r="L4372" t="s">
        <v>1357</v>
      </c>
    </row>
    <row r="4373" spans="6:12">
      <c r="H4373" t="s">
        <v>20287</v>
      </c>
      <c r="I4373" t="s">
        <v>1357</v>
      </c>
      <c r="J4373" t="s">
        <v>1357</v>
      </c>
      <c r="K4373" t="s">
        <v>1357</v>
      </c>
      <c r="L4373" t="s">
        <v>1357</v>
      </c>
    </row>
    <row r="4374" spans="6:12">
      <c r="H4374" t="s">
        <v>20288</v>
      </c>
      <c r="I4374" t="s">
        <v>1357</v>
      </c>
      <c r="J4374" t="s">
        <v>1357</v>
      </c>
      <c r="K4374" t="s">
        <v>1357</v>
      </c>
      <c r="L4374" t="s">
        <v>1357</v>
      </c>
    </row>
    <row r="4375" spans="6:12">
      <c r="H4375" t="s">
        <v>20289</v>
      </c>
      <c r="I4375" t="s">
        <v>1357</v>
      </c>
      <c r="J4375" t="s">
        <v>1357</v>
      </c>
      <c r="K4375" t="s">
        <v>1357</v>
      </c>
      <c r="L4375" t="s">
        <v>1357</v>
      </c>
    </row>
    <row r="4376" spans="6:12">
      <c r="F4376" t="s">
        <v>15059</v>
      </c>
      <c r="G4376" t="s">
        <v>17830</v>
      </c>
      <c r="H4376" t="s">
        <v>20280</v>
      </c>
      <c r="I4376" t="s">
        <v>1357</v>
      </c>
      <c r="J4376" t="s">
        <v>1357</v>
      </c>
      <c r="K4376" t="s">
        <v>1357</v>
      </c>
      <c r="L4376" t="s">
        <v>1357</v>
      </c>
    </row>
    <row r="4377" spans="6:12">
      <c r="H4377" t="s">
        <v>20233</v>
      </c>
      <c r="I4377" t="s">
        <v>1357</v>
      </c>
      <c r="J4377" t="s">
        <v>1357</v>
      </c>
      <c r="K4377" t="s">
        <v>1357</v>
      </c>
      <c r="L4377" t="s">
        <v>1357</v>
      </c>
    </row>
    <row r="4378" spans="6:12">
      <c r="H4378" t="s">
        <v>20284</v>
      </c>
      <c r="I4378" t="s">
        <v>1357</v>
      </c>
      <c r="J4378" t="s">
        <v>1357</v>
      </c>
      <c r="K4378" t="s">
        <v>1357</v>
      </c>
      <c r="L4378" t="s">
        <v>1357</v>
      </c>
    </row>
    <row r="4379" spans="6:12">
      <c r="H4379" t="s">
        <v>20285</v>
      </c>
      <c r="I4379" t="s">
        <v>1357</v>
      </c>
      <c r="J4379" t="s">
        <v>1357</v>
      </c>
      <c r="K4379" t="s">
        <v>1357</v>
      </c>
      <c r="L4379" t="s">
        <v>1357</v>
      </c>
    </row>
    <row r="4380" spans="6:12">
      <c r="H4380" t="s">
        <v>20286</v>
      </c>
      <c r="I4380" t="s">
        <v>1357</v>
      </c>
      <c r="J4380" t="s">
        <v>1357</v>
      </c>
      <c r="K4380" t="s">
        <v>1357</v>
      </c>
      <c r="L4380" t="s">
        <v>1357</v>
      </c>
    </row>
    <row r="4381" spans="6:12">
      <c r="H4381" t="s">
        <v>20287</v>
      </c>
      <c r="I4381" t="s">
        <v>1357</v>
      </c>
      <c r="J4381" t="s">
        <v>1357</v>
      </c>
      <c r="K4381" t="s">
        <v>1357</v>
      </c>
      <c r="L4381" t="s">
        <v>1357</v>
      </c>
    </row>
    <row r="4382" spans="6:12">
      <c r="H4382" t="s">
        <v>20288</v>
      </c>
      <c r="I4382" t="s">
        <v>1357</v>
      </c>
      <c r="J4382" t="s">
        <v>1357</v>
      </c>
      <c r="K4382" t="s">
        <v>1357</v>
      </c>
      <c r="L4382" t="s">
        <v>1357</v>
      </c>
    </row>
    <row r="4383" spans="6:12">
      <c r="H4383" t="s">
        <v>20289</v>
      </c>
      <c r="I4383" t="s">
        <v>1357</v>
      </c>
      <c r="J4383" t="s">
        <v>1357</v>
      </c>
      <c r="K4383" t="s">
        <v>1357</v>
      </c>
      <c r="L4383" t="s">
        <v>1357</v>
      </c>
    </row>
    <row r="4384" spans="6:12">
      <c r="F4384" t="s">
        <v>15060</v>
      </c>
      <c r="G4384" t="s">
        <v>17831</v>
      </c>
      <c r="H4384" t="s">
        <v>20280</v>
      </c>
      <c r="I4384" t="s">
        <v>1357</v>
      </c>
      <c r="J4384" t="s">
        <v>1357</v>
      </c>
      <c r="K4384" t="s">
        <v>1357</v>
      </c>
      <c r="L4384" t="s">
        <v>1357</v>
      </c>
    </row>
    <row r="4385" spans="6:12">
      <c r="H4385" t="s">
        <v>20233</v>
      </c>
      <c r="I4385" t="s">
        <v>1357</v>
      </c>
      <c r="J4385" t="s">
        <v>1357</v>
      </c>
      <c r="K4385" t="s">
        <v>1357</v>
      </c>
      <c r="L4385" t="s">
        <v>1357</v>
      </c>
    </row>
    <row r="4386" spans="6:12">
      <c r="H4386" t="s">
        <v>20284</v>
      </c>
      <c r="I4386" t="s">
        <v>1357</v>
      </c>
      <c r="J4386" t="s">
        <v>1357</v>
      </c>
      <c r="K4386" t="s">
        <v>1357</v>
      </c>
      <c r="L4386" t="s">
        <v>1357</v>
      </c>
    </row>
    <row r="4387" spans="6:12">
      <c r="H4387" t="s">
        <v>20286</v>
      </c>
      <c r="I4387" t="s">
        <v>1357</v>
      </c>
      <c r="J4387" t="s">
        <v>1357</v>
      </c>
      <c r="K4387" t="s">
        <v>1357</v>
      </c>
      <c r="L4387" t="s">
        <v>1357</v>
      </c>
    </row>
    <row r="4388" spans="6:12">
      <c r="F4388" t="s">
        <v>15061</v>
      </c>
      <c r="G4388" t="s">
        <v>17832</v>
      </c>
      <c r="H4388" t="s">
        <v>20280</v>
      </c>
      <c r="I4388" t="s">
        <v>1357</v>
      </c>
      <c r="J4388" t="s">
        <v>1357</v>
      </c>
      <c r="K4388" t="s">
        <v>1357</v>
      </c>
      <c r="L4388" t="s">
        <v>1357</v>
      </c>
    </row>
    <row r="4389" spans="6:12">
      <c r="H4389" t="s">
        <v>20284</v>
      </c>
      <c r="I4389" t="s">
        <v>1357</v>
      </c>
      <c r="J4389" t="s">
        <v>1357</v>
      </c>
      <c r="K4389" t="s">
        <v>1357</v>
      </c>
      <c r="L4389" t="s">
        <v>1357</v>
      </c>
    </row>
    <row r="4390" spans="6:12">
      <c r="H4390" t="s">
        <v>20285</v>
      </c>
      <c r="I4390" t="s">
        <v>1357</v>
      </c>
      <c r="J4390" t="s">
        <v>1357</v>
      </c>
      <c r="K4390" t="s">
        <v>1357</v>
      </c>
      <c r="L4390" t="s">
        <v>1357</v>
      </c>
    </row>
    <row r="4391" spans="6:12">
      <c r="H4391" t="s">
        <v>20286</v>
      </c>
      <c r="I4391" t="s">
        <v>1357</v>
      </c>
      <c r="J4391" t="s">
        <v>1357</v>
      </c>
      <c r="K4391" t="s">
        <v>1357</v>
      </c>
      <c r="L4391" t="s">
        <v>1357</v>
      </c>
    </row>
    <row r="4392" spans="6:12">
      <c r="H4392" t="s">
        <v>20287</v>
      </c>
      <c r="I4392" t="s">
        <v>1357</v>
      </c>
      <c r="J4392" t="s">
        <v>1357</v>
      </c>
      <c r="K4392" t="s">
        <v>1357</v>
      </c>
      <c r="L4392" t="s">
        <v>1357</v>
      </c>
    </row>
    <row r="4393" spans="6:12">
      <c r="H4393" t="s">
        <v>20288</v>
      </c>
      <c r="I4393" t="s">
        <v>1357</v>
      </c>
      <c r="J4393" t="s">
        <v>1357</v>
      </c>
      <c r="K4393" t="s">
        <v>1357</v>
      </c>
      <c r="L4393" t="s">
        <v>1357</v>
      </c>
    </row>
    <row r="4394" spans="6:12">
      <c r="H4394" t="s">
        <v>20289</v>
      </c>
      <c r="I4394" t="s">
        <v>1357</v>
      </c>
      <c r="J4394" t="s">
        <v>1357</v>
      </c>
      <c r="K4394" t="s">
        <v>1357</v>
      </c>
      <c r="L4394" t="s">
        <v>1357</v>
      </c>
    </row>
    <row r="4395" spans="6:12">
      <c r="F4395" t="s">
        <v>15062</v>
      </c>
      <c r="G4395" t="s">
        <v>17833</v>
      </c>
      <c r="H4395" t="s">
        <v>20280</v>
      </c>
      <c r="I4395" t="s">
        <v>1357</v>
      </c>
      <c r="J4395" t="s">
        <v>1357</v>
      </c>
      <c r="K4395" t="s">
        <v>1357</v>
      </c>
      <c r="L4395" t="s">
        <v>1357</v>
      </c>
    </row>
    <row r="4396" spans="6:12">
      <c r="H4396" t="s">
        <v>20284</v>
      </c>
      <c r="I4396" t="s">
        <v>1357</v>
      </c>
      <c r="J4396" t="s">
        <v>1357</v>
      </c>
      <c r="K4396" t="s">
        <v>1357</v>
      </c>
      <c r="L4396" t="s">
        <v>1357</v>
      </c>
    </row>
    <row r="4397" spans="6:12">
      <c r="H4397" t="s">
        <v>20285</v>
      </c>
      <c r="I4397" t="s">
        <v>1357</v>
      </c>
      <c r="J4397" t="s">
        <v>1357</v>
      </c>
      <c r="K4397" t="s">
        <v>1357</v>
      </c>
      <c r="L4397" t="s">
        <v>1357</v>
      </c>
    </row>
    <row r="4398" spans="6:12">
      <c r="H4398" t="s">
        <v>20286</v>
      </c>
      <c r="I4398" t="s">
        <v>1357</v>
      </c>
      <c r="J4398" t="s">
        <v>1357</v>
      </c>
      <c r="K4398" t="s">
        <v>1357</v>
      </c>
      <c r="L4398" t="s">
        <v>1357</v>
      </c>
    </row>
    <row r="4399" spans="6:12">
      <c r="H4399" t="s">
        <v>20287</v>
      </c>
      <c r="I4399" t="s">
        <v>1357</v>
      </c>
      <c r="J4399" t="s">
        <v>1357</v>
      </c>
      <c r="K4399" t="s">
        <v>1357</v>
      </c>
      <c r="L4399" t="s">
        <v>1357</v>
      </c>
    </row>
    <row r="4400" spans="6:12">
      <c r="H4400" t="s">
        <v>20288</v>
      </c>
      <c r="I4400" t="s">
        <v>1357</v>
      </c>
      <c r="J4400" t="s">
        <v>1357</v>
      </c>
      <c r="K4400" t="s">
        <v>1357</v>
      </c>
      <c r="L4400" t="s">
        <v>1357</v>
      </c>
    </row>
    <row r="4401" spans="6:12">
      <c r="H4401" t="s">
        <v>20289</v>
      </c>
      <c r="I4401" t="s">
        <v>1357</v>
      </c>
      <c r="J4401" t="s">
        <v>1357</v>
      </c>
      <c r="K4401" t="s">
        <v>1357</v>
      </c>
      <c r="L4401" t="s">
        <v>1357</v>
      </c>
    </row>
    <row r="4402" spans="6:12">
      <c r="F4402" t="s">
        <v>15063</v>
      </c>
      <c r="G4402" t="s">
        <v>17834</v>
      </c>
      <c r="H4402" t="s">
        <v>20280</v>
      </c>
      <c r="I4402" t="s">
        <v>1357</v>
      </c>
      <c r="J4402" t="s">
        <v>1357</v>
      </c>
      <c r="K4402" t="s">
        <v>1357</v>
      </c>
      <c r="L4402" t="s">
        <v>1357</v>
      </c>
    </row>
    <row r="4403" spans="6:12">
      <c r="H4403" t="s">
        <v>20284</v>
      </c>
      <c r="I4403" t="s">
        <v>1357</v>
      </c>
      <c r="J4403" t="s">
        <v>1357</v>
      </c>
      <c r="K4403" t="s">
        <v>1357</v>
      </c>
      <c r="L4403" t="s">
        <v>1357</v>
      </c>
    </row>
    <row r="4404" spans="6:12">
      <c r="H4404" t="s">
        <v>20285</v>
      </c>
      <c r="I4404" t="s">
        <v>1357</v>
      </c>
      <c r="J4404" t="s">
        <v>1357</v>
      </c>
      <c r="K4404" t="s">
        <v>1357</v>
      </c>
      <c r="L4404" t="s">
        <v>1357</v>
      </c>
    </row>
    <row r="4405" spans="6:12">
      <c r="H4405" t="s">
        <v>20286</v>
      </c>
      <c r="I4405" t="s">
        <v>1357</v>
      </c>
      <c r="J4405" t="s">
        <v>1357</v>
      </c>
      <c r="K4405" t="s">
        <v>1357</v>
      </c>
      <c r="L4405" t="s">
        <v>1357</v>
      </c>
    </row>
    <row r="4406" spans="6:12">
      <c r="H4406" t="s">
        <v>20287</v>
      </c>
      <c r="I4406" t="s">
        <v>1357</v>
      </c>
      <c r="J4406" t="s">
        <v>1357</v>
      </c>
      <c r="K4406" t="s">
        <v>1357</v>
      </c>
      <c r="L4406" t="s">
        <v>1357</v>
      </c>
    </row>
    <row r="4407" spans="6:12">
      <c r="H4407" t="s">
        <v>20288</v>
      </c>
      <c r="I4407" t="s">
        <v>1357</v>
      </c>
      <c r="J4407" t="s">
        <v>1357</v>
      </c>
      <c r="K4407" t="s">
        <v>1357</v>
      </c>
      <c r="L4407" t="s">
        <v>1357</v>
      </c>
    </row>
    <row r="4408" spans="6:12">
      <c r="H4408" t="s">
        <v>20289</v>
      </c>
      <c r="I4408" t="s">
        <v>1357</v>
      </c>
      <c r="J4408" t="s">
        <v>1357</v>
      </c>
      <c r="K4408" t="s">
        <v>1357</v>
      </c>
      <c r="L4408" t="s">
        <v>1357</v>
      </c>
    </row>
    <row r="4409" spans="6:12">
      <c r="F4409" t="s">
        <v>15064</v>
      </c>
      <c r="G4409" t="s">
        <v>17835</v>
      </c>
      <c r="H4409" t="s">
        <v>20280</v>
      </c>
      <c r="I4409" t="s">
        <v>1357</v>
      </c>
      <c r="J4409" t="s">
        <v>1357</v>
      </c>
      <c r="K4409" t="s">
        <v>1357</v>
      </c>
      <c r="L4409" t="s">
        <v>1357</v>
      </c>
    </row>
    <row r="4410" spans="6:12">
      <c r="H4410" t="s">
        <v>20284</v>
      </c>
      <c r="I4410" t="s">
        <v>1357</v>
      </c>
      <c r="J4410" t="s">
        <v>1357</v>
      </c>
      <c r="K4410" t="s">
        <v>1357</v>
      </c>
      <c r="L4410" t="s">
        <v>1357</v>
      </c>
    </row>
    <row r="4411" spans="6:12">
      <c r="H4411" t="s">
        <v>20285</v>
      </c>
      <c r="I4411" t="s">
        <v>1357</v>
      </c>
      <c r="J4411" t="s">
        <v>1357</v>
      </c>
      <c r="K4411" t="s">
        <v>1357</v>
      </c>
      <c r="L4411" t="s">
        <v>1357</v>
      </c>
    </row>
    <row r="4412" spans="6:12">
      <c r="H4412" t="s">
        <v>20286</v>
      </c>
      <c r="I4412" t="s">
        <v>1357</v>
      </c>
      <c r="J4412" t="s">
        <v>1357</v>
      </c>
      <c r="K4412" t="s">
        <v>1357</v>
      </c>
      <c r="L4412" t="s">
        <v>1357</v>
      </c>
    </row>
    <row r="4413" spans="6:12">
      <c r="H4413" t="s">
        <v>20287</v>
      </c>
      <c r="I4413" t="s">
        <v>1357</v>
      </c>
      <c r="J4413" t="s">
        <v>1357</v>
      </c>
      <c r="K4413" t="s">
        <v>1357</v>
      </c>
      <c r="L4413" t="s">
        <v>1357</v>
      </c>
    </row>
    <row r="4414" spans="6:12">
      <c r="H4414" t="s">
        <v>20288</v>
      </c>
      <c r="I4414" t="s">
        <v>1357</v>
      </c>
      <c r="J4414" t="s">
        <v>1357</v>
      </c>
      <c r="K4414" t="s">
        <v>1357</v>
      </c>
      <c r="L4414" t="s">
        <v>1357</v>
      </c>
    </row>
    <row r="4415" spans="6:12">
      <c r="H4415" t="s">
        <v>20289</v>
      </c>
      <c r="I4415" t="s">
        <v>1357</v>
      </c>
      <c r="J4415" t="s">
        <v>1357</v>
      </c>
      <c r="K4415" t="s">
        <v>1357</v>
      </c>
      <c r="L4415" t="s">
        <v>1357</v>
      </c>
    </row>
    <row r="4416" spans="6:12">
      <c r="F4416" t="s">
        <v>15065</v>
      </c>
      <c r="G4416" t="s">
        <v>17836</v>
      </c>
      <c r="H4416" t="s">
        <v>20280</v>
      </c>
      <c r="I4416" t="s">
        <v>1357</v>
      </c>
      <c r="J4416" t="s">
        <v>1357</v>
      </c>
      <c r="K4416" t="s">
        <v>1357</v>
      </c>
      <c r="L4416" t="s">
        <v>1357</v>
      </c>
    </row>
    <row r="4417" spans="6:12">
      <c r="H4417" t="s">
        <v>20284</v>
      </c>
      <c r="I4417" t="s">
        <v>1357</v>
      </c>
      <c r="J4417" t="s">
        <v>1357</v>
      </c>
      <c r="K4417" t="s">
        <v>1357</v>
      </c>
      <c r="L4417" t="s">
        <v>1357</v>
      </c>
    </row>
    <row r="4418" spans="6:12">
      <c r="H4418" t="s">
        <v>20285</v>
      </c>
      <c r="I4418" t="s">
        <v>1357</v>
      </c>
      <c r="J4418" t="s">
        <v>1357</v>
      </c>
      <c r="K4418" t="s">
        <v>1357</v>
      </c>
      <c r="L4418" t="s">
        <v>1357</v>
      </c>
    </row>
    <row r="4419" spans="6:12">
      <c r="H4419" t="s">
        <v>20286</v>
      </c>
      <c r="I4419" t="s">
        <v>1357</v>
      </c>
      <c r="J4419" t="s">
        <v>1357</v>
      </c>
      <c r="K4419" t="s">
        <v>1357</v>
      </c>
      <c r="L4419" t="s">
        <v>1357</v>
      </c>
    </row>
    <row r="4420" spans="6:12">
      <c r="H4420" t="s">
        <v>20287</v>
      </c>
      <c r="I4420" t="s">
        <v>1357</v>
      </c>
      <c r="J4420" t="s">
        <v>1357</v>
      </c>
      <c r="K4420" t="s">
        <v>1357</v>
      </c>
      <c r="L4420" t="s">
        <v>1357</v>
      </c>
    </row>
    <row r="4421" spans="6:12">
      <c r="H4421" t="s">
        <v>20288</v>
      </c>
      <c r="I4421" t="s">
        <v>1357</v>
      </c>
      <c r="J4421" t="s">
        <v>1357</v>
      </c>
      <c r="K4421" t="s">
        <v>1357</v>
      </c>
      <c r="L4421" t="s">
        <v>1357</v>
      </c>
    </row>
    <row r="4422" spans="6:12">
      <c r="H4422" t="s">
        <v>20289</v>
      </c>
      <c r="I4422" t="s">
        <v>1357</v>
      </c>
      <c r="J4422" t="s">
        <v>1357</v>
      </c>
      <c r="K4422" t="s">
        <v>1357</v>
      </c>
      <c r="L4422" t="s">
        <v>1357</v>
      </c>
    </row>
    <row r="4423" spans="6:12">
      <c r="H4423" t="s">
        <v>20290</v>
      </c>
      <c r="I4423" t="s">
        <v>1357</v>
      </c>
      <c r="J4423" t="s">
        <v>1357</v>
      </c>
      <c r="K4423" t="s">
        <v>1357</v>
      </c>
      <c r="L4423" t="s">
        <v>1357</v>
      </c>
    </row>
    <row r="4424" spans="6:12">
      <c r="F4424" t="s">
        <v>15066</v>
      </c>
      <c r="G4424" t="s">
        <v>17837</v>
      </c>
      <c r="H4424" t="s">
        <v>20280</v>
      </c>
      <c r="I4424" t="s">
        <v>1357</v>
      </c>
      <c r="J4424" t="s">
        <v>1357</v>
      </c>
      <c r="K4424" t="s">
        <v>1357</v>
      </c>
      <c r="L4424" t="s">
        <v>1357</v>
      </c>
    </row>
    <row r="4425" spans="6:12">
      <c r="H4425" t="s">
        <v>20233</v>
      </c>
      <c r="I4425" t="s">
        <v>1357</v>
      </c>
      <c r="J4425" t="s">
        <v>1357</v>
      </c>
      <c r="K4425" t="s">
        <v>1357</v>
      </c>
      <c r="L4425" t="s">
        <v>1357</v>
      </c>
    </row>
    <row r="4426" spans="6:12">
      <c r="H4426" t="s">
        <v>20284</v>
      </c>
      <c r="I4426" t="s">
        <v>1357</v>
      </c>
      <c r="J4426" t="s">
        <v>1357</v>
      </c>
      <c r="K4426" t="s">
        <v>1357</v>
      </c>
      <c r="L4426" t="s">
        <v>1357</v>
      </c>
    </row>
    <row r="4427" spans="6:12">
      <c r="H4427" t="s">
        <v>20285</v>
      </c>
      <c r="I4427" t="s">
        <v>1357</v>
      </c>
      <c r="J4427" t="s">
        <v>1357</v>
      </c>
      <c r="K4427" t="s">
        <v>1357</v>
      </c>
      <c r="L4427" t="s">
        <v>1357</v>
      </c>
    </row>
    <row r="4428" spans="6:12">
      <c r="H4428" t="s">
        <v>20286</v>
      </c>
      <c r="I4428" t="s">
        <v>1357</v>
      </c>
      <c r="J4428" t="s">
        <v>1357</v>
      </c>
      <c r="K4428" t="s">
        <v>1357</v>
      </c>
      <c r="L4428" t="s">
        <v>1357</v>
      </c>
    </row>
    <row r="4429" spans="6:12">
      <c r="H4429" t="s">
        <v>20287</v>
      </c>
      <c r="I4429" t="s">
        <v>1357</v>
      </c>
      <c r="J4429" t="s">
        <v>1357</v>
      </c>
      <c r="K4429" t="s">
        <v>1357</v>
      </c>
      <c r="L4429" t="s">
        <v>1357</v>
      </c>
    </row>
    <row r="4430" spans="6:12">
      <c r="H4430" t="s">
        <v>20288</v>
      </c>
      <c r="I4430" t="s">
        <v>1357</v>
      </c>
      <c r="J4430" t="s">
        <v>1357</v>
      </c>
      <c r="K4430" t="s">
        <v>1357</v>
      </c>
      <c r="L4430" t="s">
        <v>1357</v>
      </c>
    </row>
    <row r="4431" spans="6:12">
      <c r="H4431" t="s">
        <v>20289</v>
      </c>
      <c r="I4431" t="s">
        <v>1357</v>
      </c>
      <c r="J4431" t="s">
        <v>1357</v>
      </c>
      <c r="K4431" t="s">
        <v>1357</v>
      </c>
      <c r="L4431" t="s">
        <v>1357</v>
      </c>
    </row>
    <row r="4432" spans="6:12">
      <c r="H4432" t="s">
        <v>20290</v>
      </c>
      <c r="I4432" t="s">
        <v>1357</v>
      </c>
      <c r="J4432" t="s">
        <v>1357</v>
      </c>
      <c r="K4432" t="s">
        <v>1357</v>
      </c>
      <c r="L4432" t="s">
        <v>1357</v>
      </c>
    </row>
    <row r="4433" spans="6:12">
      <c r="F4433" t="s">
        <v>15067</v>
      </c>
      <c r="G4433" t="s">
        <v>17838</v>
      </c>
      <c r="H4433" t="s">
        <v>20280</v>
      </c>
      <c r="I4433" t="s">
        <v>1357</v>
      </c>
      <c r="J4433" t="s">
        <v>1357</v>
      </c>
      <c r="K4433" t="s">
        <v>1357</v>
      </c>
      <c r="L4433" t="s">
        <v>1357</v>
      </c>
    </row>
    <row r="4434" spans="6:12">
      <c r="H4434" t="s">
        <v>20284</v>
      </c>
      <c r="I4434" t="s">
        <v>1357</v>
      </c>
      <c r="J4434" t="s">
        <v>1357</v>
      </c>
      <c r="K4434" t="s">
        <v>1357</v>
      </c>
      <c r="L4434" t="s">
        <v>1357</v>
      </c>
    </row>
    <row r="4435" spans="6:12">
      <c r="H4435" t="s">
        <v>20285</v>
      </c>
      <c r="I4435" t="s">
        <v>1357</v>
      </c>
      <c r="J4435" t="s">
        <v>1357</v>
      </c>
      <c r="K4435" t="s">
        <v>1357</v>
      </c>
      <c r="L4435" t="s">
        <v>1357</v>
      </c>
    </row>
    <row r="4436" spans="6:12">
      <c r="H4436" t="s">
        <v>20286</v>
      </c>
      <c r="I4436" t="s">
        <v>1357</v>
      </c>
      <c r="J4436" t="s">
        <v>1357</v>
      </c>
      <c r="K4436" t="s">
        <v>1357</v>
      </c>
      <c r="L4436" t="s">
        <v>1357</v>
      </c>
    </row>
    <row r="4437" spans="6:12">
      <c r="H4437" t="s">
        <v>20287</v>
      </c>
      <c r="I4437" t="s">
        <v>1357</v>
      </c>
      <c r="J4437" t="s">
        <v>1357</v>
      </c>
      <c r="K4437" t="s">
        <v>1357</v>
      </c>
      <c r="L4437" t="s">
        <v>1357</v>
      </c>
    </row>
    <row r="4438" spans="6:12">
      <c r="H4438" t="s">
        <v>20288</v>
      </c>
      <c r="I4438" t="s">
        <v>1357</v>
      </c>
      <c r="J4438" t="s">
        <v>1357</v>
      </c>
      <c r="K4438" t="s">
        <v>1357</v>
      </c>
      <c r="L4438" t="s">
        <v>1357</v>
      </c>
    </row>
    <row r="4439" spans="6:12">
      <c r="H4439" t="s">
        <v>20289</v>
      </c>
      <c r="I4439" t="s">
        <v>1357</v>
      </c>
      <c r="J4439" t="s">
        <v>1357</v>
      </c>
      <c r="K4439" t="s">
        <v>1357</v>
      </c>
      <c r="L4439" t="s">
        <v>1357</v>
      </c>
    </row>
    <row r="4440" spans="6:12">
      <c r="H4440" t="s">
        <v>20290</v>
      </c>
      <c r="I4440" t="s">
        <v>1357</v>
      </c>
      <c r="J4440" t="s">
        <v>1357</v>
      </c>
      <c r="K4440" t="s">
        <v>1357</v>
      </c>
      <c r="L4440" t="s">
        <v>1357</v>
      </c>
    </row>
    <row r="4441" spans="6:12">
      <c r="F4441" t="s">
        <v>15068</v>
      </c>
      <c r="G4441" t="s">
        <v>17839</v>
      </c>
      <c r="H4441" t="s">
        <v>20280</v>
      </c>
      <c r="I4441" t="s">
        <v>1357</v>
      </c>
      <c r="J4441" t="s">
        <v>1357</v>
      </c>
      <c r="K4441" t="s">
        <v>1357</v>
      </c>
      <c r="L4441" t="s">
        <v>1357</v>
      </c>
    </row>
    <row r="4442" spans="6:12">
      <c r="H4442" t="s">
        <v>20233</v>
      </c>
      <c r="I4442" t="s">
        <v>1357</v>
      </c>
      <c r="J4442" t="s">
        <v>1357</v>
      </c>
      <c r="K4442" t="s">
        <v>1357</v>
      </c>
      <c r="L4442" t="s">
        <v>1357</v>
      </c>
    </row>
    <row r="4443" spans="6:12">
      <c r="H4443" t="s">
        <v>20284</v>
      </c>
      <c r="I4443" t="s">
        <v>1357</v>
      </c>
      <c r="J4443" t="s">
        <v>1357</v>
      </c>
      <c r="K4443" t="s">
        <v>1357</v>
      </c>
      <c r="L4443" t="s">
        <v>1357</v>
      </c>
    </row>
    <row r="4444" spans="6:12">
      <c r="H4444" t="s">
        <v>20285</v>
      </c>
      <c r="I4444" t="s">
        <v>1357</v>
      </c>
      <c r="J4444" t="s">
        <v>1357</v>
      </c>
      <c r="K4444" t="s">
        <v>1357</v>
      </c>
      <c r="L4444" t="s">
        <v>1357</v>
      </c>
    </row>
    <row r="4445" spans="6:12">
      <c r="H4445" t="s">
        <v>20286</v>
      </c>
      <c r="I4445" t="s">
        <v>1357</v>
      </c>
      <c r="J4445" t="s">
        <v>1357</v>
      </c>
      <c r="K4445" t="s">
        <v>1357</v>
      </c>
      <c r="L4445" t="s">
        <v>1357</v>
      </c>
    </row>
    <row r="4446" spans="6:12">
      <c r="H4446" t="s">
        <v>20287</v>
      </c>
      <c r="I4446" t="s">
        <v>1357</v>
      </c>
      <c r="J4446" t="s">
        <v>1357</v>
      </c>
      <c r="K4446" t="s">
        <v>1357</v>
      </c>
      <c r="L4446" t="s">
        <v>1357</v>
      </c>
    </row>
    <row r="4447" spans="6:12">
      <c r="H4447" t="s">
        <v>20289</v>
      </c>
      <c r="I4447" t="s">
        <v>1357</v>
      </c>
      <c r="J4447" t="s">
        <v>1357</v>
      </c>
      <c r="K4447" t="s">
        <v>1357</v>
      </c>
      <c r="L4447" t="s">
        <v>1357</v>
      </c>
    </row>
    <row r="4448" spans="6:12">
      <c r="F4448" t="s">
        <v>15069</v>
      </c>
      <c r="G4448" t="s">
        <v>17840</v>
      </c>
      <c r="H4448" t="s">
        <v>20280</v>
      </c>
      <c r="I4448" t="s">
        <v>1357</v>
      </c>
      <c r="J4448" t="s">
        <v>1357</v>
      </c>
      <c r="K4448" t="s">
        <v>1357</v>
      </c>
      <c r="L4448" t="s">
        <v>1357</v>
      </c>
    </row>
    <row r="4449" spans="6:12">
      <c r="H4449" t="s">
        <v>20233</v>
      </c>
      <c r="I4449" t="s">
        <v>1357</v>
      </c>
      <c r="J4449" t="s">
        <v>1357</v>
      </c>
      <c r="K4449" t="s">
        <v>1357</v>
      </c>
      <c r="L4449" t="s">
        <v>1357</v>
      </c>
    </row>
    <row r="4450" spans="6:12">
      <c r="H4450" t="s">
        <v>20230</v>
      </c>
      <c r="I4450" t="s">
        <v>1357</v>
      </c>
      <c r="J4450" t="s">
        <v>1357</v>
      </c>
      <c r="K4450" t="s">
        <v>1357</v>
      </c>
      <c r="L4450" t="s">
        <v>1357</v>
      </c>
    </row>
    <row r="4451" spans="6:12">
      <c r="H4451" t="s">
        <v>20284</v>
      </c>
      <c r="I4451" t="s">
        <v>1357</v>
      </c>
      <c r="J4451" t="s">
        <v>1357</v>
      </c>
      <c r="K4451" t="s">
        <v>1357</v>
      </c>
      <c r="L4451" t="s">
        <v>1357</v>
      </c>
    </row>
    <row r="4452" spans="6:12">
      <c r="H4452" t="s">
        <v>20285</v>
      </c>
      <c r="I4452" t="s">
        <v>1357</v>
      </c>
      <c r="J4452" t="s">
        <v>1357</v>
      </c>
      <c r="K4452" t="s">
        <v>1357</v>
      </c>
      <c r="L4452" t="s">
        <v>1357</v>
      </c>
    </row>
    <row r="4453" spans="6:12">
      <c r="H4453" t="s">
        <v>20286</v>
      </c>
      <c r="I4453" t="s">
        <v>1357</v>
      </c>
      <c r="J4453" t="s">
        <v>1357</v>
      </c>
      <c r="K4453" t="s">
        <v>1357</v>
      </c>
      <c r="L4453" t="s">
        <v>1357</v>
      </c>
    </row>
    <row r="4454" spans="6:12">
      <c r="H4454" t="s">
        <v>20287</v>
      </c>
      <c r="I4454" t="s">
        <v>1357</v>
      </c>
      <c r="J4454" t="s">
        <v>1357</v>
      </c>
      <c r="K4454" t="s">
        <v>1357</v>
      </c>
      <c r="L4454" t="s">
        <v>1357</v>
      </c>
    </row>
    <row r="4455" spans="6:12">
      <c r="H4455" t="s">
        <v>20288</v>
      </c>
      <c r="I4455" t="s">
        <v>1357</v>
      </c>
      <c r="J4455" t="s">
        <v>1357</v>
      </c>
      <c r="K4455" t="s">
        <v>1357</v>
      </c>
      <c r="L4455" t="s">
        <v>1357</v>
      </c>
    </row>
    <row r="4456" spans="6:12">
      <c r="H4456" t="s">
        <v>20289</v>
      </c>
      <c r="I4456" t="s">
        <v>1357</v>
      </c>
      <c r="J4456" t="s">
        <v>1357</v>
      </c>
      <c r="K4456" t="s">
        <v>1357</v>
      </c>
      <c r="L4456" t="s">
        <v>1357</v>
      </c>
    </row>
    <row r="4457" spans="6:12">
      <c r="F4457" t="s">
        <v>15070</v>
      </c>
      <c r="G4457" t="s">
        <v>17841</v>
      </c>
      <c r="H4457" t="s">
        <v>20280</v>
      </c>
      <c r="I4457" t="s">
        <v>1357</v>
      </c>
      <c r="J4457" t="s">
        <v>1357</v>
      </c>
      <c r="K4457" t="s">
        <v>1357</v>
      </c>
      <c r="L4457" t="s">
        <v>1357</v>
      </c>
    </row>
    <row r="4458" spans="6:12">
      <c r="H4458" t="s">
        <v>20233</v>
      </c>
      <c r="I4458" t="s">
        <v>1357</v>
      </c>
      <c r="J4458" t="s">
        <v>1357</v>
      </c>
      <c r="K4458" t="s">
        <v>1357</v>
      </c>
      <c r="L4458" t="s">
        <v>1357</v>
      </c>
    </row>
    <row r="4459" spans="6:12">
      <c r="H4459" t="s">
        <v>20284</v>
      </c>
      <c r="I4459" t="s">
        <v>1357</v>
      </c>
      <c r="J4459" t="s">
        <v>1357</v>
      </c>
      <c r="K4459" t="s">
        <v>1357</v>
      </c>
      <c r="L4459" t="s">
        <v>1357</v>
      </c>
    </row>
    <row r="4460" spans="6:12">
      <c r="H4460" t="s">
        <v>20285</v>
      </c>
      <c r="I4460" t="s">
        <v>1357</v>
      </c>
      <c r="J4460" t="s">
        <v>1357</v>
      </c>
      <c r="K4460" t="s">
        <v>1357</v>
      </c>
      <c r="L4460" t="s">
        <v>1357</v>
      </c>
    </row>
    <row r="4461" spans="6:12">
      <c r="H4461" t="s">
        <v>20286</v>
      </c>
      <c r="I4461" t="s">
        <v>1357</v>
      </c>
      <c r="J4461" t="s">
        <v>1357</v>
      </c>
      <c r="K4461" t="s">
        <v>1357</v>
      </c>
      <c r="L4461" t="s">
        <v>1357</v>
      </c>
    </row>
    <row r="4462" spans="6:12">
      <c r="H4462" t="s">
        <v>20287</v>
      </c>
      <c r="I4462" t="s">
        <v>1357</v>
      </c>
      <c r="J4462" t="s">
        <v>1357</v>
      </c>
      <c r="K4462" t="s">
        <v>1357</v>
      </c>
      <c r="L4462" t="s">
        <v>1357</v>
      </c>
    </row>
    <row r="4463" spans="6:12">
      <c r="H4463" t="s">
        <v>20288</v>
      </c>
      <c r="I4463" t="s">
        <v>1357</v>
      </c>
      <c r="J4463" t="s">
        <v>1357</v>
      </c>
      <c r="K4463" t="s">
        <v>1357</v>
      </c>
      <c r="L4463" t="s">
        <v>1357</v>
      </c>
    </row>
    <row r="4464" spans="6:12">
      <c r="H4464" t="s">
        <v>20289</v>
      </c>
      <c r="I4464" t="s">
        <v>1357</v>
      </c>
      <c r="J4464" t="s">
        <v>1357</v>
      </c>
      <c r="K4464" t="s">
        <v>1357</v>
      </c>
      <c r="L4464" t="s">
        <v>1357</v>
      </c>
    </row>
    <row r="4465" spans="6:12">
      <c r="F4465" t="s">
        <v>15071</v>
      </c>
      <c r="G4465" t="s">
        <v>17499</v>
      </c>
      <c r="H4465" t="s">
        <v>20280</v>
      </c>
      <c r="I4465" t="s">
        <v>1357</v>
      </c>
      <c r="J4465" t="s">
        <v>1357</v>
      </c>
      <c r="K4465" t="s">
        <v>1357</v>
      </c>
      <c r="L4465" t="s">
        <v>1357</v>
      </c>
    </row>
    <row r="4466" spans="6:12">
      <c r="H4466" t="s">
        <v>20233</v>
      </c>
      <c r="I4466" t="s">
        <v>1357</v>
      </c>
      <c r="J4466" t="s">
        <v>1357</v>
      </c>
      <c r="K4466" t="s">
        <v>1357</v>
      </c>
      <c r="L4466" t="s">
        <v>1357</v>
      </c>
    </row>
    <row r="4467" spans="6:12">
      <c r="H4467" t="s">
        <v>20230</v>
      </c>
      <c r="I4467" t="s">
        <v>1357</v>
      </c>
      <c r="J4467" t="s">
        <v>1357</v>
      </c>
      <c r="K4467" t="s">
        <v>1357</v>
      </c>
      <c r="L4467" t="s">
        <v>1357</v>
      </c>
    </row>
    <row r="4468" spans="6:12">
      <c r="H4468" t="s">
        <v>20227</v>
      </c>
      <c r="I4468" t="s">
        <v>1357</v>
      </c>
      <c r="J4468" t="s">
        <v>1357</v>
      </c>
      <c r="K4468" t="s">
        <v>1357</v>
      </c>
      <c r="L4468" t="s">
        <v>1357</v>
      </c>
    </row>
    <row r="4469" spans="6:12">
      <c r="H4469" t="s">
        <v>20296</v>
      </c>
      <c r="I4469" t="s">
        <v>1357</v>
      </c>
      <c r="J4469" t="s">
        <v>1357</v>
      </c>
      <c r="K4469" t="s">
        <v>1357</v>
      </c>
      <c r="L4469" t="s">
        <v>1357</v>
      </c>
    </row>
    <row r="4470" spans="6:12">
      <c r="H4470" t="s">
        <v>20297</v>
      </c>
      <c r="I4470" t="s">
        <v>1357</v>
      </c>
      <c r="J4470" t="s">
        <v>1357</v>
      </c>
      <c r="K4470" t="s">
        <v>1357</v>
      </c>
      <c r="L4470" t="s">
        <v>1357</v>
      </c>
    </row>
    <row r="4471" spans="6:12">
      <c r="H4471" t="s">
        <v>20234</v>
      </c>
      <c r="I4471" t="s">
        <v>1357</v>
      </c>
      <c r="J4471" t="s">
        <v>1357</v>
      </c>
      <c r="K4471" t="s">
        <v>1357</v>
      </c>
      <c r="L4471" t="s">
        <v>1357</v>
      </c>
    </row>
    <row r="4472" spans="6:12">
      <c r="H4472" t="s">
        <v>20235</v>
      </c>
      <c r="I4472" t="s">
        <v>1357</v>
      </c>
      <c r="J4472" t="s">
        <v>1357</v>
      </c>
      <c r="K4472" t="s">
        <v>1357</v>
      </c>
      <c r="L4472" t="s">
        <v>1357</v>
      </c>
    </row>
    <row r="4473" spans="6:12">
      <c r="H4473" t="s">
        <v>20298</v>
      </c>
      <c r="I4473" t="s">
        <v>1357</v>
      </c>
      <c r="J4473" t="s">
        <v>1357</v>
      </c>
      <c r="K4473" t="s">
        <v>1357</v>
      </c>
      <c r="L4473" t="s">
        <v>1357</v>
      </c>
    </row>
    <row r="4474" spans="6:12">
      <c r="H4474" t="s">
        <v>20299</v>
      </c>
      <c r="I4474" t="s">
        <v>1357</v>
      </c>
      <c r="J4474" t="s">
        <v>1357</v>
      </c>
      <c r="K4474" t="s">
        <v>1357</v>
      </c>
      <c r="L4474" t="s">
        <v>1357</v>
      </c>
    </row>
    <row r="4475" spans="6:12">
      <c r="H4475" t="s">
        <v>20300</v>
      </c>
      <c r="I4475" t="s">
        <v>1357</v>
      </c>
      <c r="J4475" t="s">
        <v>1357</v>
      </c>
      <c r="K4475" t="s">
        <v>1357</v>
      </c>
      <c r="L4475" t="s">
        <v>1357</v>
      </c>
    </row>
    <row r="4476" spans="6:12">
      <c r="H4476" t="s">
        <v>20301</v>
      </c>
      <c r="I4476" t="s">
        <v>1357</v>
      </c>
      <c r="J4476" t="s">
        <v>1357</v>
      </c>
      <c r="K4476" t="s">
        <v>1357</v>
      </c>
      <c r="L4476" t="s">
        <v>1357</v>
      </c>
    </row>
    <row r="4477" spans="6:12">
      <c r="H4477" t="s">
        <v>20284</v>
      </c>
      <c r="I4477" t="s">
        <v>1357</v>
      </c>
      <c r="J4477" t="s">
        <v>1357</v>
      </c>
      <c r="K4477" t="s">
        <v>1357</v>
      </c>
      <c r="L4477" t="s">
        <v>1357</v>
      </c>
    </row>
    <row r="4478" spans="6:12">
      <c r="H4478" t="s">
        <v>20285</v>
      </c>
      <c r="I4478" t="s">
        <v>1357</v>
      </c>
      <c r="J4478" t="s">
        <v>1357</v>
      </c>
      <c r="K4478" t="s">
        <v>1357</v>
      </c>
      <c r="L4478" t="s">
        <v>1357</v>
      </c>
    </row>
    <row r="4479" spans="6:12">
      <c r="H4479" t="s">
        <v>20286</v>
      </c>
      <c r="I4479" t="s">
        <v>1357</v>
      </c>
      <c r="J4479" t="s">
        <v>1357</v>
      </c>
      <c r="K4479" t="s">
        <v>1357</v>
      </c>
      <c r="L4479" t="s">
        <v>1357</v>
      </c>
    </row>
    <row r="4480" spans="6:12">
      <c r="F4480" t="s">
        <v>15072</v>
      </c>
      <c r="G4480" t="s">
        <v>17500</v>
      </c>
      <c r="H4480" t="s">
        <v>20280</v>
      </c>
      <c r="I4480" t="s">
        <v>1357</v>
      </c>
      <c r="J4480" t="s">
        <v>1357</v>
      </c>
      <c r="K4480" t="s">
        <v>1357</v>
      </c>
      <c r="L4480" t="s">
        <v>1357</v>
      </c>
    </row>
    <row r="4481" spans="6:12">
      <c r="H4481" t="s">
        <v>20233</v>
      </c>
      <c r="I4481" t="s">
        <v>1357</v>
      </c>
      <c r="J4481" t="s">
        <v>1357</v>
      </c>
      <c r="K4481" t="s">
        <v>1357</v>
      </c>
      <c r="L4481" t="s">
        <v>1357</v>
      </c>
    </row>
    <row r="4482" spans="6:12">
      <c r="H4482" t="s">
        <v>20230</v>
      </c>
      <c r="I4482" t="s">
        <v>1357</v>
      </c>
      <c r="J4482" t="s">
        <v>1357</v>
      </c>
      <c r="K4482" t="s">
        <v>1357</v>
      </c>
      <c r="L4482" t="s">
        <v>1357</v>
      </c>
    </row>
    <row r="4483" spans="6:12">
      <c r="H4483" t="s">
        <v>20227</v>
      </c>
      <c r="I4483" t="s">
        <v>1357</v>
      </c>
      <c r="J4483" t="s">
        <v>1357</v>
      </c>
      <c r="K4483" t="s">
        <v>1357</v>
      </c>
      <c r="L4483" t="s">
        <v>1357</v>
      </c>
    </row>
    <row r="4484" spans="6:12">
      <c r="H4484" t="s">
        <v>20296</v>
      </c>
      <c r="I4484" t="s">
        <v>1357</v>
      </c>
      <c r="J4484" t="s">
        <v>1357</v>
      </c>
      <c r="K4484" t="s">
        <v>1357</v>
      </c>
      <c r="L4484" t="s">
        <v>1357</v>
      </c>
    </row>
    <row r="4485" spans="6:12">
      <c r="H4485" t="s">
        <v>20297</v>
      </c>
      <c r="I4485" t="s">
        <v>1357</v>
      </c>
      <c r="J4485" t="s">
        <v>1357</v>
      </c>
      <c r="K4485" t="s">
        <v>1357</v>
      </c>
      <c r="L4485" t="s">
        <v>1357</v>
      </c>
    </row>
    <row r="4486" spans="6:12">
      <c r="H4486" t="s">
        <v>20234</v>
      </c>
      <c r="I4486" t="s">
        <v>1357</v>
      </c>
      <c r="J4486" t="s">
        <v>1357</v>
      </c>
      <c r="K4486" t="s">
        <v>1357</v>
      </c>
      <c r="L4486" t="s">
        <v>1357</v>
      </c>
    </row>
    <row r="4487" spans="6:12">
      <c r="H4487" t="s">
        <v>20235</v>
      </c>
      <c r="I4487" t="s">
        <v>1357</v>
      </c>
      <c r="J4487" t="s">
        <v>1357</v>
      </c>
      <c r="K4487" t="s">
        <v>1357</v>
      </c>
      <c r="L4487" t="s">
        <v>1357</v>
      </c>
    </row>
    <row r="4488" spans="6:12">
      <c r="H4488" t="s">
        <v>20298</v>
      </c>
      <c r="I4488" t="s">
        <v>1357</v>
      </c>
      <c r="J4488" t="s">
        <v>1357</v>
      </c>
      <c r="K4488" t="s">
        <v>1357</v>
      </c>
      <c r="L4488" t="s">
        <v>1357</v>
      </c>
    </row>
    <row r="4489" spans="6:12">
      <c r="H4489" t="s">
        <v>20299</v>
      </c>
      <c r="I4489" t="s">
        <v>1357</v>
      </c>
      <c r="J4489" t="s">
        <v>1357</v>
      </c>
      <c r="K4489" t="s">
        <v>1357</v>
      </c>
      <c r="L4489" t="s">
        <v>1357</v>
      </c>
    </row>
    <row r="4490" spans="6:12">
      <c r="H4490" t="s">
        <v>20300</v>
      </c>
      <c r="I4490" t="s">
        <v>1357</v>
      </c>
      <c r="J4490" t="s">
        <v>1357</v>
      </c>
      <c r="K4490" t="s">
        <v>1357</v>
      </c>
      <c r="L4490" t="s">
        <v>1357</v>
      </c>
    </row>
    <row r="4491" spans="6:12">
      <c r="H4491" t="s">
        <v>20301</v>
      </c>
      <c r="I4491" t="s">
        <v>1357</v>
      </c>
      <c r="J4491" t="s">
        <v>1357</v>
      </c>
      <c r="K4491" t="s">
        <v>1357</v>
      </c>
      <c r="L4491" t="s">
        <v>1357</v>
      </c>
    </row>
    <row r="4492" spans="6:12">
      <c r="H4492" t="s">
        <v>20284</v>
      </c>
      <c r="I4492" t="s">
        <v>1357</v>
      </c>
      <c r="J4492" t="s">
        <v>1357</v>
      </c>
      <c r="K4492" t="s">
        <v>1357</v>
      </c>
      <c r="L4492" t="s">
        <v>1357</v>
      </c>
    </row>
    <row r="4493" spans="6:12">
      <c r="H4493" t="s">
        <v>20285</v>
      </c>
      <c r="I4493" t="s">
        <v>1357</v>
      </c>
      <c r="J4493" t="s">
        <v>1357</v>
      </c>
      <c r="K4493" t="s">
        <v>1357</v>
      </c>
      <c r="L4493" t="s">
        <v>1357</v>
      </c>
    </row>
    <row r="4494" spans="6:12">
      <c r="H4494" t="s">
        <v>20286</v>
      </c>
      <c r="I4494" t="s">
        <v>1357</v>
      </c>
      <c r="J4494" t="s">
        <v>1357</v>
      </c>
      <c r="K4494" t="s">
        <v>1357</v>
      </c>
      <c r="L4494" t="s">
        <v>1357</v>
      </c>
    </row>
    <row r="4495" spans="6:12">
      <c r="F4495" t="s">
        <v>15073</v>
      </c>
      <c r="G4495" t="s">
        <v>17501</v>
      </c>
      <c r="H4495" t="s">
        <v>20280</v>
      </c>
      <c r="I4495" t="s">
        <v>1357</v>
      </c>
      <c r="J4495" t="s">
        <v>1357</v>
      </c>
      <c r="K4495" t="s">
        <v>1357</v>
      </c>
      <c r="L4495" t="s">
        <v>1357</v>
      </c>
    </row>
    <row r="4496" spans="6:12">
      <c r="H4496" t="s">
        <v>20233</v>
      </c>
      <c r="I4496" t="s">
        <v>1357</v>
      </c>
      <c r="J4496" t="s">
        <v>1357</v>
      </c>
      <c r="K4496" t="s">
        <v>1357</v>
      </c>
      <c r="L4496" t="s">
        <v>1357</v>
      </c>
    </row>
    <row r="4497" spans="6:12">
      <c r="H4497" t="s">
        <v>20230</v>
      </c>
      <c r="I4497" t="s">
        <v>1357</v>
      </c>
      <c r="J4497" t="s">
        <v>1357</v>
      </c>
      <c r="K4497" t="s">
        <v>1357</v>
      </c>
      <c r="L4497" t="s">
        <v>1357</v>
      </c>
    </row>
    <row r="4498" spans="6:12">
      <c r="H4498" t="s">
        <v>20227</v>
      </c>
      <c r="I4498" t="s">
        <v>1357</v>
      </c>
      <c r="J4498" t="s">
        <v>1357</v>
      </c>
      <c r="K4498" t="s">
        <v>1357</v>
      </c>
      <c r="L4498" t="s">
        <v>1357</v>
      </c>
    </row>
    <row r="4499" spans="6:12">
      <c r="H4499" t="s">
        <v>20296</v>
      </c>
      <c r="I4499" t="s">
        <v>1357</v>
      </c>
      <c r="J4499" t="s">
        <v>1357</v>
      </c>
      <c r="K4499" t="s">
        <v>1357</v>
      </c>
      <c r="L4499" t="s">
        <v>1357</v>
      </c>
    </row>
    <row r="4500" spans="6:12">
      <c r="H4500" t="s">
        <v>20297</v>
      </c>
      <c r="I4500" t="s">
        <v>1357</v>
      </c>
      <c r="J4500" t="s">
        <v>1357</v>
      </c>
      <c r="K4500" t="s">
        <v>1357</v>
      </c>
      <c r="L4500" t="s">
        <v>1357</v>
      </c>
    </row>
    <row r="4501" spans="6:12">
      <c r="H4501" t="s">
        <v>20234</v>
      </c>
      <c r="I4501" t="s">
        <v>1357</v>
      </c>
      <c r="J4501" t="s">
        <v>1357</v>
      </c>
      <c r="K4501" t="s">
        <v>1357</v>
      </c>
      <c r="L4501" t="s">
        <v>1357</v>
      </c>
    </row>
    <row r="4502" spans="6:12">
      <c r="H4502" t="s">
        <v>20235</v>
      </c>
      <c r="I4502" t="s">
        <v>1357</v>
      </c>
      <c r="J4502" t="s">
        <v>1357</v>
      </c>
      <c r="K4502" t="s">
        <v>1357</v>
      </c>
      <c r="L4502" t="s">
        <v>1357</v>
      </c>
    </row>
    <row r="4503" spans="6:12">
      <c r="H4503" t="s">
        <v>20298</v>
      </c>
      <c r="I4503" t="s">
        <v>1357</v>
      </c>
      <c r="J4503" t="s">
        <v>1357</v>
      </c>
      <c r="K4503" t="s">
        <v>1357</v>
      </c>
      <c r="L4503" t="s">
        <v>1357</v>
      </c>
    </row>
    <row r="4504" spans="6:12">
      <c r="H4504" t="s">
        <v>20299</v>
      </c>
      <c r="I4504" t="s">
        <v>1357</v>
      </c>
      <c r="J4504" t="s">
        <v>1357</v>
      </c>
      <c r="K4504" t="s">
        <v>1357</v>
      </c>
      <c r="L4504" t="s">
        <v>1357</v>
      </c>
    </row>
    <row r="4505" spans="6:12">
      <c r="H4505" t="s">
        <v>20300</v>
      </c>
      <c r="I4505" t="s">
        <v>1357</v>
      </c>
      <c r="J4505" t="s">
        <v>1357</v>
      </c>
      <c r="K4505" t="s">
        <v>1357</v>
      </c>
      <c r="L4505" t="s">
        <v>1357</v>
      </c>
    </row>
    <row r="4506" spans="6:12">
      <c r="H4506" t="s">
        <v>20301</v>
      </c>
      <c r="I4506" t="s">
        <v>1357</v>
      </c>
      <c r="J4506" t="s">
        <v>1357</v>
      </c>
      <c r="K4506" t="s">
        <v>1357</v>
      </c>
      <c r="L4506" t="s">
        <v>1357</v>
      </c>
    </row>
    <row r="4507" spans="6:12">
      <c r="H4507" t="s">
        <v>20284</v>
      </c>
      <c r="I4507" t="s">
        <v>1357</v>
      </c>
      <c r="J4507" t="s">
        <v>1357</v>
      </c>
      <c r="K4507" t="s">
        <v>1357</v>
      </c>
      <c r="L4507" t="s">
        <v>1357</v>
      </c>
    </row>
    <row r="4508" spans="6:12">
      <c r="H4508" t="s">
        <v>20285</v>
      </c>
      <c r="I4508" t="s">
        <v>1357</v>
      </c>
      <c r="J4508" t="s">
        <v>1357</v>
      </c>
      <c r="K4508" t="s">
        <v>1357</v>
      </c>
      <c r="L4508" t="s">
        <v>1357</v>
      </c>
    </row>
    <row r="4509" spans="6:12">
      <c r="H4509" t="s">
        <v>20286</v>
      </c>
      <c r="I4509" t="s">
        <v>1357</v>
      </c>
      <c r="J4509" t="s">
        <v>1357</v>
      </c>
      <c r="K4509" t="s">
        <v>1357</v>
      </c>
      <c r="L4509" t="s">
        <v>1357</v>
      </c>
    </row>
    <row r="4510" spans="6:12">
      <c r="H4510" t="s">
        <v>20287</v>
      </c>
      <c r="I4510" t="s">
        <v>1357</v>
      </c>
      <c r="J4510" t="s">
        <v>1357</v>
      </c>
      <c r="K4510" t="s">
        <v>1357</v>
      </c>
      <c r="L4510" t="s">
        <v>1357</v>
      </c>
    </row>
    <row r="4511" spans="6:12">
      <c r="F4511" t="s">
        <v>15074</v>
      </c>
      <c r="G4511" t="s">
        <v>17502</v>
      </c>
      <c r="H4511" t="s">
        <v>20280</v>
      </c>
      <c r="I4511" t="s">
        <v>1357</v>
      </c>
      <c r="J4511" t="s">
        <v>1357</v>
      </c>
      <c r="K4511" t="s">
        <v>1357</v>
      </c>
      <c r="L4511" t="s">
        <v>1357</v>
      </c>
    </row>
    <row r="4512" spans="6:12">
      <c r="H4512" t="s">
        <v>20233</v>
      </c>
      <c r="I4512" t="s">
        <v>1357</v>
      </c>
      <c r="J4512" t="s">
        <v>1357</v>
      </c>
      <c r="K4512" t="s">
        <v>1357</v>
      </c>
      <c r="L4512" t="s">
        <v>1357</v>
      </c>
    </row>
    <row r="4513" spans="6:12">
      <c r="H4513" t="s">
        <v>20230</v>
      </c>
      <c r="I4513" t="s">
        <v>1357</v>
      </c>
      <c r="J4513" t="s">
        <v>1357</v>
      </c>
      <c r="K4513" t="s">
        <v>1357</v>
      </c>
      <c r="L4513" t="s">
        <v>1357</v>
      </c>
    </row>
    <row r="4514" spans="6:12">
      <c r="H4514" t="s">
        <v>20227</v>
      </c>
      <c r="I4514" t="s">
        <v>1357</v>
      </c>
      <c r="J4514" t="s">
        <v>1357</v>
      </c>
      <c r="K4514" t="s">
        <v>1357</v>
      </c>
      <c r="L4514" t="s">
        <v>1357</v>
      </c>
    </row>
    <row r="4515" spans="6:12">
      <c r="H4515" t="s">
        <v>20296</v>
      </c>
      <c r="I4515" t="s">
        <v>1357</v>
      </c>
      <c r="J4515" t="s">
        <v>1357</v>
      </c>
      <c r="K4515" t="s">
        <v>1357</v>
      </c>
      <c r="L4515" t="s">
        <v>1357</v>
      </c>
    </row>
    <row r="4516" spans="6:12">
      <c r="H4516" t="s">
        <v>20297</v>
      </c>
      <c r="I4516" t="s">
        <v>1357</v>
      </c>
      <c r="J4516" t="s">
        <v>1357</v>
      </c>
      <c r="K4516" t="s">
        <v>1357</v>
      </c>
      <c r="L4516" t="s">
        <v>1357</v>
      </c>
    </row>
    <row r="4517" spans="6:12">
      <c r="H4517" t="s">
        <v>20234</v>
      </c>
      <c r="I4517" t="s">
        <v>1357</v>
      </c>
      <c r="J4517" t="s">
        <v>1357</v>
      </c>
      <c r="K4517" t="s">
        <v>1357</v>
      </c>
      <c r="L4517" t="s">
        <v>1357</v>
      </c>
    </row>
    <row r="4518" spans="6:12">
      <c r="H4518" t="s">
        <v>20235</v>
      </c>
      <c r="I4518" t="s">
        <v>1357</v>
      </c>
      <c r="J4518" t="s">
        <v>1357</v>
      </c>
      <c r="K4518" t="s">
        <v>1357</v>
      </c>
      <c r="L4518" t="s">
        <v>1357</v>
      </c>
    </row>
    <row r="4519" spans="6:12">
      <c r="H4519" t="s">
        <v>20298</v>
      </c>
      <c r="I4519" t="s">
        <v>1357</v>
      </c>
      <c r="J4519" t="s">
        <v>1357</v>
      </c>
      <c r="K4519" t="s">
        <v>1357</v>
      </c>
      <c r="L4519" t="s">
        <v>1357</v>
      </c>
    </row>
    <row r="4520" spans="6:12">
      <c r="H4520" t="s">
        <v>20299</v>
      </c>
      <c r="I4520" t="s">
        <v>1357</v>
      </c>
      <c r="J4520" t="s">
        <v>1357</v>
      </c>
      <c r="K4520" t="s">
        <v>1357</v>
      </c>
      <c r="L4520" t="s">
        <v>1357</v>
      </c>
    </row>
    <row r="4521" spans="6:12">
      <c r="H4521" t="s">
        <v>20300</v>
      </c>
      <c r="I4521" t="s">
        <v>1357</v>
      </c>
      <c r="J4521" t="s">
        <v>1357</v>
      </c>
      <c r="K4521" t="s">
        <v>1357</v>
      </c>
      <c r="L4521" t="s">
        <v>1357</v>
      </c>
    </row>
    <row r="4522" spans="6:12">
      <c r="H4522" t="s">
        <v>20301</v>
      </c>
      <c r="I4522" t="s">
        <v>1357</v>
      </c>
      <c r="J4522" t="s">
        <v>1357</v>
      </c>
      <c r="K4522" t="s">
        <v>1357</v>
      </c>
      <c r="L4522" t="s">
        <v>1357</v>
      </c>
    </row>
    <row r="4523" spans="6:12">
      <c r="H4523" t="s">
        <v>20284</v>
      </c>
      <c r="I4523" t="s">
        <v>1357</v>
      </c>
      <c r="J4523" t="s">
        <v>1357</v>
      </c>
      <c r="K4523" t="s">
        <v>1357</v>
      </c>
      <c r="L4523" t="s">
        <v>1357</v>
      </c>
    </row>
    <row r="4524" spans="6:12">
      <c r="H4524" t="s">
        <v>20285</v>
      </c>
      <c r="I4524" t="s">
        <v>1357</v>
      </c>
      <c r="J4524" t="s">
        <v>1357</v>
      </c>
      <c r="K4524" t="s">
        <v>1357</v>
      </c>
      <c r="L4524" t="s">
        <v>1357</v>
      </c>
    </row>
    <row r="4525" spans="6:12">
      <c r="H4525" t="s">
        <v>20286</v>
      </c>
      <c r="I4525" t="s">
        <v>1357</v>
      </c>
      <c r="J4525" t="s">
        <v>1357</v>
      </c>
      <c r="K4525" t="s">
        <v>1357</v>
      </c>
      <c r="L4525" t="s">
        <v>1357</v>
      </c>
    </row>
    <row r="4526" spans="6:12">
      <c r="H4526" t="s">
        <v>20287</v>
      </c>
      <c r="I4526" t="s">
        <v>1357</v>
      </c>
      <c r="J4526" t="s">
        <v>1357</v>
      </c>
      <c r="K4526" t="s">
        <v>1357</v>
      </c>
      <c r="L4526" t="s">
        <v>1357</v>
      </c>
    </row>
    <row r="4527" spans="6:12">
      <c r="F4527" t="s">
        <v>15075</v>
      </c>
      <c r="G4527" t="s">
        <v>17503</v>
      </c>
      <c r="H4527" t="s">
        <v>20280</v>
      </c>
      <c r="I4527" t="s">
        <v>1357</v>
      </c>
      <c r="J4527" t="s">
        <v>1357</v>
      </c>
      <c r="K4527" t="s">
        <v>1357</v>
      </c>
      <c r="L4527" t="s">
        <v>1357</v>
      </c>
    </row>
    <row r="4528" spans="6:12">
      <c r="H4528" t="s">
        <v>20233</v>
      </c>
      <c r="I4528" t="s">
        <v>1357</v>
      </c>
      <c r="J4528" t="s">
        <v>1357</v>
      </c>
      <c r="K4528" t="s">
        <v>1357</v>
      </c>
      <c r="L4528" t="s">
        <v>1357</v>
      </c>
    </row>
    <row r="4529" spans="6:12">
      <c r="H4529" t="s">
        <v>20230</v>
      </c>
      <c r="I4529" t="s">
        <v>1357</v>
      </c>
      <c r="J4529" t="s">
        <v>1357</v>
      </c>
      <c r="K4529" t="s">
        <v>1357</v>
      </c>
      <c r="L4529" t="s">
        <v>1357</v>
      </c>
    </row>
    <row r="4530" spans="6:12">
      <c r="H4530" t="s">
        <v>20227</v>
      </c>
      <c r="I4530" t="s">
        <v>1357</v>
      </c>
      <c r="J4530" t="s">
        <v>1357</v>
      </c>
      <c r="K4530" t="s">
        <v>1357</v>
      </c>
      <c r="L4530" t="s">
        <v>1357</v>
      </c>
    </row>
    <row r="4531" spans="6:12">
      <c r="H4531" t="s">
        <v>20228</v>
      </c>
      <c r="I4531" t="s">
        <v>1357</v>
      </c>
      <c r="J4531" t="s">
        <v>1357</v>
      </c>
      <c r="K4531" t="s">
        <v>1357</v>
      </c>
      <c r="L4531" t="s">
        <v>1357</v>
      </c>
    </row>
    <row r="4532" spans="6:12">
      <c r="H4532" t="s">
        <v>20296</v>
      </c>
      <c r="I4532" t="s">
        <v>1357</v>
      </c>
      <c r="J4532" t="s">
        <v>1357</v>
      </c>
      <c r="K4532" t="s">
        <v>1357</v>
      </c>
      <c r="L4532" t="s">
        <v>1357</v>
      </c>
    </row>
    <row r="4533" spans="6:12">
      <c r="H4533" t="s">
        <v>20297</v>
      </c>
      <c r="I4533" t="s">
        <v>1357</v>
      </c>
      <c r="J4533" t="s">
        <v>1357</v>
      </c>
      <c r="K4533" t="s">
        <v>1357</v>
      </c>
      <c r="L4533" t="s">
        <v>1357</v>
      </c>
    </row>
    <row r="4534" spans="6:12">
      <c r="H4534" t="s">
        <v>20234</v>
      </c>
      <c r="I4534" t="s">
        <v>1357</v>
      </c>
      <c r="J4534" t="s">
        <v>1357</v>
      </c>
      <c r="K4534" t="s">
        <v>1357</v>
      </c>
      <c r="L4534" t="s">
        <v>1357</v>
      </c>
    </row>
    <row r="4535" spans="6:12">
      <c r="H4535" t="s">
        <v>20235</v>
      </c>
      <c r="I4535" t="s">
        <v>1357</v>
      </c>
      <c r="J4535" t="s">
        <v>1357</v>
      </c>
      <c r="K4535" t="s">
        <v>1357</v>
      </c>
      <c r="L4535" t="s">
        <v>1357</v>
      </c>
    </row>
    <row r="4536" spans="6:12">
      <c r="H4536" t="s">
        <v>20298</v>
      </c>
      <c r="I4536" t="s">
        <v>1357</v>
      </c>
      <c r="J4536" t="s">
        <v>1357</v>
      </c>
      <c r="K4536" t="s">
        <v>1357</v>
      </c>
      <c r="L4536" t="s">
        <v>1357</v>
      </c>
    </row>
    <row r="4537" spans="6:12">
      <c r="H4537" t="s">
        <v>20284</v>
      </c>
      <c r="I4537" t="s">
        <v>1357</v>
      </c>
      <c r="J4537" t="s">
        <v>1357</v>
      </c>
      <c r="K4537" t="s">
        <v>1357</v>
      </c>
      <c r="L4537" t="s">
        <v>1357</v>
      </c>
    </row>
    <row r="4538" spans="6:12">
      <c r="H4538" t="s">
        <v>20285</v>
      </c>
      <c r="I4538" t="s">
        <v>1357</v>
      </c>
      <c r="J4538" t="s">
        <v>1357</v>
      </c>
      <c r="K4538" t="s">
        <v>1357</v>
      </c>
      <c r="L4538" t="s">
        <v>1357</v>
      </c>
    </row>
    <row r="4539" spans="6:12">
      <c r="H4539" t="s">
        <v>20286</v>
      </c>
      <c r="I4539" t="s">
        <v>1357</v>
      </c>
      <c r="J4539" t="s">
        <v>1357</v>
      </c>
      <c r="K4539" t="s">
        <v>1357</v>
      </c>
      <c r="L4539" t="s">
        <v>1357</v>
      </c>
    </row>
    <row r="4540" spans="6:12">
      <c r="H4540" t="s">
        <v>20287</v>
      </c>
      <c r="I4540" t="s">
        <v>1357</v>
      </c>
      <c r="J4540" t="s">
        <v>1357</v>
      </c>
      <c r="K4540" t="s">
        <v>1357</v>
      </c>
      <c r="L4540" t="s">
        <v>1357</v>
      </c>
    </row>
    <row r="4541" spans="6:12">
      <c r="F4541" t="s">
        <v>15076</v>
      </c>
      <c r="G4541" t="s">
        <v>17504</v>
      </c>
      <c r="H4541" t="s">
        <v>20280</v>
      </c>
      <c r="I4541" t="s">
        <v>1357</v>
      </c>
      <c r="J4541" t="s">
        <v>1357</v>
      </c>
      <c r="K4541" t="s">
        <v>1357</v>
      </c>
      <c r="L4541" t="s">
        <v>1357</v>
      </c>
    </row>
    <row r="4542" spans="6:12">
      <c r="H4542" t="s">
        <v>20233</v>
      </c>
      <c r="I4542" t="s">
        <v>1357</v>
      </c>
      <c r="J4542" t="s">
        <v>1357</v>
      </c>
      <c r="K4542" t="s">
        <v>1357</v>
      </c>
      <c r="L4542" t="s">
        <v>1357</v>
      </c>
    </row>
    <row r="4543" spans="6:12">
      <c r="H4543" t="s">
        <v>20230</v>
      </c>
      <c r="I4543" t="s">
        <v>1357</v>
      </c>
      <c r="J4543" t="s">
        <v>1357</v>
      </c>
      <c r="K4543" t="s">
        <v>1357</v>
      </c>
      <c r="L4543" t="s">
        <v>1357</v>
      </c>
    </row>
    <row r="4544" spans="6:12">
      <c r="H4544" t="s">
        <v>20227</v>
      </c>
      <c r="I4544" t="s">
        <v>1357</v>
      </c>
      <c r="J4544" t="s">
        <v>1357</v>
      </c>
      <c r="K4544" t="s">
        <v>1357</v>
      </c>
      <c r="L4544" t="s">
        <v>1357</v>
      </c>
    </row>
    <row r="4545" spans="6:12">
      <c r="H4545" t="s">
        <v>20228</v>
      </c>
      <c r="I4545" t="s">
        <v>1357</v>
      </c>
      <c r="J4545" t="s">
        <v>1357</v>
      </c>
      <c r="K4545" t="s">
        <v>1357</v>
      </c>
      <c r="L4545" t="s">
        <v>1357</v>
      </c>
    </row>
    <row r="4546" spans="6:12">
      <c r="H4546" t="s">
        <v>20296</v>
      </c>
      <c r="I4546" t="s">
        <v>1357</v>
      </c>
      <c r="J4546" t="s">
        <v>1357</v>
      </c>
      <c r="K4546" t="s">
        <v>1357</v>
      </c>
      <c r="L4546" t="s">
        <v>1357</v>
      </c>
    </row>
    <row r="4547" spans="6:12">
      <c r="H4547" t="s">
        <v>20297</v>
      </c>
      <c r="I4547" t="s">
        <v>1357</v>
      </c>
      <c r="J4547" t="s">
        <v>1357</v>
      </c>
      <c r="K4547" t="s">
        <v>1357</v>
      </c>
      <c r="L4547" t="s">
        <v>1357</v>
      </c>
    </row>
    <row r="4548" spans="6:12">
      <c r="H4548" t="s">
        <v>20234</v>
      </c>
      <c r="I4548" t="s">
        <v>1357</v>
      </c>
      <c r="J4548" t="s">
        <v>1357</v>
      </c>
      <c r="K4548" t="s">
        <v>1357</v>
      </c>
      <c r="L4548" t="s">
        <v>1357</v>
      </c>
    </row>
    <row r="4549" spans="6:12">
      <c r="H4549" t="s">
        <v>20235</v>
      </c>
      <c r="I4549" t="s">
        <v>1357</v>
      </c>
      <c r="J4549" t="s">
        <v>1357</v>
      </c>
      <c r="K4549" t="s">
        <v>1357</v>
      </c>
      <c r="L4549" t="s">
        <v>1357</v>
      </c>
    </row>
    <row r="4550" spans="6:12">
      <c r="H4550" t="s">
        <v>20298</v>
      </c>
      <c r="I4550" t="s">
        <v>1357</v>
      </c>
      <c r="J4550" t="s">
        <v>1357</v>
      </c>
      <c r="K4550" t="s">
        <v>1357</v>
      </c>
      <c r="L4550" t="s">
        <v>1357</v>
      </c>
    </row>
    <row r="4551" spans="6:12">
      <c r="H4551" t="s">
        <v>20284</v>
      </c>
      <c r="I4551" t="s">
        <v>1357</v>
      </c>
      <c r="J4551" t="s">
        <v>1357</v>
      </c>
      <c r="K4551" t="s">
        <v>1357</v>
      </c>
      <c r="L4551" t="s">
        <v>1357</v>
      </c>
    </row>
    <row r="4552" spans="6:12">
      <c r="H4552" t="s">
        <v>20285</v>
      </c>
      <c r="I4552" t="s">
        <v>1357</v>
      </c>
      <c r="J4552" t="s">
        <v>1357</v>
      </c>
      <c r="K4552" t="s">
        <v>1357</v>
      </c>
      <c r="L4552" t="s">
        <v>1357</v>
      </c>
    </row>
    <row r="4553" spans="6:12">
      <c r="H4553" t="s">
        <v>20286</v>
      </c>
      <c r="I4553" t="s">
        <v>1357</v>
      </c>
      <c r="J4553" t="s">
        <v>1357</v>
      </c>
      <c r="K4553" t="s">
        <v>1357</v>
      </c>
      <c r="L4553" t="s">
        <v>1357</v>
      </c>
    </row>
    <row r="4554" spans="6:12">
      <c r="H4554" t="s">
        <v>20287</v>
      </c>
      <c r="I4554" t="s">
        <v>1357</v>
      </c>
      <c r="J4554" t="s">
        <v>1357</v>
      </c>
      <c r="K4554" t="s">
        <v>1357</v>
      </c>
      <c r="L4554" t="s">
        <v>1357</v>
      </c>
    </row>
    <row r="4555" spans="6:12">
      <c r="F4555" t="s">
        <v>15077</v>
      </c>
      <c r="G4555" t="s">
        <v>17505</v>
      </c>
      <c r="H4555" t="s">
        <v>20280</v>
      </c>
      <c r="I4555" t="s">
        <v>1357</v>
      </c>
      <c r="J4555" t="s">
        <v>1357</v>
      </c>
      <c r="K4555" t="s">
        <v>1357</v>
      </c>
      <c r="L4555" t="s">
        <v>1357</v>
      </c>
    </row>
    <row r="4556" spans="6:12">
      <c r="H4556" t="s">
        <v>20233</v>
      </c>
      <c r="I4556" t="s">
        <v>1357</v>
      </c>
      <c r="J4556" t="s">
        <v>1357</v>
      </c>
      <c r="K4556" t="s">
        <v>1357</v>
      </c>
      <c r="L4556" t="s">
        <v>1357</v>
      </c>
    </row>
    <row r="4557" spans="6:12">
      <c r="H4557" t="s">
        <v>20230</v>
      </c>
      <c r="I4557" t="s">
        <v>1357</v>
      </c>
      <c r="J4557" t="s">
        <v>1357</v>
      </c>
      <c r="K4557" t="s">
        <v>1357</v>
      </c>
      <c r="L4557" t="s">
        <v>1357</v>
      </c>
    </row>
    <row r="4558" spans="6:12">
      <c r="H4558" t="s">
        <v>20227</v>
      </c>
      <c r="I4558" t="s">
        <v>1357</v>
      </c>
      <c r="J4558" t="s">
        <v>1357</v>
      </c>
      <c r="K4558" t="s">
        <v>1357</v>
      </c>
      <c r="L4558" t="s">
        <v>1357</v>
      </c>
    </row>
    <row r="4559" spans="6:12">
      <c r="H4559" t="s">
        <v>20228</v>
      </c>
      <c r="I4559" t="s">
        <v>1357</v>
      </c>
      <c r="J4559" t="s">
        <v>1357</v>
      </c>
      <c r="K4559" t="s">
        <v>1357</v>
      </c>
      <c r="L4559" t="s">
        <v>1357</v>
      </c>
    </row>
    <row r="4560" spans="6:12">
      <c r="H4560" t="s">
        <v>20296</v>
      </c>
      <c r="I4560" t="s">
        <v>1357</v>
      </c>
      <c r="J4560" t="s">
        <v>1357</v>
      </c>
      <c r="K4560" t="s">
        <v>1357</v>
      </c>
      <c r="L4560" t="s">
        <v>1357</v>
      </c>
    </row>
    <row r="4561" spans="6:12">
      <c r="H4561" t="s">
        <v>20297</v>
      </c>
      <c r="I4561" t="s">
        <v>1357</v>
      </c>
      <c r="J4561" t="s">
        <v>1357</v>
      </c>
      <c r="K4561" t="s">
        <v>1357</v>
      </c>
      <c r="L4561" t="s">
        <v>1357</v>
      </c>
    </row>
    <row r="4562" spans="6:12">
      <c r="H4562" t="s">
        <v>20234</v>
      </c>
      <c r="I4562" t="s">
        <v>1357</v>
      </c>
      <c r="J4562" t="s">
        <v>1357</v>
      </c>
      <c r="K4562" t="s">
        <v>1357</v>
      </c>
      <c r="L4562" t="s">
        <v>1357</v>
      </c>
    </row>
    <row r="4563" spans="6:12">
      <c r="H4563" t="s">
        <v>20235</v>
      </c>
      <c r="I4563" t="s">
        <v>1357</v>
      </c>
      <c r="J4563" t="s">
        <v>1357</v>
      </c>
      <c r="K4563" t="s">
        <v>1357</v>
      </c>
      <c r="L4563" t="s">
        <v>1357</v>
      </c>
    </row>
    <row r="4564" spans="6:12">
      <c r="H4564" t="s">
        <v>20298</v>
      </c>
      <c r="I4564" t="s">
        <v>1357</v>
      </c>
      <c r="J4564" t="s">
        <v>1357</v>
      </c>
      <c r="K4564" t="s">
        <v>1357</v>
      </c>
      <c r="L4564" t="s">
        <v>1357</v>
      </c>
    </row>
    <row r="4565" spans="6:12">
      <c r="H4565" t="s">
        <v>20284</v>
      </c>
      <c r="I4565" t="s">
        <v>1357</v>
      </c>
      <c r="J4565" t="s">
        <v>1357</v>
      </c>
      <c r="K4565" t="s">
        <v>1357</v>
      </c>
      <c r="L4565" t="s">
        <v>1357</v>
      </c>
    </row>
    <row r="4566" spans="6:12">
      <c r="H4566" t="s">
        <v>20285</v>
      </c>
      <c r="I4566" t="s">
        <v>1357</v>
      </c>
      <c r="J4566" t="s">
        <v>1357</v>
      </c>
      <c r="K4566" t="s">
        <v>1357</v>
      </c>
      <c r="L4566" t="s">
        <v>1357</v>
      </c>
    </row>
    <row r="4567" spans="6:12">
      <c r="H4567" t="s">
        <v>20286</v>
      </c>
      <c r="I4567" t="s">
        <v>1357</v>
      </c>
      <c r="J4567" t="s">
        <v>1357</v>
      </c>
      <c r="K4567" t="s">
        <v>1357</v>
      </c>
      <c r="L4567" t="s">
        <v>1357</v>
      </c>
    </row>
    <row r="4568" spans="6:12">
      <c r="H4568" t="s">
        <v>20287</v>
      </c>
      <c r="I4568" t="s">
        <v>1357</v>
      </c>
      <c r="J4568" t="s">
        <v>1357</v>
      </c>
      <c r="K4568" t="s">
        <v>1357</v>
      </c>
      <c r="L4568" t="s">
        <v>1357</v>
      </c>
    </row>
    <row r="4569" spans="6:12">
      <c r="F4569" t="s">
        <v>15078</v>
      </c>
      <c r="G4569" t="s">
        <v>17506</v>
      </c>
      <c r="H4569" t="s">
        <v>20280</v>
      </c>
      <c r="I4569" t="s">
        <v>1357</v>
      </c>
      <c r="J4569" t="s">
        <v>1357</v>
      </c>
      <c r="K4569" t="s">
        <v>1357</v>
      </c>
      <c r="L4569" t="s">
        <v>1357</v>
      </c>
    </row>
    <row r="4570" spans="6:12">
      <c r="H4570" t="s">
        <v>20233</v>
      </c>
      <c r="I4570" t="s">
        <v>1357</v>
      </c>
      <c r="J4570" t="s">
        <v>1357</v>
      </c>
      <c r="K4570" t="s">
        <v>1357</v>
      </c>
      <c r="L4570" t="s">
        <v>1357</v>
      </c>
    </row>
    <row r="4571" spans="6:12">
      <c r="H4571" t="s">
        <v>20230</v>
      </c>
      <c r="I4571" t="s">
        <v>1357</v>
      </c>
      <c r="J4571" t="s">
        <v>1357</v>
      </c>
      <c r="K4571" t="s">
        <v>1357</v>
      </c>
      <c r="L4571" t="s">
        <v>1357</v>
      </c>
    </row>
    <row r="4572" spans="6:12">
      <c r="H4572" t="s">
        <v>20227</v>
      </c>
      <c r="I4572" t="s">
        <v>1357</v>
      </c>
      <c r="J4572" t="s">
        <v>1357</v>
      </c>
      <c r="K4572" t="s">
        <v>1357</v>
      </c>
      <c r="L4572" t="s">
        <v>1357</v>
      </c>
    </row>
    <row r="4573" spans="6:12">
      <c r="H4573" t="s">
        <v>20228</v>
      </c>
      <c r="I4573" t="s">
        <v>1357</v>
      </c>
      <c r="J4573" t="s">
        <v>1357</v>
      </c>
      <c r="K4573" t="s">
        <v>1357</v>
      </c>
      <c r="L4573" t="s">
        <v>1357</v>
      </c>
    </row>
    <row r="4574" spans="6:12">
      <c r="H4574" t="s">
        <v>20296</v>
      </c>
      <c r="I4574" t="s">
        <v>1357</v>
      </c>
      <c r="J4574" t="s">
        <v>1357</v>
      </c>
      <c r="K4574" t="s">
        <v>1357</v>
      </c>
      <c r="L4574" t="s">
        <v>1357</v>
      </c>
    </row>
    <row r="4575" spans="6:12">
      <c r="H4575" t="s">
        <v>20297</v>
      </c>
      <c r="I4575" t="s">
        <v>1357</v>
      </c>
      <c r="J4575" t="s">
        <v>1357</v>
      </c>
      <c r="K4575" t="s">
        <v>1357</v>
      </c>
      <c r="L4575" t="s">
        <v>1357</v>
      </c>
    </row>
    <row r="4576" spans="6:12">
      <c r="H4576" t="s">
        <v>20234</v>
      </c>
      <c r="I4576" t="s">
        <v>1357</v>
      </c>
      <c r="J4576" t="s">
        <v>1357</v>
      </c>
      <c r="K4576" t="s">
        <v>1357</v>
      </c>
      <c r="L4576" t="s">
        <v>1357</v>
      </c>
    </row>
    <row r="4577" spans="6:12">
      <c r="H4577" t="s">
        <v>20235</v>
      </c>
      <c r="I4577" t="s">
        <v>1357</v>
      </c>
      <c r="J4577" t="s">
        <v>1357</v>
      </c>
      <c r="K4577" t="s">
        <v>1357</v>
      </c>
      <c r="L4577" t="s">
        <v>1357</v>
      </c>
    </row>
    <row r="4578" spans="6:12">
      <c r="H4578" t="s">
        <v>20298</v>
      </c>
      <c r="I4578" t="s">
        <v>1357</v>
      </c>
      <c r="J4578" t="s">
        <v>1357</v>
      </c>
      <c r="K4578" t="s">
        <v>1357</v>
      </c>
      <c r="L4578" t="s">
        <v>1357</v>
      </c>
    </row>
    <row r="4579" spans="6:12">
      <c r="H4579" t="s">
        <v>20284</v>
      </c>
      <c r="I4579" t="s">
        <v>1357</v>
      </c>
      <c r="J4579" t="s">
        <v>1357</v>
      </c>
      <c r="K4579" t="s">
        <v>1357</v>
      </c>
      <c r="L4579" t="s">
        <v>1357</v>
      </c>
    </row>
    <row r="4580" spans="6:12">
      <c r="H4580" t="s">
        <v>20285</v>
      </c>
      <c r="I4580" t="s">
        <v>1357</v>
      </c>
      <c r="J4580" t="s">
        <v>1357</v>
      </c>
      <c r="K4580" t="s">
        <v>1357</v>
      </c>
      <c r="L4580" t="s">
        <v>1357</v>
      </c>
    </row>
    <row r="4581" spans="6:12">
      <c r="H4581" t="s">
        <v>20286</v>
      </c>
      <c r="I4581" t="s">
        <v>1357</v>
      </c>
      <c r="J4581" t="s">
        <v>1357</v>
      </c>
      <c r="K4581" t="s">
        <v>1357</v>
      </c>
      <c r="L4581" t="s">
        <v>1357</v>
      </c>
    </row>
    <row r="4582" spans="6:12">
      <c r="H4582" t="s">
        <v>20287</v>
      </c>
      <c r="I4582" t="s">
        <v>1357</v>
      </c>
      <c r="J4582" t="s">
        <v>1357</v>
      </c>
      <c r="K4582" t="s">
        <v>1357</v>
      </c>
      <c r="L4582" t="s">
        <v>1357</v>
      </c>
    </row>
    <row r="4583" spans="6:12">
      <c r="F4583" t="s">
        <v>15079</v>
      </c>
      <c r="G4583" t="s">
        <v>17507</v>
      </c>
      <c r="H4583" t="s">
        <v>20280</v>
      </c>
      <c r="I4583" t="s">
        <v>1357</v>
      </c>
      <c r="J4583" t="s">
        <v>1357</v>
      </c>
      <c r="K4583" t="s">
        <v>1357</v>
      </c>
      <c r="L4583" t="s">
        <v>1357</v>
      </c>
    </row>
    <row r="4584" spans="6:12">
      <c r="H4584" t="s">
        <v>20233</v>
      </c>
      <c r="I4584" t="s">
        <v>1357</v>
      </c>
      <c r="J4584" t="s">
        <v>1357</v>
      </c>
      <c r="K4584" t="s">
        <v>1357</v>
      </c>
      <c r="L4584" t="s">
        <v>1357</v>
      </c>
    </row>
    <row r="4585" spans="6:12">
      <c r="H4585" t="s">
        <v>20230</v>
      </c>
      <c r="I4585" t="s">
        <v>1357</v>
      </c>
      <c r="J4585" t="s">
        <v>1357</v>
      </c>
      <c r="K4585" t="s">
        <v>1357</v>
      </c>
      <c r="L4585" t="s">
        <v>1357</v>
      </c>
    </row>
    <row r="4586" spans="6:12">
      <c r="H4586" t="s">
        <v>20227</v>
      </c>
      <c r="I4586" t="s">
        <v>1357</v>
      </c>
      <c r="J4586" t="s">
        <v>1357</v>
      </c>
      <c r="K4586" t="s">
        <v>1357</v>
      </c>
      <c r="L4586" t="s">
        <v>1357</v>
      </c>
    </row>
    <row r="4587" spans="6:12">
      <c r="H4587" t="s">
        <v>20296</v>
      </c>
      <c r="I4587" t="s">
        <v>1357</v>
      </c>
      <c r="J4587" t="s">
        <v>1357</v>
      </c>
      <c r="K4587" t="s">
        <v>1357</v>
      </c>
      <c r="L4587" t="s">
        <v>1357</v>
      </c>
    </row>
    <row r="4588" spans="6:12">
      <c r="H4588" t="s">
        <v>20297</v>
      </c>
      <c r="I4588" t="s">
        <v>1357</v>
      </c>
      <c r="J4588" t="s">
        <v>1357</v>
      </c>
      <c r="K4588" t="s">
        <v>1357</v>
      </c>
      <c r="L4588" t="s">
        <v>1357</v>
      </c>
    </row>
    <row r="4589" spans="6:12">
      <c r="H4589" t="s">
        <v>20234</v>
      </c>
      <c r="I4589" t="s">
        <v>1357</v>
      </c>
      <c r="J4589" t="s">
        <v>1357</v>
      </c>
      <c r="K4589" t="s">
        <v>1357</v>
      </c>
      <c r="L4589" t="s">
        <v>1357</v>
      </c>
    </row>
    <row r="4590" spans="6:12">
      <c r="H4590" t="s">
        <v>20235</v>
      </c>
      <c r="I4590" t="s">
        <v>1357</v>
      </c>
      <c r="J4590" t="s">
        <v>1357</v>
      </c>
      <c r="K4590" t="s">
        <v>1357</v>
      </c>
      <c r="L4590" t="s">
        <v>1357</v>
      </c>
    </row>
    <row r="4591" spans="6:12">
      <c r="H4591" t="s">
        <v>20298</v>
      </c>
      <c r="I4591" t="s">
        <v>1357</v>
      </c>
      <c r="J4591" t="s">
        <v>1357</v>
      </c>
      <c r="K4591" t="s">
        <v>1357</v>
      </c>
      <c r="L4591" t="s">
        <v>1357</v>
      </c>
    </row>
    <row r="4592" spans="6:12">
      <c r="H4592" t="s">
        <v>20299</v>
      </c>
      <c r="I4592" t="s">
        <v>1357</v>
      </c>
      <c r="J4592" t="s">
        <v>1357</v>
      </c>
      <c r="K4592" t="s">
        <v>1357</v>
      </c>
      <c r="L4592" t="s">
        <v>1357</v>
      </c>
    </row>
    <row r="4593" spans="6:12">
      <c r="H4593" t="s">
        <v>20300</v>
      </c>
      <c r="I4593" t="s">
        <v>1357</v>
      </c>
      <c r="J4593" t="s">
        <v>1357</v>
      </c>
      <c r="K4593" t="s">
        <v>1357</v>
      </c>
      <c r="L4593" t="s">
        <v>1357</v>
      </c>
    </row>
    <row r="4594" spans="6:12">
      <c r="H4594" t="s">
        <v>20284</v>
      </c>
      <c r="I4594" t="s">
        <v>1357</v>
      </c>
      <c r="J4594" t="s">
        <v>1357</v>
      </c>
      <c r="K4594" t="s">
        <v>1357</v>
      </c>
      <c r="L4594" t="s">
        <v>1357</v>
      </c>
    </row>
    <row r="4595" spans="6:12">
      <c r="H4595" t="s">
        <v>20285</v>
      </c>
      <c r="I4595" t="s">
        <v>1357</v>
      </c>
      <c r="J4595" t="s">
        <v>1357</v>
      </c>
      <c r="K4595" t="s">
        <v>1357</v>
      </c>
      <c r="L4595" t="s">
        <v>1357</v>
      </c>
    </row>
    <row r="4596" spans="6:12">
      <c r="H4596" t="s">
        <v>20286</v>
      </c>
      <c r="I4596" t="s">
        <v>1357</v>
      </c>
      <c r="J4596" t="s">
        <v>1357</v>
      </c>
      <c r="K4596" t="s">
        <v>1357</v>
      </c>
      <c r="L4596" t="s">
        <v>1357</v>
      </c>
    </row>
    <row r="4597" spans="6:12">
      <c r="H4597" t="s">
        <v>20287</v>
      </c>
      <c r="I4597" t="s">
        <v>1357</v>
      </c>
      <c r="J4597" t="s">
        <v>1357</v>
      </c>
      <c r="K4597" t="s">
        <v>1357</v>
      </c>
      <c r="L4597" t="s">
        <v>1357</v>
      </c>
    </row>
    <row r="4598" spans="6:12">
      <c r="F4598" t="s">
        <v>15080</v>
      </c>
      <c r="G4598" t="s">
        <v>17508</v>
      </c>
      <c r="H4598" t="s">
        <v>20280</v>
      </c>
      <c r="I4598" t="s">
        <v>1357</v>
      </c>
      <c r="J4598" t="s">
        <v>1357</v>
      </c>
      <c r="K4598" t="s">
        <v>1357</v>
      </c>
      <c r="L4598" t="s">
        <v>1357</v>
      </c>
    </row>
    <row r="4599" spans="6:12">
      <c r="H4599" t="s">
        <v>20233</v>
      </c>
      <c r="I4599" t="s">
        <v>1357</v>
      </c>
      <c r="J4599" t="s">
        <v>1357</v>
      </c>
      <c r="K4599" t="s">
        <v>1357</v>
      </c>
      <c r="L4599" t="s">
        <v>1357</v>
      </c>
    </row>
    <row r="4600" spans="6:12">
      <c r="H4600" t="s">
        <v>20230</v>
      </c>
      <c r="I4600" t="s">
        <v>1357</v>
      </c>
      <c r="J4600" t="s">
        <v>1357</v>
      </c>
      <c r="K4600" t="s">
        <v>1357</v>
      </c>
      <c r="L4600" t="s">
        <v>1357</v>
      </c>
    </row>
    <row r="4601" spans="6:12">
      <c r="H4601" t="s">
        <v>20227</v>
      </c>
      <c r="I4601" t="s">
        <v>1357</v>
      </c>
      <c r="J4601" t="s">
        <v>1357</v>
      </c>
      <c r="K4601" t="s">
        <v>1357</v>
      </c>
      <c r="L4601" t="s">
        <v>1357</v>
      </c>
    </row>
    <row r="4602" spans="6:12">
      <c r="H4602" t="s">
        <v>20296</v>
      </c>
      <c r="I4602" t="s">
        <v>1357</v>
      </c>
      <c r="J4602" t="s">
        <v>1357</v>
      </c>
      <c r="K4602" t="s">
        <v>1357</v>
      </c>
      <c r="L4602" t="s">
        <v>1357</v>
      </c>
    </row>
    <row r="4603" spans="6:12">
      <c r="H4603" t="s">
        <v>20297</v>
      </c>
      <c r="I4603" t="s">
        <v>1357</v>
      </c>
      <c r="J4603" t="s">
        <v>1357</v>
      </c>
      <c r="K4603" t="s">
        <v>1357</v>
      </c>
      <c r="L4603" t="s">
        <v>1357</v>
      </c>
    </row>
    <row r="4604" spans="6:12">
      <c r="H4604" t="s">
        <v>20234</v>
      </c>
      <c r="I4604" t="s">
        <v>1357</v>
      </c>
      <c r="J4604" t="s">
        <v>1357</v>
      </c>
      <c r="K4604" t="s">
        <v>1357</v>
      </c>
      <c r="L4604" t="s">
        <v>1357</v>
      </c>
    </row>
    <row r="4605" spans="6:12">
      <c r="H4605" t="s">
        <v>20235</v>
      </c>
      <c r="I4605" t="s">
        <v>1357</v>
      </c>
      <c r="J4605" t="s">
        <v>1357</v>
      </c>
      <c r="K4605" t="s">
        <v>1357</v>
      </c>
      <c r="L4605" t="s">
        <v>1357</v>
      </c>
    </row>
    <row r="4606" spans="6:12">
      <c r="H4606" t="s">
        <v>20298</v>
      </c>
      <c r="I4606" t="s">
        <v>1357</v>
      </c>
      <c r="J4606" t="s">
        <v>1357</v>
      </c>
      <c r="K4606" t="s">
        <v>1357</v>
      </c>
      <c r="L4606" t="s">
        <v>1357</v>
      </c>
    </row>
    <row r="4607" spans="6:12">
      <c r="H4607" t="s">
        <v>20299</v>
      </c>
      <c r="I4607" t="s">
        <v>1357</v>
      </c>
      <c r="J4607" t="s">
        <v>1357</v>
      </c>
      <c r="K4607" t="s">
        <v>1357</v>
      </c>
      <c r="L4607" t="s">
        <v>1357</v>
      </c>
    </row>
    <row r="4608" spans="6:12">
      <c r="H4608" t="s">
        <v>20300</v>
      </c>
      <c r="I4608" t="s">
        <v>1357</v>
      </c>
      <c r="J4608" t="s">
        <v>1357</v>
      </c>
      <c r="K4608" t="s">
        <v>1357</v>
      </c>
      <c r="L4608" t="s">
        <v>1357</v>
      </c>
    </row>
    <row r="4609" spans="6:12">
      <c r="H4609" t="s">
        <v>20284</v>
      </c>
      <c r="I4609" t="s">
        <v>1357</v>
      </c>
      <c r="J4609" t="s">
        <v>1357</v>
      </c>
      <c r="K4609" t="s">
        <v>1357</v>
      </c>
      <c r="L4609" t="s">
        <v>1357</v>
      </c>
    </row>
    <row r="4610" spans="6:12">
      <c r="H4610" t="s">
        <v>20285</v>
      </c>
      <c r="I4610" t="s">
        <v>1357</v>
      </c>
      <c r="J4610" t="s">
        <v>1357</v>
      </c>
      <c r="K4610" t="s">
        <v>1357</v>
      </c>
      <c r="L4610" t="s">
        <v>1357</v>
      </c>
    </row>
    <row r="4611" spans="6:12">
      <c r="H4611" t="s">
        <v>20286</v>
      </c>
      <c r="I4611" t="s">
        <v>1357</v>
      </c>
      <c r="J4611" t="s">
        <v>1357</v>
      </c>
      <c r="K4611" t="s">
        <v>1357</v>
      </c>
      <c r="L4611" t="s">
        <v>1357</v>
      </c>
    </row>
    <row r="4612" spans="6:12">
      <c r="H4612" t="s">
        <v>20287</v>
      </c>
      <c r="I4612" t="s">
        <v>1357</v>
      </c>
      <c r="J4612" t="s">
        <v>1357</v>
      </c>
      <c r="K4612" t="s">
        <v>1357</v>
      </c>
      <c r="L4612" t="s">
        <v>1357</v>
      </c>
    </row>
    <row r="4613" spans="6:12">
      <c r="F4613" t="s">
        <v>15081</v>
      </c>
      <c r="G4613" t="s">
        <v>17509</v>
      </c>
      <c r="H4613" t="s">
        <v>20280</v>
      </c>
      <c r="I4613" t="s">
        <v>1357</v>
      </c>
      <c r="J4613" t="s">
        <v>1357</v>
      </c>
      <c r="K4613" t="s">
        <v>1357</v>
      </c>
      <c r="L4613" t="s">
        <v>1357</v>
      </c>
    </row>
    <row r="4614" spans="6:12">
      <c r="H4614" t="s">
        <v>20233</v>
      </c>
      <c r="I4614" t="s">
        <v>1357</v>
      </c>
      <c r="J4614" t="s">
        <v>1357</v>
      </c>
      <c r="K4614" t="s">
        <v>1357</v>
      </c>
      <c r="L4614" t="s">
        <v>1357</v>
      </c>
    </row>
    <row r="4615" spans="6:12">
      <c r="H4615" t="s">
        <v>20230</v>
      </c>
      <c r="I4615" t="s">
        <v>1357</v>
      </c>
      <c r="J4615" t="s">
        <v>1357</v>
      </c>
      <c r="K4615" t="s">
        <v>1357</v>
      </c>
      <c r="L4615" t="s">
        <v>1357</v>
      </c>
    </row>
    <row r="4616" spans="6:12">
      <c r="H4616" t="s">
        <v>20227</v>
      </c>
      <c r="I4616" t="s">
        <v>1357</v>
      </c>
      <c r="J4616" t="s">
        <v>1357</v>
      </c>
      <c r="K4616" t="s">
        <v>1357</v>
      </c>
      <c r="L4616" t="s">
        <v>1357</v>
      </c>
    </row>
    <row r="4617" spans="6:12">
      <c r="H4617" t="s">
        <v>20228</v>
      </c>
      <c r="I4617" t="s">
        <v>1357</v>
      </c>
      <c r="J4617" t="s">
        <v>1357</v>
      </c>
      <c r="K4617" t="s">
        <v>1357</v>
      </c>
      <c r="L4617" t="s">
        <v>1357</v>
      </c>
    </row>
    <row r="4618" spans="6:12">
      <c r="H4618" t="s">
        <v>20296</v>
      </c>
      <c r="I4618" t="s">
        <v>1357</v>
      </c>
      <c r="J4618" t="s">
        <v>1357</v>
      </c>
      <c r="K4618" t="s">
        <v>1357</v>
      </c>
      <c r="L4618" t="s">
        <v>1357</v>
      </c>
    </row>
    <row r="4619" spans="6:12">
      <c r="H4619" t="s">
        <v>20297</v>
      </c>
      <c r="I4619" t="s">
        <v>1357</v>
      </c>
      <c r="J4619" t="s">
        <v>1357</v>
      </c>
      <c r="K4619" t="s">
        <v>1357</v>
      </c>
      <c r="L4619" t="s">
        <v>1357</v>
      </c>
    </row>
    <row r="4620" spans="6:12">
      <c r="H4620" t="s">
        <v>20234</v>
      </c>
      <c r="I4620" t="s">
        <v>1357</v>
      </c>
      <c r="J4620" t="s">
        <v>1357</v>
      </c>
      <c r="K4620" t="s">
        <v>1357</v>
      </c>
      <c r="L4620" t="s">
        <v>1357</v>
      </c>
    </row>
    <row r="4621" spans="6:12">
      <c r="H4621" t="s">
        <v>20235</v>
      </c>
      <c r="I4621" t="s">
        <v>1357</v>
      </c>
      <c r="J4621" t="s">
        <v>1357</v>
      </c>
      <c r="K4621" t="s">
        <v>1357</v>
      </c>
      <c r="L4621" t="s">
        <v>1357</v>
      </c>
    </row>
    <row r="4622" spans="6:12">
      <c r="H4622" t="s">
        <v>20298</v>
      </c>
      <c r="I4622" t="s">
        <v>1357</v>
      </c>
      <c r="J4622" t="s">
        <v>1357</v>
      </c>
      <c r="K4622" t="s">
        <v>1357</v>
      </c>
      <c r="L4622" t="s">
        <v>1357</v>
      </c>
    </row>
    <row r="4623" spans="6:12">
      <c r="H4623" t="s">
        <v>20284</v>
      </c>
      <c r="I4623" t="s">
        <v>1357</v>
      </c>
      <c r="J4623" t="s">
        <v>1357</v>
      </c>
      <c r="K4623" t="s">
        <v>1357</v>
      </c>
      <c r="L4623" t="s">
        <v>1357</v>
      </c>
    </row>
    <row r="4624" spans="6:12">
      <c r="H4624" t="s">
        <v>20285</v>
      </c>
      <c r="I4624" t="s">
        <v>1357</v>
      </c>
      <c r="J4624" t="s">
        <v>1357</v>
      </c>
      <c r="K4624" t="s">
        <v>1357</v>
      </c>
      <c r="L4624" t="s">
        <v>1357</v>
      </c>
    </row>
    <row r="4625" spans="6:12">
      <c r="H4625" t="s">
        <v>20286</v>
      </c>
      <c r="I4625" t="s">
        <v>1357</v>
      </c>
      <c r="J4625" t="s">
        <v>1357</v>
      </c>
      <c r="K4625" t="s">
        <v>1357</v>
      </c>
      <c r="L4625" t="s">
        <v>1357</v>
      </c>
    </row>
    <row r="4626" spans="6:12">
      <c r="H4626" t="s">
        <v>20287</v>
      </c>
      <c r="I4626" t="s">
        <v>1357</v>
      </c>
      <c r="J4626" t="s">
        <v>1357</v>
      </c>
      <c r="K4626" t="s">
        <v>1357</v>
      </c>
      <c r="L4626" t="s">
        <v>1357</v>
      </c>
    </row>
    <row r="4627" spans="6:12">
      <c r="F4627" t="s">
        <v>15082</v>
      </c>
      <c r="G4627" t="s">
        <v>17510</v>
      </c>
      <c r="H4627" t="s">
        <v>20280</v>
      </c>
      <c r="I4627" t="s">
        <v>1357</v>
      </c>
      <c r="J4627" t="s">
        <v>1357</v>
      </c>
      <c r="K4627" t="s">
        <v>1357</v>
      </c>
      <c r="L4627" t="s">
        <v>1357</v>
      </c>
    </row>
    <row r="4628" spans="6:12">
      <c r="H4628" t="s">
        <v>20233</v>
      </c>
      <c r="I4628" t="s">
        <v>1357</v>
      </c>
      <c r="J4628" t="s">
        <v>1357</v>
      </c>
      <c r="K4628" t="s">
        <v>1357</v>
      </c>
      <c r="L4628" t="s">
        <v>1357</v>
      </c>
    </row>
    <row r="4629" spans="6:12">
      <c r="H4629" t="s">
        <v>20230</v>
      </c>
      <c r="I4629" t="s">
        <v>1357</v>
      </c>
      <c r="J4629" t="s">
        <v>1357</v>
      </c>
      <c r="K4629" t="s">
        <v>1357</v>
      </c>
      <c r="L4629" t="s">
        <v>1357</v>
      </c>
    </row>
    <row r="4630" spans="6:12">
      <c r="H4630" t="s">
        <v>20227</v>
      </c>
      <c r="I4630" t="s">
        <v>1357</v>
      </c>
      <c r="J4630" t="s">
        <v>1357</v>
      </c>
      <c r="K4630" t="s">
        <v>1357</v>
      </c>
      <c r="L4630" t="s">
        <v>1357</v>
      </c>
    </row>
    <row r="4631" spans="6:12">
      <c r="H4631" t="s">
        <v>20228</v>
      </c>
      <c r="I4631" t="s">
        <v>1357</v>
      </c>
      <c r="J4631" t="s">
        <v>1357</v>
      </c>
      <c r="K4631" t="s">
        <v>1357</v>
      </c>
      <c r="L4631" t="s">
        <v>1357</v>
      </c>
    </row>
    <row r="4632" spans="6:12">
      <c r="H4632" t="s">
        <v>20296</v>
      </c>
      <c r="I4632" t="s">
        <v>1357</v>
      </c>
      <c r="J4632" t="s">
        <v>1357</v>
      </c>
      <c r="K4632" t="s">
        <v>1357</v>
      </c>
      <c r="L4632" t="s">
        <v>1357</v>
      </c>
    </row>
    <row r="4633" spans="6:12">
      <c r="H4633" t="s">
        <v>20297</v>
      </c>
      <c r="I4633" t="s">
        <v>1357</v>
      </c>
      <c r="J4633" t="s">
        <v>1357</v>
      </c>
      <c r="K4633" t="s">
        <v>1357</v>
      </c>
      <c r="L4633" t="s">
        <v>1357</v>
      </c>
    </row>
    <row r="4634" spans="6:12">
      <c r="H4634" t="s">
        <v>20234</v>
      </c>
      <c r="I4634" t="s">
        <v>1357</v>
      </c>
      <c r="J4634" t="s">
        <v>1357</v>
      </c>
      <c r="K4634" t="s">
        <v>1357</v>
      </c>
      <c r="L4634" t="s">
        <v>1357</v>
      </c>
    </row>
    <row r="4635" spans="6:12">
      <c r="H4635" t="s">
        <v>20235</v>
      </c>
      <c r="I4635" t="s">
        <v>1357</v>
      </c>
      <c r="J4635" t="s">
        <v>1357</v>
      </c>
      <c r="K4635" t="s">
        <v>1357</v>
      </c>
      <c r="L4635" t="s">
        <v>1357</v>
      </c>
    </row>
    <row r="4636" spans="6:12">
      <c r="H4636" t="s">
        <v>20298</v>
      </c>
      <c r="I4636" t="s">
        <v>1357</v>
      </c>
      <c r="J4636" t="s">
        <v>1357</v>
      </c>
      <c r="K4636" t="s">
        <v>1357</v>
      </c>
      <c r="L4636" t="s">
        <v>1357</v>
      </c>
    </row>
    <row r="4637" spans="6:12">
      <c r="H4637" t="s">
        <v>20284</v>
      </c>
      <c r="I4637" t="s">
        <v>1357</v>
      </c>
      <c r="J4637" t="s">
        <v>1357</v>
      </c>
      <c r="K4637" t="s">
        <v>1357</v>
      </c>
      <c r="L4637" t="s">
        <v>1357</v>
      </c>
    </row>
    <row r="4638" spans="6:12">
      <c r="H4638" t="s">
        <v>20285</v>
      </c>
      <c r="I4638" t="s">
        <v>1357</v>
      </c>
      <c r="J4638" t="s">
        <v>1357</v>
      </c>
      <c r="K4638" t="s">
        <v>1357</v>
      </c>
      <c r="L4638" t="s">
        <v>1357</v>
      </c>
    </row>
    <row r="4639" spans="6:12">
      <c r="H4639" t="s">
        <v>20286</v>
      </c>
      <c r="I4639" t="s">
        <v>1357</v>
      </c>
      <c r="J4639" t="s">
        <v>1357</v>
      </c>
      <c r="K4639" t="s">
        <v>1357</v>
      </c>
      <c r="L4639" t="s">
        <v>1357</v>
      </c>
    </row>
    <row r="4640" spans="6:12">
      <c r="H4640" t="s">
        <v>20287</v>
      </c>
      <c r="I4640" t="s">
        <v>1357</v>
      </c>
      <c r="J4640" t="s">
        <v>1357</v>
      </c>
      <c r="K4640" t="s">
        <v>1357</v>
      </c>
      <c r="L4640" t="s">
        <v>1357</v>
      </c>
    </row>
    <row r="4641" spans="6:12">
      <c r="F4641" t="s">
        <v>15083</v>
      </c>
      <c r="G4641" t="s">
        <v>17511</v>
      </c>
      <c r="H4641" t="s">
        <v>20280</v>
      </c>
      <c r="I4641" t="s">
        <v>1357</v>
      </c>
      <c r="J4641" t="s">
        <v>1357</v>
      </c>
      <c r="K4641" t="s">
        <v>1357</v>
      </c>
      <c r="L4641" t="s">
        <v>1357</v>
      </c>
    </row>
    <row r="4642" spans="6:12">
      <c r="H4642" t="s">
        <v>20233</v>
      </c>
      <c r="I4642" t="s">
        <v>1357</v>
      </c>
      <c r="J4642" t="s">
        <v>1357</v>
      </c>
      <c r="K4642" t="s">
        <v>1357</v>
      </c>
      <c r="L4642" t="s">
        <v>1357</v>
      </c>
    </row>
    <row r="4643" spans="6:12">
      <c r="H4643" t="s">
        <v>20230</v>
      </c>
      <c r="I4643" t="s">
        <v>1357</v>
      </c>
      <c r="J4643" t="s">
        <v>1357</v>
      </c>
      <c r="K4643" t="s">
        <v>1357</v>
      </c>
      <c r="L4643" t="s">
        <v>1357</v>
      </c>
    </row>
    <row r="4644" spans="6:12">
      <c r="H4644" t="s">
        <v>20227</v>
      </c>
      <c r="I4644" t="s">
        <v>1357</v>
      </c>
      <c r="J4644" t="s">
        <v>1357</v>
      </c>
      <c r="K4644" t="s">
        <v>1357</v>
      </c>
      <c r="L4644" t="s">
        <v>1357</v>
      </c>
    </row>
    <row r="4645" spans="6:12">
      <c r="H4645" t="s">
        <v>20228</v>
      </c>
      <c r="I4645" t="s">
        <v>1357</v>
      </c>
      <c r="J4645" t="s">
        <v>1357</v>
      </c>
      <c r="K4645" t="s">
        <v>1357</v>
      </c>
      <c r="L4645" t="s">
        <v>1357</v>
      </c>
    </row>
    <row r="4646" spans="6:12">
      <c r="H4646" t="s">
        <v>20232</v>
      </c>
      <c r="I4646" t="s">
        <v>1357</v>
      </c>
      <c r="J4646" t="s">
        <v>1357</v>
      </c>
      <c r="K4646" t="s">
        <v>1357</v>
      </c>
      <c r="L4646" t="s">
        <v>1357</v>
      </c>
    </row>
    <row r="4647" spans="6:12">
      <c r="H4647" t="s">
        <v>20296</v>
      </c>
      <c r="I4647" t="s">
        <v>1357</v>
      </c>
      <c r="J4647" t="s">
        <v>1357</v>
      </c>
      <c r="K4647" t="s">
        <v>1357</v>
      </c>
      <c r="L4647" t="s">
        <v>1357</v>
      </c>
    </row>
    <row r="4648" spans="6:12">
      <c r="H4648" t="s">
        <v>20297</v>
      </c>
      <c r="I4648" t="s">
        <v>1357</v>
      </c>
      <c r="J4648" t="s">
        <v>1357</v>
      </c>
      <c r="K4648" t="s">
        <v>1357</v>
      </c>
      <c r="L4648" t="s">
        <v>1357</v>
      </c>
    </row>
    <row r="4649" spans="6:12">
      <c r="H4649" t="s">
        <v>20284</v>
      </c>
      <c r="I4649" t="s">
        <v>1357</v>
      </c>
      <c r="J4649" t="s">
        <v>1357</v>
      </c>
      <c r="K4649" t="s">
        <v>1357</v>
      </c>
      <c r="L4649" t="s">
        <v>1357</v>
      </c>
    </row>
    <row r="4650" spans="6:12">
      <c r="H4650" t="s">
        <v>20285</v>
      </c>
      <c r="I4650" t="s">
        <v>1357</v>
      </c>
      <c r="J4650" t="s">
        <v>1357</v>
      </c>
      <c r="K4650" t="s">
        <v>1357</v>
      </c>
      <c r="L4650" t="s">
        <v>1357</v>
      </c>
    </row>
    <row r="4651" spans="6:12">
      <c r="H4651" t="s">
        <v>20286</v>
      </c>
      <c r="I4651" t="s">
        <v>1357</v>
      </c>
      <c r="J4651" t="s">
        <v>1357</v>
      </c>
      <c r="K4651" t="s">
        <v>1357</v>
      </c>
      <c r="L4651" t="s">
        <v>1357</v>
      </c>
    </row>
    <row r="4652" spans="6:12">
      <c r="H4652" t="s">
        <v>20287</v>
      </c>
      <c r="I4652" t="s">
        <v>1357</v>
      </c>
      <c r="J4652" t="s">
        <v>1357</v>
      </c>
      <c r="K4652" t="s">
        <v>1357</v>
      </c>
      <c r="L4652" t="s">
        <v>1357</v>
      </c>
    </row>
    <row r="4653" spans="6:12">
      <c r="F4653" t="s">
        <v>15084</v>
      </c>
      <c r="G4653" t="s">
        <v>17512</v>
      </c>
      <c r="H4653" t="s">
        <v>20280</v>
      </c>
      <c r="I4653" t="s">
        <v>1357</v>
      </c>
      <c r="J4653" t="s">
        <v>1357</v>
      </c>
      <c r="K4653" t="s">
        <v>1357</v>
      </c>
      <c r="L4653" t="s">
        <v>1357</v>
      </c>
    </row>
    <row r="4654" spans="6:12">
      <c r="H4654" t="s">
        <v>20233</v>
      </c>
      <c r="I4654" t="s">
        <v>1357</v>
      </c>
      <c r="J4654" t="s">
        <v>1357</v>
      </c>
      <c r="K4654" t="s">
        <v>1357</v>
      </c>
      <c r="L4654" t="s">
        <v>1357</v>
      </c>
    </row>
    <row r="4655" spans="6:12">
      <c r="H4655" t="s">
        <v>20230</v>
      </c>
      <c r="I4655" t="s">
        <v>1357</v>
      </c>
      <c r="J4655" t="s">
        <v>1357</v>
      </c>
      <c r="K4655" t="s">
        <v>1357</v>
      </c>
      <c r="L4655" t="s">
        <v>1357</v>
      </c>
    </row>
    <row r="4656" spans="6:12">
      <c r="H4656" t="s">
        <v>20227</v>
      </c>
      <c r="I4656" t="s">
        <v>1357</v>
      </c>
      <c r="J4656" t="s">
        <v>1357</v>
      </c>
      <c r="K4656" t="s">
        <v>1357</v>
      </c>
      <c r="L4656" t="s">
        <v>1357</v>
      </c>
    </row>
    <row r="4657" spans="6:12">
      <c r="H4657" t="s">
        <v>20228</v>
      </c>
      <c r="I4657" t="s">
        <v>1357</v>
      </c>
      <c r="J4657" t="s">
        <v>1357</v>
      </c>
      <c r="K4657" t="s">
        <v>1357</v>
      </c>
      <c r="L4657" t="s">
        <v>1357</v>
      </c>
    </row>
    <row r="4658" spans="6:12">
      <c r="H4658" t="s">
        <v>20296</v>
      </c>
      <c r="I4658" t="s">
        <v>1357</v>
      </c>
      <c r="J4658" t="s">
        <v>1357</v>
      </c>
      <c r="K4658" t="s">
        <v>1357</v>
      </c>
      <c r="L4658" t="s">
        <v>1357</v>
      </c>
    </row>
    <row r="4659" spans="6:12">
      <c r="H4659" t="s">
        <v>20297</v>
      </c>
      <c r="I4659" t="s">
        <v>1357</v>
      </c>
      <c r="J4659" t="s">
        <v>1357</v>
      </c>
      <c r="K4659" t="s">
        <v>1357</v>
      </c>
      <c r="L4659" t="s">
        <v>1357</v>
      </c>
    </row>
    <row r="4660" spans="6:12">
      <c r="H4660" t="s">
        <v>20234</v>
      </c>
      <c r="I4660" t="s">
        <v>1357</v>
      </c>
      <c r="J4660" t="s">
        <v>1357</v>
      </c>
      <c r="K4660" t="s">
        <v>1357</v>
      </c>
      <c r="L4660" t="s">
        <v>1357</v>
      </c>
    </row>
    <row r="4661" spans="6:12">
      <c r="H4661" t="s">
        <v>20284</v>
      </c>
      <c r="I4661" t="s">
        <v>1357</v>
      </c>
      <c r="J4661" t="s">
        <v>1357</v>
      </c>
      <c r="K4661" t="s">
        <v>1357</v>
      </c>
      <c r="L4661" t="s">
        <v>1357</v>
      </c>
    </row>
    <row r="4662" spans="6:12">
      <c r="H4662" t="s">
        <v>20285</v>
      </c>
      <c r="I4662" t="s">
        <v>1357</v>
      </c>
      <c r="J4662" t="s">
        <v>1357</v>
      </c>
      <c r="K4662" t="s">
        <v>1357</v>
      </c>
      <c r="L4662" t="s">
        <v>1357</v>
      </c>
    </row>
    <row r="4663" spans="6:12">
      <c r="H4663" t="s">
        <v>20286</v>
      </c>
      <c r="I4663" t="s">
        <v>1357</v>
      </c>
      <c r="J4663" t="s">
        <v>1357</v>
      </c>
      <c r="K4663" t="s">
        <v>1357</v>
      </c>
      <c r="L4663" t="s">
        <v>1357</v>
      </c>
    </row>
    <row r="4664" spans="6:12">
      <c r="H4664" t="s">
        <v>20287</v>
      </c>
      <c r="I4664" t="s">
        <v>1357</v>
      </c>
      <c r="J4664" t="s">
        <v>1357</v>
      </c>
      <c r="K4664" t="s">
        <v>1357</v>
      </c>
      <c r="L4664" t="s">
        <v>1357</v>
      </c>
    </row>
    <row r="4665" spans="6:12">
      <c r="F4665" t="s">
        <v>15085</v>
      </c>
      <c r="G4665" t="s">
        <v>17842</v>
      </c>
      <c r="H4665" t="s">
        <v>20280</v>
      </c>
      <c r="I4665" t="s">
        <v>1357</v>
      </c>
      <c r="J4665" t="s">
        <v>1357</v>
      </c>
      <c r="K4665" t="s">
        <v>1357</v>
      </c>
      <c r="L4665" t="s">
        <v>1357</v>
      </c>
    </row>
    <row r="4666" spans="6:12">
      <c r="H4666" t="s">
        <v>20233</v>
      </c>
      <c r="I4666" t="s">
        <v>1357</v>
      </c>
      <c r="J4666" t="s">
        <v>1357</v>
      </c>
      <c r="K4666" t="s">
        <v>1357</v>
      </c>
      <c r="L4666" t="s">
        <v>1357</v>
      </c>
    </row>
    <row r="4667" spans="6:12">
      <c r="H4667" t="s">
        <v>20230</v>
      </c>
      <c r="I4667" t="s">
        <v>1357</v>
      </c>
      <c r="J4667" t="s">
        <v>1357</v>
      </c>
      <c r="K4667" t="s">
        <v>1357</v>
      </c>
      <c r="L4667" t="s">
        <v>1357</v>
      </c>
    </row>
    <row r="4668" spans="6:12">
      <c r="H4668" t="s">
        <v>20296</v>
      </c>
      <c r="I4668" t="s">
        <v>1357</v>
      </c>
      <c r="J4668" t="s">
        <v>1357</v>
      </c>
      <c r="K4668" t="s">
        <v>1357</v>
      </c>
      <c r="L4668" t="s">
        <v>1357</v>
      </c>
    </row>
    <row r="4669" spans="6:12">
      <c r="H4669" t="s">
        <v>20281</v>
      </c>
      <c r="I4669" t="s">
        <v>1357</v>
      </c>
      <c r="J4669" t="s">
        <v>1357</v>
      </c>
      <c r="K4669" t="s">
        <v>1357</v>
      </c>
      <c r="L4669" t="s">
        <v>1357</v>
      </c>
    </row>
    <row r="4670" spans="6:12">
      <c r="H4670" t="s">
        <v>20284</v>
      </c>
      <c r="I4670" t="s">
        <v>1357</v>
      </c>
      <c r="J4670" t="s">
        <v>1357</v>
      </c>
      <c r="K4670" t="s">
        <v>1357</v>
      </c>
      <c r="L4670" t="s">
        <v>1357</v>
      </c>
    </row>
    <row r="4671" spans="6:12">
      <c r="H4671" t="s">
        <v>20285</v>
      </c>
      <c r="I4671" t="s">
        <v>1357</v>
      </c>
      <c r="J4671" t="s">
        <v>1357</v>
      </c>
      <c r="K4671" t="s">
        <v>1357</v>
      </c>
      <c r="L4671" t="s">
        <v>1357</v>
      </c>
    </row>
    <row r="4672" spans="6:12">
      <c r="H4672" t="s">
        <v>20286</v>
      </c>
      <c r="I4672" t="s">
        <v>1357</v>
      </c>
      <c r="J4672" t="s">
        <v>1357</v>
      </c>
      <c r="K4672" t="s">
        <v>1357</v>
      </c>
      <c r="L4672" t="s">
        <v>1357</v>
      </c>
    </row>
    <row r="4673" spans="6:12">
      <c r="H4673" t="s">
        <v>20287</v>
      </c>
      <c r="I4673" t="s">
        <v>1357</v>
      </c>
      <c r="J4673" t="s">
        <v>1357</v>
      </c>
      <c r="K4673" t="s">
        <v>1357</v>
      </c>
      <c r="L4673" t="s">
        <v>1357</v>
      </c>
    </row>
    <row r="4674" spans="6:12">
      <c r="H4674" t="s">
        <v>20288</v>
      </c>
      <c r="I4674" t="s">
        <v>1357</v>
      </c>
      <c r="J4674" t="s">
        <v>1357</v>
      </c>
      <c r="K4674" t="s">
        <v>1357</v>
      </c>
      <c r="L4674" t="s">
        <v>1357</v>
      </c>
    </row>
    <row r="4675" spans="6:12">
      <c r="H4675" t="s">
        <v>20289</v>
      </c>
      <c r="I4675" t="s">
        <v>1357</v>
      </c>
      <c r="J4675" t="s">
        <v>1357</v>
      </c>
      <c r="K4675" t="s">
        <v>1357</v>
      </c>
      <c r="L4675" t="s">
        <v>1357</v>
      </c>
    </row>
    <row r="4676" spans="6:12">
      <c r="H4676" t="s">
        <v>20290</v>
      </c>
      <c r="I4676" t="s">
        <v>1357</v>
      </c>
      <c r="J4676" t="s">
        <v>1357</v>
      </c>
      <c r="K4676" t="s">
        <v>1357</v>
      </c>
      <c r="L4676" t="s">
        <v>1357</v>
      </c>
    </row>
    <row r="4677" spans="6:12">
      <c r="H4677" t="s">
        <v>20291</v>
      </c>
      <c r="I4677" t="s">
        <v>1357</v>
      </c>
      <c r="J4677" t="s">
        <v>1357</v>
      </c>
      <c r="K4677" t="s">
        <v>1357</v>
      </c>
      <c r="L4677" t="s">
        <v>1357</v>
      </c>
    </row>
    <row r="4678" spans="6:12">
      <c r="F4678" t="s">
        <v>15086</v>
      </c>
      <c r="G4678" t="s">
        <v>17843</v>
      </c>
      <c r="H4678" t="s">
        <v>20280</v>
      </c>
      <c r="I4678" t="s">
        <v>1357</v>
      </c>
      <c r="J4678" t="s">
        <v>1357</v>
      </c>
      <c r="K4678" t="s">
        <v>1357</v>
      </c>
      <c r="L4678" t="s">
        <v>1357</v>
      </c>
    </row>
    <row r="4679" spans="6:12">
      <c r="H4679" t="s">
        <v>20281</v>
      </c>
      <c r="I4679" t="s">
        <v>1357</v>
      </c>
      <c r="J4679" t="s">
        <v>1357</v>
      </c>
      <c r="K4679" t="s">
        <v>1357</v>
      </c>
      <c r="L4679" t="s">
        <v>1357</v>
      </c>
    </row>
    <row r="4680" spans="6:12">
      <c r="H4680" t="s">
        <v>20292</v>
      </c>
      <c r="I4680" t="s">
        <v>1357</v>
      </c>
      <c r="J4680" t="s">
        <v>1357</v>
      </c>
      <c r="K4680" t="s">
        <v>1357</v>
      </c>
      <c r="L4680" t="s">
        <v>1357</v>
      </c>
    </row>
    <row r="4681" spans="6:12">
      <c r="H4681" t="s">
        <v>20305</v>
      </c>
      <c r="I4681" t="s">
        <v>1357</v>
      </c>
      <c r="J4681" t="s">
        <v>1357</v>
      </c>
      <c r="K4681" t="s">
        <v>1357</v>
      </c>
      <c r="L4681" t="s">
        <v>1357</v>
      </c>
    </row>
    <row r="4682" spans="6:12">
      <c r="H4682" t="s">
        <v>20284</v>
      </c>
      <c r="I4682" t="s">
        <v>1357</v>
      </c>
      <c r="J4682" t="s">
        <v>1357</v>
      </c>
      <c r="K4682" t="s">
        <v>1357</v>
      </c>
      <c r="L4682" t="s">
        <v>1357</v>
      </c>
    </row>
    <row r="4683" spans="6:12">
      <c r="H4683" t="s">
        <v>20285</v>
      </c>
      <c r="I4683" t="s">
        <v>1357</v>
      </c>
      <c r="J4683" t="s">
        <v>1357</v>
      </c>
      <c r="K4683" t="s">
        <v>1357</v>
      </c>
      <c r="L4683" t="s">
        <v>1357</v>
      </c>
    </row>
    <row r="4684" spans="6:12">
      <c r="H4684" t="s">
        <v>20286</v>
      </c>
      <c r="I4684" t="s">
        <v>1357</v>
      </c>
      <c r="J4684" t="s">
        <v>1357</v>
      </c>
      <c r="K4684" t="s">
        <v>1357</v>
      </c>
      <c r="L4684" t="s">
        <v>1357</v>
      </c>
    </row>
    <row r="4685" spans="6:12">
      <c r="H4685" t="s">
        <v>20287</v>
      </c>
      <c r="I4685" t="s">
        <v>1357</v>
      </c>
      <c r="J4685" t="s">
        <v>1357</v>
      </c>
      <c r="K4685" t="s">
        <v>1357</v>
      </c>
      <c r="L4685" t="s">
        <v>1357</v>
      </c>
    </row>
    <row r="4686" spans="6:12">
      <c r="H4686" t="s">
        <v>20288</v>
      </c>
      <c r="I4686" t="s">
        <v>1357</v>
      </c>
      <c r="J4686" t="s">
        <v>1357</v>
      </c>
      <c r="K4686" t="s">
        <v>1357</v>
      </c>
      <c r="L4686" t="s">
        <v>1357</v>
      </c>
    </row>
    <row r="4687" spans="6:12">
      <c r="H4687" t="s">
        <v>20289</v>
      </c>
      <c r="I4687" t="s">
        <v>1357</v>
      </c>
      <c r="J4687" t="s">
        <v>1357</v>
      </c>
      <c r="K4687" t="s">
        <v>1357</v>
      </c>
      <c r="L4687" t="s">
        <v>1357</v>
      </c>
    </row>
    <row r="4688" spans="6:12">
      <c r="H4688" t="s">
        <v>20290</v>
      </c>
      <c r="I4688" t="s">
        <v>1357</v>
      </c>
      <c r="J4688" t="s">
        <v>1357</v>
      </c>
      <c r="K4688" t="s">
        <v>1357</v>
      </c>
      <c r="L4688" t="s">
        <v>1357</v>
      </c>
    </row>
    <row r="4689" spans="6:12">
      <c r="H4689" t="s">
        <v>20291</v>
      </c>
      <c r="I4689" t="s">
        <v>1357</v>
      </c>
      <c r="J4689" t="s">
        <v>1357</v>
      </c>
      <c r="K4689" t="s">
        <v>1357</v>
      </c>
      <c r="L4689" t="s">
        <v>1357</v>
      </c>
    </row>
    <row r="4690" spans="6:12">
      <c r="F4690" t="s">
        <v>15087</v>
      </c>
      <c r="G4690" t="s">
        <v>17758</v>
      </c>
      <c r="H4690" t="s">
        <v>20280</v>
      </c>
      <c r="I4690" t="s">
        <v>1357</v>
      </c>
      <c r="J4690" t="s">
        <v>1357</v>
      </c>
      <c r="K4690" t="s">
        <v>1357</v>
      </c>
      <c r="L4690" t="s">
        <v>1357</v>
      </c>
    </row>
    <row r="4691" spans="6:12">
      <c r="F4691" t="s">
        <v>15088</v>
      </c>
      <c r="G4691" t="s">
        <v>17513</v>
      </c>
      <c r="H4691" t="s">
        <v>20280</v>
      </c>
      <c r="I4691" t="s">
        <v>1357</v>
      </c>
      <c r="J4691" t="s">
        <v>1357</v>
      </c>
      <c r="K4691" t="s">
        <v>1357</v>
      </c>
      <c r="L4691" t="s">
        <v>1357</v>
      </c>
    </row>
    <row r="4692" spans="6:12">
      <c r="H4692" t="s">
        <v>20233</v>
      </c>
      <c r="I4692" t="s">
        <v>1357</v>
      </c>
      <c r="J4692" t="s">
        <v>1357</v>
      </c>
      <c r="K4692" t="s">
        <v>1357</v>
      </c>
      <c r="L4692" t="s">
        <v>1357</v>
      </c>
    </row>
    <row r="4693" spans="6:12">
      <c r="H4693" t="s">
        <v>20230</v>
      </c>
      <c r="I4693" t="s">
        <v>1357</v>
      </c>
      <c r="J4693" t="s">
        <v>1357</v>
      </c>
      <c r="K4693" t="s">
        <v>1357</v>
      </c>
      <c r="L4693" t="s">
        <v>1357</v>
      </c>
    </row>
    <row r="4694" spans="6:12">
      <c r="H4694" t="s">
        <v>20227</v>
      </c>
      <c r="I4694" t="s">
        <v>1357</v>
      </c>
      <c r="J4694" t="s">
        <v>1357</v>
      </c>
      <c r="K4694" t="s">
        <v>1357</v>
      </c>
      <c r="L4694" t="s">
        <v>1357</v>
      </c>
    </row>
    <row r="4695" spans="6:12">
      <c r="H4695" t="s">
        <v>20296</v>
      </c>
      <c r="I4695" t="s">
        <v>1357</v>
      </c>
      <c r="J4695" t="s">
        <v>1357</v>
      </c>
      <c r="K4695" t="s">
        <v>1357</v>
      </c>
      <c r="L4695" t="s">
        <v>1357</v>
      </c>
    </row>
    <row r="4696" spans="6:12">
      <c r="H4696" t="s">
        <v>20297</v>
      </c>
      <c r="I4696" t="s">
        <v>1357</v>
      </c>
      <c r="J4696" t="s">
        <v>1357</v>
      </c>
      <c r="K4696" t="s">
        <v>1357</v>
      </c>
      <c r="L4696" t="s">
        <v>1357</v>
      </c>
    </row>
    <row r="4697" spans="6:12">
      <c r="H4697" t="s">
        <v>20234</v>
      </c>
      <c r="I4697" t="s">
        <v>1357</v>
      </c>
      <c r="J4697" t="s">
        <v>1357</v>
      </c>
      <c r="K4697" t="s">
        <v>1357</v>
      </c>
      <c r="L4697" t="s">
        <v>1357</v>
      </c>
    </row>
    <row r="4698" spans="6:12">
      <c r="H4698" t="s">
        <v>20235</v>
      </c>
      <c r="I4698" t="s">
        <v>1357</v>
      </c>
      <c r="J4698" t="s">
        <v>1357</v>
      </c>
      <c r="K4698" t="s">
        <v>1357</v>
      </c>
      <c r="L4698" t="s">
        <v>1357</v>
      </c>
    </row>
    <row r="4699" spans="6:12">
      <c r="H4699" t="s">
        <v>20298</v>
      </c>
      <c r="I4699" t="s">
        <v>1357</v>
      </c>
      <c r="J4699" t="s">
        <v>1357</v>
      </c>
      <c r="K4699" t="s">
        <v>1357</v>
      </c>
      <c r="L4699" t="s">
        <v>1357</v>
      </c>
    </row>
    <row r="4700" spans="6:12">
      <c r="H4700" t="s">
        <v>20299</v>
      </c>
      <c r="I4700" t="s">
        <v>1357</v>
      </c>
      <c r="J4700" t="s">
        <v>1357</v>
      </c>
      <c r="K4700" t="s">
        <v>1357</v>
      </c>
      <c r="L4700" t="s">
        <v>1357</v>
      </c>
    </row>
    <row r="4701" spans="6:12">
      <c r="H4701" t="s">
        <v>20300</v>
      </c>
      <c r="I4701" t="s">
        <v>1357</v>
      </c>
      <c r="J4701" t="s">
        <v>1357</v>
      </c>
      <c r="K4701" t="s">
        <v>1357</v>
      </c>
      <c r="L4701" t="s">
        <v>1357</v>
      </c>
    </row>
    <row r="4702" spans="6:12">
      <c r="H4702" t="s">
        <v>20284</v>
      </c>
      <c r="I4702" t="s">
        <v>1357</v>
      </c>
      <c r="J4702" t="s">
        <v>1357</v>
      </c>
      <c r="K4702" t="s">
        <v>1357</v>
      </c>
      <c r="L4702" t="s">
        <v>1357</v>
      </c>
    </row>
    <row r="4703" spans="6:12">
      <c r="H4703" t="s">
        <v>20285</v>
      </c>
      <c r="I4703" t="s">
        <v>1357</v>
      </c>
      <c r="J4703" t="s">
        <v>1357</v>
      </c>
      <c r="K4703" t="s">
        <v>1357</v>
      </c>
      <c r="L4703" t="s">
        <v>1357</v>
      </c>
    </row>
    <row r="4704" spans="6:12">
      <c r="H4704" t="s">
        <v>20286</v>
      </c>
      <c r="I4704" t="s">
        <v>1357</v>
      </c>
      <c r="J4704" t="s">
        <v>1357</v>
      </c>
      <c r="K4704" t="s">
        <v>1357</v>
      </c>
      <c r="L4704" t="s">
        <v>1357</v>
      </c>
    </row>
    <row r="4705" spans="6:12">
      <c r="H4705" t="s">
        <v>20287</v>
      </c>
      <c r="I4705" t="s">
        <v>1357</v>
      </c>
      <c r="J4705" t="s">
        <v>1357</v>
      </c>
      <c r="K4705" t="s">
        <v>1357</v>
      </c>
      <c r="L4705" t="s">
        <v>1357</v>
      </c>
    </row>
    <row r="4706" spans="6:12">
      <c r="F4706" t="s">
        <v>15089</v>
      </c>
      <c r="G4706" t="s">
        <v>17514</v>
      </c>
      <c r="H4706" t="s">
        <v>20280</v>
      </c>
      <c r="I4706" t="s">
        <v>1357</v>
      </c>
      <c r="J4706" t="s">
        <v>1357</v>
      </c>
      <c r="K4706" t="s">
        <v>1357</v>
      </c>
      <c r="L4706" t="s">
        <v>1357</v>
      </c>
    </row>
    <row r="4707" spans="6:12">
      <c r="H4707" t="s">
        <v>20233</v>
      </c>
      <c r="I4707" t="s">
        <v>1357</v>
      </c>
      <c r="J4707" t="s">
        <v>1357</v>
      </c>
      <c r="K4707" t="s">
        <v>1357</v>
      </c>
      <c r="L4707" t="s">
        <v>1357</v>
      </c>
    </row>
    <row r="4708" spans="6:12">
      <c r="H4708" t="s">
        <v>20230</v>
      </c>
      <c r="I4708" t="s">
        <v>1357</v>
      </c>
      <c r="J4708" t="s">
        <v>1357</v>
      </c>
      <c r="K4708" t="s">
        <v>1357</v>
      </c>
      <c r="L4708" t="s">
        <v>1357</v>
      </c>
    </row>
    <row r="4709" spans="6:12">
      <c r="H4709" t="s">
        <v>20227</v>
      </c>
      <c r="I4709" t="s">
        <v>1357</v>
      </c>
      <c r="J4709" t="s">
        <v>1357</v>
      </c>
      <c r="K4709" t="s">
        <v>1357</v>
      </c>
      <c r="L4709" t="s">
        <v>1357</v>
      </c>
    </row>
    <row r="4710" spans="6:12">
      <c r="H4710" t="s">
        <v>20296</v>
      </c>
      <c r="I4710" t="s">
        <v>1357</v>
      </c>
      <c r="J4710" t="s">
        <v>1357</v>
      </c>
      <c r="K4710" t="s">
        <v>1357</v>
      </c>
      <c r="L4710" t="s">
        <v>1357</v>
      </c>
    </row>
    <row r="4711" spans="6:12">
      <c r="H4711" t="s">
        <v>20297</v>
      </c>
      <c r="I4711" t="s">
        <v>1357</v>
      </c>
      <c r="J4711" t="s">
        <v>1357</v>
      </c>
      <c r="K4711" t="s">
        <v>1357</v>
      </c>
      <c r="L4711" t="s">
        <v>1357</v>
      </c>
    </row>
    <row r="4712" spans="6:12">
      <c r="H4712" t="s">
        <v>20234</v>
      </c>
      <c r="I4712" t="s">
        <v>1357</v>
      </c>
      <c r="J4712" t="s">
        <v>1357</v>
      </c>
      <c r="K4712" t="s">
        <v>1357</v>
      </c>
      <c r="L4712" t="s">
        <v>1357</v>
      </c>
    </row>
    <row r="4713" spans="6:12">
      <c r="H4713" t="s">
        <v>20235</v>
      </c>
      <c r="I4713" t="s">
        <v>1357</v>
      </c>
      <c r="J4713" t="s">
        <v>1357</v>
      </c>
      <c r="K4713" t="s">
        <v>1357</v>
      </c>
      <c r="L4713" t="s">
        <v>1357</v>
      </c>
    </row>
    <row r="4714" spans="6:12">
      <c r="H4714" t="s">
        <v>20298</v>
      </c>
      <c r="I4714" t="s">
        <v>1357</v>
      </c>
      <c r="J4714" t="s">
        <v>1357</v>
      </c>
      <c r="K4714" t="s">
        <v>1357</v>
      </c>
      <c r="L4714" t="s">
        <v>1357</v>
      </c>
    </row>
    <row r="4715" spans="6:12">
      <c r="H4715" t="s">
        <v>20284</v>
      </c>
      <c r="I4715" t="s">
        <v>1357</v>
      </c>
      <c r="J4715" t="s">
        <v>1357</v>
      </c>
      <c r="K4715" t="s">
        <v>1357</v>
      </c>
      <c r="L4715" t="s">
        <v>1357</v>
      </c>
    </row>
    <row r="4716" spans="6:12">
      <c r="H4716" t="s">
        <v>20285</v>
      </c>
      <c r="I4716" t="s">
        <v>1357</v>
      </c>
      <c r="J4716" t="s">
        <v>1357</v>
      </c>
      <c r="K4716" t="s">
        <v>1357</v>
      </c>
      <c r="L4716" t="s">
        <v>1357</v>
      </c>
    </row>
    <row r="4717" spans="6:12">
      <c r="H4717" t="s">
        <v>20286</v>
      </c>
      <c r="I4717" t="s">
        <v>1357</v>
      </c>
      <c r="J4717" t="s">
        <v>1357</v>
      </c>
      <c r="K4717" t="s">
        <v>1357</v>
      </c>
      <c r="L4717" t="s">
        <v>1357</v>
      </c>
    </row>
    <row r="4718" spans="6:12">
      <c r="H4718" t="s">
        <v>20287</v>
      </c>
      <c r="I4718" t="s">
        <v>1357</v>
      </c>
      <c r="J4718" t="s">
        <v>1357</v>
      </c>
      <c r="K4718" t="s">
        <v>1357</v>
      </c>
      <c r="L4718" t="s">
        <v>1357</v>
      </c>
    </row>
    <row r="4719" spans="6:12">
      <c r="F4719" t="s">
        <v>15090</v>
      </c>
      <c r="G4719" t="s">
        <v>17844</v>
      </c>
      <c r="H4719" t="s">
        <v>20280</v>
      </c>
      <c r="I4719" t="s">
        <v>1357</v>
      </c>
      <c r="J4719" t="s">
        <v>1357</v>
      </c>
      <c r="K4719" t="s">
        <v>1357</v>
      </c>
      <c r="L4719" t="s">
        <v>1357</v>
      </c>
    </row>
    <row r="4720" spans="6:12">
      <c r="H4720" t="s">
        <v>20233</v>
      </c>
      <c r="I4720" t="s">
        <v>1357</v>
      </c>
      <c r="J4720" t="s">
        <v>1357</v>
      </c>
      <c r="K4720" t="s">
        <v>1357</v>
      </c>
      <c r="L4720" t="s">
        <v>1357</v>
      </c>
    </row>
    <row r="4721" spans="6:12">
      <c r="H4721" t="s">
        <v>20284</v>
      </c>
      <c r="I4721" t="s">
        <v>1357</v>
      </c>
      <c r="J4721" t="s">
        <v>1357</v>
      </c>
      <c r="K4721" t="s">
        <v>1357</v>
      </c>
      <c r="L4721" t="s">
        <v>1357</v>
      </c>
    </row>
    <row r="4722" spans="6:12">
      <c r="H4722" t="s">
        <v>20285</v>
      </c>
      <c r="I4722" t="s">
        <v>1357</v>
      </c>
      <c r="J4722" t="s">
        <v>1357</v>
      </c>
      <c r="K4722" t="s">
        <v>1357</v>
      </c>
      <c r="L4722" t="s">
        <v>1357</v>
      </c>
    </row>
    <row r="4723" spans="6:12">
      <c r="F4723" t="s">
        <v>15091</v>
      </c>
      <c r="G4723" t="s">
        <v>17759</v>
      </c>
      <c r="H4723" t="s">
        <v>20280</v>
      </c>
      <c r="I4723" t="s">
        <v>1357</v>
      </c>
      <c r="J4723" t="s">
        <v>1357</v>
      </c>
      <c r="K4723" t="s">
        <v>1357</v>
      </c>
      <c r="L4723" t="s">
        <v>1357</v>
      </c>
    </row>
    <row r="4724" spans="6:12">
      <c r="H4724" t="s">
        <v>20284</v>
      </c>
      <c r="I4724" t="s">
        <v>1357</v>
      </c>
      <c r="J4724" t="s">
        <v>1357</v>
      </c>
      <c r="K4724" t="s">
        <v>1357</v>
      </c>
      <c r="L4724" t="s">
        <v>1357</v>
      </c>
    </row>
    <row r="4725" spans="6:12">
      <c r="H4725" t="s">
        <v>20285</v>
      </c>
      <c r="I4725" t="s">
        <v>1357</v>
      </c>
      <c r="J4725" t="s">
        <v>1357</v>
      </c>
      <c r="K4725" t="s">
        <v>1357</v>
      </c>
      <c r="L4725" t="s">
        <v>1357</v>
      </c>
    </row>
    <row r="4726" spans="6:12">
      <c r="H4726" t="s">
        <v>20286</v>
      </c>
      <c r="I4726" t="s">
        <v>1357</v>
      </c>
      <c r="J4726" t="s">
        <v>1357</v>
      </c>
      <c r="K4726" t="s">
        <v>1357</v>
      </c>
      <c r="L4726" t="s">
        <v>1357</v>
      </c>
    </row>
    <row r="4727" spans="6:12">
      <c r="F4727" t="s">
        <v>15092</v>
      </c>
      <c r="G4727" t="s">
        <v>17762</v>
      </c>
      <c r="H4727" t="s">
        <v>20280</v>
      </c>
      <c r="I4727" t="s">
        <v>1357</v>
      </c>
      <c r="J4727" t="s">
        <v>1357</v>
      </c>
      <c r="K4727" t="s">
        <v>1357</v>
      </c>
      <c r="L4727" t="s">
        <v>1357</v>
      </c>
    </row>
    <row r="4728" spans="6:12">
      <c r="H4728" t="s">
        <v>20281</v>
      </c>
      <c r="I4728" t="s">
        <v>1357</v>
      </c>
      <c r="J4728" t="s">
        <v>1357</v>
      </c>
      <c r="K4728" t="s">
        <v>1357</v>
      </c>
      <c r="L4728" t="s">
        <v>1357</v>
      </c>
    </row>
    <row r="4729" spans="6:12">
      <c r="H4729" t="s">
        <v>20284</v>
      </c>
      <c r="I4729" t="s">
        <v>1357</v>
      </c>
      <c r="J4729" t="s">
        <v>1357</v>
      </c>
      <c r="K4729" t="s">
        <v>1357</v>
      </c>
      <c r="L4729" t="s">
        <v>1357</v>
      </c>
    </row>
    <row r="4730" spans="6:12">
      <c r="H4730" t="s">
        <v>20285</v>
      </c>
      <c r="I4730" t="s">
        <v>1357</v>
      </c>
      <c r="J4730" t="s">
        <v>1357</v>
      </c>
      <c r="K4730" t="s">
        <v>1357</v>
      </c>
      <c r="L4730" t="s">
        <v>1357</v>
      </c>
    </row>
    <row r="4731" spans="6:12">
      <c r="H4731" t="s">
        <v>20286</v>
      </c>
      <c r="I4731" t="s">
        <v>1357</v>
      </c>
      <c r="J4731" t="s">
        <v>1357</v>
      </c>
      <c r="K4731" t="s">
        <v>1357</v>
      </c>
      <c r="L4731" t="s">
        <v>1357</v>
      </c>
    </row>
    <row r="4732" spans="6:12">
      <c r="H4732" t="s">
        <v>20287</v>
      </c>
      <c r="I4732" t="s">
        <v>1357</v>
      </c>
      <c r="J4732" t="s">
        <v>1357</v>
      </c>
      <c r="K4732" t="s">
        <v>1357</v>
      </c>
      <c r="L4732" t="s">
        <v>1357</v>
      </c>
    </row>
    <row r="4733" spans="6:12">
      <c r="F4733" t="s">
        <v>15093</v>
      </c>
      <c r="G4733" t="s">
        <v>17845</v>
      </c>
      <c r="H4733" t="s">
        <v>20280</v>
      </c>
      <c r="I4733" t="s">
        <v>1357</v>
      </c>
      <c r="J4733" t="s">
        <v>1357</v>
      </c>
      <c r="K4733" t="s">
        <v>1357</v>
      </c>
      <c r="L4733" t="s">
        <v>1357</v>
      </c>
    </row>
    <row r="4734" spans="6:12">
      <c r="H4734" t="s">
        <v>20233</v>
      </c>
      <c r="I4734" t="s">
        <v>1357</v>
      </c>
      <c r="J4734" t="s">
        <v>1357</v>
      </c>
      <c r="K4734" t="s">
        <v>1357</v>
      </c>
      <c r="L4734" t="s">
        <v>1357</v>
      </c>
    </row>
    <row r="4735" spans="6:12">
      <c r="H4735" t="s">
        <v>20230</v>
      </c>
      <c r="I4735" t="s">
        <v>1357</v>
      </c>
      <c r="J4735" t="s">
        <v>1357</v>
      </c>
      <c r="K4735" t="s">
        <v>1357</v>
      </c>
      <c r="L4735" t="s">
        <v>1357</v>
      </c>
    </row>
    <row r="4736" spans="6:12">
      <c r="H4736" t="s">
        <v>20227</v>
      </c>
      <c r="I4736" t="s">
        <v>1357</v>
      </c>
      <c r="J4736" t="s">
        <v>1357</v>
      </c>
      <c r="K4736" t="s">
        <v>1357</v>
      </c>
      <c r="L4736" t="s">
        <v>1357</v>
      </c>
    </row>
    <row r="4737" spans="6:12">
      <c r="H4737" t="s">
        <v>20281</v>
      </c>
      <c r="I4737" t="s">
        <v>1357</v>
      </c>
      <c r="J4737" t="s">
        <v>1357</v>
      </c>
      <c r="K4737" t="s">
        <v>1357</v>
      </c>
      <c r="L4737" t="s">
        <v>1357</v>
      </c>
    </row>
    <row r="4738" spans="6:12">
      <c r="H4738" t="s">
        <v>20282</v>
      </c>
      <c r="I4738" t="s">
        <v>1357</v>
      </c>
      <c r="J4738" t="s">
        <v>1357</v>
      </c>
      <c r="K4738" t="s">
        <v>1357</v>
      </c>
      <c r="L4738" t="s">
        <v>1357</v>
      </c>
    </row>
    <row r="4739" spans="6:12">
      <c r="H4739" t="s">
        <v>20285</v>
      </c>
      <c r="I4739" t="s">
        <v>1357</v>
      </c>
      <c r="J4739" t="s">
        <v>1357</v>
      </c>
      <c r="K4739" t="s">
        <v>1357</v>
      </c>
      <c r="L4739" t="s">
        <v>1357</v>
      </c>
    </row>
    <row r="4740" spans="6:12">
      <c r="H4740" t="s">
        <v>20286</v>
      </c>
      <c r="I4740" t="s">
        <v>1357</v>
      </c>
      <c r="J4740" t="s">
        <v>1357</v>
      </c>
      <c r="K4740" t="s">
        <v>1357</v>
      </c>
      <c r="L4740" t="s">
        <v>1357</v>
      </c>
    </row>
    <row r="4741" spans="6:12">
      <c r="H4741" t="s">
        <v>20287</v>
      </c>
      <c r="I4741" t="s">
        <v>1357</v>
      </c>
      <c r="J4741" t="s">
        <v>1357</v>
      </c>
      <c r="K4741" t="s">
        <v>1357</v>
      </c>
      <c r="L4741" t="s">
        <v>1357</v>
      </c>
    </row>
    <row r="4742" spans="6:12">
      <c r="H4742" t="s">
        <v>20288</v>
      </c>
      <c r="I4742" t="s">
        <v>1357</v>
      </c>
      <c r="J4742" t="s">
        <v>1357</v>
      </c>
      <c r="K4742" t="s">
        <v>1357</v>
      </c>
      <c r="L4742" t="s">
        <v>1357</v>
      </c>
    </row>
    <row r="4743" spans="6:12">
      <c r="F4743" t="s">
        <v>15094</v>
      </c>
      <c r="G4743" t="s">
        <v>17515</v>
      </c>
      <c r="H4743" t="s">
        <v>20280</v>
      </c>
      <c r="I4743" t="s">
        <v>1357</v>
      </c>
      <c r="J4743" t="s">
        <v>1357</v>
      </c>
      <c r="K4743" t="s">
        <v>1357</v>
      </c>
      <c r="L4743" t="s">
        <v>1357</v>
      </c>
    </row>
    <row r="4744" spans="6:12">
      <c r="H4744" t="s">
        <v>20233</v>
      </c>
      <c r="I4744" t="s">
        <v>1357</v>
      </c>
      <c r="J4744" t="s">
        <v>1357</v>
      </c>
      <c r="K4744" t="s">
        <v>1357</v>
      </c>
      <c r="L4744" t="s">
        <v>1357</v>
      </c>
    </row>
    <row r="4745" spans="6:12">
      <c r="H4745" t="s">
        <v>20230</v>
      </c>
      <c r="I4745" t="s">
        <v>1357</v>
      </c>
      <c r="J4745" t="s">
        <v>1357</v>
      </c>
      <c r="K4745" t="s">
        <v>1357</v>
      </c>
      <c r="L4745" t="s">
        <v>1357</v>
      </c>
    </row>
    <row r="4746" spans="6:12">
      <c r="H4746" t="s">
        <v>20227</v>
      </c>
      <c r="I4746" t="s">
        <v>1357</v>
      </c>
      <c r="J4746" t="s">
        <v>1357</v>
      </c>
      <c r="K4746" t="s">
        <v>1357</v>
      </c>
      <c r="L4746" t="s">
        <v>1357</v>
      </c>
    </row>
    <row r="4747" spans="6:12">
      <c r="H4747" t="s">
        <v>20296</v>
      </c>
      <c r="I4747" t="s">
        <v>1357</v>
      </c>
      <c r="J4747" t="s">
        <v>1357</v>
      </c>
      <c r="K4747" t="s">
        <v>1357</v>
      </c>
      <c r="L4747" t="s">
        <v>1357</v>
      </c>
    </row>
    <row r="4748" spans="6:12">
      <c r="H4748" t="s">
        <v>20297</v>
      </c>
      <c r="I4748" t="s">
        <v>1357</v>
      </c>
      <c r="J4748" t="s">
        <v>1357</v>
      </c>
      <c r="K4748" t="s">
        <v>1357</v>
      </c>
      <c r="L4748" t="s">
        <v>1357</v>
      </c>
    </row>
    <row r="4749" spans="6:12">
      <c r="H4749" t="s">
        <v>20284</v>
      </c>
      <c r="I4749" t="s">
        <v>1357</v>
      </c>
      <c r="J4749" t="s">
        <v>1357</v>
      </c>
      <c r="K4749" t="s">
        <v>1357</v>
      </c>
      <c r="L4749" t="s">
        <v>1357</v>
      </c>
    </row>
    <row r="4750" spans="6:12">
      <c r="H4750" t="s">
        <v>20285</v>
      </c>
      <c r="I4750" t="s">
        <v>1357</v>
      </c>
      <c r="J4750" t="s">
        <v>1357</v>
      </c>
      <c r="K4750" t="s">
        <v>1357</v>
      </c>
      <c r="L4750" t="s">
        <v>1357</v>
      </c>
    </row>
    <row r="4751" spans="6:12">
      <c r="H4751" t="s">
        <v>20286</v>
      </c>
      <c r="I4751" t="s">
        <v>1357</v>
      </c>
      <c r="J4751" t="s">
        <v>1357</v>
      </c>
      <c r="K4751" t="s">
        <v>1357</v>
      </c>
      <c r="L4751" t="s">
        <v>1357</v>
      </c>
    </row>
    <row r="4752" spans="6:12">
      <c r="H4752" t="s">
        <v>20287</v>
      </c>
      <c r="I4752" t="s">
        <v>1357</v>
      </c>
      <c r="J4752" t="s">
        <v>1357</v>
      </c>
      <c r="K4752" t="s">
        <v>1357</v>
      </c>
      <c r="L4752" t="s">
        <v>1357</v>
      </c>
    </row>
    <row r="4753" spans="6:12">
      <c r="F4753" t="s">
        <v>15095</v>
      </c>
      <c r="G4753" t="s">
        <v>17516</v>
      </c>
      <c r="H4753" t="s">
        <v>20280</v>
      </c>
      <c r="I4753" t="s">
        <v>1357</v>
      </c>
      <c r="J4753" t="s">
        <v>1357</v>
      </c>
      <c r="K4753" t="s">
        <v>1357</v>
      </c>
      <c r="L4753" t="s">
        <v>1357</v>
      </c>
    </row>
    <row r="4754" spans="6:12">
      <c r="H4754" t="s">
        <v>20233</v>
      </c>
      <c r="I4754" t="s">
        <v>1357</v>
      </c>
      <c r="J4754" t="s">
        <v>1357</v>
      </c>
      <c r="K4754" t="s">
        <v>1357</v>
      </c>
      <c r="L4754" t="s">
        <v>1357</v>
      </c>
    </row>
    <row r="4755" spans="6:12">
      <c r="H4755" t="s">
        <v>20230</v>
      </c>
      <c r="I4755" t="s">
        <v>1357</v>
      </c>
      <c r="J4755" t="s">
        <v>1357</v>
      </c>
      <c r="K4755" t="s">
        <v>1357</v>
      </c>
      <c r="L4755" t="s">
        <v>1357</v>
      </c>
    </row>
    <row r="4756" spans="6:12">
      <c r="H4756" t="s">
        <v>20227</v>
      </c>
      <c r="I4756" t="s">
        <v>1357</v>
      </c>
      <c r="J4756" t="s">
        <v>1357</v>
      </c>
      <c r="K4756" t="s">
        <v>1357</v>
      </c>
      <c r="L4756" t="s">
        <v>1357</v>
      </c>
    </row>
    <row r="4757" spans="6:12">
      <c r="H4757" t="s">
        <v>20296</v>
      </c>
      <c r="I4757" t="s">
        <v>1357</v>
      </c>
      <c r="J4757" t="s">
        <v>1357</v>
      </c>
      <c r="K4757" t="s">
        <v>1357</v>
      </c>
      <c r="L4757" t="s">
        <v>1357</v>
      </c>
    </row>
    <row r="4758" spans="6:12">
      <c r="H4758" t="s">
        <v>20297</v>
      </c>
      <c r="I4758" t="s">
        <v>1357</v>
      </c>
      <c r="J4758" t="s">
        <v>1357</v>
      </c>
      <c r="K4758" t="s">
        <v>1357</v>
      </c>
      <c r="L4758" t="s">
        <v>1357</v>
      </c>
    </row>
    <row r="4759" spans="6:12">
      <c r="H4759" t="s">
        <v>20284</v>
      </c>
      <c r="I4759" t="s">
        <v>1357</v>
      </c>
      <c r="J4759" t="s">
        <v>1357</v>
      </c>
      <c r="K4759" t="s">
        <v>1357</v>
      </c>
      <c r="L4759" t="s">
        <v>1357</v>
      </c>
    </row>
    <row r="4760" spans="6:12">
      <c r="H4760" t="s">
        <v>20285</v>
      </c>
      <c r="I4760" t="s">
        <v>1357</v>
      </c>
      <c r="J4760" t="s">
        <v>1357</v>
      </c>
      <c r="K4760" t="s">
        <v>1357</v>
      </c>
      <c r="L4760" t="s">
        <v>1357</v>
      </c>
    </row>
    <row r="4761" spans="6:12">
      <c r="H4761" t="s">
        <v>20286</v>
      </c>
      <c r="I4761" t="s">
        <v>1357</v>
      </c>
      <c r="J4761" t="s">
        <v>1357</v>
      </c>
      <c r="K4761" t="s">
        <v>1357</v>
      </c>
      <c r="L4761" t="s">
        <v>1357</v>
      </c>
    </row>
    <row r="4762" spans="6:12">
      <c r="H4762" t="s">
        <v>20287</v>
      </c>
      <c r="I4762" t="s">
        <v>1357</v>
      </c>
      <c r="J4762" t="s">
        <v>1357</v>
      </c>
      <c r="K4762" t="s">
        <v>1357</v>
      </c>
      <c r="L4762" t="s">
        <v>1357</v>
      </c>
    </row>
    <row r="4763" spans="6:12">
      <c r="F4763" t="s">
        <v>15096</v>
      </c>
      <c r="G4763" t="s">
        <v>17517</v>
      </c>
      <c r="H4763" t="s">
        <v>20280</v>
      </c>
      <c r="I4763" t="s">
        <v>1357</v>
      </c>
      <c r="J4763" t="s">
        <v>1357</v>
      </c>
      <c r="K4763" t="s">
        <v>1357</v>
      </c>
      <c r="L4763" t="s">
        <v>1357</v>
      </c>
    </row>
    <row r="4764" spans="6:12">
      <c r="H4764" t="s">
        <v>20233</v>
      </c>
      <c r="I4764" t="s">
        <v>1357</v>
      </c>
      <c r="J4764" t="s">
        <v>1357</v>
      </c>
      <c r="K4764" t="s">
        <v>1357</v>
      </c>
      <c r="L4764" t="s">
        <v>1357</v>
      </c>
    </row>
    <row r="4765" spans="6:12">
      <c r="H4765" t="s">
        <v>20230</v>
      </c>
      <c r="I4765" t="s">
        <v>1357</v>
      </c>
      <c r="J4765" t="s">
        <v>1357</v>
      </c>
      <c r="K4765" t="s">
        <v>1357</v>
      </c>
      <c r="L4765" t="s">
        <v>1357</v>
      </c>
    </row>
    <row r="4766" spans="6:12">
      <c r="H4766" t="s">
        <v>20227</v>
      </c>
      <c r="I4766" t="s">
        <v>1357</v>
      </c>
      <c r="J4766" t="s">
        <v>1357</v>
      </c>
      <c r="K4766" t="s">
        <v>1357</v>
      </c>
      <c r="L4766" t="s">
        <v>1357</v>
      </c>
    </row>
    <row r="4767" spans="6:12">
      <c r="H4767" t="s">
        <v>20296</v>
      </c>
      <c r="I4767" t="s">
        <v>1357</v>
      </c>
      <c r="J4767" t="s">
        <v>1357</v>
      </c>
      <c r="K4767" t="s">
        <v>1357</v>
      </c>
      <c r="L4767" t="s">
        <v>1357</v>
      </c>
    </row>
    <row r="4768" spans="6:12">
      <c r="H4768" t="s">
        <v>20297</v>
      </c>
      <c r="I4768" t="s">
        <v>1357</v>
      </c>
      <c r="J4768" t="s">
        <v>1357</v>
      </c>
      <c r="K4768" t="s">
        <v>1357</v>
      </c>
      <c r="L4768" t="s">
        <v>1357</v>
      </c>
    </row>
    <row r="4769" spans="6:12">
      <c r="H4769" t="s">
        <v>20284</v>
      </c>
      <c r="I4769" t="s">
        <v>1357</v>
      </c>
      <c r="J4769" t="s">
        <v>1357</v>
      </c>
      <c r="K4769" t="s">
        <v>1357</v>
      </c>
      <c r="L4769" t="s">
        <v>1357</v>
      </c>
    </row>
    <row r="4770" spans="6:12">
      <c r="H4770" t="s">
        <v>20285</v>
      </c>
      <c r="I4770" t="s">
        <v>1357</v>
      </c>
      <c r="J4770" t="s">
        <v>1357</v>
      </c>
      <c r="K4770" t="s">
        <v>1357</v>
      </c>
      <c r="L4770" t="s">
        <v>1357</v>
      </c>
    </row>
    <row r="4771" spans="6:12">
      <c r="H4771" t="s">
        <v>20286</v>
      </c>
      <c r="I4771" t="s">
        <v>1357</v>
      </c>
      <c r="J4771" t="s">
        <v>1357</v>
      </c>
      <c r="K4771" t="s">
        <v>1357</v>
      </c>
      <c r="L4771" t="s">
        <v>1357</v>
      </c>
    </row>
    <row r="4772" spans="6:12">
      <c r="H4772" t="s">
        <v>20287</v>
      </c>
      <c r="I4772" t="s">
        <v>1357</v>
      </c>
      <c r="J4772" t="s">
        <v>1357</v>
      </c>
      <c r="K4772" t="s">
        <v>1357</v>
      </c>
      <c r="L4772" t="s">
        <v>1357</v>
      </c>
    </row>
    <row r="4773" spans="6:12">
      <c r="F4773" t="s">
        <v>15097</v>
      </c>
      <c r="G4773" t="s">
        <v>17518</v>
      </c>
      <c r="H4773" t="s">
        <v>20280</v>
      </c>
      <c r="I4773" t="s">
        <v>1357</v>
      </c>
      <c r="J4773" t="s">
        <v>1357</v>
      </c>
      <c r="K4773" t="s">
        <v>1357</v>
      </c>
      <c r="L4773" t="s">
        <v>1357</v>
      </c>
    </row>
    <row r="4774" spans="6:12">
      <c r="H4774" t="s">
        <v>20233</v>
      </c>
      <c r="I4774" t="s">
        <v>1357</v>
      </c>
      <c r="J4774" t="s">
        <v>1357</v>
      </c>
      <c r="K4774" t="s">
        <v>1357</v>
      </c>
      <c r="L4774" t="s">
        <v>1357</v>
      </c>
    </row>
    <row r="4775" spans="6:12">
      <c r="H4775" t="s">
        <v>20230</v>
      </c>
      <c r="I4775" t="s">
        <v>1357</v>
      </c>
      <c r="J4775" t="s">
        <v>1357</v>
      </c>
      <c r="K4775" t="s">
        <v>1357</v>
      </c>
      <c r="L4775" t="s">
        <v>1357</v>
      </c>
    </row>
    <row r="4776" spans="6:12">
      <c r="H4776" t="s">
        <v>20227</v>
      </c>
      <c r="I4776" t="s">
        <v>1357</v>
      </c>
      <c r="J4776" t="s">
        <v>1357</v>
      </c>
      <c r="K4776" t="s">
        <v>1357</v>
      </c>
      <c r="L4776" t="s">
        <v>1357</v>
      </c>
    </row>
    <row r="4777" spans="6:12">
      <c r="H4777" t="s">
        <v>20296</v>
      </c>
      <c r="I4777" t="s">
        <v>1357</v>
      </c>
      <c r="J4777" t="s">
        <v>1357</v>
      </c>
      <c r="K4777" t="s">
        <v>1357</v>
      </c>
      <c r="L4777" t="s">
        <v>1357</v>
      </c>
    </row>
    <row r="4778" spans="6:12">
      <c r="H4778" t="s">
        <v>20297</v>
      </c>
      <c r="I4778" t="s">
        <v>1357</v>
      </c>
      <c r="J4778" t="s">
        <v>1357</v>
      </c>
      <c r="K4778" t="s">
        <v>1357</v>
      </c>
      <c r="L4778" t="s">
        <v>1357</v>
      </c>
    </row>
    <row r="4779" spans="6:12">
      <c r="H4779" t="s">
        <v>20284</v>
      </c>
      <c r="I4779" t="s">
        <v>1357</v>
      </c>
      <c r="J4779" t="s">
        <v>1357</v>
      </c>
      <c r="K4779" t="s">
        <v>1357</v>
      </c>
      <c r="L4779" t="s">
        <v>1357</v>
      </c>
    </row>
    <row r="4780" spans="6:12">
      <c r="H4780" t="s">
        <v>20285</v>
      </c>
      <c r="I4780" t="s">
        <v>1357</v>
      </c>
      <c r="J4780" t="s">
        <v>1357</v>
      </c>
      <c r="K4780" t="s">
        <v>1357</v>
      </c>
      <c r="L4780" t="s">
        <v>1357</v>
      </c>
    </row>
    <row r="4781" spans="6:12">
      <c r="H4781" t="s">
        <v>20286</v>
      </c>
      <c r="I4781" t="s">
        <v>1357</v>
      </c>
      <c r="J4781" t="s">
        <v>1357</v>
      </c>
      <c r="K4781" t="s">
        <v>1357</v>
      </c>
      <c r="L4781" t="s">
        <v>1357</v>
      </c>
    </row>
    <row r="4782" spans="6:12">
      <c r="H4782" t="s">
        <v>20287</v>
      </c>
      <c r="I4782" t="s">
        <v>1357</v>
      </c>
      <c r="J4782" t="s">
        <v>1357</v>
      </c>
      <c r="K4782" t="s">
        <v>1357</v>
      </c>
      <c r="L4782" t="s">
        <v>1357</v>
      </c>
    </row>
    <row r="4783" spans="6:12">
      <c r="F4783" t="s">
        <v>15098</v>
      </c>
      <c r="G4783" t="s">
        <v>17519</v>
      </c>
      <c r="H4783" t="s">
        <v>20280</v>
      </c>
      <c r="I4783" t="s">
        <v>1357</v>
      </c>
      <c r="J4783" t="s">
        <v>1357</v>
      </c>
      <c r="K4783" t="s">
        <v>1357</v>
      </c>
      <c r="L4783" t="s">
        <v>1357</v>
      </c>
    </row>
    <row r="4784" spans="6:12">
      <c r="H4784" t="s">
        <v>20233</v>
      </c>
      <c r="I4784" t="s">
        <v>1357</v>
      </c>
      <c r="J4784" t="s">
        <v>1357</v>
      </c>
      <c r="K4784" t="s">
        <v>1357</v>
      </c>
      <c r="L4784" t="s">
        <v>1357</v>
      </c>
    </row>
    <row r="4785" spans="6:12">
      <c r="H4785" t="s">
        <v>20230</v>
      </c>
      <c r="I4785" t="s">
        <v>1357</v>
      </c>
      <c r="J4785" t="s">
        <v>1357</v>
      </c>
      <c r="K4785" t="s">
        <v>1357</v>
      </c>
      <c r="L4785" t="s">
        <v>1357</v>
      </c>
    </row>
    <row r="4786" spans="6:12">
      <c r="H4786" t="s">
        <v>20227</v>
      </c>
      <c r="I4786" t="s">
        <v>1357</v>
      </c>
      <c r="J4786" t="s">
        <v>1357</v>
      </c>
      <c r="K4786" t="s">
        <v>1357</v>
      </c>
      <c r="L4786" t="s">
        <v>1357</v>
      </c>
    </row>
    <row r="4787" spans="6:12">
      <c r="H4787" t="s">
        <v>20296</v>
      </c>
      <c r="I4787" t="s">
        <v>1357</v>
      </c>
      <c r="J4787" t="s">
        <v>1357</v>
      </c>
      <c r="K4787" t="s">
        <v>1357</v>
      </c>
      <c r="L4787" t="s">
        <v>1357</v>
      </c>
    </row>
    <row r="4788" spans="6:12">
      <c r="H4788" t="s">
        <v>20297</v>
      </c>
      <c r="I4788" t="s">
        <v>1357</v>
      </c>
      <c r="J4788" t="s">
        <v>1357</v>
      </c>
      <c r="K4788" t="s">
        <v>1357</v>
      </c>
      <c r="L4788" t="s">
        <v>1357</v>
      </c>
    </row>
    <row r="4789" spans="6:12">
      <c r="H4789" t="s">
        <v>20284</v>
      </c>
      <c r="I4789" t="s">
        <v>1357</v>
      </c>
      <c r="J4789" t="s">
        <v>1357</v>
      </c>
      <c r="K4789" t="s">
        <v>1357</v>
      </c>
      <c r="L4789" t="s">
        <v>1357</v>
      </c>
    </row>
    <row r="4790" spans="6:12">
      <c r="H4790" t="s">
        <v>20285</v>
      </c>
      <c r="I4790" t="s">
        <v>1357</v>
      </c>
      <c r="J4790" t="s">
        <v>1357</v>
      </c>
      <c r="K4790" t="s">
        <v>1357</v>
      </c>
      <c r="L4790" t="s">
        <v>1357</v>
      </c>
    </row>
    <row r="4791" spans="6:12">
      <c r="H4791" t="s">
        <v>20286</v>
      </c>
      <c r="I4791" t="s">
        <v>1357</v>
      </c>
      <c r="J4791" t="s">
        <v>1357</v>
      </c>
      <c r="K4791" t="s">
        <v>1357</v>
      </c>
      <c r="L4791" t="s">
        <v>1357</v>
      </c>
    </row>
    <row r="4792" spans="6:12">
      <c r="H4792" t="s">
        <v>20287</v>
      </c>
      <c r="I4792" t="s">
        <v>1357</v>
      </c>
      <c r="J4792" t="s">
        <v>1357</v>
      </c>
      <c r="K4792" t="s">
        <v>1357</v>
      </c>
      <c r="L4792" t="s">
        <v>1357</v>
      </c>
    </row>
    <row r="4793" spans="6:12">
      <c r="F4793" t="s">
        <v>15099</v>
      </c>
      <c r="G4793" t="s">
        <v>17520</v>
      </c>
      <c r="H4793" t="s">
        <v>20280</v>
      </c>
      <c r="I4793" t="s">
        <v>1357</v>
      </c>
      <c r="J4793" t="s">
        <v>1357</v>
      </c>
      <c r="K4793" t="s">
        <v>1357</v>
      </c>
      <c r="L4793" t="s">
        <v>1357</v>
      </c>
    </row>
    <row r="4794" spans="6:12">
      <c r="H4794" t="s">
        <v>20233</v>
      </c>
      <c r="I4794" t="s">
        <v>1357</v>
      </c>
      <c r="J4794" t="s">
        <v>1357</v>
      </c>
      <c r="K4794" t="s">
        <v>1357</v>
      </c>
      <c r="L4794" t="s">
        <v>1357</v>
      </c>
    </row>
    <row r="4795" spans="6:12">
      <c r="H4795" t="s">
        <v>20230</v>
      </c>
      <c r="I4795" t="s">
        <v>1357</v>
      </c>
      <c r="J4795" t="s">
        <v>1357</v>
      </c>
      <c r="K4795" t="s">
        <v>1357</v>
      </c>
      <c r="L4795" t="s">
        <v>1357</v>
      </c>
    </row>
    <row r="4796" spans="6:12">
      <c r="H4796" t="s">
        <v>20227</v>
      </c>
      <c r="I4796" t="s">
        <v>1357</v>
      </c>
      <c r="J4796" t="s">
        <v>1357</v>
      </c>
      <c r="K4796" t="s">
        <v>1357</v>
      </c>
      <c r="L4796" t="s">
        <v>1357</v>
      </c>
    </row>
    <row r="4797" spans="6:12">
      <c r="H4797" t="s">
        <v>20296</v>
      </c>
      <c r="I4797" t="s">
        <v>1357</v>
      </c>
      <c r="J4797" t="s">
        <v>1357</v>
      </c>
      <c r="K4797" t="s">
        <v>1357</v>
      </c>
      <c r="L4797" t="s">
        <v>1357</v>
      </c>
    </row>
    <row r="4798" spans="6:12">
      <c r="H4798" t="s">
        <v>20297</v>
      </c>
      <c r="I4798" t="s">
        <v>1357</v>
      </c>
      <c r="J4798" t="s">
        <v>1357</v>
      </c>
      <c r="K4798" t="s">
        <v>1357</v>
      </c>
      <c r="L4798" t="s">
        <v>1357</v>
      </c>
    </row>
    <row r="4799" spans="6:12">
      <c r="H4799" t="s">
        <v>20284</v>
      </c>
      <c r="I4799" t="s">
        <v>1357</v>
      </c>
      <c r="J4799" t="s">
        <v>1357</v>
      </c>
      <c r="K4799" t="s">
        <v>1357</v>
      </c>
      <c r="L4799" t="s">
        <v>1357</v>
      </c>
    </row>
    <row r="4800" spans="6:12">
      <c r="H4800" t="s">
        <v>20285</v>
      </c>
      <c r="I4800" t="s">
        <v>1357</v>
      </c>
      <c r="J4800" t="s">
        <v>1357</v>
      </c>
      <c r="K4800" t="s">
        <v>1357</v>
      </c>
      <c r="L4800" t="s">
        <v>1357</v>
      </c>
    </row>
    <row r="4801" spans="6:12">
      <c r="H4801" t="s">
        <v>20286</v>
      </c>
      <c r="I4801" t="s">
        <v>1357</v>
      </c>
      <c r="J4801" t="s">
        <v>1357</v>
      </c>
      <c r="K4801" t="s">
        <v>1357</v>
      </c>
      <c r="L4801" t="s">
        <v>1357</v>
      </c>
    </row>
    <row r="4802" spans="6:12">
      <c r="H4802" t="s">
        <v>20287</v>
      </c>
      <c r="I4802" t="s">
        <v>1357</v>
      </c>
      <c r="J4802" t="s">
        <v>1357</v>
      </c>
      <c r="K4802" t="s">
        <v>1357</v>
      </c>
      <c r="L4802" t="s">
        <v>1357</v>
      </c>
    </row>
    <row r="4803" spans="6:12">
      <c r="F4803" t="s">
        <v>15100</v>
      </c>
      <c r="G4803" t="s">
        <v>17521</v>
      </c>
      <c r="H4803" t="s">
        <v>20280</v>
      </c>
      <c r="I4803" t="s">
        <v>1357</v>
      </c>
      <c r="J4803" t="s">
        <v>1357</v>
      </c>
      <c r="K4803" t="s">
        <v>1357</v>
      </c>
      <c r="L4803" t="s">
        <v>1357</v>
      </c>
    </row>
    <row r="4804" spans="6:12">
      <c r="H4804" t="s">
        <v>20233</v>
      </c>
      <c r="I4804" t="s">
        <v>1357</v>
      </c>
      <c r="J4804" t="s">
        <v>1357</v>
      </c>
      <c r="K4804" t="s">
        <v>1357</v>
      </c>
      <c r="L4804" t="s">
        <v>1357</v>
      </c>
    </row>
    <row r="4805" spans="6:12">
      <c r="H4805" t="s">
        <v>20296</v>
      </c>
      <c r="I4805" t="s">
        <v>1357</v>
      </c>
      <c r="J4805" t="s">
        <v>1357</v>
      </c>
      <c r="K4805" t="s">
        <v>1357</v>
      </c>
      <c r="L4805" t="s">
        <v>1357</v>
      </c>
    </row>
    <row r="4806" spans="6:12">
      <c r="H4806" t="s">
        <v>20297</v>
      </c>
      <c r="I4806" t="s">
        <v>1357</v>
      </c>
      <c r="J4806" t="s">
        <v>1357</v>
      </c>
      <c r="K4806" t="s">
        <v>1357</v>
      </c>
      <c r="L4806" t="s">
        <v>1357</v>
      </c>
    </row>
    <row r="4807" spans="6:12">
      <c r="H4807" t="s">
        <v>20234</v>
      </c>
      <c r="I4807" t="s">
        <v>1357</v>
      </c>
      <c r="J4807" t="s">
        <v>1357</v>
      </c>
      <c r="K4807" t="s">
        <v>1357</v>
      </c>
      <c r="L4807" t="s">
        <v>1357</v>
      </c>
    </row>
    <row r="4808" spans="6:12">
      <c r="H4808" t="s">
        <v>20284</v>
      </c>
      <c r="I4808" t="s">
        <v>1357</v>
      </c>
      <c r="J4808" t="s">
        <v>1357</v>
      </c>
      <c r="K4808" t="s">
        <v>1357</v>
      </c>
      <c r="L4808" t="s">
        <v>1357</v>
      </c>
    </row>
    <row r="4809" spans="6:12">
      <c r="H4809" t="s">
        <v>20285</v>
      </c>
      <c r="I4809" t="s">
        <v>1357</v>
      </c>
      <c r="J4809" t="s">
        <v>1357</v>
      </c>
      <c r="K4809" t="s">
        <v>1357</v>
      </c>
      <c r="L4809" t="s">
        <v>1357</v>
      </c>
    </row>
    <row r="4810" spans="6:12">
      <c r="H4810" t="s">
        <v>20286</v>
      </c>
      <c r="I4810" t="s">
        <v>1357</v>
      </c>
      <c r="J4810" t="s">
        <v>1357</v>
      </c>
      <c r="K4810" t="s">
        <v>1357</v>
      </c>
      <c r="L4810" t="s">
        <v>1357</v>
      </c>
    </row>
    <row r="4811" spans="6:12">
      <c r="H4811" t="s">
        <v>20287</v>
      </c>
      <c r="I4811" t="s">
        <v>1357</v>
      </c>
      <c r="J4811" t="s">
        <v>1357</v>
      </c>
      <c r="K4811" t="s">
        <v>1357</v>
      </c>
      <c r="L4811" t="s">
        <v>1357</v>
      </c>
    </row>
    <row r="4812" spans="6:12">
      <c r="H4812" t="s">
        <v>20288</v>
      </c>
      <c r="I4812" t="s">
        <v>1357</v>
      </c>
      <c r="J4812" t="s">
        <v>1357</v>
      </c>
      <c r="K4812" t="s">
        <v>1357</v>
      </c>
      <c r="L4812" t="s">
        <v>1357</v>
      </c>
    </row>
    <row r="4813" spans="6:12">
      <c r="H4813" t="s">
        <v>20289</v>
      </c>
      <c r="I4813" t="s">
        <v>1357</v>
      </c>
      <c r="J4813" t="s">
        <v>1357</v>
      </c>
      <c r="K4813" t="s">
        <v>1357</v>
      </c>
      <c r="L4813" t="s">
        <v>1357</v>
      </c>
    </row>
    <row r="4814" spans="6:12">
      <c r="H4814" t="s">
        <v>20290</v>
      </c>
      <c r="I4814" t="s">
        <v>1357</v>
      </c>
      <c r="J4814" t="s">
        <v>1357</v>
      </c>
      <c r="K4814" t="s">
        <v>1357</v>
      </c>
      <c r="L4814" t="s">
        <v>1357</v>
      </c>
    </row>
    <row r="4815" spans="6:12">
      <c r="H4815" t="s">
        <v>20293</v>
      </c>
      <c r="I4815" t="s">
        <v>1357</v>
      </c>
      <c r="J4815" t="s">
        <v>1357</v>
      </c>
      <c r="K4815" t="s">
        <v>1357</v>
      </c>
      <c r="L4815" t="s">
        <v>1357</v>
      </c>
    </row>
    <row r="4816" spans="6:12">
      <c r="H4816" t="s">
        <v>20294</v>
      </c>
      <c r="I4816" t="s">
        <v>1357</v>
      </c>
      <c r="J4816" t="s">
        <v>1357</v>
      </c>
      <c r="K4816" t="s">
        <v>1357</v>
      </c>
      <c r="L4816" t="s">
        <v>1357</v>
      </c>
    </row>
    <row r="4817" spans="6:12">
      <c r="H4817" t="s">
        <v>20312</v>
      </c>
      <c r="I4817" t="s">
        <v>1357</v>
      </c>
      <c r="J4817" t="s">
        <v>1357</v>
      </c>
      <c r="K4817" t="s">
        <v>1357</v>
      </c>
      <c r="L4817" t="s">
        <v>1357</v>
      </c>
    </row>
    <row r="4818" spans="6:12">
      <c r="F4818" t="s">
        <v>15101</v>
      </c>
      <c r="G4818" t="s">
        <v>17522</v>
      </c>
      <c r="H4818" t="s">
        <v>20280</v>
      </c>
      <c r="I4818" t="s">
        <v>1357</v>
      </c>
      <c r="J4818" t="s">
        <v>1357</v>
      </c>
      <c r="K4818" t="s">
        <v>1357</v>
      </c>
      <c r="L4818" t="s">
        <v>1357</v>
      </c>
    </row>
    <row r="4819" spans="6:12">
      <c r="H4819" t="s">
        <v>20233</v>
      </c>
      <c r="I4819" t="s">
        <v>1357</v>
      </c>
      <c r="J4819" t="s">
        <v>1357</v>
      </c>
      <c r="K4819" t="s">
        <v>1357</v>
      </c>
      <c r="L4819" t="s">
        <v>1357</v>
      </c>
    </row>
    <row r="4820" spans="6:12">
      <c r="H4820" t="s">
        <v>20230</v>
      </c>
      <c r="I4820" t="s">
        <v>1357</v>
      </c>
      <c r="J4820" t="s">
        <v>1357</v>
      </c>
      <c r="K4820" t="s">
        <v>1357</v>
      </c>
      <c r="L4820" t="s">
        <v>1357</v>
      </c>
    </row>
    <row r="4821" spans="6:12">
      <c r="H4821" t="s">
        <v>20227</v>
      </c>
      <c r="I4821" t="s">
        <v>1357</v>
      </c>
      <c r="J4821" t="s">
        <v>1357</v>
      </c>
      <c r="K4821" t="s">
        <v>1357</v>
      </c>
      <c r="L4821" t="s">
        <v>1357</v>
      </c>
    </row>
    <row r="4822" spans="6:12">
      <c r="H4822" t="s">
        <v>20296</v>
      </c>
      <c r="I4822" t="s">
        <v>1357</v>
      </c>
      <c r="J4822" t="s">
        <v>1357</v>
      </c>
      <c r="K4822" t="s">
        <v>1357</v>
      </c>
      <c r="L4822" t="s">
        <v>1357</v>
      </c>
    </row>
    <row r="4823" spans="6:12">
      <c r="H4823" t="s">
        <v>20297</v>
      </c>
      <c r="I4823" t="s">
        <v>1357</v>
      </c>
      <c r="J4823" t="s">
        <v>1357</v>
      </c>
      <c r="K4823" t="s">
        <v>1357</v>
      </c>
      <c r="L4823" t="s">
        <v>1357</v>
      </c>
    </row>
    <row r="4824" spans="6:12">
      <c r="H4824" t="s">
        <v>20234</v>
      </c>
      <c r="I4824" t="s">
        <v>1357</v>
      </c>
      <c r="J4824" t="s">
        <v>1357</v>
      </c>
      <c r="K4824" t="s">
        <v>1357</v>
      </c>
      <c r="L4824" t="s">
        <v>1357</v>
      </c>
    </row>
    <row r="4825" spans="6:12">
      <c r="H4825" t="s">
        <v>20235</v>
      </c>
      <c r="I4825" t="s">
        <v>1357</v>
      </c>
      <c r="J4825" t="s">
        <v>1357</v>
      </c>
      <c r="K4825" t="s">
        <v>1357</v>
      </c>
      <c r="L4825" t="s">
        <v>1357</v>
      </c>
    </row>
    <row r="4826" spans="6:12">
      <c r="H4826" t="s">
        <v>20298</v>
      </c>
      <c r="I4826" t="s">
        <v>1357</v>
      </c>
      <c r="J4826" t="s">
        <v>1357</v>
      </c>
      <c r="K4826" t="s">
        <v>1357</v>
      </c>
      <c r="L4826" t="s">
        <v>1357</v>
      </c>
    </row>
    <row r="4827" spans="6:12">
      <c r="H4827" t="s">
        <v>20299</v>
      </c>
      <c r="I4827" t="s">
        <v>1357</v>
      </c>
      <c r="J4827" t="s">
        <v>1357</v>
      </c>
      <c r="K4827" t="s">
        <v>1357</v>
      </c>
      <c r="L4827" t="s">
        <v>1357</v>
      </c>
    </row>
    <row r="4828" spans="6:12">
      <c r="H4828" t="s">
        <v>20300</v>
      </c>
      <c r="I4828" t="s">
        <v>1357</v>
      </c>
      <c r="J4828" t="s">
        <v>1357</v>
      </c>
      <c r="K4828" t="s">
        <v>1357</v>
      </c>
      <c r="L4828" t="s">
        <v>1357</v>
      </c>
    </row>
    <row r="4829" spans="6:12">
      <c r="H4829" t="s">
        <v>20301</v>
      </c>
      <c r="I4829" t="s">
        <v>1357</v>
      </c>
      <c r="J4829" t="s">
        <v>1357</v>
      </c>
      <c r="K4829" t="s">
        <v>1357</v>
      </c>
      <c r="L4829" t="s">
        <v>1357</v>
      </c>
    </row>
    <row r="4830" spans="6:12">
      <c r="H4830" t="s">
        <v>20302</v>
      </c>
      <c r="I4830" t="s">
        <v>1357</v>
      </c>
      <c r="J4830" t="s">
        <v>1357</v>
      </c>
      <c r="K4830" t="s">
        <v>1357</v>
      </c>
      <c r="L4830" t="s">
        <v>1357</v>
      </c>
    </row>
    <row r="4831" spans="6:12">
      <c r="H4831" t="s">
        <v>20284</v>
      </c>
      <c r="I4831" t="s">
        <v>1357</v>
      </c>
      <c r="J4831" t="s">
        <v>1357</v>
      </c>
      <c r="K4831" t="s">
        <v>1357</v>
      </c>
      <c r="L4831" t="s">
        <v>1357</v>
      </c>
    </row>
    <row r="4832" spans="6:12">
      <c r="H4832" t="s">
        <v>20285</v>
      </c>
      <c r="I4832" t="s">
        <v>1357</v>
      </c>
      <c r="J4832" t="s">
        <v>1357</v>
      </c>
      <c r="K4832" t="s">
        <v>1357</v>
      </c>
      <c r="L4832" t="s">
        <v>1357</v>
      </c>
    </row>
    <row r="4833" spans="6:12">
      <c r="H4833" t="s">
        <v>20286</v>
      </c>
      <c r="I4833" t="s">
        <v>1357</v>
      </c>
      <c r="J4833" t="s">
        <v>1357</v>
      </c>
      <c r="K4833" t="s">
        <v>1357</v>
      </c>
      <c r="L4833" t="s">
        <v>1357</v>
      </c>
    </row>
    <row r="4834" spans="6:12">
      <c r="H4834" t="s">
        <v>20287</v>
      </c>
      <c r="I4834" t="s">
        <v>1357</v>
      </c>
      <c r="J4834" t="s">
        <v>1357</v>
      </c>
      <c r="K4834" t="s">
        <v>1357</v>
      </c>
      <c r="L4834" t="s">
        <v>1357</v>
      </c>
    </row>
    <row r="4835" spans="6:12">
      <c r="F4835" t="s">
        <v>15102</v>
      </c>
      <c r="G4835" t="s">
        <v>17523</v>
      </c>
      <c r="H4835" t="s">
        <v>20280</v>
      </c>
      <c r="I4835" t="s">
        <v>1357</v>
      </c>
      <c r="J4835" t="s">
        <v>1357</v>
      </c>
      <c r="K4835" t="s">
        <v>1357</v>
      </c>
      <c r="L4835" t="s">
        <v>1357</v>
      </c>
    </row>
    <row r="4836" spans="6:12">
      <c r="H4836" t="s">
        <v>20233</v>
      </c>
      <c r="I4836" t="s">
        <v>1357</v>
      </c>
      <c r="J4836" t="s">
        <v>1357</v>
      </c>
      <c r="K4836" t="s">
        <v>1357</v>
      </c>
      <c r="L4836" t="s">
        <v>1357</v>
      </c>
    </row>
    <row r="4837" spans="6:12">
      <c r="H4837" t="s">
        <v>20230</v>
      </c>
      <c r="I4837" t="s">
        <v>1357</v>
      </c>
      <c r="J4837" t="s">
        <v>1357</v>
      </c>
      <c r="K4837" t="s">
        <v>1357</v>
      </c>
      <c r="L4837" t="s">
        <v>1357</v>
      </c>
    </row>
    <row r="4838" spans="6:12">
      <c r="H4838" t="s">
        <v>20227</v>
      </c>
      <c r="I4838" t="s">
        <v>1357</v>
      </c>
      <c r="J4838" t="s">
        <v>1357</v>
      </c>
      <c r="K4838" t="s">
        <v>1357</v>
      </c>
      <c r="L4838" t="s">
        <v>1357</v>
      </c>
    </row>
    <row r="4839" spans="6:12">
      <c r="H4839" t="s">
        <v>20296</v>
      </c>
      <c r="I4839" t="s">
        <v>1357</v>
      </c>
      <c r="J4839" t="s">
        <v>1357</v>
      </c>
      <c r="K4839" t="s">
        <v>1357</v>
      </c>
      <c r="L4839" t="s">
        <v>1357</v>
      </c>
    </row>
    <row r="4840" spans="6:12">
      <c r="H4840" t="s">
        <v>20297</v>
      </c>
      <c r="I4840" t="s">
        <v>1357</v>
      </c>
      <c r="J4840" t="s">
        <v>1357</v>
      </c>
      <c r="K4840" t="s">
        <v>1357</v>
      </c>
      <c r="L4840" t="s">
        <v>1357</v>
      </c>
    </row>
    <row r="4841" spans="6:12">
      <c r="H4841" t="s">
        <v>20234</v>
      </c>
      <c r="I4841" t="s">
        <v>1357</v>
      </c>
      <c r="J4841" t="s">
        <v>1357</v>
      </c>
      <c r="K4841" t="s">
        <v>1357</v>
      </c>
      <c r="L4841" t="s">
        <v>1357</v>
      </c>
    </row>
    <row r="4842" spans="6:12">
      <c r="H4842" t="s">
        <v>20235</v>
      </c>
      <c r="I4842" t="s">
        <v>1357</v>
      </c>
      <c r="J4842" t="s">
        <v>1357</v>
      </c>
      <c r="K4842" t="s">
        <v>1357</v>
      </c>
      <c r="L4842" t="s">
        <v>1357</v>
      </c>
    </row>
    <row r="4843" spans="6:12">
      <c r="H4843" t="s">
        <v>20298</v>
      </c>
      <c r="I4843" t="s">
        <v>1357</v>
      </c>
      <c r="J4843" t="s">
        <v>1357</v>
      </c>
      <c r="K4843" t="s">
        <v>1357</v>
      </c>
      <c r="L4843" t="s">
        <v>1357</v>
      </c>
    </row>
    <row r="4844" spans="6:12">
      <c r="H4844" t="s">
        <v>20299</v>
      </c>
      <c r="I4844" t="s">
        <v>1357</v>
      </c>
      <c r="J4844" t="s">
        <v>1357</v>
      </c>
      <c r="K4844" t="s">
        <v>1357</v>
      </c>
      <c r="L4844" t="s">
        <v>1357</v>
      </c>
    </row>
    <row r="4845" spans="6:12">
      <c r="H4845" t="s">
        <v>20300</v>
      </c>
      <c r="I4845" t="s">
        <v>1357</v>
      </c>
      <c r="J4845" t="s">
        <v>1357</v>
      </c>
      <c r="K4845" t="s">
        <v>1357</v>
      </c>
      <c r="L4845" t="s">
        <v>1357</v>
      </c>
    </row>
    <row r="4846" spans="6:12">
      <c r="H4846" t="s">
        <v>20301</v>
      </c>
      <c r="I4846" t="s">
        <v>1357</v>
      </c>
      <c r="J4846" t="s">
        <v>1357</v>
      </c>
      <c r="K4846" t="s">
        <v>1357</v>
      </c>
      <c r="L4846" t="s">
        <v>1357</v>
      </c>
    </row>
    <row r="4847" spans="6:12">
      <c r="H4847" t="s">
        <v>20302</v>
      </c>
      <c r="I4847" t="s">
        <v>1357</v>
      </c>
      <c r="J4847" t="s">
        <v>1357</v>
      </c>
      <c r="K4847" t="s">
        <v>1357</v>
      </c>
      <c r="L4847" t="s">
        <v>1357</v>
      </c>
    </row>
    <row r="4848" spans="6:12">
      <c r="H4848" t="s">
        <v>20284</v>
      </c>
      <c r="I4848" t="s">
        <v>1357</v>
      </c>
      <c r="J4848" t="s">
        <v>1357</v>
      </c>
      <c r="K4848" t="s">
        <v>1357</v>
      </c>
      <c r="L4848" t="s">
        <v>1357</v>
      </c>
    </row>
    <row r="4849" spans="6:12">
      <c r="H4849" t="s">
        <v>20285</v>
      </c>
      <c r="I4849" t="s">
        <v>1357</v>
      </c>
      <c r="J4849" t="s">
        <v>1357</v>
      </c>
      <c r="K4849" t="s">
        <v>1357</v>
      </c>
      <c r="L4849" t="s">
        <v>1357</v>
      </c>
    </row>
    <row r="4850" spans="6:12">
      <c r="H4850" t="s">
        <v>20286</v>
      </c>
      <c r="I4850" t="s">
        <v>1357</v>
      </c>
      <c r="J4850" t="s">
        <v>1357</v>
      </c>
      <c r="K4850" t="s">
        <v>1357</v>
      </c>
      <c r="L4850" t="s">
        <v>1357</v>
      </c>
    </row>
    <row r="4851" spans="6:12">
      <c r="H4851" t="s">
        <v>20287</v>
      </c>
      <c r="I4851" t="s">
        <v>1357</v>
      </c>
      <c r="J4851" t="s">
        <v>1357</v>
      </c>
      <c r="K4851" t="s">
        <v>1357</v>
      </c>
      <c r="L4851" t="s">
        <v>1357</v>
      </c>
    </row>
    <row r="4852" spans="6:12">
      <c r="F4852" t="s">
        <v>15103</v>
      </c>
      <c r="G4852" t="s">
        <v>17524</v>
      </c>
      <c r="H4852" t="s">
        <v>20280</v>
      </c>
      <c r="I4852" t="s">
        <v>1357</v>
      </c>
      <c r="J4852" t="s">
        <v>1357</v>
      </c>
      <c r="K4852" t="s">
        <v>1357</v>
      </c>
      <c r="L4852" t="s">
        <v>1357</v>
      </c>
    </row>
    <row r="4853" spans="6:12">
      <c r="H4853" t="s">
        <v>20233</v>
      </c>
      <c r="I4853" t="s">
        <v>1357</v>
      </c>
      <c r="J4853" t="s">
        <v>1357</v>
      </c>
      <c r="K4853" t="s">
        <v>1357</v>
      </c>
      <c r="L4853" t="s">
        <v>1357</v>
      </c>
    </row>
    <row r="4854" spans="6:12">
      <c r="H4854" t="s">
        <v>20230</v>
      </c>
      <c r="I4854" t="s">
        <v>1357</v>
      </c>
      <c r="J4854" t="s">
        <v>1357</v>
      </c>
      <c r="K4854" t="s">
        <v>1357</v>
      </c>
      <c r="L4854" t="s">
        <v>1357</v>
      </c>
    </row>
    <row r="4855" spans="6:12">
      <c r="H4855" t="s">
        <v>20227</v>
      </c>
      <c r="I4855" t="s">
        <v>1357</v>
      </c>
      <c r="J4855" t="s">
        <v>1357</v>
      </c>
      <c r="K4855" t="s">
        <v>1357</v>
      </c>
      <c r="L4855" t="s">
        <v>1357</v>
      </c>
    </row>
    <row r="4856" spans="6:12">
      <c r="H4856" t="s">
        <v>20296</v>
      </c>
      <c r="I4856" t="s">
        <v>1357</v>
      </c>
      <c r="J4856" t="s">
        <v>1357</v>
      </c>
      <c r="K4856" t="s">
        <v>1357</v>
      </c>
      <c r="L4856" t="s">
        <v>1357</v>
      </c>
    </row>
    <row r="4857" spans="6:12">
      <c r="H4857" t="s">
        <v>20297</v>
      </c>
      <c r="I4857" t="s">
        <v>1357</v>
      </c>
      <c r="J4857" t="s">
        <v>1357</v>
      </c>
      <c r="K4857" t="s">
        <v>1357</v>
      </c>
      <c r="L4857" t="s">
        <v>1357</v>
      </c>
    </row>
    <row r="4858" spans="6:12">
      <c r="H4858" t="s">
        <v>20234</v>
      </c>
      <c r="I4858" t="s">
        <v>1357</v>
      </c>
      <c r="J4858" t="s">
        <v>1357</v>
      </c>
      <c r="K4858" t="s">
        <v>1357</v>
      </c>
      <c r="L4858" t="s">
        <v>1357</v>
      </c>
    </row>
    <row r="4859" spans="6:12">
      <c r="H4859" t="s">
        <v>20235</v>
      </c>
      <c r="I4859" t="s">
        <v>1357</v>
      </c>
      <c r="J4859" t="s">
        <v>1357</v>
      </c>
      <c r="K4859" t="s">
        <v>1357</v>
      </c>
      <c r="L4859" t="s">
        <v>1357</v>
      </c>
    </row>
    <row r="4860" spans="6:12">
      <c r="H4860" t="s">
        <v>20298</v>
      </c>
      <c r="I4860" t="s">
        <v>1357</v>
      </c>
      <c r="J4860" t="s">
        <v>1357</v>
      </c>
      <c r="K4860" t="s">
        <v>1357</v>
      </c>
      <c r="L4860" t="s">
        <v>1357</v>
      </c>
    </row>
    <row r="4861" spans="6:12">
      <c r="H4861" t="s">
        <v>20299</v>
      </c>
      <c r="I4861" t="s">
        <v>1357</v>
      </c>
      <c r="J4861" t="s">
        <v>1357</v>
      </c>
      <c r="K4861" t="s">
        <v>1357</v>
      </c>
      <c r="L4861" t="s">
        <v>1357</v>
      </c>
    </row>
    <row r="4862" spans="6:12">
      <c r="H4862" t="s">
        <v>20300</v>
      </c>
      <c r="I4862" t="s">
        <v>1357</v>
      </c>
      <c r="J4862" t="s">
        <v>1357</v>
      </c>
      <c r="K4862" t="s">
        <v>1357</v>
      </c>
      <c r="L4862" t="s">
        <v>1357</v>
      </c>
    </row>
    <row r="4863" spans="6:12">
      <c r="H4863" t="s">
        <v>20301</v>
      </c>
      <c r="I4863" t="s">
        <v>1357</v>
      </c>
      <c r="J4863" t="s">
        <v>1357</v>
      </c>
      <c r="K4863" t="s">
        <v>1357</v>
      </c>
      <c r="L4863" t="s">
        <v>1357</v>
      </c>
    </row>
    <row r="4864" spans="6:12">
      <c r="H4864" t="s">
        <v>20302</v>
      </c>
      <c r="I4864" t="s">
        <v>1357</v>
      </c>
      <c r="J4864" t="s">
        <v>1357</v>
      </c>
      <c r="K4864" t="s">
        <v>1357</v>
      </c>
      <c r="L4864" t="s">
        <v>1357</v>
      </c>
    </row>
    <row r="4865" spans="6:12">
      <c r="H4865" t="s">
        <v>20284</v>
      </c>
      <c r="I4865" t="s">
        <v>1357</v>
      </c>
      <c r="J4865" t="s">
        <v>1357</v>
      </c>
      <c r="K4865" t="s">
        <v>1357</v>
      </c>
      <c r="L4865" t="s">
        <v>1357</v>
      </c>
    </row>
    <row r="4866" spans="6:12">
      <c r="H4866" t="s">
        <v>20285</v>
      </c>
      <c r="I4866" t="s">
        <v>1357</v>
      </c>
      <c r="J4866" t="s">
        <v>1357</v>
      </c>
      <c r="K4866" t="s">
        <v>1357</v>
      </c>
      <c r="L4866" t="s">
        <v>1357</v>
      </c>
    </row>
    <row r="4867" spans="6:12">
      <c r="H4867" t="s">
        <v>20286</v>
      </c>
      <c r="I4867" t="s">
        <v>1357</v>
      </c>
      <c r="J4867" t="s">
        <v>1357</v>
      </c>
      <c r="K4867" t="s">
        <v>1357</v>
      </c>
      <c r="L4867" t="s">
        <v>1357</v>
      </c>
    </row>
    <row r="4868" spans="6:12">
      <c r="H4868" t="s">
        <v>20287</v>
      </c>
      <c r="I4868" t="s">
        <v>1357</v>
      </c>
      <c r="J4868" t="s">
        <v>1357</v>
      </c>
      <c r="K4868" t="s">
        <v>1357</v>
      </c>
      <c r="L4868" t="s">
        <v>1357</v>
      </c>
    </row>
    <row r="4869" spans="6:12">
      <c r="F4869" t="s">
        <v>15104</v>
      </c>
      <c r="G4869" t="s">
        <v>17525</v>
      </c>
      <c r="H4869" t="s">
        <v>20280</v>
      </c>
      <c r="I4869" t="s">
        <v>1357</v>
      </c>
      <c r="J4869" t="s">
        <v>1357</v>
      </c>
      <c r="K4869" t="s">
        <v>1357</v>
      </c>
      <c r="L4869" t="s">
        <v>1357</v>
      </c>
    </row>
    <row r="4870" spans="6:12">
      <c r="H4870" t="s">
        <v>20233</v>
      </c>
      <c r="I4870" t="s">
        <v>1357</v>
      </c>
      <c r="J4870" t="s">
        <v>1357</v>
      </c>
      <c r="K4870" t="s">
        <v>1357</v>
      </c>
      <c r="L4870" t="s">
        <v>1357</v>
      </c>
    </row>
    <row r="4871" spans="6:12">
      <c r="H4871" t="s">
        <v>20230</v>
      </c>
      <c r="I4871" t="s">
        <v>1357</v>
      </c>
      <c r="J4871" t="s">
        <v>1357</v>
      </c>
      <c r="K4871" t="s">
        <v>1357</v>
      </c>
      <c r="L4871" t="s">
        <v>1357</v>
      </c>
    </row>
    <row r="4872" spans="6:12">
      <c r="H4872" t="s">
        <v>20227</v>
      </c>
      <c r="I4872" t="s">
        <v>1357</v>
      </c>
      <c r="J4872" t="s">
        <v>1357</v>
      </c>
      <c r="K4872" t="s">
        <v>1357</v>
      </c>
      <c r="L4872" t="s">
        <v>1357</v>
      </c>
    </row>
    <row r="4873" spans="6:12">
      <c r="H4873" t="s">
        <v>20296</v>
      </c>
      <c r="I4873" t="s">
        <v>1357</v>
      </c>
      <c r="J4873" t="s">
        <v>1357</v>
      </c>
      <c r="K4873" t="s">
        <v>1357</v>
      </c>
      <c r="L4873" t="s">
        <v>1357</v>
      </c>
    </row>
    <row r="4874" spans="6:12">
      <c r="H4874" t="s">
        <v>20297</v>
      </c>
      <c r="I4874" t="s">
        <v>1357</v>
      </c>
      <c r="J4874" t="s">
        <v>1357</v>
      </c>
      <c r="K4874" t="s">
        <v>1357</v>
      </c>
      <c r="L4874" t="s">
        <v>1357</v>
      </c>
    </row>
    <row r="4875" spans="6:12">
      <c r="H4875" t="s">
        <v>20234</v>
      </c>
      <c r="I4875" t="s">
        <v>1357</v>
      </c>
      <c r="J4875" t="s">
        <v>1357</v>
      </c>
      <c r="K4875" t="s">
        <v>1357</v>
      </c>
      <c r="L4875" t="s">
        <v>1357</v>
      </c>
    </row>
    <row r="4876" spans="6:12">
      <c r="H4876" t="s">
        <v>20235</v>
      </c>
      <c r="I4876" t="s">
        <v>1357</v>
      </c>
      <c r="J4876" t="s">
        <v>1357</v>
      </c>
      <c r="K4876" t="s">
        <v>1357</v>
      </c>
      <c r="L4876" t="s">
        <v>1357</v>
      </c>
    </row>
    <row r="4877" spans="6:12">
      <c r="H4877" t="s">
        <v>20298</v>
      </c>
      <c r="I4877" t="s">
        <v>1357</v>
      </c>
      <c r="J4877" t="s">
        <v>1357</v>
      </c>
      <c r="K4877" t="s">
        <v>1357</v>
      </c>
      <c r="L4877" t="s">
        <v>1357</v>
      </c>
    </row>
    <row r="4878" spans="6:12">
      <c r="H4878" t="s">
        <v>20299</v>
      </c>
      <c r="I4878" t="s">
        <v>1357</v>
      </c>
      <c r="J4878" t="s">
        <v>1357</v>
      </c>
      <c r="K4878" t="s">
        <v>1357</v>
      </c>
      <c r="L4878" t="s">
        <v>1357</v>
      </c>
    </row>
    <row r="4879" spans="6:12">
      <c r="H4879" t="s">
        <v>20300</v>
      </c>
      <c r="I4879" t="s">
        <v>1357</v>
      </c>
      <c r="J4879" t="s">
        <v>1357</v>
      </c>
      <c r="K4879" t="s">
        <v>1357</v>
      </c>
      <c r="L4879" t="s">
        <v>1357</v>
      </c>
    </row>
    <row r="4880" spans="6:12">
      <c r="H4880" t="s">
        <v>20301</v>
      </c>
      <c r="I4880" t="s">
        <v>1357</v>
      </c>
      <c r="J4880" t="s">
        <v>1357</v>
      </c>
      <c r="K4880" t="s">
        <v>1357</v>
      </c>
      <c r="L4880" t="s">
        <v>1357</v>
      </c>
    </row>
    <row r="4881" spans="6:12">
      <c r="H4881" t="s">
        <v>20302</v>
      </c>
      <c r="I4881" t="s">
        <v>1357</v>
      </c>
      <c r="J4881" t="s">
        <v>1357</v>
      </c>
      <c r="K4881" t="s">
        <v>1357</v>
      </c>
      <c r="L4881" t="s">
        <v>1357</v>
      </c>
    </row>
    <row r="4882" spans="6:12">
      <c r="H4882" t="s">
        <v>20284</v>
      </c>
      <c r="I4882" t="s">
        <v>1357</v>
      </c>
      <c r="J4882" t="s">
        <v>1357</v>
      </c>
      <c r="K4882" t="s">
        <v>1357</v>
      </c>
      <c r="L4882" t="s">
        <v>1357</v>
      </c>
    </row>
    <row r="4883" spans="6:12">
      <c r="H4883" t="s">
        <v>20285</v>
      </c>
      <c r="I4883" t="s">
        <v>1357</v>
      </c>
      <c r="J4883" t="s">
        <v>1357</v>
      </c>
      <c r="K4883" t="s">
        <v>1357</v>
      </c>
      <c r="L4883" t="s">
        <v>1357</v>
      </c>
    </row>
    <row r="4884" spans="6:12">
      <c r="H4884" t="s">
        <v>20286</v>
      </c>
      <c r="I4884" t="s">
        <v>1357</v>
      </c>
      <c r="J4884" t="s">
        <v>1357</v>
      </c>
      <c r="K4884" t="s">
        <v>1357</v>
      </c>
      <c r="L4884" t="s">
        <v>1357</v>
      </c>
    </row>
    <row r="4885" spans="6:12">
      <c r="H4885" t="s">
        <v>20287</v>
      </c>
      <c r="I4885" t="s">
        <v>1357</v>
      </c>
      <c r="J4885" t="s">
        <v>1357</v>
      </c>
      <c r="K4885" t="s">
        <v>1357</v>
      </c>
      <c r="L4885" t="s">
        <v>1357</v>
      </c>
    </row>
    <row r="4886" spans="6:12">
      <c r="F4886" t="s">
        <v>15105</v>
      </c>
      <c r="G4886" t="s">
        <v>17526</v>
      </c>
      <c r="H4886" t="s">
        <v>20280</v>
      </c>
      <c r="I4886" t="s">
        <v>1357</v>
      </c>
      <c r="J4886" t="s">
        <v>1357</v>
      </c>
      <c r="K4886" t="s">
        <v>1357</v>
      </c>
      <c r="L4886" t="s">
        <v>1357</v>
      </c>
    </row>
    <row r="4887" spans="6:12">
      <c r="H4887" t="s">
        <v>20233</v>
      </c>
      <c r="I4887" t="s">
        <v>1357</v>
      </c>
      <c r="J4887" t="s">
        <v>1357</v>
      </c>
      <c r="K4887" t="s">
        <v>1357</v>
      </c>
      <c r="L4887" t="s">
        <v>1357</v>
      </c>
    </row>
    <row r="4888" spans="6:12">
      <c r="H4888" t="s">
        <v>20230</v>
      </c>
      <c r="I4888" t="s">
        <v>1357</v>
      </c>
      <c r="J4888" t="s">
        <v>1357</v>
      </c>
      <c r="K4888" t="s">
        <v>1357</v>
      </c>
      <c r="L4888" t="s">
        <v>1357</v>
      </c>
    </row>
    <row r="4889" spans="6:12">
      <c r="H4889" t="s">
        <v>20227</v>
      </c>
      <c r="I4889" t="s">
        <v>1357</v>
      </c>
      <c r="J4889" t="s">
        <v>1357</v>
      </c>
      <c r="K4889" t="s">
        <v>1357</v>
      </c>
      <c r="L4889" t="s">
        <v>1357</v>
      </c>
    </row>
    <row r="4890" spans="6:12">
      <c r="H4890" t="s">
        <v>20228</v>
      </c>
      <c r="I4890" t="s">
        <v>1357</v>
      </c>
      <c r="J4890" t="s">
        <v>1357</v>
      </c>
      <c r="K4890" t="s">
        <v>1357</v>
      </c>
      <c r="L4890" t="s">
        <v>1357</v>
      </c>
    </row>
    <row r="4891" spans="6:12">
      <c r="H4891" t="s">
        <v>20232</v>
      </c>
      <c r="I4891" t="s">
        <v>1357</v>
      </c>
      <c r="J4891" t="s">
        <v>1357</v>
      </c>
      <c r="K4891" t="s">
        <v>1357</v>
      </c>
      <c r="L4891" t="s">
        <v>1357</v>
      </c>
    </row>
    <row r="4892" spans="6:12">
      <c r="H4892" t="s">
        <v>20229</v>
      </c>
      <c r="I4892" t="s">
        <v>1357</v>
      </c>
      <c r="J4892" t="s">
        <v>1357</v>
      </c>
      <c r="K4892" t="s">
        <v>1357</v>
      </c>
      <c r="L4892" t="s">
        <v>1357</v>
      </c>
    </row>
    <row r="4893" spans="6:12">
      <c r="H4893" t="s">
        <v>20296</v>
      </c>
      <c r="I4893" t="s">
        <v>1357</v>
      </c>
      <c r="J4893" t="s">
        <v>1357</v>
      </c>
      <c r="K4893" t="s">
        <v>1357</v>
      </c>
      <c r="L4893" t="s">
        <v>1357</v>
      </c>
    </row>
    <row r="4894" spans="6:12">
      <c r="H4894" t="s">
        <v>20297</v>
      </c>
      <c r="I4894" t="s">
        <v>1357</v>
      </c>
      <c r="J4894" t="s">
        <v>1357</v>
      </c>
      <c r="K4894" t="s">
        <v>1357</v>
      </c>
      <c r="L4894" t="s">
        <v>1357</v>
      </c>
    </row>
    <row r="4895" spans="6:12">
      <c r="H4895" t="s">
        <v>20234</v>
      </c>
      <c r="I4895" t="s">
        <v>1357</v>
      </c>
      <c r="J4895" t="s">
        <v>1357</v>
      </c>
      <c r="K4895" t="s">
        <v>1357</v>
      </c>
      <c r="L4895" t="s">
        <v>1357</v>
      </c>
    </row>
    <row r="4896" spans="6:12">
      <c r="H4896" t="s">
        <v>20235</v>
      </c>
      <c r="I4896" t="s">
        <v>1357</v>
      </c>
      <c r="J4896" t="s">
        <v>1357</v>
      </c>
      <c r="K4896" t="s">
        <v>1357</v>
      </c>
      <c r="L4896" t="s">
        <v>1357</v>
      </c>
    </row>
    <row r="4897" spans="6:12">
      <c r="H4897" t="s">
        <v>20298</v>
      </c>
      <c r="I4897" t="s">
        <v>1357</v>
      </c>
      <c r="J4897" t="s">
        <v>1357</v>
      </c>
      <c r="K4897" t="s">
        <v>1357</v>
      </c>
      <c r="L4897" t="s">
        <v>1357</v>
      </c>
    </row>
    <row r="4898" spans="6:12">
      <c r="H4898" t="s">
        <v>20299</v>
      </c>
      <c r="I4898" t="s">
        <v>1357</v>
      </c>
      <c r="J4898" t="s">
        <v>1357</v>
      </c>
      <c r="K4898" t="s">
        <v>1357</v>
      </c>
      <c r="L4898" t="s">
        <v>1357</v>
      </c>
    </row>
    <row r="4899" spans="6:12">
      <c r="H4899" t="s">
        <v>20281</v>
      </c>
      <c r="I4899" t="s">
        <v>1357</v>
      </c>
      <c r="J4899" t="s">
        <v>1357</v>
      </c>
      <c r="K4899" t="s">
        <v>1357</v>
      </c>
      <c r="L4899" t="s">
        <v>1357</v>
      </c>
    </row>
    <row r="4900" spans="6:12">
      <c r="H4900" t="s">
        <v>20284</v>
      </c>
      <c r="I4900" t="s">
        <v>1357</v>
      </c>
      <c r="J4900" t="s">
        <v>1357</v>
      </c>
      <c r="K4900" t="s">
        <v>1357</v>
      </c>
      <c r="L4900" t="s">
        <v>1357</v>
      </c>
    </row>
    <row r="4901" spans="6:12">
      <c r="H4901" t="s">
        <v>20285</v>
      </c>
      <c r="I4901" t="s">
        <v>1357</v>
      </c>
      <c r="J4901" t="s">
        <v>1357</v>
      </c>
      <c r="K4901" t="s">
        <v>1357</v>
      </c>
      <c r="L4901" t="s">
        <v>1357</v>
      </c>
    </row>
    <row r="4902" spans="6:12">
      <c r="H4902" t="s">
        <v>20286</v>
      </c>
      <c r="I4902" t="s">
        <v>1357</v>
      </c>
      <c r="J4902" t="s">
        <v>1357</v>
      </c>
      <c r="K4902" t="s">
        <v>1357</v>
      </c>
      <c r="L4902" t="s">
        <v>1357</v>
      </c>
    </row>
    <row r="4903" spans="6:12">
      <c r="H4903" t="s">
        <v>20287</v>
      </c>
      <c r="I4903" t="s">
        <v>1357</v>
      </c>
      <c r="J4903" t="s">
        <v>1357</v>
      </c>
      <c r="K4903" t="s">
        <v>1357</v>
      </c>
      <c r="L4903" t="s">
        <v>1357</v>
      </c>
    </row>
    <row r="4904" spans="6:12">
      <c r="F4904" t="s">
        <v>15106</v>
      </c>
      <c r="G4904" t="s">
        <v>17527</v>
      </c>
      <c r="H4904" t="s">
        <v>20280</v>
      </c>
      <c r="I4904" t="s">
        <v>1357</v>
      </c>
      <c r="J4904" t="s">
        <v>1357</v>
      </c>
      <c r="K4904" t="s">
        <v>1357</v>
      </c>
      <c r="L4904" t="s">
        <v>1357</v>
      </c>
    </row>
    <row r="4905" spans="6:12">
      <c r="H4905" t="s">
        <v>20233</v>
      </c>
      <c r="I4905" t="s">
        <v>1357</v>
      </c>
      <c r="J4905" t="s">
        <v>1357</v>
      </c>
      <c r="K4905" t="s">
        <v>1357</v>
      </c>
      <c r="L4905" t="s">
        <v>1357</v>
      </c>
    </row>
    <row r="4906" spans="6:12">
      <c r="H4906" t="s">
        <v>20230</v>
      </c>
      <c r="I4906" t="s">
        <v>1357</v>
      </c>
      <c r="J4906" t="s">
        <v>1357</v>
      </c>
      <c r="K4906" t="s">
        <v>1357</v>
      </c>
      <c r="L4906" t="s">
        <v>1357</v>
      </c>
    </row>
    <row r="4907" spans="6:12">
      <c r="H4907" t="s">
        <v>20227</v>
      </c>
      <c r="I4907" t="s">
        <v>1357</v>
      </c>
      <c r="J4907" t="s">
        <v>1357</v>
      </c>
      <c r="K4907" t="s">
        <v>1357</v>
      </c>
      <c r="L4907" t="s">
        <v>1357</v>
      </c>
    </row>
    <row r="4908" spans="6:12">
      <c r="H4908" t="s">
        <v>20228</v>
      </c>
      <c r="I4908" t="s">
        <v>1357</v>
      </c>
      <c r="J4908" t="s">
        <v>1357</v>
      </c>
      <c r="K4908" t="s">
        <v>1357</v>
      </c>
      <c r="L4908" t="s">
        <v>1357</v>
      </c>
    </row>
    <row r="4909" spans="6:12">
      <c r="H4909" t="s">
        <v>20232</v>
      </c>
      <c r="I4909" t="s">
        <v>1357</v>
      </c>
      <c r="J4909" t="s">
        <v>1357</v>
      </c>
      <c r="K4909" t="s">
        <v>1357</v>
      </c>
      <c r="L4909" t="s">
        <v>1357</v>
      </c>
    </row>
    <row r="4910" spans="6:12">
      <c r="H4910" t="s">
        <v>20229</v>
      </c>
      <c r="I4910" t="s">
        <v>1357</v>
      </c>
      <c r="J4910" t="s">
        <v>1357</v>
      </c>
      <c r="K4910" t="s">
        <v>1357</v>
      </c>
      <c r="L4910" t="s">
        <v>1357</v>
      </c>
    </row>
    <row r="4911" spans="6:12">
      <c r="H4911" t="s">
        <v>20296</v>
      </c>
      <c r="I4911" t="s">
        <v>1357</v>
      </c>
      <c r="J4911" t="s">
        <v>1357</v>
      </c>
      <c r="K4911" t="s">
        <v>1357</v>
      </c>
      <c r="L4911" t="s">
        <v>1357</v>
      </c>
    </row>
    <row r="4912" spans="6:12">
      <c r="H4912" t="s">
        <v>20297</v>
      </c>
      <c r="I4912" t="s">
        <v>1357</v>
      </c>
      <c r="J4912" t="s">
        <v>1357</v>
      </c>
      <c r="K4912" t="s">
        <v>1357</v>
      </c>
      <c r="L4912" t="s">
        <v>1357</v>
      </c>
    </row>
    <row r="4913" spans="6:12">
      <c r="H4913" t="s">
        <v>20234</v>
      </c>
      <c r="I4913" t="s">
        <v>1357</v>
      </c>
      <c r="J4913" t="s">
        <v>1357</v>
      </c>
      <c r="K4913" t="s">
        <v>1357</v>
      </c>
      <c r="L4913" t="s">
        <v>1357</v>
      </c>
    </row>
    <row r="4914" spans="6:12">
      <c r="H4914" t="s">
        <v>20235</v>
      </c>
      <c r="I4914" t="s">
        <v>1357</v>
      </c>
      <c r="J4914" t="s">
        <v>1357</v>
      </c>
      <c r="K4914" t="s">
        <v>1357</v>
      </c>
      <c r="L4914" t="s">
        <v>1357</v>
      </c>
    </row>
    <row r="4915" spans="6:12">
      <c r="H4915" t="s">
        <v>20298</v>
      </c>
      <c r="I4915" t="s">
        <v>1357</v>
      </c>
      <c r="J4915" t="s">
        <v>1357</v>
      </c>
      <c r="K4915" t="s">
        <v>1357</v>
      </c>
      <c r="L4915" t="s">
        <v>1357</v>
      </c>
    </row>
    <row r="4916" spans="6:12">
      <c r="H4916" t="s">
        <v>20299</v>
      </c>
      <c r="I4916" t="s">
        <v>1357</v>
      </c>
      <c r="J4916" t="s">
        <v>1357</v>
      </c>
      <c r="K4916" t="s">
        <v>1357</v>
      </c>
      <c r="L4916" t="s">
        <v>1357</v>
      </c>
    </row>
    <row r="4917" spans="6:12">
      <c r="H4917" t="s">
        <v>20281</v>
      </c>
      <c r="I4917" t="s">
        <v>1357</v>
      </c>
      <c r="J4917" t="s">
        <v>1357</v>
      </c>
      <c r="K4917" t="s">
        <v>1357</v>
      </c>
      <c r="L4917" t="s">
        <v>1357</v>
      </c>
    </row>
    <row r="4918" spans="6:12">
      <c r="H4918" t="s">
        <v>20284</v>
      </c>
      <c r="I4918" t="s">
        <v>1357</v>
      </c>
      <c r="J4918" t="s">
        <v>1357</v>
      </c>
      <c r="K4918" t="s">
        <v>1357</v>
      </c>
      <c r="L4918" t="s">
        <v>1357</v>
      </c>
    </row>
    <row r="4919" spans="6:12">
      <c r="H4919" t="s">
        <v>20285</v>
      </c>
      <c r="I4919" t="s">
        <v>1357</v>
      </c>
      <c r="J4919" t="s">
        <v>1357</v>
      </c>
      <c r="K4919" t="s">
        <v>1357</v>
      </c>
      <c r="L4919" t="s">
        <v>1357</v>
      </c>
    </row>
    <row r="4920" spans="6:12">
      <c r="H4920" t="s">
        <v>20286</v>
      </c>
      <c r="I4920" t="s">
        <v>1357</v>
      </c>
      <c r="J4920" t="s">
        <v>1357</v>
      </c>
      <c r="K4920" t="s">
        <v>1357</v>
      </c>
      <c r="L4920" t="s">
        <v>1357</v>
      </c>
    </row>
    <row r="4921" spans="6:12">
      <c r="H4921" t="s">
        <v>20287</v>
      </c>
      <c r="I4921" t="s">
        <v>1357</v>
      </c>
      <c r="J4921" t="s">
        <v>1357</v>
      </c>
      <c r="K4921" t="s">
        <v>1357</v>
      </c>
      <c r="L4921" t="s">
        <v>1357</v>
      </c>
    </row>
    <row r="4922" spans="6:12">
      <c r="F4922" t="s">
        <v>15107</v>
      </c>
      <c r="G4922" t="s">
        <v>17528</v>
      </c>
      <c r="H4922" t="s">
        <v>20280</v>
      </c>
      <c r="I4922" t="s">
        <v>1357</v>
      </c>
      <c r="J4922" t="s">
        <v>1357</v>
      </c>
      <c r="K4922" t="s">
        <v>1357</v>
      </c>
      <c r="L4922" t="s">
        <v>1357</v>
      </c>
    </row>
    <row r="4923" spans="6:12">
      <c r="H4923" t="s">
        <v>20233</v>
      </c>
      <c r="I4923" t="s">
        <v>1357</v>
      </c>
      <c r="J4923" t="s">
        <v>1357</v>
      </c>
      <c r="K4923" t="s">
        <v>1357</v>
      </c>
      <c r="L4923" t="s">
        <v>1357</v>
      </c>
    </row>
    <row r="4924" spans="6:12">
      <c r="H4924" t="s">
        <v>20230</v>
      </c>
      <c r="I4924" t="s">
        <v>1357</v>
      </c>
      <c r="J4924" t="s">
        <v>1357</v>
      </c>
      <c r="K4924" t="s">
        <v>1357</v>
      </c>
      <c r="L4924" t="s">
        <v>1357</v>
      </c>
    </row>
    <row r="4925" spans="6:12">
      <c r="H4925" t="s">
        <v>20227</v>
      </c>
      <c r="I4925" t="s">
        <v>1357</v>
      </c>
      <c r="J4925" t="s">
        <v>1357</v>
      </c>
      <c r="K4925" t="s">
        <v>1357</v>
      </c>
      <c r="L4925" t="s">
        <v>1357</v>
      </c>
    </row>
    <row r="4926" spans="6:12">
      <c r="H4926" t="s">
        <v>20228</v>
      </c>
      <c r="I4926" t="s">
        <v>1357</v>
      </c>
      <c r="J4926" t="s">
        <v>1357</v>
      </c>
      <c r="K4926" t="s">
        <v>1357</v>
      </c>
      <c r="L4926" t="s">
        <v>1357</v>
      </c>
    </row>
    <row r="4927" spans="6:12">
      <c r="H4927" t="s">
        <v>20232</v>
      </c>
      <c r="I4927" t="s">
        <v>1357</v>
      </c>
      <c r="J4927" t="s">
        <v>1357</v>
      </c>
      <c r="K4927" t="s">
        <v>1357</v>
      </c>
      <c r="L4927" t="s">
        <v>1357</v>
      </c>
    </row>
    <row r="4928" spans="6:12">
      <c r="H4928" t="s">
        <v>20229</v>
      </c>
      <c r="I4928" t="s">
        <v>1357</v>
      </c>
      <c r="J4928" t="s">
        <v>1357</v>
      </c>
      <c r="K4928" t="s">
        <v>1357</v>
      </c>
      <c r="L4928" t="s">
        <v>1357</v>
      </c>
    </row>
    <row r="4929" spans="6:12">
      <c r="H4929" t="s">
        <v>20296</v>
      </c>
      <c r="I4929" t="s">
        <v>1357</v>
      </c>
      <c r="J4929" t="s">
        <v>1357</v>
      </c>
      <c r="K4929" t="s">
        <v>1357</v>
      </c>
      <c r="L4929" t="s">
        <v>1357</v>
      </c>
    </row>
    <row r="4930" spans="6:12">
      <c r="H4930" t="s">
        <v>20297</v>
      </c>
      <c r="I4930" t="s">
        <v>1357</v>
      </c>
      <c r="J4930" t="s">
        <v>1357</v>
      </c>
      <c r="K4930" t="s">
        <v>1357</v>
      </c>
      <c r="L4930" t="s">
        <v>1357</v>
      </c>
    </row>
    <row r="4931" spans="6:12">
      <c r="H4931" t="s">
        <v>20234</v>
      </c>
      <c r="I4931" t="s">
        <v>1357</v>
      </c>
      <c r="J4931" t="s">
        <v>1357</v>
      </c>
      <c r="K4931" t="s">
        <v>1357</v>
      </c>
      <c r="L4931" t="s">
        <v>1357</v>
      </c>
    </row>
    <row r="4932" spans="6:12">
      <c r="H4932" t="s">
        <v>20235</v>
      </c>
      <c r="I4932" t="s">
        <v>1357</v>
      </c>
      <c r="J4932" t="s">
        <v>1357</v>
      </c>
      <c r="K4932" t="s">
        <v>1357</v>
      </c>
      <c r="L4932" t="s">
        <v>1357</v>
      </c>
    </row>
    <row r="4933" spans="6:12">
      <c r="H4933" t="s">
        <v>20298</v>
      </c>
      <c r="I4933" t="s">
        <v>1357</v>
      </c>
      <c r="J4933" t="s">
        <v>1357</v>
      </c>
      <c r="K4933" t="s">
        <v>1357</v>
      </c>
      <c r="L4933" t="s">
        <v>1357</v>
      </c>
    </row>
    <row r="4934" spans="6:12">
      <c r="H4934" t="s">
        <v>20299</v>
      </c>
      <c r="I4934" t="s">
        <v>1357</v>
      </c>
      <c r="J4934" t="s">
        <v>1357</v>
      </c>
      <c r="K4934" t="s">
        <v>1357</v>
      </c>
      <c r="L4934" t="s">
        <v>1357</v>
      </c>
    </row>
    <row r="4935" spans="6:12">
      <c r="H4935" t="s">
        <v>20281</v>
      </c>
      <c r="I4935" t="s">
        <v>1357</v>
      </c>
      <c r="J4935" t="s">
        <v>1357</v>
      </c>
      <c r="K4935" t="s">
        <v>1357</v>
      </c>
      <c r="L4935" t="s">
        <v>1357</v>
      </c>
    </row>
    <row r="4936" spans="6:12">
      <c r="H4936" t="s">
        <v>20284</v>
      </c>
      <c r="I4936" t="s">
        <v>1357</v>
      </c>
      <c r="J4936" t="s">
        <v>1357</v>
      </c>
      <c r="K4936" t="s">
        <v>1357</v>
      </c>
      <c r="L4936" t="s">
        <v>1357</v>
      </c>
    </row>
    <row r="4937" spans="6:12">
      <c r="H4937" t="s">
        <v>20285</v>
      </c>
      <c r="I4937" t="s">
        <v>1357</v>
      </c>
      <c r="J4937" t="s">
        <v>1357</v>
      </c>
      <c r="K4937" t="s">
        <v>1357</v>
      </c>
      <c r="L4937" t="s">
        <v>1357</v>
      </c>
    </row>
    <row r="4938" spans="6:12">
      <c r="H4938" t="s">
        <v>20286</v>
      </c>
      <c r="I4938" t="s">
        <v>1357</v>
      </c>
      <c r="J4938" t="s">
        <v>1357</v>
      </c>
      <c r="K4938" t="s">
        <v>1357</v>
      </c>
      <c r="L4938" t="s">
        <v>1357</v>
      </c>
    </row>
    <row r="4939" spans="6:12">
      <c r="H4939" t="s">
        <v>20287</v>
      </c>
      <c r="I4939" t="s">
        <v>1357</v>
      </c>
      <c r="J4939" t="s">
        <v>1357</v>
      </c>
      <c r="K4939" t="s">
        <v>1357</v>
      </c>
      <c r="L4939" t="s">
        <v>1357</v>
      </c>
    </row>
    <row r="4940" spans="6:12">
      <c r="F4940" t="s">
        <v>15108</v>
      </c>
      <c r="G4940" t="s">
        <v>17529</v>
      </c>
      <c r="H4940" t="s">
        <v>20280</v>
      </c>
      <c r="I4940" t="s">
        <v>1357</v>
      </c>
      <c r="J4940" t="s">
        <v>1357</v>
      </c>
      <c r="K4940" t="s">
        <v>1357</v>
      </c>
      <c r="L4940" t="s">
        <v>1357</v>
      </c>
    </row>
    <row r="4941" spans="6:12">
      <c r="H4941" t="s">
        <v>20233</v>
      </c>
      <c r="I4941" t="s">
        <v>1357</v>
      </c>
      <c r="J4941" t="s">
        <v>1357</v>
      </c>
      <c r="K4941" t="s">
        <v>1357</v>
      </c>
      <c r="L4941" t="s">
        <v>1357</v>
      </c>
    </row>
    <row r="4942" spans="6:12">
      <c r="H4942" t="s">
        <v>20230</v>
      </c>
      <c r="I4942" t="s">
        <v>1357</v>
      </c>
      <c r="J4942" t="s">
        <v>1357</v>
      </c>
      <c r="K4942" t="s">
        <v>1357</v>
      </c>
      <c r="L4942" t="s">
        <v>1357</v>
      </c>
    </row>
    <row r="4943" spans="6:12">
      <c r="H4943" t="s">
        <v>20227</v>
      </c>
      <c r="I4943" t="s">
        <v>1357</v>
      </c>
      <c r="J4943" t="s">
        <v>1357</v>
      </c>
      <c r="K4943" t="s">
        <v>1357</v>
      </c>
      <c r="L4943" t="s">
        <v>1357</v>
      </c>
    </row>
    <row r="4944" spans="6:12">
      <c r="H4944" t="s">
        <v>20228</v>
      </c>
      <c r="I4944" t="s">
        <v>1357</v>
      </c>
      <c r="J4944" t="s">
        <v>1357</v>
      </c>
      <c r="K4944" t="s">
        <v>1357</v>
      </c>
      <c r="L4944" t="s">
        <v>1357</v>
      </c>
    </row>
    <row r="4945" spans="6:12">
      <c r="H4945" t="s">
        <v>20232</v>
      </c>
      <c r="I4945" t="s">
        <v>1357</v>
      </c>
      <c r="J4945" t="s">
        <v>1357</v>
      </c>
      <c r="K4945" t="s">
        <v>1357</v>
      </c>
      <c r="L4945" t="s">
        <v>1357</v>
      </c>
    </row>
    <row r="4946" spans="6:12">
      <c r="H4946" t="s">
        <v>20229</v>
      </c>
      <c r="I4946" t="s">
        <v>1357</v>
      </c>
      <c r="J4946" t="s">
        <v>1357</v>
      </c>
      <c r="K4946" t="s">
        <v>1357</v>
      </c>
      <c r="L4946" t="s">
        <v>1357</v>
      </c>
    </row>
    <row r="4947" spans="6:12">
      <c r="H4947" t="s">
        <v>20296</v>
      </c>
      <c r="I4947" t="s">
        <v>1357</v>
      </c>
      <c r="J4947" t="s">
        <v>1357</v>
      </c>
      <c r="K4947" t="s">
        <v>1357</v>
      </c>
      <c r="L4947" t="s">
        <v>1357</v>
      </c>
    </row>
    <row r="4948" spans="6:12">
      <c r="H4948" t="s">
        <v>20297</v>
      </c>
      <c r="I4948" t="s">
        <v>1357</v>
      </c>
      <c r="J4948" t="s">
        <v>1357</v>
      </c>
      <c r="K4948" t="s">
        <v>1357</v>
      </c>
      <c r="L4948" t="s">
        <v>1357</v>
      </c>
    </row>
    <row r="4949" spans="6:12">
      <c r="H4949" t="s">
        <v>20234</v>
      </c>
      <c r="I4949" t="s">
        <v>1357</v>
      </c>
      <c r="J4949" t="s">
        <v>1357</v>
      </c>
      <c r="K4949" t="s">
        <v>1357</v>
      </c>
      <c r="L4949" t="s">
        <v>1357</v>
      </c>
    </row>
    <row r="4950" spans="6:12">
      <c r="H4950" t="s">
        <v>20235</v>
      </c>
      <c r="I4950" t="s">
        <v>1357</v>
      </c>
      <c r="J4950" t="s">
        <v>1357</v>
      </c>
      <c r="K4950" t="s">
        <v>1357</v>
      </c>
      <c r="L4950" t="s">
        <v>1357</v>
      </c>
    </row>
    <row r="4951" spans="6:12">
      <c r="H4951" t="s">
        <v>20298</v>
      </c>
      <c r="I4951" t="s">
        <v>1357</v>
      </c>
      <c r="J4951" t="s">
        <v>1357</v>
      </c>
      <c r="K4951" t="s">
        <v>1357</v>
      </c>
      <c r="L4951" t="s">
        <v>1357</v>
      </c>
    </row>
    <row r="4952" spans="6:12">
      <c r="H4952" t="s">
        <v>20299</v>
      </c>
      <c r="I4952" t="s">
        <v>1357</v>
      </c>
      <c r="J4952" t="s">
        <v>1357</v>
      </c>
      <c r="K4952" t="s">
        <v>1357</v>
      </c>
      <c r="L4952" t="s">
        <v>1357</v>
      </c>
    </row>
    <row r="4953" spans="6:12">
      <c r="H4953" t="s">
        <v>20281</v>
      </c>
      <c r="I4953" t="s">
        <v>1357</v>
      </c>
      <c r="J4953" t="s">
        <v>1357</v>
      </c>
      <c r="K4953" t="s">
        <v>1357</v>
      </c>
      <c r="L4953" t="s">
        <v>1357</v>
      </c>
    </row>
    <row r="4954" spans="6:12">
      <c r="H4954" t="s">
        <v>20284</v>
      </c>
      <c r="I4954" t="s">
        <v>1357</v>
      </c>
      <c r="J4954" t="s">
        <v>1357</v>
      </c>
      <c r="K4954" t="s">
        <v>1357</v>
      </c>
      <c r="L4954" t="s">
        <v>1357</v>
      </c>
    </row>
    <row r="4955" spans="6:12">
      <c r="H4955" t="s">
        <v>20285</v>
      </c>
      <c r="I4955" t="s">
        <v>1357</v>
      </c>
      <c r="J4955" t="s">
        <v>1357</v>
      </c>
      <c r="K4955" t="s">
        <v>1357</v>
      </c>
      <c r="L4955" t="s">
        <v>1357</v>
      </c>
    </row>
    <row r="4956" spans="6:12">
      <c r="H4956" t="s">
        <v>20286</v>
      </c>
      <c r="I4956" t="s">
        <v>1357</v>
      </c>
      <c r="J4956" t="s">
        <v>1357</v>
      </c>
      <c r="K4956" t="s">
        <v>1357</v>
      </c>
      <c r="L4956" t="s">
        <v>1357</v>
      </c>
    </row>
    <row r="4957" spans="6:12">
      <c r="H4957" t="s">
        <v>20287</v>
      </c>
      <c r="I4957" t="s">
        <v>1357</v>
      </c>
      <c r="J4957" t="s">
        <v>1357</v>
      </c>
      <c r="K4957" t="s">
        <v>1357</v>
      </c>
      <c r="L4957" t="s">
        <v>1357</v>
      </c>
    </row>
    <row r="4958" spans="6:12">
      <c r="F4958" t="s">
        <v>15109</v>
      </c>
      <c r="G4958" t="s">
        <v>17530</v>
      </c>
      <c r="H4958" t="s">
        <v>20280</v>
      </c>
      <c r="I4958" t="s">
        <v>1357</v>
      </c>
      <c r="J4958" t="s">
        <v>1357</v>
      </c>
      <c r="K4958" t="s">
        <v>1357</v>
      </c>
      <c r="L4958" t="s">
        <v>1357</v>
      </c>
    </row>
    <row r="4959" spans="6:12">
      <c r="H4959" t="s">
        <v>20233</v>
      </c>
      <c r="I4959" t="s">
        <v>1357</v>
      </c>
      <c r="J4959" t="s">
        <v>1357</v>
      </c>
      <c r="K4959" t="s">
        <v>1357</v>
      </c>
      <c r="L4959" t="s">
        <v>1357</v>
      </c>
    </row>
    <row r="4960" spans="6:12">
      <c r="H4960" t="s">
        <v>20230</v>
      </c>
      <c r="I4960" t="s">
        <v>1357</v>
      </c>
      <c r="J4960" t="s">
        <v>1357</v>
      </c>
      <c r="K4960" t="s">
        <v>1357</v>
      </c>
      <c r="L4960" t="s">
        <v>1357</v>
      </c>
    </row>
    <row r="4961" spans="6:12">
      <c r="H4961" t="s">
        <v>20227</v>
      </c>
      <c r="I4961" t="s">
        <v>1357</v>
      </c>
      <c r="J4961" t="s">
        <v>1357</v>
      </c>
      <c r="K4961" t="s">
        <v>1357</v>
      </c>
      <c r="L4961" t="s">
        <v>1357</v>
      </c>
    </row>
    <row r="4962" spans="6:12">
      <c r="H4962" t="s">
        <v>20228</v>
      </c>
      <c r="I4962" t="s">
        <v>1357</v>
      </c>
      <c r="J4962" t="s">
        <v>1357</v>
      </c>
      <c r="K4962" t="s">
        <v>1357</v>
      </c>
      <c r="L4962" t="s">
        <v>1357</v>
      </c>
    </row>
    <row r="4963" spans="6:12">
      <c r="H4963" t="s">
        <v>20232</v>
      </c>
      <c r="I4963" t="s">
        <v>1357</v>
      </c>
      <c r="J4963" t="s">
        <v>1357</v>
      </c>
      <c r="K4963" t="s">
        <v>1357</v>
      </c>
      <c r="L4963" t="s">
        <v>1357</v>
      </c>
    </row>
    <row r="4964" spans="6:12">
      <c r="H4964" t="s">
        <v>20229</v>
      </c>
      <c r="I4964" t="s">
        <v>1357</v>
      </c>
      <c r="J4964" t="s">
        <v>1357</v>
      </c>
      <c r="K4964" t="s">
        <v>1357</v>
      </c>
      <c r="L4964" t="s">
        <v>1357</v>
      </c>
    </row>
    <row r="4965" spans="6:12">
      <c r="H4965" t="s">
        <v>20296</v>
      </c>
      <c r="I4965" t="s">
        <v>1357</v>
      </c>
      <c r="J4965" t="s">
        <v>1357</v>
      </c>
      <c r="K4965" t="s">
        <v>1357</v>
      </c>
      <c r="L4965" t="s">
        <v>1357</v>
      </c>
    </row>
    <row r="4966" spans="6:12">
      <c r="H4966" t="s">
        <v>20297</v>
      </c>
      <c r="I4966" t="s">
        <v>1357</v>
      </c>
      <c r="J4966" t="s">
        <v>1357</v>
      </c>
      <c r="K4966" t="s">
        <v>1357</v>
      </c>
      <c r="L4966" t="s">
        <v>1357</v>
      </c>
    </row>
    <row r="4967" spans="6:12">
      <c r="H4967" t="s">
        <v>20234</v>
      </c>
      <c r="I4967" t="s">
        <v>1357</v>
      </c>
      <c r="J4967" t="s">
        <v>1357</v>
      </c>
      <c r="K4967" t="s">
        <v>1357</v>
      </c>
      <c r="L4967" t="s">
        <v>1357</v>
      </c>
    </row>
    <row r="4968" spans="6:12">
      <c r="H4968" t="s">
        <v>20235</v>
      </c>
      <c r="I4968" t="s">
        <v>1357</v>
      </c>
      <c r="J4968" t="s">
        <v>1357</v>
      </c>
      <c r="K4968" t="s">
        <v>1357</v>
      </c>
      <c r="L4968" t="s">
        <v>1357</v>
      </c>
    </row>
    <row r="4969" spans="6:12">
      <c r="H4969" t="s">
        <v>20298</v>
      </c>
      <c r="I4969" t="s">
        <v>1357</v>
      </c>
      <c r="J4969" t="s">
        <v>1357</v>
      </c>
      <c r="K4969" t="s">
        <v>1357</v>
      </c>
      <c r="L4969" t="s">
        <v>1357</v>
      </c>
    </row>
    <row r="4970" spans="6:12">
      <c r="H4970" t="s">
        <v>20299</v>
      </c>
      <c r="I4970" t="s">
        <v>1357</v>
      </c>
      <c r="J4970" t="s">
        <v>1357</v>
      </c>
      <c r="K4970" t="s">
        <v>1357</v>
      </c>
      <c r="L4970" t="s">
        <v>1357</v>
      </c>
    </row>
    <row r="4971" spans="6:12">
      <c r="H4971" t="s">
        <v>20281</v>
      </c>
      <c r="I4971" t="s">
        <v>1357</v>
      </c>
      <c r="J4971" t="s">
        <v>1357</v>
      </c>
      <c r="K4971" t="s">
        <v>1357</v>
      </c>
      <c r="L4971" t="s">
        <v>1357</v>
      </c>
    </row>
    <row r="4972" spans="6:12">
      <c r="H4972" t="s">
        <v>20284</v>
      </c>
      <c r="I4972" t="s">
        <v>1357</v>
      </c>
      <c r="J4972" t="s">
        <v>1357</v>
      </c>
      <c r="K4972" t="s">
        <v>1357</v>
      </c>
      <c r="L4972" t="s">
        <v>1357</v>
      </c>
    </row>
    <row r="4973" spans="6:12">
      <c r="H4973" t="s">
        <v>20285</v>
      </c>
      <c r="I4973" t="s">
        <v>1357</v>
      </c>
      <c r="J4973" t="s">
        <v>1357</v>
      </c>
      <c r="K4973" t="s">
        <v>1357</v>
      </c>
      <c r="L4973" t="s">
        <v>1357</v>
      </c>
    </row>
    <row r="4974" spans="6:12">
      <c r="H4974" t="s">
        <v>20286</v>
      </c>
      <c r="I4974" t="s">
        <v>1357</v>
      </c>
      <c r="J4974" t="s">
        <v>1357</v>
      </c>
      <c r="K4974" t="s">
        <v>1357</v>
      </c>
      <c r="L4974" t="s">
        <v>1357</v>
      </c>
    </row>
    <row r="4975" spans="6:12">
      <c r="H4975" t="s">
        <v>20287</v>
      </c>
      <c r="I4975" t="s">
        <v>1357</v>
      </c>
      <c r="J4975" t="s">
        <v>1357</v>
      </c>
      <c r="K4975" t="s">
        <v>1357</v>
      </c>
      <c r="L4975" t="s">
        <v>1357</v>
      </c>
    </row>
    <row r="4976" spans="6:12">
      <c r="F4976" t="s">
        <v>15110</v>
      </c>
      <c r="G4976" t="s">
        <v>17531</v>
      </c>
      <c r="H4976" t="s">
        <v>20280</v>
      </c>
      <c r="I4976" t="s">
        <v>1357</v>
      </c>
      <c r="J4976" t="s">
        <v>1357</v>
      </c>
      <c r="K4976" t="s">
        <v>1357</v>
      </c>
      <c r="L4976" t="s">
        <v>1357</v>
      </c>
    </row>
    <row r="4977" spans="8:12">
      <c r="H4977" t="s">
        <v>20233</v>
      </c>
      <c r="I4977" t="s">
        <v>1357</v>
      </c>
      <c r="J4977" t="s">
        <v>1357</v>
      </c>
      <c r="K4977" t="s">
        <v>1357</v>
      </c>
      <c r="L4977" t="s">
        <v>1357</v>
      </c>
    </row>
    <row r="4978" spans="8:12">
      <c r="H4978" t="s">
        <v>20230</v>
      </c>
      <c r="I4978" t="s">
        <v>1357</v>
      </c>
      <c r="J4978" t="s">
        <v>1357</v>
      </c>
      <c r="K4978" t="s">
        <v>1357</v>
      </c>
      <c r="L4978" t="s">
        <v>1357</v>
      </c>
    </row>
    <row r="4979" spans="8:12">
      <c r="H4979" t="s">
        <v>20227</v>
      </c>
      <c r="I4979" t="s">
        <v>1357</v>
      </c>
      <c r="J4979" t="s">
        <v>1357</v>
      </c>
      <c r="K4979" t="s">
        <v>1357</v>
      </c>
      <c r="L4979" t="s">
        <v>1357</v>
      </c>
    </row>
    <row r="4980" spans="8:12">
      <c r="H4980" t="s">
        <v>20228</v>
      </c>
      <c r="I4980" t="s">
        <v>1357</v>
      </c>
      <c r="J4980" t="s">
        <v>1357</v>
      </c>
      <c r="K4980" t="s">
        <v>1357</v>
      </c>
      <c r="L4980" t="s">
        <v>1357</v>
      </c>
    </row>
    <row r="4981" spans="8:12">
      <c r="H4981" t="s">
        <v>20232</v>
      </c>
      <c r="I4981" t="s">
        <v>1357</v>
      </c>
      <c r="J4981" t="s">
        <v>1357</v>
      </c>
      <c r="K4981" t="s">
        <v>1357</v>
      </c>
      <c r="L4981" t="s">
        <v>1357</v>
      </c>
    </row>
    <row r="4982" spans="8:12">
      <c r="H4982" t="s">
        <v>20229</v>
      </c>
      <c r="I4982" t="s">
        <v>1357</v>
      </c>
      <c r="J4982" t="s">
        <v>1357</v>
      </c>
      <c r="K4982" t="s">
        <v>1357</v>
      </c>
      <c r="L4982" t="s">
        <v>1357</v>
      </c>
    </row>
    <row r="4983" spans="8:12">
      <c r="H4983" t="s">
        <v>20296</v>
      </c>
      <c r="I4983" t="s">
        <v>1357</v>
      </c>
      <c r="J4983" t="s">
        <v>1357</v>
      </c>
      <c r="K4983" t="s">
        <v>1357</v>
      </c>
      <c r="L4983" t="s">
        <v>1357</v>
      </c>
    </row>
    <row r="4984" spans="8:12">
      <c r="H4984" t="s">
        <v>20297</v>
      </c>
      <c r="I4984" t="s">
        <v>1357</v>
      </c>
      <c r="J4984" t="s">
        <v>1357</v>
      </c>
      <c r="K4984" t="s">
        <v>1357</v>
      </c>
      <c r="L4984" t="s">
        <v>1357</v>
      </c>
    </row>
    <row r="4985" spans="8:12">
      <c r="H4985" t="s">
        <v>20234</v>
      </c>
      <c r="I4985" t="s">
        <v>1357</v>
      </c>
      <c r="J4985" t="s">
        <v>1357</v>
      </c>
      <c r="K4985" t="s">
        <v>1357</v>
      </c>
      <c r="L4985" t="s">
        <v>1357</v>
      </c>
    </row>
    <row r="4986" spans="8:12">
      <c r="H4986" t="s">
        <v>20235</v>
      </c>
      <c r="I4986" t="s">
        <v>1357</v>
      </c>
      <c r="J4986" t="s">
        <v>1357</v>
      </c>
      <c r="K4986" t="s">
        <v>1357</v>
      </c>
      <c r="L4986" t="s">
        <v>1357</v>
      </c>
    </row>
    <row r="4987" spans="8:12">
      <c r="H4987" t="s">
        <v>20298</v>
      </c>
      <c r="I4987" t="s">
        <v>1357</v>
      </c>
      <c r="J4987" t="s">
        <v>1357</v>
      </c>
      <c r="K4987" t="s">
        <v>1357</v>
      </c>
      <c r="L4987" t="s">
        <v>1357</v>
      </c>
    </row>
    <row r="4988" spans="8:12">
      <c r="H4988" t="s">
        <v>20299</v>
      </c>
      <c r="I4988" t="s">
        <v>1357</v>
      </c>
      <c r="J4988" t="s">
        <v>1357</v>
      </c>
      <c r="K4988" t="s">
        <v>1357</v>
      </c>
      <c r="L4988" t="s">
        <v>1357</v>
      </c>
    </row>
    <row r="4989" spans="8:12">
      <c r="H4989" t="s">
        <v>20281</v>
      </c>
      <c r="I4989" t="s">
        <v>1357</v>
      </c>
      <c r="J4989" t="s">
        <v>1357</v>
      </c>
      <c r="K4989" t="s">
        <v>1357</v>
      </c>
      <c r="L4989" t="s">
        <v>1357</v>
      </c>
    </row>
    <row r="4990" spans="8:12">
      <c r="H4990" t="s">
        <v>20284</v>
      </c>
      <c r="I4990" t="s">
        <v>1357</v>
      </c>
      <c r="J4990" t="s">
        <v>1357</v>
      </c>
      <c r="K4990" t="s">
        <v>1357</v>
      </c>
      <c r="L4990" t="s">
        <v>1357</v>
      </c>
    </row>
    <row r="4991" spans="8:12">
      <c r="H4991" t="s">
        <v>20285</v>
      </c>
      <c r="I4991" t="s">
        <v>1357</v>
      </c>
      <c r="J4991" t="s">
        <v>1357</v>
      </c>
      <c r="K4991" t="s">
        <v>1357</v>
      </c>
      <c r="L4991" t="s">
        <v>1357</v>
      </c>
    </row>
    <row r="4992" spans="8:12">
      <c r="H4992" t="s">
        <v>20286</v>
      </c>
      <c r="I4992" t="s">
        <v>1357</v>
      </c>
      <c r="J4992" t="s">
        <v>1357</v>
      </c>
      <c r="K4992" t="s">
        <v>1357</v>
      </c>
      <c r="L4992" t="s">
        <v>1357</v>
      </c>
    </row>
    <row r="4993" spans="6:12">
      <c r="H4993" t="s">
        <v>20287</v>
      </c>
      <c r="I4993" t="s">
        <v>1357</v>
      </c>
      <c r="J4993" t="s">
        <v>1357</v>
      </c>
      <c r="K4993" t="s">
        <v>1357</v>
      </c>
      <c r="L4993" t="s">
        <v>1357</v>
      </c>
    </row>
    <row r="4994" spans="6:12">
      <c r="F4994" t="s">
        <v>15111</v>
      </c>
      <c r="G4994" t="s">
        <v>17846</v>
      </c>
      <c r="H4994" t="s">
        <v>20280</v>
      </c>
      <c r="I4994" t="s">
        <v>1357</v>
      </c>
      <c r="J4994" t="s">
        <v>1357</v>
      </c>
      <c r="K4994" t="s">
        <v>1357</v>
      </c>
      <c r="L4994" t="s">
        <v>1357</v>
      </c>
    </row>
    <row r="4995" spans="6:12">
      <c r="H4995" t="s">
        <v>20233</v>
      </c>
      <c r="I4995" t="s">
        <v>1357</v>
      </c>
      <c r="J4995" t="s">
        <v>1357</v>
      </c>
      <c r="K4995" t="s">
        <v>1357</v>
      </c>
      <c r="L4995" t="s">
        <v>1357</v>
      </c>
    </row>
    <row r="4996" spans="6:12">
      <c r="H4996" t="s">
        <v>20227</v>
      </c>
      <c r="I4996" t="s">
        <v>1357</v>
      </c>
      <c r="J4996" t="s">
        <v>1357</v>
      </c>
      <c r="K4996" t="s">
        <v>1357</v>
      </c>
      <c r="L4996" t="s">
        <v>1357</v>
      </c>
    </row>
    <row r="4997" spans="6:12">
      <c r="H4997" t="s">
        <v>20228</v>
      </c>
      <c r="I4997" t="s">
        <v>1357</v>
      </c>
      <c r="J4997" t="s">
        <v>1357</v>
      </c>
      <c r="K4997" t="s">
        <v>1357</v>
      </c>
      <c r="L4997" t="s">
        <v>1357</v>
      </c>
    </row>
    <row r="4998" spans="6:12">
      <c r="H4998" t="s">
        <v>20229</v>
      </c>
      <c r="I4998" t="s">
        <v>1357</v>
      </c>
      <c r="J4998" t="s">
        <v>1357</v>
      </c>
      <c r="K4998" t="s">
        <v>1357</v>
      </c>
      <c r="L4998" t="s">
        <v>1357</v>
      </c>
    </row>
    <row r="4999" spans="6:12">
      <c r="H4999" t="s">
        <v>20231</v>
      </c>
      <c r="I4999" t="s">
        <v>1357</v>
      </c>
      <c r="J4999" t="s">
        <v>1357</v>
      </c>
      <c r="K4999" t="s">
        <v>1357</v>
      </c>
      <c r="L4999" t="s">
        <v>1357</v>
      </c>
    </row>
    <row r="5000" spans="6:12">
      <c r="H5000" t="s">
        <v>20281</v>
      </c>
      <c r="I5000" t="s">
        <v>1357</v>
      </c>
      <c r="J5000" t="s">
        <v>1357</v>
      </c>
      <c r="K5000" t="s">
        <v>1357</v>
      </c>
      <c r="L5000" t="s">
        <v>1357</v>
      </c>
    </row>
    <row r="5001" spans="6:12">
      <c r="H5001" t="s">
        <v>20284</v>
      </c>
      <c r="I5001" t="s">
        <v>1357</v>
      </c>
      <c r="J5001" t="s">
        <v>1357</v>
      </c>
      <c r="K5001" t="s">
        <v>1357</v>
      </c>
      <c r="L5001" t="s">
        <v>1357</v>
      </c>
    </row>
    <row r="5002" spans="6:12">
      <c r="H5002" t="s">
        <v>20285</v>
      </c>
      <c r="I5002" t="s">
        <v>1357</v>
      </c>
      <c r="J5002" t="s">
        <v>1357</v>
      </c>
      <c r="K5002" t="s">
        <v>1357</v>
      </c>
      <c r="L5002" t="s">
        <v>1357</v>
      </c>
    </row>
    <row r="5003" spans="6:12">
      <c r="H5003" t="s">
        <v>20286</v>
      </c>
      <c r="I5003" t="s">
        <v>1357</v>
      </c>
      <c r="J5003" t="s">
        <v>1357</v>
      </c>
      <c r="K5003" t="s">
        <v>1357</v>
      </c>
      <c r="L5003" t="s">
        <v>1357</v>
      </c>
    </row>
    <row r="5004" spans="6:12">
      <c r="H5004" t="s">
        <v>20287</v>
      </c>
      <c r="I5004" t="s">
        <v>1357</v>
      </c>
      <c r="J5004" t="s">
        <v>1357</v>
      </c>
      <c r="K5004" t="s">
        <v>1357</v>
      </c>
      <c r="L5004" t="s">
        <v>1357</v>
      </c>
    </row>
    <row r="5005" spans="6:12">
      <c r="H5005" t="s">
        <v>20289</v>
      </c>
      <c r="I5005" t="s">
        <v>1357</v>
      </c>
      <c r="J5005" t="s">
        <v>1357</v>
      </c>
      <c r="K5005" t="s">
        <v>1357</v>
      </c>
      <c r="L5005" t="s">
        <v>1357</v>
      </c>
    </row>
    <row r="5006" spans="6:12">
      <c r="H5006" t="s">
        <v>20290</v>
      </c>
      <c r="I5006" t="s">
        <v>1357</v>
      </c>
      <c r="J5006" t="s">
        <v>1357</v>
      </c>
      <c r="K5006" t="s">
        <v>1357</v>
      </c>
      <c r="L5006" t="s">
        <v>1357</v>
      </c>
    </row>
    <row r="5007" spans="6:12">
      <c r="H5007" t="s">
        <v>20291</v>
      </c>
      <c r="I5007" t="s">
        <v>1357</v>
      </c>
      <c r="J5007" t="s">
        <v>1357</v>
      </c>
      <c r="K5007" t="s">
        <v>1357</v>
      </c>
      <c r="L5007" t="s">
        <v>1357</v>
      </c>
    </row>
    <row r="5008" spans="6:12">
      <c r="H5008" t="s">
        <v>20293</v>
      </c>
      <c r="I5008" t="s">
        <v>1357</v>
      </c>
      <c r="J5008" t="s">
        <v>1357</v>
      </c>
      <c r="K5008" t="s">
        <v>1357</v>
      </c>
      <c r="L5008" t="s">
        <v>1357</v>
      </c>
    </row>
    <row r="5009" spans="6:12">
      <c r="F5009" t="s">
        <v>15112</v>
      </c>
      <c r="G5009" t="s">
        <v>17847</v>
      </c>
      <c r="H5009" t="s">
        <v>20280</v>
      </c>
      <c r="I5009" t="s">
        <v>1357</v>
      </c>
      <c r="J5009" t="s">
        <v>1357</v>
      </c>
      <c r="K5009" t="s">
        <v>1357</v>
      </c>
      <c r="L5009" t="s">
        <v>1357</v>
      </c>
    </row>
    <row r="5010" spans="6:12">
      <c r="H5010" t="s">
        <v>20281</v>
      </c>
      <c r="I5010" t="s">
        <v>1357</v>
      </c>
      <c r="J5010" t="s">
        <v>1357</v>
      </c>
      <c r="K5010" t="s">
        <v>1357</v>
      </c>
      <c r="L5010" t="s">
        <v>1357</v>
      </c>
    </row>
    <row r="5011" spans="6:12">
      <c r="H5011" t="s">
        <v>20284</v>
      </c>
      <c r="I5011" t="s">
        <v>1357</v>
      </c>
      <c r="J5011" t="s">
        <v>1357</v>
      </c>
      <c r="K5011" t="s">
        <v>1357</v>
      </c>
      <c r="L5011" t="s">
        <v>1357</v>
      </c>
    </row>
    <row r="5012" spans="6:12">
      <c r="H5012" t="s">
        <v>20285</v>
      </c>
      <c r="I5012" t="s">
        <v>1357</v>
      </c>
      <c r="J5012" t="s">
        <v>1357</v>
      </c>
      <c r="K5012" t="s">
        <v>1357</v>
      </c>
      <c r="L5012" t="s">
        <v>1357</v>
      </c>
    </row>
    <row r="5013" spans="6:12">
      <c r="H5013" t="s">
        <v>20286</v>
      </c>
      <c r="I5013" t="s">
        <v>1357</v>
      </c>
      <c r="J5013" t="s">
        <v>1357</v>
      </c>
      <c r="K5013" t="s">
        <v>1357</v>
      </c>
      <c r="L5013" t="s">
        <v>1357</v>
      </c>
    </row>
    <row r="5014" spans="6:12">
      <c r="F5014" t="s">
        <v>15113</v>
      </c>
      <c r="G5014" t="s">
        <v>17848</v>
      </c>
      <c r="H5014" t="s">
        <v>20280</v>
      </c>
      <c r="I5014" t="s">
        <v>1357</v>
      </c>
      <c r="J5014" t="s">
        <v>1357</v>
      </c>
      <c r="K5014" t="s">
        <v>1357</v>
      </c>
      <c r="L5014" t="s">
        <v>1357</v>
      </c>
    </row>
    <row r="5015" spans="6:12">
      <c r="H5015" t="s">
        <v>20281</v>
      </c>
      <c r="I5015" t="s">
        <v>1357</v>
      </c>
      <c r="J5015" t="s">
        <v>1357</v>
      </c>
      <c r="K5015" t="s">
        <v>1357</v>
      </c>
      <c r="L5015" t="s">
        <v>1357</v>
      </c>
    </row>
    <row r="5016" spans="6:12">
      <c r="H5016" t="s">
        <v>20284</v>
      </c>
      <c r="I5016" t="s">
        <v>1357</v>
      </c>
      <c r="J5016" t="s">
        <v>1357</v>
      </c>
      <c r="K5016" t="s">
        <v>1357</v>
      </c>
      <c r="L5016" t="s">
        <v>1357</v>
      </c>
    </row>
    <row r="5017" spans="6:12">
      <c r="H5017" t="s">
        <v>20285</v>
      </c>
      <c r="I5017" t="s">
        <v>1357</v>
      </c>
      <c r="J5017" t="s">
        <v>1357</v>
      </c>
      <c r="K5017" t="s">
        <v>1357</v>
      </c>
      <c r="L5017" t="s">
        <v>1357</v>
      </c>
    </row>
    <row r="5018" spans="6:12">
      <c r="H5018" t="s">
        <v>20286</v>
      </c>
      <c r="I5018" t="s">
        <v>1357</v>
      </c>
      <c r="J5018" t="s">
        <v>1357</v>
      </c>
      <c r="K5018" t="s">
        <v>1357</v>
      </c>
      <c r="L5018" t="s">
        <v>1357</v>
      </c>
    </row>
    <row r="5019" spans="6:12">
      <c r="H5019" t="s">
        <v>20287</v>
      </c>
      <c r="I5019" t="s">
        <v>1357</v>
      </c>
      <c r="J5019" t="s">
        <v>1357</v>
      </c>
      <c r="K5019" t="s">
        <v>1357</v>
      </c>
      <c r="L5019" t="s">
        <v>1357</v>
      </c>
    </row>
    <row r="5020" spans="6:12">
      <c r="F5020" t="s">
        <v>15114</v>
      </c>
      <c r="G5020" t="s">
        <v>17532</v>
      </c>
      <c r="H5020" t="s">
        <v>20280</v>
      </c>
      <c r="I5020" t="s">
        <v>1357</v>
      </c>
      <c r="J5020" t="s">
        <v>1357</v>
      </c>
      <c r="K5020" t="s">
        <v>1357</v>
      </c>
      <c r="L5020" t="s">
        <v>1357</v>
      </c>
    </row>
    <row r="5021" spans="6:12">
      <c r="H5021" t="s">
        <v>20233</v>
      </c>
      <c r="I5021" t="s">
        <v>1357</v>
      </c>
      <c r="J5021" t="s">
        <v>1357</v>
      </c>
      <c r="K5021" t="s">
        <v>1357</v>
      </c>
      <c r="L5021" t="s">
        <v>1357</v>
      </c>
    </row>
    <row r="5022" spans="6:12">
      <c r="H5022" t="s">
        <v>20230</v>
      </c>
      <c r="I5022" t="s">
        <v>1357</v>
      </c>
      <c r="J5022" t="s">
        <v>1357</v>
      </c>
      <c r="K5022" t="s">
        <v>1357</v>
      </c>
      <c r="L5022" t="s">
        <v>1357</v>
      </c>
    </row>
    <row r="5023" spans="6:12">
      <c r="H5023" t="s">
        <v>20296</v>
      </c>
      <c r="I5023" t="s">
        <v>1357</v>
      </c>
      <c r="J5023" t="s">
        <v>1357</v>
      </c>
      <c r="K5023" t="s">
        <v>1357</v>
      </c>
      <c r="L5023" t="s">
        <v>1357</v>
      </c>
    </row>
    <row r="5024" spans="6:12">
      <c r="H5024" t="s">
        <v>20297</v>
      </c>
      <c r="I5024" t="s">
        <v>1357</v>
      </c>
      <c r="J5024" t="s">
        <v>1357</v>
      </c>
      <c r="K5024" t="s">
        <v>1357</v>
      </c>
      <c r="L5024" t="s">
        <v>1357</v>
      </c>
    </row>
    <row r="5025" spans="6:12">
      <c r="H5025" t="s">
        <v>20234</v>
      </c>
      <c r="I5025" t="s">
        <v>1357</v>
      </c>
      <c r="J5025" t="s">
        <v>1357</v>
      </c>
      <c r="K5025" t="s">
        <v>1357</v>
      </c>
      <c r="L5025" t="s">
        <v>1357</v>
      </c>
    </row>
    <row r="5026" spans="6:12">
      <c r="H5026" t="s">
        <v>20235</v>
      </c>
      <c r="I5026" t="s">
        <v>1357</v>
      </c>
      <c r="J5026" t="s">
        <v>1357</v>
      </c>
      <c r="K5026" t="s">
        <v>1357</v>
      </c>
      <c r="L5026" t="s">
        <v>1357</v>
      </c>
    </row>
    <row r="5027" spans="6:12">
      <c r="H5027" t="s">
        <v>20298</v>
      </c>
      <c r="I5027" t="s">
        <v>1357</v>
      </c>
      <c r="J5027" t="s">
        <v>1357</v>
      </c>
      <c r="K5027" t="s">
        <v>1357</v>
      </c>
      <c r="L5027" t="s">
        <v>1357</v>
      </c>
    </row>
    <row r="5028" spans="6:12">
      <c r="H5028" t="s">
        <v>20299</v>
      </c>
      <c r="I5028" t="s">
        <v>1357</v>
      </c>
      <c r="J5028" t="s">
        <v>1357</v>
      </c>
      <c r="K5028" t="s">
        <v>1357</v>
      </c>
      <c r="L5028" t="s">
        <v>1357</v>
      </c>
    </row>
    <row r="5029" spans="6:12">
      <c r="H5029" t="s">
        <v>20300</v>
      </c>
      <c r="I5029" t="s">
        <v>1357</v>
      </c>
      <c r="J5029" t="s">
        <v>1357</v>
      </c>
      <c r="K5029" t="s">
        <v>1357</v>
      </c>
      <c r="L5029" t="s">
        <v>1357</v>
      </c>
    </row>
    <row r="5030" spans="6:12">
      <c r="H5030" t="s">
        <v>20301</v>
      </c>
      <c r="I5030" t="s">
        <v>1357</v>
      </c>
      <c r="J5030" t="s">
        <v>1357</v>
      </c>
      <c r="K5030" t="s">
        <v>1357</v>
      </c>
      <c r="L5030" t="s">
        <v>1357</v>
      </c>
    </row>
    <row r="5031" spans="6:12">
      <c r="H5031" t="s">
        <v>20302</v>
      </c>
      <c r="I5031" t="s">
        <v>1357</v>
      </c>
      <c r="J5031" t="s">
        <v>1357</v>
      </c>
      <c r="K5031" t="s">
        <v>1357</v>
      </c>
      <c r="L5031" t="s">
        <v>1357</v>
      </c>
    </row>
    <row r="5032" spans="6:12">
      <c r="H5032" t="s">
        <v>20303</v>
      </c>
      <c r="I5032" t="s">
        <v>1357</v>
      </c>
      <c r="J5032" t="s">
        <v>1357</v>
      </c>
      <c r="K5032" t="s">
        <v>1357</v>
      </c>
      <c r="L5032" t="s">
        <v>1357</v>
      </c>
    </row>
    <row r="5033" spans="6:12">
      <c r="H5033" t="s">
        <v>20304</v>
      </c>
      <c r="I5033" t="s">
        <v>1357</v>
      </c>
      <c r="J5033" t="s">
        <v>1357</v>
      </c>
      <c r="K5033" t="s">
        <v>1357</v>
      </c>
      <c r="L5033" t="s">
        <v>1357</v>
      </c>
    </row>
    <row r="5034" spans="6:12">
      <c r="H5034" t="s">
        <v>20309</v>
      </c>
      <c r="I5034" t="s">
        <v>1357</v>
      </c>
      <c r="J5034" t="s">
        <v>1357</v>
      </c>
      <c r="K5034" t="s">
        <v>1357</v>
      </c>
      <c r="L5034" t="s">
        <v>1357</v>
      </c>
    </row>
    <row r="5035" spans="6:12">
      <c r="H5035" t="s">
        <v>20284</v>
      </c>
      <c r="I5035" t="s">
        <v>1357</v>
      </c>
      <c r="J5035" t="s">
        <v>1357</v>
      </c>
      <c r="K5035" t="s">
        <v>1357</v>
      </c>
      <c r="L5035" t="s">
        <v>1357</v>
      </c>
    </row>
    <row r="5036" spans="6:12">
      <c r="H5036" t="s">
        <v>20285</v>
      </c>
      <c r="I5036" t="s">
        <v>1357</v>
      </c>
      <c r="J5036" t="s">
        <v>1357</v>
      </c>
      <c r="K5036" t="s">
        <v>1357</v>
      </c>
      <c r="L5036" t="s">
        <v>1357</v>
      </c>
    </row>
    <row r="5037" spans="6:12">
      <c r="H5037" t="s">
        <v>20286</v>
      </c>
      <c r="I5037" t="s">
        <v>1357</v>
      </c>
      <c r="J5037" t="s">
        <v>1357</v>
      </c>
      <c r="K5037" t="s">
        <v>1357</v>
      </c>
      <c r="L5037" t="s">
        <v>1357</v>
      </c>
    </row>
    <row r="5038" spans="6:12">
      <c r="H5038" t="s">
        <v>20287</v>
      </c>
      <c r="I5038" t="s">
        <v>1357</v>
      </c>
      <c r="J5038" t="s">
        <v>1357</v>
      </c>
      <c r="K5038" t="s">
        <v>1357</v>
      </c>
      <c r="L5038" t="s">
        <v>1357</v>
      </c>
    </row>
    <row r="5039" spans="6:12">
      <c r="F5039" t="s">
        <v>15115</v>
      </c>
      <c r="G5039" t="s">
        <v>17533</v>
      </c>
      <c r="H5039" t="s">
        <v>20280</v>
      </c>
      <c r="I5039" t="s">
        <v>1357</v>
      </c>
      <c r="J5039" t="s">
        <v>1357</v>
      </c>
      <c r="K5039" t="s">
        <v>1357</v>
      </c>
      <c r="L5039" t="s">
        <v>1357</v>
      </c>
    </row>
    <row r="5040" spans="6:12">
      <c r="H5040" t="s">
        <v>20233</v>
      </c>
      <c r="I5040" t="s">
        <v>1357</v>
      </c>
      <c r="J5040" t="s">
        <v>1357</v>
      </c>
      <c r="K5040" t="s">
        <v>1357</v>
      </c>
      <c r="L5040" t="s">
        <v>1357</v>
      </c>
    </row>
    <row r="5041" spans="8:12">
      <c r="H5041" t="s">
        <v>20230</v>
      </c>
      <c r="I5041" t="s">
        <v>1357</v>
      </c>
      <c r="J5041" t="s">
        <v>1357</v>
      </c>
      <c r="K5041" t="s">
        <v>1357</v>
      </c>
      <c r="L5041" t="s">
        <v>1357</v>
      </c>
    </row>
    <row r="5042" spans="8:12">
      <c r="H5042" t="s">
        <v>20296</v>
      </c>
      <c r="I5042" t="s">
        <v>1357</v>
      </c>
      <c r="J5042" t="s">
        <v>1357</v>
      </c>
      <c r="K5042" t="s">
        <v>1357</v>
      </c>
      <c r="L5042" t="s">
        <v>1357</v>
      </c>
    </row>
    <row r="5043" spans="8:12">
      <c r="H5043" t="s">
        <v>20297</v>
      </c>
      <c r="I5043" t="s">
        <v>1357</v>
      </c>
      <c r="J5043" t="s">
        <v>1357</v>
      </c>
      <c r="K5043" t="s">
        <v>1357</v>
      </c>
      <c r="L5043" t="s">
        <v>1357</v>
      </c>
    </row>
    <row r="5044" spans="8:12">
      <c r="H5044" t="s">
        <v>20234</v>
      </c>
      <c r="I5044" t="s">
        <v>1357</v>
      </c>
      <c r="J5044" t="s">
        <v>1357</v>
      </c>
      <c r="K5044" t="s">
        <v>1357</v>
      </c>
      <c r="L5044" t="s">
        <v>1357</v>
      </c>
    </row>
    <row r="5045" spans="8:12">
      <c r="H5045" t="s">
        <v>20235</v>
      </c>
      <c r="I5045" t="s">
        <v>1357</v>
      </c>
      <c r="J5045" t="s">
        <v>1357</v>
      </c>
      <c r="K5045" t="s">
        <v>1357</v>
      </c>
      <c r="L5045" t="s">
        <v>1357</v>
      </c>
    </row>
    <row r="5046" spans="8:12">
      <c r="H5046" t="s">
        <v>20298</v>
      </c>
      <c r="I5046" t="s">
        <v>1357</v>
      </c>
      <c r="J5046" t="s">
        <v>1357</v>
      </c>
      <c r="K5046" t="s">
        <v>1357</v>
      </c>
      <c r="L5046" t="s">
        <v>1357</v>
      </c>
    </row>
    <row r="5047" spans="8:12">
      <c r="H5047" t="s">
        <v>20299</v>
      </c>
      <c r="I5047" t="s">
        <v>1357</v>
      </c>
      <c r="J5047" t="s">
        <v>1357</v>
      </c>
      <c r="K5047" t="s">
        <v>1357</v>
      </c>
      <c r="L5047" t="s">
        <v>1357</v>
      </c>
    </row>
    <row r="5048" spans="8:12">
      <c r="H5048" t="s">
        <v>20300</v>
      </c>
      <c r="I5048" t="s">
        <v>1357</v>
      </c>
      <c r="J5048" t="s">
        <v>1357</v>
      </c>
      <c r="K5048" t="s">
        <v>1357</v>
      </c>
      <c r="L5048" t="s">
        <v>1357</v>
      </c>
    </row>
    <row r="5049" spans="8:12">
      <c r="H5049" t="s">
        <v>20301</v>
      </c>
      <c r="I5049" t="s">
        <v>1357</v>
      </c>
      <c r="J5049" t="s">
        <v>1357</v>
      </c>
      <c r="K5049" t="s">
        <v>1357</v>
      </c>
      <c r="L5049" t="s">
        <v>1357</v>
      </c>
    </row>
    <row r="5050" spans="8:12">
      <c r="H5050" t="s">
        <v>20302</v>
      </c>
      <c r="I5050" t="s">
        <v>1357</v>
      </c>
      <c r="J5050" t="s">
        <v>1357</v>
      </c>
      <c r="K5050" t="s">
        <v>1357</v>
      </c>
      <c r="L5050" t="s">
        <v>1357</v>
      </c>
    </row>
    <row r="5051" spans="8:12">
      <c r="H5051" t="s">
        <v>20303</v>
      </c>
      <c r="I5051" t="s">
        <v>1357</v>
      </c>
      <c r="J5051" t="s">
        <v>1357</v>
      </c>
      <c r="K5051" t="s">
        <v>1357</v>
      </c>
      <c r="L5051" t="s">
        <v>1357</v>
      </c>
    </row>
    <row r="5052" spans="8:12">
      <c r="H5052" t="s">
        <v>20304</v>
      </c>
      <c r="I5052" t="s">
        <v>1357</v>
      </c>
      <c r="J5052" t="s">
        <v>1357</v>
      </c>
      <c r="K5052" t="s">
        <v>1357</v>
      </c>
      <c r="L5052" t="s">
        <v>1357</v>
      </c>
    </row>
    <row r="5053" spans="8:12">
      <c r="H5053" t="s">
        <v>20309</v>
      </c>
      <c r="I5053" t="s">
        <v>1357</v>
      </c>
      <c r="J5053" t="s">
        <v>1357</v>
      </c>
      <c r="K5053" t="s">
        <v>1357</v>
      </c>
      <c r="L5053" t="s">
        <v>1357</v>
      </c>
    </row>
    <row r="5054" spans="8:12">
      <c r="H5054" t="s">
        <v>20284</v>
      </c>
      <c r="I5054" t="s">
        <v>1357</v>
      </c>
      <c r="J5054" t="s">
        <v>1357</v>
      </c>
      <c r="K5054" t="s">
        <v>1357</v>
      </c>
      <c r="L5054" t="s">
        <v>1357</v>
      </c>
    </row>
    <row r="5055" spans="8:12">
      <c r="H5055" t="s">
        <v>20285</v>
      </c>
      <c r="I5055" t="s">
        <v>1357</v>
      </c>
      <c r="J5055" t="s">
        <v>1357</v>
      </c>
      <c r="K5055" t="s">
        <v>1357</v>
      </c>
      <c r="L5055" t="s">
        <v>1357</v>
      </c>
    </row>
    <row r="5056" spans="8:12">
      <c r="H5056" t="s">
        <v>20286</v>
      </c>
      <c r="I5056" t="s">
        <v>1357</v>
      </c>
      <c r="J5056" t="s">
        <v>1357</v>
      </c>
      <c r="K5056" t="s">
        <v>1357</v>
      </c>
      <c r="L5056" t="s">
        <v>1357</v>
      </c>
    </row>
    <row r="5057" spans="6:12">
      <c r="H5057" t="s">
        <v>20287</v>
      </c>
      <c r="I5057" t="s">
        <v>1357</v>
      </c>
      <c r="J5057" t="s">
        <v>1357</v>
      </c>
      <c r="K5057" t="s">
        <v>1357</v>
      </c>
      <c r="L5057" t="s">
        <v>1357</v>
      </c>
    </row>
    <row r="5058" spans="6:12">
      <c r="F5058" t="s">
        <v>15116</v>
      </c>
      <c r="G5058" t="s">
        <v>17849</v>
      </c>
      <c r="H5058" t="s">
        <v>20280</v>
      </c>
      <c r="I5058" t="s">
        <v>1357</v>
      </c>
      <c r="J5058" t="s">
        <v>1357</v>
      </c>
      <c r="K5058" t="s">
        <v>1357</v>
      </c>
      <c r="L5058" t="s">
        <v>1357</v>
      </c>
    </row>
    <row r="5059" spans="6:12">
      <c r="H5059" t="s">
        <v>20233</v>
      </c>
      <c r="I5059" t="s">
        <v>1357</v>
      </c>
      <c r="J5059" t="s">
        <v>1357</v>
      </c>
      <c r="K5059" t="s">
        <v>1357</v>
      </c>
      <c r="L5059" t="s">
        <v>1357</v>
      </c>
    </row>
    <row r="5060" spans="6:12">
      <c r="H5060" t="s">
        <v>20230</v>
      </c>
      <c r="I5060" t="s">
        <v>1357</v>
      </c>
      <c r="J5060" t="s">
        <v>1357</v>
      </c>
      <c r="K5060" t="s">
        <v>1357</v>
      </c>
      <c r="L5060" t="s">
        <v>1357</v>
      </c>
    </row>
    <row r="5061" spans="6:12">
      <c r="H5061" t="s">
        <v>20281</v>
      </c>
      <c r="I5061" t="s">
        <v>1357</v>
      </c>
      <c r="J5061" t="s">
        <v>1357</v>
      </c>
      <c r="K5061" t="s">
        <v>1357</v>
      </c>
      <c r="L5061" t="s">
        <v>1357</v>
      </c>
    </row>
    <row r="5062" spans="6:12">
      <c r="H5062" t="s">
        <v>20306</v>
      </c>
      <c r="I5062" t="s">
        <v>1357</v>
      </c>
      <c r="J5062" t="s">
        <v>1357</v>
      </c>
      <c r="K5062" t="s">
        <v>1357</v>
      </c>
      <c r="L5062" t="s">
        <v>1357</v>
      </c>
    </row>
    <row r="5063" spans="6:12">
      <c r="H5063" t="s">
        <v>20284</v>
      </c>
      <c r="I5063" t="s">
        <v>1357</v>
      </c>
      <c r="J5063" t="s">
        <v>1357</v>
      </c>
      <c r="K5063" t="s">
        <v>1357</v>
      </c>
      <c r="L5063" t="s">
        <v>1357</v>
      </c>
    </row>
    <row r="5064" spans="6:12">
      <c r="H5064" t="s">
        <v>20285</v>
      </c>
      <c r="I5064" t="s">
        <v>1357</v>
      </c>
      <c r="J5064" t="s">
        <v>1357</v>
      </c>
      <c r="K5064" t="s">
        <v>1357</v>
      </c>
      <c r="L5064" t="s">
        <v>1357</v>
      </c>
    </row>
    <row r="5065" spans="6:12">
      <c r="H5065" t="s">
        <v>20286</v>
      </c>
      <c r="I5065" t="s">
        <v>1357</v>
      </c>
      <c r="J5065" t="s">
        <v>1357</v>
      </c>
      <c r="K5065" t="s">
        <v>1357</v>
      </c>
      <c r="L5065" t="s">
        <v>1357</v>
      </c>
    </row>
    <row r="5066" spans="6:12">
      <c r="H5066" t="s">
        <v>20287</v>
      </c>
      <c r="I5066" t="s">
        <v>1357</v>
      </c>
      <c r="J5066" t="s">
        <v>1357</v>
      </c>
      <c r="K5066" t="s">
        <v>1357</v>
      </c>
      <c r="L5066" t="s">
        <v>1357</v>
      </c>
    </row>
    <row r="5067" spans="6:12">
      <c r="H5067" t="s">
        <v>20288</v>
      </c>
      <c r="I5067" t="s">
        <v>1357</v>
      </c>
      <c r="J5067" t="s">
        <v>1357</v>
      </c>
      <c r="K5067" t="s">
        <v>1357</v>
      </c>
      <c r="L5067" t="s">
        <v>1357</v>
      </c>
    </row>
    <row r="5068" spans="6:12">
      <c r="H5068" t="s">
        <v>20289</v>
      </c>
      <c r="I5068" t="s">
        <v>1357</v>
      </c>
      <c r="J5068" t="s">
        <v>1357</v>
      </c>
      <c r="K5068" t="s">
        <v>1357</v>
      </c>
      <c r="L5068" t="s">
        <v>1357</v>
      </c>
    </row>
    <row r="5069" spans="6:12">
      <c r="H5069" t="s">
        <v>20290</v>
      </c>
      <c r="I5069" t="s">
        <v>1357</v>
      </c>
      <c r="J5069" t="s">
        <v>1357</v>
      </c>
      <c r="K5069" t="s">
        <v>1357</v>
      </c>
      <c r="L5069" t="s">
        <v>1357</v>
      </c>
    </row>
    <row r="5070" spans="6:12">
      <c r="H5070" t="s">
        <v>20291</v>
      </c>
      <c r="I5070" t="s">
        <v>1357</v>
      </c>
      <c r="J5070" t="s">
        <v>1357</v>
      </c>
      <c r="K5070" t="s">
        <v>1357</v>
      </c>
      <c r="L5070" t="s">
        <v>1357</v>
      </c>
    </row>
    <row r="5071" spans="6:12">
      <c r="H5071" t="s">
        <v>20293</v>
      </c>
      <c r="I5071" t="s">
        <v>1357</v>
      </c>
      <c r="J5071" t="s">
        <v>1357</v>
      </c>
      <c r="K5071" t="s">
        <v>1357</v>
      </c>
      <c r="L5071" t="s">
        <v>1357</v>
      </c>
    </row>
    <row r="5072" spans="6:12">
      <c r="H5072" t="s">
        <v>20294</v>
      </c>
      <c r="I5072" t="s">
        <v>1357</v>
      </c>
      <c r="J5072" t="s">
        <v>1357</v>
      </c>
      <c r="K5072" t="s">
        <v>1357</v>
      </c>
      <c r="L5072" t="s">
        <v>1357</v>
      </c>
    </row>
    <row r="5073" spans="6:12">
      <c r="H5073" t="s">
        <v>20312</v>
      </c>
      <c r="I5073" t="s">
        <v>1357</v>
      </c>
      <c r="J5073" t="s">
        <v>1357</v>
      </c>
      <c r="K5073" t="s">
        <v>1357</v>
      </c>
      <c r="L5073" t="s">
        <v>1357</v>
      </c>
    </row>
    <row r="5074" spans="6:12">
      <c r="H5074" t="s">
        <v>20313</v>
      </c>
      <c r="I5074" t="s">
        <v>1357</v>
      </c>
      <c r="J5074" t="s">
        <v>1357</v>
      </c>
      <c r="K5074" t="s">
        <v>1357</v>
      </c>
      <c r="L5074" t="s">
        <v>1357</v>
      </c>
    </row>
    <row r="5075" spans="6:12">
      <c r="H5075" t="s">
        <v>20325</v>
      </c>
      <c r="I5075" t="s">
        <v>1357</v>
      </c>
      <c r="J5075" t="s">
        <v>1357</v>
      </c>
      <c r="K5075" t="s">
        <v>1357</v>
      </c>
      <c r="L5075" t="s">
        <v>1357</v>
      </c>
    </row>
    <row r="5076" spans="6:12">
      <c r="H5076" t="s">
        <v>20326</v>
      </c>
      <c r="I5076" t="s">
        <v>1357</v>
      </c>
      <c r="J5076" t="s">
        <v>1357</v>
      </c>
      <c r="K5076" t="s">
        <v>1357</v>
      </c>
      <c r="L5076" t="s">
        <v>1357</v>
      </c>
    </row>
    <row r="5077" spans="6:12">
      <c r="F5077" t="s">
        <v>15117</v>
      </c>
      <c r="G5077" t="s">
        <v>17850</v>
      </c>
      <c r="H5077" t="s">
        <v>20280</v>
      </c>
      <c r="I5077" t="s">
        <v>1357</v>
      </c>
      <c r="J5077" t="s">
        <v>1357</v>
      </c>
      <c r="K5077" t="s">
        <v>1357</v>
      </c>
      <c r="L5077" t="s">
        <v>1357</v>
      </c>
    </row>
    <row r="5078" spans="6:12">
      <c r="H5078" t="s">
        <v>20230</v>
      </c>
      <c r="I5078" t="s">
        <v>1357</v>
      </c>
      <c r="J5078" t="s">
        <v>1357</v>
      </c>
      <c r="K5078" t="s">
        <v>1357</v>
      </c>
      <c r="L5078" t="s">
        <v>1357</v>
      </c>
    </row>
    <row r="5079" spans="6:12">
      <c r="H5079" t="s">
        <v>20281</v>
      </c>
      <c r="I5079" t="s">
        <v>1357</v>
      </c>
      <c r="J5079" t="s">
        <v>1357</v>
      </c>
      <c r="K5079" t="s">
        <v>1357</v>
      </c>
      <c r="L5079" t="s">
        <v>1357</v>
      </c>
    </row>
    <row r="5080" spans="6:12">
      <c r="H5080" t="s">
        <v>20306</v>
      </c>
      <c r="I5080" t="s">
        <v>1357</v>
      </c>
      <c r="J5080" t="s">
        <v>1357</v>
      </c>
      <c r="K5080" t="s">
        <v>1357</v>
      </c>
      <c r="L5080" t="s">
        <v>1357</v>
      </c>
    </row>
    <row r="5081" spans="6:12">
      <c r="H5081" t="s">
        <v>20284</v>
      </c>
      <c r="I5081" t="s">
        <v>1357</v>
      </c>
      <c r="J5081" t="s">
        <v>1357</v>
      </c>
      <c r="K5081" t="s">
        <v>1357</v>
      </c>
      <c r="L5081" t="s">
        <v>1357</v>
      </c>
    </row>
    <row r="5082" spans="6:12">
      <c r="H5082" t="s">
        <v>20285</v>
      </c>
      <c r="I5082" t="s">
        <v>1357</v>
      </c>
      <c r="J5082" t="s">
        <v>1357</v>
      </c>
      <c r="K5082" t="s">
        <v>1357</v>
      </c>
      <c r="L5082" t="s">
        <v>1357</v>
      </c>
    </row>
    <row r="5083" spans="6:12">
      <c r="H5083" t="s">
        <v>20286</v>
      </c>
      <c r="I5083" t="s">
        <v>1357</v>
      </c>
      <c r="J5083" t="s">
        <v>1357</v>
      </c>
      <c r="K5083" t="s">
        <v>1357</v>
      </c>
      <c r="L5083" t="s">
        <v>1357</v>
      </c>
    </row>
    <row r="5084" spans="6:12">
      <c r="H5084" t="s">
        <v>20287</v>
      </c>
      <c r="I5084" t="s">
        <v>1357</v>
      </c>
      <c r="J5084" t="s">
        <v>1357</v>
      </c>
      <c r="K5084" t="s">
        <v>1357</v>
      </c>
      <c r="L5084" t="s">
        <v>1357</v>
      </c>
    </row>
    <row r="5085" spans="6:12">
      <c r="H5085" t="s">
        <v>20288</v>
      </c>
      <c r="I5085" t="s">
        <v>1357</v>
      </c>
      <c r="J5085" t="s">
        <v>1357</v>
      </c>
      <c r="K5085" t="s">
        <v>1357</v>
      </c>
      <c r="L5085" t="s">
        <v>1357</v>
      </c>
    </row>
    <row r="5086" spans="6:12">
      <c r="H5086" t="s">
        <v>20289</v>
      </c>
      <c r="I5086" t="s">
        <v>1357</v>
      </c>
      <c r="J5086" t="s">
        <v>1357</v>
      </c>
      <c r="K5086" t="s">
        <v>1357</v>
      </c>
      <c r="L5086" t="s">
        <v>1357</v>
      </c>
    </row>
    <row r="5087" spans="6:12">
      <c r="H5087" t="s">
        <v>20290</v>
      </c>
      <c r="I5087" t="s">
        <v>1357</v>
      </c>
      <c r="J5087" t="s">
        <v>1357</v>
      </c>
      <c r="K5087" t="s">
        <v>1357</v>
      </c>
      <c r="L5087" t="s">
        <v>1357</v>
      </c>
    </row>
    <row r="5088" spans="6:12">
      <c r="H5088" t="s">
        <v>20291</v>
      </c>
      <c r="I5088" t="s">
        <v>1357</v>
      </c>
      <c r="J5088" t="s">
        <v>1357</v>
      </c>
      <c r="K5088" t="s">
        <v>1357</v>
      </c>
      <c r="L5088" t="s">
        <v>1357</v>
      </c>
    </row>
    <row r="5089" spans="6:12">
      <c r="H5089" t="s">
        <v>20293</v>
      </c>
      <c r="I5089" t="s">
        <v>1357</v>
      </c>
      <c r="J5089" t="s">
        <v>1357</v>
      </c>
      <c r="K5089" t="s">
        <v>1357</v>
      </c>
      <c r="L5089" t="s">
        <v>1357</v>
      </c>
    </row>
    <row r="5090" spans="6:12">
      <c r="H5090" t="s">
        <v>20294</v>
      </c>
      <c r="I5090" t="s">
        <v>1357</v>
      </c>
      <c r="J5090" t="s">
        <v>1357</v>
      </c>
      <c r="K5090" t="s">
        <v>1357</v>
      </c>
      <c r="L5090" t="s">
        <v>1357</v>
      </c>
    </row>
    <row r="5091" spans="6:12">
      <c r="H5091" t="s">
        <v>20312</v>
      </c>
      <c r="I5091" t="s">
        <v>1357</v>
      </c>
      <c r="J5091" t="s">
        <v>1357</v>
      </c>
      <c r="K5091" t="s">
        <v>1357</v>
      </c>
      <c r="L5091" t="s">
        <v>1357</v>
      </c>
    </row>
    <row r="5092" spans="6:12">
      <c r="H5092" t="s">
        <v>20313</v>
      </c>
      <c r="I5092" t="s">
        <v>1357</v>
      </c>
      <c r="J5092" t="s">
        <v>1357</v>
      </c>
      <c r="K5092" t="s">
        <v>1357</v>
      </c>
      <c r="L5092" t="s">
        <v>1357</v>
      </c>
    </row>
    <row r="5093" spans="6:12">
      <c r="H5093" t="s">
        <v>20325</v>
      </c>
      <c r="I5093" t="s">
        <v>1357</v>
      </c>
      <c r="J5093" t="s">
        <v>1357</v>
      </c>
      <c r="K5093" t="s">
        <v>1357</v>
      </c>
      <c r="L5093" t="s">
        <v>1357</v>
      </c>
    </row>
    <row r="5094" spans="6:12">
      <c r="H5094" t="s">
        <v>20326</v>
      </c>
      <c r="I5094" t="s">
        <v>1357</v>
      </c>
      <c r="J5094" t="s">
        <v>1357</v>
      </c>
      <c r="K5094" t="s">
        <v>1357</v>
      </c>
      <c r="L5094" t="s">
        <v>1357</v>
      </c>
    </row>
    <row r="5095" spans="6:12">
      <c r="F5095" t="s">
        <v>15118</v>
      </c>
      <c r="G5095" t="s">
        <v>17851</v>
      </c>
      <c r="H5095" t="s">
        <v>20280</v>
      </c>
      <c r="I5095" t="s">
        <v>1357</v>
      </c>
      <c r="J5095" t="s">
        <v>1357</v>
      </c>
      <c r="K5095" t="s">
        <v>1357</v>
      </c>
      <c r="L5095" t="s">
        <v>1357</v>
      </c>
    </row>
    <row r="5096" spans="6:12">
      <c r="H5096" t="s">
        <v>20230</v>
      </c>
      <c r="I5096" t="s">
        <v>1357</v>
      </c>
      <c r="J5096" t="s">
        <v>1357</v>
      </c>
      <c r="K5096" t="s">
        <v>1357</v>
      </c>
      <c r="L5096" t="s">
        <v>1357</v>
      </c>
    </row>
    <row r="5097" spans="6:12">
      <c r="H5097" t="s">
        <v>20281</v>
      </c>
      <c r="I5097" t="s">
        <v>1357</v>
      </c>
      <c r="J5097" t="s">
        <v>1357</v>
      </c>
      <c r="K5097" t="s">
        <v>1357</v>
      </c>
      <c r="L5097" t="s">
        <v>1357</v>
      </c>
    </row>
    <row r="5098" spans="6:12">
      <c r="H5098" t="s">
        <v>20306</v>
      </c>
      <c r="I5098" t="s">
        <v>1357</v>
      </c>
      <c r="J5098" t="s">
        <v>1357</v>
      </c>
      <c r="K5098" t="s">
        <v>1357</v>
      </c>
      <c r="L5098" t="s">
        <v>1357</v>
      </c>
    </row>
    <row r="5099" spans="6:12">
      <c r="H5099" t="s">
        <v>20284</v>
      </c>
      <c r="I5099" t="s">
        <v>1357</v>
      </c>
      <c r="J5099" t="s">
        <v>1357</v>
      </c>
      <c r="K5099" t="s">
        <v>1357</v>
      </c>
      <c r="L5099" t="s">
        <v>1357</v>
      </c>
    </row>
    <row r="5100" spans="6:12">
      <c r="H5100" t="s">
        <v>20285</v>
      </c>
      <c r="I5100" t="s">
        <v>1357</v>
      </c>
      <c r="J5100" t="s">
        <v>1357</v>
      </c>
      <c r="K5100" t="s">
        <v>1357</v>
      </c>
      <c r="L5100" t="s">
        <v>1357</v>
      </c>
    </row>
    <row r="5101" spans="6:12">
      <c r="H5101" t="s">
        <v>20286</v>
      </c>
      <c r="I5101" t="s">
        <v>1357</v>
      </c>
      <c r="J5101" t="s">
        <v>1357</v>
      </c>
      <c r="K5101" t="s">
        <v>1357</v>
      </c>
      <c r="L5101" t="s">
        <v>1357</v>
      </c>
    </row>
    <row r="5102" spans="6:12">
      <c r="H5102" t="s">
        <v>20287</v>
      </c>
      <c r="I5102" t="s">
        <v>1357</v>
      </c>
      <c r="J5102" t="s">
        <v>1357</v>
      </c>
      <c r="K5102" t="s">
        <v>1357</v>
      </c>
      <c r="L5102" t="s">
        <v>1357</v>
      </c>
    </row>
    <row r="5103" spans="6:12">
      <c r="H5103" t="s">
        <v>20288</v>
      </c>
      <c r="I5103" t="s">
        <v>1357</v>
      </c>
      <c r="J5103" t="s">
        <v>1357</v>
      </c>
      <c r="K5103" t="s">
        <v>1357</v>
      </c>
      <c r="L5103" t="s">
        <v>1357</v>
      </c>
    </row>
    <row r="5104" spans="6:12">
      <c r="H5104" t="s">
        <v>20289</v>
      </c>
      <c r="I5104" t="s">
        <v>1357</v>
      </c>
      <c r="J5104" t="s">
        <v>1357</v>
      </c>
      <c r="K5104" t="s">
        <v>1357</v>
      </c>
      <c r="L5104" t="s">
        <v>1357</v>
      </c>
    </row>
    <row r="5105" spans="6:12">
      <c r="H5105" t="s">
        <v>20290</v>
      </c>
      <c r="I5105" t="s">
        <v>1357</v>
      </c>
      <c r="J5105" t="s">
        <v>1357</v>
      </c>
      <c r="K5105" t="s">
        <v>1357</v>
      </c>
      <c r="L5105" t="s">
        <v>1357</v>
      </c>
    </row>
    <row r="5106" spans="6:12">
      <c r="H5106" t="s">
        <v>20291</v>
      </c>
      <c r="I5106" t="s">
        <v>1357</v>
      </c>
      <c r="J5106" t="s">
        <v>1357</v>
      </c>
      <c r="K5106" t="s">
        <v>1357</v>
      </c>
      <c r="L5106" t="s">
        <v>1357</v>
      </c>
    </row>
    <row r="5107" spans="6:12">
      <c r="H5107" t="s">
        <v>20293</v>
      </c>
      <c r="I5107" t="s">
        <v>1357</v>
      </c>
      <c r="J5107" t="s">
        <v>1357</v>
      </c>
      <c r="K5107" t="s">
        <v>1357</v>
      </c>
      <c r="L5107" t="s">
        <v>1357</v>
      </c>
    </row>
    <row r="5108" spans="6:12">
      <c r="H5108" t="s">
        <v>20294</v>
      </c>
      <c r="I5108" t="s">
        <v>1357</v>
      </c>
      <c r="J5108" t="s">
        <v>1357</v>
      </c>
      <c r="K5108" t="s">
        <v>1357</v>
      </c>
      <c r="L5108" t="s">
        <v>1357</v>
      </c>
    </row>
    <row r="5109" spans="6:12">
      <c r="H5109" t="s">
        <v>20312</v>
      </c>
      <c r="I5109" t="s">
        <v>1357</v>
      </c>
      <c r="J5109" t="s">
        <v>1357</v>
      </c>
      <c r="K5109" t="s">
        <v>1357</v>
      </c>
      <c r="L5109" t="s">
        <v>1357</v>
      </c>
    </row>
    <row r="5110" spans="6:12">
      <c r="H5110" t="s">
        <v>20313</v>
      </c>
      <c r="I5110" t="s">
        <v>1357</v>
      </c>
      <c r="J5110" t="s">
        <v>1357</v>
      </c>
      <c r="K5110" t="s">
        <v>1357</v>
      </c>
      <c r="L5110" t="s">
        <v>1357</v>
      </c>
    </row>
    <row r="5111" spans="6:12">
      <c r="H5111" t="s">
        <v>20325</v>
      </c>
      <c r="I5111" t="s">
        <v>1357</v>
      </c>
      <c r="J5111" t="s">
        <v>1357</v>
      </c>
      <c r="K5111" t="s">
        <v>1357</v>
      </c>
      <c r="L5111" t="s">
        <v>1357</v>
      </c>
    </row>
    <row r="5112" spans="6:12">
      <c r="H5112" t="s">
        <v>20326</v>
      </c>
      <c r="I5112" t="s">
        <v>1357</v>
      </c>
      <c r="J5112" t="s">
        <v>1357</v>
      </c>
      <c r="K5112" t="s">
        <v>1357</v>
      </c>
      <c r="L5112" t="s">
        <v>1357</v>
      </c>
    </row>
    <row r="5113" spans="6:12">
      <c r="F5113" t="s">
        <v>15119</v>
      </c>
      <c r="G5113" t="s">
        <v>17852</v>
      </c>
      <c r="H5113" t="s">
        <v>20280</v>
      </c>
      <c r="I5113" t="s">
        <v>1357</v>
      </c>
      <c r="J5113" t="s">
        <v>1357</v>
      </c>
      <c r="K5113" t="s">
        <v>1357</v>
      </c>
      <c r="L5113" t="s">
        <v>1357</v>
      </c>
    </row>
    <row r="5114" spans="6:12">
      <c r="H5114" t="s">
        <v>20230</v>
      </c>
      <c r="I5114" t="s">
        <v>1357</v>
      </c>
      <c r="J5114" t="s">
        <v>1357</v>
      </c>
      <c r="K5114" t="s">
        <v>1357</v>
      </c>
      <c r="L5114" t="s">
        <v>1357</v>
      </c>
    </row>
    <row r="5115" spans="6:12">
      <c r="H5115" t="s">
        <v>20281</v>
      </c>
      <c r="I5115" t="s">
        <v>1357</v>
      </c>
      <c r="J5115" t="s">
        <v>1357</v>
      </c>
      <c r="K5115" t="s">
        <v>1357</v>
      </c>
      <c r="L5115" t="s">
        <v>1357</v>
      </c>
    </row>
    <row r="5116" spans="6:12">
      <c r="H5116" t="s">
        <v>20306</v>
      </c>
      <c r="I5116" t="s">
        <v>1357</v>
      </c>
      <c r="J5116" t="s">
        <v>1357</v>
      </c>
      <c r="K5116" t="s">
        <v>1357</v>
      </c>
      <c r="L5116" t="s">
        <v>1357</v>
      </c>
    </row>
    <row r="5117" spans="6:12">
      <c r="H5117" t="s">
        <v>20284</v>
      </c>
      <c r="I5117" t="s">
        <v>1357</v>
      </c>
      <c r="J5117" t="s">
        <v>1357</v>
      </c>
      <c r="K5117" t="s">
        <v>1357</v>
      </c>
      <c r="L5117" t="s">
        <v>1357</v>
      </c>
    </row>
    <row r="5118" spans="6:12">
      <c r="H5118" t="s">
        <v>20285</v>
      </c>
      <c r="I5118" t="s">
        <v>1357</v>
      </c>
      <c r="J5118" t="s">
        <v>1357</v>
      </c>
      <c r="K5118" t="s">
        <v>1357</v>
      </c>
      <c r="L5118" t="s">
        <v>1357</v>
      </c>
    </row>
    <row r="5119" spans="6:12">
      <c r="H5119" t="s">
        <v>20286</v>
      </c>
      <c r="I5119" t="s">
        <v>1357</v>
      </c>
      <c r="J5119" t="s">
        <v>1357</v>
      </c>
      <c r="K5119" t="s">
        <v>1357</v>
      </c>
      <c r="L5119" t="s">
        <v>1357</v>
      </c>
    </row>
    <row r="5120" spans="6:12">
      <c r="H5120" t="s">
        <v>20287</v>
      </c>
      <c r="I5120" t="s">
        <v>1357</v>
      </c>
      <c r="J5120" t="s">
        <v>1357</v>
      </c>
      <c r="K5120" t="s">
        <v>1357</v>
      </c>
      <c r="L5120" t="s">
        <v>1357</v>
      </c>
    </row>
    <row r="5121" spans="6:12">
      <c r="H5121" t="s">
        <v>20288</v>
      </c>
      <c r="I5121" t="s">
        <v>1357</v>
      </c>
      <c r="J5121" t="s">
        <v>1357</v>
      </c>
      <c r="K5121" t="s">
        <v>1357</v>
      </c>
      <c r="L5121" t="s">
        <v>1357</v>
      </c>
    </row>
    <row r="5122" spans="6:12">
      <c r="H5122" t="s">
        <v>20289</v>
      </c>
      <c r="I5122" t="s">
        <v>1357</v>
      </c>
      <c r="J5122" t="s">
        <v>1357</v>
      </c>
      <c r="K5122" t="s">
        <v>1357</v>
      </c>
      <c r="L5122" t="s">
        <v>1357</v>
      </c>
    </row>
    <row r="5123" spans="6:12">
      <c r="H5123" t="s">
        <v>20290</v>
      </c>
      <c r="I5123" t="s">
        <v>1357</v>
      </c>
      <c r="J5123" t="s">
        <v>1357</v>
      </c>
      <c r="K5123" t="s">
        <v>1357</v>
      </c>
      <c r="L5123" t="s">
        <v>1357</v>
      </c>
    </row>
    <row r="5124" spans="6:12">
      <c r="H5124" t="s">
        <v>20291</v>
      </c>
      <c r="I5124" t="s">
        <v>1357</v>
      </c>
      <c r="J5124" t="s">
        <v>1357</v>
      </c>
      <c r="K5124" t="s">
        <v>1357</v>
      </c>
      <c r="L5124" t="s">
        <v>1357</v>
      </c>
    </row>
    <row r="5125" spans="6:12">
      <c r="H5125" t="s">
        <v>20293</v>
      </c>
      <c r="I5125" t="s">
        <v>1357</v>
      </c>
      <c r="J5125" t="s">
        <v>1357</v>
      </c>
      <c r="K5125" t="s">
        <v>1357</v>
      </c>
      <c r="L5125" t="s">
        <v>1357</v>
      </c>
    </row>
    <row r="5126" spans="6:12">
      <c r="H5126" t="s">
        <v>20294</v>
      </c>
      <c r="I5126" t="s">
        <v>1357</v>
      </c>
      <c r="J5126" t="s">
        <v>1357</v>
      </c>
      <c r="K5126" t="s">
        <v>1357</v>
      </c>
      <c r="L5126" t="s">
        <v>1357</v>
      </c>
    </row>
    <row r="5127" spans="6:12">
      <c r="H5127" t="s">
        <v>20312</v>
      </c>
      <c r="I5127" t="s">
        <v>1357</v>
      </c>
      <c r="J5127" t="s">
        <v>1357</v>
      </c>
      <c r="K5127" t="s">
        <v>1357</v>
      </c>
      <c r="L5127" t="s">
        <v>1357</v>
      </c>
    </row>
    <row r="5128" spans="6:12">
      <c r="H5128" t="s">
        <v>20313</v>
      </c>
      <c r="I5128" t="s">
        <v>1357</v>
      </c>
      <c r="J5128" t="s">
        <v>1357</v>
      </c>
      <c r="K5128" t="s">
        <v>1357</v>
      </c>
      <c r="L5128" t="s">
        <v>1357</v>
      </c>
    </row>
    <row r="5129" spans="6:12">
      <c r="H5129" t="s">
        <v>20325</v>
      </c>
      <c r="I5129" t="s">
        <v>1357</v>
      </c>
      <c r="J5129" t="s">
        <v>1357</v>
      </c>
      <c r="K5129" t="s">
        <v>1357</v>
      </c>
      <c r="L5129" t="s">
        <v>1357</v>
      </c>
    </row>
    <row r="5130" spans="6:12">
      <c r="H5130" t="s">
        <v>20326</v>
      </c>
      <c r="I5130" t="s">
        <v>1357</v>
      </c>
      <c r="J5130" t="s">
        <v>1357</v>
      </c>
      <c r="K5130" t="s">
        <v>1357</v>
      </c>
      <c r="L5130" t="s">
        <v>1357</v>
      </c>
    </row>
    <row r="5131" spans="6:12">
      <c r="F5131" t="s">
        <v>15120</v>
      </c>
      <c r="G5131" t="s">
        <v>17853</v>
      </c>
      <c r="H5131" t="s">
        <v>20280</v>
      </c>
      <c r="I5131" t="s">
        <v>1357</v>
      </c>
      <c r="J5131" t="s">
        <v>1357</v>
      </c>
      <c r="K5131" t="s">
        <v>1357</v>
      </c>
      <c r="L5131" t="s">
        <v>1357</v>
      </c>
    </row>
    <row r="5132" spans="6:12">
      <c r="H5132" t="s">
        <v>20230</v>
      </c>
      <c r="I5132" t="s">
        <v>1357</v>
      </c>
      <c r="J5132" t="s">
        <v>1357</v>
      </c>
      <c r="K5132" t="s">
        <v>1357</v>
      </c>
      <c r="L5132" t="s">
        <v>1357</v>
      </c>
    </row>
    <row r="5133" spans="6:12">
      <c r="H5133" t="s">
        <v>20281</v>
      </c>
      <c r="I5133" t="s">
        <v>1357</v>
      </c>
      <c r="J5133" t="s">
        <v>1357</v>
      </c>
      <c r="K5133" t="s">
        <v>1357</v>
      </c>
      <c r="L5133" t="s">
        <v>1357</v>
      </c>
    </row>
    <row r="5134" spans="6:12">
      <c r="H5134" t="s">
        <v>20306</v>
      </c>
      <c r="I5134" t="s">
        <v>1357</v>
      </c>
      <c r="J5134" t="s">
        <v>1357</v>
      </c>
      <c r="K5134" t="s">
        <v>1357</v>
      </c>
      <c r="L5134" t="s">
        <v>1357</v>
      </c>
    </row>
    <row r="5135" spans="6:12">
      <c r="H5135" t="s">
        <v>20284</v>
      </c>
      <c r="I5135" t="s">
        <v>1357</v>
      </c>
      <c r="J5135" t="s">
        <v>1357</v>
      </c>
      <c r="K5135" t="s">
        <v>1357</v>
      </c>
      <c r="L5135" t="s">
        <v>1357</v>
      </c>
    </row>
    <row r="5136" spans="6:12">
      <c r="H5136" t="s">
        <v>20285</v>
      </c>
      <c r="I5136" t="s">
        <v>1357</v>
      </c>
      <c r="J5136" t="s">
        <v>1357</v>
      </c>
      <c r="K5136" t="s">
        <v>1357</v>
      </c>
      <c r="L5136" t="s">
        <v>1357</v>
      </c>
    </row>
    <row r="5137" spans="6:12">
      <c r="H5137" t="s">
        <v>20286</v>
      </c>
      <c r="I5137" t="s">
        <v>1357</v>
      </c>
      <c r="J5137" t="s">
        <v>1357</v>
      </c>
      <c r="K5137" t="s">
        <v>1357</v>
      </c>
      <c r="L5137" t="s">
        <v>1357</v>
      </c>
    </row>
    <row r="5138" spans="6:12">
      <c r="H5138" t="s">
        <v>20287</v>
      </c>
      <c r="I5138" t="s">
        <v>1357</v>
      </c>
      <c r="J5138" t="s">
        <v>1357</v>
      </c>
      <c r="K5138" t="s">
        <v>1357</v>
      </c>
      <c r="L5138" t="s">
        <v>1357</v>
      </c>
    </row>
    <row r="5139" spans="6:12">
      <c r="H5139" t="s">
        <v>20288</v>
      </c>
      <c r="I5139" t="s">
        <v>1357</v>
      </c>
      <c r="J5139" t="s">
        <v>1357</v>
      </c>
      <c r="K5139" t="s">
        <v>1357</v>
      </c>
      <c r="L5139" t="s">
        <v>1357</v>
      </c>
    </row>
    <row r="5140" spans="6:12">
      <c r="H5140" t="s">
        <v>20289</v>
      </c>
      <c r="I5140" t="s">
        <v>1357</v>
      </c>
      <c r="J5140" t="s">
        <v>1357</v>
      </c>
      <c r="K5140" t="s">
        <v>1357</v>
      </c>
      <c r="L5140" t="s">
        <v>1357</v>
      </c>
    </row>
    <row r="5141" spans="6:12">
      <c r="H5141" t="s">
        <v>20290</v>
      </c>
      <c r="I5141" t="s">
        <v>1357</v>
      </c>
      <c r="J5141" t="s">
        <v>1357</v>
      </c>
      <c r="K5141" t="s">
        <v>1357</v>
      </c>
      <c r="L5141" t="s">
        <v>1357</v>
      </c>
    </row>
    <row r="5142" spans="6:12">
      <c r="H5142" t="s">
        <v>20291</v>
      </c>
      <c r="I5142" t="s">
        <v>1357</v>
      </c>
      <c r="J5142" t="s">
        <v>1357</v>
      </c>
      <c r="K5142" t="s">
        <v>1357</v>
      </c>
      <c r="L5142" t="s">
        <v>1357</v>
      </c>
    </row>
    <row r="5143" spans="6:12">
      <c r="H5143" t="s">
        <v>20293</v>
      </c>
      <c r="I5143" t="s">
        <v>1357</v>
      </c>
      <c r="J5143" t="s">
        <v>1357</v>
      </c>
      <c r="K5143" t="s">
        <v>1357</v>
      </c>
      <c r="L5143" t="s">
        <v>1357</v>
      </c>
    </row>
    <row r="5144" spans="6:12">
      <c r="H5144" t="s">
        <v>20294</v>
      </c>
      <c r="I5144" t="s">
        <v>1357</v>
      </c>
      <c r="J5144" t="s">
        <v>1357</v>
      </c>
      <c r="K5144" t="s">
        <v>1357</v>
      </c>
      <c r="L5144" t="s">
        <v>1357</v>
      </c>
    </row>
    <row r="5145" spans="6:12">
      <c r="H5145" t="s">
        <v>20312</v>
      </c>
      <c r="I5145" t="s">
        <v>1357</v>
      </c>
      <c r="J5145" t="s">
        <v>1357</v>
      </c>
      <c r="K5145" t="s">
        <v>1357</v>
      </c>
      <c r="L5145" t="s">
        <v>1357</v>
      </c>
    </row>
    <row r="5146" spans="6:12">
      <c r="H5146" t="s">
        <v>20313</v>
      </c>
      <c r="I5146" t="s">
        <v>1357</v>
      </c>
      <c r="J5146" t="s">
        <v>1357</v>
      </c>
      <c r="K5146" t="s">
        <v>1357</v>
      </c>
      <c r="L5146" t="s">
        <v>1357</v>
      </c>
    </row>
    <row r="5147" spans="6:12">
      <c r="H5147" t="s">
        <v>20325</v>
      </c>
      <c r="I5147" t="s">
        <v>1357</v>
      </c>
      <c r="J5147" t="s">
        <v>1357</v>
      </c>
      <c r="K5147" t="s">
        <v>1357</v>
      </c>
      <c r="L5147" t="s">
        <v>1357</v>
      </c>
    </row>
    <row r="5148" spans="6:12">
      <c r="H5148" t="s">
        <v>20326</v>
      </c>
      <c r="I5148" t="s">
        <v>1357</v>
      </c>
      <c r="J5148" t="s">
        <v>1357</v>
      </c>
      <c r="K5148" t="s">
        <v>1357</v>
      </c>
      <c r="L5148" t="s">
        <v>1357</v>
      </c>
    </row>
    <row r="5149" spans="6:12">
      <c r="H5149" t="s">
        <v>20327</v>
      </c>
      <c r="I5149" t="s">
        <v>1357</v>
      </c>
      <c r="J5149" t="s">
        <v>1357</v>
      </c>
      <c r="K5149" t="s">
        <v>1357</v>
      </c>
      <c r="L5149" t="s">
        <v>1357</v>
      </c>
    </row>
    <row r="5150" spans="6:12">
      <c r="F5150" t="s">
        <v>15121</v>
      </c>
      <c r="G5150" t="s">
        <v>17854</v>
      </c>
      <c r="H5150" t="s">
        <v>20280</v>
      </c>
      <c r="I5150" t="s">
        <v>1357</v>
      </c>
      <c r="J5150" t="s">
        <v>1357</v>
      </c>
      <c r="K5150" t="s">
        <v>1357</v>
      </c>
      <c r="L5150" t="s">
        <v>1357</v>
      </c>
    </row>
    <row r="5151" spans="6:12">
      <c r="H5151" t="s">
        <v>20230</v>
      </c>
      <c r="I5151" t="s">
        <v>1357</v>
      </c>
      <c r="J5151" t="s">
        <v>1357</v>
      </c>
      <c r="K5151" t="s">
        <v>1357</v>
      </c>
      <c r="L5151" t="s">
        <v>1357</v>
      </c>
    </row>
    <row r="5152" spans="6:12">
      <c r="H5152" t="s">
        <v>20281</v>
      </c>
      <c r="I5152" t="s">
        <v>1357</v>
      </c>
      <c r="J5152" t="s">
        <v>1357</v>
      </c>
      <c r="K5152" t="s">
        <v>1357</v>
      </c>
      <c r="L5152" t="s">
        <v>1357</v>
      </c>
    </row>
    <row r="5153" spans="6:12">
      <c r="H5153" t="s">
        <v>20306</v>
      </c>
      <c r="I5153" t="s">
        <v>1357</v>
      </c>
      <c r="J5153" t="s">
        <v>1357</v>
      </c>
      <c r="K5153" t="s">
        <v>1357</v>
      </c>
      <c r="L5153" t="s">
        <v>1357</v>
      </c>
    </row>
    <row r="5154" spans="6:12">
      <c r="H5154" t="s">
        <v>20284</v>
      </c>
      <c r="I5154" t="s">
        <v>1357</v>
      </c>
      <c r="J5154" t="s">
        <v>1357</v>
      </c>
      <c r="K5154" t="s">
        <v>1357</v>
      </c>
      <c r="L5154" t="s">
        <v>1357</v>
      </c>
    </row>
    <row r="5155" spans="6:12">
      <c r="H5155" t="s">
        <v>20285</v>
      </c>
      <c r="I5155" t="s">
        <v>1357</v>
      </c>
      <c r="J5155" t="s">
        <v>1357</v>
      </c>
      <c r="K5155" t="s">
        <v>1357</v>
      </c>
      <c r="L5155" t="s">
        <v>1357</v>
      </c>
    </row>
    <row r="5156" spans="6:12">
      <c r="H5156" t="s">
        <v>20286</v>
      </c>
      <c r="I5156" t="s">
        <v>1357</v>
      </c>
      <c r="J5156" t="s">
        <v>1357</v>
      </c>
      <c r="K5156" t="s">
        <v>1357</v>
      </c>
      <c r="L5156" t="s">
        <v>1357</v>
      </c>
    </row>
    <row r="5157" spans="6:12">
      <c r="H5157" t="s">
        <v>20287</v>
      </c>
      <c r="I5157" t="s">
        <v>1357</v>
      </c>
      <c r="J5157" t="s">
        <v>1357</v>
      </c>
      <c r="K5157" t="s">
        <v>1357</v>
      </c>
      <c r="L5157" t="s">
        <v>1357</v>
      </c>
    </row>
    <row r="5158" spans="6:12">
      <c r="H5158" t="s">
        <v>20288</v>
      </c>
      <c r="I5158" t="s">
        <v>1357</v>
      </c>
      <c r="J5158" t="s">
        <v>1357</v>
      </c>
      <c r="K5158" t="s">
        <v>1357</v>
      </c>
      <c r="L5158" t="s">
        <v>1357</v>
      </c>
    </row>
    <row r="5159" spans="6:12">
      <c r="H5159" t="s">
        <v>20289</v>
      </c>
      <c r="I5159" t="s">
        <v>1357</v>
      </c>
      <c r="J5159" t="s">
        <v>1357</v>
      </c>
      <c r="K5159" t="s">
        <v>1357</v>
      </c>
      <c r="L5159" t="s">
        <v>1357</v>
      </c>
    </row>
    <row r="5160" spans="6:12">
      <c r="H5160" t="s">
        <v>20290</v>
      </c>
      <c r="I5160" t="s">
        <v>1357</v>
      </c>
      <c r="J5160" t="s">
        <v>1357</v>
      </c>
      <c r="K5160" t="s">
        <v>1357</v>
      </c>
      <c r="L5160" t="s">
        <v>1357</v>
      </c>
    </row>
    <row r="5161" spans="6:12">
      <c r="H5161" t="s">
        <v>20291</v>
      </c>
      <c r="I5161" t="s">
        <v>1357</v>
      </c>
      <c r="J5161" t="s">
        <v>1357</v>
      </c>
      <c r="K5161" t="s">
        <v>1357</v>
      </c>
      <c r="L5161" t="s">
        <v>1357</v>
      </c>
    </row>
    <row r="5162" spans="6:12">
      <c r="H5162" t="s">
        <v>20293</v>
      </c>
      <c r="I5162" t="s">
        <v>1357</v>
      </c>
      <c r="J5162" t="s">
        <v>1357</v>
      </c>
      <c r="K5162" t="s">
        <v>1357</v>
      </c>
      <c r="L5162" t="s">
        <v>1357</v>
      </c>
    </row>
    <row r="5163" spans="6:12">
      <c r="H5163" t="s">
        <v>20294</v>
      </c>
      <c r="I5163" t="s">
        <v>1357</v>
      </c>
      <c r="J5163" t="s">
        <v>1357</v>
      </c>
      <c r="K5163" t="s">
        <v>1357</v>
      </c>
      <c r="L5163" t="s">
        <v>1357</v>
      </c>
    </row>
    <row r="5164" spans="6:12">
      <c r="H5164" t="s">
        <v>20312</v>
      </c>
      <c r="I5164" t="s">
        <v>1357</v>
      </c>
      <c r="J5164" t="s">
        <v>1357</v>
      </c>
      <c r="K5164" t="s">
        <v>1357</v>
      </c>
      <c r="L5164" t="s">
        <v>1357</v>
      </c>
    </row>
    <row r="5165" spans="6:12">
      <c r="H5165" t="s">
        <v>20313</v>
      </c>
      <c r="I5165" t="s">
        <v>1357</v>
      </c>
      <c r="J5165" t="s">
        <v>1357</v>
      </c>
      <c r="K5165" t="s">
        <v>1357</v>
      </c>
      <c r="L5165" t="s">
        <v>1357</v>
      </c>
    </row>
    <row r="5166" spans="6:12">
      <c r="H5166" t="s">
        <v>20325</v>
      </c>
      <c r="I5166" t="s">
        <v>1357</v>
      </c>
      <c r="J5166" t="s">
        <v>1357</v>
      </c>
      <c r="K5166" t="s">
        <v>1357</v>
      </c>
      <c r="L5166" t="s">
        <v>1357</v>
      </c>
    </row>
    <row r="5167" spans="6:12">
      <c r="H5167" t="s">
        <v>20326</v>
      </c>
      <c r="I5167" t="s">
        <v>1357</v>
      </c>
      <c r="J5167" t="s">
        <v>1357</v>
      </c>
      <c r="K5167" t="s">
        <v>1357</v>
      </c>
      <c r="L5167" t="s">
        <v>1357</v>
      </c>
    </row>
    <row r="5168" spans="6:12">
      <c r="F5168" t="s">
        <v>15122</v>
      </c>
      <c r="G5168" t="s">
        <v>17855</v>
      </c>
      <c r="H5168" t="s">
        <v>20280</v>
      </c>
      <c r="I5168" t="s">
        <v>1357</v>
      </c>
      <c r="J5168" t="s">
        <v>1357</v>
      </c>
      <c r="K5168" t="s">
        <v>1357</v>
      </c>
      <c r="L5168" t="s">
        <v>1357</v>
      </c>
    </row>
    <row r="5169" spans="8:12">
      <c r="H5169" t="s">
        <v>20233</v>
      </c>
      <c r="I5169" t="s">
        <v>1357</v>
      </c>
      <c r="J5169" t="s">
        <v>1357</v>
      </c>
      <c r="K5169" t="s">
        <v>1357</v>
      </c>
      <c r="L5169" t="s">
        <v>1357</v>
      </c>
    </row>
    <row r="5170" spans="8:12">
      <c r="H5170" t="s">
        <v>20230</v>
      </c>
      <c r="I5170" t="s">
        <v>1357</v>
      </c>
      <c r="J5170" t="s">
        <v>1357</v>
      </c>
      <c r="K5170" t="s">
        <v>1357</v>
      </c>
      <c r="L5170" t="s">
        <v>1357</v>
      </c>
    </row>
    <row r="5171" spans="8:12">
      <c r="H5171" t="s">
        <v>20281</v>
      </c>
      <c r="I5171" t="s">
        <v>1357</v>
      </c>
      <c r="J5171" t="s">
        <v>1357</v>
      </c>
      <c r="K5171" t="s">
        <v>1357</v>
      </c>
      <c r="L5171" t="s">
        <v>1357</v>
      </c>
    </row>
    <row r="5172" spans="8:12">
      <c r="H5172" t="s">
        <v>20306</v>
      </c>
      <c r="I5172" t="s">
        <v>1357</v>
      </c>
      <c r="J5172" t="s">
        <v>1357</v>
      </c>
      <c r="K5172" t="s">
        <v>1357</v>
      </c>
      <c r="L5172" t="s">
        <v>1357</v>
      </c>
    </row>
    <row r="5173" spans="8:12">
      <c r="H5173" t="s">
        <v>20284</v>
      </c>
      <c r="I5173" t="s">
        <v>1357</v>
      </c>
      <c r="J5173" t="s">
        <v>1357</v>
      </c>
      <c r="K5173" t="s">
        <v>1357</v>
      </c>
      <c r="L5173" t="s">
        <v>1357</v>
      </c>
    </row>
    <row r="5174" spans="8:12">
      <c r="H5174" t="s">
        <v>20285</v>
      </c>
      <c r="I5174" t="s">
        <v>1357</v>
      </c>
      <c r="J5174" t="s">
        <v>1357</v>
      </c>
      <c r="K5174" t="s">
        <v>1357</v>
      </c>
      <c r="L5174" t="s">
        <v>1357</v>
      </c>
    </row>
    <row r="5175" spans="8:12">
      <c r="H5175" t="s">
        <v>20286</v>
      </c>
      <c r="I5175" t="s">
        <v>1357</v>
      </c>
      <c r="J5175" t="s">
        <v>1357</v>
      </c>
      <c r="K5175" t="s">
        <v>1357</v>
      </c>
      <c r="L5175" t="s">
        <v>1357</v>
      </c>
    </row>
    <row r="5176" spans="8:12">
      <c r="H5176" t="s">
        <v>20287</v>
      </c>
      <c r="I5176" t="s">
        <v>1357</v>
      </c>
      <c r="J5176" t="s">
        <v>1357</v>
      </c>
      <c r="K5176" t="s">
        <v>1357</v>
      </c>
      <c r="L5176" t="s">
        <v>1357</v>
      </c>
    </row>
    <row r="5177" spans="8:12">
      <c r="H5177" t="s">
        <v>20288</v>
      </c>
      <c r="I5177" t="s">
        <v>1357</v>
      </c>
      <c r="J5177" t="s">
        <v>1357</v>
      </c>
      <c r="K5177" t="s">
        <v>1357</v>
      </c>
      <c r="L5177" t="s">
        <v>1357</v>
      </c>
    </row>
    <row r="5178" spans="8:12">
      <c r="H5178" t="s">
        <v>20289</v>
      </c>
      <c r="I5178" t="s">
        <v>1357</v>
      </c>
      <c r="J5178" t="s">
        <v>1357</v>
      </c>
      <c r="K5178" t="s">
        <v>1357</v>
      </c>
      <c r="L5178" t="s">
        <v>1357</v>
      </c>
    </row>
    <row r="5179" spans="8:12">
      <c r="H5179" t="s">
        <v>20290</v>
      </c>
      <c r="I5179" t="s">
        <v>1357</v>
      </c>
      <c r="J5179" t="s">
        <v>1357</v>
      </c>
      <c r="K5179" t="s">
        <v>1357</v>
      </c>
      <c r="L5179" t="s">
        <v>1357</v>
      </c>
    </row>
    <row r="5180" spans="8:12">
      <c r="H5180" t="s">
        <v>20291</v>
      </c>
      <c r="I5180" t="s">
        <v>1357</v>
      </c>
      <c r="J5180" t="s">
        <v>1357</v>
      </c>
      <c r="K5180" t="s">
        <v>1357</v>
      </c>
      <c r="L5180" t="s">
        <v>1357</v>
      </c>
    </row>
    <row r="5181" spans="8:12">
      <c r="H5181" t="s">
        <v>20293</v>
      </c>
      <c r="I5181" t="s">
        <v>1357</v>
      </c>
      <c r="J5181" t="s">
        <v>1357</v>
      </c>
      <c r="K5181" t="s">
        <v>1357</v>
      </c>
      <c r="L5181" t="s">
        <v>1357</v>
      </c>
    </row>
    <row r="5182" spans="8:12">
      <c r="H5182" t="s">
        <v>20294</v>
      </c>
      <c r="I5182" t="s">
        <v>1357</v>
      </c>
      <c r="J5182" t="s">
        <v>1357</v>
      </c>
      <c r="K5182" t="s">
        <v>1357</v>
      </c>
      <c r="L5182" t="s">
        <v>1357</v>
      </c>
    </row>
    <row r="5183" spans="8:12">
      <c r="H5183" t="s">
        <v>20312</v>
      </c>
      <c r="I5183" t="s">
        <v>1357</v>
      </c>
      <c r="J5183" t="s">
        <v>1357</v>
      </c>
      <c r="K5183" t="s">
        <v>1357</v>
      </c>
      <c r="L5183" t="s">
        <v>1357</v>
      </c>
    </row>
    <row r="5184" spans="8:12">
      <c r="H5184" t="s">
        <v>20313</v>
      </c>
      <c r="I5184" t="s">
        <v>1357</v>
      </c>
      <c r="J5184" t="s">
        <v>1357</v>
      </c>
      <c r="K5184" t="s">
        <v>1357</v>
      </c>
      <c r="L5184" t="s">
        <v>1357</v>
      </c>
    </row>
    <row r="5185" spans="6:12">
      <c r="H5185" t="s">
        <v>20325</v>
      </c>
      <c r="I5185" t="s">
        <v>1357</v>
      </c>
      <c r="J5185" t="s">
        <v>1357</v>
      </c>
      <c r="K5185" t="s">
        <v>1357</v>
      </c>
      <c r="L5185" t="s">
        <v>1357</v>
      </c>
    </row>
    <row r="5186" spans="6:12">
      <c r="H5186" t="s">
        <v>20326</v>
      </c>
      <c r="I5186" t="s">
        <v>1357</v>
      </c>
      <c r="J5186" t="s">
        <v>1357</v>
      </c>
      <c r="K5186" t="s">
        <v>1357</v>
      </c>
      <c r="L5186" t="s">
        <v>1357</v>
      </c>
    </row>
    <row r="5187" spans="6:12">
      <c r="F5187" t="s">
        <v>15123</v>
      </c>
      <c r="G5187" t="s">
        <v>17534</v>
      </c>
      <c r="H5187" t="s">
        <v>20280</v>
      </c>
      <c r="I5187" t="s">
        <v>1357</v>
      </c>
      <c r="J5187" t="s">
        <v>1357</v>
      </c>
      <c r="K5187" t="s">
        <v>1357</v>
      </c>
      <c r="L5187" t="s">
        <v>1357</v>
      </c>
    </row>
    <row r="5188" spans="6:12">
      <c r="H5188" t="s">
        <v>20233</v>
      </c>
      <c r="I5188" t="s">
        <v>1357</v>
      </c>
      <c r="J5188" t="s">
        <v>1357</v>
      </c>
      <c r="K5188" t="s">
        <v>1357</v>
      </c>
      <c r="L5188" t="s">
        <v>1357</v>
      </c>
    </row>
    <row r="5189" spans="6:12">
      <c r="H5189" t="s">
        <v>20230</v>
      </c>
      <c r="I5189" t="s">
        <v>1357</v>
      </c>
      <c r="J5189" t="s">
        <v>1357</v>
      </c>
      <c r="K5189" t="s">
        <v>1357</v>
      </c>
      <c r="L5189" t="s">
        <v>1357</v>
      </c>
    </row>
    <row r="5190" spans="6:12">
      <c r="H5190" t="s">
        <v>20227</v>
      </c>
      <c r="I5190" t="s">
        <v>1357</v>
      </c>
      <c r="J5190" t="s">
        <v>1357</v>
      </c>
      <c r="K5190" t="s">
        <v>1357</v>
      </c>
      <c r="L5190" t="s">
        <v>1357</v>
      </c>
    </row>
    <row r="5191" spans="6:12">
      <c r="H5191" t="s">
        <v>20228</v>
      </c>
      <c r="I5191" t="s">
        <v>1357</v>
      </c>
      <c r="J5191" t="s">
        <v>1357</v>
      </c>
      <c r="K5191" t="s">
        <v>1357</v>
      </c>
      <c r="L5191" t="s">
        <v>1357</v>
      </c>
    </row>
    <row r="5192" spans="6:12">
      <c r="H5192" t="s">
        <v>20232</v>
      </c>
      <c r="I5192" t="s">
        <v>1357</v>
      </c>
      <c r="J5192" t="s">
        <v>1357</v>
      </c>
      <c r="K5192" t="s">
        <v>1357</v>
      </c>
      <c r="L5192" t="s">
        <v>1357</v>
      </c>
    </row>
    <row r="5193" spans="6:12">
      <c r="H5193" t="s">
        <v>20296</v>
      </c>
      <c r="I5193" t="s">
        <v>1357</v>
      </c>
      <c r="J5193" t="s">
        <v>1357</v>
      </c>
      <c r="K5193" t="s">
        <v>1357</v>
      </c>
      <c r="L5193" t="s">
        <v>1357</v>
      </c>
    </row>
    <row r="5194" spans="6:12">
      <c r="H5194" t="s">
        <v>20297</v>
      </c>
      <c r="I5194" t="s">
        <v>1357</v>
      </c>
      <c r="J5194" t="s">
        <v>1357</v>
      </c>
      <c r="K5194" t="s">
        <v>1357</v>
      </c>
      <c r="L5194" t="s">
        <v>1357</v>
      </c>
    </row>
    <row r="5195" spans="6:12">
      <c r="H5195" t="s">
        <v>20234</v>
      </c>
      <c r="I5195" t="s">
        <v>1357</v>
      </c>
      <c r="J5195" t="s">
        <v>1357</v>
      </c>
      <c r="K5195" t="s">
        <v>1357</v>
      </c>
      <c r="L5195" t="s">
        <v>1357</v>
      </c>
    </row>
    <row r="5196" spans="6:12">
      <c r="H5196" t="s">
        <v>20235</v>
      </c>
      <c r="I5196" t="s">
        <v>1357</v>
      </c>
      <c r="J5196" t="s">
        <v>1357</v>
      </c>
      <c r="K5196" t="s">
        <v>1357</v>
      </c>
      <c r="L5196" t="s">
        <v>1357</v>
      </c>
    </row>
    <row r="5197" spans="6:12">
      <c r="H5197" t="s">
        <v>20284</v>
      </c>
      <c r="I5197" t="s">
        <v>1357</v>
      </c>
      <c r="J5197" t="s">
        <v>1357</v>
      </c>
      <c r="K5197" t="s">
        <v>1357</v>
      </c>
      <c r="L5197" t="s">
        <v>1357</v>
      </c>
    </row>
    <row r="5198" spans="6:12">
      <c r="H5198" t="s">
        <v>20285</v>
      </c>
      <c r="I5198" t="s">
        <v>1357</v>
      </c>
      <c r="J5198" t="s">
        <v>1357</v>
      </c>
      <c r="K5198" t="s">
        <v>1357</v>
      </c>
      <c r="L5198" t="s">
        <v>1357</v>
      </c>
    </row>
    <row r="5199" spans="6:12">
      <c r="H5199" t="s">
        <v>20286</v>
      </c>
      <c r="I5199" t="s">
        <v>1357</v>
      </c>
      <c r="J5199" t="s">
        <v>1357</v>
      </c>
      <c r="K5199" t="s">
        <v>1357</v>
      </c>
      <c r="L5199" t="s">
        <v>1357</v>
      </c>
    </row>
    <row r="5200" spans="6:12">
      <c r="H5200" t="s">
        <v>20287</v>
      </c>
      <c r="I5200" t="s">
        <v>1357</v>
      </c>
      <c r="J5200" t="s">
        <v>1357</v>
      </c>
      <c r="K5200" t="s">
        <v>1357</v>
      </c>
      <c r="L5200" t="s">
        <v>1357</v>
      </c>
    </row>
    <row r="5201" spans="6:12">
      <c r="F5201" t="s">
        <v>15124</v>
      </c>
      <c r="G5201" t="s">
        <v>17535</v>
      </c>
      <c r="H5201" t="s">
        <v>20280</v>
      </c>
      <c r="I5201" t="s">
        <v>1357</v>
      </c>
      <c r="J5201" t="s">
        <v>1357</v>
      </c>
      <c r="K5201" t="s">
        <v>1357</v>
      </c>
      <c r="L5201" t="s">
        <v>1357</v>
      </c>
    </row>
    <row r="5202" spans="6:12">
      <c r="H5202" t="s">
        <v>20233</v>
      </c>
      <c r="I5202" t="s">
        <v>1357</v>
      </c>
      <c r="J5202" t="s">
        <v>1357</v>
      </c>
      <c r="K5202" t="s">
        <v>1357</v>
      </c>
      <c r="L5202" t="s">
        <v>1357</v>
      </c>
    </row>
    <row r="5203" spans="6:12">
      <c r="H5203" t="s">
        <v>20230</v>
      </c>
      <c r="I5203" t="s">
        <v>1357</v>
      </c>
      <c r="J5203" t="s">
        <v>1357</v>
      </c>
      <c r="K5203" t="s">
        <v>1357</v>
      </c>
      <c r="L5203" t="s">
        <v>1357</v>
      </c>
    </row>
    <row r="5204" spans="6:12">
      <c r="H5204" t="s">
        <v>20227</v>
      </c>
      <c r="I5204" t="s">
        <v>1357</v>
      </c>
      <c r="J5204" t="s">
        <v>1357</v>
      </c>
      <c r="K5204" t="s">
        <v>1357</v>
      </c>
      <c r="L5204" t="s">
        <v>1357</v>
      </c>
    </row>
    <row r="5205" spans="6:12">
      <c r="H5205" t="s">
        <v>20228</v>
      </c>
      <c r="I5205" t="s">
        <v>1357</v>
      </c>
      <c r="J5205" t="s">
        <v>1357</v>
      </c>
      <c r="K5205" t="s">
        <v>1357</v>
      </c>
      <c r="L5205" t="s">
        <v>1357</v>
      </c>
    </row>
    <row r="5206" spans="6:12">
      <c r="H5206" t="s">
        <v>20232</v>
      </c>
      <c r="I5206" t="s">
        <v>1357</v>
      </c>
      <c r="J5206" t="s">
        <v>1357</v>
      </c>
      <c r="K5206" t="s">
        <v>1357</v>
      </c>
      <c r="L5206" t="s">
        <v>1357</v>
      </c>
    </row>
    <row r="5207" spans="6:12">
      <c r="H5207" t="s">
        <v>20296</v>
      </c>
      <c r="I5207" t="s">
        <v>1357</v>
      </c>
      <c r="J5207" t="s">
        <v>1357</v>
      </c>
      <c r="K5207" t="s">
        <v>1357</v>
      </c>
      <c r="L5207" t="s">
        <v>1357</v>
      </c>
    </row>
    <row r="5208" spans="6:12">
      <c r="H5208" t="s">
        <v>20297</v>
      </c>
      <c r="I5208" t="s">
        <v>1357</v>
      </c>
      <c r="J5208" t="s">
        <v>1357</v>
      </c>
      <c r="K5208" t="s">
        <v>1357</v>
      </c>
      <c r="L5208" t="s">
        <v>1357</v>
      </c>
    </row>
    <row r="5209" spans="6:12">
      <c r="H5209" t="s">
        <v>20234</v>
      </c>
      <c r="I5209" t="s">
        <v>1357</v>
      </c>
      <c r="J5209" t="s">
        <v>1357</v>
      </c>
      <c r="K5209" t="s">
        <v>1357</v>
      </c>
      <c r="L5209" t="s">
        <v>1357</v>
      </c>
    </row>
    <row r="5210" spans="6:12">
      <c r="H5210" t="s">
        <v>20235</v>
      </c>
      <c r="I5210" t="s">
        <v>1357</v>
      </c>
      <c r="J5210" t="s">
        <v>1357</v>
      </c>
      <c r="K5210" t="s">
        <v>1357</v>
      </c>
      <c r="L5210" t="s">
        <v>1357</v>
      </c>
    </row>
    <row r="5211" spans="6:12">
      <c r="H5211" t="s">
        <v>20284</v>
      </c>
      <c r="I5211" t="s">
        <v>1357</v>
      </c>
      <c r="J5211" t="s">
        <v>1357</v>
      </c>
      <c r="K5211" t="s">
        <v>1357</v>
      </c>
      <c r="L5211" t="s">
        <v>1357</v>
      </c>
    </row>
    <row r="5212" spans="6:12">
      <c r="H5212" t="s">
        <v>20285</v>
      </c>
      <c r="I5212" t="s">
        <v>1357</v>
      </c>
      <c r="J5212" t="s">
        <v>1357</v>
      </c>
      <c r="K5212" t="s">
        <v>1357</v>
      </c>
      <c r="L5212" t="s">
        <v>1357</v>
      </c>
    </row>
    <row r="5213" spans="6:12">
      <c r="H5213" t="s">
        <v>20286</v>
      </c>
      <c r="I5213" t="s">
        <v>1357</v>
      </c>
      <c r="J5213" t="s">
        <v>1357</v>
      </c>
      <c r="K5213" t="s">
        <v>1357</v>
      </c>
      <c r="L5213" t="s">
        <v>1357</v>
      </c>
    </row>
    <row r="5214" spans="6:12">
      <c r="H5214" t="s">
        <v>20287</v>
      </c>
      <c r="I5214" t="s">
        <v>1357</v>
      </c>
      <c r="J5214" t="s">
        <v>1357</v>
      </c>
      <c r="K5214" t="s">
        <v>1357</v>
      </c>
      <c r="L5214" t="s">
        <v>1357</v>
      </c>
    </row>
    <row r="5215" spans="6:12">
      <c r="F5215" t="s">
        <v>15125</v>
      </c>
      <c r="G5215" t="s">
        <v>17536</v>
      </c>
      <c r="H5215" t="s">
        <v>20280</v>
      </c>
      <c r="I5215" t="s">
        <v>1357</v>
      </c>
      <c r="J5215" t="s">
        <v>1357</v>
      </c>
      <c r="K5215" t="s">
        <v>1357</v>
      </c>
      <c r="L5215" t="s">
        <v>1357</v>
      </c>
    </row>
    <row r="5216" spans="6:12">
      <c r="H5216" t="s">
        <v>20233</v>
      </c>
      <c r="I5216" t="s">
        <v>1357</v>
      </c>
      <c r="J5216" t="s">
        <v>1357</v>
      </c>
      <c r="K5216" t="s">
        <v>1357</v>
      </c>
      <c r="L5216" t="s">
        <v>1357</v>
      </c>
    </row>
    <row r="5217" spans="6:12">
      <c r="H5217" t="s">
        <v>20230</v>
      </c>
      <c r="I5217" t="s">
        <v>1357</v>
      </c>
      <c r="J5217" t="s">
        <v>1357</v>
      </c>
      <c r="K5217" t="s">
        <v>1357</v>
      </c>
      <c r="L5217" t="s">
        <v>1357</v>
      </c>
    </row>
    <row r="5218" spans="6:12">
      <c r="H5218" t="s">
        <v>20227</v>
      </c>
      <c r="I5218" t="s">
        <v>1357</v>
      </c>
      <c r="J5218" t="s">
        <v>1357</v>
      </c>
      <c r="K5218" t="s">
        <v>1357</v>
      </c>
      <c r="L5218" t="s">
        <v>1357</v>
      </c>
    </row>
    <row r="5219" spans="6:12">
      <c r="H5219" t="s">
        <v>20228</v>
      </c>
      <c r="I5219" t="s">
        <v>1357</v>
      </c>
      <c r="J5219" t="s">
        <v>1357</v>
      </c>
      <c r="K5219" t="s">
        <v>1357</v>
      </c>
      <c r="L5219" t="s">
        <v>1357</v>
      </c>
    </row>
    <row r="5220" spans="6:12">
      <c r="H5220" t="s">
        <v>20232</v>
      </c>
      <c r="I5220" t="s">
        <v>1357</v>
      </c>
      <c r="J5220" t="s">
        <v>1357</v>
      </c>
      <c r="K5220" t="s">
        <v>1357</v>
      </c>
      <c r="L5220" t="s">
        <v>1357</v>
      </c>
    </row>
    <row r="5221" spans="6:12">
      <c r="H5221" t="s">
        <v>20296</v>
      </c>
      <c r="I5221" t="s">
        <v>1357</v>
      </c>
      <c r="J5221" t="s">
        <v>1357</v>
      </c>
      <c r="K5221" t="s">
        <v>1357</v>
      </c>
      <c r="L5221" t="s">
        <v>1357</v>
      </c>
    </row>
    <row r="5222" spans="6:12">
      <c r="H5222" t="s">
        <v>20297</v>
      </c>
      <c r="I5222" t="s">
        <v>1357</v>
      </c>
      <c r="J5222" t="s">
        <v>1357</v>
      </c>
      <c r="K5222" t="s">
        <v>1357</v>
      </c>
      <c r="L5222" t="s">
        <v>1357</v>
      </c>
    </row>
    <row r="5223" spans="6:12">
      <c r="H5223" t="s">
        <v>20234</v>
      </c>
      <c r="I5223" t="s">
        <v>1357</v>
      </c>
      <c r="J5223" t="s">
        <v>1357</v>
      </c>
      <c r="K5223" t="s">
        <v>1357</v>
      </c>
      <c r="L5223" t="s">
        <v>1357</v>
      </c>
    </row>
    <row r="5224" spans="6:12">
      <c r="H5224" t="s">
        <v>20235</v>
      </c>
      <c r="I5224" t="s">
        <v>1357</v>
      </c>
      <c r="J5224" t="s">
        <v>1357</v>
      </c>
      <c r="K5224" t="s">
        <v>1357</v>
      </c>
      <c r="L5224" t="s">
        <v>1357</v>
      </c>
    </row>
    <row r="5225" spans="6:12">
      <c r="H5225" t="s">
        <v>20284</v>
      </c>
      <c r="I5225" t="s">
        <v>1357</v>
      </c>
      <c r="J5225" t="s">
        <v>1357</v>
      </c>
      <c r="K5225" t="s">
        <v>1357</v>
      </c>
      <c r="L5225" t="s">
        <v>1357</v>
      </c>
    </row>
    <row r="5226" spans="6:12">
      <c r="H5226" t="s">
        <v>20285</v>
      </c>
      <c r="I5226" t="s">
        <v>1357</v>
      </c>
      <c r="J5226" t="s">
        <v>1357</v>
      </c>
      <c r="K5226" t="s">
        <v>1357</v>
      </c>
      <c r="L5226" t="s">
        <v>1357</v>
      </c>
    </row>
    <row r="5227" spans="6:12">
      <c r="H5227" t="s">
        <v>20286</v>
      </c>
      <c r="I5227" t="s">
        <v>1357</v>
      </c>
      <c r="J5227" t="s">
        <v>1357</v>
      </c>
      <c r="K5227" t="s">
        <v>1357</v>
      </c>
      <c r="L5227" t="s">
        <v>1357</v>
      </c>
    </row>
    <row r="5228" spans="6:12">
      <c r="H5228" t="s">
        <v>20287</v>
      </c>
      <c r="I5228" t="s">
        <v>1357</v>
      </c>
      <c r="J5228" t="s">
        <v>1357</v>
      </c>
      <c r="K5228" t="s">
        <v>1357</v>
      </c>
      <c r="L5228" t="s">
        <v>1357</v>
      </c>
    </row>
    <row r="5229" spans="6:12">
      <c r="F5229" t="s">
        <v>15126</v>
      </c>
      <c r="G5229" t="s">
        <v>17537</v>
      </c>
      <c r="H5229" t="s">
        <v>20280</v>
      </c>
      <c r="I5229" t="s">
        <v>1357</v>
      </c>
      <c r="J5229" t="s">
        <v>1357</v>
      </c>
      <c r="K5229" t="s">
        <v>1357</v>
      </c>
      <c r="L5229" t="s">
        <v>1357</v>
      </c>
    </row>
    <row r="5230" spans="6:12">
      <c r="H5230" t="s">
        <v>20233</v>
      </c>
      <c r="I5230" t="s">
        <v>1357</v>
      </c>
      <c r="J5230" t="s">
        <v>1357</v>
      </c>
      <c r="K5230" t="s">
        <v>1357</v>
      </c>
      <c r="L5230" t="s">
        <v>1357</v>
      </c>
    </row>
    <row r="5231" spans="6:12">
      <c r="H5231" t="s">
        <v>20230</v>
      </c>
      <c r="I5231" t="s">
        <v>1357</v>
      </c>
      <c r="J5231" t="s">
        <v>1357</v>
      </c>
      <c r="K5231" t="s">
        <v>1357</v>
      </c>
      <c r="L5231" t="s">
        <v>1357</v>
      </c>
    </row>
    <row r="5232" spans="6:12">
      <c r="H5232" t="s">
        <v>20227</v>
      </c>
      <c r="I5232" t="s">
        <v>1357</v>
      </c>
      <c r="J5232" t="s">
        <v>1357</v>
      </c>
      <c r="K5232" t="s">
        <v>1357</v>
      </c>
      <c r="L5232" t="s">
        <v>1357</v>
      </c>
    </row>
    <row r="5233" spans="6:12">
      <c r="H5233" t="s">
        <v>20228</v>
      </c>
      <c r="I5233" t="s">
        <v>1357</v>
      </c>
      <c r="J5233" t="s">
        <v>1357</v>
      </c>
      <c r="K5233" t="s">
        <v>1357</v>
      </c>
      <c r="L5233" t="s">
        <v>1357</v>
      </c>
    </row>
    <row r="5234" spans="6:12">
      <c r="H5234" t="s">
        <v>20232</v>
      </c>
      <c r="I5234" t="s">
        <v>1357</v>
      </c>
      <c r="J5234" t="s">
        <v>1357</v>
      </c>
      <c r="K5234" t="s">
        <v>1357</v>
      </c>
      <c r="L5234" t="s">
        <v>1357</v>
      </c>
    </row>
    <row r="5235" spans="6:12">
      <c r="H5235" t="s">
        <v>20296</v>
      </c>
      <c r="I5235" t="s">
        <v>1357</v>
      </c>
      <c r="J5235" t="s">
        <v>1357</v>
      </c>
      <c r="K5235" t="s">
        <v>1357</v>
      </c>
      <c r="L5235" t="s">
        <v>1357</v>
      </c>
    </row>
    <row r="5236" spans="6:12">
      <c r="H5236" t="s">
        <v>20297</v>
      </c>
      <c r="I5236" t="s">
        <v>1357</v>
      </c>
      <c r="J5236" t="s">
        <v>1357</v>
      </c>
      <c r="K5236" t="s">
        <v>1357</v>
      </c>
      <c r="L5236" t="s">
        <v>1357</v>
      </c>
    </row>
    <row r="5237" spans="6:12">
      <c r="H5237" t="s">
        <v>20234</v>
      </c>
      <c r="I5237" t="s">
        <v>1357</v>
      </c>
      <c r="J5237" t="s">
        <v>1357</v>
      </c>
      <c r="K5237" t="s">
        <v>1357</v>
      </c>
      <c r="L5237" t="s">
        <v>1357</v>
      </c>
    </row>
    <row r="5238" spans="6:12">
      <c r="H5238" t="s">
        <v>20235</v>
      </c>
      <c r="I5238" t="s">
        <v>1357</v>
      </c>
      <c r="J5238" t="s">
        <v>1357</v>
      </c>
      <c r="K5238" t="s">
        <v>1357</v>
      </c>
      <c r="L5238" t="s">
        <v>1357</v>
      </c>
    </row>
    <row r="5239" spans="6:12">
      <c r="H5239" t="s">
        <v>20284</v>
      </c>
      <c r="I5239" t="s">
        <v>1357</v>
      </c>
      <c r="J5239" t="s">
        <v>1357</v>
      </c>
      <c r="K5239" t="s">
        <v>1357</v>
      </c>
      <c r="L5239" t="s">
        <v>1357</v>
      </c>
    </row>
    <row r="5240" spans="6:12">
      <c r="H5240" t="s">
        <v>20285</v>
      </c>
      <c r="I5240" t="s">
        <v>1357</v>
      </c>
      <c r="J5240" t="s">
        <v>1357</v>
      </c>
      <c r="K5240" t="s">
        <v>1357</v>
      </c>
      <c r="L5240" t="s">
        <v>1357</v>
      </c>
    </row>
    <row r="5241" spans="6:12">
      <c r="H5241" t="s">
        <v>20286</v>
      </c>
      <c r="I5241" t="s">
        <v>1357</v>
      </c>
      <c r="J5241" t="s">
        <v>1357</v>
      </c>
      <c r="K5241" t="s">
        <v>1357</v>
      </c>
      <c r="L5241" t="s">
        <v>1357</v>
      </c>
    </row>
    <row r="5242" spans="6:12">
      <c r="H5242" t="s">
        <v>20287</v>
      </c>
      <c r="I5242" t="s">
        <v>1357</v>
      </c>
      <c r="J5242" t="s">
        <v>1357</v>
      </c>
      <c r="K5242" t="s">
        <v>1357</v>
      </c>
      <c r="L5242" t="s">
        <v>1357</v>
      </c>
    </row>
    <row r="5243" spans="6:12">
      <c r="H5243" t="s">
        <v>20288</v>
      </c>
      <c r="I5243" t="s">
        <v>1357</v>
      </c>
      <c r="J5243" t="s">
        <v>1357</v>
      </c>
      <c r="K5243" t="s">
        <v>1357</v>
      </c>
      <c r="L5243" t="s">
        <v>1357</v>
      </c>
    </row>
    <row r="5244" spans="6:12">
      <c r="F5244" t="s">
        <v>15127</v>
      </c>
      <c r="G5244" t="s">
        <v>17538</v>
      </c>
      <c r="H5244" t="s">
        <v>20280</v>
      </c>
      <c r="I5244" t="s">
        <v>1357</v>
      </c>
      <c r="J5244" t="s">
        <v>1357</v>
      </c>
      <c r="K5244" t="s">
        <v>1357</v>
      </c>
      <c r="L5244" t="s">
        <v>1357</v>
      </c>
    </row>
    <row r="5245" spans="6:12">
      <c r="H5245" t="s">
        <v>20233</v>
      </c>
      <c r="I5245" t="s">
        <v>1357</v>
      </c>
      <c r="J5245" t="s">
        <v>1357</v>
      </c>
      <c r="K5245" t="s">
        <v>1357</v>
      </c>
      <c r="L5245" t="s">
        <v>1357</v>
      </c>
    </row>
    <row r="5246" spans="6:12">
      <c r="H5246" t="s">
        <v>20230</v>
      </c>
      <c r="I5246" t="s">
        <v>1357</v>
      </c>
      <c r="J5246" t="s">
        <v>1357</v>
      </c>
      <c r="K5246" t="s">
        <v>1357</v>
      </c>
      <c r="L5246" t="s">
        <v>1357</v>
      </c>
    </row>
    <row r="5247" spans="6:12">
      <c r="H5247" t="s">
        <v>20227</v>
      </c>
      <c r="I5247" t="s">
        <v>1357</v>
      </c>
      <c r="J5247" t="s">
        <v>1357</v>
      </c>
      <c r="K5247" t="s">
        <v>1357</v>
      </c>
      <c r="L5247" t="s">
        <v>1357</v>
      </c>
    </row>
    <row r="5248" spans="6:12">
      <c r="H5248" t="s">
        <v>20228</v>
      </c>
      <c r="I5248" t="s">
        <v>1357</v>
      </c>
      <c r="J5248" t="s">
        <v>1357</v>
      </c>
      <c r="K5248" t="s">
        <v>1357</v>
      </c>
      <c r="L5248" t="s">
        <v>1357</v>
      </c>
    </row>
    <row r="5249" spans="6:12">
      <c r="H5249" t="s">
        <v>20232</v>
      </c>
      <c r="I5249" t="s">
        <v>1357</v>
      </c>
      <c r="J5249" t="s">
        <v>1357</v>
      </c>
      <c r="K5249" t="s">
        <v>1357</v>
      </c>
      <c r="L5249" t="s">
        <v>1357</v>
      </c>
    </row>
    <row r="5250" spans="6:12">
      <c r="H5250" t="s">
        <v>20296</v>
      </c>
      <c r="I5250" t="s">
        <v>1357</v>
      </c>
      <c r="J5250" t="s">
        <v>1357</v>
      </c>
      <c r="K5250" t="s">
        <v>1357</v>
      </c>
      <c r="L5250" t="s">
        <v>1357</v>
      </c>
    </row>
    <row r="5251" spans="6:12">
      <c r="H5251" t="s">
        <v>20297</v>
      </c>
      <c r="I5251" t="s">
        <v>1357</v>
      </c>
      <c r="J5251" t="s">
        <v>1357</v>
      </c>
      <c r="K5251" t="s">
        <v>1357</v>
      </c>
      <c r="L5251" t="s">
        <v>1357</v>
      </c>
    </row>
    <row r="5252" spans="6:12">
      <c r="H5252" t="s">
        <v>20234</v>
      </c>
      <c r="I5252" t="s">
        <v>1357</v>
      </c>
      <c r="J5252" t="s">
        <v>1357</v>
      </c>
      <c r="K5252" t="s">
        <v>1357</v>
      </c>
      <c r="L5252" t="s">
        <v>1357</v>
      </c>
    </row>
    <row r="5253" spans="6:12">
      <c r="H5253" t="s">
        <v>20235</v>
      </c>
      <c r="I5253" t="s">
        <v>1357</v>
      </c>
      <c r="J5253" t="s">
        <v>1357</v>
      </c>
      <c r="K5253" t="s">
        <v>1357</v>
      </c>
      <c r="L5253" t="s">
        <v>1357</v>
      </c>
    </row>
    <row r="5254" spans="6:12">
      <c r="H5254" t="s">
        <v>20284</v>
      </c>
      <c r="I5254" t="s">
        <v>1357</v>
      </c>
      <c r="J5254" t="s">
        <v>1357</v>
      </c>
      <c r="K5254" t="s">
        <v>1357</v>
      </c>
      <c r="L5254" t="s">
        <v>1357</v>
      </c>
    </row>
    <row r="5255" spans="6:12">
      <c r="H5255" t="s">
        <v>20285</v>
      </c>
      <c r="I5255" t="s">
        <v>1357</v>
      </c>
      <c r="J5255" t="s">
        <v>1357</v>
      </c>
      <c r="K5255" t="s">
        <v>1357</v>
      </c>
      <c r="L5255" t="s">
        <v>1357</v>
      </c>
    </row>
    <row r="5256" spans="6:12">
      <c r="H5256" t="s">
        <v>20286</v>
      </c>
      <c r="I5256" t="s">
        <v>1357</v>
      </c>
      <c r="J5256" t="s">
        <v>1357</v>
      </c>
      <c r="K5256" t="s">
        <v>1357</v>
      </c>
      <c r="L5256" t="s">
        <v>1357</v>
      </c>
    </row>
    <row r="5257" spans="6:12">
      <c r="H5257" t="s">
        <v>20287</v>
      </c>
      <c r="I5257" t="s">
        <v>1357</v>
      </c>
      <c r="J5257" t="s">
        <v>1357</v>
      </c>
      <c r="K5257" t="s">
        <v>1357</v>
      </c>
      <c r="L5257" t="s">
        <v>1357</v>
      </c>
    </row>
    <row r="5258" spans="6:12">
      <c r="H5258" t="s">
        <v>20288</v>
      </c>
      <c r="I5258" t="s">
        <v>1357</v>
      </c>
      <c r="J5258" t="s">
        <v>1357</v>
      </c>
      <c r="K5258" t="s">
        <v>1357</v>
      </c>
      <c r="L5258" t="s">
        <v>1357</v>
      </c>
    </row>
    <row r="5259" spans="6:12">
      <c r="F5259" t="s">
        <v>15128</v>
      </c>
      <c r="G5259" t="s">
        <v>17539</v>
      </c>
      <c r="H5259" t="s">
        <v>20280</v>
      </c>
      <c r="I5259" t="s">
        <v>1357</v>
      </c>
      <c r="J5259" t="s">
        <v>1357</v>
      </c>
      <c r="K5259" t="s">
        <v>1357</v>
      </c>
      <c r="L5259" t="s">
        <v>1357</v>
      </c>
    </row>
    <row r="5260" spans="6:12">
      <c r="H5260" t="s">
        <v>20233</v>
      </c>
      <c r="I5260" t="s">
        <v>1357</v>
      </c>
      <c r="J5260" t="s">
        <v>1357</v>
      </c>
      <c r="K5260" t="s">
        <v>1357</v>
      </c>
      <c r="L5260" t="s">
        <v>1357</v>
      </c>
    </row>
    <row r="5261" spans="6:12">
      <c r="H5261" t="s">
        <v>20230</v>
      </c>
      <c r="I5261" t="s">
        <v>1357</v>
      </c>
      <c r="J5261" t="s">
        <v>1357</v>
      </c>
      <c r="K5261" t="s">
        <v>1357</v>
      </c>
      <c r="L5261" t="s">
        <v>1357</v>
      </c>
    </row>
    <row r="5262" spans="6:12">
      <c r="H5262" t="s">
        <v>20227</v>
      </c>
      <c r="I5262" t="s">
        <v>1357</v>
      </c>
      <c r="J5262" t="s">
        <v>1357</v>
      </c>
      <c r="K5262" t="s">
        <v>1357</v>
      </c>
      <c r="L5262" t="s">
        <v>1357</v>
      </c>
    </row>
    <row r="5263" spans="6:12">
      <c r="H5263" t="s">
        <v>20228</v>
      </c>
      <c r="I5263" t="s">
        <v>1357</v>
      </c>
      <c r="J5263" t="s">
        <v>1357</v>
      </c>
      <c r="K5263" t="s">
        <v>1357</v>
      </c>
      <c r="L5263" t="s">
        <v>1357</v>
      </c>
    </row>
    <row r="5264" spans="6:12">
      <c r="H5264" t="s">
        <v>20232</v>
      </c>
      <c r="I5264" t="s">
        <v>1357</v>
      </c>
      <c r="J5264" t="s">
        <v>1357</v>
      </c>
      <c r="K5264" t="s">
        <v>1357</v>
      </c>
      <c r="L5264" t="s">
        <v>1357</v>
      </c>
    </row>
    <row r="5265" spans="6:12">
      <c r="H5265" t="s">
        <v>20296</v>
      </c>
      <c r="I5265" t="s">
        <v>1357</v>
      </c>
      <c r="J5265" t="s">
        <v>1357</v>
      </c>
      <c r="K5265" t="s">
        <v>1357</v>
      </c>
      <c r="L5265" t="s">
        <v>1357</v>
      </c>
    </row>
    <row r="5266" spans="6:12">
      <c r="H5266" t="s">
        <v>20297</v>
      </c>
      <c r="I5266" t="s">
        <v>1357</v>
      </c>
      <c r="J5266" t="s">
        <v>1357</v>
      </c>
      <c r="K5266" t="s">
        <v>1357</v>
      </c>
      <c r="L5266" t="s">
        <v>1357</v>
      </c>
    </row>
    <row r="5267" spans="6:12">
      <c r="H5267" t="s">
        <v>20234</v>
      </c>
      <c r="I5267" t="s">
        <v>1357</v>
      </c>
      <c r="J5267" t="s">
        <v>1357</v>
      </c>
      <c r="K5267" t="s">
        <v>1357</v>
      </c>
      <c r="L5267" t="s">
        <v>1357</v>
      </c>
    </row>
    <row r="5268" spans="6:12">
      <c r="H5268" t="s">
        <v>20235</v>
      </c>
      <c r="I5268" t="s">
        <v>1357</v>
      </c>
      <c r="J5268" t="s">
        <v>1357</v>
      </c>
      <c r="K5268" t="s">
        <v>1357</v>
      </c>
      <c r="L5268" t="s">
        <v>1357</v>
      </c>
    </row>
    <row r="5269" spans="6:12">
      <c r="H5269" t="s">
        <v>20284</v>
      </c>
      <c r="I5269" t="s">
        <v>1357</v>
      </c>
      <c r="J5269" t="s">
        <v>1357</v>
      </c>
      <c r="K5269" t="s">
        <v>1357</v>
      </c>
      <c r="L5269" t="s">
        <v>1357</v>
      </c>
    </row>
    <row r="5270" spans="6:12">
      <c r="H5270" t="s">
        <v>20285</v>
      </c>
      <c r="I5270" t="s">
        <v>1357</v>
      </c>
      <c r="J5270" t="s">
        <v>1357</v>
      </c>
      <c r="K5270" t="s">
        <v>1357</v>
      </c>
      <c r="L5270" t="s">
        <v>1357</v>
      </c>
    </row>
    <row r="5271" spans="6:12">
      <c r="H5271" t="s">
        <v>20286</v>
      </c>
      <c r="I5271" t="s">
        <v>1357</v>
      </c>
      <c r="J5271" t="s">
        <v>1357</v>
      </c>
      <c r="K5271" t="s">
        <v>1357</v>
      </c>
      <c r="L5271" t="s">
        <v>1357</v>
      </c>
    </row>
    <row r="5272" spans="6:12">
      <c r="H5272" t="s">
        <v>20287</v>
      </c>
      <c r="I5272" t="s">
        <v>1357</v>
      </c>
      <c r="J5272" t="s">
        <v>1357</v>
      </c>
      <c r="K5272" t="s">
        <v>1357</v>
      </c>
      <c r="L5272" t="s">
        <v>1357</v>
      </c>
    </row>
    <row r="5273" spans="6:12">
      <c r="F5273" t="s">
        <v>15129</v>
      </c>
      <c r="G5273" t="s">
        <v>17540</v>
      </c>
      <c r="H5273" t="s">
        <v>20280</v>
      </c>
      <c r="I5273" t="s">
        <v>1357</v>
      </c>
      <c r="J5273" t="s">
        <v>1357</v>
      </c>
      <c r="K5273" t="s">
        <v>1357</v>
      </c>
      <c r="L5273" t="s">
        <v>1357</v>
      </c>
    </row>
    <row r="5274" spans="6:12">
      <c r="H5274" t="s">
        <v>20233</v>
      </c>
      <c r="I5274" t="s">
        <v>1357</v>
      </c>
      <c r="J5274" t="s">
        <v>1357</v>
      </c>
      <c r="K5274" t="s">
        <v>1357</v>
      </c>
      <c r="L5274" t="s">
        <v>1357</v>
      </c>
    </row>
    <row r="5275" spans="6:12">
      <c r="H5275" t="s">
        <v>20230</v>
      </c>
      <c r="I5275" t="s">
        <v>1357</v>
      </c>
      <c r="J5275" t="s">
        <v>1357</v>
      </c>
      <c r="K5275" t="s">
        <v>1357</v>
      </c>
      <c r="L5275" t="s">
        <v>1357</v>
      </c>
    </row>
    <row r="5276" spans="6:12">
      <c r="H5276" t="s">
        <v>20227</v>
      </c>
      <c r="I5276" t="s">
        <v>1357</v>
      </c>
      <c r="J5276" t="s">
        <v>1357</v>
      </c>
      <c r="K5276" t="s">
        <v>1357</v>
      </c>
      <c r="L5276" t="s">
        <v>1357</v>
      </c>
    </row>
    <row r="5277" spans="6:12">
      <c r="H5277" t="s">
        <v>20228</v>
      </c>
      <c r="I5277" t="s">
        <v>1357</v>
      </c>
      <c r="J5277" t="s">
        <v>1357</v>
      </c>
      <c r="K5277" t="s">
        <v>1357</v>
      </c>
      <c r="L5277" t="s">
        <v>1357</v>
      </c>
    </row>
    <row r="5278" spans="6:12">
      <c r="H5278" t="s">
        <v>20232</v>
      </c>
      <c r="I5278" t="s">
        <v>1357</v>
      </c>
      <c r="J5278" t="s">
        <v>1357</v>
      </c>
      <c r="K5278" t="s">
        <v>1357</v>
      </c>
      <c r="L5278" t="s">
        <v>1357</v>
      </c>
    </row>
    <row r="5279" spans="6:12">
      <c r="H5279" t="s">
        <v>20296</v>
      </c>
      <c r="I5279" t="s">
        <v>1357</v>
      </c>
      <c r="J5279" t="s">
        <v>1357</v>
      </c>
      <c r="K5279" t="s">
        <v>1357</v>
      </c>
      <c r="L5279" t="s">
        <v>1357</v>
      </c>
    </row>
    <row r="5280" spans="6:12">
      <c r="H5280" t="s">
        <v>20297</v>
      </c>
      <c r="I5280" t="s">
        <v>1357</v>
      </c>
      <c r="J5280" t="s">
        <v>1357</v>
      </c>
      <c r="K5280" t="s">
        <v>1357</v>
      </c>
      <c r="L5280" t="s">
        <v>1357</v>
      </c>
    </row>
    <row r="5281" spans="6:12">
      <c r="H5281" t="s">
        <v>20234</v>
      </c>
      <c r="I5281" t="s">
        <v>1357</v>
      </c>
      <c r="J5281" t="s">
        <v>1357</v>
      </c>
      <c r="K5281" t="s">
        <v>1357</v>
      </c>
      <c r="L5281" t="s">
        <v>1357</v>
      </c>
    </row>
    <row r="5282" spans="6:12">
      <c r="H5282" t="s">
        <v>20235</v>
      </c>
      <c r="I5282" t="s">
        <v>1357</v>
      </c>
      <c r="J5282" t="s">
        <v>1357</v>
      </c>
      <c r="K5282" t="s">
        <v>1357</v>
      </c>
      <c r="L5282" t="s">
        <v>1357</v>
      </c>
    </row>
    <row r="5283" spans="6:12">
      <c r="H5283" t="s">
        <v>20284</v>
      </c>
      <c r="I5283" t="s">
        <v>1357</v>
      </c>
      <c r="J5283" t="s">
        <v>1357</v>
      </c>
      <c r="K5283" t="s">
        <v>1357</v>
      </c>
      <c r="L5283" t="s">
        <v>1357</v>
      </c>
    </row>
    <row r="5284" spans="6:12">
      <c r="H5284" t="s">
        <v>20285</v>
      </c>
      <c r="I5284" t="s">
        <v>1357</v>
      </c>
      <c r="J5284" t="s">
        <v>1357</v>
      </c>
      <c r="K5284" t="s">
        <v>1357</v>
      </c>
      <c r="L5284" t="s">
        <v>1357</v>
      </c>
    </row>
    <row r="5285" spans="6:12">
      <c r="H5285" t="s">
        <v>20286</v>
      </c>
      <c r="I5285" t="s">
        <v>1357</v>
      </c>
      <c r="J5285" t="s">
        <v>1357</v>
      </c>
      <c r="K5285" t="s">
        <v>1357</v>
      </c>
      <c r="L5285" t="s">
        <v>1357</v>
      </c>
    </row>
    <row r="5286" spans="6:12">
      <c r="H5286" t="s">
        <v>20287</v>
      </c>
      <c r="I5286" t="s">
        <v>1357</v>
      </c>
      <c r="J5286" t="s">
        <v>1357</v>
      </c>
      <c r="K5286" t="s">
        <v>1357</v>
      </c>
      <c r="L5286" t="s">
        <v>1357</v>
      </c>
    </row>
    <row r="5287" spans="6:12">
      <c r="F5287" t="s">
        <v>15130</v>
      </c>
      <c r="G5287" t="s">
        <v>17541</v>
      </c>
      <c r="H5287" t="s">
        <v>20280</v>
      </c>
      <c r="I5287" t="s">
        <v>1357</v>
      </c>
      <c r="J5287" t="s">
        <v>1357</v>
      </c>
      <c r="K5287" t="s">
        <v>1357</v>
      </c>
      <c r="L5287" t="s">
        <v>1357</v>
      </c>
    </row>
    <row r="5288" spans="6:12">
      <c r="H5288" t="s">
        <v>20233</v>
      </c>
      <c r="I5288" t="s">
        <v>1357</v>
      </c>
      <c r="J5288" t="s">
        <v>1357</v>
      </c>
      <c r="K5288" t="s">
        <v>1357</v>
      </c>
      <c r="L5288" t="s">
        <v>1357</v>
      </c>
    </row>
    <row r="5289" spans="6:12">
      <c r="H5289" t="s">
        <v>20230</v>
      </c>
      <c r="I5289" t="s">
        <v>1357</v>
      </c>
      <c r="J5289" t="s">
        <v>1357</v>
      </c>
      <c r="K5289" t="s">
        <v>1357</v>
      </c>
      <c r="L5289" t="s">
        <v>1357</v>
      </c>
    </row>
    <row r="5290" spans="6:12">
      <c r="H5290" t="s">
        <v>20227</v>
      </c>
      <c r="I5290" t="s">
        <v>1357</v>
      </c>
      <c r="J5290" t="s">
        <v>1357</v>
      </c>
      <c r="K5290" t="s">
        <v>1357</v>
      </c>
      <c r="L5290" t="s">
        <v>1357</v>
      </c>
    </row>
    <row r="5291" spans="6:12">
      <c r="H5291" t="s">
        <v>20228</v>
      </c>
      <c r="I5291" t="s">
        <v>1357</v>
      </c>
      <c r="J5291" t="s">
        <v>1357</v>
      </c>
      <c r="K5291" t="s">
        <v>1357</v>
      </c>
      <c r="L5291" t="s">
        <v>1357</v>
      </c>
    </row>
    <row r="5292" spans="6:12">
      <c r="H5292" t="s">
        <v>20232</v>
      </c>
      <c r="I5292" t="s">
        <v>1357</v>
      </c>
      <c r="J5292" t="s">
        <v>1357</v>
      </c>
      <c r="K5292" t="s">
        <v>1357</v>
      </c>
      <c r="L5292" t="s">
        <v>1357</v>
      </c>
    </row>
    <row r="5293" spans="6:12">
      <c r="H5293" t="s">
        <v>20296</v>
      </c>
      <c r="I5293" t="s">
        <v>1357</v>
      </c>
      <c r="J5293" t="s">
        <v>1357</v>
      </c>
      <c r="K5293" t="s">
        <v>1357</v>
      </c>
      <c r="L5293" t="s">
        <v>1357</v>
      </c>
    </row>
    <row r="5294" spans="6:12">
      <c r="H5294" t="s">
        <v>20297</v>
      </c>
      <c r="I5294" t="s">
        <v>1357</v>
      </c>
      <c r="J5294" t="s">
        <v>1357</v>
      </c>
      <c r="K5294" t="s">
        <v>1357</v>
      </c>
      <c r="L5294" t="s">
        <v>1357</v>
      </c>
    </row>
    <row r="5295" spans="6:12">
      <c r="H5295" t="s">
        <v>20234</v>
      </c>
      <c r="I5295" t="s">
        <v>1357</v>
      </c>
      <c r="J5295" t="s">
        <v>1357</v>
      </c>
      <c r="K5295" t="s">
        <v>1357</v>
      </c>
      <c r="L5295" t="s">
        <v>1357</v>
      </c>
    </row>
    <row r="5296" spans="6:12">
      <c r="H5296" t="s">
        <v>20235</v>
      </c>
      <c r="I5296" t="s">
        <v>1357</v>
      </c>
      <c r="J5296" t="s">
        <v>1357</v>
      </c>
      <c r="K5296" t="s">
        <v>1357</v>
      </c>
      <c r="L5296" t="s">
        <v>1357</v>
      </c>
    </row>
    <row r="5297" spans="6:12">
      <c r="H5297" t="s">
        <v>20284</v>
      </c>
      <c r="I5297" t="s">
        <v>1357</v>
      </c>
      <c r="J5297" t="s">
        <v>1357</v>
      </c>
      <c r="K5297" t="s">
        <v>1357</v>
      </c>
      <c r="L5297" t="s">
        <v>1357</v>
      </c>
    </row>
    <row r="5298" spans="6:12">
      <c r="H5298" t="s">
        <v>20285</v>
      </c>
      <c r="I5298" t="s">
        <v>1357</v>
      </c>
      <c r="J5298" t="s">
        <v>1357</v>
      </c>
      <c r="K5298" t="s">
        <v>1357</v>
      </c>
      <c r="L5298" t="s">
        <v>1357</v>
      </c>
    </row>
    <row r="5299" spans="6:12">
      <c r="H5299" t="s">
        <v>20286</v>
      </c>
      <c r="I5299" t="s">
        <v>1357</v>
      </c>
      <c r="J5299" t="s">
        <v>1357</v>
      </c>
      <c r="K5299" t="s">
        <v>1357</v>
      </c>
      <c r="L5299" t="s">
        <v>1357</v>
      </c>
    </row>
    <row r="5300" spans="6:12">
      <c r="H5300" t="s">
        <v>20287</v>
      </c>
      <c r="I5300" t="s">
        <v>1357</v>
      </c>
      <c r="J5300" t="s">
        <v>1357</v>
      </c>
      <c r="K5300" t="s">
        <v>1357</v>
      </c>
      <c r="L5300" t="s">
        <v>1357</v>
      </c>
    </row>
    <row r="5301" spans="6:12">
      <c r="F5301" t="s">
        <v>15131</v>
      </c>
      <c r="G5301" t="s">
        <v>17542</v>
      </c>
      <c r="H5301" t="s">
        <v>20280</v>
      </c>
      <c r="I5301" t="s">
        <v>1357</v>
      </c>
      <c r="J5301" t="s">
        <v>1357</v>
      </c>
      <c r="K5301" t="s">
        <v>1357</v>
      </c>
      <c r="L5301" t="s">
        <v>1357</v>
      </c>
    </row>
    <row r="5302" spans="6:12">
      <c r="H5302" t="s">
        <v>20233</v>
      </c>
      <c r="I5302" t="s">
        <v>1357</v>
      </c>
      <c r="J5302" t="s">
        <v>1357</v>
      </c>
      <c r="K5302" t="s">
        <v>1357</v>
      </c>
      <c r="L5302" t="s">
        <v>1357</v>
      </c>
    </row>
    <row r="5303" spans="6:12">
      <c r="H5303" t="s">
        <v>20230</v>
      </c>
      <c r="I5303" t="s">
        <v>1357</v>
      </c>
      <c r="J5303" t="s">
        <v>1357</v>
      </c>
      <c r="K5303" t="s">
        <v>1357</v>
      </c>
      <c r="L5303" t="s">
        <v>1357</v>
      </c>
    </row>
    <row r="5304" spans="6:12">
      <c r="H5304" t="s">
        <v>20227</v>
      </c>
      <c r="I5304" t="s">
        <v>1357</v>
      </c>
      <c r="J5304" t="s">
        <v>1357</v>
      </c>
      <c r="K5304" t="s">
        <v>1357</v>
      </c>
      <c r="L5304" t="s">
        <v>1357</v>
      </c>
    </row>
    <row r="5305" spans="6:12">
      <c r="H5305" t="s">
        <v>20228</v>
      </c>
      <c r="I5305" t="s">
        <v>1357</v>
      </c>
      <c r="J5305" t="s">
        <v>1357</v>
      </c>
      <c r="K5305" t="s">
        <v>1357</v>
      </c>
      <c r="L5305" t="s">
        <v>1357</v>
      </c>
    </row>
    <row r="5306" spans="6:12">
      <c r="H5306" t="s">
        <v>20232</v>
      </c>
      <c r="I5306" t="s">
        <v>1357</v>
      </c>
      <c r="J5306" t="s">
        <v>1357</v>
      </c>
      <c r="K5306" t="s">
        <v>1357</v>
      </c>
      <c r="L5306" t="s">
        <v>1357</v>
      </c>
    </row>
    <row r="5307" spans="6:12">
      <c r="H5307" t="s">
        <v>20296</v>
      </c>
      <c r="I5307" t="s">
        <v>1357</v>
      </c>
      <c r="J5307" t="s">
        <v>1357</v>
      </c>
      <c r="K5307" t="s">
        <v>1357</v>
      </c>
      <c r="L5307" t="s">
        <v>1357</v>
      </c>
    </row>
    <row r="5308" spans="6:12">
      <c r="H5308" t="s">
        <v>20297</v>
      </c>
      <c r="I5308" t="s">
        <v>1357</v>
      </c>
      <c r="J5308" t="s">
        <v>1357</v>
      </c>
      <c r="K5308" t="s">
        <v>1357</v>
      </c>
      <c r="L5308" t="s">
        <v>1357</v>
      </c>
    </row>
    <row r="5309" spans="6:12">
      <c r="H5309" t="s">
        <v>20234</v>
      </c>
      <c r="I5309" t="s">
        <v>1357</v>
      </c>
      <c r="J5309" t="s">
        <v>1357</v>
      </c>
      <c r="K5309" t="s">
        <v>1357</v>
      </c>
      <c r="L5309" t="s">
        <v>1357</v>
      </c>
    </row>
    <row r="5310" spans="6:12">
      <c r="H5310" t="s">
        <v>20235</v>
      </c>
      <c r="I5310" t="s">
        <v>1357</v>
      </c>
      <c r="J5310" t="s">
        <v>1357</v>
      </c>
      <c r="K5310" t="s">
        <v>1357</v>
      </c>
      <c r="L5310" t="s">
        <v>1357</v>
      </c>
    </row>
    <row r="5311" spans="6:12">
      <c r="H5311" t="s">
        <v>20284</v>
      </c>
      <c r="I5311" t="s">
        <v>1357</v>
      </c>
      <c r="J5311" t="s">
        <v>1357</v>
      </c>
      <c r="K5311" t="s">
        <v>1357</v>
      </c>
      <c r="L5311" t="s">
        <v>1357</v>
      </c>
    </row>
    <row r="5312" spans="6:12">
      <c r="H5312" t="s">
        <v>20285</v>
      </c>
      <c r="I5312" t="s">
        <v>1357</v>
      </c>
      <c r="J5312" t="s">
        <v>1357</v>
      </c>
      <c r="K5312" t="s">
        <v>1357</v>
      </c>
      <c r="L5312" t="s">
        <v>1357</v>
      </c>
    </row>
    <row r="5313" spans="6:12">
      <c r="H5313" t="s">
        <v>20286</v>
      </c>
      <c r="I5313" t="s">
        <v>1357</v>
      </c>
      <c r="J5313" t="s">
        <v>1357</v>
      </c>
      <c r="K5313" t="s">
        <v>1357</v>
      </c>
      <c r="L5313" t="s">
        <v>1357</v>
      </c>
    </row>
    <row r="5314" spans="6:12">
      <c r="H5314" t="s">
        <v>20287</v>
      </c>
      <c r="I5314" t="s">
        <v>1357</v>
      </c>
      <c r="J5314" t="s">
        <v>1357</v>
      </c>
      <c r="K5314" t="s">
        <v>1357</v>
      </c>
      <c r="L5314" t="s">
        <v>1357</v>
      </c>
    </row>
    <row r="5315" spans="6:12">
      <c r="H5315" t="s">
        <v>20288</v>
      </c>
      <c r="I5315" t="s">
        <v>1357</v>
      </c>
      <c r="J5315" t="s">
        <v>1357</v>
      </c>
      <c r="K5315" t="s">
        <v>1357</v>
      </c>
      <c r="L5315" t="s">
        <v>1357</v>
      </c>
    </row>
    <row r="5316" spans="6:12">
      <c r="F5316" t="s">
        <v>15132</v>
      </c>
      <c r="G5316" t="s">
        <v>17543</v>
      </c>
      <c r="H5316" t="s">
        <v>20280</v>
      </c>
      <c r="I5316" t="s">
        <v>1357</v>
      </c>
      <c r="J5316" t="s">
        <v>1357</v>
      </c>
      <c r="K5316" t="s">
        <v>1357</v>
      </c>
      <c r="L5316" t="s">
        <v>1357</v>
      </c>
    </row>
    <row r="5317" spans="6:12">
      <c r="H5317" t="s">
        <v>20233</v>
      </c>
      <c r="I5317" t="s">
        <v>1357</v>
      </c>
      <c r="J5317" t="s">
        <v>1357</v>
      </c>
      <c r="K5317" t="s">
        <v>1357</v>
      </c>
      <c r="L5317" t="s">
        <v>1357</v>
      </c>
    </row>
    <row r="5318" spans="6:12">
      <c r="H5318" t="s">
        <v>20230</v>
      </c>
      <c r="I5318" t="s">
        <v>1357</v>
      </c>
      <c r="J5318" t="s">
        <v>1357</v>
      </c>
      <c r="K5318" t="s">
        <v>1357</v>
      </c>
      <c r="L5318" t="s">
        <v>1357</v>
      </c>
    </row>
    <row r="5319" spans="6:12">
      <c r="H5319" t="s">
        <v>20227</v>
      </c>
      <c r="I5319" t="s">
        <v>1357</v>
      </c>
      <c r="J5319" t="s">
        <v>1357</v>
      </c>
      <c r="K5319" t="s">
        <v>1357</v>
      </c>
      <c r="L5319" t="s">
        <v>1357</v>
      </c>
    </row>
    <row r="5320" spans="6:12">
      <c r="H5320" t="s">
        <v>20228</v>
      </c>
      <c r="I5320" t="s">
        <v>1357</v>
      </c>
      <c r="J5320" t="s">
        <v>1357</v>
      </c>
      <c r="K5320" t="s">
        <v>1357</v>
      </c>
      <c r="L5320" t="s">
        <v>1357</v>
      </c>
    </row>
    <row r="5321" spans="6:12">
      <c r="H5321" t="s">
        <v>20232</v>
      </c>
      <c r="I5321" t="s">
        <v>1357</v>
      </c>
      <c r="J5321" t="s">
        <v>1357</v>
      </c>
      <c r="K5321" t="s">
        <v>1357</v>
      </c>
      <c r="L5321" t="s">
        <v>1357</v>
      </c>
    </row>
    <row r="5322" spans="6:12">
      <c r="H5322" t="s">
        <v>20296</v>
      </c>
      <c r="I5322" t="s">
        <v>1357</v>
      </c>
      <c r="J5322" t="s">
        <v>1357</v>
      </c>
      <c r="K5322" t="s">
        <v>1357</v>
      </c>
      <c r="L5322" t="s">
        <v>1357</v>
      </c>
    </row>
    <row r="5323" spans="6:12">
      <c r="H5323" t="s">
        <v>20297</v>
      </c>
      <c r="I5323" t="s">
        <v>1357</v>
      </c>
      <c r="J5323" t="s">
        <v>1357</v>
      </c>
      <c r="K5323" t="s">
        <v>1357</v>
      </c>
      <c r="L5323" t="s">
        <v>1357</v>
      </c>
    </row>
    <row r="5324" spans="6:12">
      <c r="H5324" t="s">
        <v>20234</v>
      </c>
      <c r="I5324" t="s">
        <v>1357</v>
      </c>
      <c r="J5324" t="s">
        <v>1357</v>
      </c>
      <c r="K5324" t="s">
        <v>1357</v>
      </c>
      <c r="L5324" t="s">
        <v>1357</v>
      </c>
    </row>
    <row r="5325" spans="6:12">
      <c r="H5325" t="s">
        <v>20235</v>
      </c>
      <c r="I5325" t="s">
        <v>1357</v>
      </c>
      <c r="J5325" t="s">
        <v>1357</v>
      </c>
      <c r="K5325" t="s">
        <v>1357</v>
      </c>
      <c r="L5325" t="s">
        <v>1357</v>
      </c>
    </row>
    <row r="5326" spans="6:12">
      <c r="H5326" t="s">
        <v>20284</v>
      </c>
      <c r="I5326" t="s">
        <v>1357</v>
      </c>
      <c r="J5326" t="s">
        <v>1357</v>
      </c>
      <c r="K5326" t="s">
        <v>1357</v>
      </c>
      <c r="L5326" t="s">
        <v>1357</v>
      </c>
    </row>
    <row r="5327" spans="6:12">
      <c r="H5327" t="s">
        <v>20285</v>
      </c>
      <c r="I5327" t="s">
        <v>1357</v>
      </c>
      <c r="J5327" t="s">
        <v>1357</v>
      </c>
      <c r="K5327" t="s">
        <v>1357</v>
      </c>
      <c r="L5327" t="s">
        <v>1357</v>
      </c>
    </row>
    <row r="5328" spans="6:12">
      <c r="H5328" t="s">
        <v>20286</v>
      </c>
      <c r="I5328" t="s">
        <v>1357</v>
      </c>
      <c r="J5328" t="s">
        <v>1357</v>
      </c>
      <c r="K5328" t="s">
        <v>1357</v>
      </c>
      <c r="L5328" t="s">
        <v>1357</v>
      </c>
    </row>
    <row r="5329" spans="6:12">
      <c r="H5329" t="s">
        <v>20287</v>
      </c>
      <c r="I5329" t="s">
        <v>1357</v>
      </c>
      <c r="J5329" t="s">
        <v>1357</v>
      </c>
      <c r="K5329" t="s">
        <v>1357</v>
      </c>
      <c r="L5329" t="s">
        <v>1357</v>
      </c>
    </row>
    <row r="5330" spans="6:12">
      <c r="H5330" t="s">
        <v>20288</v>
      </c>
      <c r="I5330" t="s">
        <v>1357</v>
      </c>
      <c r="J5330" t="s">
        <v>1357</v>
      </c>
      <c r="K5330" t="s">
        <v>1357</v>
      </c>
      <c r="L5330" t="s">
        <v>1357</v>
      </c>
    </row>
    <row r="5331" spans="6:12">
      <c r="F5331" t="s">
        <v>15133</v>
      </c>
      <c r="G5331" t="s">
        <v>17544</v>
      </c>
      <c r="H5331" t="s">
        <v>20280</v>
      </c>
      <c r="I5331" t="s">
        <v>1357</v>
      </c>
      <c r="J5331" t="s">
        <v>1357</v>
      </c>
      <c r="K5331" t="s">
        <v>1357</v>
      </c>
      <c r="L5331" t="s">
        <v>1357</v>
      </c>
    </row>
    <row r="5332" spans="6:12">
      <c r="H5332" t="s">
        <v>20233</v>
      </c>
      <c r="I5332" t="s">
        <v>1357</v>
      </c>
      <c r="J5332" t="s">
        <v>1357</v>
      </c>
      <c r="K5332" t="s">
        <v>1357</v>
      </c>
      <c r="L5332" t="s">
        <v>1357</v>
      </c>
    </row>
    <row r="5333" spans="6:12">
      <c r="H5333" t="s">
        <v>20296</v>
      </c>
      <c r="I5333" t="s">
        <v>1357</v>
      </c>
      <c r="J5333" t="s">
        <v>1357</v>
      </c>
      <c r="K5333" t="s">
        <v>1357</v>
      </c>
      <c r="L5333" t="s">
        <v>1357</v>
      </c>
    </row>
    <row r="5334" spans="6:12">
      <c r="H5334" t="s">
        <v>20297</v>
      </c>
      <c r="I5334" t="s">
        <v>1357</v>
      </c>
      <c r="J5334" t="s">
        <v>1357</v>
      </c>
      <c r="K5334" t="s">
        <v>1357</v>
      </c>
      <c r="L5334" t="s">
        <v>1357</v>
      </c>
    </row>
    <row r="5335" spans="6:12">
      <c r="H5335" t="s">
        <v>20234</v>
      </c>
      <c r="I5335" t="s">
        <v>1357</v>
      </c>
      <c r="J5335" t="s">
        <v>1357</v>
      </c>
      <c r="K5335" t="s">
        <v>1357</v>
      </c>
      <c r="L5335" t="s">
        <v>1357</v>
      </c>
    </row>
    <row r="5336" spans="6:12">
      <c r="H5336" t="s">
        <v>20284</v>
      </c>
      <c r="I5336" t="s">
        <v>1357</v>
      </c>
      <c r="J5336" t="s">
        <v>1357</v>
      </c>
      <c r="K5336" t="s">
        <v>1357</v>
      </c>
      <c r="L5336" t="s">
        <v>1357</v>
      </c>
    </row>
    <row r="5337" spans="6:12">
      <c r="H5337" t="s">
        <v>20285</v>
      </c>
      <c r="I5337" t="s">
        <v>1357</v>
      </c>
      <c r="J5337" t="s">
        <v>1357</v>
      </c>
      <c r="K5337" t="s">
        <v>1357</v>
      </c>
      <c r="L5337" t="s">
        <v>1357</v>
      </c>
    </row>
    <row r="5338" spans="6:12">
      <c r="H5338" t="s">
        <v>20286</v>
      </c>
      <c r="I5338" t="s">
        <v>1357</v>
      </c>
      <c r="J5338" t="s">
        <v>1357</v>
      </c>
      <c r="K5338" t="s">
        <v>1357</v>
      </c>
      <c r="L5338" t="s">
        <v>1357</v>
      </c>
    </row>
    <row r="5339" spans="6:12">
      <c r="H5339" t="s">
        <v>20287</v>
      </c>
      <c r="I5339" t="s">
        <v>1357</v>
      </c>
      <c r="J5339" t="s">
        <v>1357</v>
      </c>
      <c r="K5339" t="s">
        <v>1357</v>
      </c>
      <c r="L5339" t="s">
        <v>1357</v>
      </c>
    </row>
    <row r="5340" spans="6:12">
      <c r="H5340" t="s">
        <v>20288</v>
      </c>
      <c r="I5340" t="s">
        <v>1357</v>
      </c>
      <c r="J5340" t="s">
        <v>1357</v>
      </c>
      <c r="K5340" t="s">
        <v>1357</v>
      </c>
      <c r="L5340" t="s">
        <v>1357</v>
      </c>
    </row>
    <row r="5341" spans="6:12">
      <c r="H5341" t="s">
        <v>20289</v>
      </c>
      <c r="I5341" t="s">
        <v>1357</v>
      </c>
      <c r="J5341" t="s">
        <v>1357</v>
      </c>
      <c r="K5341" t="s">
        <v>1357</v>
      </c>
      <c r="L5341" t="s">
        <v>1357</v>
      </c>
    </row>
    <row r="5342" spans="6:12">
      <c r="H5342" t="s">
        <v>20290</v>
      </c>
      <c r="I5342" t="s">
        <v>1357</v>
      </c>
      <c r="J5342" t="s">
        <v>1357</v>
      </c>
      <c r="K5342" t="s">
        <v>1357</v>
      </c>
      <c r="L5342" t="s">
        <v>1357</v>
      </c>
    </row>
    <row r="5343" spans="6:12">
      <c r="H5343" t="s">
        <v>20293</v>
      </c>
      <c r="I5343" t="s">
        <v>1357</v>
      </c>
      <c r="J5343" t="s">
        <v>1357</v>
      </c>
      <c r="K5343" t="s">
        <v>1357</v>
      </c>
      <c r="L5343" t="s">
        <v>1357</v>
      </c>
    </row>
    <row r="5344" spans="6:12">
      <c r="H5344" t="s">
        <v>20294</v>
      </c>
      <c r="I5344" t="s">
        <v>1357</v>
      </c>
      <c r="J5344" t="s">
        <v>1357</v>
      </c>
      <c r="K5344" t="s">
        <v>1357</v>
      </c>
      <c r="L5344" t="s">
        <v>1357</v>
      </c>
    </row>
    <row r="5345" spans="6:12">
      <c r="H5345" t="s">
        <v>20312</v>
      </c>
      <c r="I5345" t="s">
        <v>1357</v>
      </c>
      <c r="J5345" t="s">
        <v>1357</v>
      </c>
      <c r="K5345" t="s">
        <v>1357</v>
      </c>
      <c r="L5345" t="s">
        <v>1357</v>
      </c>
    </row>
    <row r="5346" spans="6:12">
      <c r="H5346" t="s">
        <v>20313</v>
      </c>
      <c r="I5346" t="s">
        <v>1357</v>
      </c>
      <c r="J5346" t="s">
        <v>1357</v>
      </c>
      <c r="K5346" t="s">
        <v>1357</v>
      </c>
      <c r="L5346" t="s">
        <v>1357</v>
      </c>
    </row>
    <row r="5347" spans="6:12">
      <c r="F5347" t="s">
        <v>15134</v>
      </c>
      <c r="G5347" t="s">
        <v>17545</v>
      </c>
      <c r="H5347" t="s">
        <v>20280</v>
      </c>
      <c r="I5347" t="s">
        <v>1357</v>
      </c>
      <c r="J5347" t="s">
        <v>1357</v>
      </c>
      <c r="K5347" t="s">
        <v>1357</v>
      </c>
      <c r="L5347" t="s">
        <v>1357</v>
      </c>
    </row>
    <row r="5348" spans="6:12">
      <c r="H5348" t="s">
        <v>20233</v>
      </c>
      <c r="I5348" t="s">
        <v>1357</v>
      </c>
      <c r="J5348" t="s">
        <v>1357</v>
      </c>
      <c r="K5348" t="s">
        <v>1357</v>
      </c>
      <c r="L5348" t="s">
        <v>1357</v>
      </c>
    </row>
    <row r="5349" spans="6:12">
      <c r="H5349" t="s">
        <v>20230</v>
      </c>
      <c r="I5349" t="s">
        <v>1357</v>
      </c>
      <c r="J5349" t="s">
        <v>1357</v>
      </c>
      <c r="K5349" t="s">
        <v>1357</v>
      </c>
      <c r="L5349" t="s">
        <v>1357</v>
      </c>
    </row>
    <row r="5350" spans="6:12">
      <c r="H5350" t="s">
        <v>20227</v>
      </c>
      <c r="I5350" t="s">
        <v>1357</v>
      </c>
      <c r="J5350" t="s">
        <v>1357</v>
      </c>
      <c r="K5350" t="s">
        <v>1357</v>
      </c>
      <c r="L5350" t="s">
        <v>1357</v>
      </c>
    </row>
    <row r="5351" spans="6:12">
      <c r="H5351" t="s">
        <v>20232</v>
      </c>
      <c r="I5351" t="s">
        <v>1357</v>
      </c>
      <c r="J5351" t="s">
        <v>1357</v>
      </c>
      <c r="K5351" t="s">
        <v>1357</v>
      </c>
      <c r="L5351" t="s">
        <v>1357</v>
      </c>
    </row>
    <row r="5352" spans="6:12">
      <c r="H5352" t="s">
        <v>20306</v>
      </c>
      <c r="I5352" t="s">
        <v>1357</v>
      </c>
      <c r="J5352" t="s">
        <v>1357</v>
      </c>
      <c r="K5352" t="s">
        <v>1357</v>
      </c>
      <c r="L5352" t="s">
        <v>1357</v>
      </c>
    </row>
    <row r="5353" spans="6:12">
      <c r="H5353" t="s">
        <v>20284</v>
      </c>
      <c r="I5353" t="s">
        <v>1357</v>
      </c>
      <c r="J5353" t="s">
        <v>1357</v>
      </c>
      <c r="K5353" t="s">
        <v>1357</v>
      </c>
      <c r="L5353" t="s">
        <v>1357</v>
      </c>
    </row>
    <row r="5354" spans="6:12">
      <c r="H5354" t="s">
        <v>20285</v>
      </c>
      <c r="I5354" t="s">
        <v>1357</v>
      </c>
      <c r="J5354" t="s">
        <v>1357</v>
      </c>
      <c r="K5354" t="s">
        <v>1357</v>
      </c>
      <c r="L5354" t="s">
        <v>1357</v>
      </c>
    </row>
    <row r="5355" spans="6:12">
      <c r="H5355" t="s">
        <v>20288</v>
      </c>
      <c r="I5355" t="s">
        <v>1357</v>
      </c>
      <c r="J5355" t="s">
        <v>1357</v>
      </c>
      <c r="K5355" t="s">
        <v>1357</v>
      </c>
      <c r="L5355" t="s">
        <v>1357</v>
      </c>
    </row>
    <row r="5356" spans="6:12">
      <c r="H5356" t="s">
        <v>20290</v>
      </c>
      <c r="I5356" t="s">
        <v>1357</v>
      </c>
      <c r="J5356" t="s">
        <v>1357</v>
      </c>
      <c r="K5356" t="s">
        <v>1357</v>
      </c>
      <c r="L5356" t="s">
        <v>1357</v>
      </c>
    </row>
    <row r="5357" spans="6:12">
      <c r="H5357" t="s">
        <v>20291</v>
      </c>
      <c r="I5357" t="s">
        <v>1357</v>
      </c>
      <c r="J5357" t="s">
        <v>1357</v>
      </c>
      <c r="K5357" t="s">
        <v>1357</v>
      </c>
      <c r="L5357" t="s">
        <v>1357</v>
      </c>
    </row>
    <row r="5358" spans="6:12">
      <c r="H5358" t="s">
        <v>20293</v>
      </c>
      <c r="I5358" t="s">
        <v>1357</v>
      </c>
      <c r="J5358" t="s">
        <v>1357</v>
      </c>
      <c r="K5358" t="s">
        <v>1357</v>
      </c>
      <c r="L5358" t="s">
        <v>1357</v>
      </c>
    </row>
    <row r="5359" spans="6:12">
      <c r="H5359" t="s">
        <v>20294</v>
      </c>
      <c r="I5359" t="s">
        <v>1357</v>
      </c>
      <c r="J5359" t="s">
        <v>1357</v>
      </c>
      <c r="K5359" t="s">
        <v>1357</v>
      </c>
      <c r="L5359" t="s">
        <v>1357</v>
      </c>
    </row>
    <row r="5360" spans="6:12">
      <c r="H5360" t="s">
        <v>20312</v>
      </c>
      <c r="I5360" t="s">
        <v>1357</v>
      </c>
      <c r="J5360" t="s">
        <v>1357</v>
      </c>
      <c r="K5360" t="s">
        <v>1357</v>
      </c>
      <c r="L5360" t="s">
        <v>1357</v>
      </c>
    </row>
    <row r="5361" spans="6:12">
      <c r="H5361" t="s">
        <v>20313</v>
      </c>
      <c r="I5361" t="s">
        <v>1357</v>
      </c>
      <c r="J5361" t="s">
        <v>1357</v>
      </c>
      <c r="K5361" t="s">
        <v>1357</v>
      </c>
      <c r="L5361" t="s">
        <v>1357</v>
      </c>
    </row>
    <row r="5362" spans="6:12">
      <c r="H5362" t="s">
        <v>20325</v>
      </c>
      <c r="I5362" t="s">
        <v>1357</v>
      </c>
      <c r="J5362" t="s">
        <v>1357</v>
      </c>
      <c r="K5362" t="s">
        <v>1357</v>
      </c>
      <c r="L5362" t="s">
        <v>1357</v>
      </c>
    </row>
    <row r="5363" spans="6:12">
      <c r="H5363" t="s">
        <v>20326</v>
      </c>
      <c r="I5363" t="s">
        <v>1357</v>
      </c>
      <c r="J5363" t="s">
        <v>1357</v>
      </c>
      <c r="K5363" t="s">
        <v>1357</v>
      </c>
      <c r="L5363" t="s">
        <v>1357</v>
      </c>
    </row>
    <row r="5364" spans="6:12">
      <c r="H5364" t="s">
        <v>20327</v>
      </c>
      <c r="I5364" t="s">
        <v>1357</v>
      </c>
      <c r="J5364" t="s">
        <v>1357</v>
      </c>
      <c r="K5364" t="s">
        <v>1357</v>
      </c>
      <c r="L5364" t="s">
        <v>1357</v>
      </c>
    </row>
    <row r="5365" spans="6:12">
      <c r="H5365" t="s">
        <v>20009</v>
      </c>
      <c r="I5365" t="s">
        <v>1357</v>
      </c>
      <c r="J5365" t="s">
        <v>1357</v>
      </c>
      <c r="K5365" t="s">
        <v>1357</v>
      </c>
      <c r="L5365" t="s">
        <v>1357</v>
      </c>
    </row>
    <row r="5366" spans="6:12">
      <c r="H5366" t="s">
        <v>20329</v>
      </c>
      <c r="I5366" t="s">
        <v>1357</v>
      </c>
      <c r="J5366" t="s">
        <v>1357</v>
      </c>
      <c r="K5366" t="s">
        <v>1357</v>
      </c>
      <c r="L5366" t="s">
        <v>1357</v>
      </c>
    </row>
    <row r="5367" spans="6:12">
      <c r="H5367" t="s">
        <v>20330</v>
      </c>
      <c r="I5367" t="s">
        <v>1357</v>
      </c>
      <c r="J5367" t="s">
        <v>1357</v>
      </c>
      <c r="K5367" t="s">
        <v>1357</v>
      </c>
      <c r="L5367" t="s">
        <v>1357</v>
      </c>
    </row>
    <row r="5368" spans="6:12">
      <c r="H5368" t="s">
        <v>20331</v>
      </c>
      <c r="I5368" t="s">
        <v>1357</v>
      </c>
      <c r="J5368" t="s">
        <v>1357</v>
      </c>
      <c r="K5368" t="s">
        <v>1357</v>
      </c>
      <c r="L5368" t="s">
        <v>1357</v>
      </c>
    </row>
    <row r="5369" spans="6:12">
      <c r="F5369" t="s">
        <v>15135</v>
      </c>
      <c r="G5369" t="s">
        <v>17856</v>
      </c>
      <c r="H5369" t="s">
        <v>20280</v>
      </c>
      <c r="I5369" t="s">
        <v>1357</v>
      </c>
      <c r="J5369" t="s">
        <v>1357</v>
      </c>
      <c r="K5369" t="s">
        <v>1357</v>
      </c>
      <c r="L5369" t="s">
        <v>1357</v>
      </c>
    </row>
    <row r="5370" spans="6:12">
      <c r="H5370" t="s">
        <v>20233</v>
      </c>
      <c r="I5370" t="s">
        <v>1357</v>
      </c>
      <c r="J5370" t="s">
        <v>1357</v>
      </c>
      <c r="K5370" t="s">
        <v>1357</v>
      </c>
      <c r="L5370" t="s">
        <v>1357</v>
      </c>
    </row>
    <row r="5371" spans="6:12">
      <c r="H5371" t="s">
        <v>20227</v>
      </c>
      <c r="I5371" t="s">
        <v>1357</v>
      </c>
      <c r="J5371" t="s">
        <v>1357</v>
      </c>
      <c r="K5371" t="s">
        <v>1357</v>
      </c>
      <c r="L5371" t="s">
        <v>1357</v>
      </c>
    </row>
    <row r="5372" spans="6:12">
      <c r="H5372" t="s">
        <v>20306</v>
      </c>
      <c r="I5372" t="s">
        <v>1357</v>
      </c>
      <c r="J5372" t="s">
        <v>1357</v>
      </c>
      <c r="K5372" t="s">
        <v>1357</v>
      </c>
      <c r="L5372" t="s">
        <v>1357</v>
      </c>
    </row>
    <row r="5373" spans="6:12">
      <c r="H5373" t="s">
        <v>20284</v>
      </c>
      <c r="I5373" t="s">
        <v>1357</v>
      </c>
      <c r="J5373" t="s">
        <v>1357</v>
      </c>
      <c r="K5373" t="s">
        <v>1357</v>
      </c>
      <c r="L5373" t="s">
        <v>1357</v>
      </c>
    </row>
    <row r="5374" spans="6:12">
      <c r="H5374" t="s">
        <v>20285</v>
      </c>
      <c r="I5374" t="s">
        <v>1357</v>
      </c>
      <c r="J5374" t="s">
        <v>1357</v>
      </c>
      <c r="K5374" t="s">
        <v>1357</v>
      </c>
      <c r="L5374" t="s">
        <v>1357</v>
      </c>
    </row>
    <row r="5375" spans="6:12">
      <c r="H5375" t="s">
        <v>20288</v>
      </c>
      <c r="I5375" t="s">
        <v>1357</v>
      </c>
      <c r="J5375" t="s">
        <v>1357</v>
      </c>
      <c r="K5375" t="s">
        <v>1357</v>
      </c>
      <c r="L5375" t="s">
        <v>1357</v>
      </c>
    </row>
    <row r="5376" spans="6:12">
      <c r="H5376" t="s">
        <v>20289</v>
      </c>
      <c r="I5376" t="s">
        <v>1357</v>
      </c>
      <c r="J5376" t="s">
        <v>1357</v>
      </c>
      <c r="K5376" t="s">
        <v>1357</v>
      </c>
      <c r="L5376" t="s">
        <v>1357</v>
      </c>
    </row>
    <row r="5377" spans="6:12">
      <c r="H5377" t="s">
        <v>20290</v>
      </c>
      <c r="I5377" t="s">
        <v>1357</v>
      </c>
      <c r="J5377" t="s">
        <v>1357</v>
      </c>
      <c r="K5377" t="s">
        <v>1357</v>
      </c>
      <c r="L5377" t="s">
        <v>1357</v>
      </c>
    </row>
    <row r="5378" spans="6:12">
      <c r="H5378" t="s">
        <v>20291</v>
      </c>
      <c r="I5378" t="s">
        <v>1357</v>
      </c>
      <c r="J5378" t="s">
        <v>1357</v>
      </c>
      <c r="K5378" t="s">
        <v>1357</v>
      </c>
      <c r="L5378" t="s">
        <v>1357</v>
      </c>
    </row>
    <row r="5379" spans="6:12">
      <c r="H5379" t="s">
        <v>20293</v>
      </c>
      <c r="I5379" t="s">
        <v>1357</v>
      </c>
      <c r="J5379" t="s">
        <v>1357</v>
      </c>
      <c r="K5379" t="s">
        <v>1357</v>
      </c>
      <c r="L5379" t="s">
        <v>1357</v>
      </c>
    </row>
    <row r="5380" spans="6:12">
      <c r="H5380" t="s">
        <v>20294</v>
      </c>
      <c r="I5380" t="s">
        <v>1357</v>
      </c>
      <c r="J5380" t="s">
        <v>1357</v>
      </c>
      <c r="K5380" t="s">
        <v>1357</v>
      </c>
      <c r="L5380" t="s">
        <v>1357</v>
      </c>
    </row>
    <row r="5381" spans="6:12">
      <c r="H5381" t="s">
        <v>20312</v>
      </c>
      <c r="I5381" t="s">
        <v>1357</v>
      </c>
      <c r="J5381" t="s">
        <v>1357</v>
      </c>
      <c r="K5381" t="s">
        <v>1357</v>
      </c>
      <c r="L5381" t="s">
        <v>1357</v>
      </c>
    </row>
    <row r="5382" spans="6:12">
      <c r="H5382" t="s">
        <v>20313</v>
      </c>
      <c r="I5382" t="s">
        <v>1357</v>
      </c>
      <c r="J5382" t="s">
        <v>1357</v>
      </c>
      <c r="K5382" t="s">
        <v>1357</v>
      </c>
      <c r="L5382" t="s">
        <v>1357</v>
      </c>
    </row>
    <row r="5383" spans="6:12">
      <c r="H5383" t="s">
        <v>20325</v>
      </c>
      <c r="I5383" t="s">
        <v>1357</v>
      </c>
      <c r="J5383" t="s">
        <v>1357</v>
      </c>
      <c r="K5383" t="s">
        <v>1357</v>
      </c>
      <c r="L5383" t="s">
        <v>1357</v>
      </c>
    </row>
    <row r="5384" spans="6:12">
      <c r="H5384" t="s">
        <v>20326</v>
      </c>
      <c r="I5384" t="s">
        <v>1357</v>
      </c>
      <c r="J5384" t="s">
        <v>1357</v>
      </c>
      <c r="K5384" t="s">
        <v>1357</v>
      </c>
      <c r="L5384" t="s">
        <v>1357</v>
      </c>
    </row>
    <row r="5385" spans="6:12">
      <c r="H5385" t="s">
        <v>20327</v>
      </c>
      <c r="I5385" t="s">
        <v>1357</v>
      </c>
      <c r="J5385" t="s">
        <v>1357</v>
      </c>
      <c r="K5385" t="s">
        <v>1357</v>
      </c>
      <c r="L5385" t="s">
        <v>1357</v>
      </c>
    </row>
    <row r="5386" spans="6:12">
      <c r="H5386" t="s">
        <v>20009</v>
      </c>
      <c r="I5386" t="s">
        <v>1357</v>
      </c>
      <c r="J5386" t="s">
        <v>1357</v>
      </c>
      <c r="K5386" t="s">
        <v>1357</v>
      </c>
      <c r="L5386" t="s">
        <v>1357</v>
      </c>
    </row>
    <row r="5387" spans="6:12">
      <c r="H5387" t="s">
        <v>20329</v>
      </c>
      <c r="I5387" t="s">
        <v>1357</v>
      </c>
      <c r="J5387" t="s">
        <v>1357</v>
      </c>
      <c r="K5387" t="s">
        <v>1357</v>
      </c>
      <c r="L5387" t="s">
        <v>1357</v>
      </c>
    </row>
    <row r="5388" spans="6:12">
      <c r="H5388" t="s">
        <v>20330</v>
      </c>
      <c r="I5388" t="s">
        <v>1357</v>
      </c>
      <c r="J5388" t="s">
        <v>1357</v>
      </c>
      <c r="K5388" t="s">
        <v>1357</v>
      </c>
      <c r="L5388" t="s">
        <v>1357</v>
      </c>
    </row>
    <row r="5389" spans="6:12">
      <c r="H5389" t="s">
        <v>20331</v>
      </c>
      <c r="I5389" t="s">
        <v>1357</v>
      </c>
      <c r="J5389" t="s">
        <v>1357</v>
      </c>
      <c r="K5389" t="s">
        <v>1357</v>
      </c>
      <c r="L5389" t="s">
        <v>1357</v>
      </c>
    </row>
    <row r="5390" spans="6:12">
      <c r="F5390" t="s">
        <v>15136</v>
      </c>
      <c r="G5390" t="s">
        <v>17857</v>
      </c>
      <c r="H5390" t="s">
        <v>20280</v>
      </c>
      <c r="I5390" t="s">
        <v>1357</v>
      </c>
      <c r="J5390" t="s">
        <v>1357</v>
      </c>
      <c r="K5390" t="s">
        <v>1357</v>
      </c>
      <c r="L5390" t="s">
        <v>1357</v>
      </c>
    </row>
    <row r="5391" spans="6:12">
      <c r="H5391" t="s">
        <v>20233</v>
      </c>
      <c r="I5391" t="s">
        <v>1357</v>
      </c>
      <c r="J5391" t="s">
        <v>1357</v>
      </c>
      <c r="K5391" t="s">
        <v>1357</v>
      </c>
      <c r="L5391" t="s">
        <v>1357</v>
      </c>
    </row>
    <row r="5392" spans="6:12">
      <c r="H5392" t="s">
        <v>20227</v>
      </c>
      <c r="I5392" t="s">
        <v>1357</v>
      </c>
      <c r="J5392" t="s">
        <v>1357</v>
      </c>
      <c r="K5392" t="s">
        <v>1357</v>
      </c>
      <c r="L5392" t="s">
        <v>1357</v>
      </c>
    </row>
    <row r="5393" spans="8:12">
      <c r="H5393" t="s">
        <v>20306</v>
      </c>
      <c r="I5393" t="s">
        <v>1357</v>
      </c>
      <c r="J5393" t="s">
        <v>1357</v>
      </c>
      <c r="K5393" t="s">
        <v>1357</v>
      </c>
      <c r="L5393" t="s">
        <v>1357</v>
      </c>
    </row>
    <row r="5394" spans="8:12">
      <c r="H5394" t="s">
        <v>20284</v>
      </c>
      <c r="I5394" t="s">
        <v>1357</v>
      </c>
      <c r="J5394" t="s">
        <v>1357</v>
      </c>
      <c r="K5394" t="s">
        <v>1357</v>
      </c>
      <c r="L5394" t="s">
        <v>1357</v>
      </c>
    </row>
    <row r="5395" spans="8:12">
      <c r="H5395" t="s">
        <v>20285</v>
      </c>
      <c r="I5395" t="s">
        <v>1357</v>
      </c>
      <c r="J5395" t="s">
        <v>1357</v>
      </c>
      <c r="K5395" t="s">
        <v>1357</v>
      </c>
      <c r="L5395" t="s">
        <v>1357</v>
      </c>
    </row>
    <row r="5396" spans="8:12">
      <c r="H5396" t="s">
        <v>20288</v>
      </c>
      <c r="I5396" t="s">
        <v>1357</v>
      </c>
      <c r="J5396" t="s">
        <v>1357</v>
      </c>
      <c r="K5396" t="s">
        <v>1357</v>
      </c>
      <c r="L5396" t="s">
        <v>1357</v>
      </c>
    </row>
    <row r="5397" spans="8:12">
      <c r="H5397" t="s">
        <v>20289</v>
      </c>
      <c r="I5397" t="s">
        <v>1357</v>
      </c>
      <c r="J5397" t="s">
        <v>1357</v>
      </c>
      <c r="K5397" t="s">
        <v>1357</v>
      </c>
      <c r="L5397" t="s">
        <v>1357</v>
      </c>
    </row>
    <row r="5398" spans="8:12">
      <c r="H5398" t="s">
        <v>20290</v>
      </c>
      <c r="I5398" t="s">
        <v>1357</v>
      </c>
      <c r="J5398" t="s">
        <v>1357</v>
      </c>
      <c r="K5398" t="s">
        <v>1357</v>
      </c>
      <c r="L5398" t="s">
        <v>1357</v>
      </c>
    </row>
    <row r="5399" spans="8:12">
      <c r="H5399" t="s">
        <v>20291</v>
      </c>
      <c r="I5399" t="s">
        <v>1357</v>
      </c>
      <c r="J5399" t="s">
        <v>1357</v>
      </c>
      <c r="K5399" t="s">
        <v>1357</v>
      </c>
      <c r="L5399" t="s">
        <v>1357</v>
      </c>
    </row>
    <row r="5400" spans="8:12">
      <c r="H5400" t="s">
        <v>20293</v>
      </c>
      <c r="I5400" t="s">
        <v>1357</v>
      </c>
      <c r="J5400" t="s">
        <v>1357</v>
      </c>
      <c r="K5400" t="s">
        <v>1357</v>
      </c>
      <c r="L5400" t="s">
        <v>1357</v>
      </c>
    </row>
    <row r="5401" spans="8:12">
      <c r="H5401" t="s">
        <v>20294</v>
      </c>
      <c r="I5401" t="s">
        <v>1357</v>
      </c>
      <c r="J5401" t="s">
        <v>1357</v>
      </c>
      <c r="K5401" t="s">
        <v>1357</v>
      </c>
      <c r="L5401" t="s">
        <v>1357</v>
      </c>
    </row>
    <row r="5402" spans="8:12">
      <c r="H5402" t="s">
        <v>20312</v>
      </c>
      <c r="I5402" t="s">
        <v>1357</v>
      </c>
      <c r="J5402" t="s">
        <v>1357</v>
      </c>
      <c r="K5402" t="s">
        <v>1357</v>
      </c>
      <c r="L5402" t="s">
        <v>1357</v>
      </c>
    </row>
    <row r="5403" spans="8:12">
      <c r="H5403" t="s">
        <v>20313</v>
      </c>
      <c r="I5403" t="s">
        <v>1357</v>
      </c>
      <c r="J5403" t="s">
        <v>1357</v>
      </c>
      <c r="K5403" t="s">
        <v>1357</v>
      </c>
      <c r="L5403" t="s">
        <v>1357</v>
      </c>
    </row>
    <row r="5404" spans="8:12">
      <c r="H5404" t="s">
        <v>20325</v>
      </c>
      <c r="I5404" t="s">
        <v>1357</v>
      </c>
      <c r="J5404" t="s">
        <v>1357</v>
      </c>
      <c r="K5404" t="s">
        <v>1357</v>
      </c>
      <c r="L5404" t="s">
        <v>1357</v>
      </c>
    </row>
    <row r="5405" spans="8:12">
      <c r="H5405" t="s">
        <v>20326</v>
      </c>
      <c r="I5405" t="s">
        <v>1357</v>
      </c>
      <c r="J5405" t="s">
        <v>1357</v>
      </c>
      <c r="K5405" t="s">
        <v>1357</v>
      </c>
      <c r="L5405" t="s">
        <v>1357</v>
      </c>
    </row>
    <row r="5406" spans="8:12">
      <c r="H5406" t="s">
        <v>20327</v>
      </c>
      <c r="I5406" t="s">
        <v>1357</v>
      </c>
      <c r="J5406" t="s">
        <v>1357</v>
      </c>
      <c r="K5406" t="s">
        <v>1357</v>
      </c>
      <c r="L5406" t="s">
        <v>1357</v>
      </c>
    </row>
    <row r="5407" spans="8:12">
      <c r="H5407" t="s">
        <v>20009</v>
      </c>
      <c r="I5407" t="s">
        <v>1357</v>
      </c>
      <c r="J5407" t="s">
        <v>1357</v>
      </c>
      <c r="K5407" t="s">
        <v>1357</v>
      </c>
      <c r="L5407" t="s">
        <v>1357</v>
      </c>
    </row>
    <row r="5408" spans="8:12">
      <c r="H5408" t="s">
        <v>20329</v>
      </c>
      <c r="I5408" t="s">
        <v>1357</v>
      </c>
      <c r="J5408" t="s">
        <v>1357</v>
      </c>
      <c r="K5408" t="s">
        <v>1357</v>
      </c>
      <c r="L5408" t="s">
        <v>1357</v>
      </c>
    </row>
    <row r="5409" spans="6:12">
      <c r="H5409" t="s">
        <v>20330</v>
      </c>
      <c r="I5409" t="s">
        <v>1357</v>
      </c>
      <c r="J5409" t="s">
        <v>1357</v>
      </c>
      <c r="K5409" t="s">
        <v>1357</v>
      </c>
      <c r="L5409" t="s">
        <v>1357</v>
      </c>
    </row>
    <row r="5410" spans="6:12">
      <c r="H5410" t="s">
        <v>20331</v>
      </c>
      <c r="I5410" t="s">
        <v>1357</v>
      </c>
      <c r="J5410" t="s">
        <v>1357</v>
      </c>
      <c r="K5410" t="s">
        <v>1357</v>
      </c>
      <c r="L5410" t="s">
        <v>1357</v>
      </c>
    </row>
    <row r="5411" spans="6:12">
      <c r="F5411" t="s">
        <v>15137</v>
      </c>
      <c r="G5411" t="s">
        <v>17858</v>
      </c>
      <c r="H5411" t="s">
        <v>20280</v>
      </c>
      <c r="I5411" t="s">
        <v>1357</v>
      </c>
      <c r="J5411" t="s">
        <v>1357</v>
      </c>
      <c r="K5411" t="s">
        <v>1357</v>
      </c>
      <c r="L5411" t="s">
        <v>1357</v>
      </c>
    </row>
    <row r="5412" spans="6:12">
      <c r="H5412" t="s">
        <v>20233</v>
      </c>
      <c r="I5412" t="s">
        <v>1357</v>
      </c>
      <c r="J5412" t="s">
        <v>1357</v>
      </c>
      <c r="K5412" t="s">
        <v>1357</v>
      </c>
      <c r="L5412" t="s">
        <v>1357</v>
      </c>
    </row>
    <row r="5413" spans="6:12">
      <c r="H5413" t="s">
        <v>20227</v>
      </c>
      <c r="I5413" t="s">
        <v>1357</v>
      </c>
      <c r="J5413" t="s">
        <v>1357</v>
      </c>
      <c r="K5413" t="s">
        <v>1357</v>
      </c>
      <c r="L5413" t="s">
        <v>1357</v>
      </c>
    </row>
    <row r="5414" spans="6:12">
      <c r="H5414" t="s">
        <v>20306</v>
      </c>
      <c r="I5414" t="s">
        <v>1357</v>
      </c>
      <c r="J5414" t="s">
        <v>1357</v>
      </c>
      <c r="K5414" t="s">
        <v>1357</v>
      </c>
      <c r="L5414" t="s">
        <v>1357</v>
      </c>
    </row>
    <row r="5415" spans="6:12">
      <c r="H5415" t="s">
        <v>20284</v>
      </c>
      <c r="I5415" t="s">
        <v>1357</v>
      </c>
      <c r="J5415" t="s">
        <v>1357</v>
      </c>
      <c r="K5415" t="s">
        <v>1357</v>
      </c>
      <c r="L5415" t="s">
        <v>1357</v>
      </c>
    </row>
    <row r="5416" spans="6:12">
      <c r="H5416" t="s">
        <v>20285</v>
      </c>
      <c r="I5416" t="s">
        <v>1357</v>
      </c>
      <c r="J5416" t="s">
        <v>1357</v>
      </c>
      <c r="K5416" t="s">
        <v>1357</v>
      </c>
      <c r="L5416" t="s">
        <v>1357</v>
      </c>
    </row>
    <row r="5417" spans="6:12">
      <c r="H5417" t="s">
        <v>20288</v>
      </c>
      <c r="I5417" t="s">
        <v>1357</v>
      </c>
      <c r="J5417" t="s">
        <v>1357</v>
      </c>
      <c r="K5417" t="s">
        <v>1357</v>
      </c>
      <c r="L5417" t="s">
        <v>1357</v>
      </c>
    </row>
    <row r="5418" spans="6:12">
      <c r="H5418" t="s">
        <v>20289</v>
      </c>
      <c r="I5418" t="s">
        <v>1357</v>
      </c>
      <c r="J5418" t="s">
        <v>1357</v>
      </c>
      <c r="K5418" t="s">
        <v>1357</v>
      </c>
      <c r="L5418" t="s">
        <v>1357</v>
      </c>
    </row>
    <row r="5419" spans="6:12">
      <c r="H5419" t="s">
        <v>20290</v>
      </c>
      <c r="I5419" t="s">
        <v>1357</v>
      </c>
      <c r="J5419" t="s">
        <v>1357</v>
      </c>
      <c r="K5419" t="s">
        <v>1357</v>
      </c>
      <c r="L5419" t="s">
        <v>1357</v>
      </c>
    </row>
    <row r="5420" spans="6:12">
      <c r="H5420" t="s">
        <v>20291</v>
      </c>
      <c r="I5420" t="s">
        <v>1357</v>
      </c>
      <c r="J5420" t="s">
        <v>1357</v>
      </c>
      <c r="K5420" t="s">
        <v>1357</v>
      </c>
      <c r="L5420" t="s">
        <v>1357</v>
      </c>
    </row>
    <row r="5421" spans="6:12">
      <c r="H5421" t="s">
        <v>20293</v>
      </c>
      <c r="I5421" t="s">
        <v>1357</v>
      </c>
      <c r="J5421" t="s">
        <v>1357</v>
      </c>
      <c r="K5421" t="s">
        <v>1357</v>
      </c>
      <c r="L5421" t="s">
        <v>1357</v>
      </c>
    </row>
    <row r="5422" spans="6:12">
      <c r="H5422" t="s">
        <v>20294</v>
      </c>
      <c r="I5422" t="s">
        <v>1357</v>
      </c>
      <c r="J5422" t="s">
        <v>1357</v>
      </c>
      <c r="K5422" t="s">
        <v>1357</v>
      </c>
      <c r="L5422" t="s">
        <v>1357</v>
      </c>
    </row>
    <row r="5423" spans="6:12">
      <c r="H5423" t="s">
        <v>20312</v>
      </c>
      <c r="I5423" t="s">
        <v>1357</v>
      </c>
      <c r="J5423" t="s">
        <v>1357</v>
      </c>
      <c r="K5423" t="s">
        <v>1357</v>
      </c>
      <c r="L5423" t="s">
        <v>1357</v>
      </c>
    </row>
    <row r="5424" spans="6:12">
      <c r="H5424" t="s">
        <v>20313</v>
      </c>
      <c r="I5424" t="s">
        <v>1357</v>
      </c>
      <c r="J5424" t="s">
        <v>1357</v>
      </c>
      <c r="K5424" t="s">
        <v>1357</v>
      </c>
      <c r="L5424" t="s">
        <v>1357</v>
      </c>
    </row>
    <row r="5425" spans="6:12">
      <c r="H5425" t="s">
        <v>20325</v>
      </c>
      <c r="I5425" t="s">
        <v>1357</v>
      </c>
      <c r="J5425" t="s">
        <v>1357</v>
      </c>
      <c r="K5425" t="s">
        <v>1357</v>
      </c>
      <c r="L5425" t="s">
        <v>1357</v>
      </c>
    </row>
    <row r="5426" spans="6:12">
      <c r="H5426" t="s">
        <v>20326</v>
      </c>
      <c r="I5426" t="s">
        <v>1357</v>
      </c>
      <c r="J5426" t="s">
        <v>1357</v>
      </c>
      <c r="K5426" t="s">
        <v>1357</v>
      </c>
      <c r="L5426" t="s">
        <v>1357</v>
      </c>
    </row>
    <row r="5427" spans="6:12">
      <c r="H5427" t="s">
        <v>20327</v>
      </c>
      <c r="I5427" t="s">
        <v>1357</v>
      </c>
      <c r="J5427" t="s">
        <v>1357</v>
      </c>
      <c r="K5427" t="s">
        <v>1357</v>
      </c>
      <c r="L5427" t="s">
        <v>1357</v>
      </c>
    </row>
    <row r="5428" spans="6:12">
      <c r="H5428" t="s">
        <v>20009</v>
      </c>
      <c r="I5428" t="s">
        <v>1357</v>
      </c>
      <c r="J5428" t="s">
        <v>1357</v>
      </c>
      <c r="K5428" t="s">
        <v>1357</v>
      </c>
      <c r="L5428" t="s">
        <v>1357</v>
      </c>
    </row>
    <row r="5429" spans="6:12">
      <c r="H5429" t="s">
        <v>20329</v>
      </c>
      <c r="I5429" t="s">
        <v>1357</v>
      </c>
      <c r="J5429" t="s">
        <v>1357</v>
      </c>
      <c r="K5429" t="s">
        <v>1357</v>
      </c>
      <c r="L5429" t="s">
        <v>1357</v>
      </c>
    </row>
    <row r="5430" spans="6:12">
      <c r="H5430" t="s">
        <v>20330</v>
      </c>
      <c r="I5430" t="s">
        <v>1357</v>
      </c>
      <c r="J5430" t="s">
        <v>1357</v>
      </c>
      <c r="K5430" t="s">
        <v>1357</v>
      </c>
      <c r="L5430" t="s">
        <v>1357</v>
      </c>
    </row>
    <row r="5431" spans="6:12">
      <c r="H5431" t="s">
        <v>20331</v>
      </c>
      <c r="I5431" t="s">
        <v>1357</v>
      </c>
      <c r="J5431" t="s">
        <v>1357</v>
      </c>
      <c r="K5431" t="s">
        <v>1357</v>
      </c>
      <c r="L5431" t="s">
        <v>1357</v>
      </c>
    </row>
    <row r="5432" spans="6:12">
      <c r="F5432" t="s">
        <v>15138</v>
      </c>
      <c r="G5432" t="s">
        <v>17859</v>
      </c>
      <c r="H5432" t="s">
        <v>20280</v>
      </c>
      <c r="I5432" t="s">
        <v>1357</v>
      </c>
      <c r="J5432" t="s">
        <v>1357</v>
      </c>
      <c r="K5432" t="s">
        <v>1357</v>
      </c>
      <c r="L5432" t="s">
        <v>1357</v>
      </c>
    </row>
    <row r="5433" spans="6:12">
      <c r="H5433" t="s">
        <v>20233</v>
      </c>
      <c r="I5433" t="s">
        <v>1357</v>
      </c>
      <c r="J5433" t="s">
        <v>1357</v>
      </c>
      <c r="K5433" t="s">
        <v>1357</v>
      </c>
      <c r="L5433" t="s">
        <v>1357</v>
      </c>
    </row>
    <row r="5434" spans="6:12">
      <c r="H5434" t="s">
        <v>20227</v>
      </c>
      <c r="I5434" t="s">
        <v>1357</v>
      </c>
      <c r="J5434" t="s">
        <v>1357</v>
      </c>
      <c r="K5434" t="s">
        <v>1357</v>
      </c>
      <c r="L5434" t="s">
        <v>1357</v>
      </c>
    </row>
    <row r="5435" spans="6:12">
      <c r="H5435" t="s">
        <v>20306</v>
      </c>
      <c r="I5435" t="s">
        <v>1357</v>
      </c>
      <c r="J5435" t="s">
        <v>1357</v>
      </c>
      <c r="K5435" t="s">
        <v>1357</v>
      </c>
      <c r="L5435" t="s">
        <v>1357</v>
      </c>
    </row>
    <row r="5436" spans="6:12">
      <c r="H5436" t="s">
        <v>20284</v>
      </c>
      <c r="I5436" t="s">
        <v>1357</v>
      </c>
      <c r="J5436" t="s">
        <v>1357</v>
      </c>
      <c r="K5436" t="s">
        <v>1357</v>
      </c>
      <c r="L5436" t="s">
        <v>1357</v>
      </c>
    </row>
    <row r="5437" spans="6:12">
      <c r="H5437" t="s">
        <v>20285</v>
      </c>
      <c r="I5437" t="s">
        <v>1357</v>
      </c>
      <c r="J5437" t="s">
        <v>1357</v>
      </c>
      <c r="K5437" t="s">
        <v>1357</v>
      </c>
      <c r="L5437" t="s">
        <v>1357</v>
      </c>
    </row>
    <row r="5438" spans="6:12">
      <c r="H5438" t="s">
        <v>20288</v>
      </c>
      <c r="I5438" t="s">
        <v>1357</v>
      </c>
      <c r="J5438" t="s">
        <v>1357</v>
      </c>
      <c r="K5438" t="s">
        <v>1357</v>
      </c>
      <c r="L5438" t="s">
        <v>1357</v>
      </c>
    </row>
    <row r="5439" spans="6:12">
      <c r="H5439" t="s">
        <v>20290</v>
      </c>
      <c r="I5439" t="s">
        <v>1357</v>
      </c>
      <c r="J5439" t="s">
        <v>1357</v>
      </c>
      <c r="K5439" t="s">
        <v>1357</v>
      </c>
      <c r="L5439" t="s">
        <v>1357</v>
      </c>
    </row>
    <row r="5440" spans="6:12">
      <c r="H5440" t="s">
        <v>20291</v>
      </c>
      <c r="I5440" t="s">
        <v>1357</v>
      </c>
      <c r="J5440" t="s">
        <v>1357</v>
      </c>
      <c r="K5440" t="s">
        <v>1357</v>
      </c>
      <c r="L5440" t="s">
        <v>1357</v>
      </c>
    </row>
    <row r="5441" spans="6:12">
      <c r="H5441" t="s">
        <v>20293</v>
      </c>
      <c r="I5441" t="s">
        <v>1357</v>
      </c>
      <c r="J5441" t="s">
        <v>1357</v>
      </c>
      <c r="K5441" t="s">
        <v>1357</v>
      </c>
      <c r="L5441" t="s">
        <v>1357</v>
      </c>
    </row>
    <row r="5442" spans="6:12">
      <c r="H5442" t="s">
        <v>20294</v>
      </c>
      <c r="I5442" t="s">
        <v>1357</v>
      </c>
      <c r="J5442" t="s">
        <v>1357</v>
      </c>
      <c r="K5442" t="s">
        <v>1357</v>
      </c>
      <c r="L5442" t="s">
        <v>1357</v>
      </c>
    </row>
    <row r="5443" spans="6:12">
      <c r="H5443" t="s">
        <v>20312</v>
      </c>
      <c r="I5443" t="s">
        <v>1357</v>
      </c>
      <c r="J5443" t="s">
        <v>1357</v>
      </c>
      <c r="K5443" t="s">
        <v>1357</v>
      </c>
      <c r="L5443" t="s">
        <v>1357</v>
      </c>
    </row>
    <row r="5444" spans="6:12">
      <c r="H5444" t="s">
        <v>20313</v>
      </c>
      <c r="I5444" t="s">
        <v>1357</v>
      </c>
      <c r="J5444" t="s">
        <v>1357</v>
      </c>
      <c r="K5444" t="s">
        <v>1357</v>
      </c>
      <c r="L5444" t="s">
        <v>1357</v>
      </c>
    </row>
    <row r="5445" spans="6:12">
      <c r="H5445" t="s">
        <v>20325</v>
      </c>
      <c r="I5445" t="s">
        <v>1357</v>
      </c>
      <c r="J5445" t="s">
        <v>1357</v>
      </c>
      <c r="K5445" t="s">
        <v>1357</v>
      </c>
      <c r="L5445" t="s">
        <v>1357</v>
      </c>
    </row>
    <row r="5446" spans="6:12">
      <c r="H5446" t="s">
        <v>20326</v>
      </c>
      <c r="I5446" t="s">
        <v>1357</v>
      </c>
      <c r="J5446" t="s">
        <v>1357</v>
      </c>
      <c r="K5446" t="s">
        <v>1357</v>
      </c>
      <c r="L5446" t="s">
        <v>1357</v>
      </c>
    </row>
    <row r="5447" spans="6:12">
      <c r="H5447" t="s">
        <v>20327</v>
      </c>
      <c r="I5447" t="s">
        <v>1357</v>
      </c>
      <c r="J5447" t="s">
        <v>1357</v>
      </c>
      <c r="K5447" t="s">
        <v>1357</v>
      </c>
      <c r="L5447" t="s">
        <v>1357</v>
      </c>
    </row>
    <row r="5448" spans="6:12">
      <c r="H5448" t="s">
        <v>20009</v>
      </c>
      <c r="I5448" t="s">
        <v>1357</v>
      </c>
      <c r="J5448" t="s">
        <v>1357</v>
      </c>
      <c r="K5448" t="s">
        <v>1357</v>
      </c>
      <c r="L5448" t="s">
        <v>1357</v>
      </c>
    </row>
    <row r="5449" spans="6:12">
      <c r="H5449" t="s">
        <v>20329</v>
      </c>
      <c r="I5449" t="s">
        <v>1357</v>
      </c>
      <c r="J5449" t="s">
        <v>1357</v>
      </c>
      <c r="K5449" t="s">
        <v>1357</v>
      </c>
      <c r="L5449" t="s">
        <v>1357</v>
      </c>
    </row>
    <row r="5450" spans="6:12">
      <c r="H5450" t="s">
        <v>20330</v>
      </c>
      <c r="I5450" t="s">
        <v>1357</v>
      </c>
      <c r="J5450" t="s">
        <v>1357</v>
      </c>
      <c r="K5450" t="s">
        <v>1357</v>
      </c>
      <c r="L5450" t="s">
        <v>1357</v>
      </c>
    </row>
    <row r="5451" spans="6:12">
      <c r="H5451" t="s">
        <v>20289</v>
      </c>
      <c r="I5451" t="s">
        <v>1357</v>
      </c>
      <c r="J5451" t="s">
        <v>1357</v>
      </c>
      <c r="K5451" t="s">
        <v>1357</v>
      </c>
      <c r="L5451" t="s">
        <v>1357</v>
      </c>
    </row>
    <row r="5452" spans="6:12">
      <c r="H5452" t="s">
        <v>20331</v>
      </c>
      <c r="I5452" t="s">
        <v>1357</v>
      </c>
      <c r="J5452" t="s">
        <v>1357</v>
      </c>
      <c r="K5452" t="s">
        <v>1357</v>
      </c>
      <c r="L5452" t="s">
        <v>1357</v>
      </c>
    </row>
    <row r="5453" spans="6:12">
      <c r="F5453" t="s">
        <v>15139</v>
      </c>
      <c r="G5453" t="s">
        <v>17860</v>
      </c>
      <c r="H5453" t="s">
        <v>20280</v>
      </c>
      <c r="I5453" t="s">
        <v>1357</v>
      </c>
      <c r="J5453" t="s">
        <v>1357</v>
      </c>
      <c r="K5453" t="s">
        <v>1357</v>
      </c>
      <c r="L5453" t="s">
        <v>1357</v>
      </c>
    </row>
    <row r="5454" spans="6:12">
      <c r="H5454" t="s">
        <v>20233</v>
      </c>
      <c r="I5454" t="s">
        <v>1357</v>
      </c>
      <c r="J5454" t="s">
        <v>1357</v>
      </c>
      <c r="K5454" t="s">
        <v>1357</v>
      </c>
      <c r="L5454" t="s">
        <v>1357</v>
      </c>
    </row>
    <row r="5455" spans="6:12">
      <c r="H5455" t="s">
        <v>20227</v>
      </c>
      <c r="I5455" t="s">
        <v>1357</v>
      </c>
      <c r="J5455" t="s">
        <v>1357</v>
      </c>
      <c r="K5455" t="s">
        <v>1357</v>
      </c>
      <c r="L5455" t="s">
        <v>1357</v>
      </c>
    </row>
    <row r="5456" spans="6:12">
      <c r="H5456" t="s">
        <v>20306</v>
      </c>
      <c r="I5456" t="s">
        <v>1357</v>
      </c>
      <c r="J5456" t="s">
        <v>1357</v>
      </c>
      <c r="K5456" t="s">
        <v>1357</v>
      </c>
      <c r="L5456" t="s">
        <v>1357</v>
      </c>
    </row>
    <row r="5457" spans="8:12">
      <c r="H5457" t="s">
        <v>20284</v>
      </c>
      <c r="I5457" t="s">
        <v>1357</v>
      </c>
      <c r="J5457" t="s">
        <v>1357</v>
      </c>
      <c r="K5457" t="s">
        <v>1357</v>
      </c>
      <c r="L5457" t="s">
        <v>1357</v>
      </c>
    </row>
    <row r="5458" spans="8:12">
      <c r="H5458" t="s">
        <v>20285</v>
      </c>
      <c r="I5458" t="s">
        <v>1357</v>
      </c>
      <c r="J5458" t="s">
        <v>1357</v>
      </c>
      <c r="K5458" t="s">
        <v>1357</v>
      </c>
      <c r="L5458" t="s">
        <v>1357</v>
      </c>
    </row>
    <row r="5459" spans="8:12">
      <c r="H5459" t="s">
        <v>20288</v>
      </c>
      <c r="I5459" t="s">
        <v>1357</v>
      </c>
      <c r="J5459" t="s">
        <v>1357</v>
      </c>
      <c r="K5459" t="s">
        <v>1357</v>
      </c>
      <c r="L5459" t="s">
        <v>1357</v>
      </c>
    </row>
    <row r="5460" spans="8:12">
      <c r="H5460" t="s">
        <v>20289</v>
      </c>
      <c r="I5460" t="s">
        <v>1357</v>
      </c>
      <c r="J5460" t="s">
        <v>1357</v>
      </c>
      <c r="K5460" t="s">
        <v>1357</v>
      </c>
      <c r="L5460" t="s">
        <v>1357</v>
      </c>
    </row>
    <row r="5461" spans="8:12">
      <c r="H5461" t="s">
        <v>20290</v>
      </c>
      <c r="I5461" t="s">
        <v>1357</v>
      </c>
      <c r="J5461" t="s">
        <v>1357</v>
      </c>
      <c r="K5461" t="s">
        <v>1357</v>
      </c>
      <c r="L5461" t="s">
        <v>1357</v>
      </c>
    </row>
    <row r="5462" spans="8:12">
      <c r="H5462" t="s">
        <v>20291</v>
      </c>
      <c r="I5462" t="s">
        <v>1357</v>
      </c>
      <c r="J5462" t="s">
        <v>1357</v>
      </c>
      <c r="K5462" t="s">
        <v>1357</v>
      </c>
      <c r="L5462" t="s">
        <v>1357</v>
      </c>
    </row>
    <row r="5463" spans="8:12">
      <c r="H5463" t="s">
        <v>20293</v>
      </c>
      <c r="I5463" t="s">
        <v>1357</v>
      </c>
      <c r="J5463" t="s">
        <v>1357</v>
      </c>
      <c r="K5463" t="s">
        <v>1357</v>
      </c>
      <c r="L5463" t="s">
        <v>1357</v>
      </c>
    </row>
    <row r="5464" spans="8:12">
      <c r="H5464" t="s">
        <v>20294</v>
      </c>
      <c r="I5464" t="s">
        <v>1357</v>
      </c>
      <c r="J5464" t="s">
        <v>1357</v>
      </c>
      <c r="K5464" t="s">
        <v>1357</v>
      </c>
      <c r="L5464" t="s">
        <v>1357</v>
      </c>
    </row>
    <row r="5465" spans="8:12">
      <c r="H5465" t="s">
        <v>20312</v>
      </c>
      <c r="I5465" t="s">
        <v>1357</v>
      </c>
      <c r="J5465" t="s">
        <v>1357</v>
      </c>
      <c r="K5465" t="s">
        <v>1357</v>
      </c>
      <c r="L5465" t="s">
        <v>1357</v>
      </c>
    </row>
    <row r="5466" spans="8:12">
      <c r="H5466" t="s">
        <v>20313</v>
      </c>
      <c r="I5466" t="s">
        <v>1357</v>
      </c>
      <c r="J5466" t="s">
        <v>1357</v>
      </c>
      <c r="K5466" t="s">
        <v>1357</v>
      </c>
      <c r="L5466" t="s">
        <v>1357</v>
      </c>
    </row>
    <row r="5467" spans="8:12">
      <c r="H5467" t="s">
        <v>20325</v>
      </c>
      <c r="I5467" t="s">
        <v>1357</v>
      </c>
      <c r="J5467" t="s">
        <v>1357</v>
      </c>
      <c r="K5467" t="s">
        <v>1357</v>
      </c>
      <c r="L5467" t="s">
        <v>1357</v>
      </c>
    </row>
    <row r="5468" spans="8:12">
      <c r="H5468" t="s">
        <v>20326</v>
      </c>
      <c r="I5468" t="s">
        <v>1357</v>
      </c>
      <c r="J5468" t="s">
        <v>1357</v>
      </c>
      <c r="K5468" t="s">
        <v>1357</v>
      </c>
      <c r="L5468" t="s">
        <v>1357</v>
      </c>
    </row>
    <row r="5469" spans="8:12">
      <c r="H5469" t="s">
        <v>20327</v>
      </c>
      <c r="I5469" t="s">
        <v>1357</v>
      </c>
      <c r="J5469" t="s">
        <v>1357</v>
      </c>
      <c r="K5469" t="s">
        <v>1357</v>
      </c>
      <c r="L5469" t="s">
        <v>1357</v>
      </c>
    </row>
    <row r="5470" spans="8:12">
      <c r="H5470" t="s">
        <v>20009</v>
      </c>
      <c r="I5470" t="s">
        <v>1357</v>
      </c>
      <c r="J5470" t="s">
        <v>1357</v>
      </c>
      <c r="K5470" t="s">
        <v>1357</v>
      </c>
      <c r="L5470" t="s">
        <v>1357</v>
      </c>
    </row>
    <row r="5471" spans="8:12">
      <c r="H5471" t="s">
        <v>20329</v>
      </c>
      <c r="I5471" t="s">
        <v>1357</v>
      </c>
      <c r="J5471" t="s">
        <v>1357</v>
      </c>
      <c r="K5471" t="s">
        <v>1357</v>
      </c>
      <c r="L5471" t="s">
        <v>1357</v>
      </c>
    </row>
    <row r="5472" spans="8:12">
      <c r="H5472" t="s">
        <v>20330</v>
      </c>
      <c r="I5472" t="s">
        <v>1357</v>
      </c>
      <c r="J5472" t="s">
        <v>1357</v>
      </c>
      <c r="K5472" t="s">
        <v>1357</v>
      </c>
      <c r="L5472" t="s">
        <v>1357</v>
      </c>
    </row>
    <row r="5473" spans="6:12">
      <c r="H5473" t="s">
        <v>20331</v>
      </c>
      <c r="I5473" t="s">
        <v>1357</v>
      </c>
      <c r="J5473" t="s">
        <v>1357</v>
      </c>
      <c r="K5473" t="s">
        <v>1357</v>
      </c>
      <c r="L5473" t="s">
        <v>1357</v>
      </c>
    </row>
    <row r="5474" spans="6:12">
      <c r="F5474" t="s">
        <v>15140</v>
      </c>
      <c r="G5474" t="s">
        <v>17861</v>
      </c>
      <c r="H5474" t="s">
        <v>20280</v>
      </c>
      <c r="I5474" t="s">
        <v>1357</v>
      </c>
      <c r="J5474" t="s">
        <v>1357</v>
      </c>
      <c r="K5474" t="s">
        <v>1357</v>
      </c>
      <c r="L5474" t="s">
        <v>1357</v>
      </c>
    </row>
    <row r="5475" spans="6:12">
      <c r="H5475" t="s">
        <v>20233</v>
      </c>
      <c r="I5475" t="s">
        <v>1357</v>
      </c>
      <c r="J5475" t="s">
        <v>1357</v>
      </c>
      <c r="K5475" t="s">
        <v>1357</v>
      </c>
      <c r="L5475" t="s">
        <v>1357</v>
      </c>
    </row>
    <row r="5476" spans="6:12">
      <c r="H5476" t="s">
        <v>20230</v>
      </c>
      <c r="I5476" t="s">
        <v>1357</v>
      </c>
      <c r="J5476" t="s">
        <v>1357</v>
      </c>
      <c r="K5476" t="s">
        <v>1357</v>
      </c>
      <c r="L5476" t="s">
        <v>1357</v>
      </c>
    </row>
    <row r="5477" spans="6:12">
      <c r="H5477" t="s">
        <v>20227</v>
      </c>
      <c r="I5477" t="s">
        <v>1357</v>
      </c>
      <c r="J5477" t="s">
        <v>1357</v>
      </c>
      <c r="K5477" t="s">
        <v>1357</v>
      </c>
      <c r="L5477" t="s">
        <v>1357</v>
      </c>
    </row>
    <row r="5478" spans="6:12">
      <c r="H5478" t="s">
        <v>20306</v>
      </c>
      <c r="I5478" t="s">
        <v>1357</v>
      </c>
      <c r="J5478" t="s">
        <v>1357</v>
      </c>
      <c r="K5478" t="s">
        <v>1357</v>
      </c>
      <c r="L5478" t="s">
        <v>1357</v>
      </c>
    </row>
    <row r="5479" spans="6:12">
      <c r="H5479" t="s">
        <v>20284</v>
      </c>
      <c r="I5479" t="s">
        <v>1357</v>
      </c>
      <c r="J5479" t="s">
        <v>1357</v>
      </c>
      <c r="K5479" t="s">
        <v>1357</v>
      </c>
      <c r="L5479" t="s">
        <v>1357</v>
      </c>
    </row>
    <row r="5480" spans="6:12">
      <c r="H5480" t="s">
        <v>20285</v>
      </c>
      <c r="I5480" t="s">
        <v>1357</v>
      </c>
      <c r="J5480" t="s">
        <v>1357</v>
      </c>
      <c r="K5480" t="s">
        <v>1357</v>
      </c>
      <c r="L5480" t="s">
        <v>1357</v>
      </c>
    </row>
    <row r="5481" spans="6:12">
      <c r="H5481" t="s">
        <v>20288</v>
      </c>
      <c r="I5481" t="s">
        <v>1357</v>
      </c>
      <c r="J5481" t="s">
        <v>1357</v>
      </c>
      <c r="K5481" t="s">
        <v>1357</v>
      </c>
      <c r="L5481" t="s">
        <v>1357</v>
      </c>
    </row>
    <row r="5482" spans="6:12">
      <c r="H5482" t="s">
        <v>20290</v>
      </c>
      <c r="I5482" t="s">
        <v>1357</v>
      </c>
      <c r="J5482" t="s">
        <v>1357</v>
      </c>
      <c r="K5482" t="s">
        <v>1357</v>
      </c>
      <c r="L5482" t="s">
        <v>1357</v>
      </c>
    </row>
    <row r="5483" spans="6:12">
      <c r="H5483" t="s">
        <v>20291</v>
      </c>
      <c r="I5483" t="s">
        <v>1357</v>
      </c>
      <c r="J5483" t="s">
        <v>1357</v>
      </c>
      <c r="K5483" t="s">
        <v>1357</v>
      </c>
      <c r="L5483" t="s">
        <v>1357</v>
      </c>
    </row>
    <row r="5484" spans="6:12">
      <c r="H5484" t="s">
        <v>20293</v>
      </c>
      <c r="I5484" t="s">
        <v>1357</v>
      </c>
      <c r="J5484" t="s">
        <v>1357</v>
      </c>
      <c r="K5484" t="s">
        <v>1357</v>
      </c>
      <c r="L5484" t="s">
        <v>1357</v>
      </c>
    </row>
    <row r="5485" spans="6:12">
      <c r="H5485" t="s">
        <v>20294</v>
      </c>
      <c r="I5485" t="s">
        <v>1357</v>
      </c>
      <c r="J5485" t="s">
        <v>1357</v>
      </c>
      <c r="K5485" t="s">
        <v>1357</v>
      </c>
      <c r="L5485" t="s">
        <v>1357</v>
      </c>
    </row>
    <row r="5486" spans="6:12">
      <c r="H5486" t="s">
        <v>20312</v>
      </c>
      <c r="I5486" t="s">
        <v>1357</v>
      </c>
      <c r="J5486" t="s">
        <v>1357</v>
      </c>
      <c r="K5486" t="s">
        <v>1357</v>
      </c>
      <c r="L5486" t="s">
        <v>1357</v>
      </c>
    </row>
    <row r="5487" spans="6:12">
      <c r="H5487" t="s">
        <v>20313</v>
      </c>
      <c r="I5487" t="s">
        <v>1357</v>
      </c>
      <c r="J5487" t="s">
        <v>1357</v>
      </c>
      <c r="K5487" t="s">
        <v>1357</v>
      </c>
      <c r="L5487" t="s">
        <v>1357</v>
      </c>
    </row>
    <row r="5488" spans="6:12">
      <c r="H5488" t="s">
        <v>20325</v>
      </c>
      <c r="I5488" t="s">
        <v>1357</v>
      </c>
      <c r="J5488" t="s">
        <v>1357</v>
      </c>
      <c r="K5488" t="s">
        <v>1357</v>
      </c>
      <c r="L5488" t="s">
        <v>1357</v>
      </c>
    </row>
    <row r="5489" spans="6:12">
      <c r="H5489" t="s">
        <v>20326</v>
      </c>
      <c r="I5489" t="s">
        <v>1357</v>
      </c>
      <c r="J5489" t="s">
        <v>1357</v>
      </c>
      <c r="K5489" t="s">
        <v>1357</v>
      </c>
      <c r="L5489" t="s">
        <v>1357</v>
      </c>
    </row>
    <row r="5490" spans="6:12">
      <c r="H5490" t="s">
        <v>20327</v>
      </c>
      <c r="I5490" t="s">
        <v>1357</v>
      </c>
      <c r="J5490" t="s">
        <v>1357</v>
      </c>
      <c r="K5490" t="s">
        <v>1357</v>
      </c>
      <c r="L5490" t="s">
        <v>1357</v>
      </c>
    </row>
    <row r="5491" spans="6:12">
      <c r="H5491" t="s">
        <v>20009</v>
      </c>
      <c r="I5491" t="s">
        <v>1357</v>
      </c>
      <c r="J5491" t="s">
        <v>1357</v>
      </c>
      <c r="K5491" t="s">
        <v>1357</v>
      </c>
      <c r="L5491" t="s">
        <v>1357</v>
      </c>
    </row>
    <row r="5492" spans="6:12">
      <c r="H5492" t="s">
        <v>20329</v>
      </c>
      <c r="I5492" t="s">
        <v>1357</v>
      </c>
      <c r="J5492" t="s">
        <v>1357</v>
      </c>
      <c r="K5492" t="s">
        <v>1357</v>
      </c>
      <c r="L5492" t="s">
        <v>1357</v>
      </c>
    </row>
    <row r="5493" spans="6:12">
      <c r="H5493" t="s">
        <v>20330</v>
      </c>
      <c r="I5493" t="s">
        <v>1357</v>
      </c>
      <c r="J5493" t="s">
        <v>1357</v>
      </c>
      <c r="K5493" t="s">
        <v>1357</v>
      </c>
      <c r="L5493" t="s">
        <v>1357</v>
      </c>
    </row>
    <row r="5494" spans="6:12">
      <c r="H5494" t="s">
        <v>20289</v>
      </c>
      <c r="I5494" t="s">
        <v>1357</v>
      </c>
      <c r="J5494" t="s">
        <v>1357</v>
      </c>
      <c r="K5494" t="s">
        <v>1357</v>
      </c>
      <c r="L5494" t="s">
        <v>1357</v>
      </c>
    </row>
    <row r="5495" spans="6:12">
      <c r="H5495" t="s">
        <v>20331</v>
      </c>
      <c r="I5495" t="s">
        <v>1357</v>
      </c>
      <c r="J5495" t="s">
        <v>1357</v>
      </c>
      <c r="K5495" t="s">
        <v>1357</v>
      </c>
      <c r="L5495" t="s">
        <v>1357</v>
      </c>
    </row>
    <row r="5496" spans="6:12">
      <c r="F5496" t="s">
        <v>15141</v>
      </c>
      <c r="G5496" t="s">
        <v>17546</v>
      </c>
      <c r="H5496" t="s">
        <v>20280</v>
      </c>
      <c r="I5496" t="s">
        <v>1357</v>
      </c>
      <c r="J5496" t="s">
        <v>1357</v>
      </c>
      <c r="K5496" t="s">
        <v>1357</v>
      </c>
      <c r="L5496" t="s">
        <v>1357</v>
      </c>
    </row>
    <row r="5497" spans="6:12">
      <c r="H5497" t="s">
        <v>20233</v>
      </c>
      <c r="I5497" t="s">
        <v>1357</v>
      </c>
      <c r="J5497" t="s">
        <v>1357</v>
      </c>
      <c r="K5497" t="s">
        <v>1357</v>
      </c>
      <c r="L5497" t="s">
        <v>1357</v>
      </c>
    </row>
    <row r="5498" spans="6:12">
      <c r="H5498" t="s">
        <v>20230</v>
      </c>
      <c r="I5498" t="s">
        <v>1357</v>
      </c>
      <c r="J5498" t="s">
        <v>1357</v>
      </c>
      <c r="K5498" t="s">
        <v>1357</v>
      </c>
      <c r="L5498" t="s">
        <v>1357</v>
      </c>
    </row>
    <row r="5499" spans="6:12">
      <c r="H5499" t="s">
        <v>20227</v>
      </c>
      <c r="I5499" t="s">
        <v>1357</v>
      </c>
      <c r="J5499" t="s">
        <v>1357</v>
      </c>
      <c r="K5499" t="s">
        <v>1357</v>
      </c>
      <c r="L5499" t="s">
        <v>1357</v>
      </c>
    </row>
    <row r="5500" spans="6:12">
      <c r="H5500" t="s">
        <v>20296</v>
      </c>
      <c r="I5500" t="s">
        <v>1357</v>
      </c>
      <c r="J5500" t="s">
        <v>1357</v>
      </c>
      <c r="K5500" t="s">
        <v>1357</v>
      </c>
      <c r="L5500" t="s">
        <v>1357</v>
      </c>
    </row>
    <row r="5501" spans="6:12">
      <c r="H5501" t="s">
        <v>20297</v>
      </c>
      <c r="I5501" t="s">
        <v>1357</v>
      </c>
      <c r="J5501" t="s">
        <v>1357</v>
      </c>
      <c r="K5501" t="s">
        <v>1357</v>
      </c>
      <c r="L5501" t="s">
        <v>1357</v>
      </c>
    </row>
    <row r="5502" spans="6:12">
      <c r="H5502" t="s">
        <v>20234</v>
      </c>
      <c r="I5502" t="s">
        <v>1357</v>
      </c>
      <c r="J5502" t="s">
        <v>1357</v>
      </c>
      <c r="K5502" t="s">
        <v>1357</v>
      </c>
      <c r="L5502" t="s">
        <v>1357</v>
      </c>
    </row>
    <row r="5503" spans="6:12">
      <c r="H5503" t="s">
        <v>20235</v>
      </c>
      <c r="I5503" t="s">
        <v>1357</v>
      </c>
      <c r="J5503" t="s">
        <v>1357</v>
      </c>
      <c r="K5503" t="s">
        <v>1357</v>
      </c>
      <c r="L5503" t="s">
        <v>1357</v>
      </c>
    </row>
    <row r="5504" spans="6:12">
      <c r="H5504" t="s">
        <v>20298</v>
      </c>
      <c r="I5504" t="s">
        <v>1357</v>
      </c>
      <c r="J5504" t="s">
        <v>1357</v>
      </c>
      <c r="K5504" t="s">
        <v>1357</v>
      </c>
      <c r="L5504" t="s">
        <v>1357</v>
      </c>
    </row>
    <row r="5505" spans="6:12">
      <c r="H5505" t="s">
        <v>20299</v>
      </c>
      <c r="I5505" t="s">
        <v>1357</v>
      </c>
      <c r="J5505" t="s">
        <v>1357</v>
      </c>
      <c r="K5505" t="s">
        <v>1357</v>
      </c>
      <c r="L5505" t="s">
        <v>1357</v>
      </c>
    </row>
    <row r="5506" spans="6:12">
      <c r="H5506" t="s">
        <v>20300</v>
      </c>
      <c r="I5506" t="s">
        <v>1357</v>
      </c>
      <c r="J5506" t="s">
        <v>1357</v>
      </c>
      <c r="K5506" t="s">
        <v>1357</v>
      </c>
      <c r="L5506" t="s">
        <v>1357</v>
      </c>
    </row>
    <row r="5507" spans="6:12">
      <c r="H5507" t="s">
        <v>20301</v>
      </c>
      <c r="I5507" t="s">
        <v>1357</v>
      </c>
      <c r="J5507" t="s">
        <v>1357</v>
      </c>
      <c r="K5507" t="s">
        <v>1357</v>
      </c>
      <c r="L5507" t="s">
        <v>1357</v>
      </c>
    </row>
    <row r="5508" spans="6:12">
      <c r="H5508" t="s">
        <v>20302</v>
      </c>
      <c r="I5508" t="s">
        <v>1357</v>
      </c>
      <c r="J5508" t="s">
        <v>1357</v>
      </c>
      <c r="K5508" t="s">
        <v>1357</v>
      </c>
      <c r="L5508" t="s">
        <v>1357</v>
      </c>
    </row>
    <row r="5509" spans="6:12">
      <c r="H5509" t="s">
        <v>20303</v>
      </c>
      <c r="I5509" t="s">
        <v>1357</v>
      </c>
      <c r="J5509" t="s">
        <v>1357</v>
      </c>
      <c r="K5509" t="s">
        <v>1357</v>
      </c>
      <c r="L5509" t="s">
        <v>1357</v>
      </c>
    </row>
    <row r="5510" spans="6:12">
      <c r="H5510" t="s">
        <v>20284</v>
      </c>
      <c r="I5510" t="s">
        <v>1357</v>
      </c>
      <c r="J5510" t="s">
        <v>1357</v>
      </c>
      <c r="K5510" t="s">
        <v>1357</v>
      </c>
      <c r="L5510" t="s">
        <v>1357</v>
      </c>
    </row>
    <row r="5511" spans="6:12">
      <c r="H5511" t="s">
        <v>20285</v>
      </c>
      <c r="I5511" t="s">
        <v>1357</v>
      </c>
      <c r="J5511" t="s">
        <v>1357</v>
      </c>
      <c r="K5511" t="s">
        <v>1357</v>
      </c>
      <c r="L5511" t="s">
        <v>1357</v>
      </c>
    </row>
    <row r="5512" spans="6:12">
      <c r="H5512" t="s">
        <v>20286</v>
      </c>
      <c r="I5512" t="s">
        <v>1357</v>
      </c>
      <c r="J5512" t="s">
        <v>1357</v>
      </c>
      <c r="K5512" t="s">
        <v>1357</v>
      </c>
      <c r="L5512" t="s">
        <v>1357</v>
      </c>
    </row>
    <row r="5513" spans="6:12">
      <c r="H5513" t="s">
        <v>20287</v>
      </c>
      <c r="I5513" t="s">
        <v>1357</v>
      </c>
      <c r="J5513" t="s">
        <v>1357</v>
      </c>
      <c r="K5513" t="s">
        <v>1357</v>
      </c>
      <c r="L5513" t="s">
        <v>1357</v>
      </c>
    </row>
    <row r="5514" spans="6:12">
      <c r="F5514" t="s">
        <v>15142</v>
      </c>
      <c r="G5514" t="s">
        <v>17547</v>
      </c>
      <c r="H5514" t="s">
        <v>20280</v>
      </c>
      <c r="I5514" t="s">
        <v>1357</v>
      </c>
      <c r="J5514" t="s">
        <v>1357</v>
      </c>
      <c r="K5514" t="s">
        <v>1357</v>
      </c>
      <c r="L5514" t="s">
        <v>1357</v>
      </c>
    </row>
    <row r="5515" spans="6:12">
      <c r="H5515" t="s">
        <v>20233</v>
      </c>
      <c r="I5515" t="s">
        <v>1357</v>
      </c>
      <c r="J5515" t="s">
        <v>1357</v>
      </c>
      <c r="K5515" t="s">
        <v>1357</v>
      </c>
      <c r="L5515" t="s">
        <v>1357</v>
      </c>
    </row>
    <row r="5516" spans="6:12">
      <c r="H5516" t="s">
        <v>20230</v>
      </c>
      <c r="I5516" t="s">
        <v>1357</v>
      </c>
      <c r="J5516" t="s">
        <v>1357</v>
      </c>
      <c r="K5516" t="s">
        <v>1357</v>
      </c>
      <c r="L5516" t="s">
        <v>1357</v>
      </c>
    </row>
    <row r="5517" spans="6:12">
      <c r="H5517" t="s">
        <v>20227</v>
      </c>
      <c r="I5517" t="s">
        <v>1357</v>
      </c>
      <c r="J5517" t="s">
        <v>1357</v>
      </c>
      <c r="K5517" t="s">
        <v>1357</v>
      </c>
      <c r="L5517" t="s">
        <v>1357</v>
      </c>
    </row>
    <row r="5518" spans="6:12">
      <c r="H5518" t="s">
        <v>20296</v>
      </c>
      <c r="I5518" t="s">
        <v>1357</v>
      </c>
      <c r="J5518" t="s">
        <v>1357</v>
      </c>
      <c r="K5518" t="s">
        <v>1357</v>
      </c>
      <c r="L5518" t="s">
        <v>1357</v>
      </c>
    </row>
    <row r="5519" spans="6:12">
      <c r="H5519" t="s">
        <v>20297</v>
      </c>
      <c r="I5519" t="s">
        <v>1357</v>
      </c>
      <c r="J5519" t="s">
        <v>1357</v>
      </c>
      <c r="K5519" t="s">
        <v>1357</v>
      </c>
      <c r="L5519" t="s">
        <v>1357</v>
      </c>
    </row>
    <row r="5520" spans="6:12">
      <c r="H5520" t="s">
        <v>20234</v>
      </c>
      <c r="I5520" t="s">
        <v>1357</v>
      </c>
      <c r="J5520" t="s">
        <v>1357</v>
      </c>
      <c r="K5520" t="s">
        <v>1357</v>
      </c>
      <c r="L5520" t="s">
        <v>1357</v>
      </c>
    </row>
    <row r="5521" spans="6:12">
      <c r="H5521" t="s">
        <v>20235</v>
      </c>
      <c r="I5521" t="s">
        <v>1357</v>
      </c>
      <c r="J5521" t="s">
        <v>1357</v>
      </c>
      <c r="K5521" t="s">
        <v>1357</v>
      </c>
      <c r="L5521" t="s">
        <v>1357</v>
      </c>
    </row>
    <row r="5522" spans="6:12">
      <c r="H5522" t="s">
        <v>20298</v>
      </c>
      <c r="I5522" t="s">
        <v>1357</v>
      </c>
      <c r="J5522" t="s">
        <v>1357</v>
      </c>
      <c r="K5522" t="s">
        <v>1357</v>
      </c>
      <c r="L5522" t="s">
        <v>1357</v>
      </c>
    </row>
    <row r="5523" spans="6:12">
      <c r="H5523" t="s">
        <v>20299</v>
      </c>
      <c r="I5523" t="s">
        <v>1357</v>
      </c>
      <c r="J5523" t="s">
        <v>1357</v>
      </c>
      <c r="K5523" t="s">
        <v>1357</v>
      </c>
      <c r="L5523" t="s">
        <v>1357</v>
      </c>
    </row>
    <row r="5524" spans="6:12">
      <c r="H5524" t="s">
        <v>20300</v>
      </c>
      <c r="I5524" t="s">
        <v>1357</v>
      </c>
      <c r="J5524" t="s">
        <v>1357</v>
      </c>
      <c r="K5524" t="s">
        <v>1357</v>
      </c>
      <c r="L5524" t="s">
        <v>1357</v>
      </c>
    </row>
    <row r="5525" spans="6:12">
      <c r="H5525" t="s">
        <v>20301</v>
      </c>
      <c r="I5525" t="s">
        <v>1357</v>
      </c>
      <c r="J5525" t="s">
        <v>1357</v>
      </c>
      <c r="K5525" t="s">
        <v>1357</v>
      </c>
      <c r="L5525" t="s">
        <v>1357</v>
      </c>
    </row>
    <row r="5526" spans="6:12">
      <c r="H5526" t="s">
        <v>20302</v>
      </c>
      <c r="I5526" t="s">
        <v>1357</v>
      </c>
      <c r="J5526" t="s">
        <v>1357</v>
      </c>
      <c r="K5526" t="s">
        <v>1357</v>
      </c>
      <c r="L5526" t="s">
        <v>1357</v>
      </c>
    </row>
    <row r="5527" spans="6:12">
      <c r="H5527" t="s">
        <v>20303</v>
      </c>
      <c r="I5527" t="s">
        <v>1357</v>
      </c>
      <c r="J5527" t="s">
        <v>1357</v>
      </c>
      <c r="K5527" t="s">
        <v>1357</v>
      </c>
      <c r="L5527" t="s">
        <v>1357</v>
      </c>
    </row>
    <row r="5528" spans="6:12">
      <c r="H5528" t="s">
        <v>20284</v>
      </c>
      <c r="I5528" t="s">
        <v>1357</v>
      </c>
      <c r="J5528" t="s">
        <v>1357</v>
      </c>
      <c r="K5528" t="s">
        <v>1357</v>
      </c>
      <c r="L5528" t="s">
        <v>1357</v>
      </c>
    </row>
    <row r="5529" spans="6:12">
      <c r="H5529" t="s">
        <v>20285</v>
      </c>
      <c r="I5529" t="s">
        <v>1357</v>
      </c>
      <c r="J5529" t="s">
        <v>1357</v>
      </c>
      <c r="K5529" t="s">
        <v>1357</v>
      </c>
      <c r="L5529" t="s">
        <v>1357</v>
      </c>
    </row>
    <row r="5530" spans="6:12">
      <c r="H5530" t="s">
        <v>20286</v>
      </c>
      <c r="I5530" t="s">
        <v>1357</v>
      </c>
      <c r="J5530" t="s">
        <v>1357</v>
      </c>
      <c r="K5530" t="s">
        <v>1357</v>
      </c>
      <c r="L5530" t="s">
        <v>1357</v>
      </c>
    </row>
    <row r="5531" spans="6:12">
      <c r="H5531" t="s">
        <v>20287</v>
      </c>
      <c r="I5531" t="s">
        <v>1357</v>
      </c>
      <c r="J5531" t="s">
        <v>1357</v>
      </c>
      <c r="K5531" t="s">
        <v>1357</v>
      </c>
      <c r="L5531" t="s">
        <v>1357</v>
      </c>
    </row>
    <row r="5532" spans="6:12">
      <c r="F5532" t="s">
        <v>15143</v>
      </c>
      <c r="G5532" t="s">
        <v>17548</v>
      </c>
      <c r="H5532" t="s">
        <v>20280</v>
      </c>
      <c r="I5532" t="s">
        <v>1357</v>
      </c>
      <c r="J5532" t="s">
        <v>1357</v>
      </c>
      <c r="K5532" t="s">
        <v>1357</v>
      </c>
      <c r="L5532" t="s">
        <v>1357</v>
      </c>
    </row>
    <row r="5533" spans="6:12">
      <c r="H5533" t="s">
        <v>20233</v>
      </c>
      <c r="I5533" t="s">
        <v>1357</v>
      </c>
      <c r="J5533" t="s">
        <v>1357</v>
      </c>
      <c r="K5533" t="s">
        <v>1357</v>
      </c>
      <c r="L5533" t="s">
        <v>1357</v>
      </c>
    </row>
    <row r="5534" spans="6:12">
      <c r="H5534" t="s">
        <v>20230</v>
      </c>
      <c r="I5534" t="s">
        <v>1357</v>
      </c>
      <c r="J5534" t="s">
        <v>1357</v>
      </c>
      <c r="K5534" t="s">
        <v>1357</v>
      </c>
      <c r="L5534" t="s">
        <v>1357</v>
      </c>
    </row>
    <row r="5535" spans="6:12">
      <c r="H5535" t="s">
        <v>20227</v>
      </c>
      <c r="I5535" t="s">
        <v>1357</v>
      </c>
      <c r="J5535" t="s">
        <v>1357</v>
      </c>
      <c r="K5535" t="s">
        <v>1357</v>
      </c>
      <c r="L5535" t="s">
        <v>1357</v>
      </c>
    </row>
    <row r="5536" spans="6:12">
      <c r="H5536" t="s">
        <v>20296</v>
      </c>
      <c r="I5536" t="s">
        <v>1357</v>
      </c>
      <c r="J5536" t="s">
        <v>1357</v>
      </c>
      <c r="K5536" t="s">
        <v>1357</v>
      </c>
      <c r="L5536" t="s">
        <v>1357</v>
      </c>
    </row>
    <row r="5537" spans="6:12">
      <c r="H5537" t="s">
        <v>20297</v>
      </c>
      <c r="I5537" t="s">
        <v>1357</v>
      </c>
      <c r="J5537" t="s">
        <v>1357</v>
      </c>
      <c r="K5537" t="s">
        <v>1357</v>
      </c>
      <c r="L5537" t="s">
        <v>1357</v>
      </c>
    </row>
    <row r="5538" spans="6:12">
      <c r="H5538" t="s">
        <v>20234</v>
      </c>
      <c r="I5538" t="s">
        <v>1357</v>
      </c>
      <c r="J5538" t="s">
        <v>1357</v>
      </c>
      <c r="K5538" t="s">
        <v>1357</v>
      </c>
      <c r="L5538" t="s">
        <v>1357</v>
      </c>
    </row>
    <row r="5539" spans="6:12">
      <c r="H5539" t="s">
        <v>20235</v>
      </c>
      <c r="I5539" t="s">
        <v>1357</v>
      </c>
      <c r="J5539" t="s">
        <v>1357</v>
      </c>
      <c r="K5539" t="s">
        <v>1357</v>
      </c>
      <c r="L5539" t="s">
        <v>1357</v>
      </c>
    </row>
    <row r="5540" spans="6:12">
      <c r="H5540" t="s">
        <v>20298</v>
      </c>
      <c r="I5540" t="s">
        <v>1357</v>
      </c>
      <c r="J5540" t="s">
        <v>1357</v>
      </c>
      <c r="K5540" t="s">
        <v>1357</v>
      </c>
      <c r="L5540" t="s">
        <v>1357</v>
      </c>
    </row>
    <row r="5541" spans="6:12">
      <c r="H5541" t="s">
        <v>20299</v>
      </c>
      <c r="I5541" t="s">
        <v>1357</v>
      </c>
      <c r="J5541" t="s">
        <v>1357</v>
      </c>
      <c r="K5541" t="s">
        <v>1357</v>
      </c>
      <c r="L5541" t="s">
        <v>1357</v>
      </c>
    </row>
    <row r="5542" spans="6:12">
      <c r="H5542" t="s">
        <v>20300</v>
      </c>
      <c r="I5542" t="s">
        <v>1357</v>
      </c>
      <c r="J5542" t="s">
        <v>1357</v>
      </c>
      <c r="K5542" t="s">
        <v>1357</v>
      </c>
      <c r="L5542" t="s">
        <v>1357</v>
      </c>
    </row>
    <row r="5543" spans="6:12">
      <c r="H5543" t="s">
        <v>20301</v>
      </c>
      <c r="I5543" t="s">
        <v>1357</v>
      </c>
      <c r="J5543" t="s">
        <v>1357</v>
      </c>
      <c r="K5543" t="s">
        <v>1357</v>
      </c>
      <c r="L5543" t="s">
        <v>1357</v>
      </c>
    </row>
    <row r="5544" spans="6:12">
      <c r="H5544" t="s">
        <v>20302</v>
      </c>
      <c r="I5544" t="s">
        <v>1357</v>
      </c>
      <c r="J5544" t="s">
        <v>1357</v>
      </c>
      <c r="K5544" t="s">
        <v>1357</v>
      </c>
      <c r="L5544" t="s">
        <v>1357</v>
      </c>
    </row>
    <row r="5545" spans="6:12">
      <c r="H5545" t="s">
        <v>20303</v>
      </c>
      <c r="I5545" t="s">
        <v>1357</v>
      </c>
      <c r="J5545" t="s">
        <v>1357</v>
      </c>
      <c r="K5545" t="s">
        <v>1357</v>
      </c>
      <c r="L5545" t="s">
        <v>1357</v>
      </c>
    </row>
    <row r="5546" spans="6:12">
      <c r="H5546" t="s">
        <v>20304</v>
      </c>
      <c r="I5546" t="s">
        <v>1357</v>
      </c>
      <c r="J5546" t="s">
        <v>1357</v>
      </c>
      <c r="K5546" t="s">
        <v>1357</v>
      </c>
      <c r="L5546" t="s">
        <v>1357</v>
      </c>
    </row>
    <row r="5547" spans="6:12">
      <c r="H5547" t="s">
        <v>20285</v>
      </c>
      <c r="I5547" t="s">
        <v>1357</v>
      </c>
      <c r="J5547" t="s">
        <v>1357</v>
      </c>
      <c r="K5547" t="s">
        <v>1357</v>
      </c>
      <c r="L5547" t="s">
        <v>1357</v>
      </c>
    </row>
    <row r="5548" spans="6:12">
      <c r="H5548" t="s">
        <v>20286</v>
      </c>
      <c r="I5548" t="s">
        <v>1357</v>
      </c>
      <c r="J5548" t="s">
        <v>1357</v>
      </c>
      <c r="K5548" t="s">
        <v>1357</v>
      </c>
      <c r="L5548" t="s">
        <v>1357</v>
      </c>
    </row>
    <row r="5549" spans="6:12">
      <c r="H5549" t="s">
        <v>20287</v>
      </c>
      <c r="I5549" t="s">
        <v>1357</v>
      </c>
      <c r="J5549" t="s">
        <v>1357</v>
      </c>
      <c r="K5549" t="s">
        <v>1357</v>
      </c>
      <c r="L5549" t="s">
        <v>1357</v>
      </c>
    </row>
    <row r="5550" spans="6:12">
      <c r="H5550" t="s">
        <v>20288</v>
      </c>
      <c r="I5550" t="s">
        <v>1357</v>
      </c>
      <c r="J5550" t="s">
        <v>1357</v>
      </c>
      <c r="K5550" t="s">
        <v>1357</v>
      </c>
      <c r="L5550" t="s">
        <v>1357</v>
      </c>
    </row>
    <row r="5551" spans="6:12">
      <c r="F5551" t="s">
        <v>15144</v>
      </c>
      <c r="G5551" t="s">
        <v>17549</v>
      </c>
      <c r="H5551" t="s">
        <v>20280</v>
      </c>
      <c r="I5551" t="s">
        <v>1357</v>
      </c>
      <c r="J5551" t="s">
        <v>1357</v>
      </c>
      <c r="K5551" t="s">
        <v>1357</v>
      </c>
      <c r="L5551" t="s">
        <v>1357</v>
      </c>
    </row>
    <row r="5552" spans="6:12">
      <c r="H5552" t="s">
        <v>20233</v>
      </c>
      <c r="I5552" t="s">
        <v>1357</v>
      </c>
      <c r="J5552" t="s">
        <v>1357</v>
      </c>
      <c r="K5552" t="s">
        <v>1357</v>
      </c>
      <c r="L5552" t="s">
        <v>1357</v>
      </c>
    </row>
    <row r="5553" spans="8:12">
      <c r="H5553" t="s">
        <v>20230</v>
      </c>
      <c r="I5553" t="s">
        <v>1357</v>
      </c>
      <c r="J5553" t="s">
        <v>1357</v>
      </c>
      <c r="K5553" t="s">
        <v>1357</v>
      </c>
      <c r="L5553" t="s">
        <v>1357</v>
      </c>
    </row>
    <row r="5554" spans="8:12">
      <c r="H5554" t="s">
        <v>20227</v>
      </c>
      <c r="I5554" t="s">
        <v>1357</v>
      </c>
      <c r="J5554" t="s">
        <v>1357</v>
      </c>
      <c r="K5554" t="s">
        <v>1357</v>
      </c>
      <c r="L5554" t="s">
        <v>1357</v>
      </c>
    </row>
    <row r="5555" spans="8:12">
      <c r="H5555" t="s">
        <v>20296</v>
      </c>
      <c r="I5555" t="s">
        <v>1357</v>
      </c>
      <c r="J5555" t="s">
        <v>1357</v>
      </c>
      <c r="K5555" t="s">
        <v>1357</v>
      </c>
      <c r="L5555" t="s">
        <v>1357</v>
      </c>
    </row>
    <row r="5556" spans="8:12">
      <c r="H5556" t="s">
        <v>20297</v>
      </c>
      <c r="I5556" t="s">
        <v>1357</v>
      </c>
      <c r="J5556" t="s">
        <v>1357</v>
      </c>
      <c r="K5556" t="s">
        <v>1357</v>
      </c>
      <c r="L5556" t="s">
        <v>1357</v>
      </c>
    </row>
    <row r="5557" spans="8:12">
      <c r="H5557" t="s">
        <v>20234</v>
      </c>
      <c r="I5557" t="s">
        <v>1357</v>
      </c>
      <c r="J5557" t="s">
        <v>1357</v>
      </c>
      <c r="K5557" t="s">
        <v>1357</v>
      </c>
      <c r="L5557" t="s">
        <v>1357</v>
      </c>
    </row>
    <row r="5558" spans="8:12">
      <c r="H5558" t="s">
        <v>20235</v>
      </c>
      <c r="I5558" t="s">
        <v>1357</v>
      </c>
      <c r="J5558" t="s">
        <v>1357</v>
      </c>
      <c r="K5558" t="s">
        <v>1357</v>
      </c>
      <c r="L5558" t="s">
        <v>1357</v>
      </c>
    </row>
    <row r="5559" spans="8:12">
      <c r="H5559" t="s">
        <v>20298</v>
      </c>
      <c r="I5559" t="s">
        <v>1357</v>
      </c>
      <c r="J5559" t="s">
        <v>1357</v>
      </c>
      <c r="K5559" t="s">
        <v>1357</v>
      </c>
      <c r="L5559" t="s">
        <v>1357</v>
      </c>
    </row>
    <row r="5560" spans="8:12">
      <c r="H5560" t="s">
        <v>20299</v>
      </c>
      <c r="I5560" t="s">
        <v>1357</v>
      </c>
      <c r="J5560" t="s">
        <v>1357</v>
      </c>
      <c r="K5560" t="s">
        <v>1357</v>
      </c>
      <c r="L5560" t="s">
        <v>1357</v>
      </c>
    </row>
    <row r="5561" spans="8:12">
      <c r="H5561" t="s">
        <v>20300</v>
      </c>
      <c r="I5561" t="s">
        <v>1357</v>
      </c>
      <c r="J5561" t="s">
        <v>1357</v>
      </c>
      <c r="K5561" t="s">
        <v>1357</v>
      </c>
      <c r="L5561" t="s">
        <v>1357</v>
      </c>
    </row>
    <row r="5562" spans="8:12">
      <c r="H5562" t="s">
        <v>20301</v>
      </c>
      <c r="I5562" t="s">
        <v>1357</v>
      </c>
      <c r="J5562" t="s">
        <v>1357</v>
      </c>
      <c r="K5562" t="s">
        <v>1357</v>
      </c>
      <c r="L5562" t="s">
        <v>1357</v>
      </c>
    </row>
    <row r="5563" spans="8:12">
      <c r="H5563" t="s">
        <v>20302</v>
      </c>
      <c r="I5563" t="s">
        <v>1357</v>
      </c>
      <c r="J5563" t="s">
        <v>1357</v>
      </c>
      <c r="K5563" t="s">
        <v>1357</v>
      </c>
      <c r="L5563" t="s">
        <v>1357</v>
      </c>
    </row>
    <row r="5564" spans="8:12">
      <c r="H5564" t="s">
        <v>20303</v>
      </c>
      <c r="I5564" t="s">
        <v>1357</v>
      </c>
      <c r="J5564" t="s">
        <v>1357</v>
      </c>
      <c r="K5564" t="s">
        <v>1357</v>
      </c>
      <c r="L5564" t="s">
        <v>1357</v>
      </c>
    </row>
    <row r="5565" spans="8:12">
      <c r="H5565" t="s">
        <v>20304</v>
      </c>
      <c r="I5565" t="s">
        <v>1357</v>
      </c>
      <c r="J5565" t="s">
        <v>1357</v>
      </c>
      <c r="K5565" t="s">
        <v>1357</v>
      </c>
      <c r="L5565" t="s">
        <v>1357</v>
      </c>
    </row>
    <row r="5566" spans="8:12">
      <c r="H5566" t="s">
        <v>20285</v>
      </c>
      <c r="I5566" t="s">
        <v>1357</v>
      </c>
      <c r="J5566" t="s">
        <v>1357</v>
      </c>
      <c r="K5566" t="s">
        <v>1357</v>
      </c>
      <c r="L5566" t="s">
        <v>1357</v>
      </c>
    </row>
    <row r="5567" spans="8:12">
      <c r="H5567" t="s">
        <v>20286</v>
      </c>
      <c r="I5567" t="s">
        <v>1357</v>
      </c>
      <c r="J5567" t="s">
        <v>1357</v>
      </c>
      <c r="K5567" t="s">
        <v>1357</v>
      </c>
      <c r="L5567" t="s">
        <v>1357</v>
      </c>
    </row>
    <row r="5568" spans="8:12">
      <c r="H5568" t="s">
        <v>20287</v>
      </c>
      <c r="I5568" t="s">
        <v>1357</v>
      </c>
      <c r="J5568" t="s">
        <v>1357</v>
      </c>
      <c r="K5568" t="s">
        <v>1357</v>
      </c>
      <c r="L5568" t="s">
        <v>1357</v>
      </c>
    </row>
    <row r="5569" spans="6:12">
      <c r="H5569" t="s">
        <v>20288</v>
      </c>
      <c r="I5569" t="s">
        <v>1357</v>
      </c>
      <c r="J5569" t="s">
        <v>1357</v>
      </c>
      <c r="K5569" t="s">
        <v>1357</v>
      </c>
      <c r="L5569" t="s">
        <v>1357</v>
      </c>
    </row>
    <row r="5570" spans="6:12">
      <c r="F5570" t="s">
        <v>15145</v>
      </c>
      <c r="G5570" t="s">
        <v>17550</v>
      </c>
      <c r="H5570" t="s">
        <v>20280</v>
      </c>
      <c r="I5570" t="s">
        <v>1357</v>
      </c>
      <c r="J5570" t="s">
        <v>1357</v>
      </c>
      <c r="K5570" t="s">
        <v>1357</v>
      </c>
      <c r="L5570" t="s">
        <v>1357</v>
      </c>
    </row>
    <row r="5571" spans="6:12">
      <c r="H5571" t="s">
        <v>20233</v>
      </c>
      <c r="I5571" t="s">
        <v>1357</v>
      </c>
      <c r="J5571" t="s">
        <v>1357</v>
      </c>
      <c r="K5571" t="s">
        <v>1357</v>
      </c>
      <c r="L5571" t="s">
        <v>1357</v>
      </c>
    </row>
    <row r="5572" spans="6:12">
      <c r="H5572" t="s">
        <v>20230</v>
      </c>
      <c r="I5572" t="s">
        <v>1357</v>
      </c>
      <c r="J5572" t="s">
        <v>1357</v>
      </c>
      <c r="K5572" t="s">
        <v>1357</v>
      </c>
      <c r="L5572" t="s">
        <v>1357</v>
      </c>
    </row>
    <row r="5573" spans="6:12">
      <c r="H5573" t="s">
        <v>20227</v>
      </c>
      <c r="I5573" t="s">
        <v>1357</v>
      </c>
      <c r="J5573" t="s">
        <v>1357</v>
      </c>
      <c r="K5573" t="s">
        <v>1357</v>
      </c>
      <c r="L5573" t="s">
        <v>1357</v>
      </c>
    </row>
    <row r="5574" spans="6:12">
      <c r="H5574" t="s">
        <v>20228</v>
      </c>
      <c r="I5574" t="s">
        <v>1357</v>
      </c>
      <c r="J5574" t="s">
        <v>1357</v>
      </c>
      <c r="K5574" t="s">
        <v>1357</v>
      </c>
      <c r="L5574" t="s">
        <v>1357</v>
      </c>
    </row>
    <row r="5575" spans="6:12">
      <c r="H5575" t="s">
        <v>20296</v>
      </c>
      <c r="I5575" t="s">
        <v>1357</v>
      </c>
      <c r="J5575" t="s">
        <v>1357</v>
      </c>
      <c r="K5575" t="s">
        <v>1357</v>
      </c>
      <c r="L5575" t="s">
        <v>1357</v>
      </c>
    </row>
    <row r="5576" spans="6:12">
      <c r="H5576" t="s">
        <v>20297</v>
      </c>
      <c r="I5576" t="s">
        <v>1357</v>
      </c>
      <c r="J5576" t="s">
        <v>1357</v>
      </c>
      <c r="K5576" t="s">
        <v>1357</v>
      </c>
      <c r="L5576" t="s">
        <v>1357</v>
      </c>
    </row>
    <row r="5577" spans="6:12">
      <c r="H5577" t="s">
        <v>20234</v>
      </c>
      <c r="I5577" t="s">
        <v>1357</v>
      </c>
      <c r="J5577" t="s">
        <v>1357</v>
      </c>
      <c r="K5577" t="s">
        <v>1357</v>
      </c>
      <c r="L5577" t="s">
        <v>1357</v>
      </c>
    </row>
    <row r="5578" spans="6:12">
      <c r="H5578" t="s">
        <v>20235</v>
      </c>
      <c r="I5578" t="s">
        <v>1357</v>
      </c>
      <c r="J5578" t="s">
        <v>1357</v>
      </c>
      <c r="K5578" t="s">
        <v>1357</v>
      </c>
      <c r="L5578" t="s">
        <v>1357</v>
      </c>
    </row>
    <row r="5579" spans="6:12">
      <c r="H5579" t="s">
        <v>20298</v>
      </c>
      <c r="I5579" t="s">
        <v>1357</v>
      </c>
      <c r="J5579" t="s">
        <v>1357</v>
      </c>
      <c r="K5579" t="s">
        <v>1357</v>
      </c>
      <c r="L5579" t="s">
        <v>1357</v>
      </c>
    </row>
    <row r="5580" spans="6:12">
      <c r="H5580" t="s">
        <v>20299</v>
      </c>
      <c r="I5580" t="s">
        <v>1357</v>
      </c>
      <c r="J5580" t="s">
        <v>1357</v>
      </c>
      <c r="K5580" t="s">
        <v>1357</v>
      </c>
      <c r="L5580" t="s">
        <v>1357</v>
      </c>
    </row>
    <row r="5581" spans="6:12">
      <c r="H5581" t="s">
        <v>20300</v>
      </c>
      <c r="I5581" t="s">
        <v>1357</v>
      </c>
      <c r="J5581" t="s">
        <v>1357</v>
      </c>
      <c r="K5581" t="s">
        <v>1357</v>
      </c>
      <c r="L5581" t="s">
        <v>1357</v>
      </c>
    </row>
    <row r="5582" spans="6:12">
      <c r="H5582" t="s">
        <v>20301</v>
      </c>
      <c r="I5582" t="s">
        <v>1357</v>
      </c>
      <c r="J5582" t="s">
        <v>1357</v>
      </c>
      <c r="K5582" t="s">
        <v>1357</v>
      </c>
      <c r="L5582" t="s">
        <v>1357</v>
      </c>
    </row>
    <row r="5583" spans="6:12">
      <c r="H5583" t="s">
        <v>20302</v>
      </c>
      <c r="I5583" t="s">
        <v>1357</v>
      </c>
      <c r="J5583" t="s">
        <v>1357</v>
      </c>
      <c r="K5583" t="s">
        <v>1357</v>
      </c>
      <c r="L5583" t="s">
        <v>1357</v>
      </c>
    </row>
    <row r="5584" spans="6:12">
      <c r="H5584" t="s">
        <v>20285</v>
      </c>
      <c r="I5584" t="s">
        <v>1357</v>
      </c>
      <c r="J5584" t="s">
        <v>1357</v>
      </c>
      <c r="K5584" t="s">
        <v>1357</v>
      </c>
      <c r="L5584" t="s">
        <v>1357</v>
      </c>
    </row>
    <row r="5585" spans="6:12">
      <c r="H5585" t="s">
        <v>20286</v>
      </c>
      <c r="I5585" t="s">
        <v>1357</v>
      </c>
      <c r="J5585" t="s">
        <v>1357</v>
      </c>
      <c r="K5585" t="s">
        <v>1357</v>
      </c>
      <c r="L5585" t="s">
        <v>1357</v>
      </c>
    </row>
    <row r="5586" spans="6:12">
      <c r="H5586" t="s">
        <v>20287</v>
      </c>
      <c r="I5586" t="s">
        <v>1357</v>
      </c>
      <c r="J5586" t="s">
        <v>1357</v>
      </c>
      <c r="K5586" t="s">
        <v>1357</v>
      </c>
      <c r="L5586" t="s">
        <v>1357</v>
      </c>
    </row>
    <row r="5587" spans="6:12">
      <c r="H5587" t="s">
        <v>20288</v>
      </c>
      <c r="I5587" t="s">
        <v>1357</v>
      </c>
      <c r="J5587" t="s">
        <v>1357</v>
      </c>
      <c r="K5587" t="s">
        <v>1357</v>
      </c>
      <c r="L5587" t="s">
        <v>1357</v>
      </c>
    </row>
    <row r="5588" spans="6:12">
      <c r="F5588" t="s">
        <v>15146</v>
      </c>
      <c r="G5588" t="s">
        <v>17551</v>
      </c>
      <c r="H5588" t="s">
        <v>20280</v>
      </c>
      <c r="I5588" t="s">
        <v>1357</v>
      </c>
      <c r="J5588" t="s">
        <v>1357</v>
      </c>
      <c r="K5588" t="s">
        <v>1357</v>
      </c>
      <c r="L5588" t="s">
        <v>1357</v>
      </c>
    </row>
    <row r="5589" spans="6:12">
      <c r="H5589" t="s">
        <v>20233</v>
      </c>
      <c r="I5589" t="s">
        <v>1357</v>
      </c>
      <c r="J5589" t="s">
        <v>1357</v>
      </c>
      <c r="K5589" t="s">
        <v>1357</v>
      </c>
      <c r="L5589" t="s">
        <v>1357</v>
      </c>
    </row>
    <row r="5590" spans="6:12">
      <c r="H5590" t="s">
        <v>20230</v>
      </c>
      <c r="I5590" t="s">
        <v>1357</v>
      </c>
      <c r="J5590" t="s">
        <v>1357</v>
      </c>
      <c r="K5590" t="s">
        <v>1357</v>
      </c>
      <c r="L5590" t="s">
        <v>1357</v>
      </c>
    </row>
    <row r="5591" spans="6:12">
      <c r="H5591" t="s">
        <v>20227</v>
      </c>
      <c r="I5591" t="s">
        <v>1357</v>
      </c>
      <c r="J5591" t="s">
        <v>1357</v>
      </c>
      <c r="K5591" t="s">
        <v>1357</v>
      </c>
      <c r="L5591" t="s">
        <v>1357</v>
      </c>
    </row>
    <row r="5592" spans="6:12">
      <c r="H5592" t="s">
        <v>20228</v>
      </c>
      <c r="I5592" t="s">
        <v>1357</v>
      </c>
      <c r="J5592" t="s">
        <v>1357</v>
      </c>
      <c r="K5592" t="s">
        <v>1357</v>
      </c>
      <c r="L5592" t="s">
        <v>1357</v>
      </c>
    </row>
    <row r="5593" spans="6:12">
      <c r="H5593" t="s">
        <v>20296</v>
      </c>
      <c r="I5593" t="s">
        <v>1357</v>
      </c>
      <c r="J5593" t="s">
        <v>1357</v>
      </c>
      <c r="K5593" t="s">
        <v>1357</v>
      </c>
      <c r="L5593" t="s">
        <v>1357</v>
      </c>
    </row>
    <row r="5594" spans="6:12">
      <c r="H5594" t="s">
        <v>20297</v>
      </c>
      <c r="I5594" t="s">
        <v>1357</v>
      </c>
      <c r="J5594" t="s">
        <v>1357</v>
      </c>
      <c r="K5594" t="s">
        <v>1357</v>
      </c>
      <c r="L5594" t="s">
        <v>1357</v>
      </c>
    </row>
    <row r="5595" spans="6:12">
      <c r="H5595" t="s">
        <v>20234</v>
      </c>
      <c r="I5595" t="s">
        <v>1357</v>
      </c>
      <c r="J5595" t="s">
        <v>1357</v>
      </c>
      <c r="K5595" t="s">
        <v>1357</v>
      </c>
      <c r="L5595" t="s">
        <v>1357</v>
      </c>
    </row>
    <row r="5596" spans="6:12">
      <c r="H5596" t="s">
        <v>20235</v>
      </c>
      <c r="I5596" t="s">
        <v>1357</v>
      </c>
      <c r="J5596" t="s">
        <v>1357</v>
      </c>
      <c r="K5596" t="s">
        <v>1357</v>
      </c>
      <c r="L5596" t="s">
        <v>1357</v>
      </c>
    </row>
    <row r="5597" spans="6:12">
      <c r="H5597" t="s">
        <v>20298</v>
      </c>
      <c r="I5597" t="s">
        <v>1357</v>
      </c>
      <c r="J5597" t="s">
        <v>1357</v>
      </c>
      <c r="K5597" t="s">
        <v>1357</v>
      </c>
      <c r="L5597" t="s">
        <v>1357</v>
      </c>
    </row>
    <row r="5598" spans="6:12">
      <c r="H5598" t="s">
        <v>20299</v>
      </c>
      <c r="I5598" t="s">
        <v>1357</v>
      </c>
      <c r="J5598" t="s">
        <v>1357</v>
      </c>
      <c r="K5598" t="s">
        <v>1357</v>
      </c>
      <c r="L5598" t="s">
        <v>1357</v>
      </c>
    </row>
    <row r="5599" spans="6:12">
      <c r="H5599" t="s">
        <v>20300</v>
      </c>
      <c r="I5599" t="s">
        <v>1357</v>
      </c>
      <c r="J5599" t="s">
        <v>1357</v>
      </c>
      <c r="K5599" t="s">
        <v>1357</v>
      </c>
      <c r="L5599" t="s">
        <v>1357</v>
      </c>
    </row>
    <row r="5600" spans="6:12">
      <c r="H5600" t="s">
        <v>20301</v>
      </c>
      <c r="I5600" t="s">
        <v>1357</v>
      </c>
      <c r="J5600" t="s">
        <v>1357</v>
      </c>
      <c r="K5600" t="s">
        <v>1357</v>
      </c>
      <c r="L5600" t="s">
        <v>1357</v>
      </c>
    </row>
    <row r="5601" spans="6:12">
      <c r="H5601" t="s">
        <v>20302</v>
      </c>
      <c r="I5601" t="s">
        <v>1357</v>
      </c>
      <c r="J5601" t="s">
        <v>1357</v>
      </c>
      <c r="K5601" t="s">
        <v>1357</v>
      </c>
      <c r="L5601" t="s">
        <v>1357</v>
      </c>
    </row>
    <row r="5602" spans="6:12">
      <c r="H5602" t="s">
        <v>20285</v>
      </c>
      <c r="I5602" t="s">
        <v>1357</v>
      </c>
      <c r="J5602" t="s">
        <v>1357</v>
      </c>
      <c r="K5602" t="s">
        <v>1357</v>
      </c>
      <c r="L5602" t="s">
        <v>1357</v>
      </c>
    </row>
    <row r="5603" spans="6:12">
      <c r="H5603" t="s">
        <v>20286</v>
      </c>
      <c r="I5603" t="s">
        <v>1357</v>
      </c>
      <c r="J5603" t="s">
        <v>1357</v>
      </c>
      <c r="K5603" t="s">
        <v>1357</v>
      </c>
      <c r="L5603" t="s">
        <v>1357</v>
      </c>
    </row>
    <row r="5604" spans="6:12">
      <c r="H5604" t="s">
        <v>20287</v>
      </c>
      <c r="I5604" t="s">
        <v>1357</v>
      </c>
      <c r="J5604" t="s">
        <v>1357</v>
      </c>
      <c r="K5604" t="s">
        <v>1357</v>
      </c>
      <c r="L5604" t="s">
        <v>1357</v>
      </c>
    </row>
    <row r="5605" spans="6:12">
      <c r="H5605" t="s">
        <v>20288</v>
      </c>
      <c r="I5605" t="s">
        <v>1357</v>
      </c>
      <c r="J5605" t="s">
        <v>1357</v>
      </c>
      <c r="K5605" t="s">
        <v>1357</v>
      </c>
      <c r="L5605" t="s">
        <v>1357</v>
      </c>
    </row>
    <row r="5606" spans="6:12">
      <c r="F5606" t="s">
        <v>15147</v>
      </c>
      <c r="G5606" t="s">
        <v>17552</v>
      </c>
      <c r="H5606" t="s">
        <v>20280</v>
      </c>
      <c r="I5606" t="s">
        <v>1357</v>
      </c>
      <c r="J5606" t="s">
        <v>1357</v>
      </c>
      <c r="K5606" t="s">
        <v>1357</v>
      </c>
      <c r="L5606" t="s">
        <v>1357</v>
      </c>
    </row>
    <row r="5607" spans="6:12">
      <c r="H5607" t="s">
        <v>20233</v>
      </c>
      <c r="I5607" t="s">
        <v>1357</v>
      </c>
      <c r="J5607" t="s">
        <v>1357</v>
      </c>
      <c r="K5607" t="s">
        <v>1357</v>
      </c>
      <c r="L5607" t="s">
        <v>1357</v>
      </c>
    </row>
    <row r="5608" spans="6:12">
      <c r="H5608" t="s">
        <v>20230</v>
      </c>
      <c r="I5608" t="s">
        <v>1357</v>
      </c>
      <c r="J5608" t="s">
        <v>1357</v>
      </c>
      <c r="K5608" t="s">
        <v>1357</v>
      </c>
      <c r="L5608" t="s">
        <v>1357</v>
      </c>
    </row>
    <row r="5609" spans="6:12">
      <c r="H5609" t="s">
        <v>20227</v>
      </c>
      <c r="I5609" t="s">
        <v>1357</v>
      </c>
      <c r="J5609" t="s">
        <v>1357</v>
      </c>
      <c r="K5609" t="s">
        <v>1357</v>
      </c>
      <c r="L5609" t="s">
        <v>1357</v>
      </c>
    </row>
    <row r="5610" spans="6:12">
      <c r="H5610" t="s">
        <v>20296</v>
      </c>
      <c r="I5610" t="s">
        <v>1357</v>
      </c>
      <c r="J5610" t="s">
        <v>1357</v>
      </c>
      <c r="K5610" t="s">
        <v>1357</v>
      </c>
      <c r="L5610" t="s">
        <v>1357</v>
      </c>
    </row>
    <row r="5611" spans="6:12">
      <c r="H5611" t="s">
        <v>20297</v>
      </c>
      <c r="I5611" t="s">
        <v>1357</v>
      </c>
      <c r="J5611" t="s">
        <v>1357</v>
      </c>
      <c r="K5611" t="s">
        <v>1357</v>
      </c>
      <c r="L5611" t="s">
        <v>1357</v>
      </c>
    </row>
    <row r="5612" spans="6:12">
      <c r="H5612" t="s">
        <v>20234</v>
      </c>
      <c r="I5612" t="s">
        <v>1357</v>
      </c>
      <c r="J5612" t="s">
        <v>1357</v>
      </c>
      <c r="K5612" t="s">
        <v>1357</v>
      </c>
      <c r="L5612" t="s">
        <v>1357</v>
      </c>
    </row>
    <row r="5613" spans="6:12">
      <c r="H5613" t="s">
        <v>20235</v>
      </c>
      <c r="I5613" t="s">
        <v>1357</v>
      </c>
      <c r="J5613" t="s">
        <v>1357</v>
      </c>
      <c r="K5613" t="s">
        <v>1357</v>
      </c>
      <c r="L5613" t="s">
        <v>1357</v>
      </c>
    </row>
    <row r="5614" spans="6:12">
      <c r="H5614" t="s">
        <v>20298</v>
      </c>
      <c r="I5614" t="s">
        <v>1357</v>
      </c>
      <c r="J5614" t="s">
        <v>1357</v>
      </c>
      <c r="K5614" t="s">
        <v>1357</v>
      </c>
      <c r="L5614" t="s">
        <v>1357</v>
      </c>
    </row>
    <row r="5615" spans="6:12">
      <c r="H5615" t="s">
        <v>20299</v>
      </c>
      <c r="I5615" t="s">
        <v>1357</v>
      </c>
      <c r="J5615" t="s">
        <v>1357</v>
      </c>
      <c r="K5615" t="s">
        <v>1357</v>
      </c>
      <c r="L5615" t="s">
        <v>1357</v>
      </c>
    </row>
    <row r="5616" spans="6:12">
      <c r="H5616" t="s">
        <v>20284</v>
      </c>
      <c r="I5616" t="s">
        <v>1357</v>
      </c>
      <c r="J5616" t="s">
        <v>1357</v>
      </c>
      <c r="K5616" t="s">
        <v>1357</v>
      </c>
      <c r="L5616" t="s">
        <v>1357</v>
      </c>
    </row>
    <row r="5617" spans="6:12">
      <c r="H5617" t="s">
        <v>20285</v>
      </c>
      <c r="I5617" t="s">
        <v>1357</v>
      </c>
      <c r="J5617" t="s">
        <v>1357</v>
      </c>
      <c r="K5617" t="s">
        <v>1357</v>
      </c>
      <c r="L5617" t="s">
        <v>1357</v>
      </c>
    </row>
    <row r="5618" spans="6:12">
      <c r="H5618" t="s">
        <v>20286</v>
      </c>
      <c r="I5618" t="s">
        <v>1357</v>
      </c>
      <c r="J5618" t="s">
        <v>1357</v>
      </c>
      <c r="K5618" t="s">
        <v>1357</v>
      </c>
      <c r="L5618" t="s">
        <v>1357</v>
      </c>
    </row>
    <row r="5619" spans="6:12">
      <c r="H5619" t="s">
        <v>20287</v>
      </c>
      <c r="I5619" t="s">
        <v>1357</v>
      </c>
      <c r="J5619" t="s">
        <v>1357</v>
      </c>
      <c r="K5619" t="s">
        <v>1357</v>
      </c>
      <c r="L5619" t="s">
        <v>1357</v>
      </c>
    </row>
    <row r="5620" spans="6:12">
      <c r="F5620" t="s">
        <v>15148</v>
      </c>
      <c r="G5620" t="s">
        <v>17553</v>
      </c>
      <c r="H5620" t="s">
        <v>20280</v>
      </c>
      <c r="I5620" t="s">
        <v>1357</v>
      </c>
      <c r="J5620" t="s">
        <v>1357</v>
      </c>
      <c r="K5620" t="s">
        <v>1357</v>
      </c>
      <c r="L5620" t="s">
        <v>1357</v>
      </c>
    </row>
    <row r="5621" spans="6:12">
      <c r="H5621" t="s">
        <v>20233</v>
      </c>
      <c r="I5621" t="s">
        <v>1357</v>
      </c>
      <c r="J5621" t="s">
        <v>1357</v>
      </c>
      <c r="K5621" t="s">
        <v>1357</v>
      </c>
      <c r="L5621" t="s">
        <v>1357</v>
      </c>
    </row>
    <row r="5622" spans="6:12">
      <c r="H5622" t="s">
        <v>20230</v>
      </c>
      <c r="I5622" t="s">
        <v>1357</v>
      </c>
      <c r="J5622" t="s">
        <v>1357</v>
      </c>
      <c r="K5622" t="s">
        <v>1357</v>
      </c>
      <c r="L5622" t="s">
        <v>1357</v>
      </c>
    </row>
    <row r="5623" spans="6:12">
      <c r="H5623" t="s">
        <v>20227</v>
      </c>
      <c r="I5623" t="s">
        <v>1357</v>
      </c>
      <c r="J5623" t="s">
        <v>1357</v>
      </c>
      <c r="K5623" t="s">
        <v>1357</v>
      </c>
      <c r="L5623" t="s">
        <v>1357</v>
      </c>
    </row>
    <row r="5624" spans="6:12">
      <c r="H5624" t="s">
        <v>20296</v>
      </c>
      <c r="I5624" t="s">
        <v>1357</v>
      </c>
      <c r="J5624" t="s">
        <v>1357</v>
      </c>
      <c r="K5624" t="s">
        <v>1357</v>
      </c>
      <c r="L5624" t="s">
        <v>1357</v>
      </c>
    </row>
    <row r="5625" spans="6:12">
      <c r="H5625" t="s">
        <v>20297</v>
      </c>
      <c r="I5625" t="s">
        <v>1357</v>
      </c>
      <c r="J5625" t="s">
        <v>1357</v>
      </c>
      <c r="K5625" t="s">
        <v>1357</v>
      </c>
      <c r="L5625" t="s">
        <v>1357</v>
      </c>
    </row>
    <row r="5626" spans="6:12">
      <c r="H5626" t="s">
        <v>20234</v>
      </c>
      <c r="I5626" t="s">
        <v>1357</v>
      </c>
      <c r="J5626" t="s">
        <v>1357</v>
      </c>
      <c r="K5626" t="s">
        <v>1357</v>
      </c>
      <c r="L5626" t="s">
        <v>1357</v>
      </c>
    </row>
    <row r="5627" spans="6:12">
      <c r="H5627" t="s">
        <v>20235</v>
      </c>
      <c r="I5627" t="s">
        <v>1357</v>
      </c>
      <c r="J5627" t="s">
        <v>1357</v>
      </c>
      <c r="K5627" t="s">
        <v>1357</v>
      </c>
      <c r="L5627" t="s">
        <v>1357</v>
      </c>
    </row>
    <row r="5628" spans="6:12">
      <c r="H5628" t="s">
        <v>20298</v>
      </c>
      <c r="I5628" t="s">
        <v>1357</v>
      </c>
      <c r="J5628" t="s">
        <v>1357</v>
      </c>
      <c r="K5628" t="s">
        <v>1357</v>
      </c>
      <c r="L5628" t="s">
        <v>1357</v>
      </c>
    </row>
    <row r="5629" spans="6:12">
      <c r="H5629" t="s">
        <v>20299</v>
      </c>
      <c r="I5629" t="s">
        <v>1357</v>
      </c>
      <c r="J5629" t="s">
        <v>1357</v>
      </c>
      <c r="K5629" t="s">
        <v>1357</v>
      </c>
      <c r="L5629" t="s">
        <v>1357</v>
      </c>
    </row>
    <row r="5630" spans="6:12">
      <c r="H5630" t="s">
        <v>20284</v>
      </c>
      <c r="I5630" t="s">
        <v>1357</v>
      </c>
      <c r="J5630" t="s">
        <v>1357</v>
      </c>
      <c r="K5630" t="s">
        <v>1357</v>
      </c>
      <c r="L5630" t="s">
        <v>1357</v>
      </c>
    </row>
    <row r="5631" spans="6:12">
      <c r="H5631" t="s">
        <v>20286</v>
      </c>
      <c r="I5631" t="s">
        <v>1357</v>
      </c>
      <c r="J5631" t="s">
        <v>1357</v>
      </c>
      <c r="K5631" t="s">
        <v>1357</v>
      </c>
      <c r="L5631" t="s">
        <v>1357</v>
      </c>
    </row>
    <row r="5632" spans="6:12">
      <c r="H5632" t="s">
        <v>20287</v>
      </c>
      <c r="I5632" t="s">
        <v>1357</v>
      </c>
      <c r="J5632" t="s">
        <v>1357</v>
      </c>
      <c r="K5632" t="s">
        <v>1357</v>
      </c>
      <c r="L5632" t="s">
        <v>1357</v>
      </c>
    </row>
    <row r="5633" spans="6:12">
      <c r="H5633" t="s">
        <v>20288</v>
      </c>
      <c r="I5633" t="s">
        <v>1357</v>
      </c>
      <c r="J5633" t="s">
        <v>1357</v>
      </c>
      <c r="K5633" t="s">
        <v>1357</v>
      </c>
      <c r="L5633" t="s">
        <v>1357</v>
      </c>
    </row>
    <row r="5634" spans="6:12">
      <c r="F5634" t="s">
        <v>15149</v>
      </c>
      <c r="G5634" t="s">
        <v>17554</v>
      </c>
      <c r="H5634" t="s">
        <v>20280</v>
      </c>
      <c r="I5634" t="s">
        <v>1357</v>
      </c>
      <c r="J5634" t="s">
        <v>1357</v>
      </c>
      <c r="K5634" t="s">
        <v>1357</v>
      </c>
      <c r="L5634" t="s">
        <v>1357</v>
      </c>
    </row>
    <row r="5635" spans="6:12">
      <c r="H5635" t="s">
        <v>20233</v>
      </c>
      <c r="I5635" t="s">
        <v>1357</v>
      </c>
      <c r="J5635" t="s">
        <v>1357</v>
      </c>
      <c r="K5635" t="s">
        <v>1357</v>
      </c>
      <c r="L5635" t="s">
        <v>1357</v>
      </c>
    </row>
    <row r="5636" spans="6:12">
      <c r="H5636" t="s">
        <v>20230</v>
      </c>
      <c r="I5636" t="s">
        <v>1357</v>
      </c>
      <c r="J5636" t="s">
        <v>1357</v>
      </c>
      <c r="K5636" t="s">
        <v>1357</v>
      </c>
      <c r="L5636" t="s">
        <v>1357</v>
      </c>
    </row>
    <row r="5637" spans="6:12">
      <c r="H5637" t="s">
        <v>20227</v>
      </c>
      <c r="I5637" t="s">
        <v>1357</v>
      </c>
      <c r="J5637" t="s">
        <v>1357</v>
      </c>
      <c r="K5637" t="s">
        <v>1357</v>
      </c>
      <c r="L5637" t="s">
        <v>1357</v>
      </c>
    </row>
    <row r="5638" spans="6:12">
      <c r="H5638" t="s">
        <v>20228</v>
      </c>
      <c r="I5638" t="s">
        <v>1357</v>
      </c>
      <c r="J5638" t="s">
        <v>1357</v>
      </c>
      <c r="K5638" t="s">
        <v>1357</v>
      </c>
      <c r="L5638" t="s">
        <v>1357</v>
      </c>
    </row>
    <row r="5639" spans="6:12">
      <c r="H5639" t="s">
        <v>20232</v>
      </c>
      <c r="I5639" t="s">
        <v>1357</v>
      </c>
      <c r="J5639" t="s">
        <v>1357</v>
      </c>
      <c r="K5639" t="s">
        <v>1357</v>
      </c>
      <c r="L5639" t="s">
        <v>1357</v>
      </c>
    </row>
    <row r="5640" spans="6:12">
      <c r="H5640" t="s">
        <v>20296</v>
      </c>
      <c r="I5640" t="s">
        <v>1357</v>
      </c>
      <c r="J5640" t="s">
        <v>1357</v>
      </c>
      <c r="K5640" t="s">
        <v>1357</v>
      </c>
      <c r="L5640" t="s">
        <v>1357</v>
      </c>
    </row>
    <row r="5641" spans="6:12">
      <c r="H5641" t="s">
        <v>20297</v>
      </c>
      <c r="I5641" t="s">
        <v>1357</v>
      </c>
      <c r="J5641" t="s">
        <v>1357</v>
      </c>
      <c r="K5641" t="s">
        <v>1357</v>
      </c>
      <c r="L5641" t="s">
        <v>1357</v>
      </c>
    </row>
    <row r="5642" spans="6:12">
      <c r="H5642" t="s">
        <v>20234</v>
      </c>
      <c r="I5642" t="s">
        <v>1357</v>
      </c>
      <c r="J5642" t="s">
        <v>1357</v>
      </c>
      <c r="K5642" t="s">
        <v>1357</v>
      </c>
      <c r="L5642" t="s">
        <v>1357</v>
      </c>
    </row>
    <row r="5643" spans="6:12">
      <c r="H5643" t="s">
        <v>20235</v>
      </c>
      <c r="I5643" t="s">
        <v>1357</v>
      </c>
      <c r="J5643" t="s">
        <v>1357</v>
      </c>
      <c r="K5643" t="s">
        <v>1357</v>
      </c>
      <c r="L5643" t="s">
        <v>1357</v>
      </c>
    </row>
    <row r="5644" spans="6:12">
      <c r="H5644" t="s">
        <v>20284</v>
      </c>
      <c r="I5644" t="s">
        <v>1357</v>
      </c>
      <c r="J5644" t="s">
        <v>1357</v>
      </c>
      <c r="K5644" t="s">
        <v>1357</v>
      </c>
      <c r="L5644" t="s">
        <v>1357</v>
      </c>
    </row>
    <row r="5645" spans="6:12">
      <c r="H5645" t="s">
        <v>20285</v>
      </c>
      <c r="I5645" t="s">
        <v>1357</v>
      </c>
      <c r="J5645" t="s">
        <v>1357</v>
      </c>
      <c r="K5645" t="s">
        <v>1357</v>
      </c>
      <c r="L5645" t="s">
        <v>1357</v>
      </c>
    </row>
    <row r="5646" spans="6:12">
      <c r="H5646" t="s">
        <v>20286</v>
      </c>
      <c r="I5646" t="s">
        <v>1357</v>
      </c>
      <c r="J5646" t="s">
        <v>1357</v>
      </c>
      <c r="K5646" t="s">
        <v>1357</v>
      </c>
      <c r="L5646" t="s">
        <v>1357</v>
      </c>
    </row>
    <row r="5647" spans="6:12">
      <c r="H5647" t="s">
        <v>20287</v>
      </c>
      <c r="I5647" t="s">
        <v>1357</v>
      </c>
      <c r="J5647" t="s">
        <v>1357</v>
      </c>
      <c r="K5647" t="s">
        <v>1357</v>
      </c>
      <c r="L5647" t="s">
        <v>1357</v>
      </c>
    </row>
    <row r="5648" spans="6:12">
      <c r="F5648" t="s">
        <v>15150</v>
      </c>
      <c r="G5648" t="s">
        <v>17555</v>
      </c>
      <c r="H5648" t="s">
        <v>20280</v>
      </c>
      <c r="I5648" t="s">
        <v>1357</v>
      </c>
      <c r="J5648" t="s">
        <v>1357</v>
      </c>
      <c r="K5648" t="s">
        <v>1357</v>
      </c>
      <c r="L5648" t="s">
        <v>1357</v>
      </c>
    </row>
    <row r="5649" spans="6:12">
      <c r="H5649" t="s">
        <v>20233</v>
      </c>
      <c r="I5649" t="s">
        <v>1357</v>
      </c>
      <c r="J5649" t="s">
        <v>1357</v>
      </c>
      <c r="K5649" t="s">
        <v>1357</v>
      </c>
      <c r="L5649" t="s">
        <v>1357</v>
      </c>
    </row>
    <row r="5650" spans="6:12">
      <c r="H5650" t="s">
        <v>20230</v>
      </c>
      <c r="I5650" t="s">
        <v>1357</v>
      </c>
      <c r="J5650" t="s">
        <v>1357</v>
      </c>
      <c r="K5650" t="s">
        <v>1357</v>
      </c>
      <c r="L5650" t="s">
        <v>1357</v>
      </c>
    </row>
    <row r="5651" spans="6:12">
      <c r="H5651" t="s">
        <v>20227</v>
      </c>
      <c r="I5651" t="s">
        <v>1357</v>
      </c>
      <c r="J5651" t="s">
        <v>1357</v>
      </c>
      <c r="K5651" t="s">
        <v>1357</v>
      </c>
      <c r="L5651" t="s">
        <v>1357</v>
      </c>
    </row>
    <row r="5652" spans="6:12">
      <c r="H5652" t="s">
        <v>20228</v>
      </c>
      <c r="I5652" t="s">
        <v>1357</v>
      </c>
      <c r="J5652" t="s">
        <v>1357</v>
      </c>
      <c r="K5652" t="s">
        <v>1357</v>
      </c>
      <c r="L5652" t="s">
        <v>1357</v>
      </c>
    </row>
    <row r="5653" spans="6:12">
      <c r="H5653" t="s">
        <v>20232</v>
      </c>
      <c r="I5653" t="s">
        <v>1357</v>
      </c>
      <c r="J5653" t="s">
        <v>1357</v>
      </c>
      <c r="K5653" t="s">
        <v>1357</v>
      </c>
      <c r="L5653" t="s">
        <v>1357</v>
      </c>
    </row>
    <row r="5654" spans="6:12">
      <c r="H5654" t="s">
        <v>20296</v>
      </c>
      <c r="I5654" t="s">
        <v>1357</v>
      </c>
      <c r="J5654" t="s">
        <v>1357</v>
      </c>
      <c r="K5654" t="s">
        <v>1357</v>
      </c>
      <c r="L5654" t="s">
        <v>1357</v>
      </c>
    </row>
    <row r="5655" spans="6:12">
      <c r="H5655" t="s">
        <v>20297</v>
      </c>
      <c r="I5655" t="s">
        <v>1357</v>
      </c>
      <c r="J5655" t="s">
        <v>1357</v>
      </c>
      <c r="K5655" t="s">
        <v>1357</v>
      </c>
      <c r="L5655" t="s">
        <v>1357</v>
      </c>
    </row>
    <row r="5656" spans="6:12">
      <c r="H5656" t="s">
        <v>20234</v>
      </c>
      <c r="I5656" t="s">
        <v>1357</v>
      </c>
      <c r="J5656" t="s">
        <v>1357</v>
      </c>
      <c r="K5656" t="s">
        <v>1357</v>
      </c>
      <c r="L5656" t="s">
        <v>1357</v>
      </c>
    </row>
    <row r="5657" spans="6:12">
      <c r="H5657" t="s">
        <v>20235</v>
      </c>
      <c r="I5657" t="s">
        <v>1357</v>
      </c>
      <c r="J5657" t="s">
        <v>1357</v>
      </c>
      <c r="K5657" t="s">
        <v>1357</v>
      </c>
      <c r="L5657" t="s">
        <v>1357</v>
      </c>
    </row>
    <row r="5658" spans="6:12">
      <c r="H5658" t="s">
        <v>20284</v>
      </c>
      <c r="I5658" t="s">
        <v>1357</v>
      </c>
      <c r="J5658" t="s">
        <v>1357</v>
      </c>
      <c r="K5658" t="s">
        <v>1357</v>
      </c>
      <c r="L5658" t="s">
        <v>1357</v>
      </c>
    </row>
    <row r="5659" spans="6:12">
      <c r="H5659" t="s">
        <v>20285</v>
      </c>
      <c r="I5659" t="s">
        <v>1357</v>
      </c>
      <c r="J5659" t="s">
        <v>1357</v>
      </c>
      <c r="K5659" t="s">
        <v>1357</v>
      </c>
      <c r="L5659" t="s">
        <v>1357</v>
      </c>
    </row>
    <row r="5660" spans="6:12">
      <c r="H5660" t="s">
        <v>20286</v>
      </c>
      <c r="I5660" t="s">
        <v>1357</v>
      </c>
      <c r="J5660" t="s">
        <v>1357</v>
      </c>
      <c r="K5660" t="s">
        <v>1357</v>
      </c>
      <c r="L5660" t="s">
        <v>1357</v>
      </c>
    </row>
    <row r="5661" spans="6:12">
      <c r="H5661" t="s">
        <v>20287</v>
      </c>
      <c r="I5661" t="s">
        <v>1357</v>
      </c>
      <c r="J5661" t="s">
        <v>1357</v>
      </c>
      <c r="K5661" t="s">
        <v>1357</v>
      </c>
      <c r="L5661" t="s">
        <v>1357</v>
      </c>
    </row>
    <row r="5662" spans="6:12">
      <c r="F5662" t="s">
        <v>15151</v>
      </c>
      <c r="G5662" t="s">
        <v>17556</v>
      </c>
      <c r="H5662" t="s">
        <v>20280</v>
      </c>
      <c r="I5662" t="s">
        <v>1357</v>
      </c>
      <c r="J5662" t="s">
        <v>1357</v>
      </c>
      <c r="K5662" t="s">
        <v>1357</v>
      </c>
      <c r="L5662" t="s">
        <v>1357</v>
      </c>
    </row>
    <row r="5663" spans="6:12">
      <c r="H5663" t="s">
        <v>20233</v>
      </c>
      <c r="I5663" t="s">
        <v>1357</v>
      </c>
      <c r="J5663" t="s">
        <v>1357</v>
      </c>
      <c r="K5663" t="s">
        <v>1357</v>
      </c>
      <c r="L5663" t="s">
        <v>1357</v>
      </c>
    </row>
    <row r="5664" spans="6:12">
      <c r="H5664" t="s">
        <v>20230</v>
      </c>
      <c r="I5664" t="s">
        <v>1357</v>
      </c>
      <c r="J5664" t="s">
        <v>1357</v>
      </c>
      <c r="K5664" t="s">
        <v>1357</v>
      </c>
      <c r="L5664" t="s">
        <v>1357</v>
      </c>
    </row>
    <row r="5665" spans="6:12">
      <c r="H5665" t="s">
        <v>20227</v>
      </c>
      <c r="I5665" t="s">
        <v>1357</v>
      </c>
      <c r="J5665" t="s">
        <v>1357</v>
      </c>
      <c r="K5665" t="s">
        <v>1357</v>
      </c>
      <c r="L5665" t="s">
        <v>1357</v>
      </c>
    </row>
    <row r="5666" spans="6:12">
      <c r="H5666" t="s">
        <v>20228</v>
      </c>
      <c r="I5666" t="s">
        <v>1357</v>
      </c>
      <c r="J5666" t="s">
        <v>1357</v>
      </c>
      <c r="K5666" t="s">
        <v>1357</v>
      </c>
      <c r="L5666" t="s">
        <v>1357</v>
      </c>
    </row>
    <row r="5667" spans="6:12">
      <c r="H5667" t="s">
        <v>20232</v>
      </c>
      <c r="I5667" t="s">
        <v>1357</v>
      </c>
      <c r="J5667" t="s">
        <v>1357</v>
      </c>
      <c r="K5667" t="s">
        <v>1357</v>
      </c>
      <c r="L5667" t="s">
        <v>1357</v>
      </c>
    </row>
    <row r="5668" spans="6:12">
      <c r="H5668" t="s">
        <v>20296</v>
      </c>
      <c r="I5668" t="s">
        <v>1357</v>
      </c>
      <c r="J5668" t="s">
        <v>1357</v>
      </c>
      <c r="K5668" t="s">
        <v>1357</v>
      </c>
      <c r="L5668" t="s">
        <v>1357</v>
      </c>
    </row>
    <row r="5669" spans="6:12">
      <c r="H5669" t="s">
        <v>20297</v>
      </c>
      <c r="I5669" t="s">
        <v>1357</v>
      </c>
      <c r="J5669" t="s">
        <v>1357</v>
      </c>
      <c r="K5669" t="s">
        <v>1357</v>
      </c>
      <c r="L5669" t="s">
        <v>1357</v>
      </c>
    </row>
    <row r="5670" spans="6:12">
      <c r="H5670" t="s">
        <v>20234</v>
      </c>
      <c r="I5670" t="s">
        <v>1357</v>
      </c>
      <c r="J5670" t="s">
        <v>1357</v>
      </c>
      <c r="K5670" t="s">
        <v>1357</v>
      </c>
      <c r="L5670" t="s">
        <v>1357</v>
      </c>
    </row>
    <row r="5671" spans="6:12">
      <c r="H5671" t="s">
        <v>20235</v>
      </c>
      <c r="I5671" t="s">
        <v>1357</v>
      </c>
      <c r="J5671" t="s">
        <v>1357</v>
      </c>
      <c r="K5671" t="s">
        <v>1357</v>
      </c>
      <c r="L5671" t="s">
        <v>1357</v>
      </c>
    </row>
    <row r="5672" spans="6:12">
      <c r="H5672" t="s">
        <v>20284</v>
      </c>
      <c r="I5672" t="s">
        <v>1357</v>
      </c>
      <c r="J5672" t="s">
        <v>1357</v>
      </c>
      <c r="K5672" t="s">
        <v>1357</v>
      </c>
      <c r="L5672" t="s">
        <v>1357</v>
      </c>
    </row>
    <row r="5673" spans="6:12">
      <c r="H5673" t="s">
        <v>20285</v>
      </c>
      <c r="I5673" t="s">
        <v>1357</v>
      </c>
      <c r="J5673" t="s">
        <v>1357</v>
      </c>
      <c r="K5673" t="s">
        <v>1357</v>
      </c>
      <c r="L5673" t="s">
        <v>1357</v>
      </c>
    </row>
    <row r="5674" spans="6:12">
      <c r="H5674" t="s">
        <v>20286</v>
      </c>
      <c r="I5674" t="s">
        <v>1357</v>
      </c>
      <c r="J5674" t="s">
        <v>1357</v>
      </c>
      <c r="K5674" t="s">
        <v>1357</v>
      </c>
      <c r="L5674" t="s">
        <v>1357</v>
      </c>
    </row>
    <row r="5675" spans="6:12">
      <c r="H5675" t="s">
        <v>20287</v>
      </c>
      <c r="I5675" t="s">
        <v>1357</v>
      </c>
      <c r="J5675" t="s">
        <v>1357</v>
      </c>
      <c r="K5675" t="s">
        <v>1357</v>
      </c>
      <c r="L5675" t="s">
        <v>1357</v>
      </c>
    </row>
    <row r="5676" spans="6:12">
      <c r="F5676" t="s">
        <v>15152</v>
      </c>
      <c r="G5676" t="s">
        <v>17557</v>
      </c>
      <c r="H5676" t="s">
        <v>20280</v>
      </c>
      <c r="I5676" t="s">
        <v>1357</v>
      </c>
      <c r="J5676" t="s">
        <v>1357</v>
      </c>
      <c r="K5676" t="s">
        <v>1357</v>
      </c>
      <c r="L5676" t="s">
        <v>1357</v>
      </c>
    </row>
    <row r="5677" spans="6:12">
      <c r="H5677" t="s">
        <v>20233</v>
      </c>
      <c r="I5677" t="s">
        <v>1357</v>
      </c>
      <c r="J5677" t="s">
        <v>1357</v>
      </c>
      <c r="K5677" t="s">
        <v>1357</v>
      </c>
      <c r="L5677" t="s">
        <v>1357</v>
      </c>
    </row>
    <row r="5678" spans="6:12">
      <c r="H5678" t="s">
        <v>20230</v>
      </c>
      <c r="I5678" t="s">
        <v>1357</v>
      </c>
      <c r="J5678" t="s">
        <v>1357</v>
      </c>
      <c r="K5678" t="s">
        <v>1357</v>
      </c>
      <c r="L5678" t="s">
        <v>1357</v>
      </c>
    </row>
    <row r="5679" spans="6:12">
      <c r="H5679" t="s">
        <v>20227</v>
      </c>
      <c r="I5679" t="s">
        <v>1357</v>
      </c>
      <c r="J5679" t="s">
        <v>1357</v>
      </c>
      <c r="K5679" t="s">
        <v>1357</v>
      </c>
      <c r="L5679" t="s">
        <v>1357</v>
      </c>
    </row>
    <row r="5680" spans="6:12">
      <c r="H5680" t="s">
        <v>20228</v>
      </c>
      <c r="I5680" t="s">
        <v>1357</v>
      </c>
      <c r="J5680" t="s">
        <v>1357</v>
      </c>
      <c r="K5680" t="s">
        <v>1357</v>
      </c>
      <c r="L5680" t="s">
        <v>1357</v>
      </c>
    </row>
    <row r="5681" spans="6:12">
      <c r="H5681" t="s">
        <v>20232</v>
      </c>
      <c r="I5681" t="s">
        <v>1357</v>
      </c>
      <c r="J5681" t="s">
        <v>1357</v>
      </c>
      <c r="K5681" t="s">
        <v>1357</v>
      </c>
      <c r="L5681" t="s">
        <v>1357</v>
      </c>
    </row>
    <row r="5682" spans="6:12">
      <c r="H5682" t="s">
        <v>20229</v>
      </c>
      <c r="I5682" t="s">
        <v>1357</v>
      </c>
      <c r="J5682" t="s">
        <v>1357</v>
      </c>
      <c r="K5682" t="s">
        <v>1357</v>
      </c>
      <c r="L5682" t="s">
        <v>1357</v>
      </c>
    </row>
    <row r="5683" spans="6:12">
      <c r="H5683" t="s">
        <v>20296</v>
      </c>
      <c r="I5683" t="s">
        <v>1357</v>
      </c>
      <c r="J5683" t="s">
        <v>1357</v>
      </c>
      <c r="K5683" t="s">
        <v>1357</v>
      </c>
      <c r="L5683" t="s">
        <v>1357</v>
      </c>
    </row>
    <row r="5684" spans="6:12">
      <c r="H5684" t="s">
        <v>20297</v>
      </c>
      <c r="I5684" t="s">
        <v>1357</v>
      </c>
      <c r="J5684" t="s">
        <v>1357</v>
      </c>
      <c r="K5684" t="s">
        <v>1357</v>
      </c>
      <c r="L5684" t="s">
        <v>1357</v>
      </c>
    </row>
    <row r="5685" spans="6:12">
      <c r="H5685" t="s">
        <v>20234</v>
      </c>
      <c r="I5685" t="s">
        <v>1357</v>
      </c>
      <c r="J5685" t="s">
        <v>1357</v>
      </c>
      <c r="K5685" t="s">
        <v>1357</v>
      </c>
      <c r="L5685" t="s">
        <v>1357</v>
      </c>
    </row>
    <row r="5686" spans="6:12">
      <c r="H5686" t="s">
        <v>20235</v>
      </c>
      <c r="I5686" t="s">
        <v>1357</v>
      </c>
      <c r="J5686" t="s">
        <v>1357</v>
      </c>
      <c r="K5686" t="s">
        <v>1357</v>
      </c>
      <c r="L5686" t="s">
        <v>1357</v>
      </c>
    </row>
    <row r="5687" spans="6:12">
      <c r="H5687" t="s">
        <v>20284</v>
      </c>
      <c r="I5687" t="s">
        <v>1357</v>
      </c>
      <c r="J5687" t="s">
        <v>1357</v>
      </c>
      <c r="K5687" t="s">
        <v>1357</v>
      </c>
      <c r="L5687" t="s">
        <v>1357</v>
      </c>
    </row>
    <row r="5688" spans="6:12">
      <c r="H5688" t="s">
        <v>20285</v>
      </c>
      <c r="I5688" t="s">
        <v>1357</v>
      </c>
      <c r="J5688" t="s">
        <v>1357</v>
      </c>
      <c r="K5688" t="s">
        <v>1357</v>
      </c>
      <c r="L5688" t="s">
        <v>1357</v>
      </c>
    </row>
    <row r="5689" spans="6:12">
      <c r="H5689" t="s">
        <v>20286</v>
      </c>
      <c r="I5689" t="s">
        <v>1357</v>
      </c>
      <c r="J5689" t="s">
        <v>1357</v>
      </c>
      <c r="K5689" t="s">
        <v>1357</v>
      </c>
      <c r="L5689" t="s">
        <v>1357</v>
      </c>
    </row>
    <row r="5690" spans="6:12">
      <c r="H5690" t="s">
        <v>20287</v>
      </c>
      <c r="I5690" t="s">
        <v>1357</v>
      </c>
      <c r="J5690" t="s">
        <v>1357</v>
      </c>
      <c r="K5690" t="s">
        <v>1357</v>
      </c>
      <c r="L5690" t="s">
        <v>1357</v>
      </c>
    </row>
    <row r="5691" spans="6:12">
      <c r="H5691" t="s">
        <v>20288</v>
      </c>
      <c r="I5691" t="s">
        <v>1357</v>
      </c>
      <c r="J5691" t="s">
        <v>1357</v>
      </c>
      <c r="K5691" t="s">
        <v>1357</v>
      </c>
      <c r="L5691" t="s">
        <v>1357</v>
      </c>
    </row>
    <row r="5692" spans="6:12">
      <c r="F5692" t="s">
        <v>15153</v>
      </c>
      <c r="G5692" t="s">
        <v>17558</v>
      </c>
      <c r="H5692" t="s">
        <v>20280</v>
      </c>
      <c r="I5692" t="s">
        <v>1357</v>
      </c>
      <c r="J5692" t="s">
        <v>1357</v>
      </c>
      <c r="K5692" t="s">
        <v>1357</v>
      </c>
      <c r="L5692" t="s">
        <v>1357</v>
      </c>
    </row>
    <row r="5693" spans="6:12">
      <c r="H5693" t="s">
        <v>20233</v>
      </c>
      <c r="I5693" t="s">
        <v>1357</v>
      </c>
      <c r="J5693" t="s">
        <v>1357</v>
      </c>
      <c r="K5693" t="s">
        <v>1357</v>
      </c>
      <c r="L5693" t="s">
        <v>1357</v>
      </c>
    </row>
    <row r="5694" spans="6:12">
      <c r="H5694" t="s">
        <v>20230</v>
      </c>
      <c r="I5694" t="s">
        <v>1357</v>
      </c>
      <c r="J5694" t="s">
        <v>1357</v>
      </c>
      <c r="K5694" t="s">
        <v>1357</v>
      </c>
      <c r="L5694" t="s">
        <v>1357</v>
      </c>
    </row>
    <row r="5695" spans="6:12">
      <c r="H5695" t="s">
        <v>20227</v>
      </c>
      <c r="I5695" t="s">
        <v>1357</v>
      </c>
      <c r="J5695" t="s">
        <v>1357</v>
      </c>
      <c r="K5695" t="s">
        <v>1357</v>
      </c>
      <c r="L5695" t="s">
        <v>1357</v>
      </c>
    </row>
    <row r="5696" spans="6:12">
      <c r="H5696" t="s">
        <v>20228</v>
      </c>
      <c r="I5696" t="s">
        <v>1357</v>
      </c>
      <c r="J5696" t="s">
        <v>1357</v>
      </c>
      <c r="K5696" t="s">
        <v>1357</v>
      </c>
      <c r="L5696" t="s">
        <v>1357</v>
      </c>
    </row>
    <row r="5697" spans="6:12">
      <c r="H5697" t="s">
        <v>20232</v>
      </c>
      <c r="I5697" t="s">
        <v>1357</v>
      </c>
      <c r="J5697" t="s">
        <v>1357</v>
      </c>
      <c r="K5697" t="s">
        <v>1357</v>
      </c>
      <c r="L5697" t="s">
        <v>1357</v>
      </c>
    </row>
    <row r="5698" spans="6:12">
      <c r="H5698" t="s">
        <v>20229</v>
      </c>
      <c r="I5698" t="s">
        <v>1357</v>
      </c>
      <c r="J5698" t="s">
        <v>1357</v>
      </c>
      <c r="K5698" t="s">
        <v>1357</v>
      </c>
      <c r="L5698" t="s">
        <v>1357</v>
      </c>
    </row>
    <row r="5699" spans="6:12">
      <c r="H5699" t="s">
        <v>20296</v>
      </c>
      <c r="I5699" t="s">
        <v>1357</v>
      </c>
      <c r="J5699" t="s">
        <v>1357</v>
      </c>
      <c r="K5699" t="s">
        <v>1357</v>
      </c>
      <c r="L5699" t="s">
        <v>1357</v>
      </c>
    </row>
    <row r="5700" spans="6:12">
      <c r="H5700" t="s">
        <v>20297</v>
      </c>
      <c r="I5700" t="s">
        <v>1357</v>
      </c>
      <c r="J5700" t="s">
        <v>1357</v>
      </c>
      <c r="K5700" t="s">
        <v>1357</v>
      </c>
      <c r="L5700" t="s">
        <v>1357</v>
      </c>
    </row>
    <row r="5701" spans="6:12">
      <c r="H5701" t="s">
        <v>20234</v>
      </c>
      <c r="I5701" t="s">
        <v>1357</v>
      </c>
      <c r="J5701" t="s">
        <v>1357</v>
      </c>
      <c r="K5701" t="s">
        <v>1357</v>
      </c>
      <c r="L5701" t="s">
        <v>1357</v>
      </c>
    </row>
    <row r="5702" spans="6:12">
      <c r="H5702" t="s">
        <v>20235</v>
      </c>
      <c r="I5702" t="s">
        <v>1357</v>
      </c>
      <c r="J5702" t="s">
        <v>1357</v>
      </c>
      <c r="K5702" t="s">
        <v>1357</v>
      </c>
      <c r="L5702" t="s">
        <v>1357</v>
      </c>
    </row>
    <row r="5703" spans="6:12">
      <c r="H5703" t="s">
        <v>20284</v>
      </c>
      <c r="I5703" t="s">
        <v>1357</v>
      </c>
      <c r="J5703" t="s">
        <v>1357</v>
      </c>
      <c r="K5703" t="s">
        <v>1357</v>
      </c>
      <c r="L5703" t="s">
        <v>1357</v>
      </c>
    </row>
    <row r="5704" spans="6:12">
      <c r="H5704" t="s">
        <v>20285</v>
      </c>
      <c r="I5704" t="s">
        <v>1357</v>
      </c>
      <c r="J5704" t="s">
        <v>1357</v>
      </c>
      <c r="K5704" t="s">
        <v>1357</v>
      </c>
      <c r="L5704" t="s">
        <v>1357</v>
      </c>
    </row>
    <row r="5705" spans="6:12">
      <c r="H5705" t="s">
        <v>20286</v>
      </c>
      <c r="I5705" t="s">
        <v>1357</v>
      </c>
      <c r="J5705" t="s">
        <v>1357</v>
      </c>
      <c r="K5705" t="s">
        <v>1357</v>
      </c>
      <c r="L5705" t="s">
        <v>1357</v>
      </c>
    </row>
    <row r="5706" spans="6:12">
      <c r="H5706" t="s">
        <v>20287</v>
      </c>
      <c r="I5706" t="s">
        <v>1357</v>
      </c>
      <c r="J5706" t="s">
        <v>1357</v>
      </c>
      <c r="K5706" t="s">
        <v>1357</v>
      </c>
      <c r="L5706" t="s">
        <v>1357</v>
      </c>
    </row>
    <row r="5707" spans="6:12">
      <c r="H5707" t="s">
        <v>20288</v>
      </c>
      <c r="I5707" t="s">
        <v>1357</v>
      </c>
      <c r="J5707" t="s">
        <v>1357</v>
      </c>
      <c r="K5707" t="s">
        <v>1357</v>
      </c>
      <c r="L5707" t="s">
        <v>1357</v>
      </c>
    </row>
    <row r="5708" spans="6:12">
      <c r="F5708" t="s">
        <v>15154</v>
      </c>
      <c r="G5708" t="s">
        <v>17559</v>
      </c>
      <c r="H5708" t="s">
        <v>20280</v>
      </c>
      <c r="I5708" t="s">
        <v>1357</v>
      </c>
      <c r="J5708" t="s">
        <v>1357</v>
      </c>
      <c r="K5708" t="s">
        <v>1357</v>
      </c>
      <c r="L5708" t="s">
        <v>1357</v>
      </c>
    </row>
    <row r="5709" spans="6:12">
      <c r="H5709" t="s">
        <v>20233</v>
      </c>
      <c r="I5709" t="s">
        <v>1357</v>
      </c>
      <c r="J5709" t="s">
        <v>1357</v>
      </c>
      <c r="K5709" t="s">
        <v>1357</v>
      </c>
      <c r="L5709" t="s">
        <v>1357</v>
      </c>
    </row>
    <row r="5710" spans="6:12">
      <c r="H5710" t="s">
        <v>20230</v>
      </c>
      <c r="I5710" t="s">
        <v>1357</v>
      </c>
      <c r="J5710" t="s">
        <v>1357</v>
      </c>
      <c r="K5710" t="s">
        <v>1357</v>
      </c>
      <c r="L5710" t="s">
        <v>1357</v>
      </c>
    </row>
    <row r="5711" spans="6:12">
      <c r="H5711" t="s">
        <v>20227</v>
      </c>
      <c r="I5711" t="s">
        <v>1357</v>
      </c>
      <c r="J5711" t="s">
        <v>1357</v>
      </c>
      <c r="K5711" t="s">
        <v>1357</v>
      </c>
      <c r="L5711" t="s">
        <v>1357</v>
      </c>
    </row>
    <row r="5712" spans="6:12">
      <c r="H5712" t="s">
        <v>20296</v>
      </c>
      <c r="I5712" t="s">
        <v>1357</v>
      </c>
      <c r="J5712" t="s">
        <v>1357</v>
      </c>
      <c r="K5712" t="s">
        <v>1357</v>
      </c>
      <c r="L5712" t="s">
        <v>1357</v>
      </c>
    </row>
    <row r="5713" spans="6:12">
      <c r="H5713" t="s">
        <v>20297</v>
      </c>
      <c r="I5713" t="s">
        <v>1357</v>
      </c>
      <c r="J5713" t="s">
        <v>1357</v>
      </c>
      <c r="K5713" t="s">
        <v>1357</v>
      </c>
      <c r="L5713" t="s">
        <v>1357</v>
      </c>
    </row>
    <row r="5714" spans="6:12">
      <c r="H5714" t="s">
        <v>20284</v>
      </c>
      <c r="I5714" t="s">
        <v>1357</v>
      </c>
      <c r="J5714" t="s">
        <v>1357</v>
      </c>
      <c r="K5714" t="s">
        <v>1357</v>
      </c>
      <c r="L5714" t="s">
        <v>1357</v>
      </c>
    </row>
    <row r="5715" spans="6:12">
      <c r="H5715" t="s">
        <v>20285</v>
      </c>
      <c r="I5715" t="s">
        <v>1357</v>
      </c>
      <c r="J5715" t="s">
        <v>1357</v>
      </c>
      <c r="K5715" t="s">
        <v>1357</v>
      </c>
      <c r="L5715" t="s">
        <v>1357</v>
      </c>
    </row>
    <row r="5716" spans="6:12">
      <c r="H5716" t="s">
        <v>20286</v>
      </c>
      <c r="I5716" t="s">
        <v>1357</v>
      </c>
      <c r="J5716" t="s">
        <v>1357</v>
      </c>
      <c r="K5716" t="s">
        <v>1357</v>
      </c>
      <c r="L5716" t="s">
        <v>1357</v>
      </c>
    </row>
    <row r="5717" spans="6:12">
      <c r="F5717" t="s">
        <v>15155</v>
      </c>
      <c r="G5717" t="s">
        <v>17560</v>
      </c>
      <c r="H5717" t="s">
        <v>20280</v>
      </c>
      <c r="I5717" t="s">
        <v>1357</v>
      </c>
      <c r="J5717" t="s">
        <v>1357</v>
      </c>
      <c r="K5717" t="s">
        <v>1357</v>
      </c>
      <c r="L5717" t="s">
        <v>1357</v>
      </c>
    </row>
    <row r="5718" spans="6:12">
      <c r="H5718" t="s">
        <v>20233</v>
      </c>
      <c r="I5718" t="s">
        <v>1357</v>
      </c>
      <c r="J5718" t="s">
        <v>1357</v>
      </c>
      <c r="K5718" t="s">
        <v>1357</v>
      </c>
      <c r="L5718" t="s">
        <v>1357</v>
      </c>
    </row>
    <row r="5719" spans="6:12">
      <c r="H5719" t="s">
        <v>20230</v>
      </c>
      <c r="I5719" t="s">
        <v>1357</v>
      </c>
      <c r="J5719" t="s">
        <v>1357</v>
      </c>
      <c r="K5719" t="s">
        <v>1357</v>
      </c>
      <c r="L5719" t="s">
        <v>1357</v>
      </c>
    </row>
    <row r="5720" spans="6:12">
      <c r="H5720" t="s">
        <v>20227</v>
      </c>
      <c r="I5720" t="s">
        <v>1357</v>
      </c>
      <c r="J5720" t="s">
        <v>1357</v>
      </c>
      <c r="K5720" t="s">
        <v>1357</v>
      </c>
      <c r="L5720" t="s">
        <v>1357</v>
      </c>
    </row>
    <row r="5721" spans="6:12">
      <c r="H5721" t="s">
        <v>20296</v>
      </c>
      <c r="I5721" t="s">
        <v>1357</v>
      </c>
      <c r="J5721" t="s">
        <v>1357</v>
      </c>
      <c r="K5721" t="s">
        <v>1357</v>
      </c>
      <c r="L5721" t="s">
        <v>1357</v>
      </c>
    </row>
    <row r="5722" spans="6:12">
      <c r="H5722" t="s">
        <v>20297</v>
      </c>
      <c r="I5722" t="s">
        <v>1357</v>
      </c>
      <c r="J5722" t="s">
        <v>1357</v>
      </c>
      <c r="K5722" t="s">
        <v>1357</v>
      </c>
      <c r="L5722" t="s">
        <v>1357</v>
      </c>
    </row>
    <row r="5723" spans="6:12">
      <c r="H5723" t="s">
        <v>20284</v>
      </c>
      <c r="I5723" t="s">
        <v>1357</v>
      </c>
      <c r="J5723" t="s">
        <v>1357</v>
      </c>
      <c r="K5723" t="s">
        <v>1357</v>
      </c>
      <c r="L5723" t="s">
        <v>1357</v>
      </c>
    </row>
    <row r="5724" spans="6:12">
      <c r="H5724" t="s">
        <v>20285</v>
      </c>
      <c r="I5724" t="s">
        <v>1357</v>
      </c>
      <c r="J5724" t="s">
        <v>1357</v>
      </c>
      <c r="K5724" t="s">
        <v>1357</v>
      </c>
      <c r="L5724" t="s">
        <v>1357</v>
      </c>
    </row>
    <row r="5725" spans="6:12">
      <c r="H5725" t="s">
        <v>20286</v>
      </c>
      <c r="I5725" t="s">
        <v>1357</v>
      </c>
      <c r="J5725" t="s">
        <v>1357</v>
      </c>
      <c r="K5725" t="s">
        <v>1357</v>
      </c>
      <c r="L5725" t="s">
        <v>1357</v>
      </c>
    </row>
    <row r="5726" spans="6:12">
      <c r="F5726" t="s">
        <v>15156</v>
      </c>
      <c r="G5726" t="s">
        <v>17561</v>
      </c>
      <c r="H5726" t="s">
        <v>20280</v>
      </c>
      <c r="I5726" t="s">
        <v>1357</v>
      </c>
      <c r="J5726" t="s">
        <v>1357</v>
      </c>
      <c r="K5726" t="s">
        <v>1357</v>
      </c>
      <c r="L5726" t="s">
        <v>1357</v>
      </c>
    </row>
    <row r="5727" spans="6:12">
      <c r="H5727" t="s">
        <v>20233</v>
      </c>
      <c r="I5727" t="s">
        <v>1357</v>
      </c>
      <c r="J5727" t="s">
        <v>1357</v>
      </c>
      <c r="K5727" t="s">
        <v>1357</v>
      </c>
      <c r="L5727" t="s">
        <v>1357</v>
      </c>
    </row>
    <row r="5728" spans="6:12">
      <c r="H5728" t="s">
        <v>20230</v>
      </c>
      <c r="I5728" t="s">
        <v>1357</v>
      </c>
      <c r="J5728" t="s">
        <v>1357</v>
      </c>
      <c r="K5728" t="s">
        <v>1357</v>
      </c>
      <c r="L5728" t="s">
        <v>1357</v>
      </c>
    </row>
    <row r="5729" spans="6:12">
      <c r="H5729" t="s">
        <v>20296</v>
      </c>
      <c r="I5729" t="s">
        <v>1357</v>
      </c>
      <c r="J5729" t="s">
        <v>1357</v>
      </c>
      <c r="K5729" t="s">
        <v>1357</v>
      </c>
      <c r="L5729" t="s">
        <v>1357</v>
      </c>
    </row>
    <row r="5730" spans="6:12">
      <c r="H5730" t="s">
        <v>20297</v>
      </c>
      <c r="I5730" t="s">
        <v>1357</v>
      </c>
      <c r="J5730" t="s">
        <v>1357</v>
      </c>
      <c r="K5730" t="s">
        <v>1357</v>
      </c>
      <c r="L5730" t="s">
        <v>1357</v>
      </c>
    </row>
    <row r="5731" spans="6:12">
      <c r="H5731" t="s">
        <v>20284</v>
      </c>
      <c r="I5731" t="s">
        <v>1357</v>
      </c>
      <c r="J5731" t="s">
        <v>1357</v>
      </c>
      <c r="K5731" t="s">
        <v>1357</v>
      </c>
      <c r="L5731" t="s">
        <v>1357</v>
      </c>
    </row>
    <row r="5732" spans="6:12">
      <c r="H5732" t="s">
        <v>20285</v>
      </c>
      <c r="I5732" t="s">
        <v>1357</v>
      </c>
      <c r="J5732" t="s">
        <v>1357</v>
      </c>
      <c r="K5732" t="s">
        <v>1357</v>
      </c>
      <c r="L5732" t="s">
        <v>1357</v>
      </c>
    </row>
    <row r="5733" spans="6:12">
      <c r="H5733" t="s">
        <v>20286</v>
      </c>
      <c r="I5733" t="s">
        <v>1357</v>
      </c>
      <c r="J5733" t="s">
        <v>1357</v>
      </c>
      <c r="K5733" t="s">
        <v>1357</v>
      </c>
      <c r="L5733" t="s">
        <v>1357</v>
      </c>
    </row>
    <row r="5734" spans="6:12">
      <c r="F5734" t="s">
        <v>15157</v>
      </c>
      <c r="G5734" t="s">
        <v>17562</v>
      </c>
      <c r="H5734" t="s">
        <v>20280</v>
      </c>
      <c r="I5734" t="s">
        <v>1357</v>
      </c>
      <c r="J5734" t="s">
        <v>1357</v>
      </c>
      <c r="K5734" t="s">
        <v>1357</v>
      </c>
      <c r="L5734" t="s">
        <v>1357</v>
      </c>
    </row>
    <row r="5735" spans="6:12">
      <c r="H5735" t="s">
        <v>20233</v>
      </c>
      <c r="I5735" t="s">
        <v>1357</v>
      </c>
      <c r="J5735" t="s">
        <v>1357</v>
      </c>
      <c r="K5735" t="s">
        <v>1357</v>
      </c>
      <c r="L5735" t="s">
        <v>1357</v>
      </c>
    </row>
    <row r="5736" spans="6:12">
      <c r="H5736" t="s">
        <v>20230</v>
      </c>
      <c r="I5736" t="s">
        <v>1357</v>
      </c>
      <c r="J5736" t="s">
        <v>1357</v>
      </c>
      <c r="K5736" t="s">
        <v>1357</v>
      </c>
      <c r="L5736" t="s">
        <v>1357</v>
      </c>
    </row>
    <row r="5737" spans="6:12">
      <c r="H5737" t="s">
        <v>20296</v>
      </c>
      <c r="I5737" t="s">
        <v>1357</v>
      </c>
      <c r="J5737" t="s">
        <v>1357</v>
      </c>
      <c r="K5737" t="s">
        <v>1357</v>
      </c>
      <c r="L5737" t="s">
        <v>1357</v>
      </c>
    </row>
    <row r="5738" spans="6:12">
      <c r="H5738" t="s">
        <v>20297</v>
      </c>
      <c r="I5738" t="s">
        <v>1357</v>
      </c>
      <c r="J5738" t="s">
        <v>1357</v>
      </c>
      <c r="K5738" t="s">
        <v>1357</v>
      </c>
      <c r="L5738" t="s">
        <v>1357</v>
      </c>
    </row>
    <row r="5739" spans="6:12">
      <c r="H5739" t="s">
        <v>20284</v>
      </c>
      <c r="I5739" t="s">
        <v>1357</v>
      </c>
      <c r="J5739" t="s">
        <v>1357</v>
      </c>
      <c r="K5739" t="s">
        <v>1357</v>
      </c>
      <c r="L5739" t="s">
        <v>1357</v>
      </c>
    </row>
    <row r="5740" spans="6:12">
      <c r="H5740" t="s">
        <v>20285</v>
      </c>
      <c r="I5740" t="s">
        <v>1357</v>
      </c>
      <c r="J5740" t="s">
        <v>1357</v>
      </c>
      <c r="K5740" t="s">
        <v>1357</v>
      </c>
      <c r="L5740" t="s">
        <v>1357</v>
      </c>
    </row>
    <row r="5741" spans="6:12">
      <c r="H5741" t="s">
        <v>20286</v>
      </c>
      <c r="I5741" t="s">
        <v>1357</v>
      </c>
      <c r="J5741" t="s">
        <v>1357</v>
      </c>
      <c r="K5741" t="s">
        <v>1357</v>
      </c>
      <c r="L5741" t="s">
        <v>1357</v>
      </c>
    </row>
    <row r="5742" spans="6:12">
      <c r="F5742" t="s">
        <v>15158</v>
      </c>
      <c r="G5742" t="s">
        <v>17563</v>
      </c>
      <c r="H5742" t="s">
        <v>20280</v>
      </c>
      <c r="I5742" t="s">
        <v>1357</v>
      </c>
      <c r="J5742" t="s">
        <v>1357</v>
      </c>
      <c r="K5742" t="s">
        <v>1357</v>
      </c>
      <c r="L5742" t="s">
        <v>1357</v>
      </c>
    </row>
    <row r="5743" spans="6:12">
      <c r="H5743" t="s">
        <v>20233</v>
      </c>
      <c r="I5743" t="s">
        <v>1357</v>
      </c>
      <c r="J5743" t="s">
        <v>1357</v>
      </c>
      <c r="K5743" t="s">
        <v>1357</v>
      </c>
      <c r="L5743" t="s">
        <v>1357</v>
      </c>
    </row>
    <row r="5744" spans="6:12">
      <c r="H5744" t="s">
        <v>20230</v>
      </c>
      <c r="I5744" t="s">
        <v>1357</v>
      </c>
      <c r="J5744" t="s">
        <v>1357</v>
      </c>
      <c r="K5744" t="s">
        <v>1357</v>
      </c>
      <c r="L5744" t="s">
        <v>1357</v>
      </c>
    </row>
    <row r="5745" spans="6:12">
      <c r="H5745" t="s">
        <v>20227</v>
      </c>
      <c r="I5745" t="s">
        <v>1357</v>
      </c>
      <c r="J5745" t="s">
        <v>1357</v>
      </c>
      <c r="K5745" t="s">
        <v>1357</v>
      </c>
      <c r="L5745" t="s">
        <v>1357</v>
      </c>
    </row>
    <row r="5746" spans="6:12">
      <c r="H5746" t="s">
        <v>20296</v>
      </c>
      <c r="I5746" t="s">
        <v>1357</v>
      </c>
      <c r="J5746" t="s">
        <v>1357</v>
      </c>
      <c r="K5746" t="s">
        <v>1357</v>
      </c>
      <c r="L5746" t="s">
        <v>1357</v>
      </c>
    </row>
    <row r="5747" spans="6:12">
      <c r="H5747" t="s">
        <v>20297</v>
      </c>
      <c r="I5747" t="s">
        <v>1357</v>
      </c>
      <c r="J5747" t="s">
        <v>1357</v>
      </c>
      <c r="K5747" t="s">
        <v>1357</v>
      </c>
      <c r="L5747" t="s">
        <v>1357</v>
      </c>
    </row>
    <row r="5748" spans="6:12">
      <c r="H5748" t="s">
        <v>20234</v>
      </c>
      <c r="I5748" t="s">
        <v>1357</v>
      </c>
      <c r="J5748" t="s">
        <v>1357</v>
      </c>
      <c r="K5748" t="s">
        <v>1357</v>
      </c>
      <c r="L5748" t="s">
        <v>1357</v>
      </c>
    </row>
    <row r="5749" spans="6:12">
      <c r="H5749" t="s">
        <v>20284</v>
      </c>
      <c r="I5749" t="s">
        <v>1357</v>
      </c>
      <c r="J5749" t="s">
        <v>1357</v>
      </c>
      <c r="K5749" t="s">
        <v>1357</v>
      </c>
      <c r="L5749" t="s">
        <v>1357</v>
      </c>
    </row>
    <row r="5750" spans="6:12">
      <c r="H5750" t="s">
        <v>20285</v>
      </c>
      <c r="I5750" t="s">
        <v>1357</v>
      </c>
      <c r="J5750" t="s">
        <v>1357</v>
      </c>
      <c r="K5750" t="s">
        <v>1357</v>
      </c>
      <c r="L5750" t="s">
        <v>1357</v>
      </c>
    </row>
    <row r="5751" spans="6:12">
      <c r="H5751" t="s">
        <v>20286</v>
      </c>
      <c r="I5751" t="s">
        <v>1357</v>
      </c>
      <c r="J5751" t="s">
        <v>1357</v>
      </c>
      <c r="K5751" t="s">
        <v>1357</v>
      </c>
      <c r="L5751" t="s">
        <v>1357</v>
      </c>
    </row>
    <row r="5752" spans="6:12">
      <c r="H5752" t="s">
        <v>20287</v>
      </c>
      <c r="I5752" t="s">
        <v>1357</v>
      </c>
      <c r="J5752" t="s">
        <v>1357</v>
      </c>
      <c r="K5752" t="s">
        <v>1357</v>
      </c>
      <c r="L5752" t="s">
        <v>1357</v>
      </c>
    </row>
    <row r="5753" spans="6:12">
      <c r="F5753" t="s">
        <v>15159</v>
      </c>
      <c r="G5753" t="s">
        <v>17564</v>
      </c>
      <c r="H5753" t="s">
        <v>20280</v>
      </c>
      <c r="I5753" t="s">
        <v>1357</v>
      </c>
      <c r="J5753" t="s">
        <v>1357</v>
      </c>
      <c r="K5753" t="s">
        <v>1357</v>
      </c>
      <c r="L5753" t="s">
        <v>1357</v>
      </c>
    </row>
    <row r="5754" spans="6:12">
      <c r="H5754" t="s">
        <v>20233</v>
      </c>
      <c r="I5754" t="s">
        <v>1357</v>
      </c>
      <c r="J5754" t="s">
        <v>1357</v>
      </c>
      <c r="K5754" t="s">
        <v>1357</v>
      </c>
      <c r="L5754" t="s">
        <v>1357</v>
      </c>
    </row>
    <row r="5755" spans="6:12">
      <c r="H5755" t="s">
        <v>20230</v>
      </c>
      <c r="I5755" t="s">
        <v>1357</v>
      </c>
      <c r="J5755" t="s">
        <v>1357</v>
      </c>
      <c r="K5755" t="s">
        <v>1357</v>
      </c>
      <c r="L5755" t="s">
        <v>1357</v>
      </c>
    </row>
    <row r="5756" spans="6:12">
      <c r="H5756" t="s">
        <v>20227</v>
      </c>
      <c r="I5756" t="s">
        <v>1357</v>
      </c>
      <c r="J5756" t="s">
        <v>1357</v>
      </c>
      <c r="K5756" t="s">
        <v>1357</v>
      </c>
      <c r="L5756" t="s">
        <v>1357</v>
      </c>
    </row>
    <row r="5757" spans="6:12">
      <c r="H5757" t="s">
        <v>20296</v>
      </c>
      <c r="I5757" t="s">
        <v>1357</v>
      </c>
      <c r="J5757" t="s">
        <v>1357</v>
      </c>
      <c r="K5757" t="s">
        <v>1357</v>
      </c>
      <c r="L5757" t="s">
        <v>1357</v>
      </c>
    </row>
    <row r="5758" spans="6:12">
      <c r="H5758" t="s">
        <v>20297</v>
      </c>
      <c r="I5758" t="s">
        <v>1357</v>
      </c>
      <c r="J5758" t="s">
        <v>1357</v>
      </c>
      <c r="K5758" t="s">
        <v>1357</v>
      </c>
      <c r="L5758" t="s">
        <v>1357</v>
      </c>
    </row>
    <row r="5759" spans="6:12">
      <c r="H5759" t="s">
        <v>20234</v>
      </c>
      <c r="I5759" t="s">
        <v>1357</v>
      </c>
      <c r="J5759" t="s">
        <v>1357</v>
      </c>
      <c r="K5759" t="s">
        <v>1357</v>
      </c>
      <c r="L5759" t="s">
        <v>1357</v>
      </c>
    </row>
    <row r="5760" spans="6:12">
      <c r="H5760" t="s">
        <v>20284</v>
      </c>
      <c r="I5760" t="s">
        <v>1357</v>
      </c>
      <c r="J5760" t="s">
        <v>1357</v>
      </c>
      <c r="K5760" t="s">
        <v>1357</v>
      </c>
      <c r="L5760" t="s">
        <v>1357</v>
      </c>
    </row>
    <row r="5761" spans="1:12">
      <c r="H5761" t="s">
        <v>20285</v>
      </c>
      <c r="I5761" t="s">
        <v>1357</v>
      </c>
      <c r="J5761" t="s">
        <v>1357</v>
      </c>
      <c r="K5761" t="s">
        <v>1357</v>
      </c>
      <c r="L5761" t="s">
        <v>1357</v>
      </c>
    </row>
    <row r="5762" spans="1:12">
      <c r="H5762" t="s">
        <v>20286</v>
      </c>
      <c r="I5762" t="s">
        <v>1357</v>
      </c>
      <c r="J5762" t="s">
        <v>1357</v>
      </c>
      <c r="K5762" t="s">
        <v>1357</v>
      </c>
      <c r="L5762" t="s">
        <v>1357</v>
      </c>
    </row>
    <row r="5763" spans="1:12">
      <c r="H5763" t="s">
        <v>20287</v>
      </c>
      <c r="I5763" t="s">
        <v>1357</v>
      </c>
      <c r="J5763" t="s">
        <v>1357</v>
      </c>
      <c r="K5763" t="s">
        <v>1357</v>
      </c>
      <c r="L5763" t="s">
        <v>1357</v>
      </c>
    </row>
    <row r="5764" spans="1:12">
      <c r="F5764" t="s">
        <v>15160</v>
      </c>
      <c r="G5764" t="s">
        <v>17862</v>
      </c>
      <c r="H5764" t="s">
        <v>20284</v>
      </c>
      <c r="I5764" t="s">
        <v>1357</v>
      </c>
      <c r="J5764" t="s">
        <v>1357</v>
      </c>
      <c r="K5764" t="s">
        <v>1357</v>
      </c>
      <c r="L5764" t="s">
        <v>1357</v>
      </c>
    </row>
    <row r="5765" spans="1:12">
      <c r="F5765" t="s">
        <v>15161</v>
      </c>
      <c r="G5765" t="s">
        <v>17863</v>
      </c>
      <c r="H5765" t="s">
        <v>20284</v>
      </c>
      <c r="I5765" t="s">
        <v>1357</v>
      </c>
      <c r="J5765" t="s">
        <v>1357</v>
      </c>
      <c r="K5765" t="s">
        <v>1357</v>
      </c>
      <c r="L5765" t="s">
        <v>1357</v>
      </c>
    </row>
    <row r="5766" spans="1:12">
      <c r="F5766" t="s">
        <v>15162</v>
      </c>
      <c r="G5766" t="s">
        <v>17864</v>
      </c>
      <c r="H5766" t="s">
        <v>20284</v>
      </c>
      <c r="I5766" t="s">
        <v>1357</v>
      </c>
      <c r="J5766" t="s">
        <v>1357</v>
      </c>
      <c r="K5766" t="s">
        <v>1357</v>
      </c>
      <c r="L5766" t="s">
        <v>1357</v>
      </c>
    </row>
    <row r="5767" spans="1:12">
      <c r="F5767" t="s">
        <v>15163</v>
      </c>
      <c r="G5767" t="s">
        <v>17865</v>
      </c>
      <c r="H5767" t="s">
        <v>20284</v>
      </c>
      <c r="I5767" t="s">
        <v>1357</v>
      </c>
      <c r="J5767" t="s">
        <v>1357</v>
      </c>
      <c r="K5767" t="s">
        <v>1357</v>
      </c>
      <c r="L5767" t="s">
        <v>1357</v>
      </c>
    </row>
    <row r="5768" spans="1:12">
      <c r="F5768" t="s">
        <v>15164</v>
      </c>
      <c r="G5768" t="s">
        <v>17866</v>
      </c>
      <c r="H5768" t="s">
        <v>20284</v>
      </c>
      <c r="I5768" t="s">
        <v>1357</v>
      </c>
      <c r="J5768" t="s">
        <v>1357</v>
      </c>
      <c r="K5768" t="s">
        <v>1357</v>
      </c>
      <c r="L5768" t="s">
        <v>1357</v>
      </c>
    </row>
    <row r="5769" spans="1:12">
      <c r="H5769" t="s">
        <v>20285</v>
      </c>
      <c r="I5769" t="s">
        <v>1357</v>
      </c>
      <c r="J5769" t="s">
        <v>1357</v>
      </c>
      <c r="K5769" t="s">
        <v>1357</v>
      </c>
      <c r="L5769" t="s">
        <v>1357</v>
      </c>
    </row>
    <row r="5770" spans="1:12">
      <c r="H5770" t="s">
        <v>20286</v>
      </c>
      <c r="I5770" t="s">
        <v>1357</v>
      </c>
      <c r="J5770" t="s">
        <v>1357</v>
      </c>
      <c r="K5770" t="s">
        <v>1357</v>
      </c>
      <c r="L5770" t="s">
        <v>1357</v>
      </c>
    </row>
    <row r="5771" spans="1:12">
      <c r="H5771" t="s">
        <v>20287</v>
      </c>
      <c r="I5771" t="s">
        <v>1357</v>
      </c>
      <c r="J5771" t="s">
        <v>1357</v>
      </c>
      <c r="K5771" t="s">
        <v>1357</v>
      </c>
      <c r="L5771" t="s">
        <v>1357</v>
      </c>
    </row>
    <row r="5772" spans="1:12">
      <c r="H5772" t="s">
        <v>20288</v>
      </c>
      <c r="I5772" t="s">
        <v>1357</v>
      </c>
      <c r="J5772" t="s">
        <v>1357</v>
      </c>
      <c r="K5772" t="s">
        <v>1357</v>
      </c>
      <c r="L5772" t="s">
        <v>1357</v>
      </c>
    </row>
    <row r="5773" spans="1:12">
      <c r="F5773" t="s">
        <v>15165</v>
      </c>
      <c r="G5773" t="s">
        <v>17867</v>
      </c>
      <c r="H5773" t="s">
        <v>20284</v>
      </c>
      <c r="I5773" t="s">
        <v>1357</v>
      </c>
      <c r="J5773" t="s">
        <v>1357</v>
      </c>
      <c r="K5773" t="s">
        <v>1357</v>
      </c>
      <c r="L5773" t="s">
        <v>1357</v>
      </c>
    </row>
    <row r="5774" spans="1:12">
      <c r="H5774" t="s">
        <v>20285</v>
      </c>
      <c r="I5774" t="s">
        <v>1357</v>
      </c>
      <c r="J5774" t="s">
        <v>1357</v>
      </c>
      <c r="K5774" t="s">
        <v>1357</v>
      </c>
      <c r="L5774" t="s">
        <v>1357</v>
      </c>
    </row>
    <row r="5775" spans="1:12">
      <c r="A5775" t="s">
        <v>10119</v>
      </c>
      <c r="B5775">
        <f>HYPERLINK("https://android.googlesource.com/platform/cts/+/68babe4ae21b48f005aff471db44d1fb1ec1995c", "68babe4ae21b48f005aff471db44d1fb1ec1995c")</f>
        <v>0</v>
      </c>
      <c r="C5775">
        <f>HYPERLINK("https://android.googlesource.com/platform/cts/+/98caf9a765885f0312116bc574498273cd80d1a6", "98caf9a765885f0312116bc574498273cd80d1a6")</f>
        <v>0</v>
      </c>
      <c r="D5775" t="s">
        <v>12003</v>
      </c>
      <c r="E5775" t="s">
        <v>12688</v>
      </c>
      <c r="F5775" t="s">
        <v>15166</v>
      </c>
      <c r="G5775" t="s">
        <v>17868</v>
      </c>
      <c r="H5775" t="s">
        <v>20334</v>
      </c>
      <c r="I5775" t="s">
        <v>1357</v>
      </c>
      <c r="J5775" t="s">
        <v>1357</v>
      </c>
      <c r="K5775" t="s">
        <v>1357</v>
      </c>
      <c r="L5775" t="s">
        <v>1357</v>
      </c>
    </row>
    <row r="5776" spans="1:12">
      <c r="H5776" t="s">
        <v>20335</v>
      </c>
      <c r="I5776" t="s">
        <v>1357</v>
      </c>
      <c r="J5776" t="s">
        <v>1357</v>
      </c>
      <c r="K5776" t="s">
        <v>1357</v>
      </c>
      <c r="L5776" t="s">
        <v>1357</v>
      </c>
    </row>
    <row r="5777" spans="1:13">
      <c r="A5777" t="s">
        <v>10120</v>
      </c>
      <c r="B5777">
        <f>HYPERLINK("https://android.googlesource.com/platform/cts/+/e409dce9177ae8ee786a7a55ade9698993ff00ad", "e409dce9177ae8ee786a7a55ade9698993ff00ad")</f>
        <v>0</v>
      </c>
      <c r="C5777">
        <f>HYPERLINK("https://android.googlesource.com/platform/cts/+/4087565526d15a95b0492c585e363581303389ed", "4087565526d15a95b0492c585e363581303389ed")</f>
        <v>0</v>
      </c>
      <c r="D5777" t="s">
        <v>11982</v>
      </c>
      <c r="E5777" t="s">
        <v>12689</v>
      </c>
      <c r="F5777" t="s">
        <v>15167</v>
      </c>
      <c r="G5777" t="s">
        <v>17869</v>
      </c>
      <c r="H5777" t="s">
        <v>20336</v>
      </c>
      <c r="I5777" t="s">
        <v>1357</v>
      </c>
      <c r="J5777" t="s">
        <v>1357</v>
      </c>
      <c r="K5777" t="s">
        <v>1357</v>
      </c>
      <c r="L5777" t="s">
        <v>1357</v>
      </c>
    </row>
    <row r="5778" spans="1:13">
      <c r="A5778" t="s">
        <v>10121</v>
      </c>
      <c r="B5778">
        <f>HYPERLINK("https://android.googlesource.com/platform/cts/+/29d34788f1320a14a7b16c7978dd9f7e12a55505", "29d34788f1320a14a7b16c7978dd9f7e12a55505")</f>
        <v>0</v>
      </c>
      <c r="C5778">
        <f>HYPERLINK("https://android.googlesource.com/platform/cts/+/b3d67202d3f5e4fdc41fe8ef51248ad7767d445d", "b3d67202d3f5e4fdc41fe8ef51248ad7767d445d")</f>
        <v>0</v>
      </c>
      <c r="D5778" t="s">
        <v>11982</v>
      </c>
      <c r="E5778" t="s">
        <v>12690</v>
      </c>
      <c r="F5778" t="s">
        <v>15168</v>
      </c>
      <c r="G5778" t="s">
        <v>17870</v>
      </c>
      <c r="H5778" t="s">
        <v>20337</v>
      </c>
      <c r="I5778" t="s">
        <v>1357</v>
      </c>
      <c r="J5778" t="s">
        <v>1357</v>
      </c>
      <c r="K5778" t="s">
        <v>1357</v>
      </c>
      <c r="L5778" t="s">
        <v>1357</v>
      </c>
    </row>
    <row r="5779" spans="1:13">
      <c r="H5779" t="s">
        <v>20338</v>
      </c>
      <c r="I5779" t="s">
        <v>1357</v>
      </c>
      <c r="J5779" t="s">
        <v>1357</v>
      </c>
      <c r="K5779" t="s">
        <v>1357</v>
      </c>
      <c r="L5779" t="s">
        <v>1357</v>
      </c>
    </row>
    <row r="5780" spans="1:13">
      <c r="A5780" t="s">
        <v>10122</v>
      </c>
      <c r="B5780">
        <f>HYPERLINK("https://android.googlesource.com/platform/cts/+/6a7c5d58f70a9dda71b035608ae38a53dbbf084d", "6a7c5d58f70a9dda71b035608ae38a53dbbf084d")</f>
        <v>0</v>
      </c>
      <c r="C5780">
        <f>HYPERLINK("https://android.googlesource.com/platform/cts/+/d28b2da2c9a18010b7b884483255b19143e42061", "d28b2da2c9a18010b7b884483255b19143e42061")</f>
        <v>0</v>
      </c>
      <c r="D5780" t="s">
        <v>11993</v>
      </c>
      <c r="E5780" t="s">
        <v>12691</v>
      </c>
      <c r="F5780" t="s">
        <v>14519</v>
      </c>
      <c r="G5780" t="s">
        <v>17364</v>
      </c>
      <c r="H5780" t="s">
        <v>20339</v>
      </c>
      <c r="I5780" t="s">
        <v>1357</v>
      </c>
      <c r="J5780" t="s">
        <v>1357</v>
      </c>
      <c r="K5780" t="s">
        <v>1357</v>
      </c>
      <c r="L5780" t="s">
        <v>1357</v>
      </c>
    </row>
    <row r="5781" spans="1:13">
      <c r="A5781" t="s">
        <v>10123</v>
      </c>
      <c r="B5781">
        <f>HYPERLINK("https://android.googlesource.com/platform/cts/+/1d67e1910954f77786396111cb4c1aebf9799d08", "1d67e1910954f77786396111cb4c1aebf9799d08")</f>
        <v>0</v>
      </c>
      <c r="C5781">
        <f>HYPERLINK("https://android.googlesource.com/platform/cts/+/b753eca9a8c7c911241e844951adba524bb95cd2", "b753eca9a8c7c911241e844951adba524bb95cd2")</f>
        <v>0</v>
      </c>
      <c r="D5781" t="s">
        <v>11982</v>
      </c>
      <c r="E5781" t="s">
        <v>12692</v>
      </c>
      <c r="F5781" t="s">
        <v>15169</v>
      </c>
      <c r="G5781" t="s">
        <v>17871</v>
      </c>
      <c r="H5781" t="s">
        <v>20340</v>
      </c>
      <c r="I5781" t="s">
        <v>1358</v>
      </c>
      <c r="J5781" t="s">
        <v>1358</v>
      </c>
      <c r="K5781" t="s">
        <v>1358</v>
      </c>
      <c r="L5781" t="s">
        <v>1358</v>
      </c>
    </row>
    <row r="5782" spans="1:13">
      <c r="A5782" t="s">
        <v>10124</v>
      </c>
      <c r="B5782">
        <f>HYPERLINK("https://android.googlesource.com/platform/cts/+/df9378aa97f09d5b44a63e9e92069d63e5aab77a", "df9378aa97f09d5b44a63e9e92069d63e5aab77a")</f>
        <v>0</v>
      </c>
      <c r="C5782">
        <f>HYPERLINK("https://android.googlesource.com/platform/cts/+/6ee03aa5f2e63bca382907751fe9d34fc0a629e7", "6ee03aa5f2e63bca382907751fe9d34fc0a629e7")</f>
        <v>0</v>
      </c>
      <c r="D5782" t="s">
        <v>11982</v>
      </c>
      <c r="E5782" t="s">
        <v>12693</v>
      </c>
      <c r="F5782" t="s">
        <v>15169</v>
      </c>
      <c r="G5782" t="s">
        <v>17871</v>
      </c>
      <c r="H5782" t="s">
        <v>20341</v>
      </c>
      <c r="I5782" t="s">
        <v>1357</v>
      </c>
      <c r="J5782" t="s">
        <v>1357</v>
      </c>
      <c r="K5782" t="s">
        <v>1357</v>
      </c>
      <c r="L5782" t="s">
        <v>1357</v>
      </c>
    </row>
    <row r="5783" spans="1:13">
      <c r="H5783" t="s">
        <v>3429</v>
      </c>
      <c r="I5783" t="s">
        <v>1357</v>
      </c>
      <c r="J5783" t="s">
        <v>1357</v>
      </c>
      <c r="K5783" t="s">
        <v>1357</v>
      </c>
      <c r="L5783" t="s">
        <v>1357</v>
      </c>
    </row>
    <row r="5784" spans="1:13">
      <c r="A5784" t="s">
        <v>10125</v>
      </c>
      <c r="B5784">
        <f>HYPERLINK("https://android.googlesource.com/platform/cts/+/0925bc0243c33008f9159cbf7a6948a8e5914af5", "0925bc0243c33008f9159cbf7a6948a8e5914af5")</f>
        <v>0</v>
      </c>
      <c r="C5784">
        <f>HYPERLINK("https://android.googlesource.com/platform/cts/+/7082f951c9b060e5900eae4b652eb0a4ae05953a", "7082f951c9b060e5900eae4b652eb0a4ae05953a")</f>
        <v>0</v>
      </c>
      <c r="D5784" t="s">
        <v>11982</v>
      </c>
      <c r="E5784" t="s">
        <v>12694</v>
      </c>
      <c r="F5784" t="s">
        <v>15170</v>
      </c>
      <c r="G5784" t="s">
        <v>17872</v>
      </c>
      <c r="H5784" t="s">
        <v>20342</v>
      </c>
      <c r="I5784" t="s">
        <v>1357</v>
      </c>
      <c r="J5784" t="s">
        <v>1357</v>
      </c>
      <c r="K5784" t="s">
        <v>1357</v>
      </c>
      <c r="L5784" t="s">
        <v>1357</v>
      </c>
    </row>
    <row r="5785" spans="1:13">
      <c r="A5785" t="s">
        <v>10126</v>
      </c>
      <c r="B5785">
        <f>HYPERLINK("https://android.googlesource.com/platform/cts/+/22ba1bc139771beabcf0261b9b19ffab2757903a", "22ba1bc139771beabcf0261b9b19ffab2757903a")</f>
        <v>0</v>
      </c>
      <c r="C5785">
        <f>HYPERLINK("https://android.googlesource.com/platform/cts/+/e5ea9961bde2dbe585a004352ca9453cf77726c1", "e5ea9961bde2dbe585a004352ca9453cf77726c1")</f>
        <v>0</v>
      </c>
      <c r="D5785" t="s">
        <v>11982</v>
      </c>
      <c r="E5785" t="s">
        <v>12695</v>
      </c>
      <c r="F5785" t="s">
        <v>14728</v>
      </c>
      <c r="G5785" t="s">
        <v>17572</v>
      </c>
      <c r="H5785" t="s">
        <v>20280</v>
      </c>
      <c r="I5785" t="s">
        <v>1357</v>
      </c>
      <c r="J5785" t="s">
        <v>1357</v>
      </c>
      <c r="K5785" t="s">
        <v>1357</v>
      </c>
      <c r="L5785" t="s">
        <v>1357</v>
      </c>
    </row>
    <row r="5786" spans="1:13">
      <c r="H5786" t="s">
        <v>20233</v>
      </c>
      <c r="I5786" t="s">
        <v>1357</v>
      </c>
      <c r="J5786" t="s">
        <v>1357</v>
      </c>
      <c r="K5786" t="s">
        <v>1357</v>
      </c>
      <c r="L5786" t="s">
        <v>1357</v>
      </c>
      <c r="M5786" t="s">
        <v>27478</v>
      </c>
    </row>
    <row r="5787" spans="1:13">
      <c r="H5787" t="s">
        <v>20230</v>
      </c>
      <c r="I5787" t="s">
        <v>1357</v>
      </c>
      <c r="J5787" t="s">
        <v>1357</v>
      </c>
      <c r="K5787" t="s">
        <v>1357</v>
      </c>
      <c r="L5787" t="s">
        <v>1357</v>
      </c>
    </row>
    <row r="5788" spans="1:13">
      <c r="H5788" t="s">
        <v>20227</v>
      </c>
      <c r="I5788" t="s">
        <v>1357</v>
      </c>
      <c r="J5788" t="s">
        <v>1357</v>
      </c>
      <c r="K5788" t="s">
        <v>1357</v>
      </c>
      <c r="L5788" t="s">
        <v>1357</v>
      </c>
    </row>
    <row r="5789" spans="1:13">
      <c r="F5789" t="s">
        <v>14729</v>
      </c>
      <c r="G5789" t="s">
        <v>17573</v>
      </c>
      <c r="H5789" t="s">
        <v>20280</v>
      </c>
      <c r="I5789" t="s">
        <v>1357</v>
      </c>
      <c r="J5789" t="s">
        <v>1357</v>
      </c>
      <c r="K5789" t="s">
        <v>1357</v>
      </c>
      <c r="L5789" t="s">
        <v>1357</v>
      </c>
    </row>
    <row r="5790" spans="1:13">
      <c r="H5790" t="s">
        <v>20233</v>
      </c>
      <c r="I5790" t="s">
        <v>1357</v>
      </c>
      <c r="J5790" t="s">
        <v>1357</v>
      </c>
      <c r="K5790" t="s">
        <v>1357</v>
      </c>
      <c r="L5790" t="s">
        <v>1357</v>
      </c>
    </row>
    <row r="5791" spans="1:13">
      <c r="H5791" t="s">
        <v>20281</v>
      </c>
      <c r="I5791" t="s">
        <v>1357</v>
      </c>
      <c r="J5791" t="s">
        <v>1357</v>
      </c>
      <c r="K5791" t="s">
        <v>1357</v>
      </c>
      <c r="L5791" t="s">
        <v>1357</v>
      </c>
    </row>
    <row r="5792" spans="1:13">
      <c r="H5792" t="s">
        <v>20282</v>
      </c>
      <c r="I5792" t="s">
        <v>1357</v>
      </c>
      <c r="J5792" t="s">
        <v>1357</v>
      </c>
      <c r="K5792" t="s">
        <v>1357</v>
      </c>
      <c r="L5792" t="s">
        <v>1357</v>
      </c>
    </row>
    <row r="5793" spans="6:12">
      <c r="H5793" t="s">
        <v>20283</v>
      </c>
      <c r="I5793" t="s">
        <v>1357</v>
      </c>
      <c r="J5793" t="s">
        <v>1357</v>
      </c>
      <c r="K5793" t="s">
        <v>1357</v>
      </c>
      <c r="L5793" t="s">
        <v>1357</v>
      </c>
    </row>
    <row r="5794" spans="6:12">
      <c r="H5794" t="s">
        <v>20284</v>
      </c>
      <c r="I5794" t="s">
        <v>1357</v>
      </c>
      <c r="J5794" t="s">
        <v>1357</v>
      </c>
      <c r="K5794" t="s">
        <v>1357</v>
      </c>
      <c r="L5794" t="s">
        <v>1357</v>
      </c>
    </row>
    <row r="5795" spans="6:12">
      <c r="H5795" t="s">
        <v>20285</v>
      </c>
      <c r="I5795" t="s">
        <v>1357</v>
      </c>
      <c r="J5795" t="s">
        <v>1357</v>
      </c>
      <c r="K5795" t="s">
        <v>1357</v>
      </c>
      <c r="L5795" t="s">
        <v>1357</v>
      </c>
    </row>
    <row r="5796" spans="6:12">
      <c r="H5796" t="s">
        <v>20286</v>
      </c>
      <c r="I5796" t="s">
        <v>1357</v>
      </c>
      <c r="J5796" t="s">
        <v>1357</v>
      </c>
      <c r="K5796" t="s">
        <v>1357</v>
      </c>
      <c r="L5796" t="s">
        <v>1357</v>
      </c>
    </row>
    <row r="5797" spans="6:12">
      <c r="H5797" t="s">
        <v>20287</v>
      </c>
      <c r="I5797" t="s">
        <v>1357</v>
      </c>
      <c r="J5797" t="s">
        <v>1357</v>
      </c>
      <c r="K5797" t="s">
        <v>1357</v>
      </c>
      <c r="L5797" t="s">
        <v>1357</v>
      </c>
    </row>
    <row r="5798" spans="6:12">
      <c r="H5798" t="s">
        <v>20288</v>
      </c>
      <c r="I5798" t="s">
        <v>1357</v>
      </c>
      <c r="J5798" t="s">
        <v>1357</v>
      </c>
      <c r="K5798" t="s">
        <v>1357</v>
      </c>
      <c r="L5798" t="s">
        <v>1357</v>
      </c>
    </row>
    <row r="5799" spans="6:12">
      <c r="H5799" t="s">
        <v>20289</v>
      </c>
      <c r="I5799" t="s">
        <v>1357</v>
      </c>
      <c r="J5799" t="s">
        <v>1357</v>
      </c>
      <c r="K5799" t="s">
        <v>1357</v>
      </c>
      <c r="L5799" t="s">
        <v>1357</v>
      </c>
    </row>
    <row r="5800" spans="6:12">
      <c r="H5800" t="s">
        <v>20290</v>
      </c>
      <c r="I5800" t="s">
        <v>1357</v>
      </c>
      <c r="J5800" t="s">
        <v>1357</v>
      </c>
      <c r="K5800" t="s">
        <v>1357</v>
      </c>
      <c r="L5800" t="s">
        <v>1357</v>
      </c>
    </row>
    <row r="5801" spans="6:12">
      <c r="H5801" t="s">
        <v>20291</v>
      </c>
      <c r="I5801" t="s">
        <v>1357</v>
      </c>
      <c r="J5801" t="s">
        <v>1357</v>
      </c>
      <c r="K5801" t="s">
        <v>1357</v>
      </c>
      <c r="L5801" t="s">
        <v>1357</v>
      </c>
    </row>
    <row r="5802" spans="6:12">
      <c r="F5802" t="s">
        <v>14730</v>
      </c>
      <c r="G5802" t="s">
        <v>17574</v>
      </c>
      <c r="H5802" t="s">
        <v>20280</v>
      </c>
      <c r="I5802" t="s">
        <v>1357</v>
      </c>
      <c r="J5802" t="s">
        <v>1357</v>
      </c>
      <c r="K5802" t="s">
        <v>1357</v>
      </c>
      <c r="L5802" t="s">
        <v>1357</v>
      </c>
    </row>
    <row r="5803" spans="6:12">
      <c r="H5803" t="s">
        <v>20233</v>
      </c>
      <c r="I5803" t="s">
        <v>1357</v>
      </c>
      <c r="J5803" t="s">
        <v>1357</v>
      </c>
      <c r="K5803" t="s">
        <v>1357</v>
      </c>
      <c r="L5803" t="s">
        <v>1357</v>
      </c>
    </row>
    <row r="5804" spans="6:12">
      <c r="H5804" t="s">
        <v>20230</v>
      </c>
      <c r="I5804" t="s">
        <v>1357</v>
      </c>
      <c r="J5804" t="s">
        <v>1357</v>
      </c>
      <c r="K5804" t="s">
        <v>1357</v>
      </c>
      <c r="L5804" t="s">
        <v>1357</v>
      </c>
    </row>
    <row r="5805" spans="6:12">
      <c r="H5805" t="s">
        <v>20227</v>
      </c>
      <c r="I5805" t="s">
        <v>1357</v>
      </c>
      <c r="J5805" t="s">
        <v>1357</v>
      </c>
      <c r="K5805" t="s">
        <v>1357</v>
      </c>
      <c r="L5805" t="s">
        <v>1357</v>
      </c>
    </row>
    <row r="5806" spans="6:12">
      <c r="H5806" t="s">
        <v>20281</v>
      </c>
      <c r="I5806" t="s">
        <v>1357</v>
      </c>
      <c r="J5806" t="s">
        <v>1357</v>
      </c>
      <c r="K5806" t="s">
        <v>1357</v>
      </c>
      <c r="L5806" t="s">
        <v>1357</v>
      </c>
    </row>
    <row r="5807" spans="6:12">
      <c r="H5807" t="s">
        <v>20282</v>
      </c>
      <c r="I5807" t="s">
        <v>1357</v>
      </c>
      <c r="J5807" t="s">
        <v>1357</v>
      </c>
      <c r="K5807" t="s">
        <v>1357</v>
      </c>
      <c r="L5807" t="s">
        <v>1357</v>
      </c>
    </row>
    <row r="5808" spans="6:12">
      <c r="H5808" t="s">
        <v>20283</v>
      </c>
      <c r="I5808" t="s">
        <v>1357</v>
      </c>
      <c r="J5808" t="s">
        <v>1357</v>
      </c>
      <c r="K5808" t="s">
        <v>1357</v>
      </c>
      <c r="L5808" t="s">
        <v>1357</v>
      </c>
    </row>
    <row r="5809" spans="6:12">
      <c r="H5809" t="s">
        <v>20292</v>
      </c>
      <c r="I5809" t="s">
        <v>1357</v>
      </c>
      <c r="J5809" t="s">
        <v>1357</v>
      </c>
      <c r="K5809" t="s">
        <v>1357</v>
      </c>
      <c r="L5809" t="s">
        <v>1357</v>
      </c>
    </row>
    <row r="5810" spans="6:12">
      <c r="H5810" t="s">
        <v>20284</v>
      </c>
      <c r="I5810" t="s">
        <v>1357</v>
      </c>
      <c r="J5810" t="s">
        <v>1357</v>
      </c>
      <c r="K5810" t="s">
        <v>1357</v>
      </c>
      <c r="L5810" t="s">
        <v>1357</v>
      </c>
    </row>
    <row r="5811" spans="6:12">
      <c r="H5811" t="s">
        <v>20285</v>
      </c>
      <c r="I5811" t="s">
        <v>1357</v>
      </c>
      <c r="J5811" t="s">
        <v>1357</v>
      </c>
      <c r="K5811" t="s">
        <v>1357</v>
      </c>
      <c r="L5811" t="s">
        <v>1357</v>
      </c>
    </row>
    <row r="5812" spans="6:12">
      <c r="H5812" t="s">
        <v>20286</v>
      </c>
      <c r="I5812" t="s">
        <v>1357</v>
      </c>
      <c r="J5812" t="s">
        <v>1357</v>
      </c>
      <c r="K5812" t="s">
        <v>1357</v>
      </c>
      <c r="L5812" t="s">
        <v>1357</v>
      </c>
    </row>
    <row r="5813" spans="6:12">
      <c r="H5813" t="s">
        <v>20287</v>
      </c>
      <c r="I5813" t="s">
        <v>1357</v>
      </c>
      <c r="J5813" t="s">
        <v>1357</v>
      </c>
      <c r="K5813" t="s">
        <v>1357</v>
      </c>
      <c r="L5813" t="s">
        <v>1357</v>
      </c>
    </row>
    <row r="5814" spans="6:12">
      <c r="H5814" t="s">
        <v>20288</v>
      </c>
      <c r="I5814" t="s">
        <v>1357</v>
      </c>
      <c r="J5814" t="s">
        <v>1357</v>
      </c>
      <c r="K5814" t="s">
        <v>1357</v>
      </c>
      <c r="L5814" t="s">
        <v>1357</v>
      </c>
    </row>
    <row r="5815" spans="6:12">
      <c r="H5815" t="s">
        <v>20289</v>
      </c>
      <c r="I5815" t="s">
        <v>1357</v>
      </c>
      <c r="J5815" t="s">
        <v>1357</v>
      </c>
      <c r="K5815" t="s">
        <v>1357</v>
      </c>
      <c r="L5815" t="s">
        <v>1357</v>
      </c>
    </row>
    <row r="5816" spans="6:12">
      <c r="H5816" t="s">
        <v>20290</v>
      </c>
      <c r="I5816" t="s">
        <v>1357</v>
      </c>
      <c r="J5816" t="s">
        <v>1357</v>
      </c>
      <c r="K5816" t="s">
        <v>1357</v>
      </c>
      <c r="L5816" t="s">
        <v>1357</v>
      </c>
    </row>
    <row r="5817" spans="6:12">
      <c r="H5817" t="s">
        <v>20291</v>
      </c>
      <c r="I5817" t="s">
        <v>1357</v>
      </c>
      <c r="J5817" t="s">
        <v>1357</v>
      </c>
      <c r="K5817" t="s">
        <v>1357</v>
      </c>
      <c r="L5817" t="s">
        <v>1357</v>
      </c>
    </row>
    <row r="5818" spans="6:12">
      <c r="F5818" t="s">
        <v>14731</v>
      </c>
      <c r="G5818" t="s">
        <v>17575</v>
      </c>
      <c r="H5818" t="s">
        <v>20280</v>
      </c>
      <c r="I5818" t="s">
        <v>1357</v>
      </c>
      <c r="J5818" t="s">
        <v>1357</v>
      </c>
      <c r="K5818" t="s">
        <v>1357</v>
      </c>
      <c r="L5818" t="s">
        <v>1357</v>
      </c>
    </row>
    <row r="5819" spans="6:12">
      <c r="H5819" t="s">
        <v>20284</v>
      </c>
      <c r="I5819" t="s">
        <v>1357</v>
      </c>
      <c r="J5819" t="s">
        <v>1357</v>
      </c>
      <c r="K5819" t="s">
        <v>1357</v>
      </c>
      <c r="L5819" t="s">
        <v>1357</v>
      </c>
    </row>
    <row r="5820" spans="6:12">
      <c r="F5820" t="s">
        <v>14732</v>
      </c>
      <c r="G5820" t="s">
        <v>17576</v>
      </c>
      <c r="H5820" t="s">
        <v>20280</v>
      </c>
      <c r="I5820" t="s">
        <v>1357</v>
      </c>
      <c r="J5820" t="s">
        <v>1357</v>
      </c>
      <c r="K5820" t="s">
        <v>1357</v>
      </c>
      <c r="L5820" t="s">
        <v>1357</v>
      </c>
    </row>
    <row r="5821" spans="6:12">
      <c r="H5821" t="s">
        <v>20233</v>
      </c>
      <c r="I5821" t="s">
        <v>1357</v>
      </c>
      <c r="J5821" t="s">
        <v>1357</v>
      </c>
      <c r="K5821" t="s">
        <v>1357</v>
      </c>
      <c r="L5821" t="s">
        <v>1357</v>
      </c>
    </row>
    <row r="5822" spans="6:12">
      <c r="H5822" t="s">
        <v>20284</v>
      </c>
      <c r="I5822" t="s">
        <v>1357</v>
      </c>
      <c r="J5822" t="s">
        <v>1357</v>
      </c>
      <c r="K5822" t="s">
        <v>1357</v>
      </c>
      <c r="L5822" t="s">
        <v>1357</v>
      </c>
    </row>
    <row r="5823" spans="6:12">
      <c r="H5823" t="s">
        <v>20285</v>
      </c>
      <c r="I5823" t="s">
        <v>1357</v>
      </c>
      <c r="J5823" t="s">
        <v>1357</v>
      </c>
      <c r="K5823" t="s">
        <v>1357</v>
      </c>
      <c r="L5823" t="s">
        <v>1357</v>
      </c>
    </row>
    <row r="5824" spans="6:12">
      <c r="H5824" t="s">
        <v>20286</v>
      </c>
      <c r="I5824" t="s">
        <v>1357</v>
      </c>
      <c r="J5824" t="s">
        <v>1357</v>
      </c>
      <c r="K5824" t="s">
        <v>1357</v>
      </c>
      <c r="L5824" t="s">
        <v>1357</v>
      </c>
    </row>
    <row r="5825" spans="6:12">
      <c r="H5825" t="s">
        <v>20287</v>
      </c>
      <c r="I5825" t="s">
        <v>1357</v>
      </c>
      <c r="J5825" t="s">
        <v>1357</v>
      </c>
      <c r="K5825" t="s">
        <v>1357</v>
      </c>
      <c r="L5825" t="s">
        <v>1357</v>
      </c>
    </row>
    <row r="5826" spans="6:12">
      <c r="H5826" t="s">
        <v>20288</v>
      </c>
      <c r="I5826" t="s">
        <v>1357</v>
      </c>
      <c r="J5826" t="s">
        <v>1357</v>
      </c>
      <c r="K5826" t="s">
        <v>1357</v>
      </c>
      <c r="L5826" t="s">
        <v>1357</v>
      </c>
    </row>
    <row r="5827" spans="6:12">
      <c r="H5827" t="s">
        <v>20230</v>
      </c>
      <c r="I5827" t="s">
        <v>1357</v>
      </c>
      <c r="J5827" t="s">
        <v>1357</v>
      </c>
      <c r="K5827" t="s">
        <v>1357</v>
      </c>
      <c r="L5827" t="s">
        <v>1357</v>
      </c>
    </row>
    <row r="5828" spans="6:12">
      <c r="H5828" t="s">
        <v>20227</v>
      </c>
      <c r="I5828" t="s">
        <v>1357</v>
      </c>
      <c r="J5828" t="s">
        <v>1357</v>
      </c>
      <c r="K5828" t="s">
        <v>1357</v>
      </c>
      <c r="L5828" t="s">
        <v>1357</v>
      </c>
    </row>
    <row r="5829" spans="6:12">
      <c r="H5829" t="s">
        <v>20289</v>
      </c>
      <c r="I5829" t="s">
        <v>1357</v>
      </c>
      <c r="J5829" t="s">
        <v>1357</v>
      </c>
      <c r="K5829" t="s">
        <v>1357</v>
      </c>
      <c r="L5829" t="s">
        <v>1357</v>
      </c>
    </row>
    <row r="5830" spans="6:12">
      <c r="H5830" t="s">
        <v>20290</v>
      </c>
      <c r="I5830" t="s">
        <v>1357</v>
      </c>
      <c r="J5830" t="s">
        <v>1357</v>
      </c>
      <c r="K5830" t="s">
        <v>1357</v>
      </c>
      <c r="L5830" t="s">
        <v>1357</v>
      </c>
    </row>
    <row r="5831" spans="6:12">
      <c r="H5831" t="s">
        <v>20291</v>
      </c>
      <c r="I5831" t="s">
        <v>1357</v>
      </c>
      <c r="J5831" t="s">
        <v>1357</v>
      </c>
      <c r="K5831" t="s">
        <v>1357</v>
      </c>
      <c r="L5831" t="s">
        <v>1357</v>
      </c>
    </row>
    <row r="5832" spans="6:12">
      <c r="H5832" t="s">
        <v>20293</v>
      </c>
      <c r="I5832" t="s">
        <v>1357</v>
      </c>
      <c r="J5832" t="s">
        <v>1357</v>
      </c>
      <c r="K5832" t="s">
        <v>1357</v>
      </c>
      <c r="L5832" t="s">
        <v>1357</v>
      </c>
    </row>
    <row r="5833" spans="6:12">
      <c r="H5833" t="s">
        <v>20294</v>
      </c>
      <c r="I5833" t="s">
        <v>1357</v>
      </c>
      <c r="J5833" t="s">
        <v>1357</v>
      </c>
      <c r="K5833" t="s">
        <v>1357</v>
      </c>
      <c r="L5833" t="s">
        <v>1357</v>
      </c>
    </row>
    <row r="5834" spans="6:12">
      <c r="F5834" t="s">
        <v>14733</v>
      </c>
      <c r="G5834" t="s">
        <v>17577</v>
      </c>
      <c r="H5834" t="s">
        <v>20280</v>
      </c>
      <c r="I5834" t="s">
        <v>1357</v>
      </c>
      <c r="J5834" t="s">
        <v>1357</v>
      </c>
      <c r="K5834" t="s">
        <v>1357</v>
      </c>
      <c r="L5834" t="s">
        <v>1357</v>
      </c>
    </row>
    <row r="5835" spans="6:12">
      <c r="H5835" t="s">
        <v>20233</v>
      </c>
      <c r="I5835" t="s">
        <v>1357</v>
      </c>
      <c r="J5835" t="s">
        <v>1357</v>
      </c>
      <c r="K5835" t="s">
        <v>1357</v>
      </c>
      <c r="L5835" t="s">
        <v>1357</v>
      </c>
    </row>
    <row r="5836" spans="6:12">
      <c r="H5836" t="s">
        <v>20284</v>
      </c>
      <c r="I5836" t="s">
        <v>1357</v>
      </c>
      <c r="J5836" t="s">
        <v>1357</v>
      </c>
      <c r="K5836" t="s">
        <v>1357</v>
      </c>
      <c r="L5836" t="s">
        <v>1357</v>
      </c>
    </row>
    <row r="5837" spans="6:12">
      <c r="H5837" t="s">
        <v>20285</v>
      </c>
      <c r="I5837" t="s">
        <v>1357</v>
      </c>
      <c r="J5837" t="s">
        <v>1357</v>
      </c>
      <c r="K5837" t="s">
        <v>1357</v>
      </c>
      <c r="L5837" t="s">
        <v>1357</v>
      </c>
    </row>
    <row r="5838" spans="6:12">
      <c r="H5838" t="s">
        <v>20286</v>
      </c>
      <c r="I5838" t="s">
        <v>1357</v>
      </c>
      <c r="J5838" t="s">
        <v>1357</v>
      </c>
      <c r="K5838" t="s">
        <v>1357</v>
      </c>
      <c r="L5838" t="s">
        <v>1357</v>
      </c>
    </row>
    <row r="5839" spans="6:12">
      <c r="H5839" t="s">
        <v>20287</v>
      </c>
      <c r="I5839" t="s">
        <v>1357</v>
      </c>
      <c r="J5839" t="s">
        <v>1357</v>
      </c>
      <c r="K5839" t="s">
        <v>1357</v>
      </c>
      <c r="L5839" t="s">
        <v>1357</v>
      </c>
    </row>
    <row r="5840" spans="6:12">
      <c r="H5840" t="s">
        <v>20288</v>
      </c>
      <c r="I5840" t="s">
        <v>1357</v>
      </c>
      <c r="J5840" t="s">
        <v>1357</v>
      </c>
      <c r="K5840" t="s">
        <v>1357</v>
      </c>
      <c r="L5840" t="s">
        <v>1357</v>
      </c>
    </row>
    <row r="5841" spans="6:12">
      <c r="H5841" t="s">
        <v>20289</v>
      </c>
      <c r="I5841" t="s">
        <v>1357</v>
      </c>
      <c r="J5841" t="s">
        <v>1357</v>
      </c>
      <c r="K5841" t="s">
        <v>1357</v>
      </c>
      <c r="L5841" t="s">
        <v>1357</v>
      </c>
    </row>
    <row r="5842" spans="6:12">
      <c r="F5842" t="s">
        <v>14734</v>
      </c>
      <c r="G5842" t="s">
        <v>17578</v>
      </c>
      <c r="H5842" t="s">
        <v>20280</v>
      </c>
      <c r="I5842" t="s">
        <v>1357</v>
      </c>
      <c r="J5842" t="s">
        <v>1357</v>
      </c>
      <c r="K5842" t="s">
        <v>1357</v>
      </c>
      <c r="L5842" t="s">
        <v>1357</v>
      </c>
    </row>
    <row r="5843" spans="6:12">
      <c r="H5843" t="s">
        <v>20233</v>
      </c>
      <c r="I5843" t="s">
        <v>1357</v>
      </c>
      <c r="J5843" t="s">
        <v>1357</v>
      </c>
      <c r="K5843" t="s">
        <v>1357</v>
      </c>
      <c r="L5843" t="s">
        <v>1357</v>
      </c>
    </row>
    <row r="5844" spans="6:12">
      <c r="H5844" t="s">
        <v>20284</v>
      </c>
      <c r="I5844" t="s">
        <v>1357</v>
      </c>
      <c r="J5844" t="s">
        <v>1357</v>
      </c>
      <c r="K5844" t="s">
        <v>1357</v>
      </c>
      <c r="L5844" t="s">
        <v>1357</v>
      </c>
    </row>
    <row r="5845" spans="6:12">
      <c r="H5845" t="s">
        <v>20285</v>
      </c>
      <c r="I5845" t="s">
        <v>1357</v>
      </c>
      <c r="J5845" t="s">
        <v>1357</v>
      </c>
      <c r="K5845" t="s">
        <v>1357</v>
      </c>
      <c r="L5845" t="s">
        <v>1357</v>
      </c>
    </row>
    <row r="5846" spans="6:12">
      <c r="H5846" t="s">
        <v>20286</v>
      </c>
      <c r="I5846" t="s">
        <v>1357</v>
      </c>
      <c r="J5846" t="s">
        <v>1357</v>
      </c>
      <c r="K5846" t="s">
        <v>1357</v>
      </c>
      <c r="L5846" t="s">
        <v>1357</v>
      </c>
    </row>
    <row r="5847" spans="6:12">
      <c r="H5847" t="s">
        <v>20287</v>
      </c>
      <c r="I5847" t="s">
        <v>1357</v>
      </c>
      <c r="J5847" t="s">
        <v>1357</v>
      </c>
      <c r="K5847" t="s">
        <v>1357</v>
      </c>
      <c r="L5847" t="s">
        <v>1357</v>
      </c>
    </row>
    <row r="5848" spans="6:12">
      <c r="H5848" t="s">
        <v>20288</v>
      </c>
      <c r="I5848" t="s">
        <v>1357</v>
      </c>
      <c r="J5848" t="s">
        <v>1357</v>
      </c>
      <c r="K5848" t="s">
        <v>1357</v>
      </c>
      <c r="L5848" t="s">
        <v>1357</v>
      </c>
    </row>
    <row r="5849" spans="6:12">
      <c r="H5849" t="s">
        <v>20289</v>
      </c>
      <c r="I5849" t="s">
        <v>1357</v>
      </c>
      <c r="J5849" t="s">
        <v>1357</v>
      </c>
      <c r="K5849" t="s">
        <v>1357</v>
      </c>
      <c r="L5849" t="s">
        <v>1357</v>
      </c>
    </row>
    <row r="5850" spans="6:12">
      <c r="F5850" t="s">
        <v>14735</v>
      </c>
      <c r="G5850" t="s">
        <v>17579</v>
      </c>
      <c r="H5850" t="s">
        <v>20280</v>
      </c>
      <c r="I5850" t="s">
        <v>1357</v>
      </c>
      <c r="J5850" t="s">
        <v>1357</v>
      </c>
      <c r="K5850" t="s">
        <v>1357</v>
      </c>
      <c r="L5850" t="s">
        <v>1357</v>
      </c>
    </row>
    <row r="5851" spans="6:12">
      <c r="H5851" t="s">
        <v>20233</v>
      </c>
      <c r="I5851" t="s">
        <v>1357</v>
      </c>
      <c r="J5851" t="s">
        <v>1357</v>
      </c>
      <c r="K5851" t="s">
        <v>1357</v>
      </c>
      <c r="L5851" t="s">
        <v>1357</v>
      </c>
    </row>
    <row r="5852" spans="6:12">
      <c r="H5852" t="s">
        <v>20284</v>
      </c>
      <c r="I5852" t="s">
        <v>1357</v>
      </c>
      <c r="J5852" t="s">
        <v>1357</v>
      </c>
      <c r="K5852" t="s">
        <v>1357</v>
      </c>
      <c r="L5852" t="s">
        <v>1357</v>
      </c>
    </row>
    <row r="5853" spans="6:12">
      <c r="H5853" t="s">
        <v>20285</v>
      </c>
      <c r="I5853" t="s">
        <v>1357</v>
      </c>
      <c r="J5853" t="s">
        <v>1357</v>
      </c>
      <c r="K5853" t="s">
        <v>1357</v>
      </c>
      <c r="L5853" t="s">
        <v>1357</v>
      </c>
    </row>
    <row r="5854" spans="6:12">
      <c r="H5854" t="s">
        <v>20286</v>
      </c>
      <c r="I5854" t="s">
        <v>1357</v>
      </c>
      <c r="J5854" t="s">
        <v>1357</v>
      </c>
      <c r="K5854" t="s">
        <v>1357</v>
      </c>
      <c r="L5854" t="s">
        <v>1357</v>
      </c>
    </row>
    <row r="5855" spans="6:12">
      <c r="H5855" t="s">
        <v>20287</v>
      </c>
      <c r="I5855" t="s">
        <v>1357</v>
      </c>
      <c r="J5855" t="s">
        <v>1357</v>
      </c>
      <c r="K5855" t="s">
        <v>1357</v>
      </c>
      <c r="L5855" t="s">
        <v>1357</v>
      </c>
    </row>
    <row r="5856" spans="6:12">
      <c r="H5856" t="s">
        <v>20288</v>
      </c>
      <c r="I5856" t="s">
        <v>1357</v>
      </c>
      <c r="J5856" t="s">
        <v>1357</v>
      </c>
      <c r="K5856" t="s">
        <v>1357</v>
      </c>
      <c r="L5856" t="s">
        <v>1357</v>
      </c>
    </row>
    <row r="5857" spans="6:12">
      <c r="H5857" t="s">
        <v>20289</v>
      </c>
      <c r="I5857" t="s">
        <v>1357</v>
      </c>
      <c r="J5857" t="s">
        <v>1357</v>
      </c>
      <c r="K5857" t="s">
        <v>1357</v>
      </c>
      <c r="L5857" t="s">
        <v>1357</v>
      </c>
    </row>
    <row r="5858" spans="6:12">
      <c r="F5858" t="s">
        <v>14736</v>
      </c>
      <c r="G5858" t="s">
        <v>17580</v>
      </c>
      <c r="H5858" t="s">
        <v>20280</v>
      </c>
      <c r="I5858" t="s">
        <v>1357</v>
      </c>
      <c r="J5858" t="s">
        <v>1357</v>
      </c>
      <c r="K5858" t="s">
        <v>1357</v>
      </c>
      <c r="L5858" t="s">
        <v>1357</v>
      </c>
    </row>
    <row r="5859" spans="6:12">
      <c r="H5859" t="s">
        <v>20233</v>
      </c>
      <c r="I5859" t="s">
        <v>1357</v>
      </c>
      <c r="J5859" t="s">
        <v>1357</v>
      </c>
      <c r="K5859" t="s">
        <v>1357</v>
      </c>
      <c r="L5859" t="s">
        <v>1357</v>
      </c>
    </row>
    <row r="5860" spans="6:12">
      <c r="H5860" t="s">
        <v>20284</v>
      </c>
      <c r="I5860" t="s">
        <v>1357</v>
      </c>
      <c r="J5860" t="s">
        <v>1357</v>
      </c>
      <c r="K5860" t="s">
        <v>1357</v>
      </c>
      <c r="L5860" t="s">
        <v>1357</v>
      </c>
    </row>
    <row r="5861" spans="6:12">
      <c r="H5861" t="s">
        <v>20285</v>
      </c>
      <c r="I5861" t="s">
        <v>1357</v>
      </c>
      <c r="J5861" t="s">
        <v>1357</v>
      </c>
      <c r="K5861" t="s">
        <v>1357</v>
      </c>
      <c r="L5861" t="s">
        <v>1357</v>
      </c>
    </row>
    <row r="5862" spans="6:12">
      <c r="H5862" t="s">
        <v>20286</v>
      </c>
      <c r="I5862" t="s">
        <v>1357</v>
      </c>
      <c r="J5862" t="s">
        <v>1357</v>
      </c>
      <c r="K5862" t="s">
        <v>1357</v>
      </c>
      <c r="L5862" t="s">
        <v>1357</v>
      </c>
    </row>
    <row r="5863" spans="6:12">
      <c r="H5863" t="s">
        <v>20287</v>
      </c>
      <c r="I5863" t="s">
        <v>1357</v>
      </c>
      <c r="J5863" t="s">
        <v>1357</v>
      </c>
      <c r="K5863" t="s">
        <v>1357</v>
      </c>
      <c r="L5863" t="s">
        <v>1357</v>
      </c>
    </row>
    <row r="5864" spans="6:12">
      <c r="H5864" t="s">
        <v>20288</v>
      </c>
      <c r="I5864" t="s">
        <v>1357</v>
      </c>
      <c r="J5864" t="s">
        <v>1357</v>
      </c>
      <c r="K5864" t="s">
        <v>1357</v>
      </c>
      <c r="L5864" t="s">
        <v>1357</v>
      </c>
    </row>
    <row r="5865" spans="6:12">
      <c r="H5865" t="s">
        <v>20289</v>
      </c>
      <c r="I5865" t="s">
        <v>1357</v>
      </c>
      <c r="J5865" t="s">
        <v>1357</v>
      </c>
      <c r="K5865" t="s">
        <v>1357</v>
      </c>
      <c r="L5865" t="s">
        <v>1357</v>
      </c>
    </row>
    <row r="5866" spans="6:12">
      <c r="F5866" t="s">
        <v>14737</v>
      </c>
      <c r="G5866" t="s">
        <v>17581</v>
      </c>
      <c r="H5866" t="s">
        <v>20280</v>
      </c>
      <c r="I5866" t="s">
        <v>1357</v>
      </c>
      <c r="J5866" t="s">
        <v>1357</v>
      </c>
      <c r="K5866" t="s">
        <v>1357</v>
      </c>
      <c r="L5866" t="s">
        <v>1357</v>
      </c>
    </row>
    <row r="5867" spans="6:12">
      <c r="H5867" t="s">
        <v>20233</v>
      </c>
      <c r="I5867" t="s">
        <v>1357</v>
      </c>
      <c r="J5867" t="s">
        <v>1357</v>
      </c>
      <c r="K5867" t="s">
        <v>1357</v>
      </c>
      <c r="L5867" t="s">
        <v>1357</v>
      </c>
    </row>
    <row r="5868" spans="6:12">
      <c r="H5868" t="s">
        <v>20230</v>
      </c>
      <c r="I5868" t="s">
        <v>1357</v>
      </c>
      <c r="J5868" t="s">
        <v>1357</v>
      </c>
      <c r="K5868" t="s">
        <v>1357</v>
      </c>
      <c r="L5868" t="s">
        <v>1357</v>
      </c>
    </row>
    <row r="5869" spans="6:12">
      <c r="H5869" t="s">
        <v>20281</v>
      </c>
      <c r="I5869" t="s">
        <v>1357</v>
      </c>
      <c r="J5869" t="s">
        <v>1357</v>
      </c>
      <c r="K5869" t="s">
        <v>1357</v>
      </c>
      <c r="L5869" t="s">
        <v>1357</v>
      </c>
    </row>
    <row r="5870" spans="6:12">
      <c r="H5870" t="s">
        <v>20282</v>
      </c>
      <c r="I5870" t="s">
        <v>1357</v>
      </c>
      <c r="J5870" t="s">
        <v>1357</v>
      </c>
      <c r="K5870" t="s">
        <v>1357</v>
      </c>
      <c r="L5870" t="s">
        <v>1357</v>
      </c>
    </row>
    <row r="5871" spans="6:12">
      <c r="H5871" t="s">
        <v>20283</v>
      </c>
      <c r="I5871" t="s">
        <v>1357</v>
      </c>
      <c r="J5871" t="s">
        <v>1357</v>
      </c>
      <c r="K5871" t="s">
        <v>1357</v>
      </c>
      <c r="L5871" t="s">
        <v>1357</v>
      </c>
    </row>
    <row r="5872" spans="6:12">
      <c r="H5872" t="s">
        <v>20292</v>
      </c>
      <c r="I5872" t="s">
        <v>1357</v>
      </c>
      <c r="J5872" t="s">
        <v>1357</v>
      </c>
      <c r="K5872" t="s">
        <v>1357</v>
      </c>
      <c r="L5872" t="s">
        <v>1357</v>
      </c>
    </row>
    <row r="5873" spans="6:12">
      <c r="H5873" t="s">
        <v>20284</v>
      </c>
      <c r="I5873" t="s">
        <v>1357</v>
      </c>
      <c r="J5873" t="s">
        <v>1357</v>
      </c>
      <c r="K5873" t="s">
        <v>1357</v>
      </c>
      <c r="L5873" t="s">
        <v>1357</v>
      </c>
    </row>
    <row r="5874" spans="6:12">
      <c r="H5874" t="s">
        <v>20285</v>
      </c>
      <c r="I5874" t="s">
        <v>1357</v>
      </c>
      <c r="J5874" t="s">
        <v>1357</v>
      </c>
      <c r="K5874" t="s">
        <v>1357</v>
      </c>
      <c r="L5874" t="s">
        <v>1357</v>
      </c>
    </row>
    <row r="5875" spans="6:12">
      <c r="H5875" t="s">
        <v>20286</v>
      </c>
      <c r="I5875" t="s">
        <v>1357</v>
      </c>
      <c r="J5875" t="s">
        <v>1357</v>
      </c>
      <c r="K5875" t="s">
        <v>1357</v>
      </c>
      <c r="L5875" t="s">
        <v>1357</v>
      </c>
    </row>
    <row r="5876" spans="6:12">
      <c r="H5876" t="s">
        <v>20287</v>
      </c>
      <c r="I5876" t="s">
        <v>1357</v>
      </c>
      <c r="J5876" t="s">
        <v>1357</v>
      </c>
      <c r="K5876" t="s">
        <v>1357</v>
      </c>
      <c r="L5876" t="s">
        <v>1357</v>
      </c>
    </row>
    <row r="5877" spans="6:12">
      <c r="H5877" t="s">
        <v>20288</v>
      </c>
      <c r="I5877" t="s">
        <v>1357</v>
      </c>
      <c r="J5877" t="s">
        <v>1357</v>
      </c>
      <c r="K5877" t="s">
        <v>1357</v>
      </c>
      <c r="L5877" t="s">
        <v>1357</v>
      </c>
    </row>
    <row r="5878" spans="6:12">
      <c r="H5878" t="s">
        <v>20289</v>
      </c>
      <c r="I5878" t="s">
        <v>1357</v>
      </c>
      <c r="J5878" t="s">
        <v>1357</v>
      </c>
      <c r="K5878" t="s">
        <v>1357</v>
      </c>
      <c r="L5878" t="s">
        <v>1357</v>
      </c>
    </row>
    <row r="5879" spans="6:12">
      <c r="F5879" t="s">
        <v>14738</v>
      </c>
      <c r="G5879" t="s">
        <v>17582</v>
      </c>
      <c r="H5879" t="s">
        <v>20280</v>
      </c>
      <c r="I5879" t="s">
        <v>1357</v>
      </c>
      <c r="J5879" t="s">
        <v>1357</v>
      </c>
      <c r="K5879" t="s">
        <v>1357</v>
      </c>
      <c r="L5879" t="s">
        <v>1357</v>
      </c>
    </row>
    <row r="5880" spans="6:12">
      <c r="H5880" t="s">
        <v>20233</v>
      </c>
      <c r="I5880" t="s">
        <v>1357</v>
      </c>
      <c r="J5880" t="s">
        <v>1357</v>
      </c>
      <c r="K5880" t="s">
        <v>1357</v>
      </c>
      <c r="L5880" t="s">
        <v>1357</v>
      </c>
    </row>
    <row r="5881" spans="6:12">
      <c r="H5881" t="s">
        <v>20230</v>
      </c>
      <c r="I5881" t="s">
        <v>1357</v>
      </c>
      <c r="J5881" t="s">
        <v>1357</v>
      </c>
      <c r="K5881" t="s">
        <v>1357</v>
      </c>
      <c r="L5881" t="s">
        <v>1357</v>
      </c>
    </row>
    <row r="5882" spans="6:12">
      <c r="H5882" t="s">
        <v>20227</v>
      </c>
      <c r="I5882" t="s">
        <v>1357</v>
      </c>
      <c r="J5882" t="s">
        <v>1357</v>
      </c>
      <c r="K5882" t="s">
        <v>1357</v>
      </c>
      <c r="L5882" t="s">
        <v>1357</v>
      </c>
    </row>
    <row r="5883" spans="6:12">
      <c r="H5883" t="s">
        <v>20228</v>
      </c>
      <c r="I5883" t="s">
        <v>1357</v>
      </c>
      <c r="J5883" t="s">
        <v>1357</v>
      </c>
      <c r="K5883" t="s">
        <v>1357</v>
      </c>
      <c r="L5883" t="s">
        <v>1357</v>
      </c>
    </row>
    <row r="5884" spans="6:12">
      <c r="H5884" t="s">
        <v>20232</v>
      </c>
      <c r="I5884" t="s">
        <v>1357</v>
      </c>
      <c r="J5884" t="s">
        <v>1357</v>
      </c>
      <c r="K5884" t="s">
        <v>1357</v>
      </c>
      <c r="L5884" t="s">
        <v>1357</v>
      </c>
    </row>
    <row r="5885" spans="6:12">
      <c r="H5885" t="s">
        <v>20229</v>
      </c>
      <c r="I5885" t="s">
        <v>1357</v>
      </c>
      <c r="J5885" t="s">
        <v>1357</v>
      </c>
      <c r="K5885" t="s">
        <v>1357</v>
      </c>
      <c r="L5885" t="s">
        <v>1357</v>
      </c>
    </row>
    <row r="5886" spans="6:12">
      <c r="H5886" t="s">
        <v>20231</v>
      </c>
      <c r="I5886" t="s">
        <v>1357</v>
      </c>
      <c r="J5886" t="s">
        <v>1357</v>
      </c>
      <c r="K5886" t="s">
        <v>1357</v>
      </c>
      <c r="L5886" t="s">
        <v>1357</v>
      </c>
    </row>
    <row r="5887" spans="6:12">
      <c r="H5887" t="s">
        <v>20281</v>
      </c>
      <c r="I5887" t="s">
        <v>1357</v>
      </c>
      <c r="J5887" t="s">
        <v>1357</v>
      </c>
      <c r="K5887" t="s">
        <v>1357</v>
      </c>
      <c r="L5887" t="s">
        <v>1357</v>
      </c>
    </row>
    <row r="5888" spans="6:12">
      <c r="H5888" t="s">
        <v>20282</v>
      </c>
      <c r="I5888" t="s">
        <v>1357</v>
      </c>
      <c r="J5888" t="s">
        <v>1357</v>
      </c>
      <c r="K5888" t="s">
        <v>1357</v>
      </c>
      <c r="L5888" t="s">
        <v>1357</v>
      </c>
    </row>
    <row r="5889" spans="6:12">
      <c r="H5889" t="s">
        <v>20284</v>
      </c>
      <c r="I5889" t="s">
        <v>1357</v>
      </c>
      <c r="J5889" t="s">
        <v>1357</v>
      </c>
      <c r="K5889" t="s">
        <v>1357</v>
      </c>
      <c r="L5889" t="s">
        <v>1357</v>
      </c>
    </row>
    <row r="5890" spans="6:12">
      <c r="H5890" t="s">
        <v>20285</v>
      </c>
      <c r="I5890" t="s">
        <v>1357</v>
      </c>
      <c r="J5890" t="s">
        <v>1357</v>
      </c>
      <c r="K5890" t="s">
        <v>1357</v>
      </c>
      <c r="L5890" t="s">
        <v>1357</v>
      </c>
    </row>
    <row r="5891" spans="6:12">
      <c r="H5891" t="s">
        <v>20286</v>
      </c>
      <c r="I5891" t="s">
        <v>1357</v>
      </c>
      <c r="J5891" t="s">
        <v>1357</v>
      </c>
      <c r="K5891" t="s">
        <v>1357</v>
      </c>
      <c r="L5891" t="s">
        <v>1357</v>
      </c>
    </row>
    <row r="5892" spans="6:12">
      <c r="H5892" t="s">
        <v>20287</v>
      </c>
      <c r="I5892" t="s">
        <v>1357</v>
      </c>
      <c r="J5892" t="s">
        <v>1357</v>
      </c>
      <c r="K5892" t="s">
        <v>1357</v>
      </c>
      <c r="L5892" t="s">
        <v>1357</v>
      </c>
    </row>
    <row r="5893" spans="6:12">
      <c r="H5893" t="s">
        <v>20288</v>
      </c>
      <c r="I5893" t="s">
        <v>1357</v>
      </c>
      <c r="J5893" t="s">
        <v>1357</v>
      </c>
      <c r="K5893" t="s">
        <v>1357</v>
      </c>
      <c r="L5893" t="s">
        <v>1357</v>
      </c>
    </row>
    <row r="5894" spans="6:12">
      <c r="H5894" t="s">
        <v>20289</v>
      </c>
      <c r="I5894" t="s">
        <v>1357</v>
      </c>
      <c r="J5894" t="s">
        <v>1357</v>
      </c>
      <c r="K5894" t="s">
        <v>1357</v>
      </c>
      <c r="L5894" t="s">
        <v>1357</v>
      </c>
    </row>
    <row r="5895" spans="6:12">
      <c r="H5895" t="s">
        <v>20290</v>
      </c>
      <c r="I5895" t="s">
        <v>1357</v>
      </c>
      <c r="J5895" t="s">
        <v>1357</v>
      </c>
      <c r="K5895" t="s">
        <v>1357</v>
      </c>
      <c r="L5895" t="s">
        <v>1357</v>
      </c>
    </row>
    <row r="5896" spans="6:12">
      <c r="F5896" t="s">
        <v>14739</v>
      </c>
      <c r="G5896" t="s">
        <v>17583</v>
      </c>
      <c r="H5896" t="s">
        <v>20280</v>
      </c>
      <c r="I5896" t="s">
        <v>1357</v>
      </c>
      <c r="J5896" t="s">
        <v>1357</v>
      </c>
      <c r="K5896" t="s">
        <v>1357</v>
      </c>
      <c r="L5896" t="s">
        <v>1357</v>
      </c>
    </row>
    <row r="5897" spans="6:12">
      <c r="H5897" t="s">
        <v>20295</v>
      </c>
      <c r="I5897" t="s">
        <v>1357</v>
      </c>
      <c r="J5897" t="s">
        <v>1357</v>
      </c>
      <c r="K5897" t="s">
        <v>1357</v>
      </c>
      <c r="L5897" t="s">
        <v>1357</v>
      </c>
    </row>
    <row r="5898" spans="6:12">
      <c r="H5898" t="s">
        <v>20285</v>
      </c>
      <c r="I5898" t="s">
        <v>1357</v>
      </c>
      <c r="J5898" t="s">
        <v>1357</v>
      </c>
      <c r="K5898" t="s">
        <v>1357</v>
      </c>
      <c r="L5898" t="s">
        <v>1357</v>
      </c>
    </row>
    <row r="5899" spans="6:12">
      <c r="H5899" t="s">
        <v>20284</v>
      </c>
      <c r="I5899" t="s">
        <v>1357</v>
      </c>
      <c r="J5899" t="s">
        <v>1357</v>
      </c>
      <c r="K5899" t="s">
        <v>1357</v>
      </c>
      <c r="L5899" t="s">
        <v>1357</v>
      </c>
    </row>
    <row r="5900" spans="6:12">
      <c r="F5900" t="s">
        <v>14740</v>
      </c>
      <c r="G5900" t="s">
        <v>17584</v>
      </c>
      <c r="H5900" t="s">
        <v>20280</v>
      </c>
      <c r="I5900" t="s">
        <v>1357</v>
      </c>
      <c r="J5900" t="s">
        <v>1357</v>
      </c>
      <c r="K5900" t="s">
        <v>1357</v>
      </c>
      <c r="L5900" t="s">
        <v>1357</v>
      </c>
    </row>
    <row r="5901" spans="6:12">
      <c r="H5901" t="s">
        <v>20233</v>
      </c>
      <c r="I5901" t="s">
        <v>1357</v>
      </c>
      <c r="J5901" t="s">
        <v>1357</v>
      </c>
      <c r="K5901" t="s">
        <v>1357</v>
      </c>
      <c r="L5901" t="s">
        <v>1357</v>
      </c>
    </row>
    <row r="5902" spans="6:12">
      <c r="H5902" t="s">
        <v>20284</v>
      </c>
      <c r="I5902" t="s">
        <v>1357</v>
      </c>
      <c r="J5902" t="s">
        <v>1357</v>
      </c>
      <c r="K5902" t="s">
        <v>1357</v>
      </c>
      <c r="L5902" t="s">
        <v>1357</v>
      </c>
    </row>
    <row r="5903" spans="6:12">
      <c r="H5903" t="s">
        <v>20285</v>
      </c>
      <c r="I5903" t="s">
        <v>1357</v>
      </c>
      <c r="J5903" t="s">
        <v>1357</v>
      </c>
      <c r="K5903" t="s">
        <v>1357</v>
      </c>
      <c r="L5903" t="s">
        <v>1357</v>
      </c>
    </row>
    <row r="5904" spans="6:12">
      <c r="H5904" t="s">
        <v>20286</v>
      </c>
      <c r="I5904" t="s">
        <v>1357</v>
      </c>
      <c r="J5904" t="s">
        <v>1357</v>
      </c>
      <c r="K5904" t="s">
        <v>1357</v>
      </c>
      <c r="L5904" t="s">
        <v>1357</v>
      </c>
    </row>
    <row r="5905" spans="6:12">
      <c r="H5905" t="s">
        <v>20230</v>
      </c>
      <c r="I5905" t="s">
        <v>1357</v>
      </c>
      <c r="J5905" t="s">
        <v>1357</v>
      </c>
      <c r="K5905" t="s">
        <v>1357</v>
      </c>
      <c r="L5905" t="s">
        <v>1357</v>
      </c>
    </row>
    <row r="5906" spans="6:12">
      <c r="H5906" t="s">
        <v>20227</v>
      </c>
      <c r="I5906" t="s">
        <v>1357</v>
      </c>
      <c r="J5906" t="s">
        <v>1357</v>
      </c>
      <c r="K5906" t="s">
        <v>1357</v>
      </c>
      <c r="L5906" t="s">
        <v>1357</v>
      </c>
    </row>
    <row r="5907" spans="6:12">
      <c r="H5907" t="s">
        <v>20287</v>
      </c>
      <c r="I5907" t="s">
        <v>1357</v>
      </c>
      <c r="J5907" t="s">
        <v>1357</v>
      </c>
      <c r="K5907" t="s">
        <v>1357</v>
      </c>
      <c r="L5907" t="s">
        <v>1357</v>
      </c>
    </row>
    <row r="5908" spans="6:12">
      <c r="H5908" t="s">
        <v>20288</v>
      </c>
      <c r="I5908" t="s">
        <v>1357</v>
      </c>
      <c r="J5908" t="s">
        <v>1357</v>
      </c>
      <c r="K5908" t="s">
        <v>1357</v>
      </c>
      <c r="L5908" t="s">
        <v>1357</v>
      </c>
    </row>
    <row r="5909" spans="6:12">
      <c r="H5909" t="s">
        <v>20289</v>
      </c>
      <c r="I5909" t="s">
        <v>1357</v>
      </c>
      <c r="J5909" t="s">
        <v>1357</v>
      </c>
      <c r="K5909" t="s">
        <v>1357</v>
      </c>
      <c r="L5909" t="s">
        <v>1357</v>
      </c>
    </row>
    <row r="5910" spans="6:12">
      <c r="F5910" t="s">
        <v>14741</v>
      </c>
      <c r="G5910" t="s">
        <v>17585</v>
      </c>
      <c r="H5910" t="s">
        <v>20280</v>
      </c>
      <c r="I5910" t="s">
        <v>1357</v>
      </c>
      <c r="J5910" t="s">
        <v>1357</v>
      </c>
      <c r="K5910" t="s">
        <v>1357</v>
      </c>
      <c r="L5910" t="s">
        <v>1357</v>
      </c>
    </row>
    <row r="5911" spans="6:12">
      <c r="H5911" t="s">
        <v>20233</v>
      </c>
      <c r="I5911" t="s">
        <v>1357</v>
      </c>
      <c r="J5911" t="s">
        <v>1357</v>
      </c>
      <c r="K5911" t="s">
        <v>1357</v>
      </c>
      <c r="L5911" t="s">
        <v>1357</v>
      </c>
    </row>
    <row r="5912" spans="6:12">
      <c r="H5912" t="s">
        <v>20284</v>
      </c>
      <c r="I5912" t="s">
        <v>1357</v>
      </c>
      <c r="J5912" t="s">
        <v>1357</v>
      </c>
      <c r="K5912" t="s">
        <v>1357</v>
      </c>
      <c r="L5912" t="s">
        <v>1357</v>
      </c>
    </row>
    <row r="5913" spans="6:12">
      <c r="H5913" t="s">
        <v>20285</v>
      </c>
      <c r="I5913" t="s">
        <v>1357</v>
      </c>
      <c r="J5913" t="s">
        <v>1357</v>
      </c>
      <c r="K5913" t="s">
        <v>1357</v>
      </c>
      <c r="L5913" t="s">
        <v>1357</v>
      </c>
    </row>
    <row r="5914" spans="6:12">
      <c r="H5914" t="s">
        <v>20286</v>
      </c>
      <c r="I5914" t="s">
        <v>1357</v>
      </c>
      <c r="J5914" t="s">
        <v>1357</v>
      </c>
      <c r="K5914" t="s">
        <v>1357</v>
      </c>
      <c r="L5914" t="s">
        <v>1357</v>
      </c>
    </row>
    <row r="5915" spans="6:12">
      <c r="F5915" t="s">
        <v>14742</v>
      </c>
      <c r="G5915" t="s">
        <v>17586</v>
      </c>
      <c r="H5915" t="s">
        <v>20280</v>
      </c>
      <c r="I5915" t="s">
        <v>1357</v>
      </c>
      <c r="J5915" t="s">
        <v>1357</v>
      </c>
      <c r="K5915" t="s">
        <v>1357</v>
      </c>
      <c r="L5915" t="s">
        <v>1357</v>
      </c>
    </row>
    <row r="5916" spans="6:12">
      <c r="H5916" t="s">
        <v>20233</v>
      </c>
      <c r="I5916" t="s">
        <v>1357</v>
      </c>
      <c r="J5916" t="s">
        <v>1357</v>
      </c>
      <c r="K5916" t="s">
        <v>1357</v>
      </c>
      <c r="L5916" t="s">
        <v>1357</v>
      </c>
    </row>
    <row r="5917" spans="6:12">
      <c r="H5917" t="s">
        <v>20284</v>
      </c>
      <c r="I5917" t="s">
        <v>1357</v>
      </c>
      <c r="J5917" t="s">
        <v>1357</v>
      </c>
      <c r="K5917" t="s">
        <v>1357</v>
      </c>
      <c r="L5917" t="s">
        <v>1357</v>
      </c>
    </row>
    <row r="5918" spans="6:12">
      <c r="H5918" t="s">
        <v>20285</v>
      </c>
      <c r="I5918" t="s">
        <v>1357</v>
      </c>
      <c r="J5918" t="s">
        <v>1357</v>
      </c>
      <c r="K5918" t="s">
        <v>1357</v>
      </c>
      <c r="L5918" t="s">
        <v>1357</v>
      </c>
    </row>
    <row r="5919" spans="6:12">
      <c r="H5919" t="s">
        <v>20286</v>
      </c>
      <c r="I5919" t="s">
        <v>1357</v>
      </c>
      <c r="J5919" t="s">
        <v>1357</v>
      </c>
      <c r="K5919" t="s">
        <v>1357</v>
      </c>
      <c r="L5919" t="s">
        <v>1357</v>
      </c>
    </row>
    <row r="5920" spans="6:12">
      <c r="F5920" t="s">
        <v>14743</v>
      </c>
      <c r="G5920" t="s">
        <v>17587</v>
      </c>
      <c r="H5920" t="s">
        <v>20280</v>
      </c>
      <c r="I5920" t="s">
        <v>1357</v>
      </c>
      <c r="J5920" t="s">
        <v>1357</v>
      </c>
      <c r="K5920" t="s">
        <v>1357</v>
      </c>
      <c r="L5920" t="s">
        <v>1357</v>
      </c>
    </row>
    <row r="5921" spans="6:12">
      <c r="H5921" t="s">
        <v>20233</v>
      </c>
      <c r="I5921" t="s">
        <v>1357</v>
      </c>
      <c r="J5921" t="s">
        <v>1357</v>
      </c>
      <c r="K5921" t="s">
        <v>1357</v>
      </c>
      <c r="L5921" t="s">
        <v>1357</v>
      </c>
    </row>
    <row r="5922" spans="6:12">
      <c r="H5922" t="s">
        <v>20284</v>
      </c>
      <c r="I5922" t="s">
        <v>1357</v>
      </c>
      <c r="J5922" t="s">
        <v>1357</v>
      </c>
      <c r="K5922" t="s">
        <v>1357</v>
      </c>
      <c r="L5922" t="s">
        <v>1357</v>
      </c>
    </row>
    <row r="5923" spans="6:12">
      <c r="H5923" t="s">
        <v>20285</v>
      </c>
      <c r="I5923" t="s">
        <v>1357</v>
      </c>
      <c r="J5923" t="s">
        <v>1357</v>
      </c>
      <c r="K5923" t="s">
        <v>1357</v>
      </c>
      <c r="L5923" t="s">
        <v>1357</v>
      </c>
    </row>
    <row r="5924" spans="6:12">
      <c r="H5924" t="s">
        <v>20286</v>
      </c>
      <c r="I5924" t="s">
        <v>1357</v>
      </c>
      <c r="J5924" t="s">
        <v>1357</v>
      </c>
      <c r="K5924" t="s">
        <v>1357</v>
      </c>
      <c r="L5924" t="s">
        <v>1357</v>
      </c>
    </row>
    <row r="5925" spans="6:12">
      <c r="F5925" t="s">
        <v>14744</v>
      </c>
      <c r="G5925" t="s">
        <v>17588</v>
      </c>
      <c r="H5925" t="s">
        <v>20280</v>
      </c>
      <c r="I5925" t="s">
        <v>1357</v>
      </c>
      <c r="J5925" t="s">
        <v>1357</v>
      </c>
      <c r="K5925" t="s">
        <v>1357</v>
      </c>
      <c r="L5925" t="s">
        <v>1357</v>
      </c>
    </row>
    <row r="5926" spans="6:12">
      <c r="H5926" t="s">
        <v>20233</v>
      </c>
      <c r="I5926" t="s">
        <v>1357</v>
      </c>
      <c r="J5926" t="s">
        <v>1357</v>
      </c>
      <c r="K5926" t="s">
        <v>1357</v>
      </c>
      <c r="L5926" t="s">
        <v>1357</v>
      </c>
    </row>
    <row r="5927" spans="6:12">
      <c r="H5927" t="s">
        <v>20284</v>
      </c>
      <c r="I5927" t="s">
        <v>1357</v>
      </c>
      <c r="J5927" t="s">
        <v>1357</v>
      </c>
      <c r="K5927" t="s">
        <v>1357</v>
      </c>
      <c r="L5927" t="s">
        <v>1357</v>
      </c>
    </row>
    <row r="5928" spans="6:12">
      <c r="H5928" t="s">
        <v>20285</v>
      </c>
      <c r="I5928" t="s">
        <v>1357</v>
      </c>
      <c r="J5928" t="s">
        <v>1357</v>
      </c>
      <c r="K5928" t="s">
        <v>1357</v>
      </c>
      <c r="L5928" t="s">
        <v>1357</v>
      </c>
    </row>
    <row r="5929" spans="6:12">
      <c r="H5929" t="s">
        <v>20286</v>
      </c>
      <c r="I5929" t="s">
        <v>1357</v>
      </c>
      <c r="J5929" t="s">
        <v>1357</v>
      </c>
      <c r="K5929" t="s">
        <v>1357</v>
      </c>
      <c r="L5929" t="s">
        <v>1357</v>
      </c>
    </row>
    <row r="5930" spans="6:12">
      <c r="F5930" t="s">
        <v>14745</v>
      </c>
      <c r="G5930" t="s">
        <v>17589</v>
      </c>
      <c r="H5930" t="s">
        <v>20280</v>
      </c>
      <c r="I5930" t="s">
        <v>1357</v>
      </c>
      <c r="J5930" t="s">
        <v>1357</v>
      </c>
      <c r="K5930" t="s">
        <v>1357</v>
      </c>
      <c r="L5930" t="s">
        <v>1357</v>
      </c>
    </row>
    <row r="5931" spans="6:12">
      <c r="H5931" t="s">
        <v>20233</v>
      </c>
      <c r="I5931" t="s">
        <v>1357</v>
      </c>
      <c r="J5931" t="s">
        <v>1357</v>
      </c>
      <c r="K5931" t="s">
        <v>1357</v>
      </c>
      <c r="L5931" t="s">
        <v>1357</v>
      </c>
    </row>
    <row r="5932" spans="6:12">
      <c r="H5932" t="s">
        <v>20230</v>
      </c>
      <c r="I5932" t="s">
        <v>1357</v>
      </c>
      <c r="J5932" t="s">
        <v>1357</v>
      </c>
      <c r="K5932" t="s">
        <v>1357</v>
      </c>
      <c r="L5932" t="s">
        <v>1357</v>
      </c>
    </row>
    <row r="5933" spans="6:12">
      <c r="H5933" t="s">
        <v>20227</v>
      </c>
      <c r="I5933" t="s">
        <v>1357</v>
      </c>
      <c r="J5933" t="s">
        <v>1357</v>
      </c>
      <c r="K5933" t="s">
        <v>1357</v>
      </c>
      <c r="L5933" t="s">
        <v>1357</v>
      </c>
    </row>
    <row r="5934" spans="6:12">
      <c r="H5934" t="s">
        <v>20281</v>
      </c>
      <c r="I5934" t="s">
        <v>1357</v>
      </c>
      <c r="J5934" t="s">
        <v>1357</v>
      </c>
      <c r="K5934" t="s">
        <v>1357</v>
      </c>
      <c r="L5934" t="s">
        <v>1357</v>
      </c>
    </row>
    <row r="5935" spans="6:12">
      <c r="H5935" t="s">
        <v>20282</v>
      </c>
      <c r="I5935" t="s">
        <v>1357</v>
      </c>
      <c r="J5935" t="s">
        <v>1357</v>
      </c>
      <c r="K5935" t="s">
        <v>1357</v>
      </c>
      <c r="L5935" t="s">
        <v>1357</v>
      </c>
    </row>
    <row r="5936" spans="6:12">
      <c r="H5936" t="s">
        <v>20283</v>
      </c>
      <c r="I5936" t="s">
        <v>1357</v>
      </c>
      <c r="J5936" t="s">
        <v>1357</v>
      </c>
      <c r="K5936" t="s">
        <v>1357</v>
      </c>
      <c r="L5936" t="s">
        <v>1357</v>
      </c>
    </row>
    <row r="5937" spans="6:12">
      <c r="H5937" t="s">
        <v>20284</v>
      </c>
      <c r="I5937" t="s">
        <v>1357</v>
      </c>
      <c r="J5937" t="s">
        <v>1357</v>
      </c>
      <c r="K5937" t="s">
        <v>1357</v>
      </c>
      <c r="L5937" t="s">
        <v>1357</v>
      </c>
    </row>
    <row r="5938" spans="6:12">
      <c r="H5938" t="s">
        <v>20285</v>
      </c>
      <c r="I5938" t="s">
        <v>1357</v>
      </c>
      <c r="J5938" t="s">
        <v>1357</v>
      </c>
      <c r="K5938" t="s">
        <v>1357</v>
      </c>
      <c r="L5938" t="s">
        <v>1357</v>
      </c>
    </row>
    <row r="5939" spans="6:12">
      <c r="H5939" t="s">
        <v>20286</v>
      </c>
      <c r="I5939" t="s">
        <v>1357</v>
      </c>
      <c r="J5939" t="s">
        <v>1357</v>
      </c>
      <c r="K5939" t="s">
        <v>1357</v>
      </c>
      <c r="L5939" t="s">
        <v>1357</v>
      </c>
    </row>
    <row r="5940" spans="6:12">
      <c r="H5940" t="s">
        <v>20287</v>
      </c>
      <c r="I5940" t="s">
        <v>1357</v>
      </c>
      <c r="J5940" t="s">
        <v>1357</v>
      </c>
      <c r="K5940" t="s">
        <v>1357</v>
      </c>
      <c r="L5940" t="s">
        <v>1357</v>
      </c>
    </row>
    <row r="5941" spans="6:12">
      <c r="H5941" t="s">
        <v>20288</v>
      </c>
      <c r="I5941" t="s">
        <v>1357</v>
      </c>
      <c r="J5941" t="s">
        <v>1357</v>
      </c>
      <c r="K5941" t="s">
        <v>1357</v>
      </c>
      <c r="L5941" t="s">
        <v>1357</v>
      </c>
    </row>
    <row r="5942" spans="6:12">
      <c r="F5942" t="s">
        <v>14746</v>
      </c>
      <c r="G5942" t="s">
        <v>17590</v>
      </c>
      <c r="H5942" t="s">
        <v>20280</v>
      </c>
      <c r="I5942" t="s">
        <v>1357</v>
      </c>
      <c r="J5942" t="s">
        <v>1357</v>
      </c>
      <c r="K5942" t="s">
        <v>1357</v>
      </c>
      <c r="L5942" t="s">
        <v>1357</v>
      </c>
    </row>
    <row r="5943" spans="6:12">
      <c r="H5943" t="s">
        <v>20233</v>
      </c>
      <c r="I5943" t="s">
        <v>1357</v>
      </c>
      <c r="J5943" t="s">
        <v>1357</v>
      </c>
      <c r="K5943" t="s">
        <v>1357</v>
      </c>
      <c r="L5943" t="s">
        <v>1357</v>
      </c>
    </row>
    <row r="5944" spans="6:12">
      <c r="H5944" t="s">
        <v>20281</v>
      </c>
      <c r="I5944" t="s">
        <v>1357</v>
      </c>
      <c r="J5944" t="s">
        <v>1357</v>
      </c>
      <c r="K5944" t="s">
        <v>1357</v>
      </c>
      <c r="L5944" t="s">
        <v>1357</v>
      </c>
    </row>
    <row r="5945" spans="6:12">
      <c r="H5945" t="s">
        <v>20282</v>
      </c>
      <c r="I5945" t="s">
        <v>1357</v>
      </c>
      <c r="J5945" t="s">
        <v>1357</v>
      </c>
      <c r="K5945" t="s">
        <v>1357</v>
      </c>
      <c r="L5945" t="s">
        <v>1357</v>
      </c>
    </row>
    <row r="5946" spans="6:12">
      <c r="H5946" t="s">
        <v>20283</v>
      </c>
      <c r="I5946" t="s">
        <v>1357</v>
      </c>
      <c r="J5946" t="s">
        <v>1357</v>
      </c>
      <c r="K5946" t="s">
        <v>1357</v>
      </c>
      <c r="L5946" t="s">
        <v>1357</v>
      </c>
    </row>
    <row r="5947" spans="6:12">
      <c r="H5947" t="s">
        <v>20284</v>
      </c>
      <c r="I5947" t="s">
        <v>1357</v>
      </c>
      <c r="J5947" t="s">
        <v>1357</v>
      </c>
      <c r="K5947" t="s">
        <v>1357</v>
      </c>
      <c r="L5947" t="s">
        <v>1357</v>
      </c>
    </row>
    <row r="5948" spans="6:12">
      <c r="H5948" t="s">
        <v>20285</v>
      </c>
      <c r="I5948" t="s">
        <v>1357</v>
      </c>
      <c r="J5948" t="s">
        <v>1357</v>
      </c>
      <c r="K5948" t="s">
        <v>1357</v>
      </c>
      <c r="L5948" t="s">
        <v>1357</v>
      </c>
    </row>
    <row r="5949" spans="6:12">
      <c r="H5949" t="s">
        <v>20286</v>
      </c>
      <c r="I5949" t="s">
        <v>1357</v>
      </c>
      <c r="J5949" t="s">
        <v>1357</v>
      </c>
      <c r="K5949" t="s">
        <v>1357</v>
      </c>
      <c r="L5949" t="s">
        <v>1357</v>
      </c>
    </row>
    <row r="5950" spans="6:12">
      <c r="H5950" t="s">
        <v>20287</v>
      </c>
      <c r="I5950" t="s">
        <v>1357</v>
      </c>
      <c r="J5950" t="s">
        <v>1357</v>
      </c>
      <c r="K5950" t="s">
        <v>1357</v>
      </c>
      <c r="L5950" t="s">
        <v>1357</v>
      </c>
    </row>
    <row r="5951" spans="6:12">
      <c r="H5951" t="s">
        <v>20288</v>
      </c>
      <c r="I5951" t="s">
        <v>1357</v>
      </c>
      <c r="J5951" t="s">
        <v>1357</v>
      </c>
      <c r="K5951" t="s">
        <v>1357</v>
      </c>
      <c r="L5951" t="s">
        <v>1357</v>
      </c>
    </row>
    <row r="5952" spans="6:12">
      <c r="H5952" t="s">
        <v>20289</v>
      </c>
      <c r="I5952" t="s">
        <v>1357</v>
      </c>
      <c r="J5952" t="s">
        <v>1357</v>
      </c>
      <c r="K5952" t="s">
        <v>1357</v>
      </c>
      <c r="L5952" t="s">
        <v>1357</v>
      </c>
    </row>
    <row r="5953" spans="6:12">
      <c r="H5953" t="s">
        <v>20290</v>
      </c>
      <c r="I5953" t="s">
        <v>1357</v>
      </c>
      <c r="J5953" t="s">
        <v>1357</v>
      </c>
      <c r="K5953" t="s">
        <v>1357</v>
      </c>
      <c r="L5953" t="s">
        <v>1357</v>
      </c>
    </row>
    <row r="5954" spans="6:12">
      <c r="H5954" t="s">
        <v>20291</v>
      </c>
      <c r="I5954" t="s">
        <v>1357</v>
      </c>
      <c r="J5954" t="s">
        <v>1357</v>
      </c>
      <c r="K5954" t="s">
        <v>1357</v>
      </c>
      <c r="L5954" t="s">
        <v>1357</v>
      </c>
    </row>
    <row r="5955" spans="6:12">
      <c r="F5955" t="s">
        <v>14747</v>
      </c>
      <c r="G5955" t="s">
        <v>17591</v>
      </c>
      <c r="H5955" t="s">
        <v>20280</v>
      </c>
      <c r="I5955" t="s">
        <v>1357</v>
      </c>
      <c r="J5955" t="s">
        <v>1357</v>
      </c>
      <c r="K5955" t="s">
        <v>1357</v>
      </c>
      <c r="L5955" t="s">
        <v>1357</v>
      </c>
    </row>
    <row r="5956" spans="6:12">
      <c r="H5956" t="s">
        <v>20233</v>
      </c>
      <c r="I5956" t="s">
        <v>1357</v>
      </c>
      <c r="J5956" t="s">
        <v>1357</v>
      </c>
      <c r="K5956" t="s">
        <v>1357</v>
      </c>
      <c r="L5956" t="s">
        <v>1357</v>
      </c>
    </row>
    <row r="5957" spans="6:12">
      <c r="H5957" t="s">
        <v>20281</v>
      </c>
      <c r="I5957" t="s">
        <v>1357</v>
      </c>
      <c r="J5957" t="s">
        <v>1357</v>
      </c>
      <c r="K5957" t="s">
        <v>1357</v>
      </c>
      <c r="L5957" t="s">
        <v>1357</v>
      </c>
    </row>
    <row r="5958" spans="6:12">
      <c r="H5958" t="s">
        <v>20282</v>
      </c>
      <c r="I5958" t="s">
        <v>1357</v>
      </c>
      <c r="J5958" t="s">
        <v>1357</v>
      </c>
      <c r="K5958" t="s">
        <v>1357</v>
      </c>
      <c r="L5958" t="s">
        <v>1357</v>
      </c>
    </row>
    <row r="5959" spans="6:12">
      <c r="H5959" t="s">
        <v>20283</v>
      </c>
      <c r="I5959" t="s">
        <v>1357</v>
      </c>
      <c r="J5959" t="s">
        <v>1357</v>
      </c>
      <c r="K5959" t="s">
        <v>1357</v>
      </c>
      <c r="L5959" t="s">
        <v>1357</v>
      </c>
    </row>
    <row r="5960" spans="6:12">
      <c r="H5960" t="s">
        <v>20284</v>
      </c>
      <c r="I5960" t="s">
        <v>1357</v>
      </c>
      <c r="J5960" t="s">
        <v>1357</v>
      </c>
      <c r="K5960" t="s">
        <v>1357</v>
      </c>
      <c r="L5960" t="s">
        <v>1357</v>
      </c>
    </row>
    <row r="5961" spans="6:12">
      <c r="H5961" t="s">
        <v>20285</v>
      </c>
      <c r="I5961" t="s">
        <v>1357</v>
      </c>
      <c r="J5961" t="s">
        <v>1357</v>
      </c>
      <c r="K5961" t="s">
        <v>1357</v>
      </c>
      <c r="L5961" t="s">
        <v>1357</v>
      </c>
    </row>
    <row r="5962" spans="6:12">
      <c r="H5962" t="s">
        <v>20286</v>
      </c>
      <c r="I5962" t="s">
        <v>1357</v>
      </c>
      <c r="J5962" t="s">
        <v>1357</v>
      </c>
      <c r="K5962" t="s">
        <v>1357</v>
      </c>
      <c r="L5962" t="s">
        <v>1357</v>
      </c>
    </row>
    <row r="5963" spans="6:12">
      <c r="H5963" t="s">
        <v>20287</v>
      </c>
      <c r="I5963" t="s">
        <v>1357</v>
      </c>
      <c r="J5963" t="s">
        <v>1357</v>
      </c>
      <c r="K5963" t="s">
        <v>1357</v>
      </c>
      <c r="L5963" t="s">
        <v>1357</v>
      </c>
    </row>
    <row r="5964" spans="6:12">
      <c r="H5964" t="s">
        <v>20288</v>
      </c>
      <c r="I5964" t="s">
        <v>1357</v>
      </c>
      <c r="J5964" t="s">
        <v>1357</v>
      </c>
      <c r="K5964" t="s">
        <v>1357</v>
      </c>
      <c r="L5964" t="s">
        <v>1357</v>
      </c>
    </row>
    <row r="5965" spans="6:12">
      <c r="H5965" t="s">
        <v>20289</v>
      </c>
      <c r="I5965" t="s">
        <v>1357</v>
      </c>
      <c r="J5965" t="s">
        <v>1357</v>
      </c>
      <c r="K5965" t="s">
        <v>1357</v>
      </c>
      <c r="L5965" t="s">
        <v>1357</v>
      </c>
    </row>
    <row r="5966" spans="6:12">
      <c r="H5966" t="s">
        <v>20290</v>
      </c>
      <c r="I5966" t="s">
        <v>1357</v>
      </c>
      <c r="J5966" t="s">
        <v>1357</v>
      </c>
      <c r="K5966" t="s">
        <v>1357</v>
      </c>
      <c r="L5966" t="s">
        <v>1357</v>
      </c>
    </row>
    <row r="5967" spans="6:12">
      <c r="H5967" t="s">
        <v>20291</v>
      </c>
      <c r="I5967" t="s">
        <v>1357</v>
      </c>
      <c r="J5967" t="s">
        <v>1357</v>
      </c>
      <c r="K5967" t="s">
        <v>1357</v>
      </c>
      <c r="L5967" t="s">
        <v>1357</v>
      </c>
    </row>
    <row r="5968" spans="6:12">
      <c r="F5968" t="s">
        <v>14748</v>
      </c>
      <c r="G5968" t="s">
        <v>17592</v>
      </c>
      <c r="H5968" t="s">
        <v>20280</v>
      </c>
      <c r="I5968" t="s">
        <v>1357</v>
      </c>
      <c r="J5968" t="s">
        <v>1357</v>
      </c>
      <c r="K5968" t="s">
        <v>1357</v>
      </c>
      <c r="L5968" t="s">
        <v>1357</v>
      </c>
    </row>
    <row r="5969" spans="6:12">
      <c r="H5969" t="s">
        <v>20296</v>
      </c>
      <c r="I5969" t="s">
        <v>1357</v>
      </c>
      <c r="J5969" t="s">
        <v>1357</v>
      </c>
      <c r="K5969" t="s">
        <v>1357</v>
      </c>
      <c r="L5969" t="s">
        <v>1357</v>
      </c>
    </row>
    <row r="5970" spans="6:12">
      <c r="H5970" t="s">
        <v>20297</v>
      </c>
      <c r="I5970" t="s">
        <v>1357</v>
      </c>
      <c r="J5970" t="s">
        <v>1357</v>
      </c>
      <c r="K5970" t="s">
        <v>1357</v>
      </c>
      <c r="L5970" t="s">
        <v>1357</v>
      </c>
    </row>
    <row r="5971" spans="6:12">
      <c r="H5971" t="s">
        <v>20284</v>
      </c>
      <c r="I5971" t="s">
        <v>1357</v>
      </c>
      <c r="J5971" t="s">
        <v>1357</v>
      </c>
      <c r="K5971" t="s">
        <v>1357</v>
      </c>
      <c r="L5971" t="s">
        <v>1357</v>
      </c>
    </row>
    <row r="5972" spans="6:12">
      <c r="F5972" t="s">
        <v>14749</v>
      </c>
      <c r="G5972" t="s">
        <v>17593</v>
      </c>
      <c r="H5972" t="s">
        <v>20280</v>
      </c>
      <c r="I5972" t="s">
        <v>1357</v>
      </c>
      <c r="J5972" t="s">
        <v>1357</v>
      </c>
      <c r="K5972" t="s">
        <v>1357</v>
      </c>
      <c r="L5972" t="s">
        <v>1357</v>
      </c>
    </row>
    <row r="5973" spans="6:12">
      <c r="H5973" t="s">
        <v>20233</v>
      </c>
      <c r="I5973" t="s">
        <v>1357</v>
      </c>
      <c r="J5973" t="s">
        <v>1357</v>
      </c>
      <c r="K5973" t="s">
        <v>1357</v>
      </c>
      <c r="L5973" t="s">
        <v>1357</v>
      </c>
    </row>
    <row r="5974" spans="6:12">
      <c r="H5974" t="s">
        <v>20281</v>
      </c>
      <c r="I5974" t="s">
        <v>1357</v>
      </c>
      <c r="J5974" t="s">
        <v>1357</v>
      </c>
      <c r="K5974" t="s">
        <v>1357</v>
      </c>
      <c r="L5974" t="s">
        <v>1357</v>
      </c>
    </row>
    <row r="5975" spans="6:12">
      <c r="H5975" t="s">
        <v>20282</v>
      </c>
      <c r="I5975" t="s">
        <v>1357</v>
      </c>
      <c r="J5975" t="s">
        <v>1357</v>
      </c>
      <c r="K5975" t="s">
        <v>1357</v>
      </c>
      <c r="L5975" t="s">
        <v>1357</v>
      </c>
    </row>
    <row r="5976" spans="6:12">
      <c r="H5976" t="s">
        <v>20283</v>
      </c>
      <c r="I5976" t="s">
        <v>1357</v>
      </c>
      <c r="J5976" t="s">
        <v>1357</v>
      </c>
      <c r="K5976" t="s">
        <v>1357</v>
      </c>
      <c r="L5976" t="s">
        <v>1357</v>
      </c>
    </row>
    <row r="5977" spans="6:12">
      <c r="H5977" t="s">
        <v>20284</v>
      </c>
      <c r="I5977" t="s">
        <v>1357</v>
      </c>
      <c r="J5977" t="s">
        <v>1357</v>
      </c>
      <c r="K5977" t="s">
        <v>1357</v>
      </c>
      <c r="L5977" t="s">
        <v>1357</v>
      </c>
    </row>
    <row r="5978" spans="6:12">
      <c r="H5978" t="s">
        <v>20285</v>
      </c>
      <c r="I5978" t="s">
        <v>1357</v>
      </c>
      <c r="J5978" t="s">
        <v>1357</v>
      </c>
      <c r="K5978" t="s">
        <v>1357</v>
      </c>
      <c r="L5978" t="s">
        <v>1357</v>
      </c>
    </row>
    <row r="5979" spans="6:12">
      <c r="H5979" t="s">
        <v>20286</v>
      </c>
      <c r="I5979" t="s">
        <v>1357</v>
      </c>
      <c r="J5979" t="s">
        <v>1357</v>
      </c>
      <c r="K5979" t="s">
        <v>1357</v>
      </c>
      <c r="L5979" t="s">
        <v>1357</v>
      </c>
    </row>
    <row r="5980" spans="6:12">
      <c r="H5980" t="s">
        <v>20287</v>
      </c>
      <c r="I5980" t="s">
        <v>1357</v>
      </c>
      <c r="J5980" t="s">
        <v>1357</v>
      </c>
      <c r="K5980" t="s">
        <v>1357</v>
      </c>
      <c r="L5980" t="s">
        <v>1357</v>
      </c>
    </row>
    <row r="5981" spans="6:12">
      <c r="H5981" t="s">
        <v>20288</v>
      </c>
      <c r="I5981" t="s">
        <v>1357</v>
      </c>
      <c r="J5981" t="s">
        <v>1357</v>
      </c>
      <c r="K5981" t="s">
        <v>1357</v>
      </c>
      <c r="L5981" t="s">
        <v>1357</v>
      </c>
    </row>
    <row r="5982" spans="6:12">
      <c r="H5982" t="s">
        <v>20289</v>
      </c>
      <c r="I5982" t="s">
        <v>1357</v>
      </c>
      <c r="J5982" t="s">
        <v>1357</v>
      </c>
      <c r="K5982" t="s">
        <v>1357</v>
      </c>
      <c r="L5982" t="s">
        <v>1357</v>
      </c>
    </row>
    <row r="5983" spans="6:12">
      <c r="H5983" t="s">
        <v>20290</v>
      </c>
      <c r="I5983" t="s">
        <v>1357</v>
      </c>
      <c r="J5983" t="s">
        <v>1357</v>
      </c>
      <c r="K5983" t="s">
        <v>1357</v>
      </c>
      <c r="L5983" t="s">
        <v>1357</v>
      </c>
    </row>
    <row r="5984" spans="6:12">
      <c r="H5984" t="s">
        <v>20291</v>
      </c>
      <c r="I5984" t="s">
        <v>1357</v>
      </c>
      <c r="J5984" t="s">
        <v>1357</v>
      </c>
      <c r="K5984" t="s">
        <v>1357</v>
      </c>
      <c r="L5984" t="s">
        <v>1357</v>
      </c>
    </row>
    <row r="5985" spans="6:12">
      <c r="F5985" t="s">
        <v>14750</v>
      </c>
      <c r="G5985" t="s">
        <v>17594</v>
      </c>
      <c r="H5985" t="s">
        <v>20280</v>
      </c>
      <c r="I5985" t="s">
        <v>1357</v>
      </c>
      <c r="J5985" t="s">
        <v>1357</v>
      </c>
      <c r="K5985" t="s">
        <v>1357</v>
      </c>
      <c r="L5985" t="s">
        <v>1357</v>
      </c>
    </row>
    <row r="5986" spans="6:12">
      <c r="H5986" t="s">
        <v>20233</v>
      </c>
      <c r="I5986" t="s">
        <v>1357</v>
      </c>
      <c r="J5986" t="s">
        <v>1357</v>
      </c>
      <c r="K5986" t="s">
        <v>1357</v>
      </c>
      <c r="L5986" t="s">
        <v>1357</v>
      </c>
    </row>
    <row r="5987" spans="6:12">
      <c r="H5987" t="s">
        <v>20281</v>
      </c>
      <c r="I5987" t="s">
        <v>1357</v>
      </c>
      <c r="J5987" t="s">
        <v>1357</v>
      </c>
      <c r="K5987" t="s">
        <v>1357</v>
      </c>
      <c r="L5987" t="s">
        <v>1357</v>
      </c>
    </row>
    <row r="5988" spans="6:12">
      <c r="H5988" t="s">
        <v>20282</v>
      </c>
      <c r="I5988" t="s">
        <v>1357</v>
      </c>
      <c r="J5988" t="s">
        <v>1357</v>
      </c>
      <c r="K5988" t="s">
        <v>1357</v>
      </c>
      <c r="L5988" t="s">
        <v>1357</v>
      </c>
    </row>
    <row r="5989" spans="6:12">
      <c r="H5989" t="s">
        <v>20283</v>
      </c>
      <c r="I5989" t="s">
        <v>1357</v>
      </c>
      <c r="J5989" t="s">
        <v>1357</v>
      </c>
      <c r="K5989" t="s">
        <v>1357</v>
      </c>
      <c r="L5989" t="s">
        <v>1357</v>
      </c>
    </row>
    <row r="5990" spans="6:12">
      <c r="H5990" t="s">
        <v>20284</v>
      </c>
      <c r="I5990" t="s">
        <v>1357</v>
      </c>
      <c r="J5990" t="s">
        <v>1357</v>
      </c>
      <c r="K5990" t="s">
        <v>1357</v>
      </c>
      <c r="L5990" t="s">
        <v>1357</v>
      </c>
    </row>
    <row r="5991" spans="6:12">
      <c r="H5991" t="s">
        <v>20285</v>
      </c>
      <c r="I5991" t="s">
        <v>1357</v>
      </c>
      <c r="J5991" t="s">
        <v>1357</v>
      </c>
      <c r="K5991" t="s">
        <v>1357</v>
      </c>
      <c r="L5991" t="s">
        <v>1357</v>
      </c>
    </row>
    <row r="5992" spans="6:12">
      <c r="H5992" t="s">
        <v>20286</v>
      </c>
      <c r="I5992" t="s">
        <v>1357</v>
      </c>
      <c r="J5992" t="s">
        <v>1357</v>
      </c>
      <c r="K5992" t="s">
        <v>1357</v>
      </c>
      <c r="L5992" t="s">
        <v>1357</v>
      </c>
    </row>
    <row r="5993" spans="6:12">
      <c r="H5993" t="s">
        <v>20287</v>
      </c>
      <c r="I5993" t="s">
        <v>1357</v>
      </c>
      <c r="J5993" t="s">
        <v>1357</v>
      </c>
      <c r="K5993" t="s">
        <v>1357</v>
      </c>
      <c r="L5993" t="s">
        <v>1357</v>
      </c>
    </row>
    <row r="5994" spans="6:12">
      <c r="H5994" t="s">
        <v>20288</v>
      </c>
      <c r="I5994" t="s">
        <v>1357</v>
      </c>
      <c r="J5994" t="s">
        <v>1357</v>
      </c>
      <c r="K5994" t="s">
        <v>1357</v>
      </c>
      <c r="L5994" t="s">
        <v>1357</v>
      </c>
    </row>
    <row r="5995" spans="6:12">
      <c r="H5995" t="s">
        <v>20289</v>
      </c>
      <c r="I5995" t="s">
        <v>1357</v>
      </c>
      <c r="J5995" t="s">
        <v>1357</v>
      </c>
      <c r="K5995" t="s">
        <v>1357</v>
      </c>
      <c r="L5995" t="s">
        <v>1357</v>
      </c>
    </row>
    <row r="5996" spans="6:12">
      <c r="H5996" t="s">
        <v>20290</v>
      </c>
      <c r="I5996" t="s">
        <v>1357</v>
      </c>
      <c r="J5996" t="s">
        <v>1357</v>
      </c>
      <c r="K5996" t="s">
        <v>1357</v>
      </c>
      <c r="L5996" t="s">
        <v>1357</v>
      </c>
    </row>
    <row r="5997" spans="6:12">
      <c r="H5997" t="s">
        <v>20291</v>
      </c>
      <c r="I5997" t="s">
        <v>1357</v>
      </c>
      <c r="J5997" t="s">
        <v>1357</v>
      </c>
      <c r="K5997" t="s">
        <v>1357</v>
      </c>
      <c r="L5997" t="s">
        <v>1357</v>
      </c>
    </row>
    <row r="5998" spans="6:12">
      <c r="F5998" t="s">
        <v>14751</v>
      </c>
      <c r="G5998" t="s">
        <v>17595</v>
      </c>
      <c r="H5998" t="s">
        <v>20280</v>
      </c>
      <c r="I5998" t="s">
        <v>1357</v>
      </c>
      <c r="J5998" t="s">
        <v>1357</v>
      </c>
      <c r="K5998" t="s">
        <v>1357</v>
      </c>
      <c r="L5998" t="s">
        <v>1357</v>
      </c>
    </row>
    <row r="5999" spans="6:12">
      <c r="H5999" t="s">
        <v>20233</v>
      </c>
      <c r="I5999" t="s">
        <v>1357</v>
      </c>
      <c r="J5999" t="s">
        <v>1357</v>
      </c>
      <c r="K5999" t="s">
        <v>1357</v>
      </c>
      <c r="L5999" t="s">
        <v>1357</v>
      </c>
    </row>
    <row r="6000" spans="6:12">
      <c r="H6000" t="s">
        <v>20227</v>
      </c>
      <c r="I6000" t="s">
        <v>1357</v>
      </c>
      <c r="J6000" t="s">
        <v>1357</v>
      </c>
      <c r="K6000" t="s">
        <v>1357</v>
      </c>
      <c r="L6000" t="s">
        <v>1357</v>
      </c>
    </row>
    <row r="6001" spans="6:12">
      <c r="H6001" t="s">
        <v>20281</v>
      </c>
      <c r="I6001" t="s">
        <v>1357</v>
      </c>
      <c r="J6001" t="s">
        <v>1357</v>
      </c>
      <c r="K6001" t="s">
        <v>1357</v>
      </c>
      <c r="L6001" t="s">
        <v>1357</v>
      </c>
    </row>
    <row r="6002" spans="6:12">
      <c r="H6002" t="s">
        <v>20282</v>
      </c>
      <c r="I6002" t="s">
        <v>1357</v>
      </c>
      <c r="J6002" t="s">
        <v>1357</v>
      </c>
      <c r="K6002" t="s">
        <v>1357</v>
      </c>
      <c r="L6002" t="s">
        <v>1357</v>
      </c>
    </row>
    <row r="6003" spans="6:12">
      <c r="H6003" t="s">
        <v>20283</v>
      </c>
      <c r="I6003" t="s">
        <v>1357</v>
      </c>
      <c r="J6003" t="s">
        <v>1357</v>
      </c>
      <c r="K6003" t="s">
        <v>1357</v>
      </c>
      <c r="L6003" t="s">
        <v>1357</v>
      </c>
    </row>
    <row r="6004" spans="6:12">
      <c r="H6004" t="s">
        <v>20284</v>
      </c>
      <c r="I6004" t="s">
        <v>1357</v>
      </c>
      <c r="J6004" t="s">
        <v>1357</v>
      </c>
      <c r="K6004" t="s">
        <v>1357</v>
      </c>
      <c r="L6004" t="s">
        <v>1357</v>
      </c>
    </row>
    <row r="6005" spans="6:12">
      <c r="H6005" t="s">
        <v>20285</v>
      </c>
      <c r="I6005" t="s">
        <v>1357</v>
      </c>
      <c r="J6005" t="s">
        <v>1357</v>
      </c>
      <c r="K6005" t="s">
        <v>1357</v>
      </c>
      <c r="L6005" t="s">
        <v>1357</v>
      </c>
    </row>
    <row r="6006" spans="6:12">
      <c r="H6006" t="s">
        <v>20286</v>
      </c>
      <c r="I6006" t="s">
        <v>1357</v>
      </c>
      <c r="J6006" t="s">
        <v>1357</v>
      </c>
      <c r="K6006" t="s">
        <v>1357</v>
      </c>
      <c r="L6006" t="s">
        <v>1357</v>
      </c>
    </row>
    <row r="6007" spans="6:12">
      <c r="H6007" t="s">
        <v>20287</v>
      </c>
      <c r="I6007" t="s">
        <v>1357</v>
      </c>
      <c r="J6007" t="s">
        <v>1357</v>
      </c>
      <c r="K6007" t="s">
        <v>1357</v>
      </c>
      <c r="L6007" t="s">
        <v>1357</v>
      </c>
    </row>
    <row r="6008" spans="6:12">
      <c r="F6008" t="s">
        <v>14752</v>
      </c>
      <c r="G6008" t="s">
        <v>17596</v>
      </c>
      <c r="H6008" t="s">
        <v>20280</v>
      </c>
      <c r="I6008" t="s">
        <v>1357</v>
      </c>
      <c r="J6008" t="s">
        <v>1357</v>
      </c>
      <c r="K6008" t="s">
        <v>1357</v>
      </c>
      <c r="L6008" t="s">
        <v>1357</v>
      </c>
    </row>
    <row r="6009" spans="6:12">
      <c r="H6009" t="s">
        <v>20233</v>
      </c>
      <c r="I6009" t="s">
        <v>1357</v>
      </c>
      <c r="J6009" t="s">
        <v>1357</v>
      </c>
      <c r="K6009" t="s">
        <v>1357</v>
      </c>
      <c r="L6009" t="s">
        <v>1357</v>
      </c>
    </row>
    <row r="6010" spans="6:12">
      <c r="H6010" t="s">
        <v>20230</v>
      </c>
      <c r="I6010" t="s">
        <v>1357</v>
      </c>
      <c r="J6010" t="s">
        <v>1357</v>
      </c>
      <c r="K6010" t="s">
        <v>1357</v>
      </c>
      <c r="L6010" t="s">
        <v>1357</v>
      </c>
    </row>
    <row r="6011" spans="6:12">
      <c r="H6011" t="s">
        <v>20296</v>
      </c>
      <c r="I6011" t="s">
        <v>1357</v>
      </c>
      <c r="J6011" t="s">
        <v>1357</v>
      </c>
      <c r="K6011" t="s">
        <v>1357</v>
      </c>
      <c r="L6011" t="s">
        <v>1357</v>
      </c>
    </row>
    <row r="6012" spans="6:12">
      <c r="H6012" t="s">
        <v>20297</v>
      </c>
      <c r="I6012" t="s">
        <v>1357</v>
      </c>
      <c r="J6012" t="s">
        <v>1357</v>
      </c>
      <c r="K6012" t="s">
        <v>1357</v>
      </c>
      <c r="L6012" t="s">
        <v>1357</v>
      </c>
    </row>
    <row r="6013" spans="6:12">
      <c r="H6013" t="s">
        <v>20234</v>
      </c>
      <c r="I6013" t="s">
        <v>1357</v>
      </c>
      <c r="J6013" t="s">
        <v>1357</v>
      </c>
      <c r="K6013" t="s">
        <v>1357</v>
      </c>
      <c r="L6013" t="s">
        <v>1357</v>
      </c>
    </row>
    <row r="6014" spans="6:12">
      <c r="H6014" t="s">
        <v>20235</v>
      </c>
      <c r="I6014" t="s">
        <v>1357</v>
      </c>
      <c r="J6014" t="s">
        <v>1357</v>
      </c>
      <c r="K6014" t="s">
        <v>1357</v>
      </c>
      <c r="L6014" t="s">
        <v>1357</v>
      </c>
    </row>
    <row r="6015" spans="6:12">
      <c r="H6015" t="s">
        <v>20298</v>
      </c>
      <c r="I6015" t="s">
        <v>1357</v>
      </c>
      <c r="J6015" t="s">
        <v>1357</v>
      </c>
      <c r="K6015" t="s">
        <v>1357</v>
      </c>
      <c r="L6015" t="s">
        <v>1357</v>
      </c>
    </row>
    <row r="6016" spans="6:12">
      <c r="H6016" t="s">
        <v>20299</v>
      </c>
      <c r="I6016" t="s">
        <v>1357</v>
      </c>
      <c r="J6016" t="s">
        <v>1357</v>
      </c>
      <c r="K6016" t="s">
        <v>1357</v>
      </c>
      <c r="L6016" t="s">
        <v>1357</v>
      </c>
    </row>
    <row r="6017" spans="6:12">
      <c r="H6017" t="s">
        <v>20300</v>
      </c>
      <c r="I6017" t="s">
        <v>1357</v>
      </c>
      <c r="J6017" t="s">
        <v>1357</v>
      </c>
      <c r="K6017" t="s">
        <v>1357</v>
      </c>
      <c r="L6017" t="s">
        <v>1357</v>
      </c>
    </row>
    <row r="6018" spans="6:12">
      <c r="H6018" t="s">
        <v>20284</v>
      </c>
      <c r="I6018" t="s">
        <v>1357</v>
      </c>
      <c r="J6018" t="s">
        <v>1357</v>
      </c>
      <c r="K6018" t="s">
        <v>1357</v>
      </c>
      <c r="L6018" t="s">
        <v>1357</v>
      </c>
    </row>
    <row r="6019" spans="6:12">
      <c r="H6019" t="s">
        <v>20285</v>
      </c>
      <c r="I6019" t="s">
        <v>1357</v>
      </c>
      <c r="J6019" t="s">
        <v>1357</v>
      </c>
      <c r="K6019" t="s">
        <v>1357</v>
      </c>
      <c r="L6019" t="s">
        <v>1357</v>
      </c>
    </row>
    <row r="6020" spans="6:12">
      <c r="H6020" t="s">
        <v>20286</v>
      </c>
      <c r="I6020" t="s">
        <v>1357</v>
      </c>
      <c r="J6020" t="s">
        <v>1357</v>
      </c>
      <c r="K6020" t="s">
        <v>1357</v>
      </c>
      <c r="L6020" t="s">
        <v>1357</v>
      </c>
    </row>
    <row r="6021" spans="6:12">
      <c r="H6021" t="s">
        <v>20287</v>
      </c>
      <c r="I6021" t="s">
        <v>1357</v>
      </c>
      <c r="J6021" t="s">
        <v>1357</v>
      </c>
      <c r="K6021" t="s">
        <v>1357</v>
      </c>
      <c r="L6021" t="s">
        <v>1357</v>
      </c>
    </row>
    <row r="6022" spans="6:12">
      <c r="F6022" t="s">
        <v>14753</v>
      </c>
      <c r="G6022" t="s">
        <v>17597</v>
      </c>
      <c r="H6022" t="s">
        <v>20280</v>
      </c>
      <c r="I6022" t="s">
        <v>1357</v>
      </c>
      <c r="J6022" t="s">
        <v>1357</v>
      </c>
      <c r="K6022" t="s">
        <v>1357</v>
      </c>
      <c r="L6022" t="s">
        <v>1357</v>
      </c>
    </row>
    <row r="6023" spans="6:12">
      <c r="H6023" t="s">
        <v>20233</v>
      </c>
      <c r="I6023" t="s">
        <v>1357</v>
      </c>
      <c r="J6023" t="s">
        <v>1357</v>
      </c>
      <c r="K6023" t="s">
        <v>1357</v>
      </c>
      <c r="L6023" t="s">
        <v>1357</v>
      </c>
    </row>
    <row r="6024" spans="6:12">
      <c r="H6024" t="s">
        <v>20230</v>
      </c>
      <c r="I6024" t="s">
        <v>1357</v>
      </c>
      <c r="J6024" t="s">
        <v>1357</v>
      </c>
      <c r="K6024" t="s">
        <v>1357</v>
      </c>
      <c r="L6024" t="s">
        <v>1357</v>
      </c>
    </row>
    <row r="6025" spans="6:12">
      <c r="H6025" t="s">
        <v>20296</v>
      </c>
      <c r="I6025" t="s">
        <v>1357</v>
      </c>
      <c r="J6025" t="s">
        <v>1357</v>
      </c>
      <c r="K6025" t="s">
        <v>1357</v>
      </c>
      <c r="L6025" t="s">
        <v>1357</v>
      </c>
    </row>
    <row r="6026" spans="6:12">
      <c r="H6026" t="s">
        <v>20297</v>
      </c>
      <c r="I6026" t="s">
        <v>1357</v>
      </c>
      <c r="J6026" t="s">
        <v>1357</v>
      </c>
      <c r="K6026" t="s">
        <v>1357</v>
      </c>
      <c r="L6026" t="s">
        <v>1357</v>
      </c>
    </row>
    <row r="6027" spans="6:12">
      <c r="H6027" t="s">
        <v>20234</v>
      </c>
      <c r="I6027" t="s">
        <v>1357</v>
      </c>
      <c r="J6027" t="s">
        <v>1357</v>
      </c>
      <c r="K6027" t="s">
        <v>1357</v>
      </c>
      <c r="L6027" t="s">
        <v>1357</v>
      </c>
    </row>
    <row r="6028" spans="6:12">
      <c r="H6028" t="s">
        <v>20235</v>
      </c>
      <c r="I6028" t="s">
        <v>1357</v>
      </c>
      <c r="J6028" t="s">
        <v>1357</v>
      </c>
      <c r="K6028" t="s">
        <v>1357</v>
      </c>
      <c r="L6028" t="s">
        <v>1357</v>
      </c>
    </row>
    <row r="6029" spans="6:12">
      <c r="H6029" t="s">
        <v>20298</v>
      </c>
      <c r="I6029" t="s">
        <v>1357</v>
      </c>
      <c r="J6029" t="s">
        <v>1357</v>
      </c>
      <c r="K6029" t="s">
        <v>1357</v>
      </c>
      <c r="L6029" t="s">
        <v>1357</v>
      </c>
    </row>
    <row r="6030" spans="6:12">
      <c r="H6030" t="s">
        <v>20299</v>
      </c>
      <c r="I6030" t="s">
        <v>1357</v>
      </c>
      <c r="J6030" t="s">
        <v>1357</v>
      </c>
      <c r="K6030" t="s">
        <v>1357</v>
      </c>
      <c r="L6030" t="s">
        <v>1357</v>
      </c>
    </row>
    <row r="6031" spans="6:12">
      <c r="H6031" t="s">
        <v>20284</v>
      </c>
      <c r="I6031" t="s">
        <v>1357</v>
      </c>
      <c r="J6031" t="s">
        <v>1357</v>
      </c>
      <c r="K6031" t="s">
        <v>1357</v>
      </c>
      <c r="L6031" t="s">
        <v>1357</v>
      </c>
    </row>
    <row r="6032" spans="6:12">
      <c r="H6032" t="s">
        <v>20285</v>
      </c>
      <c r="I6032" t="s">
        <v>1357</v>
      </c>
      <c r="J6032" t="s">
        <v>1357</v>
      </c>
      <c r="K6032" t="s">
        <v>1357</v>
      </c>
      <c r="L6032" t="s">
        <v>1357</v>
      </c>
    </row>
    <row r="6033" spans="6:12">
      <c r="H6033" t="s">
        <v>20286</v>
      </c>
      <c r="I6033" t="s">
        <v>1357</v>
      </c>
      <c r="J6033" t="s">
        <v>1357</v>
      </c>
      <c r="K6033" t="s">
        <v>1357</v>
      </c>
      <c r="L6033" t="s">
        <v>1357</v>
      </c>
    </row>
    <row r="6034" spans="6:12">
      <c r="H6034" t="s">
        <v>20287</v>
      </c>
      <c r="I6034" t="s">
        <v>1357</v>
      </c>
      <c r="J6034" t="s">
        <v>1357</v>
      </c>
      <c r="K6034" t="s">
        <v>1357</v>
      </c>
      <c r="L6034" t="s">
        <v>1357</v>
      </c>
    </row>
    <row r="6035" spans="6:12">
      <c r="F6035" t="s">
        <v>14754</v>
      </c>
      <c r="G6035" t="s">
        <v>17598</v>
      </c>
      <c r="H6035" t="s">
        <v>20280</v>
      </c>
      <c r="I6035" t="s">
        <v>1357</v>
      </c>
      <c r="J6035" t="s">
        <v>1357</v>
      </c>
      <c r="K6035" t="s">
        <v>1357</v>
      </c>
      <c r="L6035" t="s">
        <v>1357</v>
      </c>
    </row>
    <row r="6036" spans="6:12">
      <c r="H6036" t="s">
        <v>20233</v>
      </c>
      <c r="I6036" t="s">
        <v>1357</v>
      </c>
      <c r="J6036" t="s">
        <v>1357</v>
      </c>
      <c r="K6036" t="s">
        <v>1357</v>
      </c>
      <c r="L6036" t="s">
        <v>1357</v>
      </c>
    </row>
    <row r="6037" spans="6:12">
      <c r="H6037" t="s">
        <v>20230</v>
      </c>
      <c r="I6037" t="s">
        <v>1357</v>
      </c>
      <c r="J6037" t="s">
        <v>1357</v>
      </c>
      <c r="K6037" t="s">
        <v>1357</v>
      </c>
      <c r="L6037" t="s">
        <v>1357</v>
      </c>
    </row>
    <row r="6038" spans="6:12">
      <c r="H6038" t="s">
        <v>20296</v>
      </c>
      <c r="I6038" t="s">
        <v>1357</v>
      </c>
      <c r="J6038" t="s">
        <v>1357</v>
      </c>
      <c r="K6038" t="s">
        <v>1357</v>
      </c>
      <c r="L6038" t="s">
        <v>1357</v>
      </c>
    </row>
    <row r="6039" spans="6:12">
      <c r="H6039" t="s">
        <v>20297</v>
      </c>
      <c r="I6039" t="s">
        <v>1357</v>
      </c>
      <c r="J6039" t="s">
        <v>1357</v>
      </c>
      <c r="K6039" t="s">
        <v>1357</v>
      </c>
      <c r="L6039" t="s">
        <v>1357</v>
      </c>
    </row>
    <row r="6040" spans="6:12">
      <c r="H6040" t="s">
        <v>20234</v>
      </c>
      <c r="I6040" t="s">
        <v>1357</v>
      </c>
      <c r="J6040" t="s">
        <v>1357</v>
      </c>
      <c r="K6040" t="s">
        <v>1357</v>
      </c>
      <c r="L6040" t="s">
        <v>1357</v>
      </c>
    </row>
    <row r="6041" spans="6:12">
      <c r="H6041" t="s">
        <v>20235</v>
      </c>
      <c r="I6041" t="s">
        <v>1357</v>
      </c>
      <c r="J6041" t="s">
        <v>1357</v>
      </c>
      <c r="K6041" t="s">
        <v>1357</v>
      </c>
      <c r="L6041" t="s">
        <v>1357</v>
      </c>
    </row>
    <row r="6042" spans="6:12">
      <c r="H6042" t="s">
        <v>20298</v>
      </c>
      <c r="I6042" t="s">
        <v>1357</v>
      </c>
      <c r="J6042" t="s">
        <v>1357</v>
      </c>
      <c r="K6042" t="s">
        <v>1357</v>
      </c>
      <c r="L6042" t="s">
        <v>1357</v>
      </c>
    </row>
    <row r="6043" spans="6:12">
      <c r="H6043" t="s">
        <v>20299</v>
      </c>
      <c r="I6043" t="s">
        <v>1357</v>
      </c>
      <c r="J6043" t="s">
        <v>1357</v>
      </c>
      <c r="K6043" t="s">
        <v>1357</v>
      </c>
      <c r="L6043" t="s">
        <v>1357</v>
      </c>
    </row>
    <row r="6044" spans="6:12">
      <c r="H6044" t="s">
        <v>20284</v>
      </c>
      <c r="I6044" t="s">
        <v>1357</v>
      </c>
      <c r="J6044" t="s">
        <v>1357</v>
      </c>
      <c r="K6044" t="s">
        <v>1357</v>
      </c>
      <c r="L6044" t="s">
        <v>1357</v>
      </c>
    </row>
    <row r="6045" spans="6:12">
      <c r="H6045" t="s">
        <v>20285</v>
      </c>
      <c r="I6045" t="s">
        <v>1357</v>
      </c>
      <c r="J6045" t="s">
        <v>1357</v>
      </c>
      <c r="K6045" t="s">
        <v>1357</v>
      </c>
      <c r="L6045" t="s">
        <v>1357</v>
      </c>
    </row>
    <row r="6046" spans="6:12">
      <c r="H6046" t="s">
        <v>20286</v>
      </c>
      <c r="I6046" t="s">
        <v>1357</v>
      </c>
      <c r="J6046" t="s">
        <v>1357</v>
      </c>
      <c r="K6046" t="s">
        <v>1357</v>
      </c>
      <c r="L6046" t="s">
        <v>1357</v>
      </c>
    </row>
    <row r="6047" spans="6:12">
      <c r="H6047" t="s">
        <v>20287</v>
      </c>
      <c r="I6047" t="s">
        <v>1357</v>
      </c>
      <c r="J6047" t="s">
        <v>1357</v>
      </c>
      <c r="K6047" t="s">
        <v>1357</v>
      </c>
      <c r="L6047" t="s">
        <v>1357</v>
      </c>
    </row>
    <row r="6048" spans="6:12">
      <c r="F6048" t="s">
        <v>14755</v>
      </c>
      <c r="G6048" t="s">
        <v>17599</v>
      </c>
      <c r="H6048" t="s">
        <v>20280</v>
      </c>
      <c r="I6048" t="s">
        <v>1357</v>
      </c>
      <c r="J6048" t="s">
        <v>1357</v>
      </c>
      <c r="K6048" t="s">
        <v>1357</v>
      </c>
      <c r="L6048" t="s">
        <v>1357</v>
      </c>
    </row>
    <row r="6049" spans="6:12">
      <c r="H6049" t="s">
        <v>20233</v>
      </c>
      <c r="I6049" t="s">
        <v>1357</v>
      </c>
      <c r="J6049" t="s">
        <v>1357</v>
      </c>
      <c r="K6049" t="s">
        <v>1357</v>
      </c>
      <c r="L6049" t="s">
        <v>1357</v>
      </c>
    </row>
    <row r="6050" spans="6:12">
      <c r="H6050" t="s">
        <v>20230</v>
      </c>
      <c r="I6050" t="s">
        <v>1357</v>
      </c>
      <c r="J6050" t="s">
        <v>1357</v>
      </c>
      <c r="K6050" t="s">
        <v>1357</v>
      </c>
      <c r="L6050" t="s">
        <v>1357</v>
      </c>
    </row>
    <row r="6051" spans="6:12">
      <c r="H6051" t="s">
        <v>20296</v>
      </c>
      <c r="I6051" t="s">
        <v>1357</v>
      </c>
      <c r="J6051" t="s">
        <v>1357</v>
      </c>
      <c r="K6051" t="s">
        <v>1357</v>
      </c>
      <c r="L6051" t="s">
        <v>1357</v>
      </c>
    </row>
    <row r="6052" spans="6:12">
      <c r="H6052" t="s">
        <v>20297</v>
      </c>
      <c r="I6052" t="s">
        <v>1357</v>
      </c>
      <c r="J6052" t="s">
        <v>1357</v>
      </c>
      <c r="K6052" t="s">
        <v>1357</v>
      </c>
      <c r="L6052" t="s">
        <v>1357</v>
      </c>
    </row>
    <row r="6053" spans="6:12">
      <c r="H6053" t="s">
        <v>20234</v>
      </c>
      <c r="I6053" t="s">
        <v>1357</v>
      </c>
      <c r="J6053" t="s">
        <v>1357</v>
      </c>
      <c r="K6053" t="s">
        <v>1357</v>
      </c>
      <c r="L6053" t="s">
        <v>1357</v>
      </c>
    </row>
    <row r="6054" spans="6:12">
      <c r="H6054" t="s">
        <v>20235</v>
      </c>
      <c r="I6054" t="s">
        <v>1357</v>
      </c>
      <c r="J6054" t="s">
        <v>1357</v>
      </c>
      <c r="K6054" t="s">
        <v>1357</v>
      </c>
      <c r="L6054" t="s">
        <v>1357</v>
      </c>
    </row>
    <row r="6055" spans="6:12">
      <c r="H6055" t="s">
        <v>20298</v>
      </c>
      <c r="I6055" t="s">
        <v>1357</v>
      </c>
      <c r="J6055" t="s">
        <v>1357</v>
      </c>
      <c r="K6055" t="s">
        <v>1357</v>
      </c>
      <c r="L6055" t="s">
        <v>1357</v>
      </c>
    </row>
    <row r="6056" spans="6:12">
      <c r="H6056" t="s">
        <v>20299</v>
      </c>
      <c r="I6056" t="s">
        <v>1357</v>
      </c>
      <c r="J6056" t="s">
        <v>1357</v>
      </c>
      <c r="K6056" t="s">
        <v>1357</v>
      </c>
      <c r="L6056" t="s">
        <v>1357</v>
      </c>
    </row>
    <row r="6057" spans="6:12">
      <c r="H6057" t="s">
        <v>20300</v>
      </c>
      <c r="I6057" t="s">
        <v>1357</v>
      </c>
      <c r="J6057" t="s">
        <v>1357</v>
      </c>
      <c r="K6057" t="s">
        <v>1357</v>
      </c>
      <c r="L6057" t="s">
        <v>1357</v>
      </c>
    </row>
    <row r="6058" spans="6:12">
      <c r="H6058" t="s">
        <v>20301</v>
      </c>
      <c r="I6058" t="s">
        <v>1357</v>
      </c>
      <c r="J6058" t="s">
        <v>1357</v>
      </c>
      <c r="K6058" t="s">
        <v>1357</v>
      </c>
      <c r="L6058" t="s">
        <v>1357</v>
      </c>
    </row>
    <row r="6059" spans="6:12">
      <c r="H6059" t="s">
        <v>20302</v>
      </c>
      <c r="I6059" t="s">
        <v>1357</v>
      </c>
      <c r="J6059" t="s">
        <v>1357</v>
      </c>
      <c r="K6059" t="s">
        <v>1357</v>
      </c>
      <c r="L6059" t="s">
        <v>1357</v>
      </c>
    </row>
    <row r="6060" spans="6:12">
      <c r="H6060" t="s">
        <v>20284</v>
      </c>
      <c r="I6060" t="s">
        <v>1357</v>
      </c>
      <c r="J6060" t="s">
        <v>1357</v>
      </c>
      <c r="K6060" t="s">
        <v>1357</v>
      </c>
      <c r="L6060" t="s">
        <v>1357</v>
      </c>
    </row>
    <row r="6061" spans="6:12">
      <c r="H6061" t="s">
        <v>20285</v>
      </c>
      <c r="I6061" t="s">
        <v>1357</v>
      </c>
      <c r="J6061" t="s">
        <v>1357</v>
      </c>
      <c r="K6061" t="s">
        <v>1357</v>
      </c>
      <c r="L6061" t="s">
        <v>1357</v>
      </c>
    </row>
    <row r="6062" spans="6:12">
      <c r="H6062" t="s">
        <v>20286</v>
      </c>
      <c r="I6062" t="s">
        <v>1357</v>
      </c>
      <c r="J6062" t="s">
        <v>1357</v>
      </c>
      <c r="K6062" t="s">
        <v>1357</v>
      </c>
      <c r="L6062" t="s">
        <v>1357</v>
      </c>
    </row>
    <row r="6063" spans="6:12">
      <c r="H6063" t="s">
        <v>20287</v>
      </c>
      <c r="I6063" t="s">
        <v>1357</v>
      </c>
      <c r="J6063" t="s">
        <v>1357</v>
      </c>
      <c r="K6063" t="s">
        <v>1357</v>
      </c>
      <c r="L6063" t="s">
        <v>1357</v>
      </c>
    </row>
    <row r="6064" spans="6:12">
      <c r="F6064" t="s">
        <v>14756</v>
      </c>
      <c r="G6064" t="s">
        <v>17600</v>
      </c>
      <c r="H6064" t="s">
        <v>20280</v>
      </c>
      <c r="I6064" t="s">
        <v>1357</v>
      </c>
      <c r="J6064" t="s">
        <v>1357</v>
      </c>
      <c r="K6064" t="s">
        <v>1357</v>
      </c>
      <c r="L6064" t="s">
        <v>1357</v>
      </c>
    </row>
    <row r="6065" spans="6:12">
      <c r="H6065" t="s">
        <v>20233</v>
      </c>
      <c r="I6065" t="s">
        <v>1357</v>
      </c>
      <c r="J6065" t="s">
        <v>1357</v>
      </c>
      <c r="K6065" t="s">
        <v>1357</v>
      </c>
      <c r="L6065" t="s">
        <v>1357</v>
      </c>
    </row>
    <row r="6066" spans="6:12">
      <c r="H6066" t="s">
        <v>20281</v>
      </c>
      <c r="I6066" t="s">
        <v>1357</v>
      </c>
      <c r="J6066" t="s">
        <v>1357</v>
      </c>
      <c r="K6066" t="s">
        <v>1357</v>
      </c>
      <c r="L6066" t="s">
        <v>1357</v>
      </c>
    </row>
    <row r="6067" spans="6:12">
      <c r="H6067" t="s">
        <v>20282</v>
      </c>
      <c r="I6067" t="s">
        <v>1357</v>
      </c>
      <c r="J6067" t="s">
        <v>1357</v>
      </c>
      <c r="K6067" t="s">
        <v>1357</v>
      </c>
      <c r="L6067" t="s">
        <v>1357</v>
      </c>
    </row>
    <row r="6068" spans="6:12">
      <c r="H6068" t="s">
        <v>20283</v>
      </c>
      <c r="I6068" t="s">
        <v>1357</v>
      </c>
      <c r="J6068" t="s">
        <v>1357</v>
      </c>
      <c r="K6068" t="s">
        <v>1357</v>
      </c>
      <c r="L6068" t="s">
        <v>1357</v>
      </c>
    </row>
    <row r="6069" spans="6:12">
      <c r="H6069" t="s">
        <v>20284</v>
      </c>
      <c r="I6069" t="s">
        <v>1357</v>
      </c>
      <c r="J6069" t="s">
        <v>1357</v>
      </c>
      <c r="K6069" t="s">
        <v>1357</v>
      </c>
      <c r="L6069" t="s">
        <v>1357</v>
      </c>
    </row>
    <row r="6070" spans="6:12">
      <c r="H6070" t="s">
        <v>20285</v>
      </c>
      <c r="I6070" t="s">
        <v>1357</v>
      </c>
      <c r="J6070" t="s">
        <v>1357</v>
      </c>
      <c r="K6070" t="s">
        <v>1357</v>
      </c>
      <c r="L6070" t="s">
        <v>1357</v>
      </c>
    </row>
    <row r="6071" spans="6:12">
      <c r="H6071" t="s">
        <v>20286</v>
      </c>
      <c r="I6071" t="s">
        <v>1357</v>
      </c>
      <c r="J6071" t="s">
        <v>1357</v>
      </c>
      <c r="K6071" t="s">
        <v>1357</v>
      </c>
      <c r="L6071" t="s">
        <v>1357</v>
      </c>
    </row>
    <row r="6072" spans="6:12">
      <c r="H6072" t="s">
        <v>20287</v>
      </c>
      <c r="I6072" t="s">
        <v>1357</v>
      </c>
      <c r="J6072" t="s">
        <v>1357</v>
      </c>
      <c r="K6072" t="s">
        <v>1357</v>
      </c>
      <c r="L6072" t="s">
        <v>1357</v>
      </c>
    </row>
    <row r="6073" spans="6:12">
      <c r="H6073" t="s">
        <v>20288</v>
      </c>
      <c r="I6073" t="s">
        <v>1357</v>
      </c>
      <c r="J6073" t="s">
        <v>1357</v>
      </c>
      <c r="K6073" t="s">
        <v>1357</v>
      </c>
      <c r="L6073" t="s">
        <v>1357</v>
      </c>
    </row>
    <row r="6074" spans="6:12">
      <c r="H6074" t="s">
        <v>20289</v>
      </c>
      <c r="I6074" t="s">
        <v>1357</v>
      </c>
      <c r="J6074" t="s">
        <v>1357</v>
      </c>
      <c r="K6074" t="s">
        <v>1357</v>
      </c>
      <c r="L6074" t="s">
        <v>1357</v>
      </c>
    </row>
    <row r="6075" spans="6:12">
      <c r="H6075" t="s">
        <v>20290</v>
      </c>
      <c r="I6075" t="s">
        <v>1357</v>
      </c>
      <c r="J6075" t="s">
        <v>1357</v>
      </c>
      <c r="K6075" t="s">
        <v>1357</v>
      </c>
      <c r="L6075" t="s">
        <v>1357</v>
      </c>
    </row>
    <row r="6076" spans="6:12">
      <c r="H6076" t="s">
        <v>20291</v>
      </c>
      <c r="I6076" t="s">
        <v>1357</v>
      </c>
      <c r="J6076" t="s">
        <v>1357</v>
      </c>
      <c r="K6076" t="s">
        <v>1357</v>
      </c>
      <c r="L6076" t="s">
        <v>1357</v>
      </c>
    </row>
    <row r="6077" spans="6:12">
      <c r="F6077" t="s">
        <v>14757</v>
      </c>
      <c r="G6077" t="s">
        <v>17601</v>
      </c>
      <c r="H6077" t="s">
        <v>20280</v>
      </c>
      <c r="I6077" t="s">
        <v>1357</v>
      </c>
      <c r="J6077" t="s">
        <v>1357</v>
      </c>
      <c r="K6077" t="s">
        <v>1357</v>
      </c>
      <c r="L6077" t="s">
        <v>1357</v>
      </c>
    </row>
    <row r="6078" spans="6:12">
      <c r="H6078" t="s">
        <v>20233</v>
      </c>
      <c r="I6078" t="s">
        <v>1357</v>
      </c>
      <c r="J6078" t="s">
        <v>1357</v>
      </c>
      <c r="K6078" t="s">
        <v>1357</v>
      </c>
      <c r="L6078" t="s">
        <v>1357</v>
      </c>
    </row>
    <row r="6079" spans="6:12">
      <c r="H6079" t="s">
        <v>20281</v>
      </c>
      <c r="I6079" t="s">
        <v>1357</v>
      </c>
      <c r="J6079" t="s">
        <v>1357</v>
      </c>
      <c r="K6079" t="s">
        <v>1357</v>
      </c>
      <c r="L6079" t="s">
        <v>1357</v>
      </c>
    </row>
    <row r="6080" spans="6:12">
      <c r="H6080" t="s">
        <v>20282</v>
      </c>
      <c r="I6080" t="s">
        <v>1357</v>
      </c>
      <c r="J6080" t="s">
        <v>1357</v>
      </c>
      <c r="K6080" t="s">
        <v>1357</v>
      </c>
      <c r="L6080" t="s">
        <v>1357</v>
      </c>
    </row>
    <row r="6081" spans="6:12">
      <c r="H6081" t="s">
        <v>20283</v>
      </c>
      <c r="I6081" t="s">
        <v>1357</v>
      </c>
      <c r="J6081" t="s">
        <v>1357</v>
      </c>
      <c r="K6081" t="s">
        <v>1357</v>
      </c>
      <c r="L6081" t="s">
        <v>1357</v>
      </c>
    </row>
    <row r="6082" spans="6:12">
      <c r="H6082" t="s">
        <v>20284</v>
      </c>
      <c r="I6082" t="s">
        <v>1357</v>
      </c>
      <c r="J6082" t="s">
        <v>1357</v>
      </c>
      <c r="K6082" t="s">
        <v>1357</v>
      </c>
      <c r="L6082" t="s">
        <v>1357</v>
      </c>
    </row>
    <row r="6083" spans="6:12">
      <c r="H6083" t="s">
        <v>20285</v>
      </c>
      <c r="I6083" t="s">
        <v>1357</v>
      </c>
      <c r="J6083" t="s">
        <v>1357</v>
      </c>
      <c r="K6083" t="s">
        <v>1357</v>
      </c>
      <c r="L6083" t="s">
        <v>1357</v>
      </c>
    </row>
    <row r="6084" spans="6:12">
      <c r="H6084" t="s">
        <v>20286</v>
      </c>
      <c r="I6084" t="s">
        <v>1357</v>
      </c>
      <c r="J6084" t="s">
        <v>1357</v>
      </c>
      <c r="K6084" t="s">
        <v>1357</v>
      </c>
      <c r="L6084" t="s">
        <v>1357</v>
      </c>
    </row>
    <row r="6085" spans="6:12">
      <c r="H6085" t="s">
        <v>20287</v>
      </c>
      <c r="I6085" t="s">
        <v>1357</v>
      </c>
      <c r="J6085" t="s">
        <v>1357</v>
      </c>
      <c r="K6085" t="s">
        <v>1357</v>
      </c>
      <c r="L6085" t="s">
        <v>1357</v>
      </c>
    </row>
    <row r="6086" spans="6:12">
      <c r="H6086" t="s">
        <v>20288</v>
      </c>
      <c r="I6086" t="s">
        <v>1357</v>
      </c>
      <c r="J6086" t="s">
        <v>1357</v>
      </c>
      <c r="K6086" t="s">
        <v>1357</v>
      </c>
      <c r="L6086" t="s">
        <v>1357</v>
      </c>
    </row>
    <row r="6087" spans="6:12">
      <c r="H6087" t="s">
        <v>20289</v>
      </c>
      <c r="I6087" t="s">
        <v>1357</v>
      </c>
      <c r="J6087" t="s">
        <v>1357</v>
      </c>
      <c r="K6087" t="s">
        <v>1357</v>
      </c>
      <c r="L6087" t="s">
        <v>1357</v>
      </c>
    </row>
    <row r="6088" spans="6:12">
      <c r="H6088" t="s">
        <v>20290</v>
      </c>
      <c r="I6088" t="s">
        <v>1357</v>
      </c>
      <c r="J6088" t="s">
        <v>1357</v>
      </c>
      <c r="K6088" t="s">
        <v>1357</v>
      </c>
      <c r="L6088" t="s">
        <v>1357</v>
      </c>
    </row>
    <row r="6089" spans="6:12">
      <c r="H6089" t="s">
        <v>20291</v>
      </c>
      <c r="I6089" t="s">
        <v>1357</v>
      </c>
      <c r="J6089" t="s">
        <v>1357</v>
      </c>
      <c r="K6089" t="s">
        <v>1357</v>
      </c>
      <c r="L6089" t="s">
        <v>1357</v>
      </c>
    </row>
    <row r="6090" spans="6:12">
      <c r="F6090" t="s">
        <v>14758</v>
      </c>
      <c r="G6090" t="s">
        <v>17602</v>
      </c>
      <c r="H6090" t="s">
        <v>20280</v>
      </c>
      <c r="I6090" t="s">
        <v>1357</v>
      </c>
      <c r="J6090" t="s">
        <v>1357</v>
      </c>
      <c r="K6090" t="s">
        <v>1357</v>
      </c>
      <c r="L6090" t="s">
        <v>1357</v>
      </c>
    </row>
    <row r="6091" spans="6:12">
      <c r="H6091" t="s">
        <v>20233</v>
      </c>
      <c r="I6091" t="s">
        <v>1357</v>
      </c>
      <c r="J6091" t="s">
        <v>1357</v>
      </c>
      <c r="K6091" t="s">
        <v>1357</v>
      </c>
      <c r="L6091" t="s">
        <v>1357</v>
      </c>
    </row>
    <row r="6092" spans="6:12">
      <c r="H6092" t="s">
        <v>20230</v>
      </c>
      <c r="I6092" t="s">
        <v>1357</v>
      </c>
      <c r="J6092" t="s">
        <v>1357</v>
      </c>
      <c r="K6092" t="s">
        <v>1357</v>
      </c>
      <c r="L6092" t="s">
        <v>1357</v>
      </c>
    </row>
    <row r="6093" spans="6:12">
      <c r="H6093" t="s">
        <v>20296</v>
      </c>
      <c r="I6093" t="s">
        <v>1357</v>
      </c>
      <c r="J6093" t="s">
        <v>1357</v>
      </c>
      <c r="K6093" t="s">
        <v>1357</v>
      </c>
      <c r="L6093" t="s">
        <v>1357</v>
      </c>
    </row>
    <row r="6094" spans="6:12">
      <c r="H6094" t="s">
        <v>20297</v>
      </c>
      <c r="I6094" t="s">
        <v>1357</v>
      </c>
      <c r="J6094" t="s">
        <v>1357</v>
      </c>
      <c r="K6094" t="s">
        <v>1357</v>
      </c>
      <c r="L6094" t="s">
        <v>1357</v>
      </c>
    </row>
    <row r="6095" spans="6:12">
      <c r="H6095" t="s">
        <v>20234</v>
      </c>
      <c r="I6095" t="s">
        <v>1357</v>
      </c>
      <c r="J6095" t="s">
        <v>1357</v>
      </c>
      <c r="K6095" t="s">
        <v>1357</v>
      </c>
      <c r="L6095" t="s">
        <v>1357</v>
      </c>
    </row>
    <row r="6096" spans="6:12">
      <c r="H6096" t="s">
        <v>20235</v>
      </c>
      <c r="I6096" t="s">
        <v>1357</v>
      </c>
      <c r="J6096" t="s">
        <v>1357</v>
      </c>
      <c r="K6096" t="s">
        <v>1357</v>
      </c>
      <c r="L6096" t="s">
        <v>1357</v>
      </c>
    </row>
    <row r="6097" spans="6:12">
      <c r="H6097" t="s">
        <v>20298</v>
      </c>
      <c r="I6097" t="s">
        <v>1357</v>
      </c>
      <c r="J6097" t="s">
        <v>1357</v>
      </c>
      <c r="K6097" t="s">
        <v>1357</v>
      </c>
      <c r="L6097" t="s">
        <v>1357</v>
      </c>
    </row>
    <row r="6098" spans="6:12">
      <c r="H6098" t="s">
        <v>20284</v>
      </c>
      <c r="I6098" t="s">
        <v>1357</v>
      </c>
      <c r="J6098" t="s">
        <v>1357</v>
      </c>
      <c r="K6098" t="s">
        <v>1357</v>
      </c>
      <c r="L6098" t="s">
        <v>1357</v>
      </c>
    </row>
    <row r="6099" spans="6:12">
      <c r="H6099" t="s">
        <v>20285</v>
      </c>
      <c r="I6099" t="s">
        <v>1357</v>
      </c>
      <c r="J6099" t="s">
        <v>1357</v>
      </c>
      <c r="K6099" t="s">
        <v>1357</v>
      </c>
      <c r="L6099" t="s">
        <v>1357</v>
      </c>
    </row>
    <row r="6100" spans="6:12">
      <c r="H6100" t="s">
        <v>20286</v>
      </c>
      <c r="I6100" t="s">
        <v>1357</v>
      </c>
      <c r="J6100" t="s">
        <v>1357</v>
      </c>
      <c r="K6100" t="s">
        <v>1357</v>
      </c>
      <c r="L6100" t="s">
        <v>1357</v>
      </c>
    </row>
    <row r="6101" spans="6:12">
      <c r="H6101" t="s">
        <v>20287</v>
      </c>
      <c r="I6101" t="s">
        <v>1357</v>
      </c>
      <c r="J6101" t="s">
        <v>1357</v>
      </c>
      <c r="K6101" t="s">
        <v>1357</v>
      </c>
      <c r="L6101" t="s">
        <v>1357</v>
      </c>
    </row>
    <row r="6102" spans="6:12">
      <c r="F6102" t="s">
        <v>14759</v>
      </c>
      <c r="G6102" t="s">
        <v>17603</v>
      </c>
      <c r="H6102" t="s">
        <v>20280</v>
      </c>
      <c r="I6102" t="s">
        <v>1357</v>
      </c>
      <c r="J6102" t="s">
        <v>1357</v>
      </c>
      <c r="K6102" t="s">
        <v>1357</v>
      </c>
      <c r="L6102" t="s">
        <v>1357</v>
      </c>
    </row>
    <row r="6103" spans="6:12">
      <c r="H6103" t="s">
        <v>20233</v>
      </c>
      <c r="I6103" t="s">
        <v>1357</v>
      </c>
      <c r="J6103" t="s">
        <v>1357</v>
      </c>
      <c r="K6103" t="s">
        <v>1357</v>
      </c>
      <c r="L6103" t="s">
        <v>1357</v>
      </c>
    </row>
    <row r="6104" spans="6:12">
      <c r="H6104" t="s">
        <v>20230</v>
      </c>
      <c r="I6104" t="s">
        <v>1357</v>
      </c>
      <c r="J6104" t="s">
        <v>1357</v>
      </c>
      <c r="K6104" t="s">
        <v>1357</v>
      </c>
      <c r="L6104" t="s">
        <v>1357</v>
      </c>
    </row>
    <row r="6105" spans="6:12">
      <c r="H6105" t="s">
        <v>20296</v>
      </c>
      <c r="I6105" t="s">
        <v>1357</v>
      </c>
      <c r="J6105" t="s">
        <v>1357</v>
      </c>
      <c r="K6105" t="s">
        <v>1357</v>
      </c>
      <c r="L6105" t="s">
        <v>1357</v>
      </c>
    </row>
    <row r="6106" spans="6:12">
      <c r="H6106" t="s">
        <v>20297</v>
      </c>
      <c r="I6106" t="s">
        <v>1357</v>
      </c>
      <c r="J6106" t="s">
        <v>1357</v>
      </c>
      <c r="K6106" t="s">
        <v>1357</v>
      </c>
      <c r="L6106" t="s">
        <v>1357</v>
      </c>
    </row>
    <row r="6107" spans="6:12">
      <c r="H6107" t="s">
        <v>20234</v>
      </c>
      <c r="I6107" t="s">
        <v>1357</v>
      </c>
      <c r="J6107" t="s">
        <v>1357</v>
      </c>
      <c r="K6107" t="s">
        <v>1357</v>
      </c>
      <c r="L6107" t="s">
        <v>1357</v>
      </c>
    </row>
    <row r="6108" spans="6:12">
      <c r="H6108" t="s">
        <v>20235</v>
      </c>
      <c r="I6108" t="s">
        <v>1357</v>
      </c>
      <c r="J6108" t="s">
        <v>1357</v>
      </c>
      <c r="K6108" t="s">
        <v>1357</v>
      </c>
      <c r="L6108" t="s">
        <v>1357</v>
      </c>
    </row>
    <row r="6109" spans="6:12">
      <c r="H6109" t="s">
        <v>20298</v>
      </c>
      <c r="I6109" t="s">
        <v>1357</v>
      </c>
      <c r="J6109" t="s">
        <v>1357</v>
      </c>
      <c r="K6109" t="s">
        <v>1357</v>
      </c>
      <c r="L6109" t="s">
        <v>1357</v>
      </c>
    </row>
    <row r="6110" spans="6:12">
      <c r="H6110" t="s">
        <v>20284</v>
      </c>
      <c r="I6110" t="s">
        <v>1357</v>
      </c>
      <c r="J6110" t="s">
        <v>1357</v>
      </c>
      <c r="K6110" t="s">
        <v>1357</v>
      </c>
      <c r="L6110" t="s">
        <v>1357</v>
      </c>
    </row>
    <row r="6111" spans="6:12">
      <c r="H6111" t="s">
        <v>20285</v>
      </c>
      <c r="I6111" t="s">
        <v>1357</v>
      </c>
      <c r="J6111" t="s">
        <v>1357</v>
      </c>
      <c r="K6111" t="s">
        <v>1357</v>
      </c>
      <c r="L6111" t="s">
        <v>1357</v>
      </c>
    </row>
    <row r="6112" spans="6:12">
      <c r="H6112" t="s">
        <v>20286</v>
      </c>
      <c r="I6112" t="s">
        <v>1357</v>
      </c>
      <c r="J6112" t="s">
        <v>1357</v>
      </c>
      <c r="K6112" t="s">
        <v>1357</v>
      </c>
      <c r="L6112" t="s">
        <v>1357</v>
      </c>
    </row>
    <row r="6113" spans="6:12">
      <c r="H6113" t="s">
        <v>20287</v>
      </c>
      <c r="I6113" t="s">
        <v>1357</v>
      </c>
      <c r="J6113" t="s">
        <v>1357</v>
      </c>
      <c r="K6113" t="s">
        <v>1357</v>
      </c>
      <c r="L6113" t="s">
        <v>1357</v>
      </c>
    </row>
    <row r="6114" spans="6:12">
      <c r="F6114" t="s">
        <v>14760</v>
      </c>
      <c r="G6114" t="s">
        <v>17604</v>
      </c>
      <c r="H6114" t="s">
        <v>20280</v>
      </c>
      <c r="I6114" t="s">
        <v>1357</v>
      </c>
      <c r="J6114" t="s">
        <v>1357</v>
      </c>
      <c r="K6114" t="s">
        <v>1357</v>
      </c>
      <c r="L6114" t="s">
        <v>1357</v>
      </c>
    </row>
    <row r="6115" spans="6:12">
      <c r="H6115" t="s">
        <v>20284</v>
      </c>
      <c r="I6115" t="s">
        <v>1357</v>
      </c>
      <c r="J6115" t="s">
        <v>1357</v>
      </c>
      <c r="K6115" t="s">
        <v>1357</v>
      </c>
      <c r="L6115" t="s">
        <v>1357</v>
      </c>
    </row>
    <row r="6116" spans="6:12">
      <c r="F6116" t="s">
        <v>14761</v>
      </c>
      <c r="G6116" t="s">
        <v>17605</v>
      </c>
      <c r="H6116" t="s">
        <v>20280</v>
      </c>
      <c r="I6116" t="s">
        <v>1357</v>
      </c>
      <c r="J6116" t="s">
        <v>1357</v>
      </c>
      <c r="K6116" t="s">
        <v>1357</v>
      </c>
      <c r="L6116" t="s">
        <v>1357</v>
      </c>
    </row>
    <row r="6117" spans="6:12">
      <c r="H6117" t="s">
        <v>20284</v>
      </c>
      <c r="I6117" t="s">
        <v>1357</v>
      </c>
      <c r="J6117" t="s">
        <v>1357</v>
      </c>
      <c r="K6117" t="s">
        <v>1357</v>
      </c>
      <c r="L6117" t="s">
        <v>1357</v>
      </c>
    </row>
    <row r="6118" spans="6:12">
      <c r="F6118" t="s">
        <v>14762</v>
      </c>
      <c r="G6118" t="s">
        <v>17606</v>
      </c>
      <c r="H6118" t="s">
        <v>20280</v>
      </c>
      <c r="I6118" t="s">
        <v>1357</v>
      </c>
      <c r="J6118" t="s">
        <v>1357</v>
      </c>
      <c r="K6118" t="s">
        <v>1357</v>
      </c>
      <c r="L6118" t="s">
        <v>1357</v>
      </c>
    </row>
    <row r="6119" spans="6:12">
      <c r="H6119" t="s">
        <v>20233</v>
      </c>
      <c r="I6119" t="s">
        <v>1357</v>
      </c>
      <c r="J6119" t="s">
        <v>1357</v>
      </c>
      <c r="K6119" t="s">
        <v>1357</v>
      </c>
      <c r="L6119" t="s">
        <v>1357</v>
      </c>
    </row>
    <row r="6120" spans="6:12">
      <c r="H6120" t="s">
        <v>20230</v>
      </c>
      <c r="I6120" t="s">
        <v>1357</v>
      </c>
      <c r="J6120" t="s">
        <v>1357</v>
      </c>
      <c r="K6120" t="s">
        <v>1357</v>
      </c>
      <c r="L6120" t="s">
        <v>1357</v>
      </c>
    </row>
    <row r="6121" spans="6:12">
      <c r="H6121" t="s">
        <v>20227</v>
      </c>
      <c r="I6121" t="s">
        <v>1357</v>
      </c>
      <c r="J6121" t="s">
        <v>1357</v>
      </c>
      <c r="K6121" t="s">
        <v>1357</v>
      </c>
      <c r="L6121" t="s">
        <v>1357</v>
      </c>
    </row>
    <row r="6122" spans="6:12">
      <c r="H6122" t="s">
        <v>20297</v>
      </c>
      <c r="I6122" t="s">
        <v>1357</v>
      </c>
      <c r="J6122" t="s">
        <v>1357</v>
      </c>
      <c r="K6122" t="s">
        <v>1357</v>
      </c>
      <c r="L6122" t="s">
        <v>1357</v>
      </c>
    </row>
    <row r="6123" spans="6:12">
      <c r="H6123" t="s">
        <v>20234</v>
      </c>
      <c r="I6123" t="s">
        <v>1357</v>
      </c>
      <c r="J6123" t="s">
        <v>1357</v>
      </c>
      <c r="K6123" t="s">
        <v>1357</v>
      </c>
      <c r="L6123" t="s">
        <v>1357</v>
      </c>
    </row>
    <row r="6124" spans="6:12">
      <c r="H6124" t="s">
        <v>20235</v>
      </c>
      <c r="I6124" t="s">
        <v>1357</v>
      </c>
      <c r="J6124" t="s">
        <v>1357</v>
      </c>
      <c r="K6124" t="s">
        <v>1357</v>
      </c>
      <c r="L6124" t="s">
        <v>1357</v>
      </c>
    </row>
    <row r="6125" spans="6:12">
      <c r="H6125" t="s">
        <v>20298</v>
      </c>
      <c r="I6125" t="s">
        <v>1357</v>
      </c>
      <c r="J6125" t="s">
        <v>1357</v>
      </c>
      <c r="K6125" t="s">
        <v>1357</v>
      </c>
      <c r="L6125" t="s">
        <v>1357</v>
      </c>
    </row>
    <row r="6126" spans="6:12">
      <c r="H6126" t="s">
        <v>20299</v>
      </c>
      <c r="I6126" t="s">
        <v>1357</v>
      </c>
      <c r="J6126" t="s">
        <v>1357</v>
      </c>
      <c r="K6126" t="s">
        <v>1357</v>
      </c>
      <c r="L6126" t="s">
        <v>1357</v>
      </c>
    </row>
    <row r="6127" spans="6:12">
      <c r="H6127" t="s">
        <v>20300</v>
      </c>
      <c r="I6127" t="s">
        <v>1357</v>
      </c>
      <c r="J6127" t="s">
        <v>1357</v>
      </c>
      <c r="K6127" t="s">
        <v>1357</v>
      </c>
      <c r="L6127" t="s">
        <v>1357</v>
      </c>
    </row>
    <row r="6128" spans="6:12">
      <c r="H6128" t="s">
        <v>20301</v>
      </c>
      <c r="I6128" t="s">
        <v>1357</v>
      </c>
      <c r="J6128" t="s">
        <v>1357</v>
      </c>
      <c r="K6128" t="s">
        <v>1357</v>
      </c>
      <c r="L6128" t="s">
        <v>1357</v>
      </c>
    </row>
    <row r="6129" spans="6:12">
      <c r="H6129" t="s">
        <v>20302</v>
      </c>
      <c r="I6129" t="s">
        <v>1357</v>
      </c>
      <c r="J6129" t="s">
        <v>1357</v>
      </c>
      <c r="K6129" t="s">
        <v>1357</v>
      </c>
      <c r="L6129" t="s">
        <v>1357</v>
      </c>
    </row>
    <row r="6130" spans="6:12">
      <c r="H6130" t="s">
        <v>20284</v>
      </c>
      <c r="I6130" t="s">
        <v>1357</v>
      </c>
      <c r="J6130" t="s">
        <v>1357</v>
      </c>
      <c r="K6130" t="s">
        <v>1357</v>
      </c>
      <c r="L6130" t="s">
        <v>1357</v>
      </c>
    </row>
    <row r="6131" spans="6:12">
      <c r="H6131" t="s">
        <v>20285</v>
      </c>
      <c r="I6131" t="s">
        <v>1357</v>
      </c>
      <c r="J6131" t="s">
        <v>1357</v>
      </c>
      <c r="K6131" t="s">
        <v>1357</v>
      </c>
      <c r="L6131" t="s">
        <v>1357</v>
      </c>
    </row>
    <row r="6132" spans="6:12">
      <c r="H6132" t="s">
        <v>20286</v>
      </c>
      <c r="I6132" t="s">
        <v>1357</v>
      </c>
      <c r="J6132" t="s">
        <v>1357</v>
      </c>
      <c r="K6132" t="s">
        <v>1357</v>
      </c>
      <c r="L6132" t="s">
        <v>1357</v>
      </c>
    </row>
    <row r="6133" spans="6:12">
      <c r="H6133" t="s">
        <v>20287</v>
      </c>
      <c r="I6133" t="s">
        <v>1357</v>
      </c>
      <c r="J6133" t="s">
        <v>1357</v>
      </c>
      <c r="K6133" t="s">
        <v>1357</v>
      </c>
      <c r="L6133" t="s">
        <v>1357</v>
      </c>
    </row>
    <row r="6134" spans="6:12">
      <c r="F6134" t="s">
        <v>14763</v>
      </c>
      <c r="G6134" t="s">
        <v>17607</v>
      </c>
      <c r="H6134" t="s">
        <v>20280</v>
      </c>
      <c r="I6134" t="s">
        <v>1357</v>
      </c>
      <c r="J6134" t="s">
        <v>1357</v>
      </c>
      <c r="K6134" t="s">
        <v>1357</v>
      </c>
      <c r="L6134" t="s">
        <v>1357</v>
      </c>
    </row>
    <row r="6135" spans="6:12">
      <c r="H6135" t="s">
        <v>20233</v>
      </c>
      <c r="I6135" t="s">
        <v>1357</v>
      </c>
      <c r="J6135" t="s">
        <v>1357</v>
      </c>
      <c r="K6135" t="s">
        <v>1357</v>
      </c>
      <c r="L6135" t="s">
        <v>1357</v>
      </c>
    </row>
    <row r="6136" spans="6:12">
      <c r="H6136" t="s">
        <v>20284</v>
      </c>
      <c r="I6136" t="s">
        <v>1357</v>
      </c>
      <c r="J6136" t="s">
        <v>1357</v>
      </c>
      <c r="K6136" t="s">
        <v>1357</v>
      </c>
      <c r="L6136" t="s">
        <v>1357</v>
      </c>
    </row>
    <row r="6137" spans="6:12">
      <c r="H6137" t="s">
        <v>20285</v>
      </c>
      <c r="I6137" t="s">
        <v>1357</v>
      </c>
      <c r="J6137" t="s">
        <v>1357</v>
      </c>
      <c r="K6137" t="s">
        <v>1357</v>
      </c>
      <c r="L6137" t="s">
        <v>1357</v>
      </c>
    </row>
    <row r="6138" spans="6:12">
      <c r="H6138" t="s">
        <v>20286</v>
      </c>
      <c r="I6138" t="s">
        <v>1357</v>
      </c>
      <c r="J6138" t="s">
        <v>1357</v>
      </c>
      <c r="K6138" t="s">
        <v>1357</v>
      </c>
      <c r="L6138" t="s">
        <v>1357</v>
      </c>
    </row>
    <row r="6139" spans="6:12">
      <c r="H6139" t="s">
        <v>20287</v>
      </c>
      <c r="I6139" t="s">
        <v>1357</v>
      </c>
      <c r="J6139" t="s">
        <v>1357</v>
      </c>
      <c r="K6139" t="s">
        <v>1357</v>
      </c>
      <c r="L6139" t="s">
        <v>1357</v>
      </c>
    </row>
    <row r="6140" spans="6:12">
      <c r="H6140" t="s">
        <v>20230</v>
      </c>
      <c r="I6140" t="s">
        <v>1357</v>
      </c>
      <c r="J6140" t="s">
        <v>1357</v>
      </c>
      <c r="K6140" t="s">
        <v>1357</v>
      </c>
      <c r="L6140" t="s">
        <v>1357</v>
      </c>
    </row>
    <row r="6141" spans="6:12">
      <c r="H6141" t="s">
        <v>20227</v>
      </c>
      <c r="I6141" t="s">
        <v>1357</v>
      </c>
      <c r="J6141" t="s">
        <v>1357</v>
      </c>
      <c r="K6141" t="s">
        <v>1357</v>
      </c>
      <c r="L6141" t="s">
        <v>1357</v>
      </c>
    </row>
    <row r="6142" spans="6:12">
      <c r="H6142" t="s">
        <v>20288</v>
      </c>
      <c r="I6142" t="s">
        <v>1357</v>
      </c>
      <c r="J6142" t="s">
        <v>1357</v>
      </c>
      <c r="K6142" t="s">
        <v>1357</v>
      </c>
      <c r="L6142" t="s">
        <v>1357</v>
      </c>
    </row>
    <row r="6143" spans="6:12">
      <c r="H6143" t="s">
        <v>20289</v>
      </c>
      <c r="I6143" t="s">
        <v>1357</v>
      </c>
      <c r="J6143" t="s">
        <v>1357</v>
      </c>
      <c r="K6143" t="s">
        <v>1357</v>
      </c>
      <c r="L6143" t="s">
        <v>1357</v>
      </c>
    </row>
    <row r="6144" spans="6:12">
      <c r="H6144" t="s">
        <v>20290</v>
      </c>
      <c r="I6144" t="s">
        <v>1357</v>
      </c>
      <c r="J6144" t="s">
        <v>1357</v>
      </c>
      <c r="K6144" t="s">
        <v>1357</v>
      </c>
      <c r="L6144" t="s">
        <v>1357</v>
      </c>
    </row>
    <row r="6145" spans="6:12">
      <c r="H6145" t="s">
        <v>20291</v>
      </c>
      <c r="I6145" t="s">
        <v>1357</v>
      </c>
      <c r="J6145" t="s">
        <v>1357</v>
      </c>
      <c r="K6145" t="s">
        <v>1357</v>
      </c>
      <c r="L6145" t="s">
        <v>1357</v>
      </c>
    </row>
    <row r="6146" spans="6:12">
      <c r="F6146" t="s">
        <v>14764</v>
      </c>
      <c r="G6146" t="s">
        <v>17608</v>
      </c>
      <c r="H6146" t="s">
        <v>20280</v>
      </c>
      <c r="I6146" t="s">
        <v>1357</v>
      </c>
      <c r="J6146" t="s">
        <v>1357</v>
      </c>
      <c r="K6146" t="s">
        <v>1357</v>
      </c>
      <c r="L6146" t="s">
        <v>1357</v>
      </c>
    </row>
    <row r="6147" spans="6:12">
      <c r="H6147" t="s">
        <v>20233</v>
      </c>
      <c r="I6147" t="s">
        <v>1357</v>
      </c>
      <c r="J6147" t="s">
        <v>1357</v>
      </c>
      <c r="K6147" t="s">
        <v>1357</v>
      </c>
      <c r="L6147" t="s">
        <v>1357</v>
      </c>
    </row>
    <row r="6148" spans="6:12">
      <c r="H6148" t="s">
        <v>20284</v>
      </c>
      <c r="I6148" t="s">
        <v>1357</v>
      </c>
      <c r="J6148" t="s">
        <v>1357</v>
      </c>
      <c r="K6148" t="s">
        <v>1357</v>
      </c>
      <c r="L6148" t="s">
        <v>1357</v>
      </c>
    </row>
    <row r="6149" spans="6:12">
      <c r="H6149" t="s">
        <v>20285</v>
      </c>
      <c r="I6149" t="s">
        <v>1357</v>
      </c>
      <c r="J6149" t="s">
        <v>1357</v>
      </c>
      <c r="K6149" t="s">
        <v>1357</v>
      </c>
      <c r="L6149" t="s">
        <v>1357</v>
      </c>
    </row>
    <row r="6150" spans="6:12">
      <c r="H6150" t="s">
        <v>20286</v>
      </c>
      <c r="I6150" t="s">
        <v>1357</v>
      </c>
      <c r="J6150" t="s">
        <v>1357</v>
      </c>
      <c r="K6150" t="s">
        <v>1357</v>
      </c>
      <c r="L6150" t="s">
        <v>1357</v>
      </c>
    </row>
    <row r="6151" spans="6:12">
      <c r="H6151" t="s">
        <v>20287</v>
      </c>
      <c r="I6151" t="s">
        <v>1357</v>
      </c>
      <c r="J6151" t="s">
        <v>1357</v>
      </c>
      <c r="K6151" t="s">
        <v>1357</v>
      </c>
      <c r="L6151" t="s">
        <v>1357</v>
      </c>
    </row>
    <row r="6152" spans="6:12">
      <c r="F6152" t="s">
        <v>14765</v>
      </c>
      <c r="G6152" t="s">
        <v>17609</v>
      </c>
      <c r="H6152" t="s">
        <v>20280</v>
      </c>
      <c r="I6152" t="s">
        <v>1357</v>
      </c>
      <c r="J6152" t="s">
        <v>1357</v>
      </c>
      <c r="K6152" t="s">
        <v>1357</v>
      </c>
      <c r="L6152" t="s">
        <v>1357</v>
      </c>
    </row>
    <row r="6153" spans="6:12">
      <c r="H6153" t="s">
        <v>20233</v>
      </c>
      <c r="I6153" t="s">
        <v>1357</v>
      </c>
      <c r="J6153" t="s">
        <v>1357</v>
      </c>
      <c r="K6153" t="s">
        <v>1357</v>
      </c>
      <c r="L6153" t="s">
        <v>1357</v>
      </c>
    </row>
    <row r="6154" spans="6:12">
      <c r="H6154" t="s">
        <v>20284</v>
      </c>
      <c r="I6154" t="s">
        <v>1357</v>
      </c>
      <c r="J6154" t="s">
        <v>1357</v>
      </c>
      <c r="K6154" t="s">
        <v>1357</v>
      </c>
      <c r="L6154" t="s">
        <v>1357</v>
      </c>
    </row>
    <row r="6155" spans="6:12">
      <c r="H6155" t="s">
        <v>20285</v>
      </c>
      <c r="I6155" t="s">
        <v>1357</v>
      </c>
      <c r="J6155" t="s">
        <v>1357</v>
      </c>
      <c r="K6155" t="s">
        <v>1357</v>
      </c>
      <c r="L6155" t="s">
        <v>1357</v>
      </c>
    </row>
    <row r="6156" spans="6:12">
      <c r="H6156" t="s">
        <v>20286</v>
      </c>
      <c r="I6156" t="s">
        <v>1357</v>
      </c>
      <c r="J6156" t="s">
        <v>1357</v>
      </c>
      <c r="K6156" t="s">
        <v>1357</v>
      </c>
      <c r="L6156" t="s">
        <v>1357</v>
      </c>
    </row>
    <row r="6157" spans="6:12">
      <c r="H6157" t="s">
        <v>20287</v>
      </c>
      <c r="I6157" t="s">
        <v>1357</v>
      </c>
      <c r="J6157" t="s">
        <v>1357</v>
      </c>
      <c r="K6157" t="s">
        <v>1357</v>
      </c>
      <c r="L6157" t="s">
        <v>1357</v>
      </c>
    </row>
    <row r="6158" spans="6:12">
      <c r="F6158" t="s">
        <v>14766</v>
      </c>
      <c r="G6158" t="s">
        <v>17610</v>
      </c>
      <c r="H6158" t="s">
        <v>20280</v>
      </c>
      <c r="I6158" t="s">
        <v>1357</v>
      </c>
      <c r="J6158" t="s">
        <v>1357</v>
      </c>
      <c r="K6158" t="s">
        <v>1357</v>
      </c>
      <c r="L6158" t="s">
        <v>1357</v>
      </c>
    </row>
    <row r="6159" spans="6:12">
      <c r="H6159" t="s">
        <v>20233</v>
      </c>
      <c r="I6159" t="s">
        <v>1357</v>
      </c>
      <c r="J6159" t="s">
        <v>1357</v>
      </c>
      <c r="K6159" t="s">
        <v>1357</v>
      </c>
      <c r="L6159" t="s">
        <v>1357</v>
      </c>
    </row>
    <row r="6160" spans="6:12">
      <c r="H6160" t="s">
        <v>20284</v>
      </c>
      <c r="I6160" t="s">
        <v>1357</v>
      </c>
      <c r="J6160" t="s">
        <v>1357</v>
      </c>
      <c r="K6160" t="s">
        <v>1357</v>
      </c>
      <c r="L6160" t="s">
        <v>1357</v>
      </c>
    </row>
    <row r="6161" spans="6:12">
      <c r="H6161" t="s">
        <v>20285</v>
      </c>
      <c r="I6161" t="s">
        <v>1357</v>
      </c>
      <c r="J6161" t="s">
        <v>1357</v>
      </c>
      <c r="K6161" t="s">
        <v>1357</v>
      </c>
      <c r="L6161" t="s">
        <v>1357</v>
      </c>
    </row>
    <row r="6162" spans="6:12">
      <c r="H6162" t="s">
        <v>20286</v>
      </c>
      <c r="I6162" t="s">
        <v>1357</v>
      </c>
      <c r="J6162" t="s">
        <v>1357</v>
      </c>
      <c r="K6162" t="s">
        <v>1357</v>
      </c>
      <c r="L6162" t="s">
        <v>1357</v>
      </c>
    </row>
    <row r="6163" spans="6:12">
      <c r="H6163" t="s">
        <v>20287</v>
      </c>
      <c r="I6163" t="s">
        <v>1357</v>
      </c>
      <c r="J6163" t="s">
        <v>1357</v>
      </c>
      <c r="K6163" t="s">
        <v>1357</v>
      </c>
      <c r="L6163" t="s">
        <v>1357</v>
      </c>
    </row>
    <row r="6164" spans="6:12">
      <c r="F6164" t="s">
        <v>14767</v>
      </c>
      <c r="G6164" t="s">
        <v>17611</v>
      </c>
      <c r="H6164" t="s">
        <v>20280</v>
      </c>
      <c r="I6164" t="s">
        <v>1357</v>
      </c>
      <c r="J6164" t="s">
        <v>1357</v>
      </c>
      <c r="K6164" t="s">
        <v>1357</v>
      </c>
      <c r="L6164" t="s">
        <v>1357</v>
      </c>
    </row>
    <row r="6165" spans="6:12">
      <c r="H6165" t="s">
        <v>20233</v>
      </c>
      <c r="I6165" t="s">
        <v>1357</v>
      </c>
      <c r="J6165" t="s">
        <v>1357</v>
      </c>
      <c r="K6165" t="s">
        <v>1357</v>
      </c>
      <c r="L6165" t="s">
        <v>1357</v>
      </c>
    </row>
    <row r="6166" spans="6:12">
      <c r="H6166" t="s">
        <v>20284</v>
      </c>
      <c r="I6166" t="s">
        <v>1357</v>
      </c>
      <c r="J6166" t="s">
        <v>1357</v>
      </c>
      <c r="K6166" t="s">
        <v>1357</v>
      </c>
      <c r="L6166" t="s">
        <v>1357</v>
      </c>
    </row>
    <row r="6167" spans="6:12">
      <c r="H6167" t="s">
        <v>20285</v>
      </c>
      <c r="I6167" t="s">
        <v>1357</v>
      </c>
      <c r="J6167" t="s">
        <v>1357</v>
      </c>
      <c r="K6167" t="s">
        <v>1357</v>
      </c>
      <c r="L6167" t="s">
        <v>1357</v>
      </c>
    </row>
    <row r="6168" spans="6:12">
      <c r="H6168" t="s">
        <v>20286</v>
      </c>
      <c r="I6168" t="s">
        <v>1357</v>
      </c>
      <c r="J6168" t="s">
        <v>1357</v>
      </c>
      <c r="K6168" t="s">
        <v>1357</v>
      </c>
      <c r="L6168" t="s">
        <v>1357</v>
      </c>
    </row>
    <row r="6169" spans="6:12">
      <c r="H6169" t="s">
        <v>20287</v>
      </c>
      <c r="I6169" t="s">
        <v>1357</v>
      </c>
      <c r="J6169" t="s">
        <v>1357</v>
      </c>
      <c r="K6169" t="s">
        <v>1357</v>
      </c>
      <c r="L6169" t="s">
        <v>1357</v>
      </c>
    </row>
    <row r="6170" spans="6:12">
      <c r="F6170" t="s">
        <v>14768</v>
      </c>
      <c r="G6170" t="s">
        <v>17612</v>
      </c>
      <c r="H6170" t="s">
        <v>20280</v>
      </c>
      <c r="I6170" t="s">
        <v>1357</v>
      </c>
      <c r="J6170" t="s">
        <v>1357</v>
      </c>
      <c r="K6170" t="s">
        <v>1357</v>
      </c>
      <c r="L6170" t="s">
        <v>1357</v>
      </c>
    </row>
    <row r="6171" spans="6:12">
      <c r="H6171" t="s">
        <v>20233</v>
      </c>
      <c r="I6171" t="s">
        <v>1357</v>
      </c>
      <c r="J6171" t="s">
        <v>1357</v>
      </c>
      <c r="K6171" t="s">
        <v>1357</v>
      </c>
      <c r="L6171" t="s">
        <v>1357</v>
      </c>
    </row>
    <row r="6172" spans="6:12">
      <c r="H6172" t="s">
        <v>20230</v>
      </c>
      <c r="I6172" t="s">
        <v>1357</v>
      </c>
      <c r="J6172" t="s">
        <v>1357</v>
      </c>
      <c r="K6172" t="s">
        <v>1357</v>
      </c>
      <c r="L6172" t="s">
        <v>1357</v>
      </c>
    </row>
    <row r="6173" spans="6:12">
      <c r="H6173" t="s">
        <v>20296</v>
      </c>
      <c r="I6173" t="s">
        <v>1357</v>
      </c>
      <c r="J6173" t="s">
        <v>1357</v>
      </c>
      <c r="K6173" t="s">
        <v>1357</v>
      </c>
      <c r="L6173" t="s">
        <v>1357</v>
      </c>
    </row>
    <row r="6174" spans="6:12">
      <c r="H6174" t="s">
        <v>20297</v>
      </c>
      <c r="I6174" t="s">
        <v>1357</v>
      </c>
      <c r="J6174" t="s">
        <v>1357</v>
      </c>
      <c r="K6174" t="s">
        <v>1357</v>
      </c>
      <c r="L6174" t="s">
        <v>1357</v>
      </c>
    </row>
    <row r="6175" spans="6:12">
      <c r="H6175" t="s">
        <v>20234</v>
      </c>
      <c r="I6175" t="s">
        <v>1357</v>
      </c>
      <c r="J6175" t="s">
        <v>1357</v>
      </c>
      <c r="K6175" t="s">
        <v>1357</v>
      </c>
      <c r="L6175" t="s">
        <v>1357</v>
      </c>
    </row>
    <row r="6176" spans="6:12">
      <c r="H6176" t="s">
        <v>20235</v>
      </c>
      <c r="I6176" t="s">
        <v>1357</v>
      </c>
      <c r="J6176" t="s">
        <v>1357</v>
      </c>
      <c r="K6176" t="s">
        <v>1357</v>
      </c>
      <c r="L6176" t="s">
        <v>1357</v>
      </c>
    </row>
    <row r="6177" spans="6:12">
      <c r="H6177" t="s">
        <v>20298</v>
      </c>
      <c r="I6177" t="s">
        <v>1357</v>
      </c>
      <c r="J6177" t="s">
        <v>1357</v>
      </c>
      <c r="K6177" t="s">
        <v>1357</v>
      </c>
      <c r="L6177" t="s">
        <v>1357</v>
      </c>
    </row>
    <row r="6178" spans="6:12">
      <c r="H6178" t="s">
        <v>20299</v>
      </c>
      <c r="I6178" t="s">
        <v>1357</v>
      </c>
      <c r="J6178" t="s">
        <v>1357</v>
      </c>
      <c r="K6178" t="s">
        <v>1357</v>
      </c>
      <c r="L6178" t="s">
        <v>1357</v>
      </c>
    </row>
    <row r="6179" spans="6:12">
      <c r="H6179" t="s">
        <v>20300</v>
      </c>
      <c r="I6179" t="s">
        <v>1357</v>
      </c>
      <c r="J6179" t="s">
        <v>1357</v>
      </c>
      <c r="K6179" t="s">
        <v>1357</v>
      </c>
      <c r="L6179" t="s">
        <v>1357</v>
      </c>
    </row>
    <row r="6180" spans="6:12">
      <c r="H6180" t="s">
        <v>20301</v>
      </c>
      <c r="I6180" t="s">
        <v>1357</v>
      </c>
      <c r="J6180" t="s">
        <v>1357</v>
      </c>
      <c r="K6180" t="s">
        <v>1357</v>
      </c>
      <c r="L6180" t="s">
        <v>1357</v>
      </c>
    </row>
    <row r="6181" spans="6:12">
      <c r="H6181" t="s">
        <v>20284</v>
      </c>
      <c r="I6181" t="s">
        <v>1357</v>
      </c>
      <c r="J6181" t="s">
        <v>1357</v>
      </c>
      <c r="K6181" t="s">
        <v>1357</v>
      </c>
      <c r="L6181" t="s">
        <v>1357</v>
      </c>
    </row>
    <row r="6182" spans="6:12">
      <c r="H6182" t="s">
        <v>20285</v>
      </c>
      <c r="I6182" t="s">
        <v>1357</v>
      </c>
      <c r="J6182" t="s">
        <v>1357</v>
      </c>
      <c r="K6182" t="s">
        <v>1357</v>
      </c>
      <c r="L6182" t="s">
        <v>1357</v>
      </c>
    </row>
    <row r="6183" spans="6:12">
      <c r="H6183" t="s">
        <v>20286</v>
      </c>
      <c r="I6183" t="s">
        <v>1357</v>
      </c>
      <c r="J6183" t="s">
        <v>1357</v>
      </c>
      <c r="K6183" t="s">
        <v>1357</v>
      </c>
      <c r="L6183" t="s">
        <v>1357</v>
      </c>
    </row>
    <row r="6184" spans="6:12">
      <c r="H6184" t="s">
        <v>20287</v>
      </c>
      <c r="I6184" t="s">
        <v>1357</v>
      </c>
      <c r="J6184" t="s">
        <v>1357</v>
      </c>
      <c r="K6184" t="s">
        <v>1357</v>
      </c>
      <c r="L6184" t="s">
        <v>1357</v>
      </c>
    </row>
    <row r="6185" spans="6:12">
      <c r="F6185" t="s">
        <v>14769</v>
      </c>
      <c r="G6185" t="s">
        <v>17613</v>
      </c>
      <c r="H6185" t="s">
        <v>20280</v>
      </c>
      <c r="I6185" t="s">
        <v>1357</v>
      </c>
      <c r="J6185" t="s">
        <v>1357</v>
      </c>
      <c r="K6185" t="s">
        <v>1357</v>
      </c>
      <c r="L6185" t="s">
        <v>1357</v>
      </c>
    </row>
    <row r="6186" spans="6:12">
      <c r="H6186" t="s">
        <v>20233</v>
      </c>
      <c r="I6186" t="s">
        <v>1357</v>
      </c>
      <c r="J6186" t="s">
        <v>1357</v>
      </c>
      <c r="K6186" t="s">
        <v>1357</v>
      </c>
      <c r="L6186" t="s">
        <v>1357</v>
      </c>
    </row>
    <row r="6187" spans="6:12">
      <c r="H6187" t="s">
        <v>20230</v>
      </c>
      <c r="I6187" t="s">
        <v>1357</v>
      </c>
      <c r="J6187" t="s">
        <v>1357</v>
      </c>
      <c r="K6187" t="s">
        <v>1357</v>
      </c>
      <c r="L6187" t="s">
        <v>1357</v>
      </c>
    </row>
    <row r="6188" spans="6:12">
      <c r="H6188" t="s">
        <v>20227</v>
      </c>
      <c r="I6188" t="s">
        <v>1357</v>
      </c>
      <c r="J6188" t="s">
        <v>1357</v>
      </c>
      <c r="K6188" t="s">
        <v>1357</v>
      </c>
      <c r="L6188" t="s">
        <v>1357</v>
      </c>
    </row>
    <row r="6189" spans="6:12">
      <c r="H6189" t="s">
        <v>20296</v>
      </c>
      <c r="I6189" t="s">
        <v>1357</v>
      </c>
      <c r="J6189" t="s">
        <v>1357</v>
      </c>
      <c r="K6189" t="s">
        <v>1357</v>
      </c>
      <c r="L6189" t="s">
        <v>1357</v>
      </c>
    </row>
    <row r="6190" spans="6:12">
      <c r="H6190" t="s">
        <v>20297</v>
      </c>
      <c r="I6190" t="s">
        <v>1357</v>
      </c>
      <c r="J6190" t="s">
        <v>1357</v>
      </c>
      <c r="K6190" t="s">
        <v>1357</v>
      </c>
      <c r="L6190" t="s">
        <v>1357</v>
      </c>
    </row>
    <row r="6191" spans="6:12">
      <c r="H6191" t="s">
        <v>20234</v>
      </c>
      <c r="I6191" t="s">
        <v>1357</v>
      </c>
      <c r="J6191" t="s">
        <v>1357</v>
      </c>
      <c r="K6191" t="s">
        <v>1357</v>
      </c>
      <c r="L6191" t="s">
        <v>1357</v>
      </c>
    </row>
    <row r="6192" spans="6:12">
      <c r="H6192" t="s">
        <v>20235</v>
      </c>
      <c r="I6192" t="s">
        <v>1357</v>
      </c>
      <c r="J6192" t="s">
        <v>1357</v>
      </c>
      <c r="K6192" t="s">
        <v>1357</v>
      </c>
      <c r="L6192" t="s">
        <v>1357</v>
      </c>
    </row>
    <row r="6193" spans="6:12">
      <c r="H6193" t="s">
        <v>20298</v>
      </c>
      <c r="I6193" t="s">
        <v>1357</v>
      </c>
      <c r="J6193" t="s">
        <v>1357</v>
      </c>
      <c r="K6193" t="s">
        <v>1357</v>
      </c>
      <c r="L6193" t="s">
        <v>1357</v>
      </c>
    </row>
    <row r="6194" spans="6:12">
      <c r="H6194" t="s">
        <v>20284</v>
      </c>
      <c r="I6194" t="s">
        <v>1357</v>
      </c>
      <c r="J6194" t="s">
        <v>1357</v>
      </c>
      <c r="K6194" t="s">
        <v>1357</v>
      </c>
      <c r="L6194" t="s">
        <v>1357</v>
      </c>
    </row>
    <row r="6195" spans="6:12">
      <c r="H6195" t="s">
        <v>20285</v>
      </c>
      <c r="I6195" t="s">
        <v>1357</v>
      </c>
      <c r="J6195" t="s">
        <v>1357</v>
      </c>
      <c r="K6195" t="s">
        <v>1357</v>
      </c>
      <c r="L6195" t="s">
        <v>1357</v>
      </c>
    </row>
    <row r="6196" spans="6:12">
      <c r="H6196" t="s">
        <v>20286</v>
      </c>
      <c r="I6196" t="s">
        <v>1357</v>
      </c>
      <c r="J6196" t="s">
        <v>1357</v>
      </c>
      <c r="K6196" t="s">
        <v>1357</v>
      </c>
      <c r="L6196" t="s">
        <v>1357</v>
      </c>
    </row>
    <row r="6197" spans="6:12">
      <c r="H6197" t="s">
        <v>20287</v>
      </c>
      <c r="I6197" t="s">
        <v>1357</v>
      </c>
      <c r="J6197" t="s">
        <v>1357</v>
      </c>
      <c r="K6197" t="s">
        <v>1357</v>
      </c>
      <c r="L6197" t="s">
        <v>1357</v>
      </c>
    </row>
    <row r="6198" spans="6:12">
      <c r="F6198" t="s">
        <v>14770</v>
      </c>
      <c r="G6198" t="s">
        <v>17614</v>
      </c>
      <c r="H6198" t="s">
        <v>20280</v>
      </c>
      <c r="I6198" t="s">
        <v>1357</v>
      </c>
      <c r="J6198" t="s">
        <v>1357</v>
      </c>
      <c r="K6198" t="s">
        <v>1357</v>
      </c>
      <c r="L6198" t="s">
        <v>1357</v>
      </c>
    </row>
    <row r="6199" spans="6:12">
      <c r="H6199" t="s">
        <v>20233</v>
      </c>
      <c r="I6199" t="s">
        <v>1357</v>
      </c>
      <c r="J6199" t="s">
        <v>1357</v>
      </c>
      <c r="K6199" t="s">
        <v>1357</v>
      </c>
      <c r="L6199" t="s">
        <v>1357</v>
      </c>
    </row>
    <row r="6200" spans="6:12">
      <c r="H6200" t="s">
        <v>20230</v>
      </c>
      <c r="I6200" t="s">
        <v>1357</v>
      </c>
      <c r="J6200" t="s">
        <v>1357</v>
      </c>
      <c r="K6200" t="s">
        <v>1357</v>
      </c>
      <c r="L6200" t="s">
        <v>1357</v>
      </c>
    </row>
    <row r="6201" spans="6:12">
      <c r="H6201" t="s">
        <v>20296</v>
      </c>
      <c r="I6201" t="s">
        <v>1357</v>
      </c>
      <c r="J6201" t="s">
        <v>1357</v>
      </c>
      <c r="K6201" t="s">
        <v>1357</v>
      </c>
      <c r="L6201" t="s">
        <v>1357</v>
      </c>
    </row>
    <row r="6202" spans="6:12">
      <c r="H6202" t="s">
        <v>20297</v>
      </c>
      <c r="I6202" t="s">
        <v>1357</v>
      </c>
      <c r="J6202" t="s">
        <v>1357</v>
      </c>
      <c r="K6202" t="s">
        <v>1357</v>
      </c>
      <c r="L6202" t="s">
        <v>1357</v>
      </c>
    </row>
    <row r="6203" spans="6:12">
      <c r="H6203" t="s">
        <v>20234</v>
      </c>
      <c r="I6203" t="s">
        <v>1357</v>
      </c>
      <c r="J6203" t="s">
        <v>1357</v>
      </c>
      <c r="K6203" t="s">
        <v>1357</v>
      </c>
      <c r="L6203" t="s">
        <v>1357</v>
      </c>
    </row>
    <row r="6204" spans="6:12">
      <c r="H6204" t="s">
        <v>20235</v>
      </c>
      <c r="I6204" t="s">
        <v>1357</v>
      </c>
      <c r="J6204" t="s">
        <v>1357</v>
      </c>
      <c r="K6204" t="s">
        <v>1357</v>
      </c>
      <c r="L6204" t="s">
        <v>1357</v>
      </c>
    </row>
    <row r="6205" spans="6:12">
      <c r="H6205" t="s">
        <v>20298</v>
      </c>
      <c r="I6205" t="s">
        <v>1357</v>
      </c>
      <c r="J6205" t="s">
        <v>1357</v>
      </c>
      <c r="K6205" t="s">
        <v>1357</v>
      </c>
      <c r="L6205" t="s">
        <v>1357</v>
      </c>
    </row>
    <row r="6206" spans="6:12">
      <c r="H6206" t="s">
        <v>20299</v>
      </c>
      <c r="I6206" t="s">
        <v>1357</v>
      </c>
      <c r="J6206" t="s">
        <v>1357</v>
      </c>
      <c r="K6206" t="s">
        <v>1357</v>
      </c>
      <c r="L6206" t="s">
        <v>1357</v>
      </c>
    </row>
    <row r="6207" spans="6:12">
      <c r="H6207" t="s">
        <v>20300</v>
      </c>
      <c r="I6207" t="s">
        <v>1357</v>
      </c>
      <c r="J6207" t="s">
        <v>1357</v>
      </c>
      <c r="K6207" t="s">
        <v>1357</v>
      </c>
      <c r="L6207" t="s">
        <v>1357</v>
      </c>
    </row>
    <row r="6208" spans="6:12">
      <c r="H6208" t="s">
        <v>20301</v>
      </c>
      <c r="I6208" t="s">
        <v>1357</v>
      </c>
      <c r="J6208" t="s">
        <v>1357</v>
      </c>
      <c r="K6208" t="s">
        <v>1357</v>
      </c>
      <c r="L6208" t="s">
        <v>1357</v>
      </c>
    </row>
    <row r="6209" spans="6:12">
      <c r="H6209" t="s">
        <v>20302</v>
      </c>
      <c r="I6209" t="s">
        <v>1357</v>
      </c>
      <c r="J6209" t="s">
        <v>1357</v>
      </c>
      <c r="K6209" t="s">
        <v>1357</v>
      </c>
      <c r="L6209" t="s">
        <v>1357</v>
      </c>
    </row>
    <row r="6210" spans="6:12">
      <c r="H6210" t="s">
        <v>20284</v>
      </c>
      <c r="I6210" t="s">
        <v>1357</v>
      </c>
      <c r="J6210" t="s">
        <v>1357</v>
      </c>
      <c r="K6210" t="s">
        <v>1357</v>
      </c>
      <c r="L6210" t="s">
        <v>1357</v>
      </c>
    </row>
    <row r="6211" spans="6:12">
      <c r="H6211" t="s">
        <v>20285</v>
      </c>
      <c r="I6211" t="s">
        <v>1357</v>
      </c>
      <c r="J6211" t="s">
        <v>1357</v>
      </c>
      <c r="K6211" t="s">
        <v>1357</v>
      </c>
      <c r="L6211" t="s">
        <v>1357</v>
      </c>
    </row>
    <row r="6212" spans="6:12">
      <c r="H6212" t="s">
        <v>20286</v>
      </c>
      <c r="I6212" t="s">
        <v>1357</v>
      </c>
      <c r="J6212" t="s">
        <v>1357</v>
      </c>
      <c r="K6212" t="s">
        <v>1357</v>
      </c>
      <c r="L6212" t="s">
        <v>1357</v>
      </c>
    </row>
    <row r="6213" spans="6:12">
      <c r="H6213" t="s">
        <v>20287</v>
      </c>
      <c r="I6213" t="s">
        <v>1357</v>
      </c>
      <c r="J6213" t="s">
        <v>1357</v>
      </c>
      <c r="K6213" t="s">
        <v>1357</v>
      </c>
      <c r="L6213" t="s">
        <v>1357</v>
      </c>
    </row>
    <row r="6214" spans="6:12">
      <c r="F6214" t="s">
        <v>14771</v>
      </c>
      <c r="G6214" t="s">
        <v>17615</v>
      </c>
      <c r="H6214" t="s">
        <v>20280</v>
      </c>
      <c r="I6214" t="s">
        <v>1357</v>
      </c>
      <c r="J6214" t="s">
        <v>1357</v>
      </c>
      <c r="K6214" t="s">
        <v>1357</v>
      </c>
      <c r="L6214" t="s">
        <v>1357</v>
      </c>
    </row>
    <row r="6215" spans="6:12">
      <c r="H6215" t="s">
        <v>20233</v>
      </c>
      <c r="I6215" t="s">
        <v>1357</v>
      </c>
      <c r="J6215" t="s">
        <v>1357</v>
      </c>
      <c r="K6215" t="s">
        <v>1357</v>
      </c>
      <c r="L6215" t="s">
        <v>1357</v>
      </c>
    </row>
    <row r="6216" spans="6:12">
      <c r="H6216" t="s">
        <v>20230</v>
      </c>
      <c r="I6216" t="s">
        <v>1357</v>
      </c>
      <c r="J6216" t="s">
        <v>1357</v>
      </c>
      <c r="K6216" t="s">
        <v>1357</v>
      </c>
      <c r="L6216" t="s">
        <v>1357</v>
      </c>
    </row>
    <row r="6217" spans="6:12">
      <c r="H6217" t="s">
        <v>20281</v>
      </c>
      <c r="I6217" t="s">
        <v>1357</v>
      </c>
      <c r="J6217" t="s">
        <v>1357</v>
      </c>
      <c r="K6217" t="s">
        <v>1357</v>
      </c>
      <c r="L6217" t="s">
        <v>1357</v>
      </c>
    </row>
    <row r="6218" spans="6:12">
      <c r="H6218" t="s">
        <v>20282</v>
      </c>
      <c r="I6218" t="s">
        <v>1357</v>
      </c>
      <c r="J6218" t="s">
        <v>1357</v>
      </c>
      <c r="K6218" t="s">
        <v>1357</v>
      </c>
      <c r="L6218" t="s">
        <v>1357</v>
      </c>
    </row>
    <row r="6219" spans="6:12">
      <c r="H6219" t="s">
        <v>20284</v>
      </c>
      <c r="I6219" t="s">
        <v>1357</v>
      </c>
      <c r="J6219" t="s">
        <v>1357</v>
      </c>
      <c r="K6219" t="s">
        <v>1357</v>
      </c>
      <c r="L6219" t="s">
        <v>1357</v>
      </c>
    </row>
    <row r="6220" spans="6:12">
      <c r="H6220" t="s">
        <v>20285</v>
      </c>
      <c r="I6220" t="s">
        <v>1357</v>
      </c>
      <c r="J6220" t="s">
        <v>1357</v>
      </c>
      <c r="K6220" t="s">
        <v>1357</v>
      </c>
      <c r="L6220" t="s">
        <v>1357</v>
      </c>
    </row>
    <row r="6221" spans="6:12">
      <c r="H6221" t="s">
        <v>20286</v>
      </c>
      <c r="I6221" t="s">
        <v>1357</v>
      </c>
      <c r="J6221" t="s">
        <v>1357</v>
      </c>
      <c r="K6221" t="s">
        <v>1357</v>
      </c>
      <c r="L6221" t="s">
        <v>1357</v>
      </c>
    </row>
    <row r="6222" spans="6:12">
      <c r="H6222" t="s">
        <v>20287</v>
      </c>
      <c r="I6222" t="s">
        <v>1357</v>
      </c>
      <c r="J6222" t="s">
        <v>1357</v>
      </c>
      <c r="K6222" t="s">
        <v>1357</v>
      </c>
      <c r="L6222" t="s">
        <v>1357</v>
      </c>
    </row>
    <row r="6223" spans="6:12">
      <c r="H6223" t="s">
        <v>20288</v>
      </c>
      <c r="I6223" t="s">
        <v>1357</v>
      </c>
      <c r="J6223" t="s">
        <v>1357</v>
      </c>
      <c r="K6223" t="s">
        <v>1357</v>
      </c>
      <c r="L6223" t="s">
        <v>1357</v>
      </c>
    </row>
    <row r="6224" spans="6:12">
      <c r="H6224" t="s">
        <v>20289</v>
      </c>
      <c r="I6224" t="s">
        <v>1357</v>
      </c>
      <c r="J6224" t="s">
        <v>1357</v>
      </c>
      <c r="K6224" t="s">
        <v>1357</v>
      </c>
      <c r="L6224" t="s">
        <v>1357</v>
      </c>
    </row>
    <row r="6225" spans="6:12">
      <c r="F6225" t="s">
        <v>14772</v>
      </c>
      <c r="G6225" t="s">
        <v>17616</v>
      </c>
      <c r="H6225" t="s">
        <v>20280</v>
      </c>
      <c r="I6225" t="s">
        <v>1357</v>
      </c>
      <c r="J6225" t="s">
        <v>1357</v>
      </c>
      <c r="K6225" t="s">
        <v>1357</v>
      </c>
      <c r="L6225" t="s">
        <v>1357</v>
      </c>
    </row>
    <row r="6226" spans="6:12">
      <c r="H6226" t="s">
        <v>20233</v>
      </c>
      <c r="I6226" t="s">
        <v>1357</v>
      </c>
      <c r="J6226" t="s">
        <v>1357</v>
      </c>
      <c r="K6226" t="s">
        <v>1357</v>
      </c>
      <c r="L6226" t="s">
        <v>1357</v>
      </c>
    </row>
    <row r="6227" spans="6:12">
      <c r="H6227" t="s">
        <v>20284</v>
      </c>
      <c r="I6227" t="s">
        <v>1357</v>
      </c>
      <c r="J6227" t="s">
        <v>1357</v>
      </c>
      <c r="K6227" t="s">
        <v>1357</v>
      </c>
      <c r="L6227" t="s">
        <v>1357</v>
      </c>
    </row>
    <row r="6228" spans="6:12">
      <c r="H6228" t="s">
        <v>20285</v>
      </c>
      <c r="I6228" t="s">
        <v>1357</v>
      </c>
      <c r="J6228" t="s">
        <v>1357</v>
      </c>
      <c r="K6228" t="s">
        <v>1357</v>
      </c>
      <c r="L6228" t="s">
        <v>1357</v>
      </c>
    </row>
    <row r="6229" spans="6:12">
      <c r="H6229" t="s">
        <v>20286</v>
      </c>
      <c r="I6229" t="s">
        <v>1357</v>
      </c>
      <c r="J6229" t="s">
        <v>1357</v>
      </c>
      <c r="K6229" t="s">
        <v>1357</v>
      </c>
      <c r="L6229" t="s">
        <v>1357</v>
      </c>
    </row>
    <row r="6230" spans="6:12">
      <c r="H6230" t="s">
        <v>20230</v>
      </c>
      <c r="I6230" t="s">
        <v>1357</v>
      </c>
      <c r="J6230" t="s">
        <v>1357</v>
      </c>
      <c r="K6230" t="s">
        <v>1357</v>
      </c>
      <c r="L6230" t="s">
        <v>1357</v>
      </c>
    </row>
    <row r="6231" spans="6:12">
      <c r="H6231" t="s">
        <v>20227</v>
      </c>
      <c r="I6231" t="s">
        <v>1357</v>
      </c>
      <c r="J6231" t="s">
        <v>1357</v>
      </c>
      <c r="K6231" t="s">
        <v>1357</v>
      </c>
      <c r="L6231" t="s">
        <v>1357</v>
      </c>
    </row>
    <row r="6232" spans="6:12">
      <c r="H6232" t="s">
        <v>20287</v>
      </c>
      <c r="I6232" t="s">
        <v>1357</v>
      </c>
      <c r="J6232" t="s">
        <v>1357</v>
      </c>
      <c r="K6232" t="s">
        <v>1357</v>
      </c>
      <c r="L6232" t="s">
        <v>1357</v>
      </c>
    </row>
    <row r="6233" spans="6:12">
      <c r="H6233" t="s">
        <v>20288</v>
      </c>
      <c r="I6233" t="s">
        <v>1357</v>
      </c>
      <c r="J6233" t="s">
        <v>1357</v>
      </c>
      <c r="K6233" t="s">
        <v>1357</v>
      </c>
      <c r="L6233" t="s">
        <v>1357</v>
      </c>
    </row>
    <row r="6234" spans="6:12">
      <c r="H6234" t="s">
        <v>20289</v>
      </c>
      <c r="I6234" t="s">
        <v>1357</v>
      </c>
      <c r="J6234" t="s">
        <v>1357</v>
      </c>
      <c r="K6234" t="s">
        <v>1357</v>
      </c>
      <c r="L6234" t="s">
        <v>1357</v>
      </c>
    </row>
    <row r="6235" spans="6:12">
      <c r="F6235" t="s">
        <v>14773</v>
      </c>
      <c r="G6235" t="s">
        <v>17617</v>
      </c>
      <c r="H6235" t="s">
        <v>20280</v>
      </c>
      <c r="I6235" t="s">
        <v>1357</v>
      </c>
      <c r="J6235" t="s">
        <v>1357</v>
      </c>
      <c r="K6235" t="s">
        <v>1357</v>
      </c>
      <c r="L6235" t="s">
        <v>1357</v>
      </c>
    </row>
    <row r="6236" spans="6:12">
      <c r="H6236" t="s">
        <v>20233</v>
      </c>
      <c r="I6236" t="s">
        <v>1357</v>
      </c>
      <c r="J6236" t="s">
        <v>1357</v>
      </c>
      <c r="K6236" t="s">
        <v>1357</v>
      </c>
      <c r="L6236" t="s">
        <v>1357</v>
      </c>
    </row>
    <row r="6237" spans="6:12">
      <c r="H6237" t="s">
        <v>20284</v>
      </c>
      <c r="I6237" t="s">
        <v>1357</v>
      </c>
      <c r="J6237" t="s">
        <v>1357</v>
      </c>
      <c r="K6237" t="s">
        <v>1357</v>
      </c>
      <c r="L6237" t="s">
        <v>1357</v>
      </c>
    </row>
    <row r="6238" spans="6:12">
      <c r="H6238" t="s">
        <v>20285</v>
      </c>
      <c r="I6238" t="s">
        <v>1357</v>
      </c>
      <c r="J6238" t="s">
        <v>1357</v>
      </c>
      <c r="K6238" t="s">
        <v>1357</v>
      </c>
      <c r="L6238" t="s">
        <v>1357</v>
      </c>
    </row>
    <row r="6239" spans="6:12">
      <c r="H6239" t="s">
        <v>20286</v>
      </c>
      <c r="I6239" t="s">
        <v>1357</v>
      </c>
      <c r="J6239" t="s">
        <v>1357</v>
      </c>
      <c r="K6239" t="s">
        <v>1357</v>
      </c>
      <c r="L6239" t="s">
        <v>1357</v>
      </c>
    </row>
    <row r="6240" spans="6:12">
      <c r="F6240" t="s">
        <v>14774</v>
      </c>
      <c r="G6240" t="s">
        <v>17618</v>
      </c>
      <c r="H6240" t="s">
        <v>20280</v>
      </c>
      <c r="I6240" t="s">
        <v>1357</v>
      </c>
      <c r="J6240" t="s">
        <v>1357</v>
      </c>
      <c r="K6240" t="s">
        <v>1357</v>
      </c>
      <c r="L6240" t="s">
        <v>1357</v>
      </c>
    </row>
    <row r="6241" spans="6:12">
      <c r="H6241" t="s">
        <v>20233</v>
      </c>
      <c r="I6241" t="s">
        <v>1357</v>
      </c>
      <c r="J6241" t="s">
        <v>1357</v>
      </c>
      <c r="K6241" t="s">
        <v>1357</v>
      </c>
      <c r="L6241" t="s">
        <v>1357</v>
      </c>
    </row>
    <row r="6242" spans="6:12">
      <c r="H6242" t="s">
        <v>20284</v>
      </c>
      <c r="I6242" t="s">
        <v>1357</v>
      </c>
      <c r="J6242" t="s">
        <v>1357</v>
      </c>
      <c r="K6242" t="s">
        <v>1357</v>
      </c>
      <c r="L6242" t="s">
        <v>1357</v>
      </c>
    </row>
    <row r="6243" spans="6:12">
      <c r="H6243" t="s">
        <v>20285</v>
      </c>
      <c r="I6243" t="s">
        <v>1357</v>
      </c>
      <c r="J6243" t="s">
        <v>1357</v>
      </c>
      <c r="K6243" t="s">
        <v>1357</v>
      </c>
      <c r="L6243" t="s">
        <v>1357</v>
      </c>
    </row>
    <row r="6244" spans="6:12">
      <c r="H6244" t="s">
        <v>20286</v>
      </c>
      <c r="I6244" t="s">
        <v>1357</v>
      </c>
      <c r="J6244" t="s">
        <v>1357</v>
      </c>
      <c r="K6244" t="s">
        <v>1357</v>
      </c>
      <c r="L6244" t="s">
        <v>1357</v>
      </c>
    </row>
    <row r="6245" spans="6:12">
      <c r="F6245" t="s">
        <v>14775</v>
      </c>
      <c r="G6245" t="s">
        <v>17619</v>
      </c>
      <c r="H6245" t="s">
        <v>20280</v>
      </c>
      <c r="I6245" t="s">
        <v>1357</v>
      </c>
      <c r="J6245" t="s">
        <v>1357</v>
      </c>
      <c r="K6245" t="s">
        <v>1357</v>
      </c>
      <c r="L6245" t="s">
        <v>1357</v>
      </c>
    </row>
    <row r="6246" spans="6:12">
      <c r="H6246" t="s">
        <v>20233</v>
      </c>
      <c r="I6246" t="s">
        <v>1357</v>
      </c>
      <c r="J6246" t="s">
        <v>1357</v>
      </c>
      <c r="K6246" t="s">
        <v>1357</v>
      </c>
      <c r="L6246" t="s">
        <v>1357</v>
      </c>
    </row>
    <row r="6247" spans="6:12">
      <c r="H6247" t="s">
        <v>20284</v>
      </c>
      <c r="I6247" t="s">
        <v>1357</v>
      </c>
      <c r="J6247" t="s">
        <v>1357</v>
      </c>
      <c r="K6247" t="s">
        <v>1357</v>
      </c>
      <c r="L6247" t="s">
        <v>1357</v>
      </c>
    </row>
    <row r="6248" spans="6:12">
      <c r="H6248" t="s">
        <v>20285</v>
      </c>
      <c r="I6248" t="s">
        <v>1357</v>
      </c>
      <c r="J6248" t="s">
        <v>1357</v>
      </c>
      <c r="K6248" t="s">
        <v>1357</v>
      </c>
      <c r="L6248" t="s">
        <v>1357</v>
      </c>
    </row>
    <row r="6249" spans="6:12">
      <c r="H6249" t="s">
        <v>20286</v>
      </c>
      <c r="I6249" t="s">
        <v>1357</v>
      </c>
      <c r="J6249" t="s">
        <v>1357</v>
      </c>
      <c r="K6249" t="s">
        <v>1357</v>
      </c>
      <c r="L6249" t="s">
        <v>1357</v>
      </c>
    </row>
    <row r="6250" spans="6:12">
      <c r="F6250" t="s">
        <v>14776</v>
      </c>
      <c r="G6250" t="s">
        <v>17620</v>
      </c>
      <c r="H6250" t="s">
        <v>20280</v>
      </c>
      <c r="I6250" t="s">
        <v>1357</v>
      </c>
      <c r="J6250" t="s">
        <v>1357</v>
      </c>
      <c r="K6250" t="s">
        <v>1357</v>
      </c>
      <c r="L6250" t="s">
        <v>1357</v>
      </c>
    </row>
    <row r="6251" spans="6:12">
      <c r="H6251" t="s">
        <v>20233</v>
      </c>
      <c r="I6251" t="s">
        <v>1357</v>
      </c>
      <c r="J6251" t="s">
        <v>1357</v>
      </c>
      <c r="K6251" t="s">
        <v>1357</v>
      </c>
      <c r="L6251" t="s">
        <v>1357</v>
      </c>
    </row>
    <row r="6252" spans="6:12">
      <c r="H6252" t="s">
        <v>20284</v>
      </c>
      <c r="I6252" t="s">
        <v>1357</v>
      </c>
      <c r="J6252" t="s">
        <v>1357</v>
      </c>
      <c r="K6252" t="s">
        <v>1357</v>
      </c>
      <c r="L6252" t="s">
        <v>1357</v>
      </c>
    </row>
    <row r="6253" spans="6:12">
      <c r="H6253" t="s">
        <v>20285</v>
      </c>
      <c r="I6253" t="s">
        <v>1357</v>
      </c>
      <c r="J6253" t="s">
        <v>1357</v>
      </c>
      <c r="K6253" t="s">
        <v>1357</v>
      </c>
      <c r="L6253" t="s">
        <v>1357</v>
      </c>
    </row>
    <row r="6254" spans="6:12">
      <c r="H6254" t="s">
        <v>20286</v>
      </c>
      <c r="I6254" t="s">
        <v>1357</v>
      </c>
      <c r="J6254" t="s">
        <v>1357</v>
      </c>
      <c r="K6254" t="s">
        <v>1357</v>
      </c>
      <c r="L6254" t="s">
        <v>1357</v>
      </c>
    </row>
    <row r="6255" spans="6:12">
      <c r="F6255" t="s">
        <v>14777</v>
      </c>
      <c r="G6255" t="s">
        <v>17621</v>
      </c>
      <c r="H6255" t="s">
        <v>20280</v>
      </c>
      <c r="I6255" t="s">
        <v>1357</v>
      </c>
      <c r="J6255" t="s">
        <v>1357</v>
      </c>
      <c r="K6255" t="s">
        <v>1357</v>
      </c>
      <c r="L6255" t="s">
        <v>1357</v>
      </c>
    </row>
    <row r="6256" spans="6:12">
      <c r="H6256" t="s">
        <v>20233</v>
      </c>
      <c r="I6256" t="s">
        <v>1357</v>
      </c>
      <c r="J6256" t="s">
        <v>1357</v>
      </c>
      <c r="K6256" t="s">
        <v>1357</v>
      </c>
      <c r="L6256" t="s">
        <v>1357</v>
      </c>
    </row>
    <row r="6257" spans="6:12">
      <c r="H6257" t="s">
        <v>20230</v>
      </c>
      <c r="I6257" t="s">
        <v>1357</v>
      </c>
      <c r="J6257" t="s">
        <v>1357</v>
      </c>
      <c r="K6257" t="s">
        <v>1357</v>
      </c>
      <c r="L6257" t="s">
        <v>1357</v>
      </c>
    </row>
    <row r="6258" spans="6:12">
      <c r="H6258" t="s">
        <v>20296</v>
      </c>
      <c r="I6258" t="s">
        <v>1357</v>
      </c>
      <c r="J6258" t="s">
        <v>1357</v>
      </c>
      <c r="K6258" t="s">
        <v>1357</v>
      </c>
      <c r="L6258" t="s">
        <v>1357</v>
      </c>
    </row>
    <row r="6259" spans="6:12">
      <c r="H6259" t="s">
        <v>20297</v>
      </c>
      <c r="I6259" t="s">
        <v>1357</v>
      </c>
      <c r="J6259" t="s">
        <v>1357</v>
      </c>
      <c r="K6259" t="s">
        <v>1357</v>
      </c>
      <c r="L6259" t="s">
        <v>1357</v>
      </c>
    </row>
    <row r="6260" spans="6:12">
      <c r="H6260" t="s">
        <v>20234</v>
      </c>
      <c r="I6260" t="s">
        <v>1357</v>
      </c>
      <c r="J6260" t="s">
        <v>1357</v>
      </c>
      <c r="K6260" t="s">
        <v>1357</v>
      </c>
      <c r="L6260" t="s">
        <v>1357</v>
      </c>
    </row>
    <row r="6261" spans="6:12">
      <c r="H6261" t="s">
        <v>20235</v>
      </c>
      <c r="I6261" t="s">
        <v>1357</v>
      </c>
      <c r="J6261" t="s">
        <v>1357</v>
      </c>
      <c r="K6261" t="s">
        <v>1357</v>
      </c>
      <c r="L6261" t="s">
        <v>1357</v>
      </c>
    </row>
    <row r="6262" spans="6:12">
      <c r="H6262" t="s">
        <v>20298</v>
      </c>
      <c r="I6262" t="s">
        <v>1357</v>
      </c>
      <c r="J6262" t="s">
        <v>1357</v>
      </c>
      <c r="K6262" t="s">
        <v>1357</v>
      </c>
      <c r="L6262" t="s">
        <v>1357</v>
      </c>
    </row>
    <row r="6263" spans="6:12">
      <c r="H6263" t="s">
        <v>20299</v>
      </c>
      <c r="I6263" t="s">
        <v>1357</v>
      </c>
      <c r="J6263" t="s">
        <v>1357</v>
      </c>
      <c r="K6263" t="s">
        <v>1357</v>
      </c>
      <c r="L6263" t="s">
        <v>1357</v>
      </c>
    </row>
    <row r="6264" spans="6:12">
      <c r="H6264" t="s">
        <v>20300</v>
      </c>
      <c r="I6264" t="s">
        <v>1357</v>
      </c>
      <c r="J6264" t="s">
        <v>1357</v>
      </c>
      <c r="K6264" t="s">
        <v>1357</v>
      </c>
      <c r="L6264" t="s">
        <v>1357</v>
      </c>
    </row>
    <row r="6265" spans="6:12">
      <c r="H6265" t="s">
        <v>20301</v>
      </c>
      <c r="I6265" t="s">
        <v>1357</v>
      </c>
      <c r="J6265" t="s">
        <v>1357</v>
      </c>
      <c r="K6265" t="s">
        <v>1357</v>
      </c>
      <c r="L6265" t="s">
        <v>1357</v>
      </c>
    </row>
    <row r="6266" spans="6:12">
      <c r="H6266" t="s">
        <v>20302</v>
      </c>
      <c r="I6266" t="s">
        <v>1357</v>
      </c>
      <c r="J6266" t="s">
        <v>1357</v>
      </c>
      <c r="K6266" t="s">
        <v>1357</v>
      </c>
      <c r="L6266" t="s">
        <v>1357</v>
      </c>
    </row>
    <row r="6267" spans="6:12">
      <c r="H6267" t="s">
        <v>20303</v>
      </c>
      <c r="I6267" t="s">
        <v>1357</v>
      </c>
      <c r="J6267" t="s">
        <v>1357</v>
      </c>
      <c r="K6267" t="s">
        <v>1357</v>
      </c>
      <c r="L6267" t="s">
        <v>1357</v>
      </c>
    </row>
    <row r="6268" spans="6:12">
      <c r="H6268" t="s">
        <v>20284</v>
      </c>
      <c r="I6268" t="s">
        <v>1357</v>
      </c>
      <c r="J6268" t="s">
        <v>1357</v>
      </c>
      <c r="K6268" t="s">
        <v>1357</v>
      </c>
      <c r="L6268" t="s">
        <v>1357</v>
      </c>
    </row>
    <row r="6269" spans="6:12">
      <c r="H6269" t="s">
        <v>20285</v>
      </c>
      <c r="I6269" t="s">
        <v>1357</v>
      </c>
      <c r="J6269" t="s">
        <v>1357</v>
      </c>
      <c r="K6269" t="s">
        <v>1357</v>
      </c>
      <c r="L6269" t="s">
        <v>1357</v>
      </c>
    </row>
    <row r="6270" spans="6:12">
      <c r="H6270" t="s">
        <v>20286</v>
      </c>
      <c r="I6270" t="s">
        <v>1357</v>
      </c>
      <c r="J6270" t="s">
        <v>1357</v>
      </c>
      <c r="K6270" t="s">
        <v>1357</v>
      </c>
      <c r="L6270" t="s">
        <v>1357</v>
      </c>
    </row>
    <row r="6271" spans="6:12">
      <c r="H6271" t="s">
        <v>20287</v>
      </c>
      <c r="I6271" t="s">
        <v>1357</v>
      </c>
      <c r="J6271" t="s">
        <v>1357</v>
      </c>
      <c r="K6271" t="s">
        <v>1357</v>
      </c>
      <c r="L6271" t="s">
        <v>1357</v>
      </c>
    </row>
    <row r="6272" spans="6:12">
      <c r="F6272" t="s">
        <v>14778</v>
      </c>
      <c r="G6272" t="s">
        <v>17622</v>
      </c>
      <c r="H6272" t="s">
        <v>20280</v>
      </c>
      <c r="I6272" t="s">
        <v>1357</v>
      </c>
      <c r="J6272" t="s">
        <v>1357</v>
      </c>
      <c r="K6272" t="s">
        <v>1357</v>
      </c>
      <c r="L6272" t="s">
        <v>1357</v>
      </c>
    </row>
    <row r="6273" spans="6:12">
      <c r="H6273" t="s">
        <v>20233</v>
      </c>
      <c r="I6273" t="s">
        <v>1357</v>
      </c>
      <c r="J6273" t="s">
        <v>1357</v>
      </c>
      <c r="K6273" t="s">
        <v>1357</v>
      </c>
      <c r="L6273" t="s">
        <v>1357</v>
      </c>
    </row>
    <row r="6274" spans="6:12">
      <c r="H6274" t="s">
        <v>20230</v>
      </c>
      <c r="I6274" t="s">
        <v>1357</v>
      </c>
      <c r="J6274" t="s">
        <v>1357</v>
      </c>
      <c r="K6274" t="s">
        <v>1357</v>
      </c>
      <c r="L6274" t="s">
        <v>1357</v>
      </c>
    </row>
    <row r="6275" spans="6:12">
      <c r="H6275" t="s">
        <v>20284</v>
      </c>
      <c r="I6275" t="s">
        <v>1357</v>
      </c>
      <c r="J6275" t="s">
        <v>1357</v>
      </c>
      <c r="K6275" t="s">
        <v>1357</v>
      </c>
      <c r="L6275" t="s">
        <v>1357</v>
      </c>
    </row>
    <row r="6276" spans="6:12">
      <c r="H6276" t="s">
        <v>20285</v>
      </c>
      <c r="I6276" t="s">
        <v>1357</v>
      </c>
      <c r="J6276" t="s">
        <v>1357</v>
      </c>
      <c r="K6276" t="s">
        <v>1357</v>
      </c>
      <c r="L6276" t="s">
        <v>1357</v>
      </c>
    </row>
    <row r="6277" spans="6:12">
      <c r="H6277" t="s">
        <v>20286</v>
      </c>
      <c r="I6277" t="s">
        <v>1357</v>
      </c>
      <c r="J6277" t="s">
        <v>1357</v>
      </c>
      <c r="K6277" t="s">
        <v>1357</v>
      </c>
      <c r="L6277" t="s">
        <v>1357</v>
      </c>
    </row>
    <row r="6278" spans="6:12">
      <c r="H6278" t="s">
        <v>20287</v>
      </c>
      <c r="I6278" t="s">
        <v>1357</v>
      </c>
      <c r="J6278" t="s">
        <v>1357</v>
      </c>
      <c r="K6278" t="s">
        <v>1357</v>
      </c>
      <c r="L6278" t="s">
        <v>1357</v>
      </c>
    </row>
    <row r="6279" spans="6:12">
      <c r="F6279" t="s">
        <v>14779</v>
      </c>
      <c r="G6279" t="s">
        <v>17623</v>
      </c>
      <c r="H6279" t="s">
        <v>20280</v>
      </c>
      <c r="I6279" t="s">
        <v>1357</v>
      </c>
      <c r="J6279" t="s">
        <v>1357</v>
      </c>
      <c r="K6279" t="s">
        <v>1357</v>
      </c>
      <c r="L6279" t="s">
        <v>1357</v>
      </c>
    </row>
    <row r="6280" spans="6:12">
      <c r="H6280" t="s">
        <v>20233</v>
      </c>
      <c r="I6280" t="s">
        <v>1357</v>
      </c>
      <c r="J6280" t="s">
        <v>1357</v>
      </c>
      <c r="K6280" t="s">
        <v>1357</v>
      </c>
      <c r="L6280" t="s">
        <v>1357</v>
      </c>
    </row>
    <row r="6281" spans="6:12">
      <c r="H6281" t="s">
        <v>20230</v>
      </c>
      <c r="I6281" t="s">
        <v>1357</v>
      </c>
      <c r="J6281" t="s">
        <v>1357</v>
      </c>
      <c r="K6281" t="s">
        <v>1357</v>
      </c>
      <c r="L6281" t="s">
        <v>1357</v>
      </c>
    </row>
    <row r="6282" spans="6:12">
      <c r="H6282" t="s">
        <v>20227</v>
      </c>
      <c r="I6282" t="s">
        <v>1357</v>
      </c>
      <c r="J6282" t="s">
        <v>1357</v>
      </c>
      <c r="K6282" t="s">
        <v>1357</v>
      </c>
      <c r="L6282" t="s">
        <v>1357</v>
      </c>
    </row>
    <row r="6283" spans="6:12">
      <c r="H6283" t="s">
        <v>20284</v>
      </c>
      <c r="I6283" t="s">
        <v>1357</v>
      </c>
      <c r="J6283" t="s">
        <v>1357</v>
      </c>
      <c r="K6283" t="s">
        <v>1357</v>
      </c>
      <c r="L6283" t="s">
        <v>1357</v>
      </c>
    </row>
    <row r="6284" spans="6:12">
      <c r="H6284" t="s">
        <v>20287</v>
      </c>
      <c r="I6284" t="s">
        <v>1357</v>
      </c>
      <c r="J6284" t="s">
        <v>1357</v>
      </c>
      <c r="K6284" t="s">
        <v>1357</v>
      </c>
      <c r="L6284" t="s">
        <v>1357</v>
      </c>
    </row>
    <row r="6285" spans="6:12">
      <c r="F6285" t="s">
        <v>14780</v>
      </c>
      <c r="G6285" t="s">
        <v>17624</v>
      </c>
      <c r="H6285" t="s">
        <v>20280</v>
      </c>
      <c r="I6285" t="s">
        <v>1357</v>
      </c>
      <c r="J6285" t="s">
        <v>1357</v>
      </c>
      <c r="K6285" t="s">
        <v>1357</v>
      </c>
      <c r="L6285" t="s">
        <v>1357</v>
      </c>
    </row>
    <row r="6286" spans="6:12">
      <c r="H6286" t="s">
        <v>20233</v>
      </c>
      <c r="I6286" t="s">
        <v>1357</v>
      </c>
      <c r="J6286" t="s">
        <v>1357</v>
      </c>
      <c r="K6286" t="s">
        <v>1357</v>
      </c>
      <c r="L6286" t="s">
        <v>1357</v>
      </c>
    </row>
    <row r="6287" spans="6:12">
      <c r="H6287" t="s">
        <v>20230</v>
      </c>
      <c r="I6287" t="s">
        <v>1357</v>
      </c>
      <c r="J6287" t="s">
        <v>1357</v>
      </c>
      <c r="K6287" t="s">
        <v>1357</v>
      </c>
      <c r="L6287" t="s">
        <v>1357</v>
      </c>
    </row>
    <row r="6288" spans="6:12">
      <c r="H6288" t="s">
        <v>20227</v>
      </c>
      <c r="I6288" t="s">
        <v>1357</v>
      </c>
      <c r="J6288" t="s">
        <v>1357</v>
      </c>
      <c r="K6288" t="s">
        <v>1357</v>
      </c>
      <c r="L6288" t="s">
        <v>1357</v>
      </c>
    </row>
    <row r="6289" spans="6:12">
      <c r="H6289" t="s">
        <v>20284</v>
      </c>
      <c r="I6289" t="s">
        <v>1357</v>
      </c>
      <c r="J6289" t="s">
        <v>1357</v>
      </c>
      <c r="K6289" t="s">
        <v>1357</v>
      </c>
      <c r="L6289" t="s">
        <v>1357</v>
      </c>
    </row>
    <row r="6290" spans="6:12">
      <c r="H6290" t="s">
        <v>20287</v>
      </c>
      <c r="I6290" t="s">
        <v>1357</v>
      </c>
      <c r="J6290" t="s">
        <v>1357</v>
      </c>
      <c r="K6290" t="s">
        <v>1357</v>
      </c>
      <c r="L6290" t="s">
        <v>1357</v>
      </c>
    </row>
    <row r="6291" spans="6:12">
      <c r="F6291" t="s">
        <v>14781</v>
      </c>
      <c r="G6291" t="s">
        <v>17625</v>
      </c>
      <c r="H6291" t="s">
        <v>20280</v>
      </c>
      <c r="I6291" t="s">
        <v>1357</v>
      </c>
      <c r="J6291" t="s">
        <v>1357</v>
      </c>
      <c r="K6291" t="s">
        <v>1357</v>
      </c>
      <c r="L6291" t="s">
        <v>1357</v>
      </c>
    </row>
    <row r="6292" spans="6:12">
      <c r="H6292" t="s">
        <v>20233</v>
      </c>
      <c r="I6292" t="s">
        <v>1357</v>
      </c>
      <c r="J6292" t="s">
        <v>1357</v>
      </c>
      <c r="K6292" t="s">
        <v>1357</v>
      </c>
      <c r="L6292" t="s">
        <v>1357</v>
      </c>
    </row>
    <row r="6293" spans="6:12">
      <c r="H6293" t="s">
        <v>20230</v>
      </c>
      <c r="I6293" t="s">
        <v>1357</v>
      </c>
      <c r="J6293" t="s">
        <v>1357</v>
      </c>
      <c r="K6293" t="s">
        <v>1357</v>
      </c>
      <c r="L6293" t="s">
        <v>1357</v>
      </c>
    </row>
    <row r="6294" spans="6:12">
      <c r="H6294" t="s">
        <v>20227</v>
      </c>
      <c r="I6294" t="s">
        <v>1357</v>
      </c>
      <c r="J6294" t="s">
        <v>1357</v>
      </c>
      <c r="K6294" t="s">
        <v>1357</v>
      </c>
      <c r="L6294" t="s">
        <v>1357</v>
      </c>
    </row>
    <row r="6295" spans="6:12">
      <c r="H6295" t="s">
        <v>20228</v>
      </c>
      <c r="I6295" t="s">
        <v>1357</v>
      </c>
      <c r="J6295" t="s">
        <v>1357</v>
      </c>
      <c r="K6295" t="s">
        <v>1357</v>
      </c>
      <c r="L6295" t="s">
        <v>1357</v>
      </c>
    </row>
    <row r="6296" spans="6:12">
      <c r="H6296" t="s">
        <v>20284</v>
      </c>
      <c r="I6296" t="s">
        <v>1357</v>
      </c>
      <c r="J6296" t="s">
        <v>1357</v>
      </c>
      <c r="K6296" t="s">
        <v>1357</v>
      </c>
      <c r="L6296" t="s">
        <v>1357</v>
      </c>
    </row>
    <row r="6297" spans="6:12">
      <c r="H6297" t="s">
        <v>20287</v>
      </c>
      <c r="I6297" t="s">
        <v>1357</v>
      </c>
      <c r="J6297" t="s">
        <v>1357</v>
      </c>
      <c r="K6297" t="s">
        <v>1357</v>
      </c>
      <c r="L6297" t="s">
        <v>1357</v>
      </c>
    </row>
    <row r="6298" spans="6:12">
      <c r="F6298" t="s">
        <v>14782</v>
      </c>
      <c r="G6298" t="s">
        <v>17626</v>
      </c>
      <c r="H6298" t="s">
        <v>20280</v>
      </c>
      <c r="I6298" t="s">
        <v>1357</v>
      </c>
      <c r="J6298" t="s">
        <v>1357</v>
      </c>
      <c r="K6298" t="s">
        <v>1357</v>
      </c>
      <c r="L6298" t="s">
        <v>1357</v>
      </c>
    </row>
    <row r="6299" spans="6:12">
      <c r="H6299" t="s">
        <v>20233</v>
      </c>
      <c r="I6299" t="s">
        <v>1357</v>
      </c>
      <c r="J6299" t="s">
        <v>1357</v>
      </c>
      <c r="K6299" t="s">
        <v>1357</v>
      </c>
      <c r="L6299" t="s">
        <v>1357</v>
      </c>
    </row>
    <row r="6300" spans="6:12">
      <c r="H6300" t="s">
        <v>20230</v>
      </c>
      <c r="I6300" t="s">
        <v>1357</v>
      </c>
      <c r="J6300" t="s">
        <v>1357</v>
      </c>
      <c r="K6300" t="s">
        <v>1357</v>
      </c>
      <c r="L6300" t="s">
        <v>1357</v>
      </c>
    </row>
    <row r="6301" spans="6:12">
      <c r="H6301" t="s">
        <v>20227</v>
      </c>
      <c r="I6301" t="s">
        <v>1357</v>
      </c>
      <c r="J6301" t="s">
        <v>1357</v>
      </c>
      <c r="K6301" t="s">
        <v>1357</v>
      </c>
      <c r="L6301" t="s">
        <v>1357</v>
      </c>
    </row>
    <row r="6302" spans="6:12">
      <c r="H6302" t="s">
        <v>20284</v>
      </c>
      <c r="I6302" t="s">
        <v>1357</v>
      </c>
      <c r="J6302" t="s">
        <v>1357</v>
      </c>
      <c r="K6302" t="s">
        <v>1357</v>
      </c>
      <c r="L6302" t="s">
        <v>1357</v>
      </c>
    </row>
    <row r="6303" spans="6:12">
      <c r="H6303" t="s">
        <v>20285</v>
      </c>
      <c r="I6303" t="s">
        <v>1357</v>
      </c>
      <c r="J6303" t="s">
        <v>1357</v>
      </c>
      <c r="K6303" t="s">
        <v>1357</v>
      </c>
      <c r="L6303" t="s">
        <v>1357</v>
      </c>
    </row>
    <row r="6304" spans="6:12">
      <c r="H6304" t="s">
        <v>20286</v>
      </c>
      <c r="I6304" t="s">
        <v>1357</v>
      </c>
      <c r="J6304" t="s">
        <v>1357</v>
      </c>
      <c r="K6304" t="s">
        <v>1357</v>
      </c>
      <c r="L6304" t="s">
        <v>1357</v>
      </c>
    </row>
    <row r="6305" spans="6:12">
      <c r="H6305" t="s">
        <v>20287</v>
      </c>
      <c r="I6305" t="s">
        <v>1357</v>
      </c>
      <c r="J6305" t="s">
        <v>1357</v>
      </c>
      <c r="K6305" t="s">
        <v>1357</v>
      </c>
      <c r="L6305" t="s">
        <v>1357</v>
      </c>
    </row>
    <row r="6306" spans="6:12">
      <c r="F6306" t="s">
        <v>14783</v>
      </c>
      <c r="G6306" t="s">
        <v>17627</v>
      </c>
      <c r="H6306" t="s">
        <v>20280</v>
      </c>
      <c r="I6306" t="s">
        <v>1357</v>
      </c>
      <c r="J6306" t="s">
        <v>1357</v>
      </c>
      <c r="K6306" t="s">
        <v>1357</v>
      </c>
      <c r="L6306" t="s">
        <v>1357</v>
      </c>
    </row>
    <row r="6307" spans="6:12">
      <c r="H6307" t="s">
        <v>20233</v>
      </c>
      <c r="I6307" t="s">
        <v>1357</v>
      </c>
      <c r="J6307" t="s">
        <v>1357</v>
      </c>
      <c r="K6307" t="s">
        <v>1357</v>
      </c>
      <c r="L6307" t="s">
        <v>1357</v>
      </c>
    </row>
    <row r="6308" spans="6:12">
      <c r="H6308" t="s">
        <v>20230</v>
      </c>
      <c r="I6308" t="s">
        <v>1357</v>
      </c>
      <c r="J6308" t="s">
        <v>1357</v>
      </c>
      <c r="K6308" t="s">
        <v>1357</v>
      </c>
      <c r="L6308" t="s">
        <v>1357</v>
      </c>
    </row>
    <row r="6309" spans="6:12">
      <c r="H6309" t="s">
        <v>20284</v>
      </c>
      <c r="I6309" t="s">
        <v>1357</v>
      </c>
      <c r="J6309" t="s">
        <v>1357</v>
      </c>
      <c r="K6309" t="s">
        <v>1357</v>
      </c>
      <c r="L6309" t="s">
        <v>1357</v>
      </c>
    </row>
    <row r="6310" spans="6:12">
      <c r="H6310" t="s">
        <v>20285</v>
      </c>
      <c r="I6310" t="s">
        <v>1357</v>
      </c>
      <c r="J6310" t="s">
        <v>1357</v>
      </c>
      <c r="K6310" t="s">
        <v>1357</v>
      </c>
      <c r="L6310" t="s">
        <v>1357</v>
      </c>
    </row>
    <row r="6311" spans="6:12">
      <c r="H6311" t="s">
        <v>20286</v>
      </c>
      <c r="I6311" t="s">
        <v>1357</v>
      </c>
      <c r="J6311" t="s">
        <v>1357</v>
      </c>
      <c r="K6311" t="s">
        <v>1357</v>
      </c>
      <c r="L6311" t="s">
        <v>1357</v>
      </c>
    </row>
    <row r="6312" spans="6:12">
      <c r="H6312" t="s">
        <v>20287</v>
      </c>
      <c r="I6312" t="s">
        <v>1357</v>
      </c>
      <c r="J6312" t="s">
        <v>1357</v>
      </c>
      <c r="K6312" t="s">
        <v>1357</v>
      </c>
      <c r="L6312" t="s">
        <v>1357</v>
      </c>
    </row>
    <row r="6313" spans="6:12">
      <c r="F6313" t="s">
        <v>14784</v>
      </c>
      <c r="G6313" t="s">
        <v>17628</v>
      </c>
      <c r="H6313" t="s">
        <v>20280</v>
      </c>
      <c r="I6313" t="s">
        <v>1357</v>
      </c>
      <c r="J6313" t="s">
        <v>1357</v>
      </c>
      <c r="K6313" t="s">
        <v>1357</v>
      </c>
      <c r="L6313" t="s">
        <v>1357</v>
      </c>
    </row>
    <row r="6314" spans="6:12">
      <c r="H6314" t="s">
        <v>20233</v>
      </c>
      <c r="I6314" t="s">
        <v>1357</v>
      </c>
      <c r="J6314" t="s">
        <v>1357</v>
      </c>
      <c r="K6314" t="s">
        <v>1357</v>
      </c>
      <c r="L6314" t="s">
        <v>1357</v>
      </c>
    </row>
    <row r="6315" spans="6:12">
      <c r="H6315" t="s">
        <v>20230</v>
      </c>
      <c r="I6315" t="s">
        <v>1357</v>
      </c>
      <c r="J6315" t="s">
        <v>1357</v>
      </c>
      <c r="K6315" t="s">
        <v>1357</v>
      </c>
      <c r="L6315" t="s">
        <v>1357</v>
      </c>
    </row>
    <row r="6316" spans="6:12">
      <c r="H6316" t="s">
        <v>20296</v>
      </c>
      <c r="I6316" t="s">
        <v>1357</v>
      </c>
      <c r="J6316" t="s">
        <v>1357</v>
      </c>
      <c r="K6316" t="s">
        <v>1357</v>
      </c>
      <c r="L6316" t="s">
        <v>1357</v>
      </c>
    </row>
    <row r="6317" spans="6:12">
      <c r="H6317" t="s">
        <v>20297</v>
      </c>
      <c r="I6317" t="s">
        <v>1357</v>
      </c>
      <c r="J6317" t="s">
        <v>1357</v>
      </c>
      <c r="K6317" t="s">
        <v>1357</v>
      </c>
      <c r="L6317" t="s">
        <v>1357</v>
      </c>
    </row>
    <row r="6318" spans="6:12">
      <c r="H6318" t="s">
        <v>20234</v>
      </c>
      <c r="I6318" t="s">
        <v>1357</v>
      </c>
      <c r="J6318" t="s">
        <v>1357</v>
      </c>
      <c r="K6318" t="s">
        <v>1357</v>
      </c>
      <c r="L6318" t="s">
        <v>1357</v>
      </c>
    </row>
    <row r="6319" spans="6:12">
      <c r="H6319" t="s">
        <v>20235</v>
      </c>
      <c r="I6319" t="s">
        <v>1357</v>
      </c>
      <c r="J6319" t="s">
        <v>1357</v>
      </c>
      <c r="K6319" t="s">
        <v>1357</v>
      </c>
      <c r="L6319" t="s">
        <v>1357</v>
      </c>
    </row>
    <row r="6320" spans="6:12">
      <c r="H6320" t="s">
        <v>20298</v>
      </c>
      <c r="I6320" t="s">
        <v>1357</v>
      </c>
      <c r="J6320" t="s">
        <v>1357</v>
      </c>
      <c r="K6320" t="s">
        <v>1357</v>
      </c>
      <c r="L6320" t="s">
        <v>1357</v>
      </c>
    </row>
    <row r="6321" spans="6:12">
      <c r="H6321" t="s">
        <v>20299</v>
      </c>
      <c r="I6321" t="s">
        <v>1357</v>
      </c>
      <c r="J6321" t="s">
        <v>1357</v>
      </c>
      <c r="K6321" t="s">
        <v>1357</v>
      </c>
      <c r="L6321" t="s">
        <v>1357</v>
      </c>
    </row>
    <row r="6322" spans="6:12">
      <c r="H6322" t="s">
        <v>20284</v>
      </c>
      <c r="I6322" t="s">
        <v>1357</v>
      </c>
      <c r="J6322" t="s">
        <v>1357</v>
      </c>
      <c r="K6322" t="s">
        <v>1357</v>
      </c>
      <c r="L6322" t="s">
        <v>1357</v>
      </c>
    </row>
    <row r="6323" spans="6:12">
      <c r="H6323" t="s">
        <v>20285</v>
      </c>
      <c r="I6323" t="s">
        <v>1357</v>
      </c>
      <c r="J6323" t="s">
        <v>1357</v>
      </c>
      <c r="K6323" t="s">
        <v>1357</v>
      </c>
      <c r="L6323" t="s">
        <v>1357</v>
      </c>
    </row>
    <row r="6324" spans="6:12">
      <c r="H6324" t="s">
        <v>20286</v>
      </c>
      <c r="I6324" t="s">
        <v>1357</v>
      </c>
      <c r="J6324" t="s">
        <v>1357</v>
      </c>
      <c r="K6324" t="s">
        <v>1357</v>
      </c>
      <c r="L6324" t="s">
        <v>1357</v>
      </c>
    </row>
    <row r="6325" spans="6:12">
      <c r="H6325" t="s">
        <v>20287</v>
      </c>
      <c r="I6325" t="s">
        <v>1357</v>
      </c>
      <c r="J6325" t="s">
        <v>1357</v>
      </c>
      <c r="K6325" t="s">
        <v>1357</v>
      </c>
      <c r="L6325" t="s">
        <v>1357</v>
      </c>
    </row>
    <row r="6326" spans="6:12">
      <c r="H6326" t="s">
        <v>20288</v>
      </c>
      <c r="I6326" t="s">
        <v>1357</v>
      </c>
      <c r="J6326" t="s">
        <v>1357</v>
      </c>
      <c r="K6326" t="s">
        <v>1357</v>
      </c>
      <c r="L6326" t="s">
        <v>1357</v>
      </c>
    </row>
    <row r="6327" spans="6:12">
      <c r="F6327" t="s">
        <v>14785</v>
      </c>
      <c r="G6327" t="s">
        <v>17629</v>
      </c>
      <c r="H6327" t="s">
        <v>20280</v>
      </c>
      <c r="I6327" t="s">
        <v>1357</v>
      </c>
      <c r="J6327" t="s">
        <v>1357</v>
      </c>
      <c r="K6327" t="s">
        <v>1357</v>
      </c>
      <c r="L6327" t="s">
        <v>1357</v>
      </c>
    </row>
    <row r="6328" spans="6:12">
      <c r="H6328" t="s">
        <v>20233</v>
      </c>
      <c r="I6328" t="s">
        <v>1357</v>
      </c>
      <c r="J6328" t="s">
        <v>1357</v>
      </c>
      <c r="K6328" t="s">
        <v>1357</v>
      </c>
      <c r="L6328" t="s">
        <v>1357</v>
      </c>
    </row>
    <row r="6329" spans="6:12">
      <c r="H6329" t="s">
        <v>20230</v>
      </c>
      <c r="I6329" t="s">
        <v>1357</v>
      </c>
      <c r="J6329" t="s">
        <v>1357</v>
      </c>
      <c r="K6329" t="s">
        <v>1357</v>
      </c>
      <c r="L6329" t="s">
        <v>1357</v>
      </c>
    </row>
    <row r="6330" spans="6:12">
      <c r="H6330" t="s">
        <v>20296</v>
      </c>
      <c r="I6330" t="s">
        <v>1357</v>
      </c>
      <c r="J6330" t="s">
        <v>1357</v>
      </c>
      <c r="K6330" t="s">
        <v>1357</v>
      </c>
      <c r="L6330" t="s">
        <v>1357</v>
      </c>
    </row>
    <row r="6331" spans="6:12">
      <c r="H6331" t="s">
        <v>20297</v>
      </c>
      <c r="I6331" t="s">
        <v>1357</v>
      </c>
      <c r="J6331" t="s">
        <v>1357</v>
      </c>
      <c r="K6331" t="s">
        <v>1357</v>
      </c>
      <c r="L6331" t="s">
        <v>1357</v>
      </c>
    </row>
    <row r="6332" spans="6:12">
      <c r="H6332" t="s">
        <v>20234</v>
      </c>
      <c r="I6332" t="s">
        <v>1357</v>
      </c>
      <c r="J6332" t="s">
        <v>1357</v>
      </c>
      <c r="K6332" t="s">
        <v>1357</v>
      </c>
      <c r="L6332" t="s">
        <v>1357</v>
      </c>
    </row>
    <row r="6333" spans="6:12">
      <c r="H6333" t="s">
        <v>20235</v>
      </c>
      <c r="I6333" t="s">
        <v>1357</v>
      </c>
      <c r="J6333" t="s">
        <v>1357</v>
      </c>
      <c r="K6333" t="s">
        <v>1357</v>
      </c>
      <c r="L6333" t="s">
        <v>1357</v>
      </c>
    </row>
    <row r="6334" spans="6:12">
      <c r="H6334" t="s">
        <v>20298</v>
      </c>
      <c r="I6334" t="s">
        <v>1357</v>
      </c>
      <c r="J6334" t="s">
        <v>1357</v>
      </c>
      <c r="K6334" t="s">
        <v>1357</v>
      </c>
      <c r="L6334" t="s">
        <v>1357</v>
      </c>
    </row>
    <row r="6335" spans="6:12">
      <c r="H6335" t="s">
        <v>20299</v>
      </c>
      <c r="I6335" t="s">
        <v>1357</v>
      </c>
      <c r="J6335" t="s">
        <v>1357</v>
      </c>
      <c r="K6335" t="s">
        <v>1357</v>
      </c>
      <c r="L6335" t="s">
        <v>1357</v>
      </c>
    </row>
    <row r="6336" spans="6:12">
      <c r="H6336" t="s">
        <v>20284</v>
      </c>
      <c r="I6336" t="s">
        <v>1357</v>
      </c>
      <c r="J6336" t="s">
        <v>1357</v>
      </c>
      <c r="K6336" t="s">
        <v>1357</v>
      </c>
      <c r="L6336" t="s">
        <v>1357</v>
      </c>
    </row>
    <row r="6337" spans="6:12">
      <c r="H6337" t="s">
        <v>20285</v>
      </c>
      <c r="I6337" t="s">
        <v>1357</v>
      </c>
      <c r="J6337" t="s">
        <v>1357</v>
      </c>
      <c r="K6337" t="s">
        <v>1357</v>
      </c>
      <c r="L6337" t="s">
        <v>1357</v>
      </c>
    </row>
    <row r="6338" spans="6:12">
      <c r="H6338" t="s">
        <v>20286</v>
      </c>
      <c r="I6338" t="s">
        <v>1357</v>
      </c>
      <c r="J6338" t="s">
        <v>1357</v>
      </c>
      <c r="K6338" t="s">
        <v>1357</v>
      </c>
      <c r="L6338" t="s">
        <v>1357</v>
      </c>
    </row>
    <row r="6339" spans="6:12">
      <c r="H6339" t="s">
        <v>20287</v>
      </c>
      <c r="I6339" t="s">
        <v>1357</v>
      </c>
      <c r="J6339" t="s">
        <v>1357</v>
      </c>
      <c r="K6339" t="s">
        <v>1357</v>
      </c>
      <c r="L6339" t="s">
        <v>1357</v>
      </c>
    </row>
    <row r="6340" spans="6:12">
      <c r="F6340" t="s">
        <v>14786</v>
      </c>
      <c r="G6340" t="s">
        <v>17630</v>
      </c>
      <c r="H6340" t="s">
        <v>20280</v>
      </c>
      <c r="I6340" t="s">
        <v>1357</v>
      </c>
      <c r="J6340" t="s">
        <v>1357</v>
      </c>
      <c r="K6340" t="s">
        <v>1357</v>
      </c>
      <c r="L6340" t="s">
        <v>1357</v>
      </c>
    </row>
    <row r="6341" spans="6:12">
      <c r="H6341" t="s">
        <v>20233</v>
      </c>
      <c r="I6341" t="s">
        <v>1357</v>
      </c>
      <c r="J6341" t="s">
        <v>1357</v>
      </c>
      <c r="K6341" t="s">
        <v>1357</v>
      </c>
      <c r="L6341" t="s">
        <v>1357</v>
      </c>
    </row>
    <row r="6342" spans="6:12">
      <c r="H6342" t="s">
        <v>20230</v>
      </c>
      <c r="I6342" t="s">
        <v>1357</v>
      </c>
      <c r="J6342" t="s">
        <v>1357</v>
      </c>
      <c r="K6342" t="s">
        <v>1357</v>
      </c>
      <c r="L6342" t="s">
        <v>1357</v>
      </c>
    </row>
    <row r="6343" spans="6:12">
      <c r="H6343" t="s">
        <v>20296</v>
      </c>
      <c r="I6343" t="s">
        <v>1357</v>
      </c>
      <c r="J6343" t="s">
        <v>1357</v>
      </c>
      <c r="K6343" t="s">
        <v>1357</v>
      </c>
      <c r="L6343" t="s">
        <v>1357</v>
      </c>
    </row>
    <row r="6344" spans="6:12">
      <c r="H6344" t="s">
        <v>20297</v>
      </c>
      <c r="I6344" t="s">
        <v>1357</v>
      </c>
      <c r="J6344" t="s">
        <v>1357</v>
      </c>
      <c r="K6344" t="s">
        <v>1357</v>
      </c>
      <c r="L6344" t="s">
        <v>1357</v>
      </c>
    </row>
    <row r="6345" spans="6:12">
      <c r="H6345" t="s">
        <v>20234</v>
      </c>
      <c r="I6345" t="s">
        <v>1357</v>
      </c>
      <c r="J6345" t="s">
        <v>1357</v>
      </c>
      <c r="K6345" t="s">
        <v>1357</v>
      </c>
      <c r="L6345" t="s">
        <v>1357</v>
      </c>
    </row>
    <row r="6346" spans="6:12">
      <c r="H6346" t="s">
        <v>20235</v>
      </c>
      <c r="I6346" t="s">
        <v>1357</v>
      </c>
      <c r="J6346" t="s">
        <v>1357</v>
      </c>
      <c r="K6346" t="s">
        <v>1357</v>
      </c>
      <c r="L6346" t="s">
        <v>1357</v>
      </c>
    </row>
    <row r="6347" spans="6:12">
      <c r="H6347" t="s">
        <v>20298</v>
      </c>
      <c r="I6347" t="s">
        <v>1357</v>
      </c>
      <c r="J6347" t="s">
        <v>1357</v>
      </c>
      <c r="K6347" t="s">
        <v>1357</v>
      </c>
      <c r="L6347" t="s">
        <v>1357</v>
      </c>
    </row>
    <row r="6348" spans="6:12">
      <c r="H6348" t="s">
        <v>20299</v>
      </c>
      <c r="I6348" t="s">
        <v>1357</v>
      </c>
      <c r="J6348" t="s">
        <v>1357</v>
      </c>
      <c r="K6348" t="s">
        <v>1357</v>
      </c>
      <c r="L6348" t="s">
        <v>1357</v>
      </c>
    </row>
    <row r="6349" spans="6:12">
      <c r="H6349" t="s">
        <v>20284</v>
      </c>
      <c r="I6349" t="s">
        <v>1357</v>
      </c>
      <c r="J6349" t="s">
        <v>1357</v>
      </c>
      <c r="K6349" t="s">
        <v>1357</v>
      </c>
      <c r="L6349" t="s">
        <v>1357</v>
      </c>
    </row>
    <row r="6350" spans="6:12">
      <c r="H6350" t="s">
        <v>20285</v>
      </c>
      <c r="I6350" t="s">
        <v>1357</v>
      </c>
      <c r="J6350" t="s">
        <v>1357</v>
      </c>
      <c r="K6350" t="s">
        <v>1357</v>
      </c>
      <c r="L6350" t="s">
        <v>1357</v>
      </c>
    </row>
    <row r="6351" spans="6:12">
      <c r="H6351" t="s">
        <v>20286</v>
      </c>
      <c r="I6351" t="s">
        <v>1357</v>
      </c>
      <c r="J6351" t="s">
        <v>1357</v>
      </c>
      <c r="K6351" t="s">
        <v>1357</v>
      </c>
      <c r="L6351" t="s">
        <v>1357</v>
      </c>
    </row>
    <row r="6352" spans="6:12">
      <c r="H6352" t="s">
        <v>20287</v>
      </c>
      <c r="I6352" t="s">
        <v>1357</v>
      </c>
      <c r="J6352" t="s">
        <v>1357</v>
      </c>
      <c r="K6352" t="s">
        <v>1357</v>
      </c>
      <c r="L6352" t="s">
        <v>1357</v>
      </c>
    </row>
    <row r="6353" spans="6:12">
      <c r="H6353" t="s">
        <v>20288</v>
      </c>
      <c r="I6353" t="s">
        <v>1357</v>
      </c>
      <c r="J6353" t="s">
        <v>1357</v>
      </c>
      <c r="K6353" t="s">
        <v>1357</v>
      </c>
      <c r="L6353" t="s">
        <v>1357</v>
      </c>
    </row>
    <row r="6354" spans="6:12">
      <c r="F6354" t="s">
        <v>14787</v>
      </c>
      <c r="G6354" t="s">
        <v>17631</v>
      </c>
      <c r="H6354" t="s">
        <v>20280</v>
      </c>
      <c r="I6354" t="s">
        <v>1357</v>
      </c>
      <c r="J6354" t="s">
        <v>1357</v>
      </c>
      <c r="K6354" t="s">
        <v>1357</v>
      </c>
      <c r="L6354" t="s">
        <v>1357</v>
      </c>
    </row>
    <row r="6355" spans="6:12">
      <c r="H6355" t="s">
        <v>20233</v>
      </c>
      <c r="I6355" t="s">
        <v>1357</v>
      </c>
      <c r="J6355" t="s">
        <v>1357</v>
      </c>
      <c r="K6355" t="s">
        <v>1357</v>
      </c>
      <c r="L6355" t="s">
        <v>1357</v>
      </c>
    </row>
    <row r="6356" spans="6:12">
      <c r="H6356" t="s">
        <v>20230</v>
      </c>
      <c r="I6356" t="s">
        <v>1357</v>
      </c>
      <c r="J6356" t="s">
        <v>1357</v>
      </c>
      <c r="K6356" t="s">
        <v>1357</v>
      </c>
      <c r="L6356" t="s">
        <v>1357</v>
      </c>
    </row>
    <row r="6357" spans="6:12">
      <c r="H6357" t="s">
        <v>20296</v>
      </c>
      <c r="I6357" t="s">
        <v>1357</v>
      </c>
      <c r="J6357" t="s">
        <v>1357</v>
      </c>
      <c r="K6357" t="s">
        <v>1357</v>
      </c>
      <c r="L6357" t="s">
        <v>1357</v>
      </c>
    </row>
    <row r="6358" spans="6:12">
      <c r="H6358" t="s">
        <v>20297</v>
      </c>
      <c r="I6358" t="s">
        <v>1357</v>
      </c>
      <c r="J6358" t="s">
        <v>1357</v>
      </c>
      <c r="K6358" t="s">
        <v>1357</v>
      </c>
      <c r="L6358" t="s">
        <v>1357</v>
      </c>
    </row>
    <row r="6359" spans="6:12">
      <c r="H6359" t="s">
        <v>20234</v>
      </c>
      <c r="I6359" t="s">
        <v>1357</v>
      </c>
      <c r="J6359" t="s">
        <v>1357</v>
      </c>
      <c r="K6359" t="s">
        <v>1357</v>
      </c>
      <c r="L6359" t="s">
        <v>1357</v>
      </c>
    </row>
    <row r="6360" spans="6:12">
      <c r="H6360" t="s">
        <v>20235</v>
      </c>
      <c r="I6360" t="s">
        <v>1357</v>
      </c>
      <c r="J6360" t="s">
        <v>1357</v>
      </c>
      <c r="K6360" t="s">
        <v>1357</v>
      </c>
      <c r="L6360" t="s">
        <v>1357</v>
      </c>
    </row>
    <row r="6361" spans="6:12">
      <c r="H6361" t="s">
        <v>20298</v>
      </c>
      <c r="I6361" t="s">
        <v>1357</v>
      </c>
      <c r="J6361" t="s">
        <v>1357</v>
      </c>
      <c r="K6361" t="s">
        <v>1357</v>
      </c>
      <c r="L6361" t="s">
        <v>1357</v>
      </c>
    </row>
    <row r="6362" spans="6:12">
      <c r="H6362" t="s">
        <v>20299</v>
      </c>
      <c r="I6362" t="s">
        <v>1357</v>
      </c>
      <c r="J6362" t="s">
        <v>1357</v>
      </c>
      <c r="K6362" t="s">
        <v>1357</v>
      </c>
      <c r="L6362" t="s">
        <v>1357</v>
      </c>
    </row>
    <row r="6363" spans="6:12">
      <c r="H6363" t="s">
        <v>20300</v>
      </c>
      <c r="I6363" t="s">
        <v>1357</v>
      </c>
      <c r="J6363" t="s">
        <v>1357</v>
      </c>
      <c r="K6363" t="s">
        <v>1357</v>
      </c>
      <c r="L6363" t="s">
        <v>1357</v>
      </c>
    </row>
    <row r="6364" spans="6:12">
      <c r="H6364" t="s">
        <v>20301</v>
      </c>
      <c r="I6364" t="s">
        <v>1357</v>
      </c>
      <c r="J6364" t="s">
        <v>1357</v>
      </c>
      <c r="K6364" t="s">
        <v>1357</v>
      </c>
      <c r="L6364" t="s">
        <v>1357</v>
      </c>
    </row>
    <row r="6365" spans="6:12">
      <c r="H6365" t="s">
        <v>20302</v>
      </c>
      <c r="I6365" t="s">
        <v>1357</v>
      </c>
      <c r="J6365" t="s">
        <v>1357</v>
      </c>
      <c r="K6365" t="s">
        <v>1357</v>
      </c>
      <c r="L6365" t="s">
        <v>1357</v>
      </c>
    </row>
    <row r="6366" spans="6:12">
      <c r="H6366" t="s">
        <v>20284</v>
      </c>
      <c r="I6366" t="s">
        <v>1357</v>
      </c>
      <c r="J6366" t="s">
        <v>1357</v>
      </c>
      <c r="K6366" t="s">
        <v>1357</v>
      </c>
      <c r="L6366" t="s">
        <v>1357</v>
      </c>
    </row>
    <row r="6367" spans="6:12">
      <c r="H6367" t="s">
        <v>20285</v>
      </c>
      <c r="I6367" t="s">
        <v>1357</v>
      </c>
      <c r="J6367" t="s">
        <v>1357</v>
      </c>
      <c r="K6367" t="s">
        <v>1357</v>
      </c>
      <c r="L6367" t="s">
        <v>1357</v>
      </c>
    </row>
    <row r="6368" spans="6:12">
      <c r="H6368" t="s">
        <v>20286</v>
      </c>
      <c r="I6368" t="s">
        <v>1357</v>
      </c>
      <c r="J6368" t="s">
        <v>1357</v>
      </c>
      <c r="K6368" t="s">
        <v>1357</v>
      </c>
      <c r="L6368" t="s">
        <v>1357</v>
      </c>
    </row>
    <row r="6369" spans="6:12">
      <c r="H6369" t="s">
        <v>20287</v>
      </c>
      <c r="I6369" t="s">
        <v>1357</v>
      </c>
      <c r="J6369" t="s">
        <v>1357</v>
      </c>
      <c r="K6369" t="s">
        <v>1357</v>
      </c>
      <c r="L6369" t="s">
        <v>1357</v>
      </c>
    </row>
    <row r="6370" spans="6:12">
      <c r="F6370" t="s">
        <v>14788</v>
      </c>
      <c r="G6370" t="s">
        <v>17632</v>
      </c>
      <c r="H6370" t="s">
        <v>20280</v>
      </c>
      <c r="I6370" t="s">
        <v>1357</v>
      </c>
      <c r="J6370" t="s">
        <v>1357</v>
      </c>
      <c r="K6370" t="s">
        <v>1357</v>
      </c>
      <c r="L6370" t="s">
        <v>1357</v>
      </c>
    </row>
    <row r="6371" spans="6:12">
      <c r="H6371" t="s">
        <v>20233</v>
      </c>
      <c r="I6371" t="s">
        <v>1357</v>
      </c>
      <c r="J6371" t="s">
        <v>1357</v>
      </c>
      <c r="K6371" t="s">
        <v>1357</v>
      </c>
      <c r="L6371" t="s">
        <v>1357</v>
      </c>
    </row>
    <row r="6372" spans="6:12">
      <c r="H6372" t="s">
        <v>20281</v>
      </c>
      <c r="I6372" t="s">
        <v>1357</v>
      </c>
      <c r="J6372" t="s">
        <v>1357</v>
      </c>
      <c r="K6372" t="s">
        <v>1357</v>
      </c>
      <c r="L6372" t="s">
        <v>1357</v>
      </c>
    </row>
    <row r="6373" spans="6:12">
      <c r="H6373" t="s">
        <v>20282</v>
      </c>
      <c r="I6373" t="s">
        <v>1357</v>
      </c>
      <c r="J6373" t="s">
        <v>1357</v>
      </c>
      <c r="K6373" t="s">
        <v>1357</v>
      </c>
      <c r="L6373" t="s">
        <v>1357</v>
      </c>
    </row>
    <row r="6374" spans="6:12">
      <c r="H6374" t="s">
        <v>20283</v>
      </c>
      <c r="I6374" t="s">
        <v>1357</v>
      </c>
      <c r="J6374" t="s">
        <v>1357</v>
      </c>
      <c r="K6374" t="s">
        <v>1357</v>
      </c>
      <c r="L6374" t="s">
        <v>1357</v>
      </c>
    </row>
    <row r="6375" spans="6:12">
      <c r="H6375" t="s">
        <v>20284</v>
      </c>
      <c r="I6375" t="s">
        <v>1357</v>
      </c>
      <c r="J6375" t="s">
        <v>1357</v>
      </c>
      <c r="K6375" t="s">
        <v>1357</v>
      </c>
      <c r="L6375" t="s">
        <v>1357</v>
      </c>
    </row>
    <row r="6376" spans="6:12">
      <c r="H6376" t="s">
        <v>20285</v>
      </c>
      <c r="I6376" t="s">
        <v>1357</v>
      </c>
      <c r="J6376" t="s">
        <v>1357</v>
      </c>
      <c r="K6376" t="s">
        <v>1357</v>
      </c>
      <c r="L6376" t="s">
        <v>1357</v>
      </c>
    </row>
    <row r="6377" spans="6:12">
      <c r="H6377" t="s">
        <v>20286</v>
      </c>
      <c r="I6377" t="s">
        <v>1357</v>
      </c>
      <c r="J6377" t="s">
        <v>1357</v>
      </c>
      <c r="K6377" t="s">
        <v>1357</v>
      </c>
      <c r="L6377" t="s">
        <v>1357</v>
      </c>
    </row>
    <row r="6378" spans="6:12">
      <c r="H6378" t="s">
        <v>20287</v>
      </c>
      <c r="I6378" t="s">
        <v>1357</v>
      </c>
      <c r="J6378" t="s">
        <v>1357</v>
      </c>
      <c r="K6378" t="s">
        <v>1357</v>
      </c>
      <c r="L6378" t="s">
        <v>1357</v>
      </c>
    </row>
    <row r="6379" spans="6:12">
      <c r="H6379" t="s">
        <v>20288</v>
      </c>
      <c r="I6379" t="s">
        <v>1357</v>
      </c>
      <c r="J6379" t="s">
        <v>1357</v>
      </c>
      <c r="K6379" t="s">
        <v>1357</v>
      </c>
      <c r="L6379" t="s">
        <v>1357</v>
      </c>
    </row>
    <row r="6380" spans="6:12">
      <c r="H6380" t="s">
        <v>20289</v>
      </c>
      <c r="I6380" t="s">
        <v>1357</v>
      </c>
      <c r="J6380" t="s">
        <v>1357</v>
      </c>
      <c r="K6380" t="s">
        <v>1357</v>
      </c>
      <c r="L6380" t="s">
        <v>1357</v>
      </c>
    </row>
    <row r="6381" spans="6:12">
      <c r="H6381" t="s">
        <v>20290</v>
      </c>
      <c r="I6381" t="s">
        <v>1357</v>
      </c>
      <c r="J6381" t="s">
        <v>1357</v>
      </c>
      <c r="K6381" t="s">
        <v>1357</v>
      </c>
      <c r="L6381" t="s">
        <v>1357</v>
      </c>
    </row>
    <row r="6382" spans="6:12">
      <c r="H6382" t="s">
        <v>20291</v>
      </c>
      <c r="I6382" t="s">
        <v>1357</v>
      </c>
      <c r="J6382" t="s">
        <v>1357</v>
      </c>
      <c r="K6382" t="s">
        <v>1357</v>
      </c>
      <c r="L6382" t="s">
        <v>1357</v>
      </c>
    </row>
    <row r="6383" spans="6:12">
      <c r="F6383" t="s">
        <v>14789</v>
      </c>
      <c r="G6383" t="s">
        <v>17633</v>
      </c>
      <c r="H6383" t="s">
        <v>20280</v>
      </c>
      <c r="I6383" t="s">
        <v>1357</v>
      </c>
      <c r="J6383" t="s">
        <v>1357</v>
      </c>
      <c r="K6383" t="s">
        <v>1357</v>
      </c>
      <c r="L6383" t="s">
        <v>1357</v>
      </c>
    </row>
    <row r="6384" spans="6:12">
      <c r="H6384" t="s">
        <v>20233</v>
      </c>
      <c r="I6384" t="s">
        <v>1357</v>
      </c>
      <c r="J6384" t="s">
        <v>1357</v>
      </c>
      <c r="K6384" t="s">
        <v>1357</v>
      </c>
      <c r="L6384" t="s">
        <v>1357</v>
      </c>
    </row>
    <row r="6385" spans="6:12">
      <c r="H6385" t="s">
        <v>20281</v>
      </c>
      <c r="I6385" t="s">
        <v>1357</v>
      </c>
      <c r="J6385" t="s">
        <v>1357</v>
      </c>
      <c r="K6385" t="s">
        <v>1357</v>
      </c>
      <c r="L6385" t="s">
        <v>1357</v>
      </c>
    </row>
    <row r="6386" spans="6:12">
      <c r="H6386" t="s">
        <v>20282</v>
      </c>
      <c r="I6386" t="s">
        <v>1357</v>
      </c>
      <c r="J6386" t="s">
        <v>1357</v>
      </c>
      <c r="K6386" t="s">
        <v>1357</v>
      </c>
      <c r="L6386" t="s">
        <v>1357</v>
      </c>
    </row>
    <row r="6387" spans="6:12">
      <c r="H6387" t="s">
        <v>20283</v>
      </c>
      <c r="I6387" t="s">
        <v>1357</v>
      </c>
      <c r="J6387" t="s">
        <v>1357</v>
      </c>
      <c r="K6387" t="s">
        <v>1357</v>
      </c>
      <c r="L6387" t="s">
        <v>1357</v>
      </c>
    </row>
    <row r="6388" spans="6:12">
      <c r="H6388" t="s">
        <v>20284</v>
      </c>
      <c r="I6388" t="s">
        <v>1357</v>
      </c>
      <c r="J6388" t="s">
        <v>1357</v>
      </c>
      <c r="K6388" t="s">
        <v>1357</v>
      </c>
      <c r="L6388" t="s">
        <v>1357</v>
      </c>
    </row>
    <row r="6389" spans="6:12">
      <c r="H6389" t="s">
        <v>20285</v>
      </c>
      <c r="I6389" t="s">
        <v>1357</v>
      </c>
      <c r="J6389" t="s">
        <v>1357</v>
      </c>
      <c r="K6389" t="s">
        <v>1357</v>
      </c>
      <c r="L6389" t="s">
        <v>1357</v>
      </c>
    </row>
    <row r="6390" spans="6:12">
      <c r="H6390" t="s">
        <v>20286</v>
      </c>
      <c r="I6390" t="s">
        <v>1357</v>
      </c>
      <c r="J6390" t="s">
        <v>1357</v>
      </c>
      <c r="K6390" t="s">
        <v>1357</v>
      </c>
      <c r="L6390" t="s">
        <v>1357</v>
      </c>
    </row>
    <row r="6391" spans="6:12">
      <c r="H6391" t="s">
        <v>20287</v>
      </c>
      <c r="I6391" t="s">
        <v>1357</v>
      </c>
      <c r="J6391" t="s">
        <v>1357</v>
      </c>
      <c r="K6391" t="s">
        <v>1357</v>
      </c>
      <c r="L6391" t="s">
        <v>1357</v>
      </c>
    </row>
    <row r="6392" spans="6:12">
      <c r="H6392" t="s">
        <v>20288</v>
      </c>
      <c r="I6392" t="s">
        <v>1357</v>
      </c>
      <c r="J6392" t="s">
        <v>1357</v>
      </c>
      <c r="K6392" t="s">
        <v>1357</v>
      </c>
      <c r="L6392" t="s">
        <v>1357</v>
      </c>
    </row>
    <row r="6393" spans="6:12">
      <c r="H6393" t="s">
        <v>20289</v>
      </c>
      <c r="I6393" t="s">
        <v>1357</v>
      </c>
      <c r="J6393" t="s">
        <v>1357</v>
      </c>
      <c r="K6393" t="s">
        <v>1357</v>
      </c>
      <c r="L6393" t="s">
        <v>1357</v>
      </c>
    </row>
    <row r="6394" spans="6:12">
      <c r="H6394" t="s">
        <v>20290</v>
      </c>
      <c r="I6394" t="s">
        <v>1357</v>
      </c>
      <c r="J6394" t="s">
        <v>1357</v>
      </c>
      <c r="K6394" t="s">
        <v>1357</v>
      </c>
      <c r="L6394" t="s">
        <v>1357</v>
      </c>
    </row>
    <row r="6395" spans="6:12">
      <c r="H6395" t="s">
        <v>20291</v>
      </c>
      <c r="I6395" t="s">
        <v>1357</v>
      </c>
      <c r="J6395" t="s">
        <v>1357</v>
      </c>
      <c r="K6395" t="s">
        <v>1357</v>
      </c>
      <c r="L6395" t="s">
        <v>1357</v>
      </c>
    </row>
    <row r="6396" spans="6:12">
      <c r="F6396" t="s">
        <v>14790</v>
      </c>
      <c r="G6396" t="s">
        <v>17634</v>
      </c>
      <c r="H6396" t="s">
        <v>20280</v>
      </c>
      <c r="I6396" t="s">
        <v>1357</v>
      </c>
      <c r="J6396" t="s">
        <v>1357</v>
      </c>
      <c r="K6396" t="s">
        <v>1357</v>
      </c>
      <c r="L6396" t="s">
        <v>1357</v>
      </c>
    </row>
    <row r="6397" spans="6:12">
      <c r="H6397" t="s">
        <v>20233</v>
      </c>
      <c r="I6397" t="s">
        <v>1357</v>
      </c>
      <c r="J6397" t="s">
        <v>1357</v>
      </c>
      <c r="K6397" t="s">
        <v>1357</v>
      </c>
      <c r="L6397" t="s">
        <v>1357</v>
      </c>
    </row>
    <row r="6398" spans="6:12">
      <c r="H6398" t="s">
        <v>20230</v>
      </c>
      <c r="I6398" t="s">
        <v>1357</v>
      </c>
      <c r="J6398" t="s">
        <v>1357</v>
      </c>
      <c r="K6398" t="s">
        <v>1357</v>
      </c>
      <c r="L6398" t="s">
        <v>1357</v>
      </c>
    </row>
    <row r="6399" spans="6:12">
      <c r="H6399" t="s">
        <v>20296</v>
      </c>
      <c r="I6399" t="s">
        <v>1357</v>
      </c>
      <c r="J6399" t="s">
        <v>1357</v>
      </c>
      <c r="K6399" t="s">
        <v>1357</v>
      </c>
      <c r="L6399" t="s">
        <v>1357</v>
      </c>
    </row>
    <row r="6400" spans="6:12">
      <c r="H6400" t="s">
        <v>20297</v>
      </c>
      <c r="I6400" t="s">
        <v>1357</v>
      </c>
      <c r="J6400" t="s">
        <v>1357</v>
      </c>
      <c r="K6400" t="s">
        <v>1357</v>
      </c>
      <c r="L6400" t="s">
        <v>1357</v>
      </c>
    </row>
    <row r="6401" spans="6:12">
      <c r="H6401" t="s">
        <v>20234</v>
      </c>
      <c r="I6401" t="s">
        <v>1357</v>
      </c>
      <c r="J6401" t="s">
        <v>1357</v>
      </c>
      <c r="K6401" t="s">
        <v>1357</v>
      </c>
      <c r="L6401" t="s">
        <v>1357</v>
      </c>
    </row>
    <row r="6402" spans="6:12">
      <c r="H6402" t="s">
        <v>20235</v>
      </c>
      <c r="I6402" t="s">
        <v>1357</v>
      </c>
      <c r="J6402" t="s">
        <v>1357</v>
      </c>
      <c r="K6402" t="s">
        <v>1357</v>
      </c>
      <c r="L6402" t="s">
        <v>1357</v>
      </c>
    </row>
    <row r="6403" spans="6:12">
      <c r="H6403" t="s">
        <v>20298</v>
      </c>
      <c r="I6403" t="s">
        <v>1357</v>
      </c>
      <c r="J6403" t="s">
        <v>1357</v>
      </c>
      <c r="K6403" t="s">
        <v>1357</v>
      </c>
      <c r="L6403" t="s">
        <v>1357</v>
      </c>
    </row>
    <row r="6404" spans="6:12">
      <c r="H6404" t="s">
        <v>20284</v>
      </c>
      <c r="I6404" t="s">
        <v>1357</v>
      </c>
      <c r="J6404" t="s">
        <v>1357</v>
      </c>
      <c r="K6404" t="s">
        <v>1357</v>
      </c>
      <c r="L6404" t="s">
        <v>1357</v>
      </c>
    </row>
    <row r="6405" spans="6:12">
      <c r="H6405" t="s">
        <v>20285</v>
      </c>
      <c r="I6405" t="s">
        <v>1357</v>
      </c>
      <c r="J6405" t="s">
        <v>1357</v>
      </c>
      <c r="K6405" t="s">
        <v>1357</v>
      </c>
      <c r="L6405" t="s">
        <v>1357</v>
      </c>
    </row>
    <row r="6406" spans="6:12">
      <c r="H6406" t="s">
        <v>20286</v>
      </c>
      <c r="I6406" t="s">
        <v>1357</v>
      </c>
      <c r="J6406" t="s">
        <v>1357</v>
      </c>
      <c r="K6406" t="s">
        <v>1357</v>
      </c>
      <c r="L6406" t="s">
        <v>1357</v>
      </c>
    </row>
    <row r="6407" spans="6:12">
      <c r="H6407" t="s">
        <v>20287</v>
      </c>
      <c r="I6407" t="s">
        <v>1357</v>
      </c>
      <c r="J6407" t="s">
        <v>1357</v>
      </c>
      <c r="K6407" t="s">
        <v>1357</v>
      </c>
      <c r="L6407" t="s">
        <v>1357</v>
      </c>
    </row>
    <row r="6408" spans="6:12">
      <c r="F6408" t="s">
        <v>14791</v>
      </c>
      <c r="G6408" t="s">
        <v>17635</v>
      </c>
      <c r="H6408" t="s">
        <v>20280</v>
      </c>
      <c r="I6408" t="s">
        <v>1357</v>
      </c>
      <c r="J6408" t="s">
        <v>1357</v>
      </c>
      <c r="K6408" t="s">
        <v>1357</v>
      </c>
      <c r="L6408" t="s">
        <v>1357</v>
      </c>
    </row>
    <row r="6409" spans="6:12">
      <c r="H6409" t="s">
        <v>20233</v>
      </c>
      <c r="I6409" t="s">
        <v>1357</v>
      </c>
      <c r="J6409" t="s">
        <v>1357</v>
      </c>
      <c r="K6409" t="s">
        <v>1357</v>
      </c>
      <c r="L6409" t="s">
        <v>1357</v>
      </c>
    </row>
    <row r="6410" spans="6:12">
      <c r="H6410" t="s">
        <v>20230</v>
      </c>
      <c r="I6410" t="s">
        <v>1357</v>
      </c>
      <c r="J6410" t="s">
        <v>1357</v>
      </c>
      <c r="K6410" t="s">
        <v>1357</v>
      </c>
      <c r="L6410" t="s">
        <v>1357</v>
      </c>
    </row>
    <row r="6411" spans="6:12">
      <c r="H6411" t="s">
        <v>20296</v>
      </c>
      <c r="I6411" t="s">
        <v>1357</v>
      </c>
      <c r="J6411" t="s">
        <v>1357</v>
      </c>
      <c r="K6411" t="s">
        <v>1357</v>
      </c>
      <c r="L6411" t="s">
        <v>1357</v>
      </c>
    </row>
    <row r="6412" spans="6:12">
      <c r="H6412" t="s">
        <v>20297</v>
      </c>
      <c r="I6412" t="s">
        <v>1357</v>
      </c>
      <c r="J6412" t="s">
        <v>1357</v>
      </c>
      <c r="K6412" t="s">
        <v>1357</v>
      </c>
      <c r="L6412" t="s">
        <v>1357</v>
      </c>
    </row>
    <row r="6413" spans="6:12">
      <c r="H6413" t="s">
        <v>20234</v>
      </c>
      <c r="I6413" t="s">
        <v>1357</v>
      </c>
      <c r="J6413" t="s">
        <v>1357</v>
      </c>
      <c r="K6413" t="s">
        <v>1357</v>
      </c>
      <c r="L6413" t="s">
        <v>1357</v>
      </c>
    </row>
    <row r="6414" spans="6:12">
      <c r="H6414" t="s">
        <v>20235</v>
      </c>
      <c r="I6414" t="s">
        <v>1357</v>
      </c>
      <c r="J6414" t="s">
        <v>1357</v>
      </c>
      <c r="K6414" t="s">
        <v>1357</v>
      </c>
      <c r="L6414" t="s">
        <v>1357</v>
      </c>
    </row>
    <row r="6415" spans="6:12">
      <c r="H6415" t="s">
        <v>20298</v>
      </c>
      <c r="I6415" t="s">
        <v>1357</v>
      </c>
      <c r="J6415" t="s">
        <v>1357</v>
      </c>
      <c r="K6415" t="s">
        <v>1357</v>
      </c>
      <c r="L6415" t="s">
        <v>1357</v>
      </c>
    </row>
    <row r="6416" spans="6:12">
      <c r="H6416" t="s">
        <v>20284</v>
      </c>
      <c r="I6416" t="s">
        <v>1357</v>
      </c>
      <c r="J6416" t="s">
        <v>1357</v>
      </c>
      <c r="K6416" t="s">
        <v>1357</v>
      </c>
      <c r="L6416" t="s">
        <v>1357</v>
      </c>
    </row>
    <row r="6417" spans="6:12">
      <c r="H6417" t="s">
        <v>20285</v>
      </c>
      <c r="I6417" t="s">
        <v>1357</v>
      </c>
      <c r="J6417" t="s">
        <v>1357</v>
      </c>
      <c r="K6417" t="s">
        <v>1357</v>
      </c>
      <c r="L6417" t="s">
        <v>1357</v>
      </c>
    </row>
    <row r="6418" spans="6:12">
      <c r="H6418" t="s">
        <v>20286</v>
      </c>
      <c r="I6418" t="s">
        <v>1357</v>
      </c>
      <c r="J6418" t="s">
        <v>1357</v>
      </c>
      <c r="K6418" t="s">
        <v>1357</v>
      </c>
      <c r="L6418" t="s">
        <v>1357</v>
      </c>
    </row>
    <row r="6419" spans="6:12">
      <c r="H6419" t="s">
        <v>20287</v>
      </c>
      <c r="I6419" t="s">
        <v>1357</v>
      </c>
      <c r="J6419" t="s">
        <v>1357</v>
      </c>
      <c r="K6419" t="s">
        <v>1357</v>
      </c>
      <c r="L6419" t="s">
        <v>1357</v>
      </c>
    </row>
    <row r="6420" spans="6:12">
      <c r="F6420" t="s">
        <v>14792</v>
      </c>
      <c r="G6420" t="s">
        <v>17636</v>
      </c>
      <c r="H6420" t="s">
        <v>20280</v>
      </c>
      <c r="I6420" t="s">
        <v>1357</v>
      </c>
      <c r="J6420" t="s">
        <v>1357</v>
      </c>
      <c r="K6420" t="s">
        <v>1357</v>
      </c>
      <c r="L6420" t="s">
        <v>1357</v>
      </c>
    </row>
    <row r="6421" spans="6:12">
      <c r="H6421" t="s">
        <v>20284</v>
      </c>
      <c r="I6421" t="s">
        <v>1357</v>
      </c>
      <c r="J6421" t="s">
        <v>1357</v>
      </c>
      <c r="K6421" t="s">
        <v>1357</v>
      </c>
      <c r="L6421" t="s">
        <v>1357</v>
      </c>
    </row>
    <row r="6422" spans="6:12">
      <c r="F6422" t="s">
        <v>14793</v>
      </c>
      <c r="G6422" t="s">
        <v>17637</v>
      </c>
      <c r="H6422" t="s">
        <v>20280</v>
      </c>
      <c r="I6422" t="s">
        <v>1357</v>
      </c>
      <c r="J6422" t="s">
        <v>1357</v>
      </c>
      <c r="K6422" t="s">
        <v>1357</v>
      </c>
      <c r="L6422" t="s">
        <v>1357</v>
      </c>
    </row>
    <row r="6423" spans="6:12">
      <c r="H6423" t="s">
        <v>20284</v>
      </c>
      <c r="I6423" t="s">
        <v>1357</v>
      </c>
      <c r="J6423" t="s">
        <v>1357</v>
      </c>
      <c r="K6423" t="s">
        <v>1357</v>
      </c>
      <c r="L6423" t="s">
        <v>1357</v>
      </c>
    </row>
    <row r="6424" spans="6:12">
      <c r="F6424" t="s">
        <v>14794</v>
      </c>
      <c r="G6424" t="s">
        <v>17638</v>
      </c>
      <c r="H6424" t="s">
        <v>20280</v>
      </c>
      <c r="I6424" t="s">
        <v>1357</v>
      </c>
      <c r="J6424" t="s">
        <v>1357</v>
      </c>
      <c r="K6424" t="s">
        <v>1357</v>
      </c>
      <c r="L6424" t="s">
        <v>1357</v>
      </c>
    </row>
    <row r="6425" spans="6:12">
      <c r="H6425" t="s">
        <v>20284</v>
      </c>
      <c r="I6425" t="s">
        <v>1357</v>
      </c>
      <c r="J6425" t="s">
        <v>1357</v>
      </c>
      <c r="K6425" t="s">
        <v>1357</v>
      </c>
      <c r="L6425" t="s">
        <v>1357</v>
      </c>
    </row>
    <row r="6426" spans="6:12">
      <c r="F6426" t="s">
        <v>14795</v>
      </c>
      <c r="G6426" t="s">
        <v>17639</v>
      </c>
      <c r="H6426" t="s">
        <v>20280</v>
      </c>
      <c r="I6426" t="s">
        <v>1357</v>
      </c>
      <c r="J6426" t="s">
        <v>1357</v>
      </c>
      <c r="K6426" t="s">
        <v>1357</v>
      </c>
      <c r="L6426" t="s">
        <v>1357</v>
      </c>
    </row>
    <row r="6427" spans="6:12">
      <c r="H6427" t="s">
        <v>20233</v>
      </c>
      <c r="I6427" t="s">
        <v>1357</v>
      </c>
      <c r="J6427" t="s">
        <v>1357</v>
      </c>
      <c r="K6427" t="s">
        <v>1357</v>
      </c>
      <c r="L6427" t="s">
        <v>1357</v>
      </c>
    </row>
    <row r="6428" spans="6:12">
      <c r="H6428" t="s">
        <v>20230</v>
      </c>
      <c r="I6428" t="s">
        <v>1357</v>
      </c>
      <c r="J6428" t="s">
        <v>1357</v>
      </c>
      <c r="K6428" t="s">
        <v>1357</v>
      </c>
      <c r="L6428" t="s">
        <v>1357</v>
      </c>
    </row>
    <row r="6429" spans="6:12">
      <c r="H6429" t="s">
        <v>20296</v>
      </c>
      <c r="I6429" t="s">
        <v>1357</v>
      </c>
      <c r="J6429" t="s">
        <v>1357</v>
      </c>
      <c r="K6429" t="s">
        <v>1357</v>
      </c>
      <c r="L6429" t="s">
        <v>1357</v>
      </c>
    </row>
    <row r="6430" spans="6:12">
      <c r="H6430" t="s">
        <v>20297</v>
      </c>
      <c r="I6430" t="s">
        <v>1357</v>
      </c>
      <c r="J6430" t="s">
        <v>1357</v>
      </c>
      <c r="K6430" t="s">
        <v>1357</v>
      </c>
      <c r="L6430" t="s">
        <v>1357</v>
      </c>
    </row>
    <row r="6431" spans="6:12">
      <c r="H6431" t="s">
        <v>20234</v>
      </c>
      <c r="I6431" t="s">
        <v>1357</v>
      </c>
      <c r="J6431" t="s">
        <v>1357</v>
      </c>
      <c r="K6431" t="s">
        <v>1357</v>
      </c>
      <c r="L6431" t="s">
        <v>1357</v>
      </c>
    </row>
    <row r="6432" spans="6:12">
      <c r="H6432" t="s">
        <v>20235</v>
      </c>
      <c r="I6432" t="s">
        <v>1357</v>
      </c>
      <c r="J6432" t="s">
        <v>1357</v>
      </c>
      <c r="K6432" t="s">
        <v>1357</v>
      </c>
      <c r="L6432" t="s">
        <v>1357</v>
      </c>
    </row>
    <row r="6433" spans="6:12">
      <c r="H6433" t="s">
        <v>20298</v>
      </c>
      <c r="I6433" t="s">
        <v>1357</v>
      </c>
      <c r="J6433" t="s">
        <v>1357</v>
      </c>
      <c r="K6433" t="s">
        <v>1357</v>
      </c>
      <c r="L6433" t="s">
        <v>1357</v>
      </c>
    </row>
    <row r="6434" spans="6:12">
      <c r="H6434" t="s">
        <v>20299</v>
      </c>
      <c r="I6434" t="s">
        <v>1357</v>
      </c>
      <c r="J6434" t="s">
        <v>1357</v>
      </c>
      <c r="K6434" t="s">
        <v>1357</v>
      </c>
      <c r="L6434" t="s">
        <v>1357</v>
      </c>
    </row>
    <row r="6435" spans="6:12">
      <c r="H6435" t="s">
        <v>20300</v>
      </c>
      <c r="I6435" t="s">
        <v>1357</v>
      </c>
      <c r="J6435" t="s">
        <v>1357</v>
      </c>
      <c r="K6435" t="s">
        <v>1357</v>
      </c>
      <c r="L6435" t="s">
        <v>1357</v>
      </c>
    </row>
    <row r="6436" spans="6:12">
      <c r="H6436" t="s">
        <v>20301</v>
      </c>
      <c r="I6436" t="s">
        <v>1357</v>
      </c>
      <c r="J6436" t="s">
        <v>1357</v>
      </c>
      <c r="K6436" t="s">
        <v>1357</v>
      </c>
      <c r="L6436" t="s">
        <v>1357</v>
      </c>
    </row>
    <row r="6437" spans="6:12">
      <c r="H6437" t="s">
        <v>20302</v>
      </c>
      <c r="I6437" t="s">
        <v>1357</v>
      </c>
      <c r="J6437" t="s">
        <v>1357</v>
      </c>
      <c r="K6437" t="s">
        <v>1357</v>
      </c>
      <c r="L6437" t="s">
        <v>1357</v>
      </c>
    </row>
    <row r="6438" spans="6:12">
      <c r="H6438" t="s">
        <v>20284</v>
      </c>
      <c r="I6438" t="s">
        <v>1357</v>
      </c>
      <c r="J6438" t="s">
        <v>1357</v>
      </c>
      <c r="K6438" t="s">
        <v>1357</v>
      </c>
      <c r="L6438" t="s">
        <v>1357</v>
      </c>
    </row>
    <row r="6439" spans="6:12">
      <c r="H6439" t="s">
        <v>20285</v>
      </c>
      <c r="I6439" t="s">
        <v>1357</v>
      </c>
      <c r="J6439" t="s">
        <v>1357</v>
      </c>
      <c r="K6439" t="s">
        <v>1357</v>
      </c>
      <c r="L6439" t="s">
        <v>1357</v>
      </c>
    </row>
    <row r="6440" spans="6:12">
      <c r="H6440" t="s">
        <v>20286</v>
      </c>
      <c r="I6440" t="s">
        <v>1357</v>
      </c>
      <c r="J6440" t="s">
        <v>1357</v>
      </c>
      <c r="K6440" t="s">
        <v>1357</v>
      </c>
      <c r="L6440" t="s">
        <v>1357</v>
      </c>
    </row>
    <row r="6441" spans="6:12">
      <c r="H6441" t="s">
        <v>20287</v>
      </c>
      <c r="I6441" t="s">
        <v>1357</v>
      </c>
      <c r="J6441" t="s">
        <v>1357</v>
      </c>
      <c r="K6441" t="s">
        <v>1357</v>
      </c>
      <c r="L6441" t="s">
        <v>1357</v>
      </c>
    </row>
    <row r="6442" spans="6:12">
      <c r="F6442" t="s">
        <v>14796</v>
      </c>
      <c r="G6442" t="s">
        <v>17640</v>
      </c>
      <c r="H6442" t="s">
        <v>20280</v>
      </c>
      <c r="I6442" t="s">
        <v>1357</v>
      </c>
      <c r="J6442" t="s">
        <v>1357</v>
      </c>
      <c r="K6442" t="s">
        <v>1357</v>
      </c>
      <c r="L6442" t="s">
        <v>1357</v>
      </c>
    </row>
    <row r="6443" spans="6:12">
      <c r="H6443" t="s">
        <v>20233</v>
      </c>
      <c r="I6443" t="s">
        <v>1357</v>
      </c>
      <c r="J6443" t="s">
        <v>1357</v>
      </c>
      <c r="K6443" t="s">
        <v>1357</v>
      </c>
      <c r="L6443" t="s">
        <v>1357</v>
      </c>
    </row>
    <row r="6444" spans="6:12">
      <c r="H6444" t="s">
        <v>20284</v>
      </c>
      <c r="I6444" t="s">
        <v>1357</v>
      </c>
      <c r="J6444" t="s">
        <v>1357</v>
      </c>
      <c r="K6444" t="s">
        <v>1357</v>
      </c>
      <c r="L6444" t="s">
        <v>1357</v>
      </c>
    </row>
    <row r="6445" spans="6:12">
      <c r="H6445" t="s">
        <v>20285</v>
      </c>
      <c r="I6445" t="s">
        <v>1357</v>
      </c>
      <c r="J6445" t="s">
        <v>1357</v>
      </c>
      <c r="K6445" t="s">
        <v>1357</v>
      </c>
      <c r="L6445" t="s">
        <v>1357</v>
      </c>
    </row>
    <row r="6446" spans="6:12">
      <c r="H6446" t="s">
        <v>20286</v>
      </c>
      <c r="I6446" t="s">
        <v>1357</v>
      </c>
      <c r="J6446" t="s">
        <v>1357</v>
      </c>
      <c r="K6446" t="s">
        <v>1357</v>
      </c>
      <c r="L6446" t="s">
        <v>1357</v>
      </c>
    </row>
    <row r="6447" spans="6:12">
      <c r="H6447" t="s">
        <v>20287</v>
      </c>
      <c r="I6447" t="s">
        <v>1357</v>
      </c>
      <c r="J6447" t="s">
        <v>1357</v>
      </c>
      <c r="K6447" t="s">
        <v>1357</v>
      </c>
      <c r="L6447" t="s">
        <v>1357</v>
      </c>
    </row>
    <row r="6448" spans="6:12">
      <c r="H6448" t="s">
        <v>20230</v>
      </c>
      <c r="I6448" t="s">
        <v>1357</v>
      </c>
      <c r="J6448" t="s">
        <v>1357</v>
      </c>
      <c r="K6448" t="s">
        <v>1357</v>
      </c>
      <c r="L6448" t="s">
        <v>1357</v>
      </c>
    </row>
    <row r="6449" spans="6:12">
      <c r="H6449" t="s">
        <v>20227</v>
      </c>
      <c r="I6449" t="s">
        <v>1357</v>
      </c>
      <c r="J6449" t="s">
        <v>1357</v>
      </c>
      <c r="K6449" t="s">
        <v>1357</v>
      </c>
      <c r="L6449" t="s">
        <v>1357</v>
      </c>
    </row>
    <row r="6450" spans="6:12">
      <c r="H6450" t="s">
        <v>20288</v>
      </c>
      <c r="I6450" t="s">
        <v>1357</v>
      </c>
      <c r="J6450" t="s">
        <v>1357</v>
      </c>
      <c r="K6450" t="s">
        <v>1357</v>
      </c>
      <c r="L6450" t="s">
        <v>1357</v>
      </c>
    </row>
    <row r="6451" spans="6:12">
      <c r="H6451" t="s">
        <v>20289</v>
      </c>
      <c r="I6451" t="s">
        <v>1357</v>
      </c>
      <c r="J6451" t="s">
        <v>1357</v>
      </c>
      <c r="K6451" t="s">
        <v>1357</v>
      </c>
      <c r="L6451" t="s">
        <v>1357</v>
      </c>
    </row>
    <row r="6452" spans="6:12">
      <c r="H6452" t="s">
        <v>20290</v>
      </c>
      <c r="I6452" t="s">
        <v>1357</v>
      </c>
      <c r="J6452" t="s">
        <v>1357</v>
      </c>
      <c r="K6452" t="s">
        <v>1357</v>
      </c>
      <c r="L6452" t="s">
        <v>1357</v>
      </c>
    </row>
    <row r="6453" spans="6:12">
      <c r="H6453" t="s">
        <v>20291</v>
      </c>
      <c r="I6453" t="s">
        <v>1357</v>
      </c>
      <c r="J6453" t="s">
        <v>1357</v>
      </c>
      <c r="K6453" t="s">
        <v>1357</v>
      </c>
      <c r="L6453" t="s">
        <v>1357</v>
      </c>
    </row>
    <row r="6454" spans="6:12">
      <c r="F6454" t="s">
        <v>14797</v>
      </c>
      <c r="G6454" t="s">
        <v>17641</v>
      </c>
      <c r="H6454" t="s">
        <v>20280</v>
      </c>
      <c r="I6454" t="s">
        <v>1357</v>
      </c>
      <c r="J6454" t="s">
        <v>1357</v>
      </c>
      <c r="K6454" t="s">
        <v>1357</v>
      </c>
      <c r="L6454" t="s">
        <v>1357</v>
      </c>
    </row>
    <row r="6455" spans="6:12">
      <c r="H6455" t="s">
        <v>20233</v>
      </c>
      <c r="I6455" t="s">
        <v>1357</v>
      </c>
      <c r="J6455" t="s">
        <v>1357</v>
      </c>
      <c r="K6455" t="s">
        <v>1357</v>
      </c>
      <c r="L6455" t="s">
        <v>1357</v>
      </c>
    </row>
    <row r="6456" spans="6:12">
      <c r="H6456" t="s">
        <v>20284</v>
      </c>
      <c r="I6456" t="s">
        <v>1357</v>
      </c>
      <c r="J6456" t="s">
        <v>1357</v>
      </c>
      <c r="K6456" t="s">
        <v>1357</v>
      </c>
      <c r="L6456" t="s">
        <v>1357</v>
      </c>
    </row>
    <row r="6457" spans="6:12">
      <c r="H6457" t="s">
        <v>20285</v>
      </c>
      <c r="I6457" t="s">
        <v>1357</v>
      </c>
      <c r="J6457" t="s">
        <v>1357</v>
      </c>
      <c r="K6457" t="s">
        <v>1357</v>
      </c>
      <c r="L6457" t="s">
        <v>1357</v>
      </c>
    </row>
    <row r="6458" spans="6:12">
      <c r="H6458" t="s">
        <v>20286</v>
      </c>
      <c r="I6458" t="s">
        <v>1357</v>
      </c>
      <c r="J6458" t="s">
        <v>1357</v>
      </c>
      <c r="K6458" t="s">
        <v>1357</v>
      </c>
      <c r="L6458" t="s">
        <v>1357</v>
      </c>
    </row>
    <row r="6459" spans="6:12">
      <c r="H6459" t="s">
        <v>20287</v>
      </c>
      <c r="I6459" t="s">
        <v>1357</v>
      </c>
      <c r="J6459" t="s">
        <v>1357</v>
      </c>
      <c r="K6459" t="s">
        <v>1357</v>
      </c>
      <c r="L6459" t="s">
        <v>1357</v>
      </c>
    </row>
    <row r="6460" spans="6:12">
      <c r="F6460" t="s">
        <v>14798</v>
      </c>
      <c r="G6460" t="s">
        <v>17642</v>
      </c>
      <c r="H6460" t="s">
        <v>20280</v>
      </c>
      <c r="I6460" t="s">
        <v>1357</v>
      </c>
      <c r="J6460" t="s">
        <v>1357</v>
      </c>
      <c r="K6460" t="s">
        <v>1357</v>
      </c>
      <c r="L6460" t="s">
        <v>1357</v>
      </c>
    </row>
    <row r="6461" spans="6:12">
      <c r="H6461" t="s">
        <v>20233</v>
      </c>
      <c r="I6461" t="s">
        <v>1357</v>
      </c>
      <c r="J6461" t="s">
        <v>1357</v>
      </c>
      <c r="K6461" t="s">
        <v>1357</v>
      </c>
      <c r="L6461" t="s">
        <v>1357</v>
      </c>
    </row>
    <row r="6462" spans="6:12">
      <c r="H6462" t="s">
        <v>20284</v>
      </c>
      <c r="I6462" t="s">
        <v>1357</v>
      </c>
      <c r="J6462" t="s">
        <v>1357</v>
      </c>
      <c r="K6462" t="s">
        <v>1357</v>
      </c>
      <c r="L6462" t="s">
        <v>1357</v>
      </c>
    </row>
    <row r="6463" spans="6:12">
      <c r="H6463" t="s">
        <v>20285</v>
      </c>
      <c r="I6463" t="s">
        <v>1357</v>
      </c>
      <c r="J6463" t="s">
        <v>1357</v>
      </c>
      <c r="K6463" t="s">
        <v>1357</v>
      </c>
      <c r="L6463" t="s">
        <v>1357</v>
      </c>
    </row>
    <row r="6464" spans="6:12">
      <c r="H6464" t="s">
        <v>20286</v>
      </c>
      <c r="I6464" t="s">
        <v>1357</v>
      </c>
      <c r="J6464" t="s">
        <v>1357</v>
      </c>
      <c r="K6464" t="s">
        <v>1357</v>
      </c>
      <c r="L6464" t="s">
        <v>1357</v>
      </c>
    </row>
    <row r="6465" spans="6:12">
      <c r="H6465" t="s">
        <v>20287</v>
      </c>
      <c r="I6465" t="s">
        <v>1357</v>
      </c>
      <c r="J6465" t="s">
        <v>1357</v>
      </c>
      <c r="K6465" t="s">
        <v>1357</v>
      </c>
      <c r="L6465" t="s">
        <v>1357</v>
      </c>
    </row>
    <row r="6466" spans="6:12">
      <c r="F6466" t="s">
        <v>14799</v>
      </c>
      <c r="G6466" t="s">
        <v>17643</v>
      </c>
      <c r="H6466" t="s">
        <v>20280</v>
      </c>
      <c r="I6466" t="s">
        <v>1357</v>
      </c>
      <c r="J6466" t="s">
        <v>1357</v>
      </c>
      <c r="K6466" t="s">
        <v>1357</v>
      </c>
      <c r="L6466" t="s">
        <v>1357</v>
      </c>
    </row>
    <row r="6467" spans="6:12">
      <c r="H6467" t="s">
        <v>20233</v>
      </c>
      <c r="I6467" t="s">
        <v>1357</v>
      </c>
      <c r="J6467" t="s">
        <v>1357</v>
      </c>
      <c r="K6467" t="s">
        <v>1357</v>
      </c>
      <c r="L6467" t="s">
        <v>1357</v>
      </c>
    </row>
    <row r="6468" spans="6:12">
      <c r="H6468" t="s">
        <v>20284</v>
      </c>
      <c r="I6468" t="s">
        <v>1357</v>
      </c>
      <c r="J6468" t="s">
        <v>1357</v>
      </c>
      <c r="K6468" t="s">
        <v>1357</v>
      </c>
      <c r="L6468" t="s">
        <v>1357</v>
      </c>
    </row>
    <row r="6469" spans="6:12">
      <c r="H6469" t="s">
        <v>20285</v>
      </c>
      <c r="I6469" t="s">
        <v>1357</v>
      </c>
      <c r="J6469" t="s">
        <v>1357</v>
      </c>
      <c r="K6469" t="s">
        <v>1357</v>
      </c>
      <c r="L6469" t="s">
        <v>1357</v>
      </c>
    </row>
    <row r="6470" spans="6:12">
      <c r="H6470" t="s">
        <v>20286</v>
      </c>
      <c r="I6470" t="s">
        <v>1357</v>
      </c>
      <c r="J6470" t="s">
        <v>1357</v>
      </c>
      <c r="K6470" t="s">
        <v>1357</v>
      </c>
      <c r="L6470" t="s">
        <v>1357</v>
      </c>
    </row>
    <row r="6471" spans="6:12">
      <c r="H6471" t="s">
        <v>20287</v>
      </c>
      <c r="I6471" t="s">
        <v>1357</v>
      </c>
      <c r="J6471" t="s">
        <v>1357</v>
      </c>
      <c r="K6471" t="s">
        <v>1357</v>
      </c>
      <c r="L6471" t="s">
        <v>1357</v>
      </c>
    </row>
    <row r="6472" spans="6:12">
      <c r="F6472" t="s">
        <v>14800</v>
      </c>
      <c r="G6472" t="s">
        <v>17644</v>
      </c>
      <c r="H6472" t="s">
        <v>20280</v>
      </c>
      <c r="I6472" t="s">
        <v>1357</v>
      </c>
      <c r="J6472" t="s">
        <v>1357</v>
      </c>
      <c r="K6472" t="s">
        <v>1357</v>
      </c>
      <c r="L6472" t="s">
        <v>1357</v>
      </c>
    </row>
    <row r="6473" spans="6:12">
      <c r="H6473" t="s">
        <v>20233</v>
      </c>
      <c r="I6473" t="s">
        <v>1357</v>
      </c>
      <c r="J6473" t="s">
        <v>1357</v>
      </c>
      <c r="K6473" t="s">
        <v>1357</v>
      </c>
      <c r="L6473" t="s">
        <v>1357</v>
      </c>
    </row>
    <row r="6474" spans="6:12">
      <c r="H6474" t="s">
        <v>20284</v>
      </c>
      <c r="I6474" t="s">
        <v>1357</v>
      </c>
      <c r="J6474" t="s">
        <v>1357</v>
      </c>
      <c r="K6474" t="s">
        <v>1357</v>
      </c>
      <c r="L6474" t="s">
        <v>1357</v>
      </c>
    </row>
    <row r="6475" spans="6:12">
      <c r="H6475" t="s">
        <v>20285</v>
      </c>
      <c r="I6475" t="s">
        <v>1357</v>
      </c>
      <c r="J6475" t="s">
        <v>1357</v>
      </c>
      <c r="K6475" t="s">
        <v>1357</v>
      </c>
      <c r="L6475" t="s">
        <v>1357</v>
      </c>
    </row>
    <row r="6476" spans="6:12">
      <c r="H6476" t="s">
        <v>20286</v>
      </c>
      <c r="I6476" t="s">
        <v>1357</v>
      </c>
      <c r="J6476" t="s">
        <v>1357</v>
      </c>
      <c r="K6476" t="s">
        <v>1357</v>
      </c>
      <c r="L6476" t="s">
        <v>1357</v>
      </c>
    </row>
    <row r="6477" spans="6:12">
      <c r="H6477" t="s">
        <v>20287</v>
      </c>
      <c r="I6477" t="s">
        <v>1357</v>
      </c>
      <c r="J6477" t="s">
        <v>1357</v>
      </c>
      <c r="K6477" t="s">
        <v>1357</v>
      </c>
      <c r="L6477" t="s">
        <v>1357</v>
      </c>
    </row>
    <row r="6478" spans="6:12">
      <c r="F6478" t="s">
        <v>14801</v>
      </c>
      <c r="G6478" t="s">
        <v>17645</v>
      </c>
      <c r="H6478" t="s">
        <v>20280</v>
      </c>
      <c r="I6478" t="s">
        <v>1357</v>
      </c>
      <c r="J6478" t="s">
        <v>1357</v>
      </c>
      <c r="K6478" t="s">
        <v>1357</v>
      </c>
      <c r="L6478" t="s">
        <v>1357</v>
      </c>
    </row>
    <row r="6479" spans="6:12">
      <c r="H6479" t="s">
        <v>20233</v>
      </c>
      <c r="I6479" t="s">
        <v>1357</v>
      </c>
      <c r="J6479" t="s">
        <v>1357</v>
      </c>
      <c r="K6479" t="s">
        <v>1357</v>
      </c>
      <c r="L6479" t="s">
        <v>1357</v>
      </c>
    </row>
    <row r="6480" spans="6:12">
      <c r="H6480" t="s">
        <v>20230</v>
      </c>
      <c r="I6480" t="s">
        <v>1357</v>
      </c>
      <c r="J6480" t="s">
        <v>1357</v>
      </c>
      <c r="K6480" t="s">
        <v>1357</v>
      </c>
      <c r="L6480" t="s">
        <v>1357</v>
      </c>
    </row>
    <row r="6481" spans="6:12">
      <c r="H6481" t="s">
        <v>20296</v>
      </c>
      <c r="I6481" t="s">
        <v>1357</v>
      </c>
      <c r="J6481" t="s">
        <v>1357</v>
      </c>
      <c r="K6481" t="s">
        <v>1357</v>
      </c>
      <c r="L6481" t="s">
        <v>1357</v>
      </c>
    </row>
    <row r="6482" spans="6:12">
      <c r="H6482" t="s">
        <v>20297</v>
      </c>
      <c r="I6482" t="s">
        <v>1357</v>
      </c>
      <c r="J6482" t="s">
        <v>1357</v>
      </c>
      <c r="K6482" t="s">
        <v>1357</v>
      </c>
      <c r="L6482" t="s">
        <v>1357</v>
      </c>
    </row>
    <row r="6483" spans="6:12">
      <c r="H6483" t="s">
        <v>20234</v>
      </c>
      <c r="I6483" t="s">
        <v>1357</v>
      </c>
      <c r="J6483" t="s">
        <v>1357</v>
      </c>
      <c r="K6483" t="s">
        <v>1357</v>
      </c>
      <c r="L6483" t="s">
        <v>1357</v>
      </c>
    </row>
    <row r="6484" spans="6:12">
      <c r="H6484" t="s">
        <v>20235</v>
      </c>
      <c r="I6484" t="s">
        <v>1357</v>
      </c>
      <c r="J6484" t="s">
        <v>1357</v>
      </c>
      <c r="K6484" t="s">
        <v>1357</v>
      </c>
      <c r="L6484" t="s">
        <v>1357</v>
      </c>
    </row>
    <row r="6485" spans="6:12">
      <c r="H6485" t="s">
        <v>20298</v>
      </c>
      <c r="I6485" t="s">
        <v>1357</v>
      </c>
      <c r="J6485" t="s">
        <v>1357</v>
      </c>
      <c r="K6485" t="s">
        <v>1357</v>
      </c>
      <c r="L6485" t="s">
        <v>1357</v>
      </c>
    </row>
    <row r="6486" spans="6:12">
      <c r="H6486" t="s">
        <v>20299</v>
      </c>
      <c r="I6486" t="s">
        <v>1357</v>
      </c>
      <c r="J6486" t="s">
        <v>1357</v>
      </c>
      <c r="K6486" t="s">
        <v>1357</v>
      </c>
      <c r="L6486" t="s">
        <v>1357</v>
      </c>
    </row>
    <row r="6487" spans="6:12">
      <c r="H6487" t="s">
        <v>20300</v>
      </c>
      <c r="I6487" t="s">
        <v>1357</v>
      </c>
      <c r="J6487" t="s">
        <v>1357</v>
      </c>
      <c r="K6487" t="s">
        <v>1357</v>
      </c>
      <c r="L6487" t="s">
        <v>1357</v>
      </c>
    </row>
    <row r="6488" spans="6:12">
      <c r="H6488" t="s">
        <v>20301</v>
      </c>
      <c r="I6488" t="s">
        <v>1357</v>
      </c>
      <c r="J6488" t="s">
        <v>1357</v>
      </c>
      <c r="K6488" t="s">
        <v>1357</v>
      </c>
      <c r="L6488" t="s">
        <v>1357</v>
      </c>
    </row>
    <row r="6489" spans="6:12">
      <c r="H6489" t="s">
        <v>20284</v>
      </c>
      <c r="I6489" t="s">
        <v>1357</v>
      </c>
      <c r="J6489" t="s">
        <v>1357</v>
      </c>
      <c r="K6489" t="s">
        <v>1357</v>
      </c>
      <c r="L6489" t="s">
        <v>1357</v>
      </c>
    </row>
    <row r="6490" spans="6:12">
      <c r="H6490" t="s">
        <v>20285</v>
      </c>
      <c r="I6490" t="s">
        <v>1357</v>
      </c>
      <c r="J6490" t="s">
        <v>1357</v>
      </c>
      <c r="K6490" t="s">
        <v>1357</v>
      </c>
      <c r="L6490" t="s">
        <v>1357</v>
      </c>
    </row>
    <row r="6491" spans="6:12">
      <c r="H6491" t="s">
        <v>20286</v>
      </c>
      <c r="I6491" t="s">
        <v>1357</v>
      </c>
      <c r="J6491" t="s">
        <v>1357</v>
      </c>
      <c r="K6491" t="s">
        <v>1357</v>
      </c>
      <c r="L6491" t="s">
        <v>1357</v>
      </c>
    </row>
    <row r="6492" spans="6:12">
      <c r="H6492" t="s">
        <v>20287</v>
      </c>
      <c r="I6492" t="s">
        <v>1357</v>
      </c>
      <c r="J6492" t="s">
        <v>1357</v>
      </c>
      <c r="K6492" t="s">
        <v>1357</v>
      </c>
      <c r="L6492" t="s">
        <v>1357</v>
      </c>
    </row>
    <row r="6493" spans="6:12">
      <c r="F6493" t="s">
        <v>14802</v>
      </c>
      <c r="G6493" t="s">
        <v>17646</v>
      </c>
      <c r="H6493" t="s">
        <v>20280</v>
      </c>
      <c r="I6493" t="s">
        <v>1357</v>
      </c>
      <c r="J6493" t="s">
        <v>1357</v>
      </c>
      <c r="K6493" t="s">
        <v>1357</v>
      </c>
      <c r="L6493" t="s">
        <v>1357</v>
      </c>
    </row>
    <row r="6494" spans="6:12">
      <c r="H6494" t="s">
        <v>20233</v>
      </c>
      <c r="I6494" t="s">
        <v>1357</v>
      </c>
      <c r="J6494" t="s">
        <v>1357</v>
      </c>
      <c r="K6494" t="s">
        <v>1357</v>
      </c>
      <c r="L6494" t="s">
        <v>1357</v>
      </c>
    </row>
    <row r="6495" spans="6:12">
      <c r="H6495" t="s">
        <v>20230</v>
      </c>
      <c r="I6495" t="s">
        <v>1357</v>
      </c>
      <c r="J6495" t="s">
        <v>1357</v>
      </c>
      <c r="K6495" t="s">
        <v>1357</v>
      </c>
      <c r="L6495" t="s">
        <v>1357</v>
      </c>
    </row>
    <row r="6496" spans="6:12">
      <c r="H6496" t="s">
        <v>20227</v>
      </c>
      <c r="I6496" t="s">
        <v>1357</v>
      </c>
      <c r="J6496" t="s">
        <v>1357</v>
      </c>
      <c r="K6496" t="s">
        <v>1357</v>
      </c>
      <c r="L6496" t="s">
        <v>1357</v>
      </c>
    </row>
    <row r="6497" spans="6:12">
      <c r="H6497" t="s">
        <v>20296</v>
      </c>
      <c r="I6497" t="s">
        <v>1357</v>
      </c>
      <c r="J6497" t="s">
        <v>1357</v>
      </c>
      <c r="K6497" t="s">
        <v>1357</v>
      </c>
      <c r="L6497" t="s">
        <v>1357</v>
      </c>
    </row>
    <row r="6498" spans="6:12">
      <c r="H6498" t="s">
        <v>20297</v>
      </c>
      <c r="I6498" t="s">
        <v>1357</v>
      </c>
      <c r="J6498" t="s">
        <v>1357</v>
      </c>
      <c r="K6498" t="s">
        <v>1357</v>
      </c>
      <c r="L6498" t="s">
        <v>1357</v>
      </c>
    </row>
    <row r="6499" spans="6:12">
      <c r="H6499" t="s">
        <v>20234</v>
      </c>
      <c r="I6499" t="s">
        <v>1357</v>
      </c>
      <c r="J6499" t="s">
        <v>1357</v>
      </c>
      <c r="K6499" t="s">
        <v>1357</v>
      </c>
      <c r="L6499" t="s">
        <v>1357</v>
      </c>
    </row>
    <row r="6500" spans="6:12">
      <c r="H6500" t="s">
        <v>20235</v>
      </c>
      <c r="I6500" t="s">
        <v>1357</v>
      </c>
      <c r="J6500" t="s">
        <v>1357</v>
      </c>
      <c r="K6500" t="s">
        <v>1357</v>
      </c>
      <c r="L6500" t="s">
        <v>1357</v>
      </c>
    </row>
    <row r="6501" spans="6:12">
      <c r="H6501" t="s">
        <v>20298</v>
      </c>
      <c r="I6501" t="s">
        <v>1357</v>
      </c>
      <c r="J6501" t="s">
        <v>1357</v>
      </c>
      <c r="K6501" t="s">
        <v>1357</v>
      </c>
      <c r="L6501" t="s">
        <v>1357</v>
      </c>
    </row>
    <row r="6502" spans="6:12">
      <c r="H6502" t="s">
        <v>20284</v>
      </c>
      <c r="I6502" t="s">
        <v>1357</v>
      </c>
      <c r="J6502" t="s">
        <v>1357</v>
      </c>
      <c r="K6502" t="s">
        <v>1357</v>
      </c>
      <c r="L6502" t="s">
        <v>1357</v>
      </c>
    </row>
    <row r="6503" spans="6:12">
      <c r="H6503" t="s">
        <v>20285</v>
      </c>
      <c r="I6503" t="s">
        <v>1357</v>
      </c>
      <c r="J6503" t="s">
        <v>1357</v>
      </c>
      <c r="K6503" t="s">
        <v>1357</v>
      </c>
      <c r="L6503" t="s">
        <v>1357</v>
      </c>
    </row>
    <row r="6504" spans="6:12">
      <c r="H6504" t="s">
        <v>20286</v>
      </c>
      <c r="I6504" t="s">
        <v>1357</v>
      </c>
      <c r="J6504" t="s">
        <v>1357</v>
      </c>
      <c r="K6504" t="s">
        <v>1357</v>
      </c>
      <c r="L6504" t="s">
        <v>1357</v>
      </c>
    </row>
    <row r="6505" spans="6:12">
      <c r="H6505" t="s">
        <v>20287</v>
      </c>
      <c r="I6505" t="s">
        <v>1357</v>
      </c>
      <c r="J6505" t="s">
        <v>1357</v>
      </c>
      <c r="K6505" t="s">
        <v>1357</v>
      </c>
      <c r="L6505" t="s">
        <v>1357</v>
      </c>
    </row>
    <row r="6506" spans="6:12">
      <c r="F6506" t="s">
        <v>14803</v>
      </c>
      <c r="G6506" t="s">
        <v>17647</v>
      </c>
      <c r="H6506" t="s">
        <v>20280</v>
      </c>
      <c r="I6506" t="s">
        <v>1357</v>
      </c>
      <c r="J6506" t="s">
        <v>1357</v>
      </c>
      <c r="K6506" t="s">
        <v>1357</v>
      </c>
      <c r="L6506" t="s">
        <v>1357</v>
      </c>
    </row>
    <row r="6507" spans="6:12">
      <c r="H6507" t="s">
        <v>20233</v>
      </c>
      <c r="I6507" t="s">
        <v>1357</v>
      </c>
      <c r="J6507" t="s">
        <v>1357</v>
      </c>
      <c r="K6507" t="s">
        <v>1357</v>
      </c>
      <c r="L6507" t="s">
        <v>1357</v>
      </c>
    </row>
    <row r="6508" spans="6:12">
      <c r="H6508" t="s">
        <v>20230</v>
      </c>
      <c r="I6508" t="s">
        <v>1357</v>
      </c>
      <c r="J6508" t="s">
        <v>1357</v>
      </c>
      <c r="K6508" t="s">
        <v>1357</v>
      </c>
      <c r="L6508" t="s">
        <v>1357</v>
      </c>
    </row>
    <row r="6509" spans="6:12">
      <c r="H6509" t="s">
        <v>20296</v>
      </c>
      <c r="I6509" t="s">
        <v>1357</v>
      </c>
      <c r="J6509" t="s">
        <v>1357</v>
      </c>
      <c r="K6509" t="s">
        <v>1357</v>
      </c>
      <c r="L6509" t="s">
        <v>1357</v>
      </c>
    </row>
    <row r="6510" spans="6:12">
      <c r="H6510" t="s">
        <v>20297</v>
      </c>
      <c r="I6510" t="s">
        <v>1357</v>
      </c>
      <c r="J6510" t="s">
        <v>1357</v>
      </c>
      <c r="K6510" t="s">
        <v>1357</v>
      </c>
      <c r="L6510" t="s">
        <v>1357</v>
      </c>
    </row>
    <row r="6511" spans="6:12">
      <c r="H6511" t="s">
        <v>20234</v>
      </c>
      <c r="I6511" t="s">
        <v>1357</v>
      </c>
      <c r="J6511" t="s">
        <v>1357</v>
      </c>
      <c r="K6511" t="s">
        <v>1357</v>
      </c>
      <c r="L6511" t="s">
        <v>1357</v>
      </c>
    </row>
    <row r="6512" spans="6:12">
      <c r="H6512" t="s">
        <v>20235</v>
      </c>
      <c r="I6512" t="s">
        <v>1357</v>
      </c>
      <c r="J6512" t="s">
        <v>1357</v>
      </c>
      <c r="K6512" t="s">
        <v>1357</v>
      </c>
      <c r="L6512" t="s">
        <v>1357</v>
      </c>
    </row>
    <row r="6513" spans="6:12">
      <c r="H6513" t="s">
        <v>20298</v>
      </c>
      <c r="I6513" t="s">
        <v>1357</v>
      </c>
      <c r="J6513" t="s">
        <v>1357</v>
      </c>
      <c r="K6513" t="s">
        <v>1357</v>
      </c>
      <c r="L6513" t="s">
        <v>1357</v>
      </c>
    </row>
    <row r="6514" spans="6:12">
      <c r="H6514" t="s">
        <v>20299</v>
      </c>
      <c r="I6514" t="s">
        <v>1357</v>
      </c>
      <c r="J6514" t="s">
        <v>1357</v>
      </c>
      <c r="K6514" t="s">
        <v>1357</v>
      </c>
      <c r="L6514" t="s">
        <v>1357</v>
      </c>
    </row>
    <row r="6515" spans="6:12">
      <c r="H6515" t="s">
        <v>20300</v>
      </c>
      <c r="I6515" t="s">
        <v>1357</v>
      </c>
      <c r="J6515" t="s">
        <v>1357</v>
      </c>
      <c r="K6515" t="s">
        <v>1357</v>
      </c>
      <c r="L6515" t="s">
        <v>1357</v>
      </c>
    </row>
    <row r="6516" spans="6:12">
      <c r="H6516" t="s">
        <v>20301</v>
      </c>
      <c r="I6516" t="s">
        <v>1357</v>
      </c>
      <c r="J6516" t="s">
        <v>1357</v>
      </c>
      <c r="K6516" t="s">
        <v>1357</v>
      </c>
      <c r="L6516" t="s">
        <v>1357</v>
      </c>
    </row>
    <row r="6517" spans="6:12">
      <c r="H6517" t="s">
        <v>20302</v>
      </c>
      <c r="I6517" t="s">
        <v>1357</v>
      </c>
      <c r="J6517" t="s">
        <v>1357</v>
      </c>
      <c r="K6517" t="s">
        <v>1357</v>
      </c>
      <c r="L6517" t="s">
        <v>1357</v>
      </c>
    </row>
    <row r="6518" spans="6:12">
      <c r="H6518" t="s">
        <v>20284</v>
      </c>
      <c r="I6518" t="s">
        <v>1357</v>
      </c>
      <c r="J6518" t="s">
        <v>1357</v>
      </c>
      <c r="K6518" t="s">
        <v>1357</v>
      </c>
      <c r="L6518" t="s">
        <v>1357</v>
      </c>
    </row>
    <row r="6519" spans="6:12">
      <c r="H6519" t="s">
        <v>20285</v>
      </c>
      <c r="I6519" t="s">
        <v>1357</v>
      </c>
      <c r="J6519" t="s">
        <v>1357</v>
      </c>
      <c r="K6519" t="s">
        <v>1357</v>
      </c>
      <c r="L6519" t="s">
        <v>1357</v>
      </c>
    </row>
    <row r="6520" spans="6:12">
      <c r="H6520" t="s">
        <v>20286</v>
      </c>
      <c r="I6520" t="s">
        <v>1357</v>
      </c>
      <c r="J6520" t="s">
        <v>1357</v>
      </c>
      <c r="K6520" t="s">
        <v>1357</v>
      </c>
      <c r="L6520" t="s">
        <v>1357</v>
      </c>
    </row>
    <row r="6521" spans="6:12">
      <c r="H6521" t="s">
        <v>20287</v>
      </c>
      <c r="I6521" t="s">
        <v>1357</v>
      </c>
      <c r="J6521" t="s">
        <v>1357</v>
      </c>
      <c r="K6521" t="s">
        <v>1357</v>
      </c>
      <c r="L6521" t="s">
        <v>1357</v>
      </c>
    </row>
    <row r="6522" spans="6:12">
      <c r="F6522" t="s">
        <v>14804</v>
      </c>
      <c r="G6522" t="s">
        <v>17648</v>
      </c>
      <c r="H6522" t="s">
        <v>20280</v>
      </c>
      <c r="I6522" t="s">
        <v>1357</v>
      </c>
      <c r="J6522" t="s">
        <v>1357</v>
      </c>
      <c r="K6522" t="s">
        <v>1357</v>
      </c>
      <c r="L6522" t="s">
        <v>1357</v>
      </c>
    </row>
    <row r="6523" spans="6:12">
      <c r="H6523" t="s">
        <v>20233</v>
      </c>
      <c r="I6523" t="s">
        <v>1357</v>
      </c>
      <c r="J6523" t="s">
        <v>1357</v>
      </c>
      <c r="K6523" t="s">
        <v>1357</v>
      </c>
      <c r="L6523" t="s">
        <v>1357</v>
      </c>
    </row>
    <row r="6524" spans="6:12">
      <c r="H6524" t="s">
        <v>20230</v>
      </c>
      <c r="I6524" t="s">
        <v>1357</v>
      </c>
      <c r="J6524" t="s">
        <v>1357</v>
      </c>
      <c r="K6524" t="s">
        <v>1357</v>
      </c>
      <c r="L6524" t="s">
        <v>1357</v>
      </c>
    </row>
    <row r="6525" spans="6:12">
      <c r="H6525" t="s">
        <v>20281</v>
      </c>
      <c r="I6525" t="s">
        <v>1357</v>
      </c>
      <c r="J6525" t="s">
        <v>1357</v>
      </c>
      <c r="K6525" t="s">
        <v>1357</v>
      </c>
      <c r="L6525" t="s">
        <v>1357</v>
      </c>
    </row>
    <row r="6526" spans="6:12">
      <c r="H6526" t="s">
        <v>20282</v>
      </c>
      <c r="I6526" t="s">
        <v>1357</v>
      </c>
      <c r="J6526" t="s">
        <v>1357</v>
      </c>
      <c r="K6526" t="s">
        <v>1357</v>
      </c>
      <c r="L6526" t="s">
        <v>1357</v>
      </c>
    </row>
    <row r="6527" spans="6:12">
      <c r="H6527" t="s">
        <v>20284</v>
      </c>
      <c r="I6527" t="s">
        <v>1357</v>
      </c>
      <c r="J6527" t="s">
        <v>1357</v>
      </c>
      <c r="K6527" t="s">
        <v>1357</v>
      </c>
      <c r="L6527" t="s">
        <v>1357</v>
      </c>
    </row>
    <row r="6528" spans="6:12">
      <c r="H6528" t="s">
        <v>20285</v>
      </c>
      <c r="I6528" t="s">
        <v>1357</v>
      </c>
      <c r="J6528" t="s">
        <v>1357</v>
      </c>
      <c r="K6528" t="s">
        <v>1357</v>
      </c>
      <c r="L6528" t="s">
        <v>1357</v>
      </c>
    </row>
    <row r="6529" spans="6:12">
      <c r="H6529" t="s">
        <v>20286</v>
      </c>
      <c r="I6529" t="s">
        <v>1357</v>
      </c>
      <c r="J6529" t="s">
        <v>1357</v>
      </c>
      <c r="K6529" t="s">
        <v>1357</v>
      </c>
      <c r="L6529" t="s">
        <v>1357</v>
      </c>
    </row>
    <row r="6530" spans="6:12">
      <c r="H6530" t="s">
        <v>20287</v>
      </c>
      <c r="I6530" t="s">
        <v>1357</v>
      </c>
      <c r="J6530" t="s">
        <v>1357</v>
      </c>
      <c r="K6530" t="s">
        <v>1357</v>
      </c>
      <c r="L6530" t="s">
        <v>1357</v>
      </c>
    </row>
    <row r="6531" spans="6:12">
      <c r="H6531" t="s">
        <v>20288</v>
      </c>
      <c r="I6531" t="s">
        <v>1357</v>
      </c>
      <c r="J6531" t="s">
        <v>1357</v>
      </c>
      <c r="K6531" t="s">
        <v>1357</v>
      </c>
      <c r="L6531" t="s">
        <v>1357</v>
      </c>
    </row>
    <row r="6532" spans="6:12">
      <c r="H6532" t="s">
        <v>20289</v>
      </c>
      <c r="I6532" t="s">
        <v>1357</v>
      </c>
      <c r="J6532" t="s">
        <v>1357</v>
      </c>
      <c r="K6532" t="s">
        <v>1357</v>
      </c>
      <c r="L6532" t="s">
        <v>1357</v>
      </c>
    </row>
    <row r="6533" spans="6:12">
      <c r="F6533" t="s">
        <v>14805</v>
      </c>
      <c r="G6533" t="s">
        <v>17649</v>
      </c>
      <c r="H6533" t="s">
        <v>20280</v>
      </c>
      <c r="I6533" t="s">
        <v>1357</v>
      </c>
      <c r="J6533" t="s">
        <v>1357</v>
      </c>
      <c r="K6533" t="s">
        <v>1357</v>
      </c>
      <c r="L6533" t="s">
        <v>1357</v>
      </c>
    </row>
    <row r="6534" spans="6:12">
      <c r="H6534" t="s">
        <v>20233</v>
      </c>
      <c r="I6534" t="s">
        <v>1357</v>
      </c>
      <c r="J6534" t="s">
        <v>1357</v>
      </c>
      <c r="K6534" t="s">
        <v>1357</v>
      </c>
      <c r="L6534" t="s">
        <v>1357</v>
      </c>
    </row>
    <row r="6535" spans="6:12">
      <c r="H6535" t="s">
        <v>20284</v>
      </c>
      <c r="I6535" t="s">
        <v>1357</v>
      </c>
      <c r="J6535" t="s">
        <v>1357</v>
      </c>
      <c r="K6535" t="s">
        <v>1357</v>
      </c>
      <c r="L6535" t="s">
        <v>1357</v>
      </c>
    </row>
    <row r="6536" spans="6:12">
      <c r="H6536" t="s">
        <v>20285</v>
      </c>
      <c r="I6536" t="s">
        <v>1357</v>
      </c>
      <c r="J6536" t="s">
        <v>1357</v>
      </c>
      <c r="K6536" t="s">
        <v>1357</v>
      </c>
      <c r="L6536" t="s">
        <v>1357</v>
      </c>
    </row>
    <row r="6537" spans="6:12">
      <c r="H6537" t="s">
        <v>20286</v>
      </c>
      <c r="I6537" t="s">
        <v>1357</v>
      </c>
      <c r="J6537" t="s">
        <v>1357</v>
      </c>
      <c r="K6537" t="s">
        <v>1357</v>
      </c>
      <c r="L6537" t="s">
        <v>1357</v>
      </c>
    </row>
    <row r="6538" spans="6:12">
      <c r="H6538" t="s">
        <v>20230</v>
      </c>
      <c r="I6538" t="s">
        <v>1357</v>
      </c>
      <c r="J6538" t="s">
        <v>1357</v>
      </c>
      <c r="K6538" t="s">
        <v>1357</v>
      </c>
      <c r="L6538" t="s">
        <v>1357</v>
      </c>
    </row>
    <row r="6539" spans="6:12">
      <c r="H6539" t="s">
        <v>20227</v>
      </c>
      <c r="I6539" t="s">
        <v>1357</v>
      </c>
      <c r="J6539" t="s">
        <v>1357</v>
      </c>
      <c r="K6539" t="s">
        <v>1357</v>
      </c>
      <c r="L6539" t="s">
        <v>1357</v>
      </c>
    </row>
    <row r="6540" spans="6:12">
      <c r="H6540" t="s">
        <v>20287</v>
      </c>
      <c r="I6540" t="s">
        <v>1357</v>
      </c>
      <c r="J6540" t="s">
        <v>1357</v>
      </c>
      <c r="K6540" t="s">
        <v>1357</v>
      </c>
      <c r="L6540" t="s">
        <v>1357</v>
      </c>
    </row>
    <row r="6541" spans="6:12">
      <c r="H6541" t="s">
        <v>20288</v>
      </c>
      <c r="I6541" t="s">
        <v>1357</v>
      </c>
      <c r="J6541" t="s">
        <v>1357</v>
      </c>
      <c r="K6541" t="s">
        <v>1357</v>
      </c>
      <c r="L6541" t="s">
        <v>1357</v>
      </c>
    </row>
    <row r="6542" spans="6:12">
      <c r="H6542" t="s">
        <v>20289</v>
      </c>
      <c r="I6542" t="s">
        <v>1357</v>
      </c>
      <c r="J6542" t="s">
        <v>1357</v>
      </c>
      <c r="K6542" t="s">
        <v>1357</v>
      </c>
      <c r="L6542" t="s">
        <v>1357</v>
      </c>
    </row>
    <row r="6543" spans="6:12">
      <c r="F6543" t="s">
        <v>14806</v>
      </c>
      <c r="G6543" t="s">
        <v>17650</v>
      </c>
      <c r="H6543" t="s">
        <v>20280</v>
      </c>
      <c r="I6543" t="s">
        <v>1357</v>
      </c>
      <c r="J6543" t="s">
        <v>1357</v>
      </c>
      <c r="K6543" t="s">
        <v>1357</v>
      </c>
      <c r="L6543" t="s">
        <v>1357</v>
      </c>
    </row>
    <row r="6544" spans="6:12">
      <c r="H6544" t="s">
        <v>20233</v>
      </c>
      <c r="I6544" t="s">
        <v>1357</v>
      </c>
      <c r="J6544" t="s">
        <v>1357</v>
      </c>
      <c r="K6544" t="s">
        <v>1357</v>
      </c>
      <c r="L6544" t="s">
        <v>1357</v>
      </c>
    </row>
    <row r="6545" spans="6:12">
      <c r="H6545" t="s">
        <v>20284</v>
      </c>
      <c r="I6545" t="s">
        <v>1357</v>
      </c>
      <c r="J6545" t="s">
        <v>1357</v>
      </c>
      <c r="K6545" t="s">
        <v>1357</v>
      </c>
      <c r="L6545" t="s">
        <v>1357</v>
      </c>
    </row>
    <row r="6546" spans="6:12">
      <c r="H6546" t="s">
        <v>20285</v>
      </c>
      <c r="I6546" t="s">
        <v>1357</v>
      </c>
      <c r="J6546" t="s">
        <v>1357</v>
      </c>
      <c r="K6546" t="s">
        <v>1357</v>
      </c>
      <c r="L6546" t="s">
        <v>1357</v>
      </c>
    </row>
    <row r="6547" spans="6:12">
      <c r="H6547" t="s">
        <v>20286</v>
      </c>
      <c r="I6547" t="s">
        <v>1357</v>
      </c>
      <c r="J6547" t="s">
        <v>1357</v>
      </c>
      <c r="K6547" t="s">
        <v>1357</v>
      </c>
      <c r="L6547" t="s">
        <v>1357</v>
      </c>
    </row>
    <row r="6548" spans="6:12">
      <c r="F6548" t="s">
        <v>14807</v>
      </c>
      <c r="G6548" t="s">
        <v>17651</v>
      </c>
      <c r="H6548" t="s">
        <v>20280</v>
      </c>
      <c r="I6548" t="s">
        <v>1357</v>
      </c>
      <c r="J6548" t="s">
        <v>1357</v>
      </c>
      <c r="K6548" t="s">
        <v>1357</v>
      </c>
      <c r="L6548" t="s">
        <v>1357</v>
      </c>
    </row>
    <row r="6549" spans="6:12">
      <c r="H6549" t="s">
        <v>20233</v>
      </c>
      <c r="I6549" t="s">
        <v>1357</v>
      </c>
      <c r="J6549" t="s">
        <v>1357</v>
      </c>
      <c r="K6549" t="s">
        <v>1357</v>
      </c>
      <c r="L6549" t="s">
        <v>1357</v>
      </c>
    </row>
    <row r="6550" spans="6:12">
      <c r="H6550" t="s">
        <v>20284</v>
      </c>
      <c r="I6550" t="s">
        <v>1357</v>
      </c>
      <c r="J6550" t="s">
        <v>1357</v>
      </c>
      <c r="K6550" t="s">
        <v>1357</v>
      </c>
      <c r="L6550" t="s">
        <v>1357</v>
      </c>
    </row>
    <row r="6551" spans="6:12">
      <c r="H6551" t="s">
        <v>20285</v>
      </c>
      <c r="I6551" t="s">
        <v>1357</v>
      </c>
      <c r="J6551" t="s">
        <v>1357</v>
      </c>
      <c r="K6551" t="s">
        <v>1357</v>
      </c>
      <c r="L6551" t="s">
        <v>1357</v>
      </c>
    </row>
    <row r="6552" spans="6:12">
      <c r="H6552" t="s">
        <v>20286</v>
      </c>
      <c r="I6552" t="s">
        <v>1357</v>
      </c>
      <c r="J6552" t="s">
        <v>1357</v>
      </c>
      <c r="K6552" t="s">
        <v>1357</v>
      </c>
      <c r="L6552" t="s">
        <v>1357</v>
      </c>
    </row>
    <row r="6553" spans="6:12">
      <c r="F6553" t="s">
        <v>14808</v>
      </c>
      <c r="G6553" t="s">
        <v>17652</v>
      </c>
      <c r="H6553" t="s">
        <v>20280</v>
      </c>
      <c r="I6553" t="s">
        <v>1357</v>
      </c>
      <c r="J6553" t="s">
        <v>1357</v>
      </c>
      <c r="K6553" t="s">
        <v>1357</v>
      </c>
      <c r="L6553" t="s">
        <v>1357</v>
      </c>
    </row>
    <row r="6554" spans="6:12">
      <c r="H6554" t="s">
        <v>20233</v>
      </c>
      <c r="I6554" t="s">
        <v>1357</v>
      </c>
      <c r="J6554" t="s">
        <v>1357</v>
      </c>
      <c r="K6554" t="s">
        <v>1357</v>
      </c>
      <c r="L6554" t="s">
        <v>1357</v>
      </c>
    </row>
    <row r="6555" spans="6:12">
      <c r="H6555" t="s">
        <v>20284</v>
      </c>
      <c r="I6555" t="s">
        <v>1357</v>
      </c>
      <c r="J6555" t="s">
        <v>1357</v>
      </c>
      <c r="K6555" t="s">
        <v>1357</v>
      </c>
      <c r="L6555" t="s">
        <v>1357</v>
      </c>
    </row>
    <row r="6556" spans="6:12">
      <c r="H6556" t="s">
        <v>20285</v>
      </c>
      <c r="I6556" t="s">
        <v>1357</v>
      </c>
      <c r="J6556" t="s">
        <v>1357</v>
      </c>
      <c r="K6556" t="s">
        <v>1357</v>
      </c>
      <c r="L6556" t="s">
        <v>1357</v>
      </c>
    </row>
    <row r="6557" spans="6:12">
      <c r="H6557" t="s">
        <v>20286</v>
      </c>
      <c r="I6557" t="s">
        <v>1357</v>
      </c>
      <c r="J6557" t="s">
        <v>1357</v>
      </c>
      <c r="K6557" t="s">
        <v>1357</v>
      </c>
      <c r="L6557" t="s">
        <v>1357</v>
      </c>
    </row>
    <row r="6558" spans="6:12">
      <c r="F6558" t="s">
        <v>14809</v>
      </c>
      <c r="G6558" t="s">
        <v>17653</v>
      </c>
      <c r="H6558" t="s">
        <v>20280</v>
      </c>
      <c r="I6558" t="s">
        <v>1357</v>
      </c>
      <c r="J6558" t="s">
        <v>1357</v>
      </c>
      <c r="K6558" t="s">
        <v>1357</v>
      </c>
      <c r="L6558" t="s">
        <v>1357</v>
      </c>
    </row>
    <row r="6559" spans="6:12">
      <c r="H6559" t="s">
        <v>20233</v>
      </c>
      <c r="I6559" t="s">
        <v>1357</v>
      </c>
      <c r="J6559" t="s">
        <v>1357</v>
      </c>
      <c r="K6559" t="s">
        <v>1357</v>
      </c>
      <c r="L6559" t="s">
        <v>1357</v>
      </c>
    </row>
    <row r="6560" spans="6:12">
      <c r="H6560" t="s">
        <v>20284</v>
      </c>
      <c r="I6560" t="s">
        <v>1357</v>
      </c>
      <c r="J6560" t="s">
        <v>1357</v>
      </c>
      <c r="K6560" t="s">
        <v>1357</v>
      </c>
      <c r="L6560" t="s">
        <v>1357</v>
      </c>
    </row>
    <row r="6561" spans="6:12">
      <c r="H6561" t="s">
        <v>20285</v>
      </c>
      <c r="I6561" t="s">
        <v>1357</v>
      </c>
      <c r="J6561" t="s">
        <v>1357</v>
      </c>
      <c r="K6561" t="s">
        <v>1357</v>
      </c>
      <c r="L6561" t="s">
        <v>1357</v>
      </c>
    </row>
    <row r="6562" spans="6:12">
      <c r="H6562" t="s">
        <v>20286</v>
      </c>
      <c r="I6562" t="s">
        <v>1357</v>
      </c>
      <c r="J6562" t="s">
        <v>1357</v>
      </c>
      <c r="K6562" t="s">
        <v>1357</v>
      </c>
      <c r="L6562" t="s">
        <v>1357</v>
      </c>
    </row>
    <row r="6563" spans="6:12">
      <c r="F6563" t="s">
        <v>14810</v>
      </c>
      <c r="G6563" t="s">
        <v>17654</v>
      </c>
      <c r="H6563" t="s">
        <v>20280</v>
      </c>
      <c r="I6563" t="s">
        <v>1357</v>
      </c>
      <c r="J6563" t="s">
        <v>1357</v>
      </c>
      <c r="K6563" t="s">
        <v>1357</v>
      </c>
      <c r="L6563" t="s">
        <v>1357</v>
      </c>
    </row>
    <row r="6564" spans="6:12">
      <c r="H6564" t="s">
        <v>20233</v>
      </c>
      <c r="I6564" t="s">
        <v>1357</v>
      </c>
      <c r="J6564" t="s">
        <v>1357</v>
      </c>
      <c r="K6564" t="s">
        <v>1357</v>
      </c>
      <c r="L6564" t="s">
        <v>1357</v>
      </c>
    </row>
    <row r="6565" spans="6:12">
      <c r="H6565" t="s">
        <v>20230</v>
      </c>
      <c r="I6565" t="s">
        <v>1357</v>
      </c>
      <c r="J6565" t="s">
        <v>1357</v>
      </c>
      <c r="K6565" t="s">
        <v>1357</v>
      </c>
      <c r="L6565" t="s">
        <v>1357</v>
      </c>
    </row>
    <row r="6566" spans="6:12">
      <c r="H6566" t="s">
        <v>20296</v>
      </c>
      <c r="I6566" t="s">
        <v>1357</v>
      </c>
      <c r="J6566" t="s">
        <v>1357</v>
      </c>
      <c r="K6566" t="s">
        <v>1357</v>
      </c>
      <c r="L6566" t="s">
        <v>1357</v>
      </c>
    </row>
    <row r="6567" spans="6:12">
      <c r="H6567" t="s">
        <v>20297</v>
      </c>
      <c r="I6567" t="s">
        <v>1357</v>
      </c>
      <c r="J6567" t="s">
        <v>1357</v>
      </c>
      <c r="K6567" t="s">
        <v>1357</v>
      </c>
      <c r="L6567" t="s">
        <v>1357</v>
      </c>
    </row>
    <row r="6568" spans="6:12">
      <c r="H6568" t="s">
        <v>20234</v>
      </c>
      <c r="I6568" t="s">
        <v>1357</v>
      </c>
      <c r="J6568" t="s">
        <v>1357</v>
      </c>
      <c r="K6568" t="s">
        <v>1357</v>
      </c>
      <c r="L6568" t="s">
        <v>1357</v>
      </c>
    </row>
    <row r="6569" spans="6:12">
      <c r="H6569" t="s">
        <v>20235</v>
      </c>
      <c r="I6569" t="s">
        <v>1357</v>
      </c>
      <c r="J6569" t="s">
        <v>1357</v>
      </c>
      <c r="K6569" t="s">
        <v>1357</v>
      </c>
      <c r="L6569" t="s">
        <v>1357</v>
      </c>
    </row>
    <row r="6570" spans="6:12">
      <c r="H6570" t="s">
        <v>20298</v>
      </c>
      <c r="I6570" t="s">
        <v>1357</v>
      </c>
      <c r="J6570" t="s">
        <v>1357</v>
      </c>
      <c r="K6570" t="s">
        <v>1357</v>
      </c>
      <c r="L6570" t="s">
        <v>1357</v>
      </c>
    </row>
    <row r="6571" spans="6:12">
      <c r="H6571" t="s">
        <v>20299</v>
      </c>
      <c r="I6571" t="s">
        <v>1357</v>
      </c>
      <c r="J6571" t="s">
        <v>1357</v>
      </c>
      <c r="K6571" t="s">
        <v>1357</v>
      </c>
      <c r="L6571" t="s">
        <v>1357</v>
      </c>
    </row>
    <row r="6572" spans="6:12">
      <c r="H6572" t="s">
        <v>20300</v>
      </c>
      <c r="I6572" t="s">
        <v>1357</v>
      </c>
      <c r="J6572" t="s">
        <v>1357</v>
      </c>
      <c r="K6572" t="s">
        <v>1357</v>
      </c>
      <c r="L6572" t="s">
        <v>1357</v>
      </c>
    </row>
    <row r="6573" spans="6:12">
      <c r="H6573" t="s">
        <v>20301</v>
      </c>
      <c r="I6573" t="s">
        <v>1357</v>
      </c>
      <c r="J6573" t="s">
        <v>1357</v>
      </c>
      <c r="K6573" t="s">
        <v>1357</v>
      </c>
      <c r="L6573" t="s">
        <v>1357</v>
      </c>
    </row>
    <row r="6574" spans="6:12">
      <c r="H6574" t="s">
        <v>20302</v>
      </c>
      <c r="I6574" t="s">
        <v>1357</v>
      </c>
      <c r="J6574" t="s">
        <v>1357</v>
      </c>
      <c r="K6574" t="s">
        <v>1357</v>
      </c>
      <c r="L6574" t="s">
        <v>1357</v>
      </c>
    </row>
    <row r="6575" spans="6:12">
      <c r="H6575" t="s">
        <v>20303</v>
      </c>
      <c r="I6575" t="s">
        <v>1357</v>
      </c>
      <c r="J6575" t="s">
        <v>1357</v>
      </c>
      <c r="K6575" t="s">
        <v>1357</v>
      </c>
      <c r="L6575" t="s">
        <v>1357</v>
      </c>
    </row>
    <row r="6576" spans="6:12">
      <c r="H6576" t="s">
        <v>20304</v>
      </c>
      <c r="I6576" t="s">
        <v>1357</v>
      </c>
      <c r="J6576" t="s">
        <v>1357</v>
      </c>
      <c r="K6576" t="s">
        <v>1357</v>
      </c>
      <c r="L6576" t="s">
        <v>1357</v>
      </c>
    </row>
    <row r="6577" spans="6:12">
      <c r="H6577" t="s">
        <v>20284</v>
      </c>
      <c r="I6577" t="s">
        <v>1357</v>
      </c>
      <c r="J6577" t="s">
        <v>1357</v>
      </c>
      <c r="K6577" t="s">
        <v>1357</v>
      </c>
      <c r="L6577" t="s">
        <v>1357</v>
      </c>
    </row>
    <row r="6578" spans="6:12">
      <c r="H6578" t="s">
        <v>20285</v>
      </c>
      <c r="I6578" t="s">
        <v>1357</v>
      </c>
      <c r="J6578" t="s">
        <v>1357</v>
      </c>
      <c r="K6578" t="s">
        <v>1357</v>
      </c>
      <c r="L6578" t="s">
        <v>1357</v>
      </c>
    </row>
    <row r="6579" spans="6:12">
      <c r="H6579" t="s">
        <v>20286</v>
      </c>
      <c r="I6579" t="s">
        <v>1357</v>
      </c>
      <c r="J6579" t="s">
        <v>1357</v>
      </c>
      <c r="K6579" t="s">
        <v>1357</v>
      </c>
      <c r="L6579" t="s">
        <v>1357</v>
      </c>
    </row>
    <row r="6580" spans="6:12">
      <c r="H6580" t="s">
        <v>20287</v>
      </c>
      <c r="I6580" t="s">
        <v>1357</v>
      </c>
      <c r="J6580" t="s">
        <v>1357</v>
      </c>
      <c r="K6580" t="s">
        <v>1357</v>
      </c>
      <c r="L6580" t="s">
        <v>1357</v>
      </c>
    </row>
    <row r="6581" spans="6:12">
      <c r="F6581" t="s">
        <v>14811</v>
      </c>
      <c r="G6581" t="s">
        <v>17655</v>
      </c>
      <c r="H6581" t="s">
        <v>20280</v>
      </c>
      <c r="I6581" t="s">
        <v>1357</v>
      </c>
      <c r="J6581" t="s">
        <v>1357</v>
      </c>
      <c r="K6581" t="s">
        <v>1357</v>
      </c>
      <c r="L6581" t="s">
        <v>1357</v>
      </c>
    </row>
    <row r="6582" spans="6:12">
      <c r="H6582" t="s">
        <v>20233</v>
      </c>
      <c r="I6582" t="s">
        <v>1357</v>
      </c>
      <c r="J6582" t="s">
        <v>1357</v>
      </c>
      <c r="K6582" t="s">
        <v>1357</v>
      </c>
      <c r="L6582" t="s">
        <v>1357</v>
      </c>
    </row>
    <row r="6583" spans="6:12">
      <c r="H6583" t="s">
        <v>20230</v>
      </c>
      <c r="I6583" t="s">
        <v>1357</v>
      </c>
      <c r="J6583" t="s">
        <v>1357</v>
      </c>
      <c r="K6583" t="s">
        <v>1357</v>
      </c>
      <c r="L6583" t="s">
        <v>1357</v>
      </c>
    </row>
    <row r="6584" spans="6:12">
      <c r="H6584" t="s">
        <v>20227</v>
      </c>
      <c r="I6584" t="s">
        <v>1357</v>
      </c>
      <c r="J6584" t="s">
        <v>1357</v>
      </c>
      <c r="K6584" t="s">
        <v>1357</v>
      </c>
      <c r="L6584" t="s">
        <v>1357</v>
      </c>
    </row>
    <row r="6585" spans="6:12">
      <c r="H6585" t="s">
        <v>20281</v>
      </c>
      <c r="I6585" t="s">
        <v>1357</v>
      </c>
      <c r="J6585" t="s">
        <v>1357</v>
      </c>
      <c r="K6585" t="s">
        <v>1357</v>
      </c>
      <c r="L6585" t="s">
        <v>1357</v>
      </c>
    </row>
    <row r="6586" spans="6:12">
      <c r="H6586" t="s">
        <v>20282</v>
      </c>
      <c r="I6586" t="s">
        <v>1357</v>
      </c>
      <c r="J6586" t="s">
        <v>1357</v>
      </c>
      <c r="K6586" t="s">
        <v>1357</v>
      </c>
      <c r="L6586" t="s">
        <v>1357</v>
      </c>
    </row>
    <row r="6587" spans="6:12">
      <c r="H6587" t="s">
        <v>20283</v>
      </c>
      <c r="I6587" t="s">
        <v>1357</v>
      </c>
      <c r="J6587" t="s">
        <v>1357</v>
      </c>
      <c r="K6587" t="s">
        <v>1357</v>
      </c>
      <c r="L6587" t="s">
        <v>1357</v>
      </c>
    </row>
    <row r="6588" spans="6:12">
      <c r="H6588" t="s">
        <v>20292</v>
      </c>
      <c r="I6588" t="s">
        <v>1357</v>
      </c>
      <c r="J6588" t="s">
        <v>1357</v>
      </c>
      <c r="K6588" t="s">
        <v>1357</v>
      </c>
      <c r="L6588" t="s">
        <v>1357</v>
      </c>
    </row>
    <row r="6589" spans="6:12">
      <c r="H6589" t="s">
        <v>20305</v>
      </c>
      <c r="I6589" t="s">
        <v>1357</v>
      </c>
      <c r="J6589" t="s">
        <v>1357</v>
      </c>
      <c r="K6589" t="s">
        <v>1357</v>
      </c>
      <c r="L6589" t="s">
        <v>1357</v>
      </c>
    </row>
    <row r="6590" spans="6:12">
      <c r="H6590" t="s">
        <v>20306</v>
      </c>
      <c r="I6590" t="s">
        <v>1357</v>
      </c>
      <c r="J6590" t="s">
        <v>1357</v>
      </c>
      <c r="K6590" t="s">
        <v>1357</v>
      </c>
      <c r="L6590" t="s">
        <v>1357</v>
      </c>
    </row>
    <row r="6591" spans="6:12">
      <c r="H6591" t="s">
        <v>20307</v>
      </c>
      <c r="I6591" t="s">
        <v>1357</v>
      </c>
      <c r="J6591" t="s">
        <v>1357</v>
      </c>
      <c r="K6591" t="s">
        <v>1357</v>
      </c>
      <c r="L6591" t="s">
        <v>1357</v>
      </c>
    </row>
    <row r="6592" spans="6:12">
      <c r="H6592" t="s">
        <v>20308</v>
      </c>
      <c r="I6592" t="s">
        <v>1357</v>
      </c>
      <c r="J6592" t="s">
        <v>1357</v>
      </c>
      <c r="K6592" t="s">
        <v>1357</v>
      </c>
      <c r="L6592" t="s">
        <v>1357</v>
      </c>
    </row>
    <row r="6593" spans="6:12">
      <c r="H6593" t="s">
        <v>20008</v>
      </c>
      <c r="I6593" t="s">
        <v>1357</v>
      </c>
      <c r="J6593" t="s">
        <v>1357</v>
      </c>
      <c r="K6593" t="s">
        <v>1357</v>
      </c>
      <c r="L6593" t="s">
        <v>1357</v>
      </c>
    </row>
    <row r="6594" spans="6:12">
      <c r="H6594" t="s">
        <v>20284</v>
      </c>
      <c r="I6594" t="s">
        <v>1357</v>
      </c>
      <c r="J6594" t="s">
        <v>1357</v>
      </c>
      <c r="K6594" t="s">
        <v>1357</v>
      </c>
      <c r="L6594" t="s">
        <v>1357</v>
      </c>
    </row>
    <row r="6595" spans="6:12">
      <c r="H6595" t="s">
        <v>20285</v>
      </c>
      <c r="I6595" t="s">
        <v>1357</v>
      </c>
      <c r="J6595" t="s">
        <v>1357</v>
      </c>
      <c r="K6595" t="s">
        <v>1357</v>
      </c>
      <c r="L6595" t="s">
        <v>1357</v>
      </c>
    </row>
    <row r="6596" spans="6:12">
      <c r="H6596" t="s">
        <v>20286</v>
      </c>
      <c r="I6596" t="s">
        <v>1357</v>
      </c>
      <c r="J6596" t="s">
        <v>1357</v>
      </c>
      <c r="K6596" t="s">
        <v>1357</v>
      </c>
      <c r="L6596" t="s">
        <v>1357</v>
      </c>
    </row>
    <row r="6597" spans="6:12">
      <c r="H6597" t="s">
        <v>20287</v>
      </c>
      <c r="I6597" t="s">
        <v>1357</v>
      </c>
      <c r="J6597" t="s">
        <v>1357</v>
      </c>
      <c r="K6597" t="s">
        <v>1357</v>
      </c>
      <c r="L6597" t="s">
        <v>1357</v>
      </c>
    </row>
    <row r="6598" spans="6:12">
      <c r="F6598" t="s">
        <v>14812</v>
      </c>
      <c r="G6598" t="s">
        <v>17656</v>
      </c>
      <c r="H6598" t="s">
        <v>20280</v>
      </c>
      <c r="I6598" t="s">
        <v>1357</v>
      </c>
      <c r="J6598" t="s">
        <v>1357</v>
      </c>
      <c r="K6598" t="s">
        <v>1357</v>
      </c>
      <c r="L6598" t="s">
        <v>1357</v>
      </c>
    </row>
    <row r="6599" spans="6:12">
      <c r="H6599" t="s">
        <v>20233</v>
      </c>
      <c r="I6599" t="s">
        <v>1357</v>
      </c>
      <c r="J6599" t="s">
        <v>1357</v>
      </c>
      <c r="K6599" t="s">
        <v>1357</v>
      </c>
      <c r="L6599" t="s">
        <v>1357</v>
      </c>
    </row>
    <row r="6600" spans="6:12">
      <c r="H6600" t="s">
        <v>20230</v>
      </c>
      <c r="I6600" t="s">
        <v>1357</v>
      </c>
      <c r="J6600" t="s">
        <v>1357</v>
      </c>
      <c r="K6600" t="s">
        <v>1357</v>
      </c>
      <c r="L6600" t="s">
        <v>1357</v>
      </c>
    </row>
    <row r="6601" spans="6:12">
      <c r="H6601" t="s">
        <v>20281</v>
      </c>
      <c r="I6601" t="s">
        <v>1357</v>
      </c>
      <c r="J6601" t="s">
        <v>1357</v>
      </c>
      <c r="K6601" t="s">
        <v>1357</v>
      </c>
      <c r="L6601" t="s">
        <v>1357</v>
      </c>
    </row>
    <row r="6602" spans="6:12">
      <c r="H6602" t="s">
        <v>20282</v>
      </c>
      <c r="I6602" t="s">
        <v>1357</v>
      </c>
      <c r="J6602" t="s">
        <v>1357</v>
      </c>
      <c r="K6602" t="s">
        <v>1357</v>
      </c>
      <c r="L6602" t="s">
        <v>1357</v>
      </c>
    </row>
    <row r="6603" spans="6:12">
      <c r="H6603" t="s">
        <v>20283</v>
      </c>
      <c r="I6603" t="s">
        <v>1357</v>
      </c>
      <c r="J6603" t="s">
        <v>1357</v>
      </c>
      <c r="K6603" t="s">
        <v>1357</v>
      </c>
      <c r="L6603" t="s">
        <v>1357</v>
      </c>
    </row>
    <row r="6604" spans="6:12">
      <c r="H6604" t="s">
        <v>20292</v>
      </c>
      <c r="I6604" t="s">
        <v>1357</v>
      </c>
      <c r="J6604" t="s">
        <v>1357</v>
      </c>
      <c r="K6604" t="s">
        <v>1357</v>
      </c>
      <c r="L6604" t="s">
        <v>1357</v>
      </c>
    </row>
    <row r="6605" spans="6:12">
      <c r="H6605" t="s">
        <v>20305</v>
      </c>
      <c r="I6605" t="s">
        <v>1357</v>
      </c>
      <c r="J6605" t="s">
        <v>1357</v>
      </c>
      <c r="K6605" t="s">
        <v>1357</v>
      </c>
      <c r="L6605" t="s">
        <v>1357</v>
      </c>
    </row>
    <row r="6606" spans="6:12">
      <c r="H6606" t="s">
        <v>20306</v>
      </c>
      <c r="I6606" t="s">
        <v>1357</v>
      </c>
      <c r="J6606" t="s">
        <v>1357</v>
      </c>
      <c r="K6606" t="s">
        <v>1357</v>
      </c>
      <c r="L6606" t="s">
        <v>1357</v>
      </c>
    </row>
    <row r="6607" spans="6:12">
      <c r="H6607" t="s">
        <v>20307</v>
      </c>
      <c r="I6607" t="s">
        <v>1357</v>
      </c>
      <c r="J6607" t="s">
        <v>1357</v>
      </c>
      <c r="K6607" t="s">
        <v>1357</v>
      </c>
      <c r="L6607" t="s">
        <v>1357</v>
      </c>
    </row>
    <row r="6608" spans="6:12">
      <c r="H6608" t="s">
        <v>20284</v>
      </c>
      <c r="I6608" t="s">
        <v>1357</v>
      </c>
      <c r="J6608" t="s">
        <v>1357</v>
      </c>
      <c r="K6608" t="s">
        <v>1357</v>
      </c>
      <c r="L6608" t="s">
        <v>1357</v>
      </c>
    </row>
    <row r="6609" spans="6:12">
      <c r="H6609" t="s">
        <v>20285</v>
      </c>
      <c r="I6609" t="s">
        <v>1357</v>
      </c>
      <c r="J6609" t="s">
        <v>1357</v>
      </c>
      <c r="K6609" t="s">
        <v>1357</v>
      </c>
      <c r="L6609" t="s">
        <v>1357</v>
      </c>
    </row>
    <row r="6610" spans="6:12">
      <c r="H6610" t="s">
        <v>20286</v>
      </c>
      <c r="I6610" t="s">
        <v>1357</v>
      </c>
      <c r="J6610" t="s">
        <v>1357</v>
      </c>
      <c r="K6610" t="s">
        <v>1357</v>
      </c>
      <c r="L6610" t="s">
        <v>1357</v>
      </c>
    </row>
    <row r="6611" spans="6:12">
      <c r="F6611" t="s">
        <v>14813</v>
      </c>
      <c r="G6611" t="s">
        <v>17657</v>
      </c>
      <c r="H6611" t="s">
        <v>20280</v>
      </c>
      <c r="I6611" t="s">
        <v>1357</v>
      </c>
      <c r="J6611" t="s">
        <v>1357</v>
      </c>
      <c r="K6611" t="s">
        <v>1357</v>
      </c>
      <c r="L6611" t="s">
        <v>1357</v>
      </c>
    </row>
    <row r="6612" spans="6:12">
      <c r="H6612" t="s">
        <v>20233</v>
      </c>
      <c r="I6612" t="s">
        <v>1357</v>
      </c>
      <c r="J6612" t="s">
        <v>1357</v>
      </c>
      <c r="K6612" t="s">
        <v>1357</v>
      </c>
      <c r="L6612" t="s">
        <v>1357</v>
      </c>
    </row>
    <row r="6613" spans="6:12">
      <c r="H6613" t="s">
        <v>20230</v>
      </c>
      <c r="I6613" t="s">
        <v>1357</v>
      </c>
      <c r="J6613" t="s">
        <v>1357</v>
      </c>
      <c r="K6613" t="s">
        <v>1357</v>
      </c>
      <c r="L6613" t="s">
        <v>1357</v>
      </c>
    </row>
    <row r="6614" spans="6:12">
      <c r="H6614" t="s">
        <v>20284</v>
      </c>
      <c r="I6614" t="s">
        <v>1357</v>
      </c>
      <c r="J6614" t="s">
        <v>1357</v>
      </c>
      <c r="K6614" t="s">
        <v>1357</v>
      </c>
      <c r="L6614" t="s">
        <v>1357</v>
      </c>
    </row>
    <row r="6615" spans="6:12">
      <c r="H6615" t="s">
        <v>20285</v>
      </c>
      <c r="I6615" t="s">
        <v>1357</v>
      </c>
      <c r="J6615" t="s">
        <v>1357</v>
      </c>
      <c r="K6615" t="s">
        <v>1357</v>
      </c>
      <c r="L6615" t="s">
        <v>1357</v>
      </c>
    </row>
    <row r="6616" spans="6:12">
      <c r="H6616" t="s">
        <v>20286</v>
      </c>
      <c r="I6616" t="s">
        <v>1357</v>
      </c>
      <c r="J6616" t="s">
        <v>1357</v>
      </c>
      <c r="K6616" t="s">
        <v>1357</v>
      </c>
      <c r="L6616" t="s">
        <v>1357</v>
      </c>
    </row>
    <row r="6617" spans="6:12">
      <c r="F6617" t="s">
        <v>14814</v>
      </c>
      <c r="G6617" t="s">
        <v>17658</v>
      </c>
      <c r="H6617" t="s">
        <v>20280</v>
      </c>
      <c r="I6617" t="s">
        <v>1357</v>
      </c>
      <c r="J6617" t="s">
        <v>1357</v>
      </c>
      <c r="K6617" t="s">
        <v>1357</v>
      </c>
      <c r="L6617" t="s">
        <v>1357</v>
      </c>
    </row>
    <row r="6618" spans="6:12">
      <c r="H6618" t="s">
        <v>20233</v>
      </c>
      <c r="I6618" t="s">
        <v>1357</v>
      </c>
      <c r="J6618" t="s">
        <v>1357</v>
      </c>
      <c r="K6618" t="s">
        <v>1357</v>
      </c>
      <c r="L6618" t="s">
        <v>1357</v>
      </c>
    </row>
    <row r="6619" spans="6:12">
      <c r="H6619" t="s">
        <v>20230</v>
      </c>
      <c r="I6619" t="s">
        <v>1357</v>
      </c>
      <c r="J6619" t="s">
        <v>1357</v>
      </c>
      <c r="K6619" t="s">
        <v>1357</v>
      </c>
      <c r="L6619" t="s">
        <v>1357</v>
      </c>
    </row>
    <row r="6620" spans="6:12">
      <c r="H6620" t="s">
        <v>20227</v>
      </c>
      <c r="I6620" t="s">
        <v>1357</v>
      </c>
      <c r="J6620" t="s">
        <v>1357</v>
      </c>
      <c r="K6620" t="s">
        <v>1357</v>
      </c>
      <c r="L6620" t="s">
        <v>1357</v>
      </c>
    </row>
    <row r="6621" spans="6:12">
      <c r="H6621" t="s">
        <v>20228</v>
      </c>
      <c r="I6621" t="s">
        <v>1357</v>
      </c>
      <c r="J6621" t="s">
        <v>1357</v>
      </c>
      <c r="K6621" t="s">
        <v>1357</v>
      </c>
      <c r="L6621" t="s">
        <v>1357</v>
      </c>
    </row>
    <row r="6622" spans="6:12">
      <c r="H6622" t="s">
        <v>20232</v>
      </c>
      <c r="I6622" t="s">
        <v>1357</v>
      </c>
      <c r="J6622" t="s">
        <v>1357</v>
      </c>
      <c r="K6622" t="s">
        <v>1357</v>
      </c>
      <c r="L6622" t="s">
        <v>1357</v>
      </c>
    </row>
    <row r="6623" spans="6:12">
      <c r="H6623" t="s">
        <v>20296</v>
      </c>
      <c r="I6623" t="s">
        <v>1357</v>
      </c>
      <c r="J6623" t="s">
        <v>1357</v>
      </c>
      <c r="K6623" t="s">
        <v>1357</v>
      </c>
      <c r="L6623" t="s">
        <v>1357</v>
      </c>
    </row>
    <row r="6624" spans="6:12">
      <c r="H6624" t="s">
        <v>20297</v>
      </c>
      <c r="I6624" t="s">
        <v>1357</v>
      </c>
      <c r="J6624" t="s">
        <v>1357</v>
      </c>
      <c r="K6624" t="s">
        <v>1357</v>
      </c>
      <c r="L6624" t="s">
        <v>1357</v>
      </c>
    </row>
    <row r="6625" spans="6:12">
      <c r="H6625" t="s">
        <v>20234</v>
      </c>
      <c r="I6625" t="s">
        <v>1357</v>
      </c>
      <c r="J6625" t="s">
        <v>1357</v>
      </c>
      <c r="K6625" t="s">
        <v>1357</v>
      </c>
      <c r="L6625" t="s">
        <v>1357</v>
      </c>
    </row>
    <row r="6626" spans="6:12">
      <c r="H6626" t="s">
        <v>20235</v>
      </c>
      <c r="I6626" t="s">
        <v>1357</v>
      </c>
      <c r="J6626" t="s">
        <v>1357</v>
      </c>
      <c r="K6626" t="s">
        <v>1357</v>
      </c>
      <c r="L6626" t="s">
        <v>1357</v>
      </c>
    </row>
    <row r="6627" spans="6:12">
      <c r="H6627" t="s">
        <v>20298</v>
      </c>
      <c r="I6627" t="s">
        <v>1357</v>
      </c>
      <c r="J6627" t="s">
        <v>1357</v>
      </c>
      <c r="K6627" t="s">
        <v>1357</v>
      </c>
      <c r="L6627" t="s">
        <v>1357</v>
      </c>
    </row>
    <row r="6628" spans="6:12">
      <c r="H6628" t="s">
        <v>20299</v>
      </c>
      <c r="I6628" t="s">
        <v>1357</v>
      </c>
      <c r="J6628" t="s">
        <v>1357</v>
      </c>
      <c r="K6628" t="s">
        <v>1357</v>
      </c>
      <c r="L6628" t="s">
        <v>1357</v>
      </c>
    </row>
    <row r="6629" spans="6:12">
      <c r="H6629" t="s">
        <v>20300</v>
      </c>
      <c r="I6629" t="s">
        <v>1357</v>
      </c>
      <c r="J6629" t="s">
        <v>1357</v>
      </c>
      <c r="K6629" t="s">
        <v>1357</v>
      </c>
      <c r="L6629" t="s">
        <v>1357</v>
      </c>
    </row>
    <row r="6630" spans="6:12">
      <c r="H6630" t="s">
        <v>20284</v>
      </c>
      <c r="I6630" t="s">
        <v>1357</v>
      </c>
      <c r="J6630" t="s">
        <v>1357</v>
      </c>
      <c r="K6630" t="s">
        <v>1357</v>
      </c>
      <c r="L6630" t="s">
        <v>1357</v>
      </c>
    </row>
    <row r="6631" spans="6:12">
      <c r="H6631" t="s">
        <v>20285</v>
      </c>
      <c r="I6631" t="s">
        <v>1357</v>
      </c>
      <c r="J6631" t="s">
        <v>1357</v>
      </c>
      <c r="K6631" t="s">
        <v>1357</v>
      </c>
      <c r="L6631" t="s">
        <v>1357</v>
      </c>
    </row>
    <row r="6632" spans="6:12">
      <c r="H6632" t="s">
        <v>20286</v>
      </c>
      <c r="I6632" t="s">
        <v>1357</v>
      </c>
      <c r="J6632" t="s">
        <v>1357</v>
      </c>
      <c r="K6632" t="s">
        <v>1357</v>
      </c>
      <c r="L6632" t="s">
        <v>1357</v>
      </c>
    </row>
    <row r="6633" spans="6:12">
      <c r="H6633" t="s">
        <v>20287</v>
      </c>
      <c r="I6633" t="s">
        <v>1357</v>
      </c>
      <c r="J6633" t="s">
        <v>1357</v>
      </c>
      <c r="K6633" t="s">
        <v>1357</v>
      </c>
      <c r="L6633" t="s">
        <v>1357</v>
      </c>
    </row>
    <row r="6634" spans="6:12">
      <c r="F6634" t="s">
        <v>14815</v>
      </c>
      <c r="G6634" t="s">
        <v>17659</v>
      </c>
      <c r="H6634" t="s">
        <v>20280</v>
      </c>
      <c r="I6634" t="s">
        <v>1357</v>
      </c>
      <c r="J6634" t="s">
        <v>1357</v>
      </c>
      <c r="K6634" t="s">
        <v>1357</v>
      </c>
      <c r="L6634" t="s">
        <v>1357</v>
      </c>
    </row>
    <row r="6635" spans="6:12">
      <c r="H6635" t="s">
        <v>20233</v>
      </c>
      <c r="I6635" t="s">
        <v>1357</v>
      </c>
      <c r="J6635" t="s">
        <v>1357</v>
      </c>
      <c r="K6635" t="s">
        <v>1357</v>
      </c>
      <c r="L6635" t="s">
        <v>1357</v>
      </c>
    </row>
    <row r="6636" spans="6:12">
      <c r="H6636" t="s">
        <v>20230</v>
      </c>
      <c r="I6636" t="s">
        <v>1357</v>
      </c>
      <c r="J6636" t="s">
        <v>1357</v>
      </c>
      <c r="K6636" t="s">
        <v>1357</v>
      </c>
      <c r="L6636" t="s">
        <v>1357</v>
      </c>
    </row>
    <row r="6637" spans="6:12">
      <c r="H6637" t="s">
        <v>20227</v>
      </c>
      <c r="I6637" t="s">
        <v>1357</v>
      </c>
      <c r="J6637" t="s">
        <v>1357</v>
      </c>
      <c r="K6637" t="s">
        <v>1357</v>
      </c>
      <c r="L6637" t="s">
        <v>1357</v>
      </c>
    </row>
    <row r="6638" spans="6:12">
      <c r="H6638" t="s">
        <v>20296</v>
      </c>
      <c r="I6638" t="s">
        <v>1357</v>
      </c>
      <c r="J6638" t="s">
        <v>1357</v>
      </c>
      <c r="K6638" t="s">
        <v>1357</v>
      </c>
      <c r="L6638" t="s">
        <v>1357</v>
      </c>
    </row>
    <row r="6639" spans="6:12">
      <c r="H6639" t="s">
        <v>20297</v>
      </c>
      <c r="I6639" t="s">
        <v>1357</v>
      </c>
      <c r="J6639" t="s">
        <v>1357</v>
      </c>
      <c r="K6639" t="s">
        <v>1357</v>
      </c>
      <c r="L6639" t="s">
        <v>1357</v>
      </c>
    </row>
    <row r="6640" spans="6:12">
      <c r="H6640" t="s">
        <v>20234</v>
      </c>
      <c r="I6640" t="s">
        <v>1357</v>
      </c>
      <c r="J6640" t="s">
        <v>1357</v>
      </c>
      <c r="K6640" t="s">
        <v>1357</v>
      </c>
      <c r="L6640" t="s">
        <v>1357</v>
      </c>
    </row>
    <row r="6641" spans="6:12">
      <c r="H6641" t="s">
        <v>20235</v>
      </c>
      <c r="I6641" t="s">
        <v>1357</v>
      </c>
      <c r="J6641" t="s">
        <v>1357</v>
      </c>
      <c r="K6641" t="s">
        <v>1357</v>
      </c>
      <c r="L6641" t="s">
        <v>1357</v>
      </c>
    </row>
    <row r="6642" spans="6:12">
      <c r="H6642" t="s">
        <v>20284</v>
      </c>
      <c r="I6642" t="s">
        <v>1357</v>
      </c>
      <c r="J6642" t="s">
        <v>1357</v>
      </c>
      <c r="K6642" t="s">
        <v>1357</v>
      </c>
      <c r="L6642" t="s">
        <v>1357</v>
      </c>
    </row>
    <row r="6643" spans="6:12">
      <c r="H6643" t="s">
        <v>20285</v>
      </c>
      <c r="I6643" t="s">
        <v>1357</v>
      </c>
      <c r="J6643" t="s">
        <v>1357</v>
      </c>
      <c r="K6643" t="s">
        <v>1357</v>
      </c>
      <c r="L6643" t="s">
        <v>1357</v>
      </c>
    </row>
    <row r="6644" spans="6:12">
      <c r="H6644" t="s">
        <v>20286</v>
      </c>
      <c r="I6644" t="s">
        <v>1357</v>
      </c>
      <c r="J6644" t="s">
        <v>1357</v>
      </c>
      <c r="K6644" t="s">
        <v>1357</v>
      </c>
      <c r="L6644" t="s">
        <v>1357</v>
      </c>
    </row>
    <row r="6645" spans="6:12">
      <c r="H6645" t="s">
        <v>20287</v>
      </c>
      <c r="I6645" t="s">
        <v>1357</v>
      </c>
      <c r="J6645" t="s">
        <v>1357</v>
      </c>
      <c r="K6645" t="s">
        <v>1357</v>
      </c>
      <c r="L6645" t="s">
        <v>1357</v>
      </c>
    </row>
    <row r="6646" spans="6:12">
      <c r="F6646" t="s">
        <v>14816</v>
      </c>
      <c r="G6646" t="s">
        <v>17660</v>
      </c>
      <c r="H6646" t="s">
        <v>20280</v>
      </c>
      <c r="I6646" t="s">
        <v>1357</v>
      </c>
      <c r="J6646" t="s">
        <v>1357</v>
      </c>
      <c r="K6646" t="s">
        <v>1357</v>
      </c>
      <c r="L6646" t="s">
        <v>1357</v>
      </c>
    </row>
    <row r="6647" spans="6:12">
      <c r="H6647" t="s">
        <v>20233</v>
      </c>
      <c r="I6647" t="s">
        <v>1357</v>
      </c>
      <c r="J6647" t="s">
        <v>1357</v>
      </c>
      <c r="K6647" t="s">
        <v>1357</v>
      </c>
      <c r="L6647" t="s">
        <v>1357</v>
      </c>
    </row>
    <row r="6648" spans="6:12">
      <c r="H6648" t="s">
        <v>20230</v>
      </c>
      <c r="I6648" t="s">
        <v>1357</v>
      </c>
      <c r="J6648" t="s">
        <v>1357</v>
      </c>
      <c r="K6648" t="s">
        <v>1357</v>
      </c>
      <c r="L6648" t="s">
        <v>1357</v>
      </c>
    </row>
    <row r="6649" spans="6:12">
      <c r="H6649" t="s">
        <v>20296</v>
      </c>
      <c r="I6649" t="s">
        <v>1357</v>
      </c>
      <c r="J6649" t="s">
        <v>1357</v>
      </c>
      <c r="K6649" t="s">
        <v>1357</v>
      </c>
      <c r="L6649" t="s">
        <v>1357</v>
      </c>
    </row>
    <row r="6650" spans="6:12">
      <c r="H6650" t="s">
        <v>20297</v>
      </c>
      <c r="I6650" t="s">
        <v>1357</v>
      </c>
      <c r="J6650" t="s">
        <v>1357</v>
      </c>
      <c r="K6650" t="s">
        <v>1357</v>
      </c>
      <c r="L6650" t="s">
        <v>1357</v>
      </c>
    </row>
    <row r="6651" spans="6:12">
      <c r="H6651" t="s">
        <v>20234</v>
      </c>
      <c r="I6651" t="s">
        <v>1357</v>
      </c>
      <c r="J6651" t="s">
        <v>1357</v>
      </c>
      <c r="K6651" t="s">
        <v>1357</v>
      </c>
      <c r="L6651" t="s">
        <v>1357</v>
      </c>
    </row>
    <row r="6652" spans="6:12">
      <c r="H6652" t="s">
        <v>20284</v>
      </c>
      <c r="I6652" t="s">
        <v>1357</v>
      </c>
      <c r="J6652" t="s">
        <v>1357</v>
      </c>
      <c r="K6652" t="s">
        <v>1357</v>
      </c>
      <c r="L6652" t="s">
        <v>1357</v>
      </c>
    </row>
    <row r="6653" spans="6:12">
      <c r="H6653" t="s">
        <v>20285</v>
      </c>
      <c r="I6653" t="s">
        <v>1357</v>
      </c>
      <c r="J6653" t="s">
        <v>1357</v>
      </c>
      <c r="K6653" t="s">
        <v>1357</v>
      </c>
      <c r="L6653" t="s">
        <v>1357</v>
      </c>
    </row>
    <row r="6654" spans="6:12">
      <c r="H6654" t="s">
        <v>20286</v>
      </c>
      <c r="I6654" t="s">
        <v>1357</v>
      </c>
      <c r="J6654" t="s">
        <v>1357</v>
      </c>
      <c r="K6654" t="s">
        <v>1357</v>
      </c>
      <c r="L6654" t="s">
        <v>1357</v>
      </c>
    </row>
    <row r="6655" spans="6:12">
      <c r="H6655" t="s">
        <v>20287</v>
      </c>
      <c r="I6655" t="s">
        <v>1357</v>
      </c>
      <c r="J6655" t="s">
        <v>1357</v>
      </c>
      <c r="K6655" t="s">
        <v>1357</v>
      </c>
      <c r="L6655" t="s">
        <v>1357</v>
      </c>
    </row>
    <row r="6656" spans="6:12">
      <c r="H6656" t="s">
        <v>20288</v>
      </c>
      <c r="I6656" t="s">
        <v>1357</v>
      </c>
      <c r="J6656" t="s">
        <v>1357</v>
      </c>
      <c r="K6656" t="s">
        <v>1357</v>
      </c>
      <c r="L6656" t="s">
        <v>1357</v>
      </c>
    </row>
    <row r="6657" spans="6:12">
      <c r="F6657" t="s">
        <v>14817</v>
      </c>
      <c r="G6657" t="s">
        <v>17661</v>
      </c>
      <c r="H6657" t="s">
        <v>20280</v>
      </c>
      <c r="I6657" t="s">
        <v>1357</v>
      </c>
      <c r="J6657" t="s">
        <v>1357</v>
      </c>
      <c r="K6657" t="s">
        <v>1357</v>
      </c>
      <c r="L6657" t="s">
        <v>1357</v>
      </c>
    </row>
    <row r="6658" spans="6:12">
      <c r="H6658" t="s">
        <v>20233</v>
      </c>
      <c r="I6658" t="s">
        <v>1357</v>
      </c>
      <c r="J6658" t="s">
        <v>1357</v>
      </c>
      <c r="K6658" t="s">
        <v>1357</v>
      </c>
      <c r="L6658" t="s">
        <v>1357</v>
      </c>
    </row>
    <row r="6659" spans="6:12">
      <c r="H6659" t="s">
        <v>20230</v>
      </c>
      <c r="I6659" t="s">
        <v>1357</v>
      </c>
      <c r="J6659" t="s">
        <v>1357</v>
      </c>
      <c r="K6659" t="s">
        <v>1357</v>
      </c>
      <c r="L6659" t="s">
        <v>1357</v>
      </c>
    </row>
    <row r="6660" spans="6:12">
      <c r="H6660" t="s">
        <v>20227</v>
      </c>
      <c r="I6660" t="s">
        <v>1357</v>
      </c>
      <c r="J6660" t="s">
        <v>1357</v>
      </c>
      <c r="K6660" t="s">
        <v>1357</v>
      </c>
      <c r="L6660" t="s">
        <v>1357</v>
      </c>
    </row>
    <row r="6661" spans="6:12">
      <c r="H6661" t="s">
        <v>20296</v>
      </c>
      <c r="I6661" t="s">
        <v>1357</v>
      </c>
      <c r="J6661" t="s">
        <v>1357</v>
      </c>
      <c r="K6661" t="s">
        <v>1357</v>
      </c>
      <c r="L6661" t="s">
        <v>1357</v>
      </c>
    </row>
    <row r="6662" spans="6:12">
      <c r="H6662" t="s">
        <v>20297</v>
      </c>
      <c r="I6662" t="s">
        <v>1357</v>
      </c>
      <c r="J6662" t="s">
        <v>1357</v>
      </c>
      <c r="K6662" t="s">
        <v>1357</v>
      </c>
      <c r="L6662" t="s">
        <v>1357</v>
      </c>
    </row>
    <row r="6663" spans="6:12">
      <c r="H6663" t="s">
        <v>20234</v>
      </c>
      <c r="I6663" t="s">
        <v>1357</v>
      </c>
      <c r="J6663" t="s">
        <v>1357</v>
      </c>
      <c r="K6663" t="s">
        <v>1357</v>
      </c>
      <c r="L6663" t="s">
        <v>1357</v>
      </c>
    </row>
    <row r="6664" spans="6:12">
      <c r="H6664" t="s">
        <v>20284</v>
      </c>
      <c r="I6664" t="s">
        <v>1357</v>
      </c>
      <c r="J6664" t="s">
        <v>1357</v>
      </c>
      <c r="K6664" t="s">
        <v>1357</v>
      </c>
      <c r="L6664" t="s">
        <v>1357</v>
      </c>
    </row>
    <row r="6665" spans="6:12">
      <c r="H6665" t="s">
        <v>20285</v>
      </c>
      <c r="I6665" t="s">
        <v>1357</v>
      </c>
      <c r="J6665" t="s">
        <v>1357</v>
      </c>
      <c r="K6665" t="s">
        <v>1357</v>
      </c>
      <c r="L6665" t="s">
        <v>1357</v>
      </c>
    </row>
    <row r="6666" spans="6:12">
      <c r="H6666" t="s">
        <v>20286</v>
      </c>
      <c r="I6666" t="s">
        <v>1357</v>
      </c>
      <c r="J6666" t="s">
        <v>1357</v>
      </c>
      <c r="K6666" t="s">
        <v>1357</v>
      </c>
      <c r="L6666" t="s">
        <v>1357</v>
      </c>
    </row>
    <row r="6667" spans="6:12">
      <c r="H6667" t="s">
        <v>20287</v>
      </c>
      <c r="I6667" t="s">
        <v>1357</v>
      </c>
      <c r="J6667" t="s">
        <v>1357</v>
      </c>
      <c r="K6667" t="s">
        <v>1357</v>
      </c>
      <c r="L6667" t="s">
        <v>1357</v>
      </c>
    </row>
    <row r="6668" spans="6:12">
      <c r="F6668" t="s">
        <v>14818</v>
      </c>
      <c r="G6668" t="s">
        <v>17662</v>
      </c>
      <c r="H6668" t="s">
        <v>20280</v>
      </c>
      <c r="I6668" t="s">
        <v>1357</v>
      </c>
      <c r="J6668" t="s">
        <v>1357</v>
      </c>
      <c r="K6668" t="s">
        <v>1357</v>
      </c>
      <c r="L6668" t="s">
        <v>1357</v>
      </c>
    </row>
    <row r="6669" spans="6:12">
      <c r="H6669" t="s">
        <v>20233</v>
      </c>
      <c r="I6669" t="s">
        <v>1357</v>
      </c>
      <c r="J6669" t="s">
        <v>1357</v>
      </c>
      <c r="K6669" t="s">
        <v>1357</v>
      </c>
      <c r="L6669" t="s">
        <v>1357</v>
      </c>
    </row>
    <row r="6670" spans="6:12">
      <c r="H6670" t="s">
        <v>20230</v>
      </c>
      <c r="I6670" t="s">
        <v>1357</v>
      </c>
      <c r="J6670" t="s">
        <v>1357</v>
      </c>
      <c r="K6670" t="s">
        <v>1357</v>
      </c>
      <c r="L6670" t="s">
        <v>1357</v>
      </c>
    </row>
    <row r="6671" spans="6:12">
      <c r="H6671" t="s">
        <v>20296</v>
      </c>
      <c r="I6671" t="s">
        <v>1357</v>
      </c>
      <c r="J6671" t="s">
        <v>1357</v>
      </c>
      <c r="K6671" t="s">
        <v>1357</v>
      </c>
      <c r="L6671" t="s">
        <v>1357</v>
      </c>
    </row>
    <row r="6672" spans="6:12">
      <c r="H6672" t="s">
        <v>20297</v>
      </c>
      <c r="I6672" t="s">
        <v>1357</v>
      </c>
      <c r="J6672" t="s">
        <v>1357</v>
      </c>
      <c r="K6672" t="s">
        <v>1357</v>
      </c>
      <c r="L6672" t="s">
        <v>1357</v>
      </c>
    </row>
    <row r="6673" spans="6:12">
      <c r="H6673" t="s">
        <v>20234</v>
      </c>
      <c r="I6673" t="s">
        <v>1357</v>
      </c>
      <c r="J6673" t="s">
        <v>1357</v>
      </c>
      <c r="K6673" t="s">
        <v>1357</v>
      </c>
      <c r="L6673" t="s">
        <v>1357</v>
      </c>
    </row>
    <row r="6674" spans="6:12">
      <c r="H6674" t="s">
        <v>20284</v>
      </c>
      <c r="I6674" t="s">
        <v>1357</v>
      </c>
      <c r="J6674" t="s">
        <v>1357</v>
      </c>
      <c r="K6674" t="s">
        <v>1357</v>
      </c>
      <c r="L6674" t="s">
        <v>1357</v>
      </c>
    </row>
    <row r="6675" spans="6:12">
      <c r="H6675" t="s">
        <v>20285</v>
      </c>
      <c r="I6675" t="s">
        <v>1357</v>
      </c>
      <c r="J6675" t="s">
        <v>1357</v>
      </c>
      <c r="K6675" t="s">
        <v>1357</v>
      </c>
      <c r="L6675" t="s">
        <v>1357</v>
      </c>
    </row>
    <row r="6676" spans="6:12">
      <c r="H6676" t="s">
        <v>20286</v>
      </c>
      <c r="I6676" t="s">
        <v>1357</v>
      </c>
      <c r="J6676" t="s">
        <v>1357</v>
      </c>
      <c r="K6676" t="s">
        <v>1357</v>
      </c>
      <c r="L6676" t="s">
        <v>1357</v>
      </c>
    </row>
    <row r="6677" spans="6:12">
      <c r="H6677" t="s">
        <v>20287</v>
      </c>
      <c r="I6677" t="s">
        <v>1357</v>
      </c>
      <c r="J6677" t="s">
        <v>1357</v>
      </c>
      <c r="K6677" t="s">
        <v>1357</v>
      </c>
      <c r="L6677" t="s">
        <v>1357</v>
      </c>
    </row>
    <row r="6678" spans="6:12">
      <c r="H6678" t="s">
        <v>20288</v>
      </c>
      <c r="I6678" t="s">
        <v>1357</v>
      </c>
      <c r="J6678" t="s">
        <v>1357</v>
      </c>
      <c r="K6678" t="s">
        <v>1357</v>
      </c>
      <c r="L6678" t="s">
        <v>1357</v>
      </c>
    </row>
    <row r="6679" spans="6:12">
      <c r="F6679" t="s">
        <v>14819</v>
      </c>
      <c r="G6679" t="s">
        <v>17663</v>
      </c>
      <c r="H6679" t="s">
        <v>20280</v>
      </c>
      <c r="I6679" t="s">
        <v>1357</v>
      </c>
      <c r="J6679" t="s">
        <v>1357</v>
      </c>
      <c r="K6679" t="s">
        <v>1357</v>
      </c>
      <c r="L6679" t="s">
        <v>1357</v>
      </c>
    </row>
    <row r="6680" spans="6:12">
      <c r="H6680" t="s">
        <v>20233</v>
      </c>
      <c r="I6680" t="s">
        <v>1357</v>
      </c>
      <c r="J6680" t="s">
        <v>1357</v>
      </c>
      <c r="K6680" t="s">
        <v>1357</v>
      </c>
      <c r="L6680" t="s">
        <v>1357</v>
      </c>
    </row>
    <row r="6681" spans="6:12">
      <c r="H6681" t="s">
        <v>20230</v>
      </c>
      <c r="I6681" t="s">
        <v>1357</v>
      </c>
      <c r="J6681" t="s">
        <v>1357</v>
      </c>
      <c r="K6681" t="s">
        <v>1357</v>
      </c>
      <c r="L6681" t="s">
        <v>1357</v>
      </c>
    </row>
    <row r="6682" spans="6:12">
      <c r="H6682" t="s">
        <v>20227</v>
      </c>
      <c r="I6682" t="s">
        <v>1357</v>
      </c>
      <c r="J6682" t="s">
        <v>1357</v>
      </c>
      <c r="K6682" t="s">
        <v>1357</v>
      </c>
      <c r="L6682" t="s">
        <v>1357</v>
      </c>
    </row>
    <row r="6683" spans="6:12">
      <c r="H6683" t="s">
        <v>20228</v>
      </c>
      <c r="I6683" t="s">
        <v>1357</v>
      </c>
      <c r="J6683" t="s">
        <v>1357</v>
      </c>
      <c r="K6683" t="s">
        <v>1357</v>
      </c>
      <c r="L6683" t="s">
        <v>1357</v>
      </c>
    </row>
    <row r="6684" spans="6:12">
      <c r="H6684" t="s">
        <v>20232</v>
      </c>
      <c r="I6684" t="s">
        <v>1357</v>
      </c>
      <c r="J6684" t="s">
        <v>1357</v>
      </c>
      <c r="K6684" t="s">
        <v>1357</v>
      </c>
      <c r="L6684" t="s">
        <v>1357</v>
      </c>
    </row>
    <row r="6685" spans="6:12">
      <c r="H6685" t="s">
        <v>20229</v>
      </c>
      <c r="I6685" t="s">
        <v>1357</v>
      </c>
      <c r="J6685" t="s">
        <v>1357</v>
      </c>
      <c r="K6685" t="s">
        <v>1357</v>
      </c>
      <c r="L6685" t="s">
        <v>1357</v>
      </c>
    </row>
    <row r="6686" spans="6:12">
      <c r="H6686" t="s">
        <v>20296</v>
      </c>
      <c r="I6686" t="s">
        <v>1357</v>
      </c>
      <c r="J6686" t="s">
        <v>1357</v>
      </c>
      <c r="K6686" t="s">
        <v>1357</v>
      </c>
      <c r="L6686" t="s">
        <v>1357</v>
      </c>
    </row>
    <row r="6687" spans="6:12">
      <c r="H6687" t="s">
        <v>20297</v>
      </c>
      <c r="I6687" t="s">
        <v>1357</v>
      </c>
      <c r="J6687" t="s">
        <v>1357</v>
      </c>
      <c r="K6687" t="s">
        <v>1357</v>
      </c>
      <c r="L6687" t="s">
        <v>1357</v>
      </c>
    </row>
    <row r="6688" spans="6:12">
      <c r="H6688" t="s">
        <v>20234</v>
      </c>
      <c r="I6688" t="s">
        <v>1357</v>
      </c>
      <c r="J6688" t="s">
        <v>1357</v>
      </c>
      <c r="K6688" t="s">
        <v>1357</v>
      </c>
      <c r="L6688" t="s">
        <v>1357</v>
      </c>
    </row>
    <row r="6689" spans="6:12">
      <c r="H6689" t="s">
        <v>20284</v>
      </c>
      <c r="I6689" t="s">
        <v>1357</v>
      </c>
      <c r="J6689" t="s">
        <v>1357</v>
      </c>
      <c r="K6689" t="s">
        <v>1357</v>
      </c>
      <c r="L6689" t="s">
        <v>1357</v>
      </c>
    </row>
    <row r="6690" spans="6:12">
      <c r="H6690" t="s">
        <v>20285</v>
      </c>
      <c r="I6690" t="s">
        <v>1357</v>
      </c>
      <c r="J6690" t="s">
        <v>1357</v>
      </c>
      <c r="K6690" t="s">
        <v>1357</v>
      </c>
      <c r="L6690" t="s">
        <v>1357</v>
      </c>
    </row>
    <row r="6691" spans="6:12">
      <c r="H6691" t="s">
        <v>20286</v>
      </c>
      <c r="I6691" t="s">
        <v>1357</v>
      </c>
      <c r="J6691" t="s">
        <v>1357</v>
      </c>
      <c r="K6691" t="s">
        <v>1357</v>
      </c>
      <c r="L6691" t="s">
        <v>1357</v>
      </c>
    </row>
    <row r="6692" spans="6:12">
      <c r="H6692" t="s">
        <v>20287</v>
      </c>
      <c r="I6692" t="s">
        <v>1357</v>
      </c>
      <c r="J6692" t="s">
        <v>1357</v>
      </c>
      <c r="K6692" t="s">
        <v>1357</v>
      </c>
      <c r="L6692" t="s">
        <v>1357</v>
      </c>
    </row>
    <row r="6693" spans="6:12">
      <c r="F6693" t="s">
        <v>14820</v>
      </c>
      <c r="G6693" t="s">
        <v>17664</v>
      </c>
      <c r="H6693" t="s">
        <v>20280</v>
      </c>
      <c r="I6693" t="s">
        <v>1357</v>
      </c>
      <c r="J6693" t="s">
        <v>1357</v>
      </c>
      <c r="K6693" t="s">
        <v>1357</v>
      </c>
      <c r="L6693" t="s">
        <v>1357</v>
      </c>
    </row>
    <row r="6694" spans="6:12">
      <c r="H6694" t="s">
        <v>20233</v>
      </c>
      <c r="I6694" t="s">
        <v>1357</v>
      </c>
      <c r="J6694" t="s">
        <v>1357</v>
      </c>
      <c r="K6694" t="s">
        <v>1357</v>
      </c>
      <c r="L6694" t="s">
        <v>1357</v>
      </c>
    </row>
    <row r="6695" spans="6:12">
      <c r="H6695" t="s">
        <v>20230</v>
      </c>
      <c r="I6695" t="s">
        <v>1357</v>
      </c>
      <c r="J6695" t="s">
        <v>1357</v>
      </c>
      <c r="K6695" t="s">
        <v>1357</v>
      </c>
      <c r="L6695" t="s">
        <v>1357</v>
      </c>
    </row>
    <row r="6696" spans="6:12">
      <c r="H6696" t="s">
        <v>20227</v>
      </c>
      <c r="I6696" t="s">
        <v>1357</v>
      </c>
      <c r="J6696" t="s">
        <v>1357</v>
      </c>
      <c r="K6696" t="s">
        <v>1357</v>
      </c>
      <c r="L6696" t="s">
        <v>1357</v>
      </c>
    </row>
    <row r="6697" spans="6:12">
      <c r="H6697" t="s">
        <v>20228</v>
      </c>
      <c r="I6697" t="s">
        <v>1357</v>
      </c>
      <c r="J6697" t="s">
        <v>1357</v>
      </c>
      <c r="K6697" t="s">
        <v>1357</v>
      </c>
      <c r="L6697" t="s">
        <v>1357</v>
      </c>
    </row>
    <row r="6698" spans="6:12">
      <c r="H6698" t="s">
        <v>20232</v>
      </c>
      <c r="I6698" t="s">
        <v>1357</v>
      </c>
      <c r="J6698" t="s">
        <v>1357</v>
      </c>
      <c r="K6698" t="s">
        <v>1357</v>
      </c>
      <c r="L6698" t="s">
        <v>1357</v>
      </c>
    </row>
    <row r="6699" spans="6:12">
      <c r="H6699" t="s">
        <v>20296</v>
      </c>
      <c r="I6699" t="s">
        <v>1357</v>
      </c>
      <c r="J6699" t="s">
        <v>1357</v>
      </c>
      <c r="K6699" t="s">
        <v>1357</v>
      </c>
      <c r="L6699" t="s">
        <v>1357</v>
      </c>
    </row>
    <row r="6700" spans="6:12">
      <c r="H6700" t="s">
        <v>20297</v>
      </c>
      <c r="I6700" t="s">
        <v>1357</v>
      </c>
      <c r="J6700" t="s">
        <v>1357</v>
      </c>
      <c r="K6700" t="s">
        <v>1357</v>
      </c>
      <c r="L6700" t="s">
        <v>1357</v>
      </c>
    </row>
    <row r="6701" spans="6:12">
      <c r="H6701" t="s">
        <v>20234</v>
      </c>
      <c r="I6701" t="s">
        <v>1357</v>
      </c>
      <c r="J6701" t="s">
        <v>1357</v>
      </c>
      <c r="K6701" t="s">
        <v>1357</v>
      </c>
      <c r="L6701" t="s">
        <v>1357</v>
      </c>
    </row>
    <row r="6702" spans="6:12">
      <c r="H6702" t="s">
        <v>20235</v>
      </c>
      <c r="I6702" t="s">
        <v>1357</v>
      </c>
      <c r="J6702" t="s">
        <v>1357</v>
      </c>
      <c r="K6702" t="s">
        <v>1357</v>
      </c>
      <c r="L6702" t="s">
        <v>1357</v>
      </c>
    </row>
    <row r="6703" spans="6:12">
      <c r="H6703" t="s">
        <v>20298</v>
      </c>
      <c r="I6703" t="s">
        <v>1357</v>
      </c>
      <c r="J6703" t="s">
        <v>1357</v>
      </c>
      <c r="K6703" t="s">
        <v>1357</v>
      </c>
      <c r="L6703" t="s">
        <v>1357</v>
      </c>
    </row>
    <row r="6704" spans="6:12">
      <c r="H6704" t="s">
        <v>20299</v>
      </c>
      <c r="I6704" t="s">
        <v>1357</v>
      </c>
      <c r="J6704" t="s">
        <v>1357</v>
      </c>
      <c r="K6704" t="s">
        <v>1357</v>
      </c>
      <c r="L6704" t="s">
        <v>1357</v>
      </c>
    </row>
    <row r="6705" spans="6:12">
      <c r="H6705" t="s">
        <v>20284</v>
      </c>
      <c r="I6705" t="s">
        <v>1357</v>
      </c>
      <c r="J6705" t="s">
        <v>1357</v>
      </c>
      <c r="K6705" t="s">
        <v>1357</v>
      </c>
      <c r="L6705" t="s">
        <v>1357</v>
      </c>
    </row>
    <row r="6706" spans="6:12">
      <c r="H6706" t="s">
        <v>20285</v>
      </c>
      <c r="I6706" t="s">
        <v>1357</v>
      </c>
      <c r="J6706" t="s">
        <v>1357</v>
      </c>
      <c r="K6706" t="s">
        <v>1357</v>
      </c>
      <c r="L6706" t="s">
        <v>1357</v>
      </c>
    </row>
    <row r="6707" spans="6:12">
      <c r="H6707" t="s">
        <v>20286</v>
      </c>
      <c r="I6707" t="s">
        <v>1357</v>
      </c>
      <c r="J6707" t="s">
        <v>1357</v>
      </c>
      <c r="K6707" t="s">
        <v>1357</v>
      </c>
      <c r="L6707" t="s">
        <v>1357</v>
      </c>
    </row>
    <row r="6708" spans="6:12">
      <c r="H6708" t="s">
        <v>20287</v>
      </c>
      <c r="I6708" t="s">
        <v>1357</v>
      </c>
      <c r="J6708" t="s">
        <v>1357</v>
      </c>
      <c r="K6708" t="s">
        <v>1357</v>
      </c>
      <c r="L6708" t="s">
        <v>1357</v>
      </c>
    </row>
    <row r="6709" spans="6:12">
      <c r="F6709" t="s">
        <v>14821</v>
      </c>
      <c r="G6709" t="s">
        <v>17665</v>
      </c>
      <c r="H6709" t="s">
        <v>20280</v>
      </c>
      <c r="I6709" t="s">
        <v>1357</v>
      </c>
      <c r="J6709" t="s">
        <v>1357</v>
      </c>
      <c r="K6709" t="s">
        <v>1357</v>
      </c>
      <c r="L6709" t="s">
        <v>1357</v>
      </c>
    </row>
    <row r="6710" spans="6:12">
      <c r="H6710" t="s">
        <v>20233</v>
      </c>
      <c r="I6710" t="s">
        <v>1357</v>
      </c>
      <c r="J6710" t="s">
        <v>1357</v>
      </c>
      <c r="K6710" t="s">
        <v>1357</v>
      </c>
      <c r="L6710" t="s">
        <v>1357</v>
      </c>
    </row>
    <row r="6711" spans="6:12">
      <c r="H6711" t="s">
        <v>20281</v>
      </c>
      <c r="I6711" t="s">
        <v>1357</v>
      </c>
      <c r="J6711" t="s">
        <v>1357</v>
      </c>
      <c r="K6711" t="s">
        <v>1357</v>
      </c>
      <c r="L6711" t="s">
        <v>1357</v>
      </c>
    </row>
    <row r="6712" spans="6:12">
      <c r="H6712" t="s">
        <v>20282</v>
      </c>
      <c r="I6712" t="s">
        <v>1357</v>
      </c>
      <c r="J6712" t="s">
        <v>1357</v>
      </c>
      <c r="K6712" t="s">
        <v>1357</v>
      </c>
      <c r="L6712" t="s">
        <v>1357</v>
      </c>
    </row>
    <row r="6713" spans="6:12">
      <c r="H6713" t="s">
        <v>20283</v>
      </c>
      <c r="I6713" t="s">
        <v>1357</v>
      </c>
      <c r="J6713" t="s">
        <v>1357</v>
      </c>
      <c r="K6713" t="s">
        <v>1357</v>
      </c>
      <c r="L6713" t="s">
        <v>1357</v>
      </c>
    </row>
    <row r="6714" spans="6:12">
      <c r="H6714" t="s">
        <v>20284</v>
      </c>
      <c r="I6714" t="s">
        <v>1357</v>
      </c>
      <c r="J6714" t="s">
        <v>1357</v>
      </c>
      <c r="K6714" t="s">
        <v>1357</v>
      </c>
      <c r="L6714" t="s">
        <v>1357</v>
      </c>
    </row>
    <row r="6715" spans="6:12">
      <c r="H6715" t="s">
        <v>20285</v>
      </c>
      <c r="I6715" t="s">
        <v>1357</v>
      </c>
      <c r="J6715" t="s">
        <v>1357</v>
      </c>
      <c r="K6715" t="s">
        <v>1357</v>
      </c>
      <c r="L6715" t="s">
        <v>1357</v>
      </c>
    </row>
    <row r="6716" spans="6:12">
      <c r="H6716" t="s">
        <v>20286</v>
      </c>
      <c r="I6716" t="s">
        <v>1357</v>
      </c>
      <c r="J6716" t="s">
        <v>1357</v>
      </c>
      <c r="K6716" t="s">
        <v>1357</v>
      </c>
      <c r="L6716" t="s">
        <v>1357</v>
      </c>
    </row>
    <row r="6717" spans="6:12">
      <c r="H6717" t="s">
        <v>20287</v>
      </c>
      <c r="I6717" t="s">
        <v>1357</v>
      </c>
      <c r="J6717" t="s">
        <v>1357</v>
      </c>
      <c r="K6717" t="s">
        <v>1357</v>
      </c>
      <c r="L6717" t="s">
        <v>1357</v>
      </c>
    </row>
    <row r="6718" spans="6:12">
      <c r="H6718" t="s">
        <v>20288</v>
      </c>
      <c r="I6718" t="s">
        <v>1357</v>
      </c>
      <c r="J6718" t="s">
        <v>1357</v>
      </c>
      <c r="K6718" t="s">
        <v>1357</v>
      </c>
      <c r="L6718" t="s">
        <v>1357</v>
      </c>
    </row>
    <row r="6719" spans="6:12">
      <c r="H6719" t="s">
        <v>20289</v>
      </c>
      <c r="I6719" t="s">
        <v>1357</v>
      </c>
      <c r="J6719" t="s">
        <v>1357</v>
      </c>
      <c r="K6719" t="s">
        <v>1357</v>
      </c>
      <c r="L6719" t="s">
        <v>1357</v>
      </c>
    </row>
    <row r="6720" spans="6:12">
      <c r="H6720" t="s">
        <v>20290</v>
      </c>
      <c r="I6720" t="s">
        <v>1357</v>
      </c>
      <c r="J6720" t="s">
        <v>1357</v>
      </c>
      <c r="K6720" t="s">
        <v>1357</v>
      </c>
      <c r="L6720" t="s">
        <v>1357</v>
      </c>
    </row>
    <row r="6721" spans="6:12">
      <c r="H6721" t="s">
        <v>20291</v>
      </c>
      <c r="I6721" t="s">
        <v>1357</v>
      </c>
      <c r="J6721" t="s">
        <v>1357</v>
      </c>
      <c r="K6721" t="s">
        <v>1357</v>
      </c>
      <c r="L6721" t="s">
        <v>1357</v>
      </c>
    </row>
    <row r="6722" spans="6:12">
      <c r="F6722" t="s">
        <v>14822</v>
      </c>
      <c r="G6722" t="s">
        <v>17666</v>
      </c>
      <c r="H6722" t="s">
        <v>20280</v>
      </c>
      <c r="I6722" t="s">
        <v>1357</v>
      </c>
      <c r="J6722" t="s">
        <v>1357</v>
      </c>
      <c r="K6722" t="s">
        <v>1357</v>
      </c>
      <c r="L6722" t="s">
        <v>1357</v>
      </c>
    </row>
    <row r="6723" spans="6:12">
      <c r="H6723" t="s">
        <v>20233</v>
      </c>
      <c r="I6723" t="s">
        <v>1357</v>
      </c>
      <c r="J6723" t="s">
        <v>1357</v>
      </c>
      <c r="K6723" t="s">
        <v>1357</v>
      </c>
      <c r="L6723" t="s">
        <v>1357</v>
      </c>
    </row>
    <row r="6724" spans="6:12">
      <c r="H6724" t="s">
        <v>20230</v>
      </c>
      <c r="I6724" t="s">
        <v>1357</v>
      </c>
      <c r="J6724" t="s">
        <v>1357</v>
      </c>
      <c r="K6724" t="s">
        <v>1357</v>
      </c>
      <c r="L6724" t="s">
        <v>1357</v>
      </c>
    </row>
    <row r="6725" spans="6:12">
      <c r="H6725" t="s">
        <v>20296</v>
      </c>
      <c r="I6725" t="s">
        <v>1357</v>
      </c>
      <c r="J6725" t="s">
        <v>1357</v>
      </c>
      <c r="K6725" t="s">
        <v>1357</v>
      </c>
      <c r="L6725" t="s">
        <v>1357</v>
      </c>
    </row>
    <row r="6726" spans="6:12">
      <c r="H6726" t="s">
        <v>20297</v>
      </c>
      <c r="I6726" t="s">
        <v>1357</v>
      </c>
      <c r="J6726" t="s">
        <v>1357</v>
      </c>
      <c r="K6726" t="s">
        <v>1357</v>
      </c>
      <c r="L6726" t="s">
        <v>1357</v>
      </c>
    </row>
    <row r="6727" spans="6:12">
      <c r="H6727" t="s">
        <v>20284</v>
      </c>
      <c r="I6727" t="s">
        <v>1357</v>
      </c>
      <c r="J6727" t="s">
        <v>1357</v>
      </c>
      <c r="K6727" t="s">
        <v>1357</v>
      </c>
      <c r="L6727" t="s">
        <v>1357</v>
      </c>
    </row>
    <row r="6728" spans="6:12">
      <c r="H6728" t="s">
        <v>20285</v>
      </c>
      <c r="I6728" t="s">
        <v>1357</v>
      </c>
      <c r="J6728" t="s">
        <v>1357</v>
      </c>
      <c r="K6728" t="s">
        <v>1357</v>
      </c>
      <c r="L6728" t="s">
        <v>1357</v>
      </c>
    </row>
    <row r="6729" spans="6:12">
      <c r="H6729" t="s">
        <v>20286</v>
      </c>
      <c r="I6729" t="s">
        <v>1357</v>
      </c>
      <c r="J6729" t="s">
        <v>1357</v>
      </c>
      <c r="K6729" t="s">
        <v>1357</v>
      </c>
      <c r="L6729" t="s">
        <v>1357</v>
      </c>
    </row>
    <row r="6730" spans="6:12">
      <c r="H6730" t="s">
        <v>20287</v>
      </c>
      <c r="I6730" t="s">
        <v>1357</v>
      </c>
      <c r="J6730" t="s">
        <v>1357</v>
      </c>
      <c r="K6730" t="s">
        <v>1357</v>
      </c>
      <c r="L6730" t="s">
        <v>1357</v>
      </c>
    </row>
    <row r="6731" spans="6:12">
      <c r="F6731" t="s">
        <v>14823</v>
      </c>
      <c r="G6731" t="s">
        <v>17667</v>
      </c>
      <c r="H6731" t="s">
        <v>20280</v>
      </c>
      <c r="I6731" t="s">
        <v>1357</v>
      </c>
      <c r="J6731" t="s">
        <v>1357</v>
      </c>
      <c r="K6731" t="s">
        <v>1357</v>
      </c>
      <c r="L6731" t="s">
        <v>1357</v>
      </c>
    </row>
    <row r="6732" spans="6:12">
      <c r="H6732" t="s">
        <v>20233</v>
      </c>
      <c r="I6732" t="s">
        <v>1357</v>
      </c>
      <c r="J6732" t="s">
        <v>1357</v>
      </c>
      <c r="K6732" t="s">
        <v>1357</v>
      </c>
      <c r="L6732" t="s">
        <v>1357</v>
      </c>
    </row>
    <row r="6733" spans="6:12">
      <c r="H6733" t="s">
        <v>20281</v>
      </c>
      <c r="I6733" t="s">
        <v>1357</v>
      </c>
      <c r="J6733" t="s">
        <v>1357</v>
      </c>
      <c r="K6733" t="s">
        <v>1357</v>
      </c>
      <c r="L6733" t="s">
        <v>1357</v>
      </c>
    </row>
    <row r="6734" spans="6:12">
      <c r="H6734" t="s">
        <v>20282</v>
      </c>
      <c r="I6734" t="s">
        <v>1357</v>
      </c>
      <c r="J6734" t="s">
        <v>1357</v>
      </c>
      <c r="K6734" t="s">
        <v>1357</v>
      </c>
      <c r="L6734" t="s">
        <v>1357</v>
      </c>
    </row>
    <row r="6735" spans="6:12">
      <c r="H6735" t="s">
        <v>20283</v>
      </c>
      <c r="I6735" t="s">
        <v>1357</v>
      </c>
      <c r="J6735" t="s">
        <v>1357</v>
      </c>
      <c r="K6735" t="s">
        <v>1357</v>
      </c>
      <c r="L6735" t="s">
        <v>1357</v>
      </c>
    </row>
    <row r="6736" spans="6:12">
      <c r="H6736" t="s">
        <v>20284</v>
      </c>
      <c r="I6736" t="s">
        <v>1357</v>
      </c>
      <c r="J6736" t="s">
        <v>1357</v>
      </c>
      <c r="K6736" t="s">
        <v>1357</v>
      </c>
      <c r="L6736" t="s">
        <v>1357</v>
      </c>
    </row>
    <row r="6737" spans="6:12">
      <c r="H6737" t="s">
        <v>20285</v>
      </c>
      <c r="I6737" t="s">
        <v>1357</v>
      </c>
      <c r="J6737" t="s">
        <v>1357</v>
      </c>
      <c r="K6737" t="s">
        <v>1357</v>
      </c>
      <c r="L6737" t="s">
        <v>1357</v>
      </c>
    </row>
    <row r="6738" spans="6:12">
      <c r="H6738" t="s">
        <v>20286</v>
      </c>
      <c r="I6738" t="s">
        <v>1357</v>
      </c>
      <c r="J6738" t="s">
        <v>1357</v>
      </c>
      <c r="K6738" t="s">
        <v>1357</v>
      </c>
      <c r="L6738" t="s">
        <v>1357</v>
      </c>
    </row>
    <row r="6739" spans="6:12">
      <c r="H6739" t="s">
        <v>20287</v>
      </c>
      <c r="I6739" t="s">
        <v>1357</v>
      </c>
      <c r="J6739" t="s">
        <v>1357</v>
      </c>
      <c r="K6739" t="s">
        <v>1357</v>
      </c>
      <c r="L6739" t="s">
        <v>1357</v>
      </c>
    </row>
    <row r="6740" spans="6:12">
      <c r="H6740" t="s">
        <v>20288</v>
      </c>
      <c r="I6740" t="s">
        <v>1357</v>
      </c>
      <c r="J6740" t="s">
        <v>1357</v>
      </c>
      <c r="K6740" t="s">
        <v>1357</v>
      </c>
      <c r="L6740" t="s">
        <v>1357</v>
      </c>
    </row>
    <row r="6741" spans="6:12">
      <c r="H6741" t="s">
        <v>20289</v>
      </c>
      <c r="I6741" t="s">
        <v>1357</v>
      </c>
      <c r="J6741" t="s">
        <v>1357</v>
      </c>
      <c r="K6741" t="s">
        <v>1357</v>
      </c>
      <c r="L6741" t="s">
        <v>1357</v>
      </c>
    </row>
    <row r="6742" spans="6:12">
      <c r="H6742" t="s">
        <v>20290</v>
      </c>
      <c r="I6742" t="s">
        <v>1357</v>
      </c>
      <c r="J6742" t="s">
        <v>1357</v>
      </c>
      <c r="K6742" t="s">
        <v>1357</v>
      </c>
      <c r="L6742" t="s">
        <v>1357</v>
      </c>
    </row>
    <row r="6743" spans="6:12">
      <c r="H6743" t="s">
        <v>20291</v>
      </c>
      <c r="I6743" t="s">
        <v>1357</v>
      </c>
      <c r="J6743" t="s">
        <v>1357</v>
      </c>
      <c r="K6743" t="s">
        <v>1357</v>
      </c>
      <c r="L6743" t="s">
        <v>1357</v>
      </c>
    </row>
    <row r="6744" spans="6:12">
      <c r="F6744" t="s">
        <v>14824</v>
      </c>
      <c r="G6744" t="s">
        <v>17668</v>
      </c>
      <c r="H6744" t="s">
        <v>20280</v>
      </c>
      <c r="I6744" t="s">
        <v>1357</v>
      </c>
      <c r="J6744" t="s">
        <v>1357</v>
      </c>
      <c r="K6744" t="s">
        <v>1357</v>
      </c>
      <c r="L6744" t="s">
        <v>1357</v>
      </c>
    </row>
    <row r="6745" spans="6:12">
      <c r="H6745" t="s">
        <v>20284</v>
      </c>
      <c r="I6745" t="s">
        <v>1357</v>
      </c>
      <c r="J6745" t="s">
        <v>1357</v>
      </c>
      <c r="K6745" t="s">
        <v>1357</v>
      </c>
      <c r="L6745" t="s">
        <v>1357</v>
      </c>
    </row>
    <row r="6746" spans="6:12">
      <c r="F6746" t="s">
        <v>14825</v>
      </c>
      <c r="G6746" t="s">
        <v>17669</v>
      </c>
      <c r="H6746" t="s">
        <v>20280</v>
      </c>
      <c r="I6746" t="s">
        <v>1357</v>
      </c>
      <c r="J6746" t="s">
        <v>1357</v>
      </c>
      <c r="K6746" t="s">
        <v>1357</v>
      </c>
      <c r="L6746" t="s">
        <v>1357</v>
      </c>
    </row>
    <row r="6747" spans="6:12">
      <c r="H6747" t="s">
        <v>20284</v>
      </c>
      <c r="I6747" t="s">
        <v>1357</v>
      </c>
      <c r="J6747" t="s">
        <v>1357</v>
      </c>
      <c r="K6747" t="s">
        <v>1357</v>
      </c>
      <c r="L6747" t="s">
        <v>1357</v>
      </c>
    </row>
    <row r="6748" spans="6:12">
      <c r="F6748" t="s">
        <v>14826</v>
      </c>
      <c r="G6748" t="s">
        <v>17670</v>
      </c>
      <c r="H6748" t="s">
        <v>20280</v>
      </c>
      <c r="I6748" t="s">
        <v>1357</v>
      </c>
      <c r="J6748" t="s">
        <v>1357</v>
      </c>
      <c r="K6748" t="s">
        <v>1357</v>
      </c>
      <c r="L6748" t="s">
        <v>1357</v>
      </c>
    </row>
    <row r="6749" spans="6:12">
      <c r="H6749" t="s">
        <v>20284</v>
      </c>
      <c r="I6749" t="s">
        <v>1357</v>
      </c>
      <c r="J6749" t="s">
        <v>1357</v>
      </c>
      <c r="K6749" t="s">
        <v>1357</v>
      </c>
      <c r="L6749" t="s">
        <v>1357</v>
      </c>
    </row>
    <row r="6750" spans="6:12">
      <c r="F6750" t="s">
        <v>14827</v>
      </c>
      <c r="G6750" t="s">
        <v>17671</v>
      </c>
      <c r="H6750" t="s">
        <v>20280</v>
      </c>
      <c r="I6750" t="s">
        <v>1357</v>
      </c>
      <c r="J6750" t="s">
        <v>1357</v>
      </c>
      <c r="K6750" t="s">
        <v>1357</v>
      </c>
      <c r="L6750" t="s">
        <v>1357</v>
      </c>
    </row>
    <row r="6751" spans="6:12">
      <c r="H6751" t="s">
        <v>20284</v>
      </c>
      <c r="I6751" t="s">
        <v>1357</v>
      </c>
      <c r="J6751" t="s">
        <v>1357</v>
      </c>
      <c r="K6751" t="s">
        <v>1357</v>
      </c>
      <c r="L6751" t="s">
        <v>1357</v>
      </c>
    </row>
    <row r="6752" spans="6:12">
      <c r="F6752" t="s">
        <v>14828</v>
      </c>
      <c r="G6752" t="s">
        <v>17672</v>
      </c>
      <c r="H6752" t="s">
        <v>20280</v>
      </c>
      <c r="I6752" t="s">
        <v>1357</v>
      </c>
      <c r="J6752" t="s">
        <v>1357</v>
      </c>
      <c r="K6752" t="s">
        <v>1357</v>
      </c>
      <c r="L6752" t="s">
        <v>1357</v>
      </c>
    </row>
    <row r="6753" spans="6:12">
      <c r="H6753" t="s">
        <v>20284</v>
      </c>
      <c r="I6753" t="s">
        <v>1357</v>
      </c>
      <c r="J6753" t="s">
        <v>1357</v>
      </c>
      <c r="K6753" t="s">
        <v>1357</v>
      </c>
      <c r="L6753" t="s">
        <v>1357</v>
      </c>
    </row>
    <row r="6754" spans="6:12">
      <c r="F6754" t="s">
        <v>14829</v>
      </c>
      <c r="G6754" t="s">
        <v>17673</v>
      </c>
      <c r="H6754" t="s">
        <v>20280</v>
      </c>
      <c r="I6754" t="s">
        <v>1357</v>
      </c>
      <c r="J6754" t="s">
        <v>1357</v>
      </c>
      <c r="K6754" t="s">
        <v>1357</v>
      </c>
      <c r="L6754" t="s">
        <v>1357</v>
      </c>
    </row>
    <row r="6755" spans="6:12">
      <c r="H6755" t="s">
        <v>20284</v>
      </c>
      <c r="I6755" t="s">
        <v>1357</v>
      </c>
      <c r="J6755" t="s">
        <v>1357</v>
      </c>
      <c r="K6755" t="s">
        <v>1357</v>
      </c>
      <c r="L6755" t="s">
        <v>1357</v>
      </c>
    </row>
    <row r="6756" spans="6:12">
      <c r="F6756" t="s">
        <v>14830</v>
      </c>
      <c r="G6756" t="s">
        <v>17674</v>
      </c>
      <c r="H6756" t="s">
        <v>20280</v>
      </c>
      <c r="I6756" t="s">
        <v>1357</v>
      </c>
      <c r="J6756" t="s">
        <v>1357</v>
      </c>
      <c r="K6756" t="s">
        <v>1357</v>
      </c>
      <c r="L6756" t="s">
        <v>1357</v>
      </c>
    </row>
    <row r="6757" spans="6:12">
      <c r="H6757" t="s">
        <v>20284</v>
      </c>
      <c r="I6757" t="s">
        <v>1357</v>
      </c>
      <c r="J6757" t="s">
        <v>1357</v>
      </c>
      <c r="K6757" t="s">
        <v>1357</v>
      </c>
      <c r="L6757" t="s">
        <v>1357</v>
      </c>
    </row>
    <row r="6758" spans="6:12">
      <c r="F6758" t="s">
        <v>14831</v>
      </c>
      <c r="G6758" t="s">
        <v>17675</v>
      </c>
      <c r="H6758" t="s">
        <v>20280</v>
      </c>
      <c r="I6758" t="s">
        <v>1357</v>
      </c>
      <c r="J6758" t="s">
        <v>1357</v>
      </c>
      <c r="K6758" t="s">
        <v>1357</v>
      </c>
      <c r="L6758" t="s">
        <v>1357</v>
      </c>
    </row>
    <row r="6759" spans="6:12">
      <c r="H6759" t="s">
        <v>20233</v>
      </c>
      <c r="I6759" t="s">
        <v>1357</v>
      </c>
      <c r="J6759" t="s">
        <v>1357</v>
      </c>
      <c r="K6759" t="s">
        <v>1357</v>
      </c>
      <c r="L6759" t="s">
        <v>1357</v>
      </c>
    </row>
    <row r="6760" spans="6:12">
      <c r="H6760" t="s">
        <v>20230</v>
      </c>
      <c r="I6760" t="s">
        <v>1357</v>
      </c>
      <c r="J6760" t="s">
        <v>1357</v>
      </c>
      <c r="K6760" t="s">
        <v>1357</v>
      </c>
      <c r="L6760" t="s">
        <v>1357</v>
      </c>
    </row>
    <row r="6761" spans="6:12">
      <c r="H6761" t="s">
        <v>20227</v>
      </c>
      <c r="I6761" t="s">
        <v>1357</v>
      </c>
      <c r="J6761" t="s">
        <v>1357</v>
      </c>
      <c r="K6761" t="s">
        <v>1357</v>
      </c>
      <c r="L6761" t="s">
        <v>1357</v>
      </c>
    </row>
    <row r="6762" spans="6:12">
      <c r="H6762" t="s">
        <v>20228</v>
      </c>
      <c r="I6762" t="s">
        <v>1357</v>
      </c>
      <c r="J6762" t="s">
        <v>1357</v>
      </c>
      <c r="K6762" t="s">
        <v>1357</v>
      </c>
      <c r="L6762" t="s">
        <v>1357</v>
      </c>
    </row>
    <row r="6763" spans="6:12">
      <c r="H6763" t="s">
        <v>20232</v>
      </c>
      <c r="I6763" t="s">
        <v>1357</v>
      </c>
      <c r="J6763" t="s">
        <v>1357</v>
      </c>
      <c r="K6763" t="s">
        <v>1357</v>
      </c>
      <c r="L6763" t="s">
        <v>1357</v>
      </c>
    </row>
    <row r="6764" spans="6:12">
      <c r="H6764" t="s">
        <v>20296</v>
      </c>
      <c r="I6764" t="s">
        <v>1357</v>
      </c>
      <c r="J6764" t="s">
        <v>1357</v>
      </c>
      <c r="K6764" t="s">
        <v>1357</v>
      </c>
      <c r="L6764" t="s">
        <v>1357</v>
      </c>
    </row>
    <row r="6765" spans="6:12">
      <c r="H6765" t="s">
        <v>20297</v>
      </c>
      <c r="I6765" t="s">
        <v>1357</v>
      </c>
      <c r="J6765" t="s">
        <v>1357</v>
      </c>
      <c r="K6765" t="s">
        <v>1357</v>
      </c>
      <c r="L6765" t="s">
        <v>1357</v>
      </c>
    </row>
    <row r="6766" spans="6:12">
      <c r="H6766" t="s">
        <v>20234</v>
      </c>
      <c r="I6766" t="s">
        <v>1357</v>
      </c>
      <c r="J6766" t="s">
        <v>1357</v>
      </c>
      <c r="K6766" t="s">
        <v>1357</v>
      </c>
      <c r="L6766" t="s">
        <v>1357</v>
      </c>
    </row>
    <row r="6767" spans="6:12">
      <c r="H6767" t="s">
        <v>20235</v>
      </c>
      <c r="I6767" t="s">
        <v>1357</v>
      </c>
      <c r="J6767" t="s">
        <v>1357</v>
      </c>
      <c r="K6767" t="s">
        <v>1357</v>
      </c>
      <c r="L6767" t="s">
        <v>1357</v>
      </c>
    </row>
    <row r="6768" spans="6:12">
      <c r="H6768" t="s">
        <v>20298</v>
      </c>
      <c r="I6768" t="s">
        <v>1357</v>
      </c>
      <c r="J6768" t="s">
        <v>1357</v>
      </c>
      <c r="K6768" t="s">
        <v>1357</v>
      </c>
      <c r="L6768" t="s">
        <v>1357</v>
      </c>
    </row>
    <row r="6769" spans="6:12">
      <c r="H6769" t="s">
        <v>20299</v>
      </c>
      <c r="I6769" t="s">
        <v>1357</v>
      </c>
      <c r="J6769" t="s">
        <v>1357</v>
      </c>
      <c r="K6769" t="s">
        <v>1357</v>
      </c>
      <c r="L6769" t="s">
        <v>1357</v>
      </c>
    </row>
    <row r="6770" spans="6:12">
      <c r="H6770" t="s">
        <v>20281</v>
      </c>
      <c r="I6770" t="s">
        <v>1357</v>
      </c>
      <c r="J6770" t="s">
        <v>1357</v>
      </c>
      <c r="K6770" t="s">
        <v>1357</v>
      </c>
      <c r="L6770" t="s">
        <v>1357</v>
      </c>
    </row>
    <row r="6771" spans="6:12">
      <c r="H6771" t="s">
        <v>20284</v>
      </c>
      <c r="I6771" t="s">
        <v>1357</v>
      </c>
      <c r="J6771" t="s">
        <v>1357</v>
      </c>
      <c r="K6771" t="s">
        <v>1357</v>
      </c>
      <c r="L6771" t="s">
        <v>1357</v>
      </c>
    </row>
    <row r="6772" spans="6:12">
      <c r="H6772" t="s">
        <v>20285</v>
      </c>
      <c r="I6772" t="s">
        <v>1357</v>
      </c>
      <c r="J6772" t="s">
        <v>1357</v>
      </c>
      <c r="K6772" t="s">
        <v>1357</v>
      </c>
      <c r="L6772" t="s">
        <v>1357</v>
      </c>
    </row>
    <row r="6773" spans="6:12">
      <c r="H6773" t="s">
        <v>20286</v>
      </c>
      <c r="I6773" t="s">
        <v>1357</v>
      </c>
      <c r="J6773" t="s">
        <v>1357</v>
      </c>
      <c r="K6773" t="s">
        <v>1357</v>
      </c>
      <c r="L6773" t="s">
        <v>1357</v>
      </c>
    </row>
    <row r="6774" spans="6:12">
      <c r="H6774" t="s">
        <v>20287</v>
      </c>
      <c r="I6774" t="s">
        <v>1357</v>
      </c>
      <c r="J6774" t="s">
        <v>1357</v>
      </c>
      <c r="K6774" t="s">
        <v>1357</v>
      </c>
      <c r="L6774" t="s">
        <v>1357</v>
      </c>
    </row>
    <row r="6775" spans="6:12">
      <c r="F6775" t="s">
        <v>14832</v>
      </c>
      <c r="G6775" t="s">
        <v>17676</v>
      </c>
      <c r="H6775" t="s">
        <v>20280</v>
      </c>
      <c r="I6775" t="s">
        <v>1357</v>
      </c>
      <c r="J6775" t="s">
        <v>1357</v>
      </c>
      <c r="K6775" t="s">
        <v>1357</v>
      </c>
      <c r="L6775" t="s">
        <v>1357</v>
      </c>
    </row>
    <row r="6776" spans="6:12">
      <c r="H6776" t="s">
        <v>20233</v>
      </c>
      <c r="I6776" t="s">
        <v>1357</v>
      </c>
      <c r="J6776" t="s">
        <v>1357</v>
      </c>
      <c r="K6776" t="s">
        <v>1357</v>
      </c>
      <c r="L6776" t="s">
        <v>1357</v>
      </c>
    </row>
    <row r="6777" spans="6:12">
      <c r="H6777" t="s">
        <v>20296</v>
      </c>
      <c r="I6777" t="s">
        <v>1357</v>
      </c>
      <c r="J6777" t="s">
        <v>1357</v>
      </c>
      <c r="K6777" t="s">
        <v>1357</v>
      </c>
      <c r="L6777" t="s">
        <v>1357</v>
      </c>
    </row>
    <row r="6778" spans="6:12">
      <c r="H6778" t="s">
        <v>20284</v>
      </c>
      <c r="I6778" t="s">
        <v>1357</v>
      </c>
      <c r="J6778" t="s">
        <v>1357</v>
      </c>
      <c r="K6778" t="s">
        <v>1357</v>
      </c>
      <c r="L6778" t="s">
        <v>1357</v>
      </c>
    </row>
    <row r="6779" spans="6:12">
      <c r="H6779" t="s">
        <v>20285</v>
      </c>
      <c r="I6779" t="s">
        <v>1357</v>
      </c>
      <c r="J6779" t="s">
        <v>1357</v>
      </c>
      <c r="K6779" t="s">
        <v>1357</v>
      </c>
      <c r="L6779" t="s">
        <v>1357</v>
      </c>
    </row>
    <row r="6780" spans="6:12">
      <c r="H6780" t="s">
        <v>20286</v>
      </c>
      <c r="I6780" t="s">
        <v>1357</v>
      </c>
      <c r="J6780" t="s">
        <v>1357</v>
      </c>
      <c r="K6780" t="s">
        <v>1357</v>
      </c>
      <c r="L6780" t="s">
        <v>1357</v>
      </c>
    </row>
    <row r="6781" spans="6:12">
      <c r="H6781" t="s">
        <v>20287</v>
      </c>
      <c r="I6781" t="s">
        <v>1357</v>
      </c>
      <c r="J6781" t="s">
        <v>1357</v>
      </c>
      <c r="K6781" t="s">
        <v>1357</v>
      </c>
      <c r="L6781" t="s">
        <v>1357</v>
      </c>
    </row>
    <row r="6782" spans="6:12">
      <c r="H6782" t="s">
        <v>20288</v>
      </c>
      <c r="I6782" t="s">
        <v>1357</v>
      </c>
      <c r="J6782" t="s">
        <v>1357</v>
      </c>
      <c r="K6782" t="s">
        <v>1357</v>
      </c>
      <c r="L6782" t="s">
        <v>1357</v>
      </c>
    </row>
    <row r="6783" spans="6:12">
      <c r="F6783" t="s">
        <v>14833</v>
      </c>
      <c r="G6783" t="s">
        <v>17677</v>
      </c>
      <c r="H6783" t="s">
        <v>20280</v>
      </c>
      <c r="I6783" t="s">
        <v>1357</v>
      </c>
      <c r="J6783" t="s">
        <v>1357</v>
      </c>
      <c r="K6783" t="s">
        <v>1357</v>
      </c>
      <c r="L6783" t="s">
        <v>1357</v>
      </c>
    </row>
    <row r="6784" spans="6:12">
      <c r="H6784" t="s">
        <v>20233</v>
      </c>
      <c r="I6784" t="s">
        <v>1357</v>
      </c>
      <c r="J6784" t="s">
        <v>1357</v>
      </c>
      <c r="K6784" t="s">
        <v>1357</v>
      </c>
      <c r="L6784" t="s">
        <v>1357</v>
      </c>
    </row>
    <row r="6785" spans="6:12">
      <c r="H6785" t="s">
        <v>20296</v>
      </c>
      <c r="I6785" t="s">
        <v>1357</v>
      </c>
      <c r="J6785" t="s">
        <v>1357</v>
      </c>
      <c r="K6785" t="s">
        <v>1357</v>
      </c>
      <c r="L6785" t="s">
        <v>1357</v>
      </c>
    </row>
    <row r="6786" spans="6:12">
      <c r="H6786" t="s">
        <v>20284</v>
      </c>
      <c r="I6786" t="s">
        <v>1357</v>
      </c>
      <c r="J6786" t="s">
        <v>1357</v>
      </c>
      <c r="K6786" t="s">
        <v>1357</v>
      </c>
      <c r="L6786" t="s">
        <v>1357</v>
      </c>
    </row>
    <row r="6787" spans="6:12">
      <c r="H6787" t="s">
        <v>20285</v>
      </c>
      <c r="I6787" t="s">
        <v>1357</v>
      </c>
      <c r="J6787" t="s">
        <v>1357</v>
      </c>
      <c r="K6787" t="s">
        <v>1357</v>
      </c>
      <c r="L6787" t="s">
        <v>1357</v>
      </c>
    </row>
    <row r="6788" spans="6:12">
      <c r="H6788" t="s">
        <v>20286</v>
      </c>
      <c r="I6788" t="s">
        <v>1357</v>
      </c>
      <c r="J6788" t="s">
        <v>1357</v>
      </c>
      <c r="K6788" t="s">
        <v>1357</v>
      </c>
      <c r="L6788" t="s">
        <v>1357</v>
      </c>
    </row>
    <row r="6789" spans="6:12">
      <c r="H6789" t="s">
        <v>20287</v>
      </c>
      <c r="I6789" t="s">
        <v>1357</v>
      </c>
      <c r="J6789" t="s">
        <v>1357</v>
      </c>
      <c r="K6789" t="s">
        <v>1357</v>
      </c>
      <c r="L6789" t="s">
        <v>1357</v>
      </c>
    </row>
    <row r="6790" spans="6:12">
      <c r="H6790" t="s">
        <v>20288</v>
      </c>
      <c r="I6790" t="s">
        <v>1357</v>
      </c>
      <c r="J6790" t="s">
        <v>1357</v>
      </c>
      <c r="K6790" t="s">
        <v>1357</v>
      </c>
      <c r="L6790" t="s">
        <v>1357</v>
      </c>
    </row>
    <row r="6791" spans="6:12">
      <c r="F6791" t="s">
        <v>14834</v>
      </c>
      <c r="G6791" t="s">
        <v>17678</v>
      </c>
      <c r="H6791" t="s">
        <v>20280</v>
      </c>
      <c r="I6791" t="s">
        <v>1357</v>
      </c>
      <c r="J6791" t="s">
        <v>1357</v>
      </c>
      <c r="K6791" t="s">
        <v>1357</v>
      </c>
      <c r="L6791" t="s">
        <v>1357</v>
      </c>
    </row>
    <row r="6792" spans="6:12">
      <c r="H6792" t="s">
        <v>20233</v>
      </c>
      <c r="I6792" t="s">
        <v>1357</v>
      </c>
      <c r="J6792" t="s">
        <v>1357</v>
      </c>
      <c r="K6792" t="s">
        <v>1357</v>
      </c>
      <c r="L6792" t="s">
        <v>1357</v>
      </c>
    </row>
    <row r="6793" spans="6:12">
      <c r="H6793" t="s">
        <v>20230</v>
      </c>
      <c r="I6793" t="s">
        <v>1357</v>
      </c>
      <c r="J6793" t="s">
        <v>1357</v>
      </c>
      <c r="K6793" t="s">
        <v>1357</v>
      </c>
      <c r="L6793" t="s">
        <v>1357</v>
      </c>
    </row>
    <row r="6794" spans="6:12">
      <c r="H6794" t="s">
        <v>20227</v>
      </c>
      <c r="I6794" t="s">
        <v>1357</v>
      </c>
      <c r="J6794" t="s">
        <v>1357</v>
      </c>
      <c r="K6794" t="s">
        <v>1357</v>
      </c>
      <c r="L6794" t="s">
        <v>1357</v>
      </c>
    </row>
    <row r="6795" spans="6:12">
      <c r="H6795" t="s">
        <v>20296</v>
      </c>
      <c r="I6795" t="s">
        <v>1357</v>
      </c>
      <c r="J6795" t="s">
        <v>1357</v>
      </c>
      <c r="K6795" t="s">
        <v>1357</v>
      </c>
      <c r="L6795" t="s">
        <v>1357</v>
      </c>
    </row>
    <row r="6796" spans="6:12">
      <c r="H6796" t="s">
        <v>20297</v>
      </c>
      <c r="I6796" t="s">
        <v>1357</v>
      </c>
      <c r="J6796" t="s">
        <v>1357</v>
      </c>
      <c r="K6796" t="s">
        <v>1357</v>
      </c>
      <c r="L6796" t="s">
        <v>1357</v>
      </c>
    </row>
    <row r="6797" spans="6:12">
      <c r="H6797" t="s">
        <v>20234</v>
      </c>
      <c r="I6797" t="s">
        <v>1357</v>
      </c>
      <c r="J6797" t="s">
        <v>1357</v>
      </c>
      <c r="K6797" t="s">
        <v>1357</v>
      </c>
      <c r="L6797" t="s">
        <v>1357</v>
      </c>
    </row>
    <row r="6798" spans="6:12">
      <c r="H6798" t="s">
        <v>20235</v>
      </c>
      <c r="I6798" t="s">
        <v>1357</v>
      </c>
      <c r="J6798" t="s">
        <v>1357</v>
      </c>
      <c r="K6798" t="s">
        <v>1357</v>
      </c>
      <c r="L6798" t="s">
        <v>1357</v>
      </c>
    </row>
    <row r="6799" spans="6:12">
      <c r="H6799" t="s">
        <v>20284</v>
      </c>
      <c r="I6799" t="s">
        <v>1357</v>
      </c>
      <c r="J6799" t="s">
        <v>1357</v>
      </c>
      <c r="K6799" t="s">
        <v>1357</v>
      </c>
      <c r="L6799" t="s">
        <v>1357</v>
      </c>
    </row>
    <row r="6800" spans="6:12">
      <c r="H6800" t="s">
        <v>20285</v>
      </c>
      <c r="I6800" t="s">
        <v>1357</v>
      </c>
      <c r="J6800" t="s">
        <v>1357</v>
      </c>
      <c r="K6800" t="s">
        <v>1357</v>
      </c>
      <c r="L6800" t="s">
        <v>1357</v>
      </c>
    </row>
    <row r="6801" spans="6:12">
      <c r="H6801" t="s">
        <v>20286</v>
      </c>
      <c r="I6801" t="s">
        <v>1357</v>
      </c>
      <c r="J6801" t="s">
        <v>1357</v>
      </c>
      <c r="K6801" t="s">
        <v>1357</v>
      </c>
      <c r="L6801" t="s">
        <v>1357</v>
      </c>
    </row>
    <row r="6802" spans="6:12">
      <c r="H6802" t="s">
        <v>20287</v>
      </c>
      <c r="I6802" t="s">
        <v>1357</v>
      </c>
      <c r="J6802" t="s">
        <v>1357</v>
      </c>
      <c r="K6802" t="s">
        <v>1357</v>
      </c>
      <c r="L6802" t="s">
        <v>1357</v>
      </c>
    </row>
    <row r="6803" spans="6:12">
      <c r="H6803" t="s">
        <v>20288</v>
      </c>
      <c r="I6803" t="s">
        <v>1357</v>
      </c>
      <c r="J6803" t="s">
        <v>1357</v>
      </c>
      <c r="K6803" t="s">
        <v>1357</v>
      </c>
      <c r="L6803" t="s">
        <v>1357</v>
      </c>
    </row>
    <row r="6804" spans="6:12">
      <c r="H6804" t="s">
        <v>20289</v>
      </c>
      <c r="I6804" t="s">
        <v>1357</v>
      </c>
      <c r="J6804" t="s">
        <v>1357</v>
      </c>
      <c r="K6804" t="s">
        <v>1357</v>
      </c>
      <c r="L6804" t="s">
        <v>1357</v>
      </c>
    </row>
    <row r="6805" spans="6:12">
      <c r="F6805" t="s">
        <v>14835</v>
      </c>
      <c r="G6805" t="s">
        <v>17679</v>
      </c>
      <c r="H6805" t="s">
        <v>20280</v>
      </c>
      <c r="I6805" t="s">
        <v>1357</v>
      </c>
      <c r="J6805" t="s">
        <v>1357</v>
      </c>
      <c r="K6805" t="s">
        <v>1357</v>
      </c>
      <c r="L6805" t="s">
        <v>1357</v>
      </c>
    </row>
    <row r="6806" spans="6:12">
      <c r="H6806" t="s">
        <v>20233</v>
      </c>
      <c r="I6806" t="s">
        <v>1357</v>
      </c>
      <c r="J6806" t="s">
        <v>1357</v>
      </c>
      <c r="K6806" t="s">
        <v>1357</v>
      </c>
      <c r="L6806" t="s">
        <v>1357</v>
      </c>
    </row>
    <row r="6807" spans="6:12">
      <c r="H6807" t="s">
        <v>20230</v>
      </c>
      <c r="I6807" t="s">
        <v>1357</v>
      </c>
      <c r="J6807" t="s">
        <v>1357</v>
      </c>
      <c r="K6807" t="s">
        <v>1357</v>
      </c>
      <c r="L6807" t="s">
        <v>1357</v>
      </c>
    </row>
    <row r="6808" spans="6:12">
      <c r="H6808" t="s">
        <v>20227</v>
      </c>
      <c r="I6808" t="s">
        <v>1357</v>
      </c>
      <c r="J6808" t="s">
        <v>1357</v>
      </c>
      <c r="K6808" t="s">
        <v>1357</v>
      </c>
      <c r="L6808" t="s">
        <v>1357</v>
      </c>
    </row>
    <row r="6809" spans="6:12">
      <c r="H6809" t="s">
        <v>20228</v>
      </c>
      <c r="I6809" t="s">
        <v>1357</v>
      </c>
      <c r="J6809" t="s">
        <v>1357</v>
      </c>
      <c r="K6809" t="s">
        <v>1357</v>
      </c>
      <c r="L6809" t="s">
        <v>1357</v>
      </c>
    </row>
    <row r="6810" spans="6:12">
      <c r="H6810" t="s">
        <v>20232</v>
      </c>
      <c r="I6810" t="s">
        <v>1357</v>
      </c>
      <c r="J6810" t="s">
        <v>1357</v>
      </c>
      <c r="K6810" t="s">
        <v>1357</v>
      </c>
      <c r="L6810" t="s">
        <v>1357</v>
      </c>
    </row>
    <row r="6811" spans="6:12">
      <c r="H6811" t="s">
        <v>20296</v>
      </c>
      <c r="I6811" t="s">
        <v>1357</v>
      </c>
      <c r="J6811" t="s">
        <v>1357</v>
      </c>
      <c r="K6811" t="s">
        <v>1357</v>
      </c>
      <c r="L6811" t="s">
        <v>1357</v>
      </c>
    </row>
    <row r="6812" spans="6:12">
      <c r="H6812" t="s">
        <v>20297</v>
      </c>
      <c r="I6812" t="s">
        <v>1357</v>
      </c>
      <c r="J6812" t="s">
        <v>1357</v>
      </c>
      <c r="K6812" t="s">
        <v>1357</v>
      </c>
      <c r="L6812" t="s">
        <v>1357</v>
      </c>
    </row>
    <row r="6813" spans="6:12">
      <c r="H6813" t="s">
        <v>20234</v>
      </c>
      <c r="I6813" t="s">
        <v>1357</v>
      </c>
      <c r="J6813" t="s">
        <v>1357</v>
      </c>
      <c r="K6813" t="s">
        <v>1357</v>
      </c>
      <c r="L6813" t="s">
        <v>1357</v>
      </c>
    </row>
    <row r="6814" spans="6:12">
      <c r="H6814" t="s">
        <v>20235</v>
      </c>
      <c r="I6814" t="s">
        <v>1357</v>
      </c>
      <c r="J6814" t="s">
        <v>1357</v>
      </c>
      <c r="K6814" t="s">
        <v>1357</v>
      </c>
      <c r="L6814" t="s">
        <v>1357</v>
      </c>
    </row>
    <row r="6815" spans="6:12">
      <c r="H6815" t="s">
        <v>20298</v>
      </c>
      <c r="I6815" t="s">
        <v>1357</v>
      </c>
      <c r="J6815" t="s">
        <v>1357</v>
      </c>
      <c r="K6815" t="s">
        <v>1357</v>
      </c>
      <c r="L6815" t="s">
        <v>1357</v>
      </c>
    </row>
    <row r="6816" spans="6:12">
      <c r="H6816" t="s">
        <v>20284</v>
      </c>
      <c r="I6816" t="s">
        <v>1357</v>
      </c>
      <c r="J6816" t="s">
        <v>1357</v>
      </c>
      <c r="K6816" t="s">
        <v>1357</v>
      </c>
      <c r="L6816" t="s">
        <v>1357</v>
      </c>
    </row>
    <row r="6817" spans="6:12">
      <c r="H6817" t="s">
        <v>20285</v>
      </c>
      <c r="I6817" t="s">
        <v>1357</v>
      </c>
      <c r="J6817" t="s">
        <v>1357</v>
      </c>
      <c r="K6817" t="s">
        <v>1357</v>
      </c>
      <c r="L6817" t="s">
        <v>1357</v>
      </c>
    </row>
    <row r="6818" spans="6:12">
      <c r="H6818" t="s">
        <v>20286</v>
      </c>
      <c r="I6818" t="s">
        <v>1357</v>
      </c>
      <c r="J6818" t="s">
        <v>1357</v>
      </c>
      <c r="K6818" t="s">
        <v>1357</v>
      </c>
      <c r="L6818" t="s">
        <v>1357</v>
      </c>
    </row>
    <row r="6819" spans="6:12">
      <c r="H6819" t="s">
        <v>20287</v>
      </c>
      <c r="I6819" t="s">
        <v>1357</v>
      </c>
      <c r="J6819" t="s">
        <v>1357</v>
      </c>
      <c r="K6819" t="s">
        <v>1357</v>
      </c>
      <c r="L6819" t="s">
        <v>1357</v>
      </c>
    </row>
    <row r="6820" spans="6:12">
      <c r="H6820" t="s">
        <v>20288</v>
      </c>
      <c r="I6820" t="s">
        <v>1357</v>
      </c>
      <c r="J6820" t="s">
        <v>1357</v>
      </c>
      <c r="K6820" t="s">
        <v>1357</v>
      </c>
      <c r="L6820" t="s">
        <v>1357</v>
      </c>
    </row>
    <row r="6821" spans="6:12">
      <c r="H6821" t="s">
        <v>20289</v>
      </c>
      <c r="I6821" t="s">
        <v>1357</v>
      </c>
      <c r="J6821" t="s">
        <v>1357</v>
      </c>
      <c r="K6821" t="s">
        <v>1357</v>
      </c>
      <c r="L6821" t="s">
        <v>1357</v>
      </c>
    </row>
    <row r="6822" spans="6:12">
      <c r="F6822" t="s">
        <v>14836</v>
      </c>
      <c r="G6822" t="s">
        <v>17680</v>
      </c>
      <c r="H6822" t="s">
        <v>20280</v>
      </c>
      <c r="I6822" t="s">
        <v>1357</v>
      </c>
      <c r="J6822" t="s">
        <v>1357</v>
      </c>
      <c r="K6822" t="s">
        <v>1357</v>
      </c>
      <c r="L6822" t="s">
        <v>1357</v>
      </c>
    </row>
    <row r="6823" spans="6:12">
      <c r="H6823" t="s">
        <v>20233</v>
      </c>
      <c r="I6823" t="s">
        <v>1357</v>
      </c>
      <c r="J6823" t="s">
        <v>1357</v>
      </c>
      <c r="K6823" t="s">
        <v>1357</v>
      </c>
      <c r="L6823" t="s">
        <v>1357</v>
      </c>
    </row>
    <row r="6824" spans="6:12">
      <c r="H6824" t="s">
        <v>20230</v>
      </c>
      <c r="I6824" t="s">
        <v>1357</v>
      </c>
      <c r="J6824" t="s">
        <v>1357</v>
      </c>
      <c r="K6824" t="s">
        <v>1357</v>
      </c>
      <c r="L6824" t="s">
        <v>1357</v>
      </c>
    </row>
    <row r="6825" spans="6:12">
      <c r="H6825" t="s">
        <v>20227</v>
      </c>
      <c r="I6825" t="s">
        <v>1357</v>
      </c>
      <c r="J6825" t="s">
        <v>1357</v>
      </c>
      <c r="K6825" t="s">
        <v>1357</v>
      </c>
      <c r="L6825" t="s">
        <v>1357</v>
      </c>
    </row>
    <row r="6826" spans="6:12">
      <c r="H6826" t="s">
        <v>20228</v>
      </c>
      <c r="I6826" t="s">
        <v>1357</v>
      </c>
      <c r="J6826" t="s">
        <v>1357</v>
      </c>
      <c r="K6826" t="s">
        <v>1357</v>
      </c>
      <c r="L6826" t="s">
        <v>1357</v>
      </c>
    </row>
    <row r="6827" spans="6:12">
      <c r="H6827" t="s">
        <v>20232</v>
      </c>
      <c r="I6827" t="s">
        <v>1357</v>
      </c>
      <c r="J6827" t="s">
        <v>1357</v>
      </c>
      <c r="K6827" t="s">
        <v>1357</v>
      </c>
      <c r="L6827" t="s">
        <v>1357</v>
      </c>
    </row>
    <row r="6828" spans="6:12">
      <c r="H6828" t="s">
        <v>20296</v>
      </c>
      <c r="I6828" t="s">
        <v>1357</v>
      </c>
      <c r="J6828" t="s">
        <v>1357</v>
      </c>
      <c r="K6828" t="s">
        <v>1357</v>
      </c>
      <c r="L6828" t="s">
        <v>1357</v>
      </c>
    </row>
    <row r="6829" spans="6:12">
      <c r="H6829" t="s">
        <v>20297</v>
      </c>
      <c r="I6829" t="s">
        <v>1357</v>
      </c>
      <c r="J6829" t="s">
        <v>1357</v>
      </c>
      <c r="K6829" t="s">
        <v>1357</v>
      </c>
      <c r="L6829" t="s">
        <v>1357</v>
      </c>
    </row>
    <row r="6830" spans="6:12">
      <c r="H6830" t="s">
        <v>20234</v>
      </c>
      <c r="I6830" t="s">
        <v>1357</v>
      </c>
      <c r="J6830" t="s">
        <v>1357</v>
      </c>
      <c r="K6830" t="s">
        <v>1357</v>
      </c>
      <c r="L6830" t="s">
        <v>1357</v>
      </c>
    </row>
    <row r="6831" spans="6:12">
      <c r="H6831" t="s">
        <v>20235</v>
      </c>
      <c r="I6831" t="s">
        <v>1357</v>
      </c>
      <c r="J6831" t="s">
        <v>1357</v>
      </c>
      <c r="K6831" t="s">
        <v>1357</v>
      </c>
      <c r="L6831" t="s">
        <v>1357</v>
      </c>
    </row>
    <row r="6832" spans="6:12">
      <c r="H6832" t="s">
        <v>20298</v>
      </c>
      <c r="I6832" t="s">
        <v>1357</v>
      </c>
      <c r="J6832" t="s">
        <v>1357</v>
      </c>
      <c r="K6832" t="s">
        <v>1357</v>
      </c>
      <c r="L6832" t="s">
        <v>1357</v>
      </c>
    </row>
    <row r="6833" spans="6:12">
      <c r="H6833" t="s">
        <v>20284</v>
      </c>
      <c r="I6833" t="s">
        <v>1357</v>
      </c>
      <c r="J6833" t="s">
        <v>1357</v>
      </c>
      <c r="K6833" t="s">
        <v>1357</v>
      </c>
      <c r="L6833" t="s">
        <v>1357</v>
      </c>
    </row>
    <row r="6834" spans="6:12">
      <c r="H6834" t="s">
        <v>20285</v>
      </c>
      <c r="I6834" t="s">
        <v>1357</v>
      </c>
      <c r="J6834" t="s">
        <v>1357</v>
      </c>
      <c r="K6834" t="s">
        <v>1357</v>
      </c>
      <c r="L6834" t="s">
        <v>1357</v>
      </c>
    </row>
    <row r="6835" spans="6:12">
      <c r="H6835" t="s">
        <v>20286</v>
      </c>
      <c r="I6835" t="s">
        <v>1357</v>
      </c>
      <c r="J6835" t="s">
        <v>1357</v>
      </c>
      <c r="K6835" t="s">
        <v>1357</v>
      </c>
      <c r="L6835" t="s">
        <v>1357</v>
      </c>
    </row>
    <row r="6836" spans="6:12">
      <c r="H6836" t="s">
        <v>20287</v>
      </c>
      <c r="I6836" t="s">
        <v>1357</v>
      </c>
      <c r="J6836" t="s">
        <v>1357</v>
      </c>
      <c r="K6836" t="s">
        <v>1357</v>
      </c>
      <c r="L6836" t="s">
        <v>1357</v>
      </c>
    </row>
    <row r="6837" spans="6:12">
      <c r="H6837" t="s">
        <v>20288</v>
      </c>
      <c r="I6837" t="s">
        <v>1357</v>
      </c>
      <c r="J6837" t="s">
        <v>1357</v>
      </c>
      <c r="K6837" t="s">
        <v>1357</v>
      </c>
      <c r="L6837" t="s">
        <v>1357</v>
      </c>
    </row>
    <row r="6838" spans="6:12">
      <c r="H6838" t="s">
        <v>20289</v>
      </c>
      <c r="I6838" t="s">
        <v>1357</v>
      </c>
      <c r="J6838" t="s">
        <v>1357</v>
      </c>
      <c r="K6838" t="s">
        <v>1357</v>
      </c>
      <c r="L6838" t="s">
        <v>1357</v>
      </c>
    </row>
    <row r="6839" spans="6:12">
      <c r="F6839" t="s">
        <v>14837</v>
      </c>
      <c r="G6839" t="s">
        <v>17681</v>
      </c>
      <c r="H6839" t="s">
        <v>20280</v>
      </c>
      <c r="I6839" t="s">
        <v>1357</v>
      </c>
      <c r="J6839" t="s">
        <v>1357</v>
      </c>
      <c r="K6839" t="s">
        <v>1357</v>
      </c>
      <c r="L6839" t="s">
        <v>1357</v>
      </c>
    </row>
    <row r="6840" spans="6:12">
      <c r="H6840" t="s">
        <v>20233</v>
      </c>
      <c r="I6840" t="s">
        <v>1357</v>
      </c>
      <c r="J6840" t="s">
        <v>1357</v>
      </c>
      <c r="K6840" t="s">
        <v>1357</v>
      </c>
      <c r="L6840" t="s">
        <v>1357</v>
      </c>
    </row>
    <row r="6841" spans="6:12">
      <c r="H6841" t="s">
        <v>20230</v>
      </c>
      <c r="I6841" t="s">
        <v>1357</v>
      </c>
      <c r="J6841" t="s">
        <v>1357</v>
      </c>
      <c r="K6841" t="s">
        <v>1357</v>
      </c>
      <c r="L6841" t="s">
        <v>1357</v>
      </c>
    </row>
    <row r="6842" spans="6:12">
      <c r="H6842" t="s">
        <v>20227</v>
      </c>
      <c r="I6842" t="s">
        <v>1357</v>
      </c>
      <c r="J6842" t="s">
        <v>1357</v>
      </c>
      <c r="K6842" t="s">
        <v>1357</v>
      </c>
      <c r="L6842" t="s">
        <v>1357</v>
      </c>
    </row>
    <row r="6843" spans="6:12">
      <c r="H6843" t="s">
        <v>20228</v>
      </c>
      <c r="I6843" t="s">
        <v>1357</v>
      </c>
      <c r="J6843" t="s">
        <v>1357</v>
      </c>
      <c r="K6843" t="s">
        <v>1357</v>
      </c>
      <c r="L6843" t="s">
        <v>1357</v>
      </c>
    </row>
    <row r="6844" spans="6:12">
      <c r="H6844" t="s">
        <v>20232</v>
      </c>
      <c r="I6844" t="s">
        <v>1357</v>
      </c>
      <c r="J6844" t="s">
        <v>1357</v>
      </c>
      <c r="K6844" t="s">
        <v>1357</v>
      </c>
      <c r="L6844" t="s">
        <v>1357</v>
      </c>
    </row>
    <row r="6845" spans="6:12">
      <c r="H6845" t="s">
        <v>20296</v>
      </c>
      <c r="I6845" t="s">
        <v>1357</v>
      </c>
      <c r="J6845" t="s">
        <v>1357</v>
      </c>
      <c r="K6845" t="s">
        <v>1357</v>
      </c>
      <c r="L6845" t="s">
        <v>1357</v>
      </c>
    </row>
    <row r="6846" spans="6:12">
      <c r="H6846" t="s">
        <v>20297</v>
      </c>
      <c r="I6846" t="s">
        <v>1357</v>
      </c>
      <c r="J6846" t="s">
        <v>1357</v>
      </c>
      <c r="K6846" t="s">
        <v>1357</v>
      </c>
      <c r="L6846" t="s">
        <v>1357</v>
      </c>
    </row>
    <row r="6847" spans="6:12">
      <c r="H6847" t="s">
        <v>20234</v>
      </c>
      <c r="I6847" t="s">
        <v>1357</v>
      </c>
      <c r="J6847" t="s">
        <v>1357</v>
      </c>
      <c r="K6847" t="s">
        <v>1357</v>
      </c>
      <c r="L6847" t="s">
        <v>1357</v>
      </c>
    </row>
    <row r="6848" spans="6:12">
      <c r="H6848" t="s">
        <v>20235</v>
      </c>
      <c r="I6848" t="s">
        <v>1357</v>
      </c>
      <c r="J6848" t="s">
        <v>1357</v>
      </c>
      <c r="K6848" t="s">
        <v>1357</v>
      </c>
      <c r="L6848" t="s">
        <v>1357</v>
      </c>
    </row>
    <row r="6849" spans="6:12">
      <c r="H6849" t="s">
        <v>20298</v>
      </c>
      <c r="I6849" t="s">
        <v>1357</v>
      </c>
      <c r="J6849" t="s">
        <v>1357</v>
      </c>
      <c r="K6849" t="s">
        <v>1357</v>
      </c>
      <c r="L6849" t="s">
        <v>1357</v>
      </c>
    </row>
    <row r="6850" spans="6:12">
      <c r="H6850" t="s">
        <v>20284</v>
      </c>
      <c r="I6850" t="s">
        <v>1357</v>
      </c>
      <c r="J6850" t="s">
        <v>1357</v>
      </c>
      <c r="K6850" t="s">
        <v>1357</v>
      </c>
      <c r="L6850" t="s">
        <v>1357</v>
      </c>
    </row>
    <row r="6851" spans="6:12">
      <c r="H6851" t="s">
        <v>20285</v>
      </c>
      <c r="I6851" t="s">
        <v>1357</v>
      </c>
      <c r="J6851" t="s">
        <v>1357</v>
      </c>
      <c r="K6851" t="s">
        <v>1357</v>
      </c>
      <c r="L6851" t="s">
        <v>1357</v>
      </c>
    </row>
    <row r="6852" spans="6:12">
      <c r="H6852" t="s">
        <v>20286</v>
      </c>
      <c r="I6852" t="s">
        <v>1357</v>
      </c>
      <c r="J6852" t="s">
        <v>1357</v>
      </c>
      <c r="K6852" t="s">
        <v>1357</v>
      </c>
      <c r="L6852" t="s">
        <v>1357</v>
      </c>
    </row>
    <row r="6853" spans="6:12">
      <c r="H6853" t="s">
        <v>20287</v>
      </c>
      <c r="I6853" t="s">
        <v>1357</v>
      </c>
      <c r="J6853" t="s">
        <v>1357</v>
      </c>
      <c r="K6853" t="s">
        <v>1357</v>
      </c>
      <c r="L6853" t="s">
        <v>1357</v>
      </c>
    </row>
    <row r="6854" spans="6:12">
      <c r="H6854" t="s">
        <v>20288</v>
      </c>
      <c r="I6854" t="s">
        <v>1357</v>
      </c>
      <c r="J6854" t="s">
        <v>1357</v>
      </c>
      <c r="K6854" t="s">
        <v>1357</v>
      </c>
      <c r="L6854" t="s">
        <v>1357</v>
      </c>
    </row>
    <row r="6855" spans="6:12">
      <c r="H6855" t="s">
        <v>20289</v>
      </c>
      <c r="I6855" t="s">
        <v>1357</v>
      </c>
      <c r="J6855" t="s">
        <v>1357</v>
      </c>
      <c r="K6855" t="s">
        <v>1357</v>
      </c>
      <c r="L6855" t="s">
        <v>1357</v>
      </c>
    </row>
    <row r="6856" spans="6:12">
      <c r="F6856" t="s">
        <v>14838</v>
      </c>
      <c r="G6856" t="s">
        <v>17682</v>
      </c>
      <c r="H6856" t="s">
        <v>20280</v>
      </c>
      <c r="I6856" t="s">
        <v>1357</v>
      </c>
      <c r="J6856" t="s">
        <v>1357</v>
      </c>
      <c r="K6856" t="s">
        <v>1357</v>
      </c>
      <c r="L6856" t="s">
        <v>1357</v>
      </c>
    </row>
    <row r="6857" spans="6:12">
      <c r="H6857" t="s">
        <v>20233</v>
      </c>
      <c r="I6857" t="s">
        <v>1357</v>
      </c>
      <c r="J6857" t="s">
        <v>1357</v>
      </c>
      <c r="K6857" t="s">
        <v>1357</v>
      </c>
      <c r="L6857" t="s">
        <v>1357</v>
      </c>
    </row>
    <row r="6858" spans="6:12">
      <c r="H6858" t="s">
        <v>20230</v>
      </c>
      <c r="I6858" t="s">
        <v>1357</v>
      </c>
      <c r="J6858" t="s">
        <v>1357</v>
      </c>
      <c r="K6858" t="s">
        <v>1357</v>
      </c>
      <c r="L6858" t="s">
        <v>1357</v>
      </c>
    </row>
    <row r="6859" spans="6:12">
      <c r="H6859" t="s">
        <v>20227</v>
      </c>
      <c r="I6859" t="s">
        <v>1357</v>
      </c>
      <c r="J6859" t="s">
        <v>1357</v>
      </c>
      <c r="K6859" t="s">
        <v>1357</v>
      </c>
      <c r="L6859" t="s">
        <v>1357</v>
      </c>
    </row>
    <row r="6860" spans="6:12">
      <c r="H6860" t="s">
        <v>20228</v>
      </c>
      <c r="I6860" t="s">
        <v>1357</v>
      </c>
      <c r="J6860" t="s">
        <v>1357</v>
      </c>
      <c r="K6860" t="s">
        <v>1357</v>
      </c>
      <c r="L6860" t="s">
        <v>1357</v>
      </c>
    </row>
    <row r="6861" spans="6:12">
      <c r="H6861" t="s">
        <v>20232</v>
      </c>
      <c r="I6861" t="s">
        <v>1357</v>
      </c>
      <c r="J6861" t="s">
        <v>1357</v>
      </c>
      <c r="K6861" t="s">
        <v>1357</v>
      </c>
      <c r="L6861" t="s">
        <v>1357</v>
      </c>
    </row>
    <row r="6862" spans="6:12">
      <c r="H6862" t="s">
        <v>20296</v>
      </c>
      <c r="I6862" t="s">
        <v>1357</v>
      </c>
      <c r="J6862" t="s">
        <v>1357</v>
      </c>
      <c r="K6862" t="s">
        <v>1357</v>
      </c>
      <c r="L6862" t="s">
        <v>1357</v>
      </c>
    </row>
    <row r="6863" spans="6:12">
      <c r="H6863" t="s">
        <v>20297</v>
      </c>
      <c r="I6863" t="s">
        <v>1357</v>
      </c>
      <c r="J6863" t="s">
        <v>1357</v>
      </c>
      <c r="K6863" t="s">
        <v>1357</v>
      </c>
      <c r="L6863" t="s">
        <v>1357</v>
      </c>
    </row>
    <row r="6864" spans="6:12">
      <c r="H6864" t="s">
        <v>20234</v>
      </c>
      <c r="I6864" t="s">
        <v>1357</v>
      </c>
      <c r="J6864" t="s">
        <v>1357</v>
      </c>
      <c r="K6864" t="s">
        <v>1357</v>
      </c>
      <c r="L6864" t="s">
        <v>1357</v>
      </c>
    </row>
    <row r="6865" spans="6:12">
      <c r="H6865" t="s">
        <v>20235</v>
      </c>
      <c r="I6865" t="s">
        <v>1357</v>
      </c>
      <c r="J6865" t="s">
        <v>1357</v>
      </c>
      <c r="K6865" t="s">
        <v>1357</v>
      </c>
      <c r="L6865" t="s">
        <v>1357</v>
      </c>
    </row>
    <row r="6866" spans="6:12">
      <c r="H6866" t="s">
        <v>20298</v>
      </c>
      <c r="I6866" t="s">
        <v>1357</v>
      </c>
      <c r="J6866" t="s">
        <v>1357</v>
      </c>
      <c r="K6866" t="s">
        <v>1357</v>
      </c>
      <c r="L6866" t="s">
        <v>1357</v>
      </c>
    </row>
    <row r="6867" spans="6:12">
      <c r="H6867" t="s">
        <v>20284</v>
      </c>
      <c r="I6867" t="s">
        <v>1357</v>
      </c>
      <c r="J6867" t="s">
        <v>1357</v>
      </c>
      <c r="K6867" t="s">
        <v>1357</v>
      </c>
      <c r="L6867" t="s">
        <v>1357</v>
      </c>
    </row>
    <row r="6868" spans="6:12">
      <c r="H6868" t="s">
        <v>20285</v>
      </c>
      <c r="I6868" t="s">
        <v>1357</v>
      </c>
      <c r="J6868" t="s">
        <v>1357</v>
      </c>
      <c r="K6868" t="s">
        <v>1357</v>
      </c>
      <c r="L6868" t="s">
        <v>1357</v>
      </c>
    </row>
    <row r="6869" spans="6:12">
      <c r="H6869" t="s">
        <v>20286</v>
      </c>
      <c r="I6869" t="s">
        <v>1357</v>
      </c>
      <c r="J6869" t="s">
        <v>1357</v>
      </c>
      <c r="K6869" t="s">
        <v>1357</v>
      </c>
      <c r="L6869" t="s">
        <v>1357</v>
      </c>
    </row>
    <row r="6870" spans="6:12">
      <c r="H6870" t="s">
        <v>20287</v>
      </c>
      <c r="I6870" t="s">
        <v>1357</v>
      </c>
      <c r="J6870" t="s">
        <v>1357</v>
      </c>
      <c r="K6870" t="s">
        <v>1357</v>
      </c>
      <c r="L6870" t="s">
        <v>1357</v>
      </c>
    </row>
    <row r="6871" spans="6:12">
      <c r="H6871" t="s">
        <v>20288</v>
      </c>
      <c r="I6871" t="s">
        <v>1357</v>
      </c>
      <c r="J6871" t="s">
        <v>1357</v>
      </c>
      <c r="K6871" t="s">
        <v>1357</v>
      </c>
      <c r="L6871" t="s">
        <v>1357</v>
      </c>
    </row>
    <row r="6872" spans="6:12">
      <c r="H6872" t="s">
        <v>20289</v>
      </c>
      <c r="I6872" t="s">
        <v>1357</v>
      </c>
      <c r="J6872" t="s">
        <v>1357</v>
      </c>
      <c r="K6872" t="s">
        <v>1357</v>
      </c>
      <c r="L6872" t="s">
        <v>1357</v>
      </c>
    </row>
    <row r="6873" spans="6:12">
      <c r="F6873" t="s">
        <v>14839</v>
      </c>
      <c r="G6873" t="s">
        <v>17683</v>
      </c>
      <c r="H6873" t="s">
        <v>20280</v>
      </c>
      <c r="I6873" t="s">
        <v>1357</v>
      </c>
      <c r="J6873" t="s">
        <v>1357</v>
      </c>
      <c r="K6873" t="s">
        <v>1357</v>
      </c>
      <c r="L6873" t="s">
        <v>1357</v>
      </c>
    </row>
    <row r="6874" spans="6:12">
      <c r="H6874" t="s">
        <v>20233</v>
      </c>
      <c r="I6874" t="s">
        <v>1357</v>
      </c>
      <c r="J6874" t="s">
        <v>1357</v>
      </c>
      <c r="K6874" t="s">
        <v>1357</v>
      </c>
      <c r="L6874" t="s">
        <v>1357</v>
      </c>
    </row>
    <row r="6875" spans="6:12">
      <c r="H6875" t="s">
        <v>20230</v>
      </c>
      <c r="I6875" t="s">
        <v>1357</v>
      </c>
      <c r="J6875" t="s">
        <v>1357</v>
      </c>
      <c r="K6875" t="s">
        <v>1357</v>
      </c>
      <c r="L6875" t="s">
        <v>1357</v>
      </c>
    </row>
    <row r="6876" spans="6:12">
      <c r="H6876" t="s">
        <v>20227</v>
      </c>
      <c r="I6876" t="s">
        <v>1357</v>
      </c>
      <c r="J6876" t="s">
        <v>1357</v>
      </c>
      <c r="K6876" t="s">
        <v>1357</v>
      </c>
      <c r="L6876" t="s">
        <v>1357</v>
      </c>
    </row>
    <row r="6877" spans="6:12">
      <c r="H6877" t="s">
        <v>20296</v>
      </c>
      <c r="I6877" t="s">
        <v>1357</v>
      </c>
      <c r="J6877" t="s">
        <v>1357</v>
      </c>
      <c r="K6877" t="s">
        <v>1357</v>
      </c>
      <c r="L6877" t="s">
        <v>1357</v>
      </c>
    </row>
    <row r="6878" spans="6:12">
      <c r="H6878" t="s">
        <v>20297</v>
      </c>
      <c r="I6878" t="s">
        <v>1357</v>
      </c>
      <c r="J6878" t="s">
        <v>1357</v>
      </c>
      <c r="K6878" t="s">
        <v>1357</v>
      </c>
      <c r="L6878" t="s">
        <v>1357</v>
      </c>
    </row>
    <row r="6879" spans="6:12">
      <c r="H6879" t="s">
        <v>20234</v>
      </c>
      <c r="I6879" t="s">
        <v>1357</v>
      </c>
      <c r="J6879" t="s">
        <v>1357</v>
      </c>
      <c r="K6879" t="s">
        <v>1357</v>
      </c>
      <c r="L6879" t="s">
        <v>1357</v>
      </c>
    </row>
    <row r="6880" spans="6:12">
      <c r="H6880" t="s">
        <v>20235</v>
      </c>
      <c r="I6880" t="s">
        <v>1357</v>
      </c>
      <c r="J6880" t="s">
        <v>1357</v>
      </c>
      <c r="K6880" t="s">
        <v>1357</v>
      </c>
      <c r="L6880" t="s">
        <v>1357</v>
      </c>
    </row>
    <row r="6881" spans="6:12">
      <c r="H6881" t="s">
        <v>20284</v>
      </c>
      <c r="I6881" t="s">
        <v>1357</v>
      </c>
      <c r="J6881" t="s">
        <v>1357</v>
      </c>
      <c r="K6881" t="s">
        <v>1357</v>
      </c>
      <c r="L6881" t="s">
        <v>1357</v>
      </c>
    </row>
    <row r="6882" spans="6:12">
      <c r="H6882" t="s">
        <v>20285</v>
      </c>
      <c r="I6882" t="s">
        <v>1357</v>
      </c>
      <c r="J6882" t="s">
        <v>1357</v>
      </c>
      <c r="K6882" t="s">
        <v>1357</v>
      </c>
      <c r="L6882" t="s">
        <v>1357</v>
      </c>
    </row>
    <row r="6883" spans="6:12">
      <c r="H6883" t="s">
        <v>20286</v>
      </c>
      <c r="I6883" t="s">
        <v>1357</v>
      </c>
      <c r="J6883" t="s">
        <v>1357</v>
      </c>
      <c r="K6883" t="s">
        <v>1357</v>
      </c>
      <c r="L6883" t="s">
        <v>1357</v>
      </c>
    </row>
    <row r="6884" spans="6:12">
      <c r="H6884" t="s">
        <v>20287</v>
      </c>
      <c r="I6884" t="s">
        <v>1357</v>
      </c>
      <c r="J6884" t="s">
        <v>1357</v>
      </c>
      <c r="K6884" t="s">
        <v>1357</v>
      </c>
      <c r="L6884" t="s">
        <v>1357</v>
      </c>
    </row>
    <row r="6885" spans="6:12">
      <c r="H6885" t="s">
        <v>20288</v>
      </c>
      <c r="I6885" t="s">
        <v>1357</v>
      </c>
      <c r="J6885" t="s">
        <v>1357</v>
      </c>
      <c r="K6885" t="s">
        <v>1357</v>
      </c>
      <c r="L6885" t="s">
        <v>1357</v>
      </c>
    </row>
    <row r="6886" spans="6:12">
      <c r="H6886" t="s">
        <v>20289</v>
      </c>
      <c r="I6886" t="s">
        <v>1357</v>
      </c>
      <c r="J6886" t="s">
        <v>1357</v>
      </c>
      <c r="K6886" t="s">
        <v>1357</v>
      </c>
      <c r="L6886" t="s">
        <v>1357</v>
      </c>
    </row>
    <row r="6887" spans="6:12">
      <c r="F6887" t="s">
        <v>14840</v>
      </c>
      <c r="G6887" t="s">
        <v>17684</v>
      </c>
      <c r="H6887" t="s">
        <v>20280</v>
      </c>
      <c r="I6887" t="s">
        <v>1357</v>
      </c>
      <c r="J6887" t="s">
        <v>1357</v>
      </c>
      <c r="K6887" t="s">
        <v>1357</v>
      </c>
      <c r="L6887" t="s">
        <v>1357</v>
      </c>
    </row>
    <row r="6888" spans="6:12">
      <c r="H6888" t="s">
        <v>20233</v>
      </c>
      <c r="I6888" t="s">
        <v>1357</v>
      </c>
      <c r="J6888" t="s">
        <v>1357</v>
      </c>
      <c r="K6888" t="s">
        <v>1357</v>
      </c>
      <c r="L6888" t="s">
        <v>1357</v>
      </c>
    </row>
    <row r="6889" spans="6:12">
      <c r="H6889" t="s">
        <v>20230</v>
      </c>
      <c r="I6889" t="s">
        <v>1357</v>
      </c>
      <c r="J6889" t="s">
        <v>1357</v>
      </c>
      <c r="K6889" t="s">
        <v>1357</v>
      </c>
      <c r="L6889" t="s">
        <v>1357</v>
      </c>
    </row>
    <row r="6890" spans="6:12">
      <c r="H6890" t="s">
        <v>20296</v>
      </c>
      <c r="I6890" t="s">
        <v>1357</v>
      </c>
      <c r="J6890" t="s">
        <v>1357</v>
      </c>
      <c r="K6890" t="s">
        <v>1357</v>
      </c>
      <c r="L6890" t="s">
        <v>1357</v>
      </c>
    </row>
    <row r="6891" spans="6:12">
      <c r="H6891" t="s">
        <v>20297</v>
      </c>
      <c r="I6891" t="s">
        <v>1357</v>
      </c>
      <c r="J6891" t="s">
        <v>1357</v>
      </c>
      <c r="K6891" t="s">
        <v>1357</v>
      </c>
      <c r="L6891" t="s">
        <v>1357</v>
      </c>
    </row>
    <row r="6892" spans="6:12">
      <c r="H6892" t="s">
        <v>20284</v>
      </c>
      <c r="I6892" t="s">
        <v>1357</v>
      </c>
      <c r="J6892" t="s">
        <v>1357</v>
      </c>
      <c r="K6892" t="s">
        <v>1357</v>
      </c>
      <c r="L6892" t="s">
        <v>1357</v>
      </c>
    </row>
    <row r="6893" spans="6:12">
      <c r="H6893" t="s">
        <v>20285</v>
      </c>
      <c r="I6893" t="s">
        <v>1357</v>
      </c>
      <c r="J6893" t="s">
        <v>1357</v>
      </c>
      <c r="K6893" t="s">
        <v>1357</v>
      </c>
      <c r="L6893" t="s">
        <v>1357</v>
      </c>
    </row>
    <row r="6894" spans="6:12">
      <c r="H6894" t="s">
        <v>20286</v>
      </c>
      <c r="I6894" t="s">
        <v>1357</v>
      </c>
      <c r="J6894" t="s">
        <v>1357</v>
      </c>
      <c r="K6894" t="s">
        <v>1357</v>
      </c>
      <c r="L6894" t="s">
        <v>1357</v>
      </c>
    </row>
    <row r="6895" spans="6:12">
      <c r="H6895" t="s">
        <v>20287</v>
      </c>
      <c r="I6895" t="s">
        <v>1357</v>
      </c>
      <c r="J6895" t="s">
        <v>1357</v>
      </c>
      <c r="K6895" t="s">
        <v>1357</v>
      </c>
      <c r="L6895" t="s">
        <v>1357</v>
      </c>
    </row>
    <row r="6896" spans="6:12">
      <c r="H6896" t="s">
        <v>20288</v>
      </c>
      <c r="I6896" t="s">
        <v>1357</v>
      </c>
      <c r="J6896" t="s">
        <v>1357</v>
      </c>
      <c r="K6896" t="s">
        <v>1357</v>
      </c>
      <c r="L6896" t="s">
        <v>1357</v>
      </c>
    </row>
    <row r="6897" spans="6:12">
      <c r="H6897" t="s">
        <v>20289</v>
      </c>
      <c r="I6897" t="s">
        <v>1357</v>
      </c>
      <c r="J6897" t="s">
        <v>1357</v>
      </c>
      <c r="K6897" t="s">
        <v>1357</v>
      </c>
      <c r="L6897" t="s">
        <v>1357</v>
      </c>
    </row>
    <row r="6898" spans="6:12">
      <c r="F6898" t="s">
        <v>14841</v>
      </c>
      <c r="G6898" t="s">
        <v>17685</v>
      </c>
      <c r="H6898" t="s">
        <v>20280</v>
      </c>
      <c r="I6898" t="s">
        <v>1357</v>
      </c>
      <c r="J6898" t="s">
        <v>1357</v>
      </c>
      <c r="K6898" t="s">
        <v>1357</v>
      </c>
      <c r="L6898" t="s">
        <v>1357</v>
      </c>
    </row>
    <row r="6899" spans="6:12">
      <c r="H6899" t="s">
        <v>20233</v>
      </c>
      <c r="I6899" t="s">
        <v>1357</v>
      </c>
      <c r="J6899" t="s">
        <v>1357</v>
      </c>
      <c r="K6899" t="s">
        <v>1357</v>
      </c>
      <c r="L6899" t="s">
        <v>1357</v>
      </c>
    </row>
    <row r="6900" spans="6:12">
      <c r="H6900" t="s">
        <v>20230</v>
      </c>
      <c r="I6900" t="s">
        <v>1357</v>
      </c>
      <c r="J6900" t="s">
        <v>1357</v>
      </c>
      <c r="K6900" t="s">
        <v>1357</v>
      </c>
      <c r="L6900" t="s">
        <v>1357</v>
      </c>
    </row>
    <row r="6901" spans="6:12">
      <c r="H6901" t="s">
        <v>20296</v>
      </c>
      <c r="I6901" t="s">
        <v>1357</v>
      </c>
      <c r="J6901" t="s">
        <v>1357</v>
      </c>
      <c r="K6901" t="s">
        <v>1357</v>
      </c>
      <c r="L6901" t="s">
        <v>1357</v>
      </c>
    </row>
    <row r="6902" spans="6:12">
      <c r="H6902" t="s">
        <v>20297</v>
      </c>
      <c r="I6902" t="s">
        <v>1357</v>
      </c>
      <c r="J6902" t="s">
        <v>1357</v>
      </c>
      <c r="K6902" t="s">
        <v>1357</v>
      </c>
      <c r="L6902" t="s">
        <v>1357</v>
      </c>
    </row>
    <row r="6903" spans="6:12">
      <c r="H6903" t="s">
        <v>20284</v>
      </c>
      <c r="I6903" t="s">
        <v>1357</v>
      </c>
      <c r="J6903" t="s">
        <v>1357</v>
      </c>
      <c r="K6903" t="s">
        <v>1357</v>
      </c>
      <c r="L6903" t="s">
        <v>1357</v>
      </c>
    </row>
    <row r="6904" spans="6:12">
      <c r="H6904" t="s">
        <v>20285</v>
      </c>
      <c r="I6904" t="s">
        <v>1357</v>
      </c>
      <c r="J6904" t="s">
        <v>1357</v>
      </c>
      <c r="K6904" t="s">
        <v>1357</v>
      </c>
      <c r="L6904" t="s">
        <v>1357</v>
      </c>
    </row>
    <row r="6905" spans="6:12">
      <c r="H6905" t="s">
        <v>20286</v>
      </c>
      <c r="I6905" t="s">
        <v>1357</v>
      </c>
      <c r="J6905" t="s">
        <v>1357</v>
      </c>
      <c r="K6905" t="s">
        <v>1357</v>
      </c>
      <c r="L6905" t="s">
        <v>1357</v>
      </c>
    </row>
    <row r="6906" spans="6:12">
      <c r="H6906" t="s">
        <v>20287</v>
      </c>
      <c r="I6906" t="s">
        <v>1357</v>
      </c>
      <c r="J6906" t="s">
        <v>1357</v>
      </c>
      <c r="K6906" t="s">
        <v>1357</v>
      </c>
      <c r="L6906" t="s">
        <v>1357</v>
      </c>
    </row>
    <row r="6907" spans="6:12">
      <c r="H6907" t="s">
        <v>20288</v>
      </c>
      <c r="I6907" t="s">
        <v>1357</v>
      </c>
      <c r="J6907" t="s">
        <v>1357</v>
      </c>
      <c r="K6907" t="s">
        <v>1357</v>
      </c>
      <c r="L6907" t="s">
        <v>1357</v>
      </c>
    </row>
    <row r="6908" spans="6:12">
      <c r="H6908" t="s">
        <v>20289</v>
      </c>
      <c r="I6908" t="s">
        <v>1357</v>
      </c>
      <c r="J6908" t="s">
        <v>1357</v>
      </c>
      <c r="K6908" t="s">
        <v>1357</v>
      </c>
      <c r="L6908" t="s">
        <v>1357</v>
      </c>
    </row>
    <row r="6909" spans="6:12">
      <c r="F6909" t="s">
        <v>14842</v>
      </c>
      <c r="G6909" t="s">
        <v>17686</v>
      </c>
      <c r="H6909" t="s">
        <v>20280</v>
      </c>
      <c r="I6909" t="s">
        <v>1357</v>
      </c>
      <c r="J6909" t="s">
        <v>1357</v>
      </c>
      <c r="K6909" t="s">
        <v>1357</v>
      </c>
      <c r="L6909" t="s">
        <v>1357</v>
      </c>
    </row>
    <row r="6910" spans="6:12">
      <c r="H6910" t="s">
        <v>20233</v>
      </c>
      <c r="I6910" t="s">
        <v>1357</v>
      </c>
      <c r="J6910" t="s">
        <v>1357</v>
      </c>
      <c r="K6910" t="s">
        <v>1357</v>
      </c>
      <c r="L6910" t="s">
        <v>1357</v>
      </c>
    </row>
    <row r="6911" spans="6:12">
      <c r="H6911" t="s">
        <v>20230</v>
      </c>
      <c r="I6911" t="s">
        <v>1357</v>
      </c>
      <c r="J6911" t="s">
        <v>1357</v>
      </c>
      <c r="K6911" t="s">
        <v>1357</v>
      </c>
      <c r="L6911" t="s">
        <v>1357</v>
      </c>
    </row>
    <row r="6912" spans="6:12">
      <c r="H6912" t="s">
        <v>20296</v>
      </c>
      <c r="I6912" t="s">
        <v>1357</v>
      </c>
      <c r="J6912" t="s">
        <v>1357</v>
      </c>
      <c r="K6912" t="s">
        <v>1357</v>
      </c>
      <c r="L6912" t="s">
        <v>1357</v>
      </c>
    </row>
    <row r="6913" spans="6:12">
      <c r="H6913" t="s">
        <v>20297</v>
      </c>
      <c r="I6913" t="s">
        <v>1357</v>
      </c>
      <c r="J6913" t="s">
        <v>1357</v>
      </c>
      <c r="K6913" t="s">
        <v>1357</v>
      </c>
      <c r="L6913" t="s">
        <v>1357</v>
      </c>
    </row>
    <row r="6914" spans="6:12">
      <c r="H6914" t="s">
        <v>20284</v>
      </c>
      <c r="I6914" t="s">
        <v>1357</v>
      </c>
      <c r="J6914" t="s">
        <v>1357</v>
      </c>
      <c r="K6914" t="s">
        <v>1357</v>
      </c>
      <c r="L6914" t="s">
        <v>1357</v>
      </c>
    </row>
    <row r="6915" spans="6:12">
      <c r="H6915" t="s">
        <v>20285</v>
      </c>
      <c r="I6915" t="s">
        <v>1357</v>
      </c>
      <c r="J6915" t="s">
        <v>1357</v>
      </c>
      <c r="K6915" t="s">
        <v>1357</v>
      </c>
      <c r="L6915" t="s">
        <v>1357</v>
      </c>
    </row>
    <row r="6916" spans="6:12">
      <c r="H6916" t="s">
        <v>20286</v>
      </c>
      <c r="I6916" t="s">
        <v>1357</v>
      </c>
      <c r="J6916" t="s">
        <v>1357</v>
      </c>
      <c r="K6916" t="s">
        <v>1357</v>
      </c>
      <c r="L6916" t="s">
        <v>1357</v>
      </c>
    </row>
    <row r="6917" spans="6:12">
      <c r="H6917" t="s">
        <v>20287</v>
      </c>
      <c r="I6917" t="s">
        <v>1357</v>
      </c>
      <c r="J6917" t="s">
        <v>1357</v>
      </c>
      <c r="K6917" t="s">
        <v>1357</v>
      </c>
      <c r="L6917" t="s">
        <v>1357</v>
      </c>
    </row>
    <row r="6918" spans="6:12">
      <c r="H6918" t="s">
        <v>20288</v>
      </c>
      <c r="I6918" t="s">
        <v>1357</v>
      </c>
      <c r="J6918" t="s">
        <v>1357</v>
      </c>
      <c r="K6918" t="s">
        <v>1357</v>
      </c>
      <c r="L6918" t="s">
        <v>1357</v>
      </c>
    </row>
    <row r="6919" spans="6:12">
      <c r="H6919" t="s">
        <v>20289</v>
      </c>
      <c r="I6919" t="s">
        <v>1357</v>
      </c>
      <c r="J6919" t="s">
        <v>1357</v>
      </c>
      <c r="K6919" t="s">
        <v>1357</v>
      </c>
      <c r="L6919" t="s">
        <v>1357</v>
      </c>
    </row>
    <row r="6920" spans="6:12">
      <c r="F6920" t="s">
        <v>14843</v>
      </c>
      <c r="G6920" t="s">
        <v>17687</v>
      </c>
      <c r="H6920" t="s">
        <v>20280</v>
      </c>
      <c r="I6920" t="s">
        <v>1357</v>
      </c>
      <c r="J6920" t="s">
        <v>1357</v>
      </c>
      <c r="K6920" t="s">
        <v>1357</v>
      </c>
      <c r="L6920" t="s">
        <v>1357</v>
      </c>
    </row>
    <row r="6921" spans="6:12">
      <c r="H6921" t="s">
        <v>20233</v>
      </c>
      <c r="I6921" t="s">
        <v>1357</v>
      </c>
      <c r="J6921" t="s">
        <v>1357</v>
      </c>
      <c r="K6921" t="s">
        <v>1357</v>
      </c>
      <c r="L6921" t="s">
        <v>1357</v>
      </c>
    </row>
    <row r="6922" spans="6:12">
      <c r="H6922" t="s">
        <v>20230</v>
      </c>
      <c r="I6922" t="s">
        <v>1357</v>
      </c>
      <c r="J6922" t="s">
        <v>1357</v>
      </c>
      <c r="K6922" t="s">
        <v>1357</v>
      </c>
      <c r="L6922" t="s">
        <v>1357</v>
      </c>
    </row>
    <row r="6923" spans="6:12">
      <c r="H6923" t="s">
        <v>20296</v>
      </c>
      <c r="I6923" t="s">
        <v>1357</v>
      </c>
      <c r="J6923" t="s">
        <v>1357</v>
      </c>
      <c r="K6923" t="s">
        <v>1357</v>
      </c>
      <c r="L6923" t="s">
        <v>1357</v>
      </c>
    </row>
    <row r="6924" spans="6:12">
      <c r="H6924" t="s">
        <v>20297</v>
      </c>
      <c r="I6924" t="s">
        <v>1357</v>
      </c>
      <c r="J6924" t="s">
        <v>1357</v>
      </c>
      <c r="K6924" t="s">
        <v>1357</v>
      </c>
      <c r="L6924" t="s">
        <v>1357</v>
      </c>
    </row>
    <row r="6925" spans="6:12">
      <c r="H6925" t="s">
        <v>20284</v>
      </c>
      <c r="I6925" t="s">
        <v>1357</v>
      </c>
      <c r="J6925" t="s">
        <v>1357</v>
      </c>
      <c r="K6925" t="s">
        <v>1357</v>
      </c>
      <c r="L6925" t="s">
        <v>1357</v>
      </c>
    </row>
    <row r="6926" spans="6:12">
      <c r="H6926" t="s">
        <v>20285</v>
      </c>
      <c r="I6926" t="s">
        <v>1357</v>
      </c>
      <c r="J6926" t="s">
        <v>1357</v>
      </c>
      <c r="K6926" t="s">
        <v>1357</v>
      </c>
      <c r="L6926" t="s">
        <v>1357</v>
      </c>
    </row>
    <row r="6927" spans="6:12">
      <c r="H6927" t="s">
        <v>20286</v>
      </c>
      <c r="I6927" t="s">
        <v>1357</v>
      </c>
      <c r="J6927" t="s">
        <v>1357</v>
      </c>
      <c r="K6927" t="s">
        <v>1357</v>
      </c>
      <c r="L6927" t="s">
        <v>1357</v>
      </c>
    </row>
    <row r="6928" spans="6:12">
      <c r="H6928" t="s">
        <v>20287</v>
      </c>
      <c r="I6928" t="s">
        <v>1357</v>
      </c>
      <c r="J6928" t="s">
        <v>1357</v>
      </c>
      <c r="K6928" t="s">
        <v>1357</v>
      </c>
      <c r="L6928" t="s">
        <v>1357</v>
      </c>
    </row>
    <row r="6929" spans="6:12">
      <c r="H6929" t="s">
        <v>20288</v>
      </c>
      <c r="I6929" t="s">
        <v>1357</v>
      </c>
      <c r="J6929" t="s">
        <v>1357</v>
      </c>
      <c r="K6929" t="s">
        <v>1357</v>
      </c>
      <c r="L6929" t="s">
        <v>1357</v>
      </c>
    </row>
    <row r="6930" spans="6:12">
      <c r="H6930" t="s">
        <v>20289</v>
      </c>
      <c r="I6930" t="s">
        <v>1357</v>
      </c>
      <c r="J6930" t="s">
        <v>1357</v>
      </c>
      <c r="K6930" t="s">
        <v>1357</v>
      </c>
      <c r="L6930" t="s">
        <v>1357</v>
      </c>
    </row>
    <row r="6931" spans="6:12">
      <c r="F6931" t="s">
        <v>14844</v>
      </c>
      <c r="G6931" t="s">
        <v>17688</v>
      </c>
      <c r="H6931" t="s">
        <v>20280</v>
      </c>
      <c r="I6931" t="s">
        <v>1357</v>
      </c>
      <c r="J6931" t="s">
        <v>1357</v>
      </c>
      <c r="K6931" t="s">
        <v>1357</v>
      </c>
      <c r="L6931" t="s">
        <v>1357</v>
      </c>
    </row>
    <row r="6932" spans="6:12">
      <c r="H6932" t="s">
        <v>20233</v>
      </c>
      <c r="I6932" t="s">
        <v>1357</v>
      </c>
      <c r="J6932" t="s">
        <v>1357</v>
      </c>
      <c r="K6932" t="s">
        <v>1357</v>
      </c>
      <c r="L6932" t="s">
        <v>1357</v>
      </c>
    </row>
    <row r="6933" spans="6:12">
      <c r="H6933" t="s">
        <v>20230</v>
      </c>
      <c r="I6933" t="s">
        <v>1357</v>
      </c>
      <c r="J6933" t="s">
        <v>1357</v>
      </c>
      <c r="K6933" t="s">
        <v>1357</v>
      </c>
      <c r="L6933" t="s">
        <v>1357</v>
      </c>
    </row>
    <row r="6934" spans="6:12">
      <c r="H6934" t="s">
        <v>20296</v>
      </c>
      <c r="I6934" t="s">
        <v>1357</v>
      </c>
      <c r="J6934" t="s">
        <v>1357</v>
      </c>
      <c r="K6934" t="s">
        <v>1357</v>
      </c>
      <c r="L6934" t="s">
        <v>1357</v>
      </c>
    </row>
    <row r="6935" spans="6:12">
      <c r="H6935" t="s">
        <v>20297</v>
      </c>
      <c r="I6935" t="s">
        <v>1357</v>
      </c>
      <c r="J6935" t="s">
        <v>1357</v>
      </c>
      <c r="K6935" t="s">
        <v>1357</v>
      </c>
      <c r="L6935" t="s">
        <v>1357</v>
      </c>
    </row>
    <row r="6936" spans="6:12">
      <c r="H6936" t="s">
        <v>20284</v>
      </c>
      <c r="I6936" t="s">
        <v>1357</v>
      </c>
      <c r="J6936" t="s">
        <v>1357</v>
      </c>
      <c r="K6936" t="s">
        <v>1357</v>
      </c>
      <c r="L6936" t="s">
        <v>1357</v>
      </c>
    </row>
    <row r="6937" spans="6:12">
      <c r="H6937" t="s">
        <v>20285</v>
      </c>
      <c r="I6937" t="s">
        <v>1357</v>
      </c>
      <c r="J6937" t="s">
        <v>1357</v>
      </c>
      <c r="K6937" t="s">
        <v>1357</v>
      </c>
      <c r="L6937" t="s">
        <v>1357</v>
      </c>
    </row>
    <row r="6938" spans="6:12">
      <c r="H6938" t="s">
        <v>20286</v>
      </c>
      <c r="I6938" t="s">
        <v>1357</v>
      </c>
      <c r="J6938" t="s">
        <v>1357</v>
      </c>
      <c r="K6938" t="s">
        <v>1357</v>
      </c>
      <c r="L6938" t="s">
        <v>1357</v>
      </c>
    </row>
    <row r="6939" spans="6:12">
      <c r="H6939" t="s">
        <v>20287</v>
      </c>
      <c r="I6939" t="s">
        <v>1357</v>
      </c>
      <c r="J6939" t="s">
        <v>1357</v>
      </c>
      <c r="K6939" t="s">
        <v>1357</v>
      </c>
      <c r="L6939" t="s">
        <v>1357</v>
      </c>
    </row>
    <row r="6940" spans="6:12">
      <c r="H6940" t="s">
        <v>20288</v>
      </c>
      <c r="I6940" t="s">
        <v>1357</v>
      </c>
      <c r="J6940" t="s">
        <v>1357</v>
      </c>
      <c r="K6940" t="s">
        <v>1357</v>
      </c>
      <c r="L6940" t="s">
        <v>1357</v>
      </c>
    </row>
    <row r="6941" spans="6:12">
      <c r="H6941" t="s">
        <v>20289</v>
      </c>
      <c r="I6941" t="s">
        <v>1357</v>
      </c>
      <c r="J6941" t="s">
        <v>1357</v>
      </c>
      <c r="K6941" t="s">
        <v>1357</v>
      </c>
      <c r="L6941" t="s">
        <v>1357</v>
      </c>
    </row>
    <row r="6942" spans="6:12">
      <c r="F6942" t="s">
        <v>14845</v>
      </c>
      <c r="G6942" t="s">
        <v>17689</v>
      </c>
      <c r="H6942" t="s">
        <v>20280</v>
      </c>
      <c r="I6942" t="s">
        <v>1357</v>
      </c>
      <c r="J6942" t="s">
        <v>1357</v>
      </c>
      <c r="K6942" t="s">
        <v>1357</v>
      </c>
      <c r="L6942" t="s">
        <v>1357</v>
      </c>
    </row>
    <row r="6943" spans="6:12">
      <c r="H6943" t="s">
        <v>20233</v>
      </c>
      <c r="I6943" t="s">
        <v>1357</v>
      </c>
      <c r="J6943" t="s">
        <v>1357</v>
      </c>
      <c r="K6943" t="s">
        <v>1357</v>
      </c>
      <c r="L6943" t="s">
        <v>1357</v>
      </c>
    </row>
    <row r="6944" spans="6:12">
      <c r="H6944" t="s">
        <v>20230</v>
      </c>
      <c r="I6944" t="s">
        <v>1357</v>
      </c>
      <c r="J6944" t="s">
        <v>1357</v>
      </c>
      <c r="K6944" t="s">
        <v>1357</v>
      </c>
      <c r="L6944" t="s">
        <v>1357</v>
      </c>
    </row>
    <row r="6945" spans="6:12">
      <c r="H6945" t="s">
        <v>20296</v>
      </c>
      <c r="I6945" t="s">
        <v>1357</v>
      </c>
      <c r="J6945" t="s">
        <v>1357</v>
      </c>
      <c r="K6945" t="s">
        <v>1357</v>
      </c>
      <c r="L6945" t="s">
        <v>1357</v>
      </c>
    </row>
    <row r="6946" spans="6:12">
      <c r="H6946" t="s">
        <v>20297</v>
      </c>
      <c r="I6946" t="s">
        <v>1357</v>
      </c>
      <c r="J6946" t="s">
        <v>1357</v>
      </c>
      <c r="K6946" t="s">
        <v>1357</v>
      </c>
      <c r="L6946" t="s">
        <v>1357</v>
      </c>
    </row>
    <row r="6947" spans="6:12">
      <c r="H6947" t="s">
        <v>20284</v>
      </c>
      <c r="I6947" t="s">
        <v>1357</v>
      </c>
      <c r="J6947" t="s">
        <v>1357</v>
      </c>
      <c r="K6947" t="s">
        <v>1357</v>
      </c>
      <c r="L6947" t="s">
        <v>1357</v>
      </c>
    </row>
    <row r="6948" spans="6:12">
      <c r="H6948" t="s">
        <v>20285</v>
      </c>
      <c r="I6948" t="s">
        <v>1357</v>
      </c>
      <c r="J6948" t="s">
        <v>1357</v>
      </c>
      <c r="K6948" t="s">
        <v>1357</v>
      </c>
      <c r="L6948" t="s">
        <v>1357</v>
      </c>
    </row>
    <row r="6949" spans="6:12">
      <c r="H6949" t="s">
        <v>20286</v>
      </c>
      <c r="I6949" t="s">
        <v>1357</v>
      </c>
      <c r="J6949" t="s">
        <v>1357</v>
      </c>
      <c r="K6949" t="s">
        <v>1357</v>
      </c>
      <c r="L6949" t="s">
        <v>1357</v>
      </c>
    </row>
    <row r="6950" spans="6:12">
      <c r="H6950" t="s">
        <v>20287</v>
      </c>
      <c r="I6950" t="s">
        <v>1357</v>
      </c>
      <c r="J6950" t="s">
        <v>1357</v>
      </c>
      <c r="K6950" t="s">
        <v>1357</v>
      </c>
      <c r="L6950" t="s">
        <v>1357</v>
      </c>
    </row>
    <row r="6951" spans="6:12">
      <c r="H6951" t="s">
        <v>20288</v>
      </c>
      <c r="I6951" t="s">
        <v>1357</v>
      </c>
      <c r="J6951" t="s">
        <v>1357</v>
      </c>
      <c r="K6951" t="s">
        <v>1357</v>
      </c>
      <c r="L6951" t="s">
        <v>1357</v>
      </c>
    </row>
    <row r="6952" spans="6:12">
      <c r="H6952" t="s">
        <v>20289</v>
      </c>
      <c r="I6952" t="s">
        <v>1357</v>
      </c>
      <c r="J6952" t="s">
        <v>1357</v>
      </c>
      <c r="K6952" t="s">
        <v>1357</v>
      </c>
      <c r="L6952" t="s">
        <v>1357</v>
      </c>
    </row>
    <row r="6953" spans="6:12">
      <c r="F6953" t="s">
        <v>14846</v>
      </c>
      <c r="G6953" t="s">
        <v>17690</v>
      </c>
      <c r="H6953" t="s">
        <v>20280</v>
      </c>
      <c r="I6953" t="s">
        <v>1357</v>
      </c>
      <c r="J6953" t="s">
        <v>1357</v>
      </c>
      <c r="K6953" t="s">
        <v>1357</v>
      </c>
      <c r="L6953" t="s">
        <v>1357</v>
      </c>
    </row>
    <row r="6954" spans="6:12">
      <c r="H6954" t="s">
        <v>20233</v>
      </c>
      <c r="I6954" t="s">
        <v>1357</v>
      </c>
      <c r="J6954" t="s">
        <v>1357</v>
      </c>
      <c r="K6954" t="s">
        <v>1357</v>
      </c>
      <c r="L6954" t="s">
        <v>1357</v>
      </c>
    </row>
    <row r="6955" spans="6:12">
      <c r="H6955" t="s">
        <v>20284</v>
      </c>
      <c r="I6955" t="s">
        <v>1357</v>
      </c>
      <c r="J6955" t="s">
        <v>1357</v>
      </c>
      <c r="K6955" t="s">
        <v>1357</v>
      </c>
      <c r="L6955" t="s">
        <v>1357</v>
      </c>
    </row>
    <row r="6956" spans="6:12">
      <c r="H6956" t="s">
        <v>20285</v>
      </c>
      <c r="I6956" t="s">
        <v>1357</v>
      </c>
      <c r="J6956" t="s">
        <v>1357</v>
      </c>
      <c r="K6956" t="s">
        <v>1357</v>
      </c>
      <c r="L6956" t="s">
        <v>1357</v>
      </c>
    </row>
    <row r="6957" spans="6:12">
      <c r="H6957" t="s">
        <v>20286</v>
      </c>
      <c r="I6957" t="s">
        <v>1357</v>
      </c>
      <c r="J6957" t="s">
        <v>1357</v>
      </c>
      <c r="K6957" t="s">
        <v>1357</v>
      </c>
      <c r="L6957" t="s">
        <v>1357</v>
      </c>
    </row>
    <row r="6958" spans="6:12">
      <c r="H6958" t="s">
        <v>20287</v>
      </c>
      <c r="I6958" t="s">
        <v>1357</v>
      </c>
      <c r="J6958" t="s">
        <v>1357</v>
      </c>
      <c r="K6958" t="s">
        <v>1357</v>
      </c>
      <c r="L6958" t="s">
        <v>1357</v>
      </c>
    </row>
    <row r="6959" spans="6:12">
      <c r="H6959" t="s">
        <v>20288</v>
      </c>
      <c r="I6959" t="s">
        <v>1357</v>
      </c>
      <c r="J6959" t="s">
        <v>1357</v>
      </c>
      <c r="K6959" t="s">
        <v>1357</v>
      </c>
      <c r="L6959" t="s">
        <v>1357</v>
      </c>
    </row>
    <row r="6960" spans="6:12">
      <c r="F6960" t="s">
        <v>14847</v>
      </c>
      <c r="G6960" t="s">
        <v>17691</v>
      </c>
      <c r="H6960" t="s">
        <v>20280</v>
      </c>
      <c r="I6960" t="s">
        <v>1357</v>
      </c>
      <c r="J6960" t="s">
        <v>1357</v>
      </c>
      <c r="K6960" t="s">
        <v>1357</v>
      </c>
      <c r="L6960" t="s">
        <v>1357</v>
      </c>
    </row>
    <row r="6961" spans="6:12">
      <c r="H6961" t="s">
        <v>20233</v>
      </c>
      <c r="I6961" t="s">
        <v>1357</v>
      </c>
      <c r="J6961" t="s">
        <v>1357</v>
      </c>
      <c r="K6961" t="s">
        <v>1357</v>
      </c>
      <c r="L6961" t="s">
        <v>1357</v>
      </c>
    </row>
    <row r="6962" spans="6:12">
      <c r="H6962" t="s">
        <v>20284</v>
      </c>
      <c r="I6962" t="s">
        <v>1357</v>
      </c>
      <c r="J6962" t="s">
        <v>1357</v>
      </c>
      <c r="K6962" t="s">
        <v>1357</v>
      </c>
      <c r="L6962" t="s">
        <v>1357</v>
      </c>
    </row>
    <row r="6963" spans="6:12">
      <c r="H6963" t="s">
        <v>20285</v>
      </c>
      <c r="I6963" t="s">
        <v>1357</v>
      </c>
      <c r="J6963" t="s">
        <v>1357</v>
      </c>
      <c r="K6963" t="s">
        <v>1357</v>
      </c>
      <c r="L6963" t="s">
        <v>1357</v>
      </c>
    </row>
    <row r="6964" spans="6:12">
      <c r="H6964" t="s">
        <v>20286</v>
      </c>
      <c r="I6964" t="s">
        <v>1357</v>
      </c>
      <c r="J6964" t="s">
        <v>1357</v>
      </c>
      <c r="K6964" t="s">
        <v>1357</v>
      </c>
      <c r="L6964" t="s">
        <v>1357</v>
      </c>
    </row>
    <row r="6965" spans="6:12">
      <c r="H6965" t="s">
        <v>20287</v>
      </c>
      <c r="I6965" t="s">
        <v>1357</v>
      </c>
      <c r="J6965" t="s">
        <v>1357</v>
      </c>
      <c r="K6965" t="s">
        <v>1357</v>
      </c>
      <c r="L6965" t="s">
        <v>1357</v>
      </c>
    </row>
    <row r="6966" spans="6:12">
      <c r="H6966" t="s">
        <v>20288</v>
      </c>
      <c r="I6966" t="s">
        <v>1357</v>
      </c>
      <c r="J6966" t="s">
        <v>1357</v>
      </c>
      <c r="K6966" t="s">
        <v>1357</v>
      </c>
      <c r="L6966" t="s">
        <v>1357</v>
      </c>
    </row>
    <row r="6967" spans="6:12">
      <c r="F6967" t="s">
        <v>14848</v>
      </c>
      <c r="G6967" t="s">
        <v>17692</v>
      </c>
      <c r="H6967" t="s">
        <v>20280</v>
      </c>
      <c r="I6967" t="s">
        <v>1357</v>
      </c>
      <c r="J6967" t="s">
        <v>1357</v>
      </c>
      <c r="K6967" t="s">
        <v>1357</v>
      </c>
      <c r="L6967" t="s">
        <v>1357</v>
      </c>
    </row>
    <row r="6968" spans="6:12">
      <c r="H6968" t="s">
        <v>20233</v>
      </c>
      <c r="I6968" t="s">
        <v>1357</v>
      </c>
      <c r="J6968" t="s">
        <v>1357</v>
      </c>
      <c r="K6968" t="s">
        <v>1357</v>
      </c>
      <c r="L6968" t="s">
        <v>1357</v>
      </c>
    </row>
    <row r="6969" spans="6:12">
      <c r="H6969" t="s">
        <v>20230</v>
      </c>
      <c r="I6969" t="s">
        <v>1357</v>
      </c>
      <c r="J6969" t="s">
        <v>1357</v>
      </c>
      <c r="K6969" t="s">
        <v>1357</v>
      </c>
      <c r="L6969" t="s">
        <v>1357</v>
      </c>
    </row>
    <row r="6970" spans="6:12">
      <c r="H6970" t="s">
        <v>20296</v>
      </c>
      <c r="I6970" t="s">
        <v>1357</v>
      </c>
      <c r="J6970" t="s">
        <v>1357</v>
      </c>
      <c r="K6970" t="s">
        <v>1357</v>
      </c>
      <c r="L6970" t="s">
        <v>1357</v>
      </c>
    </row>
    <row r="6971" spans="6:12">
      <c r="H6971" t="s">
        <v>20297</v>
      </c>
      <c r="I6971" t="s">
        <v>1357</v>
      </c>
      <c r="J6971" t="s">
        <v>1357</v>
      </c>
      <c r="K6971" t="s">
        <v>1357</v>
      </c>
      <c r="L6971" t="s">
        <v>1357</v>
      </c>
    </row>
    <row r="6972" spans="6:12">
      <c r="H6972" t="s">
        <v>20234</v>
      </c>
      <c r="I6972" t="s">
        <v>1357</v>
      </c>
      <c r="J6972" t="s">
        <v>1357</v>
      </c>
      <c r="K6972" t="s">
        <v>1357</v>
      </c>
      <c r="L6972" t="s">
        <v>1357</v>
      </c>
    </row>
    <row r="6973" spans="6:12">
      <c r="H6973" t="s">
        <v>20235</v>
      </c>
      <c r="I6973" t="s">
        <v>1357</v>
      </c>
      <c r="J6973" t="s">
        <v>1357</v>
      </c>
      <c r="K6973" t="s">
        <v>1357</v>
      </c>
      <c r="L6973" t="s">
        <v>1357</v>
      </c>
    </row>
    <row r="6974" spans="6:12">
      <c r="H6974" t="s">
        <v>20298</v>
      </c>
      <c r="I6974" t="s">
        <v>1357</v>
      </c>
      <c r="J6974" t="s">
        <v>1357</v>
      </c>
      <c r="K6974" t="s">
        <v>1357</v>
      </c>
      <c r="L6974" t="s">
        <v>1357</v>
      </c>
    </row>
    <row r="6975" spans="6:12">
      <c r="H6975" t="s">
        <v>20299</v>
      </c>
      <c r="I6975" t="s">
        <v>1357</v>
      </c>
      <c r="J6975" t="s">
        <v>1357</v>
      </c>
      <c r="K6975" t="s">
        <v>1357</v>
      </c>
      <c r="L6975" t="s">
        <v>1357</v>
      </c>
    </row>
    <row r="6976" spans="6:12">
      <c r="H6976" t="s">
        <v>20300</v>
      </c>
      <c r="I6976" t="s">
        <v>1357</v>
      </c>
      <c r="J6976" t="s">
        <v>1357</v>
      </c>
      <c r="K6976" t="s">
        <v>1357</v>
      </c>
      <c r="L6976" t="s">
        <v>1357</v>
      </c>
    </row>
    <row r="6977" spans="8:12">
      <c r="H6977" t="s">
        <v>20284</v>
      </c>
      <c r="I6977" t="s">
        <v>1357</v>
      </c>
      <c r="J6977" t="s">
        <v>1357</v>
      </c>
      <c r="K6977" t="s">
        <v>1357</v>
      </c>
      <c r="L6977" t="s">
        <v>1357</v>
      </c>
    </row>
    <row r="6978" spans="8:12">
      <c r="H6978" t="s">
        <v>20285</v>
      </c>
      <c r="I6978" t="s">
        <v>1357</v>
      </c>
      <c r="J6978" t="s">
        <v>1357</v>
      </c>
      <c r="K6978" t="s">
        <v>1357</v>
      </c>
      <c r="L6978" t="s">
        <v>1357</v>
      </c>
    </row>
    <row r="6979" spans="8:12">
      <c r="H6979" t="s">
        <v>20286</v>
      </c>
      <c r="I6979" t="s">
        <v>1357</v>
      </c>
      <c r="J6979" t="s">
        <v>1357</v>
      </c>
      <c r="K6979" t="s">
        <v>1357</v>
      </c>
      <c r="L6979" t="s">
        <v>1357</v>
      </c>
    </row>
    <row r="6980" spans="8:12">
      <c r="H6980" t="s">
        <v>20287</v>
      </c>
      <c r="I6980" t="s">
        <v>1357</v>
      </c>
      <c r="J6980" t="s">
        <v>1357</v>
      </c>
      <c r="K6980" t="s">
        <v>1357</v>
      </c>
      <c r="L6980" t="s">
        <v>1357</v>
      </c>
    </row>
    <row r="6981" spans="8:12">
      <c r="H6981" t="s">
        <v>20227</v>
      </c>
      <c r="I6981" t="s">
        <v>1357</v>
      </c>
      <c r="J6981" t="s">
        <v>1357</v>
      </c>
      <c r="K6981" t="s">
        <v>1357</v>
      </c>
      <c r="L6981" t="s">
        <v>1357</v>
      </c>
    </row>
    <row r="6982" spans="8:12">
      <c r="H6982" t="s">
        <v>20228</v>
      </c>
      <c r="I6982" t="s">
        <v>1357</v>
      </c>
      <c r="J6982" t="s">
        <v>1357</v>
      </c>
      <c r="K6982" t="s">
        <v>1357</v>
      </c>
      <c r="L6982" t="s">
        <v>1357</v>
      </c>
    </row>
    <row r="6983" spans="8:12">
      <c r="H6983" t="s">
        <v>20232</v>
      </c>
      <c r="I6983" t="s">
        <v>1357</v>
      </c>
      <c r="J6983" t="s">
        <v>1357</v>
      </c>
      <c r="K6983" t="s">
        <v>1357</v>
      </c>
      <c r="L6983" t="s">
        <v>1357</v>
      </c>
    </row>
    <row r="6984" spans="8:12">
      <c r="H6984" t="s">
        <v>20301</v>
      </c>
      <c r="I6984" t="s">
        <v>1357</v>
      </c>
      <c r="J6984" t="s">
        <v>1357</v>
      </c>
      <c r="K6984" t="s">
        <v>1357</v>
      </c>
      <c r="L6984" t="s">
        <v>1357</v>
      </c>
    </row>
    <row r="6985" spans="8:12">
      <c r="H6985" t="s">
        <v>20302</v>
      </c>
      <c r="I6985" t="s">
        <v>1357</v>
      </c>
      <c r="J6985" t="s">
        <v>1357</v>
      </c>
      <c r="K6985" t="s">
        <v>1357</v>
      </c>
      <c r="L6985" t="s">
        <v>1357</v>
      </c>
    </row>
    <row r="6986" spans="8:12">
      <c r="H6986" t="s">
        <v>20303</v>
      </c>
      <c r="I6986" t="s">
        <v>1357</v>
      </c>
      <c r="J6986" t="s">
        <v>1357</v>
      </c>
      <c r="K6986" t="s">
        <v>1357</v>
      </c>
      <c r="L6986" t="s">
        <v>1357</v>
      </c>
    </row>
    <row r="6987" spans="8:12">
      <c r="H6987" t="s">
        <v>20304</v>
      </c>
      <c r="I6987" t="s">
        <v>1357</v>
      </c>
      <c r="J6987" t="s">
        <v>1357</v>
      </c>
      <c r="K6987" t="s">
        <v>1357</v>
      </c>
      <c r="L6987" t="s">
        <v>1357</v>
      </c>
    </row>
    <row r="6988" spans="8:12">
      <c r="H6988" t="s">
        <v>20309</v>
      </c>
      <c r="I6988" t="s">
        <v>1357</v>
      </c>
      <c r="J6988" t="s">
        <v>1357</v>
      </c>
      <c r="K6988" t="s">
        <v>1357</v>
      </c>
      <c r="L6988" t="s">
        <v>1357</v>
      </c>
    </row>
    <row r="6989" spans="8:12">
      <c r="H6989" t="s">
        <v>20310</v>
      </c>
      <c r="I6989" t="s">
        <v>1357</v>
      </c>
      <c r="J6989" t="s">
        <v>1357</v>
      </c>
      <c r="K6989" t="s">
        <v>1357</v>
      </c>
      <c r="L6989" t="s">
        <v>1357</v>
      </c>
    </row>
    <row r="6990" spans="8:12">
      <c r="H6990" t="s">
        <v>20311</v>
      </c>
      <c r="I6990" t="s">
        <v>1357</v>
      </c>
      <c r="J6990" t="s">
        <v>1357</v>
      </c>
      <c r="K6990" t="s">
        <v>1357</v>
      </c>
      <c r="L6990" t="s">
        <v>1357</v>
      </c>
    </row>
    <row r="6991" spans="8:12">
      <c r="H6991" t="s">
        <v>20288</v>
      </c>
      <c r="I6991" t="s">
        <v>1357</v>
      </c>
      <c r="J6991" t="s">
        <v>1357</v>
      </c>
      <c r="K6991" t="s">
        <v>1357</v>
      </c>
      <c r="L6991" t="s">
        <v>1357</v>
      </c>
    </row>
    <row r="6992" spans="8:12">
      <c r="H6992" t="s">
        <v>20289</v>
      </c>
      <c r="I6992" t="s">
        <v>1357</v>
      </c>
      <c r="J6992" t="s">
        <v>1357</v>
      </c>
      <c r="K6992" t="s">
        <v>1357</v>
      </c>
      <c r="L6992" t="s">
        <v>1357</v>
      </c>
    </row>
    <row r="6993" spans="6:12">
      <c r="H6993" t="s">
        <v>20290</v>
      </c>
      <c r="I6993" t="s">
        <v>1357</v>
      </c>
      <c r="J6993" t="s">
        <v>1357</v>
      </c>
      <c r="K6993" t="s">
        <v>1357</v>
      </c>
      <c r="L6993" t="s">
        <v>1357</v>
      </c>
    </row>
    <row r="6994" spans="6:12">
      <c r="H6994" t="s">
        <v>20291</v>
      </c>
      <c r="I6994" t="s">
        <v>1357</v>
      </c>
      <c r="J6994" t="s">
        <v>1357</v>
      </c>
      <c r="K6994" t="s">
        <v>1357</v>
      </c>
      <c r="L6994" t="s">
        <v>1357</v>
      </c>
    </row>
    <row r="6995" spans="6:12">
      <c r="F6995" t="s">
        <v>14849</v>
      </c>
      <c r="G6995" t="s">
        <v>17693</v>
      </c>
      <c r="H6995" t="s">
        <v>20280</v>
      </c>
      <c r="I6995" t="s">
        <v>1357</v>
      </c>
      <c r="J6995" t="s">
        <v>1357</v>
      </c>
      <c r="K6995" t="s">
        <v>1357</v>
      </c>
      <c r="L6995" t="s">
        <v>1357</v>
      </c>
    </row>
    <row r="6996" spans="6:12">
      <c r="H6996" t="s">
        <v>20233</v>
      </c>
      <c r="I6996" t="s">
        <v>1357</v>
      </c>
      <c r="J6996" t="s">
        <v>1357</v>
      </c>
      <c r="K6996" t="s">
        <v>1357</v>
      </c>
      <c r="L6996" t="s">
        <v>1357</v>
      </c>
    </row>
    <row r="6997" spans="6:12">
      <c r="H6997" t="s">
        <v>20284</v>
      </c>
      <c r="I6997" t="s">
        <v>1357</v>
      </c>
      <c r="J6997" t="s">
        <v>1357</v>
      </c>
      <c r="K6997" t="s">
        <v>1357</v>
      </c>
      <c r="L6997" t="s">
        <v>1357</v>
      </c>
    </row>
    <row r="6998" spans="6:12">
      <c r="H6998" t="s">
        <v>20285</v>
      </c>
      <c r="I6998" t="s">
        <v>1357</v>
      </c>
      <c r="J6998" t="s">
        <v>1357</v>
      </c>
      <c r="K6998" t="s">
        <v>1357</v>
      </c>
      <c r="L6998" t="s">
        <v>1357</v>
      </c>
    </row>
    <row r="6999" spans="6:12">
      <c r="H6999" t="s">
        <v>20286</v>
      </c>
      <c r="I6999" t="s">
        <v>1357</v>
      </c>
      <c r="J6999" t="s">
        <v>1357</v>
      </c>
      <c r="K6999" t="s">
        <v>1357</v>
      </c>
      <c r="L6999" t="s">
        <v>1357</v>
      </c>
    </row>
    <row r="7000" spans="6:12">
      <c r="H7000" t="s">
        <v>20287</v>
      </c>
      <c r="I7000" t="s">
        <v>1357</v>
      </c>
      <c r="J7000" t="s">
        <v>1357</v>
      </c>
      <c r="K7000" t="s">
        <v>1357</v>
      </c>
      <c r="L7000" t="s">
        <v>1357</v>
      </c>
    </row>
    <row r="7001" spans="6:12">
      <c r="H7001" t="s">
        <v>20230</v>
      </c>
      <c r="I7001" t="s">
        <v>1357</v>
      </c>
      <c r="J7001" t="s">
        <v>1357</v>
      </c>
      <c r="K7001" t="s">
        <v>1357</v>
      </c>
      <c r="L7001" t="s">
        <v>1357</v>
      </c>
    </row>
    <row r="7002" spans="6:12">
      <c r="H7002" t="s">
        <v>20227</v>
      </c>
      <c r="I7002" t="s">
        <v>1357</v>
      </c>
      <c r="J7002" t="s">
        <v>1357</v>
      </c>
      <c r="K7002" t="s">
        <v>1357</v>
      </c>
      <c r="L7002" t="s">
        <v>1357</v>
      </c>
    </row>
    <row r="7003" spans="6:12">
      <c r="H7003" t="s">
        <v>20288</v>
      </c>
      <c r="I7003" t="s">
        <v>1357</v>
      </c>
      <c r="J7003" t="s">
        <v>1357</v>
      </c>
      <c r="K7003" t="s">
        <v>1357</v>
      </c>
      <c r="L7003" t="s">
        <v>1357</v>
      </c>
    </row>
    <row r="7004" spans="6:12">
      <c r="H7004" t="s">
        <v>20289</v>
      </c>
      <c r="I7004" t="s">
        <v>1357</v>
      </c>
      <c r="J7004" t="s">
        <v>1357</v>
      </c>
      <c r="K7004" t="s">
        <v>1357</v>
      </c>
      <c r="L7004" t="s">
        <v>1357</v>
      </c>
    </row>
    <row r="7005" spans="6:12">
      <c r="H7005" t="s">
        <v>20290</v>
      </c>
      <c r="I7005" t="s">
        <v>1357</v>
      </c>
      <c r="J7005" t="s">
        <v>1357</v>
      </c>
      <c r="K7005" t="s">
        <v>1357</v>
      </c>
      <c r="L7005" t="s">
        <v>1357</v>
      </c>
    </row>
    <row r="7006" spans="6:12">
      <c r="H7006" t="s">
        <v>20291</v>
      </c>
      <c r="I7006" t="s">
        <v>1357</v>
      </c>
      <c r="J7006" t="s">
        <v>1357</v>
      </c>
      <c r="K7006" t="s">
        <v>1357</v>
      </c>
      <c r="L7006" t="s">
        <v>1357</v>
      </c>
    </row>
    <row r="7007" spans="6:12">
      <c r="F7007" t="s">
        <v>14850</v>
      </c>
      <c r="G7007" t="s">
        <v>17694</v>
      </c>
      <c r="H7007" t="s">
        <v>20280</v>
      </c>
      <c r="I7007" t="s">
        <v>1357</v>
      </c>
      <c r="J7007" t="s">
        <v>1357</v>
      </c>
      <c r="K7007" t="s">
        <v>1357</v>
      </c>
      <c r="L7007" t="s">
        <v>1357</v>
      </c>
    </row>
    <row r="7008" spans="6:12">
      <c r="H7008" t="s">
        <v>20233</v>
      </c>
      <c r="I7008" t="s">
        <v>1357</v>
      </c>
      <c r="J7008" t="s">
        <v>1357</v>
      </c>
      <c r="K7008" t="s">
        <v>1357</v>
      </c>
      <c r="L7008" t="s">
        <v>1357</v>
      </c>
    </row>
    <row r="7009" spans="6:12">
      <c r="H7009" t="s">
        <v>20284</v>
      </c>
      <c r="I7009" t="s">
        <v>1357</v>
      </c>
      <c r="J7009" t="s">
        <v>1357</v>
      </c>
      <c r="K7009" t="s">
        <v>1357</v>
      </c>
      <c r="L7009" t="s">
        <v>1357</v>
      </c>
    </row>
    <row r="7010" spans="6:12">
      <c r="H7010" t="s">
        <v>20285</v>
      </c>
      <c r="I7010" t="s">
        <v>1357</v>
      </c>
      <c r="J7010" t="s">
        <v>1357</v>
      </c>
      <c r="K7010" t="s">
        <v>1357</v>
      </c>
      <c r="L7010" t="s">
        <v>1357</v>
      </c>
    </row>
    <row r="7011" spans="6:12">
      <c r="H7011" t="s">
        <v>20286</v>
      </c>
      <c r="I7011" t="s">
        <v>1357</v>
      </c>
      <c r="J7011" t="s">
        <v>1357</v>
      </c>
      <c r="K7011" t="s">
        <v>1357</v>
      </c>
      <c r="L7011" t="s">
        <v>1357</v>
      </c>
    </row>
    <row r="7012" spans="6:12">
      <c r="H7012" t="s">
        <v>20287</v>
      </c>
      <c r="I7012" t="s">
        <v>1357</v>
      </c>
      <c r="J7012" t="s">
        <v>1357</v>
      </c>
      <c r="K7012" t="s">
        <v>1357</v>
      </c>
      <c r="L7012" t="s">
        <v>1357</v>
      </c>
    </row>
    <row r="7013" spans="6:12">
      <c r="F7013" t="s">
        <v>14851</v>
      </c>
      <c r="G7013" t="s">
        <v>17695</v>
      </c>
      <c r="H7013" t="s">
        <v>20280</v>
      </c>
      <c r="I7013" t="s">
        <v>1357</v>
      </c>
      <c r="J7013" t="s">
        <v>1357</v>
      </c>
      <c r="K7013" t="s">
        <v>1357</v>
      </c>
      <c r="L7013" t="s">
        <v>1357</v>
      </c>
    </row>
    <row r="7014" spans="6:12">
      <c r="H7014" t="s">
        <v>20233</v>
      </c>
      <c r="I7014" t="s">
        <v>1357</v>
      </c>
      <c r="J7014" t="s">
        <v>1357</v>
      </c>
      <c r="K7014" t="s">
        <v>1357</v>
      </c>
      <c r="L7014" t="s">
        <v>1357</v>
      </c>
    </row>
    <row r="7015" spans="6:12">
      <c r="H7015" t="s">
        <v>20284</v>
      </c>
      <c r="I7015" t="s">
        <v>1357</v>
      </c>
      <c r="J7015" t="s">
        <v>1357</v>
      </c>
      <c r="K7015" t="s">
        <v>1357</v>
      </c>
      <c r="L7015" t="s">
        <v>1357</v>
      </c>
    </row>
    <row r="7016" spans="6:12">
      <c r="H7016" t="s">
        <v>20285</v>
      </c>
      <c r="I7016" t="s">
        <v>1357</v>
      </c>
      <c r="J7016" t="s">
        <v>1357</v>
      </c>
      <c r="K7016" t="s">
        <v>1357</v>
      </c>
      <c r="L7016" t="s">
        <v>1357</v>
      </c>
    </row>
    <row r="7017" spans="6:12">
      <c r="H7017" t="s">
        <v>20286</v>
      </c>
      <c r="I7017" t="s">
        <v>1357</v>
      </c>
      <c r="J7017" t="s">
        <v>1357</v>
      </c>
      <c r="K7017" t="s">
        <v>1357</v>
      </c>
      <c r="L7017" t="s">
        <v>1357</v>
      </c>
    </row>
    <row r="7018" spans="6:12">
      <c r="H7018" t="s">
        <v>20287</v>
      </c>
      <c r="I7018" t="s">
        <v>1357</v>
      </c>
      <c r="J7018" t="s">
        <v>1357</v>
      </c>
      <c r="K7018" t="s">
        <v>1357</v>
      </c>
      <c r="L7018" t="s">
        <v>1357</v>
      </c>
    </row>
    <row r="7019" spans="6:12">
      <c r="F7019" t="s">
        <v>14852</v>
      </c>
      <c r="G7019" t="s">
        <v>17696</v>
      </c>
      <c r="H7019" t="s">
        <v>20280</v>
      </c>
      <c r="I7019" t="s">
        <v>1357</v>
      </c>
      <c r="J7019" t="s">
        <v>1357</v>
      </c>
      <c r="K7019" t="s">
        <v>1357</v>
      </c>
      <c r="L7019" t="s">
        <v>1357</v>
      </c>
    </row>
    <row r="7020" spans="6:12">
      <c r="H7020" t="s">
        <v>20233</v>
      </c>
      <c r="I7020" t="s">
        <v>1357</v>
      </c>
      <c r="J7020" t="s">
        <v>1357</v>
      </c>
      <c r="K7020" t="s">
        <v>1357</v>
      </c>
      <c r="L7020" t="s">
        <v>1357</v>
      </c>
    </row>
    <row r="7021" spans="6:12">
      <c r="H7021" t="s">
        <v>20284</v>
      </c>
      <c r="I7021" t="s">
        <v>1357</v>
      </c>
      <c r="J7021" t="s">
        <v>1357</v>
      </c>
      <c r="K7021" t="s">
        <v>1357</v>
      </c>
      <c r="L7021" t="s">
        <v>1357</v>
      </c>
    </row>
    <row r="7022" spans="6:12">
      <c r="H7022" t="s">
        <v>20285</v>
      </c>
      <c r="I7022" t="s">
        <v>1357</v>
      </c>
      <c r="J7022" t="s">
        <v>1357</v>
      </c>
      <c r="K7022" t="s">
        <v>1357</v>
      </c>
      <c r="L7022" t="s">
        <v>1357</v>
      </c>
    </row>
    <row r="7023" spans="6:12">
      <c r="H7023" t="s">
        <v>20286</v>
      </c>
      <c r="I7023" t="s">
        <v>1357</v>
      </c>
      <c r="J7023" t="s">
        <v>1357</v>
      </c>
      <c r="K7023" t="s">
        <v>1357</v>
      </c>
      <c r="L7023" t="s">
        <v>1357</v>
      </c>
    </row>
    <row r="7024" spans="6:12">
      <c r="H7024" t="s">
        <v>20287</v>
      </c>
      <c r="I7024" t="s">
        <v>1357</v>
      </c>
      <c r="J7024" t="s">
        <v>1357</v>
      </c>
      <c r="K7024" t="s">
        <v>1357</v>
      </c>
      <c r="L7024" t="s">
        <v>1357</v>
      </c>
    </row>
    <row r="7025" spans="6:12">
      <c r="F7025" t="s">
        <v>14853</v>
      </c>
      <c r="G7025" t="s">
        <v>17697</v>
      </c>
      <c r="H7025" t="s">
        <v>20280</v>
      </c>
      <c r="I7025" t="s">
        <v>1357</v>
      </c>
      <c r="J7025" t="s">
        <v>1357</v>
      </c>
      <c r="K7025" t="s">
        <v>1357</v>
      </c>
      <c r="L7025" t="s">
        <v>1357</v>
      </c>
    </row>
    <row r="7026" spans="6:12">
      <c r="H7026" t="s">
        <v>20233</v>
      </c>
      <c r="I7026" t="s">
        <v>1357</v>
      </c>
      <c r="J7026" t="s">
        <v>1357</v>
      </c>
      <c r="K7026" t="s">
        <v>1357</v>
      </c>
      <c r="L7026" t="s">
        <v>1357</v>
      </c>
    </row>
    <row r="7027" spans="6:12">
      <c r="H7027" t="s">
        <v>20284</v>
      </c>
      <c r="I7027" t="s">
        <v>1357</v>
      </c>
      <c r="J7027" t="s">
        <v>1357</v>
      </c>
      <c r="K7027" t="s">
        <v>1357</v>
      </c>
      <c r="L7027" t="s">
        <v>1357</v>
      </c>
    </row>
    <row r="7028" spans="6:12">
      <c r="H7028" t="s">
        <v>20285</v>
      </c>
      <c r="I7028" t="s">
        <v>1357</v>
      </c>
      <c r="J7028" t="s">
        <v>1357</v>
      </c>
      <c r="K7028" t="s">
        <v>1357</v>
      </c>
      <c r="L7028" t="s">
        <v>1357</v>
      </c>
    </row>
    <row r="7029" spans="6:12">
      <c r="H7029" t="s">
        <v>20286</v>
      </c>
      <c r="I7029" t="s">
        <v>1357</v>
      </c>
      <c r="J7029" t="s">
        <v>1357</v>
      </c>
      <c r="K7029" t="s">
        <v>1357</v>
      </c>
      <c r="L7029" t="s">
        <v>1357</v>
      </c>
    </row>
    <row r="7030" spans="6:12">
      <c r="H7030" t="s">
        <v>20287</v>
      </c>
      <c r="I7030" t="s">
        <v>1357</v>
      </c>
      <c r="J7030" t="s">
        <v>1357</v>
      </c>
      <c r="K7030" t="s">
        <v>1357</v>
      </c>
      <c r="L7030" t="s">
        <v>1357</v>
      </c>
    </row>
    <row r="7031" spans="6:12">
      <c r="F7031" t="s">
        <v>14854</v>
      </c>
      <c r="G7031" t="s">
        <v>17698</v>
      </c>
      <c r="H7031" t="s">
        <v>20280</v>
      </c>
      <c r="I7031" t="s">
        <v>1357</v>
      </c>
      <c r="J7031" t="s">
        <v>1357</v>
      </c>
      <c r="K7031" t="s">
        <v>1357</v>
      </c>
      <c r="L7031" t="s">
        <v>1357</v>
      </c>
    </row>
    <row r="7032" spans="6:12">
      <c r="H7032" t="s">
        <v>20233</v>
      </c>
      <c r="I7032" t="s">
        <v>1357</v>
      </c>
      <c r="J7032" t="s">
        <v>1357</v>
      </c>
      <c r="K7032" t="s">
        <v>1357</v>
      </c>
      <c r="L7032" t="s">
        <v>1357</v>
      </c>
    </row>
    <row r="7033" spans="6:12">
      <c r="H7033" t="s">
        <v>20230</v>
      </c>
      <c r="I7033" t="s">
        <v>1357</v>
      </c>
      <c r="J7033" t="s">
        <v>1357</v>
      </c>
      <c r="K7033" t="s">
        <v>1357</v>
      </c>
      <c r="L7033" t="s">
        <v>1357</v>
      </c>
    </row>
    <row r="7034" spans="6:12">
      <c r="H7034" t="s">
        <v>20227</v>
      </c>
      <c r="I7034" t="s">
        <v>1357</v>
      </c>
      <c r="J7034" t="s">
        <v>1357</v>
      </c>
      <c r="K7034" t="s">
        <v>1357</v>
      </c>
      <c r="L7034" t="s">
        <v>1357</v>
      </c>
    </row>
    <row r="7035" spans="6:12">
      <c r="H7035" t="s">
        <v>20296</v>
      </c>
      <c r="I7035" t="s">
        <v>1357</v>
      </c>
      <c r="J7035" t="s">
        <v>1357</v>
      </c>
      <c r="K7035" t="s">
        <v>1357</v>
      </c>
      <c r="L7035" t="s">
        <v>1357</v>
      </c>
    </row>
    <row r="7036" spans="6:12">
      <c r="H7036" t="s">
        <v>20297</v>
      </c>
      <c r="I7036" t="s">
        <v>1357</v>
      </c>
      <c r="J7036" t="s">
        <v>1357</v>
      </c>
      <c r="K7036" t="s">
        <v>1357</v>
      </c>
      <c r="L7036" t="s">
        <v>1357</v>
      </c>
    </row>
    <row r="7037" spans="6:12">
      <c r="H7037" t="s">
        <v>20234</v>
      </c>
      <c r="I7037" t="s">
        <v>1357</v>
      </c>
      <c r="J7037" t="s">
        <v>1357</v>
      </c>
      <c r="K7037" t="s">
        <v>1357</v>
      </c>
      <c r="L7037" t="s">
        <v>1357</v>
      </c>
    </row>
    <row r="7038" spans="6:12">
      <c r="H7038" t="s">
        <v>20235</v>
      </c>
      <c r="I7038" t="s">
        <v>1357</v>
      </c>
      <c r="J7038" t="s">
        <v>1357</v>
      </c>
      <c r="K7038" t="s">
        <v>1357</v>
      </c>
      <c r="L7038" t="s">
        <v>1357</v>
      </c>
    </row>
    <row r="7039" spans="6:12">
      <c r="H7039" t="s">
        <v>20298</v>
      </c>
      <c r="I7039" t="s">
        <v>1357</v>
      </c>
      <c r="J7039" t="s">
        <v>1357</v>
      </c>
      <c r="K7039" t="s">
        <v>1357</v>
      </c>
      <c r="L7039" t="s">
        <v>1357</v>
      </c>
    </row>
    <row r="7040" spans="6:12">
      <c r="H7040" t="s">
        <v>20284</v>
      </c>
      <c r="I7040" t="s">
        <v>1357</v>
      </c>
      <c r="J7040" t="s">
        <v>1357</v>
      </c>
      <c r="K7040" t="s">
        <v>1357</v>
      </c>
      <c r="L7040" t="s">
        <v>1357</v>
      </c>
    </row>
    <row r="7041" spans="6:12">
      <c r="H7041" t="s">
        <v>20285</v>
      </c>
      <c r="I7041" t="s">
        <v>1357</v>
      </c>
      <c r="J7041" t="s">
        <v>1357</v>
      </c>
      <c r="K7041" t="s">
        <v>1357</v>
      </c>
      <c r="L7041" t="s">
        <v>1357</v>
      </c>
    </row>
    <row r="7042" spans="6:12">
      <c r="H7042" t="s">
        <v>20286</v>
      </c>
      <c r="I7042" t="s">
        <v>1357</v>
      </c>
      <c r="J7042" t="s">
        <v>1357</v>
      </c>
      <c r="K7042" t="s">
        <v>1357</v>
      </c>
      <c r="L7042" t="s">
        <v>1357</v>
      </c>
    </row>
    <row r="7043" spans="6:12">
      <c r="H7043" t="s">
        <v>20287</v>
      </c>
      <c r="I7043" t="s">
        <v>1357</v>
      </c>
      <c r="J7043" t="s">
        <v>1357</v>
      </c>
      <c r="K7043" t="s">
        <v>1357</v>
      </c>
      <c r="L7043" t="s">
        <v>1357</v>
      </c>
    </row>
    <row r="7044" spans="6:12">
      <c r="F7044" t="s">
        <v>14855</v>
      </c>
      <c r="G7044" t="s">
        <v>17699</v>
      </c>
      <c r="H7044" t="s">
        <v>20280</v>
      </c>
      <c r="I7044" t="s">
        <v>1357</v>
      </c>
      <c r="J7044" t="s">
        <v>1357</v>
      </c>
      <c r="K7044" t="s">
        <v>1357</v>
      </c>
      <c r="L7044" t="s">
        <v>1357</v>
      </c>
    </row>
    <row r="7045" spans="6:12">
      <c r="H7045" t="s">
        <v>20233</v>
      </c>
      <c r="I7045" t="s">
        <v>1357</v>
      </c>
      <c r="J7045" t="s">
        <v>1357</v>
      </c>
      <c r="K7045" t="s">
        <v>1357</v>
      </c>
      <c r="L7045" t="s">
        <v>1357</v>
      </c>
    </row>
    <row r="7046" spans="6:12">
      <c r="H7046" t="s">
        <v>20230</v>
      </c>
      <c r="I7046" t="s">
        <v>1357</v>
      </c>
      <c r="J7046" t="s">
        <v>1357</v>
      </c>
      <c r="K7046" t="s">
        <v>1357</v>
      </c>
      <c r="L7046" t="s">
        <v>1357</v>
      </c>
    </row>
    <row r="7047" spans="6:12">
      <c r="H7047" t="s">
        <v>20227</v>
      </c>
      <c r="I7047" t="s">
        <v>1357</v>
      </c>
      <c r="J7047" t="s">
        <v>1357</v>
      </c>
      <c r="K7047" t="s">
        <v>1357</v>
      </c>
      <c r="L7047" t="s">
        <v>1357</v>
      </c>
    </row>
    <row r="7048" spans="6:12">
      <c r="H7048" t="s">
        <v>20228</v>
      </c>
      <c r="I7048" t="s">
        <v>1357</v>
      </c>
      <c r="J7048" t="s">
        <v>1357</v>
      </c>
      <c r="K7048" t="s">
        <v>1357</v>
      </c>
      <c r="L7048" t="s">
        <v>1357</v>
      </c>
    </row>
    <row r="7049" spans="6:12">
      <c r="H7049" t="s">
        <v>20296</v>
      </c>
      <c r="I7049" t="s">
        <v>1357</v>
      </c>
      <c r="J7049" t="s">
        <v>1357</v>
      </c>
      <c r="K7049" t="s">
        <v>1357</v>
      </c>
      <c r="L7049" t="s">
        <v>1357</v>
      </c>
    </row>
    <row r="7050" spans="6:12">
      <c r="H7050" t="s">
        <v>20297</v>
      </c>
      <c r="I7050" t="s">
        <v>1357</v>
      </c>
      <c r="J7050" t="s">
        <v>1357</v>
      </c>
      <c r="K7050" t="s">
        <v>1357</v>
      </c>
      <c r="L7050" t="s">
        <v>1357</v>
      </c>
    </row>
    <row r="7051" spans="6:12">
      <c r="H7051" t="s">
        <v>20284</v>
      </c>
      <c r="I7051" t="s">
        <v>1357</v>
      </c>
      <c r="J7051" t="s">
        <v>1357</v>
      </c>
      <c r="K7051" t="s">
        <v>1357</v>
      </c>
      <c r="L7051" t="s">
        <v>1357</v>
      </c>
    </row>
    <row r="7052" spans="6:12">
      <c r="H7052" t="s">
        <v>20285</v>
      </c>
      <c r="I7052" t="s">
        <v>1357</v>
      </c>
      <c r="J7052" t="s">
        <v>1357</v>
      </c>
      <c r="K7052" t="s">
        <v>1357</v>
      </c>
      <c r="L7052" t="s">
        <v>1357</v>
      </c>
    </row>
    <row r="7053" spans="6:12">
      <c r="H7053" t="s">
        <v>20286</v>
      </c>
      <c r="I7053" t="s">
        <v>1357</v>
      </c>
      <c r="J7053" t="s">
        <v>1357</v>
      </c>
      <c r="K7053" t="s">
        <v>1357</v>
      </c>
      <c r="L7053" t="s">
        <v>1357</v>
      </c>
    </row>
    <row r="7054" spans="6:12">
      <c r="H7054" t="s">
        <v>20287</v>
      </c>
      <c r="I7054" t="s">
        <v>1357</v>
      </c>
      <c r="J7054" t="s">
        <v>1357</v>
      </c>
      <c r="K7054" t="s">
        <v>1357</v>
      </c>
      <c r="L7054" t="s">
        <v>1357</v>
      </c>
    </row>
    <row r="7055" spans="6:12">
      <c r="F7055" t="s">
        <v>14856</v>
      </c>
      <c r="G7055" t="s">
        <v>17700</v>
      </c>
      <c r="H7055" t="s">
        <v>20280</v>
      </c>
      <c r="I7055" t="s">
        <v>1357</v>
      </c>
      <c r="J7055" t="s">
        <v>1357</v>
      </c>
      <c r="K7055" t="s">
        <v>1357</v>
      </c>
      <c r="L7055" t="s">
        <v>1357</v>
      </c>
    </row>
    <row r="7056" spans="6:12">
      <c r="H7056" t="s">
        <v>20233</v>
      </c>
      <c r="I7056" t="s">
        <v>1357</v>
      </c>
      <c r="J7056" t="s">
        <v>1357</v>
      </c>
      <c r="K7056" t="s">
        <v>1357</v>
      </c>
      <c r="L7056" t="s">
        <v>1357</v>
      </c>
    </row>
    <row r="7057" spans="8:12">
      <c r="H7057" t="s">
        <v>20230</v>
      </c>
      <c r="I7057" t="s">
        <v>1357</v>
      </c>
      <c r="J7057" t="s">
        <v>1357</v>
      </c>
      <c r="K7057" t="s">
        <v>1357</v>
      </c>
      <c r="L7057" t="s">
        <v>1357</v>
      </c>
    </row>
    <row r="7058" spans="8:12">
      <c r="H7058" t="s">
        <v>20281</v>
      </c>
      <c r="I7058" t="s">
        <v>1357</v>
      </c>
      <c r="J7058" t="s">
        <v>1357</v>
      </c>
      <c r="K7058" t="s">
        <v>1357</v>
      </c>
      <c r="L7058" t="s">
        <v>1357</v>
      </c>
    </row>
    <row r="7059" spans="8:12">
      <c r="H7059" t="s">
        <v>20282</v>
      </c>
      <c r="I7059" t="s">
        <v>1357</v>
      </c>
      <c r="J7059" t="s">
        <v>1357</v>
      </c>
      <c r="K7059" t="s">
        <v>1357</v>
      </c>
      <c r="L7059" t="s">
        <v>1357</v>
      </c>
    </row>
    <row r="7060" spans="8:12">
      <c r="H7060" t="s">
        <v>20283</v>
      </c>
      <c r="I7060" t="s">
        <v>1357</v>
      </c>
      <c r="J7060" t="s">
        <v>1357</v>
      </c>
      <c r="K7060" t="s">
        <v>1357</v>
      </c>
      <c r="L7060" t="s">
        <v>1357</v>
      </c>
    </row>
    <row r="7061" spans="8:12">
      <c r="H7061" t="s">
        <v>20292</v>
      </c>
      <c r="I7061" t="s">
        <v>1357</v>
      </c>
      <c r="J7061" t="s">
        <v>1357</v>
      </c>
      <c r="K7061" t="s">
        <v>1357</v>
      </c>
      <c r="L7061" t="s">
        <v>1357</v>
      </c>
    </row>
    <row r="7062" spans="8:12">
      <c r="H7062" t="s">
        <v>20305</v>
      </c>
      <c r="I7062" t="s">
        <v>1357</v>
      </c>
      <c r="J7062" t="s">
        <v>1357</v>
      </c>
      <c r="K7062" t="s">
        <v>1357</v>
      </c>
      <c r="L7062" t="s">
        <v>1357</v>
      </c>
    </row>
    <row r="7063" spans="8:12">
      <c r="H7063" t="s">
        <v>20306</v>
      </c>
      <c r="I7063" t="s">
        <v>1357</v>
      </c>
      <c r="J7063" t="s">
        <v>1357</v>
      </c>
      <c r="K7063" t="s">
        <v>1357</v>
      </c>
      <c r="L7063" t="s">
        <v>1357</v>
      </c>
    </row>
    <row r="7064" spans="8:12">
      <c r="H7064" t="s">
        <v>20307</v>
      </c>
      <c r="I7064" t="s">
        <v>1357</v>
      </c>
      <c r="J7064" t="s">
        <v>1357</v>
      </c>
      <c r="K7064" t="s">
        <v>1357</v>
      </c>
      <c r="L7064" t="s">
        <v>1357</v>
      </c>
    </row>
    <row r="7065" spans="8:12">
      <c r="H7065" t="s">
        <v>20008</v>
      </c>
      <c r="I7065" t="s">
        <v>1357</v>
      </c>
      <c r="J7065" t="s">
        <v>1357</v>
      </c>
      <c r="K7065" t="s">
        <v>1357</v>
      </c>
      <c r="L7065" t="s">
        <v>1357</v>
      </c>
    </row>
    <row r="7066" spans="8:12">
      <c r="H7066" t="s">
        <v>20284</v>
      </c>
      <c r="I7066" t="s">
        <v>1357</v>
      </c>
      <c r="J7066" t="s">
        <v>1357</v>
      </c>
      <c r="K7066" t="s">
        <v>1357</v>
      </c>
      <c r="L7066" t="s">
        <v>1357</v>
      </c>
    </row>
    <row r="7067" spans="8:12">
      <c r="H7067" t="s">
        <v>20285</v>
      </c>
      <c r="I7067" t="s">
        <v>1357</v>
      </c>
      <c r="J7067" t="s">
        <v>1357</v>
      </c>
      <c r="K7067" t="s">
        <v>1357</v>
      </c>
      <c r="L7067" t="s">
        <v>1357</v>
      </c>
    </row>
    <row r="7068" spans="8:12">
      <c r="H7068" t="s">
        <v>20288</v>
      </c>
      <c r="I7068" t="s">
        <v>1357</v>
      </c>
      <c r="J7068" t="s">
        <v>1357</v>
      </c>
      <c r="K7068" t="s">
        <v>1357</v>
      </c>
      <c r="L7068" t="s">
        <v>1357</v>
      </c>
    </row>
    <row r="7069" spans="8:12">
      <c r="H7069" t="s">
        <v>20289</v>
      </c>
      <c r="I7069" t="s">
        <v>1357</v>
      </c>
      <c r="J7069" t="s">
        <v>1357</v>
      </c>
      <c r="K7069" t="s">
        <v>1357</v>
      </c>
      <c r="L7069" t="s">
        <v>1357</v>
      </c>
    </row>
    <row r="7070" spans="8:12">
      <c r="H7070" t="s">
        <v>20290</v>
      </c>
      <c r="I7070" t="s">
        <v>1357</v>
      </c>
      <c r="J7070" t="s">
        <v>1357</v>
      </c>
      <c r="K7070" t="s">
        <v>1357</v>
      </c>
      <c r="L7070" t="s">
        <v>1357</v>
      </c>
    </row>
    <row r="7071" spans="8:12">
      <c r="H7071" t="s">
        <v>20291</v>
      </c>
      <c r="I7071" t="s">
        <v>1357</v>
      </c>
      <c r="J7071" t="s">
        <v>1357</v>
      </c>
      <c r="K7071" t="s">
        <v>1357</v>
      </c>
      <c r="L7071" t="s">
        <v>1357</v>
      </c>
    </row>
    <row r="7072" spans="8:12">
      <c r="H7072" t="s">
        <v>20293</v>
      </c>
      <c r="I7072" t="s">
        <v>1357</v>
      </c>
      <c r="J7072" t="s">
        <v>1357</v>
      </c>
      <c r="K7072" t="s">
        <v>1357</v>
      </c>
      <c r="L7072" t="s">
        <v>1357</v>
      </c>
    </row>
    <row r="7073" spans="6:12">
      <c r="H7073" t="s">
        <v>20294</v>
      </c>
      <c r="I7073" t="s">
        <v>1357</v>
      </c>
      <c r="J7073" t="s">
        <v>1357</v>
      </c>
      <c r="K7073" t="s">
        <v>1357</v>
      </c>
      <c r="L7073" t="s">
        <v>1357</v>
      </c>
    </row>
    <row r="7074" spans="6:12">
      <c r="H7074" t="s">
        <v>20312</v>
      </c>
      <c r="I7074" t="s">
        <v>1357</v>
      </c>
      <c r="J7074" t="s">
        <v>1357</v>
      </c>
      <c r="K7074" t="s">
        <v>1357</v>
      </c>
      <c r="L7074" t="s">
        <v>1357</v>
      </c>
    </row>
    <row r="7075" spans="6:12">
      <c r="H7075" t="s">
        <v>20313</v>
      </c>
      <c r="I7075" t="s">
        <v>1357</v>
      </c>
      <c r="J7075" t="s">
        <v>1357</v>
      </c>
      <c r="K7075" t="s">
        <v>1357</v>
      </c>
      <c r="L7075" t="s">
        <v>1357</v>
      </c>
    </row>
    <row r="7076" spans="6:12">
      <c r="F7076" t="s">
        <v>14857</v>
      </c>
      <c r="G7076" t="s">
        <v>17701</v>
      </c>
      <c r="H7076" t="s">
        <v>20280</v>
      </c>
      <c r="I7076" t="s">
        <v>1357</v>
      </c>
      <c r="J7076" t="s">
        <v>1357</v>
      </c>
      <c r="K7076" t="s">
        <v>1357</v>
      </c>
      <c r="L7076" t="s">
        <v>1357</v>
      </c>
    </row>
    <row r="7077" spans="6:12">
      <c r="H7077" t="s">
        <v>20233</v>
      </c>
      <c r="I7077" t="s">
        <v>1357</v>
      </c>
      <c r="J7077" t="s">
        <v>1357</v>
      </c>
      <c r="K7077" t="s">
        <v>1357</v>
      </c>
      <c r="L7077" t="s">
        <v>1357</v>
      </c>
    </row>
    <row r="7078" spans="6:12">
      <c r="H7078" t="s">
        <v>20230</v>
      </c>
      <c r="I7078" t="s">
        <v>1357</v>
      </c>
      <c r="J7078" t="s">
        <v>1357</v>
      </c>
      <c r="K7078" t="s">
        <v>1357</v>
      </c>
      <c r="L7078" t="s">
        <v>1357</v>
      </c>
    </row>
    <row r="7079" spans="6:12">
      <c r="H7079" t="s">
        <v>20227</v>
      </c>
      <c r="I7079" t="s">
        <v>1357</v>
      </c>
      <c r="J7079" t="s">
        <v>1357</v>
      </c>
      <c r="K7079" t="s">
        <v>1357</v>
      </c>
      <c r="L7079" t="s">
        <v>1357</v>
      </c>
    </row>
    <row r="7080" spans="6:12">
      <c r="H7080" t="s">
        <v>20228</v>
      </c>
      <c r="I7080" t="s">
        <v>1357</v>
      </c>
      <c r="J7080" t="s">
        <v>1357</v>
      </c>
      <c r="K7080" t="s">
        <v>1357</v>
      </c>
      <c r="L7080" t="s">
        <v>1357</v>
      </c>
    </row>
    <row r="7081" spans="6:12">
      <c r="H7081" t="s">
        <v>20232</v>
      </c>
      <c r="I7081" t="s">
        <v>1357</v>
      </c>
      <c r="J7081" t="s">
        <v>1357</v>
      </c>
      <c r="K7081" t="s">
        <v>1357</v>
      </c>
      <c r="L7081" t="s">
        <v>1357</v>
      </c>
    </row>
    <row r="7082" spans="6:12">
      <c r="H7082" t="s">
        <v>20229</v>
      </c>
      <c r="I7082" t="s">
        <v>1357</v>
      </c>
      <c r="J7082" t="s">
        <v>1357</v>
      </c>
      <c r="K7082" t="s">
        <v>1357</v>
      </c>
      <c r="L7082" t="s">
        <v>1357</v>
      </c>
    </row>
    <row r="7083" spans="6:12">
      <c r="H7083" t="s">
        <v>20231</v>
      </c>
      <c r="I7083" t="s">
        <v>1357</v>
      </c>
      <c r="J7083" t="s">
        <v>1357</v>
      </c>
      <c r="K7083" t="s">
        <v>1357</v>
      </c>
      <c r="L7083" t="s">
        <v>1357</v>
      </c>
    </row>
    <row r="7084" spans="6:12">
      <c r="H7084" t="s">
        <v>20281</v>
      </c>
      <c r="I7084" t="s">
        <v>1357</v>
      </c>
      <c r="J7084" t="s">
        <v>1357</v>
      </c>
      <c r="K7084" t="s">
        <v>1357</v>
      </c>
      <c r="L7084" t="s">
        <v>1357</v>
      </c>
    </row>
    <row r="7085" spans="6:12">
      <c r="H7085" t="s">
        <v>20282</v>
      </c>
      <c r="I7085" t="s">
        <v>1357</v>
      </c>
      <c r="J7085" t="s">
        <v>1357</v>
      </c>
      <c r="K7085" t="s">
        <v>1357</v>
      </c>
      <c r="L7085" t="s">
        <v>1357</v>
      </c>
    </row>
    <row r="7086" spans="6:12">
      <c r="H7086" t="s">
        <v>20283</v>
      </c>
      <c r="I7086" t="s">
        <v>1357</v>
      </c>
      <c r="J7086" t="s">
        <v>1357</v>
      </c>
      <c r="K7086" t="s">
        <v>1357</v>
      </c>
      <c r="L7086" t="s">
        <v>1357</v>
      </c>
    </row>
    <row r="7087" spans="6:12">
      <c r="H7087" t="s">
        <v>20292</v>
      </c>
      <c r="I7087" t="s">
        <v>1357</v>
      </c>
      <c r="J7087" t="s">
        <v>1357</v>
      </c>
      <c r="K7087" t="s">
        <v>1357</v>
      </c>
      <c r="L7087" t="s">
        <v>1357</v>
      </c>
    </row>
    <row r="7088" spans="6:12">
      <c r="H7088" t="s">
        <v>20305</v>
      </c>
      <c r="I7088" t="s">
        <v>1357</v>
      </c>
      <c r="J7088" t="s">
        <v>1357</v>
      </c>
      <c r="K7088" t="s">
        <v>1357</v>
      </c>
      <c r="L7088" t="s">
        <v>1357</v>
      </c>
    </row>
    <row r="7089" spans="6:12">
      <c r="H7089" t="s">
        <v>20306</v>
      </c>
      <c r="I7089" t="s">
        <v>1357</v>
      </c>
      <c r="J7089" t="s">
        <v>1357</v>
      </c>
      <c r="K7089" t="s">
        <v>1357</v>
      </c>
      <c r="L7089" t="s">
        <v>1357</v>
      </c>
    </row>
    <row r="7090" spans="6:12">
      <c r="H7090" t="s">
        <v>20307</v>
      </c>
      <c r="I7090" t="s">
        <v>1357</v>
      </c>
      <c r="J7090" t="s">
        <v>1357</v>
      </c>
      <c r="K7090" t="s">
        <v>1357</v>
      </c>
      <c r="L7090" t="s">
        <v>1357</v>
      </c>
    </row>
    <row r="7091" spans="6:12">
      <c r="H7091" t="s">
        <v>20284</v>
      </c>
      <c r="I7091" t="s">
        <v>1357</v>
      </c>
      <c r="J7091" t="s">
        <v>1357</v>
      </c>
      <c r="K7091" t="s">
        <v>1357</v>
      </c>
      <c r="L7091" t="s">
        <v>1357</v>
      </c>
    </row>
    <row r="7092" spans="6:12">
      <c r="H7092" t="s">
        <v>20285</v>
      </c>
      <c r="I7092" t="s">
        <v>1357</v>
      </c>
      <c r="J7092" t="s">
        <v>1357</v>
      </c>
      <c r="K7092" t="s">
        <v>1357</v>
      </c>
      <c r="L7092" t="s">
        <v>1357</v>
      </c>
    </row>
    <row r="7093" spans="6:12">
      <c r="H7093" t="s">
        <v>20286</v>
      </c>
      <c r="I7093" t="s">
        <v>1357</v>
      </c>
      <c r="J7093" t="s">
        <v>1357</v>
      </c>
      <c r="K7093" t="s">
        <v>1357</v>
      </c>
      <c r="L7093" t="s">
        <v>1357</v>
      </c>
    </row>
    <row r="7094" spans="6:12">
      <c r="H7094" t="s">
        <v>20287</v>
      </c>
      <c r="I7094" t="s">
        <v>1357</v>
      </c>
      <c r="J7094" t="s">
        <v>1357</v>
      </c>
      <c r="K7094" t="s">
        <v>1357</v>
      </c>
      <c r="L7094" t="s">
        <v>1357</v>
      </c>
    </row>
    <row r="7095" spans="6:12">
      <c r="H7095" t="s">
        <v>20288</v>
      </c>
      <c r="I7095" t="s">
        <v>1357</v>
      </c>
      <c r="J7095" t="s">
        <v>1357</v>
      </c>
      <c r="K7095" t="s">
        <v>1357</v>
      </c>
      <c r="L7095" t="s">
        <v>1357</v>
      </c>
    </row>
    <row r="7096" spans="6:12">
      <c r="H7096" t="s">
        <v>20289</v>
      </c>
      <c r="I7096" t="s">
        <v>1357</v>
      </c>
      <c r="J7096" t="s">
        <v>1357</v>
      </c>
      <c r="K7096" t="s">
        <v>1357</v>
      </c>
      <c r="L7096" t="s">
        <v>1357</v>
      </c>
    </row>
    <row r="7097" spans="6:12">
      <c r="H7097" t="s">
        <v>20290</v>
      </c>
      <c r="I7097" t="s">
        <v>1357</v>
      </c>
      <c r="J7097" t="s">
        <v>1357</v>
      </c>
      <c r="K7097" t="s">
        <v>1357</v>
      </c>
      <c r="L7097" t="s">
        <v>1357</v>
      </c>
    </row>
    <row r="7098" spans="6:12">
      <c r="H7098" t="s">
        <v>20291</v>
      </c>
      <c r="I7098" t="s">
        <v>1357</v>
      </c>
      <c r="J7098" t="s">
        <v>1357</v>
      </c>
      <c r="K7098" t="s">
        <v>1357</v>
      </c>
      <c r="L7098" t="s">
        <v>1357</v>
      </c>
    </row>
    <row r="7099" spans="6:12">
      <c r="H7099" t="s">
        <v>20293</v>
      </c>
      <c r="I7099" t="s">
        <v>1357</v>
      </c>
      <c r="J7099" t="s">
        <v>1357</v>
      </c>
      <c r="K7099" t="s">
        <v>1357</v>
      </c>
      <c r="L7099" t="s">
        <v>1357</v>
      </c>
    </row>
    <row r="7100" spans="6:12">
      <c r="H7100" t="s">
        <v>20294</v>
      </c>
      <c r="I7100" t="s">
        <v>1357</v>
      </c>
      <c r="J7100" t="s">
        <v>1357</v>
      </c>
      <c r="K7100" t="s">
        <v>1357</v>
      </c>
      <c r="L7100" t="s">
        <v>1357</v>
      </c>
    </row>
    <row r="7101" spans="6:12">
      <c r="H7101" t="s">
        <v>20312</v>
      </c>
      <c r="I7101" t="s">
        <v>1357</v>
      </c>
      <c r="J7101" t="s">
        <v>1357</v>
      </c>
      <c r="K7101" t="s">
        <v>1357</v>
      </c>
      <c r="L7101" t="s">
        <v>1357</v>
      </c>
    </row>
    <row r="7102" spans="6:12">
      <c r="F7102" t="s">
        <v>14858</v>
      </c>
      <c r="G7102" t="s">
        <v>17702</v>
      </c>
      <c r="H7102" t="s">
        <v>20280</v>
      </c>
      <c r="I7102" t="s">
        <v>1357</v>
      </c>
      <c r="J7102" t="s">
        <v>1357</v>
      </c>
      <c r="K7102" t="s">
        <v>1357</v>
      </c>
      <c r="L7102" t="s">
        <v>1357</v>
      </c>
    </row>
    <row r="7103" spans="6:12">
      <c r="H7103" t="s">
        <v>20233</v>
      </c>
      <c r="I7103" t="s">
        <v>1357</v>
      </c>
      <c r="J7103" t="s">
        <v>1357</v>
      </c>
      <c r="K7103" t="s">
        <v>1357</v>
      </c>
      <c r="L7103" t="s">
        <v>1357</v>
      </c>
    </row>
    <row r="7104" spans="6:12">
      <c r="H7104" t="s">
        <v>20230</v>
      </c>
      <c r="I7104" t="s">
        <v>1357</v>
      </c>
      <c r="J7104" t="s">
        <v>1357</v>
      </c>
      <c r="K7104" t="s">
        <v>1357</v>
      </c>
      <c r="L7104" t="s">
        <v>1357</v>
      </c>
    </row>
    <row r="7105" spans="8:12">
      <c r="H7105" t="s">
        <v>20227</v>
      </c>
      <c r="I7105" t="s">
        <v>1357</v>
      </c>
      <c r="J7105" t="s">
        <v>1357</v>
      </c>
      <c r="K7105" t="s">
        <v>1357</v>
      </c>
      <c r="L7105" t="s">
        <v>1357</v>
      </c>
    </row>
    <row r="7106" spans="8:12">
      <c r="H7106" t="s">
        <v>20228</v>
      </c>
      <c r="I7106" t="s">
        <v>1357</v>
      </c>
      <c r="J7106" t="s">
        <v>1357</v>
      </c>
      <c r="K7106" t="s">
        <v>1357</v>
      </c>
      <c r="L7106" t="s">
        <v>1357</v>
      </c>
    </row>
    <row r="7107" spans="8:12">
      <c r="H7107" t="s">
        <v>20232</v>
      </c>
      <c r="I7107" t="s">
        <v>1357</v>
      </c>
      <c r="J7107" t="s">
        <v>1357</v>
      </c>
      <c r="K7107" t="s">
        <v>1357</v>
      </c>
      <c r="L7107" t="s">
        <v>1357</v>
      </c>
    </row>
    <row r="7108" spans="8:12">
      <c r="H7108" t="s">
        <v>20281</v>
      </c>
      <c r="I7108" t="s">
        <v>1357</v>
      </c>
      <c r="J7108" t="s">
        <v>1357</v>
      </c>
      <c r="K7108" t="s">
        <v>1357</v>
      </c>
      <c r="L7108" t="s">
        <v>1357</v>
      </c>
    </row>
    <row r="7109" spans="8:12">
      <c r="H7109" t="s">
        <v>20282</v>
      </c>
      <c r="I7109" t="s">
        <v>1357</v>
      </c>
      <c r="J7109" t="s">
        <v>1357</v>
      </c>
      <c r="K7109" t="s">
        <v>1357</v>
      </c>
      <c r="L7109" t="s">
        <v>1357</v>
      </c>
    </row>
    <row r="7110" spans="8:12">
      <c r="H7110" t="s">
        <v>20283</v>
      </c>
      <c r="I7110" t="s">
        <v>1357</v>
      </c>
      <c r="J7110" t="s">
        <v>1357</v>
      </c>
      <c r="K7110" t="s">
        <v>1357</v>
      </c>
      <c r="L7110" t="s">
        <v>1357</v>
      </c>
    </row>
    <row r="7111" spans="8:12">
      <c r="H7111" t="s">
        <v>20305</v>
      </c>
      <c r="I7111" t="s">
        <v>1357</v>
      </c>
      <c r="J7111" t="s">
        <v>1357</v>
      </c>
      <c r="K7111" t="s">
        <v>1357</v>
      </c>
      <c r="L7111" t="s">
        <v>1357</v>
      </c>
    </row>
    <row r="7112" spans="8:12">
      <c r="H7112" t="s">
        <v>20306</v>
      </c>
      <c r="I7112" t="s">
        <v>1357</v>
      </c>
      <c r="J7112" t="s">
        <v>1357</v>
      </c>
      <c r="K7112" t="s">
        <v>1357</v>
      </c>
      <c r="L7112" t="s">
        <v>1357</v>
      </c>
    </row>
    <row r="7113" spans="8:12">
      <c r="H7113" t="s">
        <v>20307</v>
      </c>
      <c r="I7113" t="s">
        <v>1357</v>
      </c>
      <c r="J7113" t="s">
        <v>1357</v>
      </c>
      <c r="K7113" t="s">
        <v>1357</v>
      </c>
      <c r="L7113" t="s">
        <v>1357</v>
      </c>
    </row>
    <row r="7114" spans="8:12">
      <c r="H7114" t="s">
        <v>20008</v>
      </c>
      <c r="I7114" t="s">
        <v>1357</v>
      </c>
      <c r="J7114" t="s">
        <v>1357</v>
      </c>
      <c r="K7114" t="s">
        <v>1357</v>
      </c>
      <c r="L7114" t="s">
        <v>1357</v>
      </c>
    </row>
    <row r="7115" spans="8:12">
      <c r="H7115" t="s">
        <v>20308</v>
      </c>
      <c r="I7115" t="s">
        <v>1357</v>
      </c>
      <c r="J7115" t="s">
        <v>1357</v>
      </c>
      <c r="K7115" t="s">
        <v>1357</v>
      </c>
      <c r="L7115" t="s">
        <v>1357</v>
      </c>
    </row>
    <row r="7116" spans="8:12">
      <c r="H7116" t="s">
        <v>20284</v>
      </c>
      <c r="I7116" t="s">
        <v>1357</v>
      </c>
      <c r="J7116" t="s">
        <v>1357</v>
      </c>
      <c r="K7116" t="s">
        <v>1357</v>
      </c>
      <c r="L7116" t="s">
        <v>1357</v>
      </c>
    </row>
    <row r="7117" spans="8:12">
      <c r="H7117" t="s">
        <v>20285</v>
      </c>
      <c r="I7117" t="s">
        <v>1357</v>
      </c>
      <c r="J7117" t="s">
        <v>1357</v>
      </c>
      <c r="K7117" t="s">
        <v>1357</v>
      </c>
      <c r="L7117" t="s">
        <v>1357</v>
      </c>
    </row>
    <row r="7118" spans="8:12">
      <c r="H7118" t="s">
        <v>20286</v>
      </c>
      <c r="I7118" t="s">
        <v>1357</v>
      </c>
      <c r="J7118" t="s">
        <v>1357</v>
      </c>
      <c r="K7118" t="s">
        <v>1357</v>
      </c>
      <c r="L7118" t="s">
        <v>1357</v>
      </c>
    </row>
    <row r="7119" spans="8:12">
      <c r="H7119" t="s">
        <v>20287</v>
      </c>
      <c r="I7119" t="s">
        <v>1357</v>
      </c>
      <c r="J7119" t="s">
        <v>1357</v>
      </c>
      <c r="K7119" t="s">
        <v>1357</v>
      </c>
      <c r="L7119" t="s">
        <v>1357</v>
      </c>
    </row>
    <row r="7120" spans="8:12">
      <c r="H7120" t="s">
        <v>20288</v>
      </c>
      <c r="I7120" t="s">
        <v>1357</v>
      </c>
      <c r="J7120" t="s">
        <v>1357</v>
      </c>
      <c r="K7120" t="s">
        <v>1357</v>
      </c>
      <c r="L7120" t="s">
        <v>1357</v>
      </c>
    </row>
    <row r="7121" spans="6:12">
      <c r="H7121" t="s">
        <v>20289</v>
      </c>
      <c r="I7121" t="s">
        <v>1357</v>
      </c>
      <c r="J7121" t="s">
        <v>1357</v>
      </c>
      <c r="K7121" t="s">
        <v>1357</v>
      </c>
      <c r="L7121" t="s">
        <v>1357</v>
      </c>
    </row>
    <row r="7122" spans="6:12">
      <c r="F7122" t="s">
        <v>14859</v>
      </c>
      <c r="G7122" t="s">
        <v>17703</v>
      </c>
      <c r="H7122" t="s">
        <v>20280</v>
      </c>
      <c r="I7122" t="s">
        <v>1357</v>
      </c>
      <c r="J7122" t="s">
        <v>1357</v>
      </c>
      <c r="K7122" t="s">
        <v>1357</v>
      </c>
      <c r="L7122" t="s">
        <v>1357</v>
      </c>
    </row>
    <row r="7123" spans="6:12">
      <c r="H7123" t="s">
        <v>20233</v>
      </c>
      <c r="I7123" t="s">
        <v>1357</v>
      </c>
      <c r="J7123" t="s">
        <v>1357</v>
      </c>
      <c r="K7123" t="s">
        <v>1357</v>
      </c>
      <c r="L7123" t="s">
        <v>1357</v>
      </c>
    </row>
    <row r="7124" spans="6:12">
      <c r="H7124" t="s">
        <v>20230</v>
      </c>
      <c r="I7124" t="s">
        <v>1357</v>
      </c>
      <c r="J7124" t="s">
        <v>1357</v>
      </c>
      <c r="K7124" t="s">
        <v>1357</v>
      </c>
      <c r="L7124" t="s">
        <v>1357</v>
      </c>
    </row>
    <row r="7125" spans="6:12">
      <c r="H7125" t="s">
        <v>20227</v>
      </c>
      <c r="I7125" t="s">
        <v>1357</v>
      </c>
      <c r="J7125" t="s">
        <v>1357</v>
      </c>
      <c r="K7125" t="s">
        <v>1357</v>
      </c>
      <c r="L7125" t="s">
        <v>1357</v>
      </c>
    </row>
    <row r="7126" spans="6:12">
      <c r="H7126" t="s">
        <v>20228</v>
      </c>
      <c r="I7126" t="s">
        <v>1357</v>
      </c>
      <c r="J7126" t="s">
        <v>1357</v>
      </c>
      <c r="K7126" t="s">
        <v>1357</v>
      </c>
      <c r="L7126" t="s">
        <v>1357</v>
      </c>
    </row>
    <row r="7127" spans="6:12">
      <c r="H7127" t="s">
        <v>20232</v>
      </c>
      <c r="I7127" t="s">
        <v>1357</v>
      </c>
      <c r="J7127" t="s">
        <v>1357</v>
      </c>
      <c r="K7127" t="s">
        <v>1357</v>
      </c>
      <c r="L7127" t="s">
        <v>1357</v>
      </c>
    </row>
    <row r="7128" spans="6:12">
      <c r="H7128" t="s">
        <v>20281</v>
      </c>
      <c r="I7128" t="s">
        <v>1357</v>
      </c>
      <c r="J7128" t="s">
        <v>1357</v>
      </c>
      <c r="K7128" t="s">
        <v>1357</v>
      </c>
      <c r="L7128" t="s">
        <v>1357</v>
      </c>
    </row>
    <row r="7129" spans="6:12">
      <c r="H7129" t="s">
        <v>20282</v>
      </c>
      <c r="I7129" t="s">
        <v>1357</v>
      </c>
      <c r="J7129" t="s">
        <v>1357</v>
      </c>
      <c r="K7129" t="s">
        <v>1357</v>
      </c>
      <c r="L7129" t="s">
        <v>1357</v>
      </c>
    </row>
    <row r="7130" spans="6:12">
      <c r="H7130" t="s">
        <v>20283</v>
      </c>
      <c r="I7130" t="s">
        <v>1357</v>
      </c>
      <c r="J7130" t="s">
        <v>1357</v>
      </c>
      <c r="K7130" t="s">
        <v>1357</v>
      </c>
      <c r="L7130" t="s">
        <v>1357</v>
      </c>
    </row>
    <row r="7131" spans="6:12">
      <c r="H7131" t="s">
        <v>20292</v>
      </c>
      <c r="I7131" t="s">
        <v>1357</v>
      </c>
      <c r="J7131" t="s">
        <v>1357</v>
      </c>
      <c r="K7131" t="s">
        <v>1357</v>
      </c>
      <c r="L7131" t="s">
        <v>1357</v>
      </c>
    </row>
    <row r="7132" spans="6:12">
      <c r="H7132" t="s">
        <v>20305</v>
      </c>
      <c r="I7132" t="s">
        <v>1357</v>
      </c>
      <c r="J7132" t="s">
        <v>1357</v>
      </c>
      <c r="K7132" t="s">
        <v>1357</v>
      </c>
      <c r="L7132" t="s">
        <v>1357</v>
      </c>
    </row>
    <row r="7133" spans="6:12">
      <c r="H7133" t="s">
        <v>20306</v>
      </c>
      <c r="I7133" t="s">
        <v>1357</v>
      </c>
      <c r="J7133" t="s">
        <v>1357</v>
      </c>
      <c r="K7133" t="s">
        <v>1357</v>
      </c>
      <c r="L7133" t="s">
        <v>1357</v>
      </c>
    </row>
    <row r="7134" spans="6:12">
      <c r="H7134" t="s">
        <v>20307</v>
      </c>
      <c r="I7134" t="s">
        <v>1357</v>
      </c>
      <c r="J7134" t="s">
        <v>1357</v>
      </c>
      <c r="K7134" t="s">
        <v>1357</v>
      </c>
      <c r="L7134" t="s">
        <v>1357</v>
      </c>
    </row>
    <row r="7135" spans="6:12">
      <c r="H7135" t="s">
        <v>20008</v>
      </c>
      <c r="I7135" t="s">
        <v>1357</v>
      </c>
      <c r="J7135" t="s">
        <v>1357</v>
      </c>
      <c r="K7135" t="s">
        <v>1357</v>
      </c>
      <c r="L7135" t="s">
        <v>1357</v>
      </c>
    </row>
    <row r="7136" spans="6:12">
      <c r="H7136" t="s">
        <v>20284</v>
      </c>
      <c r="I7136" t="s">
        <v>1357</v>
      </c>
      <c r="J7136" t="s">
        <v>1357</v>
      </c>
      <c r="K7136" t="s">
        <v>1357</v>
      </c>
      <c r="L7136" t="s">
        <v>1357</v>
      </c>
    </row>
    <row r="7137" spans="6:12">
      <c r="H7137" t="s">
        <v>20285</v>
      </c>
      <c r="I7137" t="s">
        <v>1357</v>
      </c>
      <c r="J7137" t="s">
        <v>1357</v>
      </c>
      <c r="K7137" t="s">
        <v>1357</v>
      </c>
      <c r="L7137" t="s">
        <v>1357</v>
      </c>
    </row>
    <row r="7138" spans="6:12">
      <c r="H7138" t="s">
        <v>20286</v>
      </c>
      <c r="I7138" t="s">
        <v>1357</v>
      </c>
      <c r="J7138" t="s">
        <v>1357</v>
      </c>
      <c r="K7138" t="s">
        <v>1357</v>
      </c>
      <c r="L7138" t="s">
        <v>1357</v>
      </c>
    </row>
    <row r="7139" spans="6:12">
      <c r="H7139" t="s">
        <v>20287</v>
      </c>
      <c r="I7139" t="s">
        <v>1357</v>
      </c>
      <c r="J7139" t="s">
        <v>1357</v>
      </c>
      <c r="K7139" t="s">
        <v>1357</v>
      </c>
      <c r="L7139" t="s">
        <v>1357</v>
      </c>
    </row>
    <row r="7140" spans="6:12">
      <c r="H7140" t="s">
        <v>20288</v>
      </c>
      <c r="I7140" t="s">
        <v>1357</v>
      </c>
      <c r="J7140" t="s">
        <v>1357</v>
      </c>
      <c r="K7140" t="s">
        <v>1357</v>
      </c>
      <c r="L7140" t="s">
        <v>1357</v>
      </c>
    </row>
    <row r="7141" spans="6:12">
      <c r="H7141" t="s">
        <v>20289</v>
      </c>
      <c r="I7141" t="s">
        <v>1357</v>
      </c>
      <c r="J7141" t="s">
        <v>1357</v>
      </c>
      <c r="K7141" t="s">
        <v>1357</v>
      </c>
      <c r="L7141" t="s">
        <v>1357</v>
      </c>
    </row>
    <row r="7142" spans="6:12">
      <c r="H7142" t="s">
        <v>20290</v>
      </c>
      <c r="I7142" t="s">
        <v>1357</v>
      </c>
      <c r="J7142" t="s">
        <v>1357</v>
      </c>
      <c r="K7142" t="s">
        <v>1357</v>
      </c>
      <c r="L7142" t="s">
        <v>1357</v>
      </c>
    </row>
    <row r="7143" spans="6:12">
      <c r="H7143" t="s">
        <v>20291</v>
      </c>
      <c r="I7143" t="s">
        <v>1357</v>
      </c>
      <c r="J7143" t="s">
        <v>1357</v>
      </c>
      <c r="K7143" t="s">
        <v>1357</v>
      </c>
      <c r="L7143" t="s">
        <v>1357</v>
      </c>
    </row>
    <row r="7144" spans="6:12">
      <c r="H7144" t="s">
        <v>20293</v>
      </c>
      <c r="I7144" t="s">
        <v>1357</v>
      </c>
      <c r="J7144" t="s">
        <v>1357</v>
      </c>
      <c r="K7144" t="s">
        <v>1357</v>
      </c>
      <c r="L7144" t="s">
        <v>1357</v>
      </c>
    </row>
    <row r="7145" spans="6:12">
      <c r="F7145" t="s">
        <v>14860</v>
      </c>
      <c r="G7145" t="s">
        <v>17704</v>
      </c>
      <c r="H7145" t="s">
        <v>20280</v>
      </c>
      <c r="I7145" t="s">
        <v>1357</v>
      </c>
      <c r="J7145" t="s">
        <v>1357</v>
      </c>
      <c r="K7145" t="s">
        <v>1357</v>
      </c>
      <c r="L7145" t="s">
        <v>1357</v>
      </c>
    </row>
    <row r="7146" spans="6:12">
      <c r="H7146" t="s">
        <v>20233</v>
      </c>
      <c r="I7146" t="s">
        <v>1357</v>
      </c>
      <c r="J7146" t="s">
        <v>1357</v>
      </c>
      <c r="K7146" t="s">
        <v>1357</v>
      </c>
      <c r="L7146" t="s">
        <v>1357</v>
      </c>
    </row>
    <row r="7147" spans="6:12">
      <c r="H7147" t="s">
        <v>20230</v>
      </c>
      <c r="I7147" t="s">
        <v>1357</v>
      </c>
      <c r="J7147" t="s">
        <v>1357</v>
      </c>
      <c r="K7147" t="s">
        <v>1357</v>
      </c>
      <c r="L7147" t="s">
        <v>1357</v>
      </c>
    </row>
    <row r="7148" spans="6:12">
      <c r="H7148" t="s">
        <v>20296</v>
      </c>
      <c r="I7148" t="s">
        <v>1357</v>
      </c>
      <c r="J7148" t="s">
        <v>1357</v>
      </c>
      <c r="K7148" t="s">
        <v>1357</v>
      </c>
      <c r="L7148" t="s">
        <v>1357</v>
      </c>
    </row>
    <row r="7149" spans="6:12">
      <c r="H7149" t="s">
        <v>20297</v>
      </c>
      <c r="I7149" t="s">
        <v>1357</v>
      </c>
      <c r="J7149" t="s">
        <v>1357</v>
      </c>
      <c r="K7149" t="s">
        <v>1357</v>
      </c>
      <c r="L7149" t="s">
        <v>1357</v>
      </c>
    </row>
    <row r="7150" spans="6:12">
      <c r="H7150" t="s">
        <v>20284</v>
      </c>
      <c r="I7150" t="s">
        <v>1357</v>
      </c>
      <c r="J7150" t="s">
        <v>1357</v>
      </c>
      <c r="K7150" t="s">
        <v>1357</v>
      </c>
      <c r="L7150" t="s">
        <v>1357</v>
      </c>
    </row>
    <row r="7151" spans="6:12">
      <c r="H7151" t="s">
        <v>20285</v>
      </c>
      <c r="I7151" t="s">
        <v>1357</v>
      </c>
      <c r="J7151" t="s">
        <v>1357</v>
      </c>
      <c r="K7151" t="s">
        <v>1357</v>
      </c>
      <c r="L7151" t="s">
        <v>1357</v>
      </c>
    </row>
    <row r="7152" spans="6:12">
      <c r="H7152" t="s">
        <v>20286</v>
      </c>
      <c r="I7152" t="s">
        <v>1357</v>
      </c>
      <c r="J7152" t="s">
        <v>1357</v>
      </c>
      <c r="K7152" t="s">
        <v>1357</v>
      </c>
      <c r="L7152" t="s">
        <v>1357</v>
      </c>
    </row>
    <row r="7153" spans="6:12">
      <c r="H7153" t="s">
        <v>20287</v>
      </c>
      <c r="I7153" t="s">
        <v>1357</v>
      </c>
      <c r="J7153" t="s">
        <v>1357</v>
      </c>
      <c r="K7153" t="s">
        <v>1357</v>
      </c>
      <c r="L7153" t="s">
        <v>1357</v>
      </c>
    </row>
    <row r="7154" spans="6:12">
      <c r="F7154" t="s">
        <v>14861</v>
      </c>
      <c r="G7154" t="s">
        <v>17705</v>
      </c>
      <c r="H7154" t="s">
        <v>20280</v>
      </c>
      <c r="I7154" t="s">
        <v>1357</v>
      </c>
      <c r="J7154" t="s">
        <v>1357</v>
      </c>
      <c r="K7154" t="s">
        <v>1357</v>
      </c>
      <c r="L7154" t="s">
        <v>1357</v>
      </c>
    </row>
    <row r="7155" spans="6:12">
      <c r="H7155" t="s">
        <v>20233</v>
      </c>
      <c r="I7155" t="s">
        <v>1357</v>
      </c>
      <c r="J7155" t="s">
        <v>1357</v>
      </c>
      <c r="K7155" t="s">
        <v>1357</v>
      </c>
      <c r="L7155" t="s">
        <v>1357</v>
      </c>
    </row>
    <row r="7156" spans="6:12">
      <c r="H7156" t="s">
        <v>20230</v>
      </c>
      <c r="I7156" t="s">
        <v>1357</v>
      </c>
      <c r="J7156" t="s">
        <v>1357</v>
      </c>
      <c r="K7156" t="s">
        <v>1357</v>
      </c>
      <c r="L7156" t="s">
        <v>1357</v>
      </c>
    </row>
    <row r="7157" spans="6:12">
      <c r="H7157" t="s">
        <v>20227</v>
      </c>
      <c r="I7157" t="s">
        <v>1357</v>
      </c>
      <c r="J7157" t="s">
        <v>1357</v>
      </c>
      <c r="K7157" t="s">
        <v>1357</v>
      </c>
      <c r="L7157" t="s">
        <v>1357</v>
      </c>
    </row>
    <row r="7158" spans="6:12">
      <c r="H7158" t="s">
        <v>20228</v>
      </c>
      <c r="I7158" t="s">
        <v>1357</v>
      </c>
      <c r="J7158" t="s">
        <v>1357</v>
      </c>
      <c r="K7158" t="s">
        <v>1357</v>
      </c>
      <c r="L7158" t="s">
        <v>1357</v>
      </c>
    </row>
    <row r="7159" spans="6:12">
      <c r="H7159" t="s">
        <v>20232</v>
      </c>
      <c r="I7159" t="s">
        <v>1357</v>
      </c>
      <c r="J7159" t="s">
        <v>1357</v>
      </c>
      <c r="K7159" t="s">
        <v>1357</v>
      </c>
      <c r="L7159" t="s">
        <v>1357</v>
      </c>
    </row>
    <row r="7160" spans="6:12">
      <c r="H7160" t="s">
        <v>20296</v>
      </c>
      <c r="I7160" t="s">
        <v>1357</v>
      </c>
      <c r="J7160" t="s">
        <v>1357</v>
      </c>
      <c r="K7160" t="s">
        <v>1357</v>
      </c>
      <c r="L7160" t="s">
        <v>1357</v>
      </c>
    </row>
    <row r="7161" spans="6:12">
      <c r="H7161" t="s">
        <v>20297</v>
      </c>
      <c r="I7161" t="s">
        <v>1357</v>
      </c>
      <c r="J7161" t="s">
        <v>1357</v>
      </c>
      <c r="K7161" t="s">
        <v>1357</v>
      </c>
      <c r="L7161" t="s">
        <v>1357</v>
      </c>
    </row>
    <row r="7162" spans="6:12">
      <c r="H7162" t="s">
        <v>20234</v>
      </c>
      <c r="I7162" t="s">
        <v>1357</v>
      </c>
      <c r="J7162" t="s">
        <v>1357</v>
      </c>
      <c r="K7162" t="s">
        <v>1357</v>
      </c>
      <c r="L7162" t="s">
        <v>1357</v>
      </c>
    </row>
    <row r="7163" spans="6:12">
      <c r="H7163" t="s">
        <v>20235</v>
      </c>
      <c r="I7163" t="s">
        <v>1357</v>
      </c>
      <c r="J7163" t="s">
        <v>1357</v>
      </c>
      <c r="K7163" t="s">
        <v>1357</v>
      </c>
      <c r="L7163" t="s">
        <v>1357</v>
      </c>
    </row>
    <row r="7164" spans="6:12">
      <c r="H7164" t="s">
        <v>20298</v>
      </c>
      <c r="I7164" t="s">
        <v>1357</v>
      </c>
      <c r="J7164" t="s">
        <v>1357</v>
      </c>
      <c r="K7164" t="s">
        <v>1357</v>
      </c>
      <c r="L7164" t="s">
        <v>1357</v>
      </c>
    </row>
    <row r="7165" spans="6:12">
      <c r="H7165" t="s">
        <v>20299</v>
      </c>
      <c r="I7165" t="s">
        <v>1357</v>
      </c>
      <c r="J7165" t="s">
        <v>1357</v>
      </c>
      <c r="K7165" t="s">
        <v>1357</v>
      </c>
      <c r="L7165" t="s">
        <v>1357</v>
      </c>
    </row>
    <row r="7166" spans="6:12">
      <c r="H7166" t="s">
        <v>20281</v>
      </c>
      <c r="I7166" t="s">
        <v>1357</v>
      </c>
      <c r="J7166" t="s">
        <v>1357</v>
      </c>
      <c r="K7166" t="s">
        <v>1357</v>
      </c>
      <c r="L7166" t="s">
        <v>1357</v>
      </c>
    </row>
    <row r="7167" spans="6:12">
      <c r="H7167" t="s">
        <v>20284</v>
      </c>
      <c r="I7167" t="s">
        <v>1357</v>
      </c>
      <c r="J7167" t="s">
        <v>1357</v>
      </c>
      <c r="K7167" t="s">
        <v>1357</v>
      </c>
      <c r="L7167" t="s">
        <v>1357</v>
      </c>
    </row>
    <row r="7168" spans="6:12">
      <c r="H7168" t="s">
        <v>20285</v>
      </c>
      <c r="I7168" t="s">
        <v>1357</v>
      </c>
      <c r="J7168" t="s">
        <v>1357</v>
      </c>
      <c r="K7168" t="s">
        <v>1357</v>
      </c>
      <c r="L7168" t="s">
        <v>1357</v>
      </c>
    </row>
    <row r="7169" spans="6:12">
      <c r="H7169" t="s">
        <v>20286</v>
      </c>
      <c r="I7169" t="s">
        <v>1357</v>
      </c>
      <c r="J7169" t="s">
        <v>1357</v>
      </c>
      <c r="K7169" t="s">
        <v>1357</v>
      </c>
      <c r="L7169" t="s">
        <v>1357</v>
      </c>
    </row>
    <row r="7170" spans="6:12">
      <c r="H7170" t="s">
        <v>20287</v>
      </c>
      <c r="I7170" t="s">
        <v>1357</v>
      </c>
      <c r="J7170" t="s">
        <v>1357</v>
      </c>
      <c r="K7170" t="s">
        <v>1357</v>
      </c>
      <c r="L7170" t="s">
        <v>1357</v>
      </c>
    </row>
    <row r="7171" spans="6:12">
      <c r="F7171" t="s">
        <v>14862</v>
      </c>
      <c r="G7171" t="s">
        <v>17706</v>
      </c>
      <c r="H7171" t="s">
        <v>20280</v>
      </c>
      <c r="I7171" t="s">
        <v>1357</v>
      </c>
      <c r="J7171" t="s">
        <v>1357</v>
      </c>
      <c r="K7171" t="s">
        <v>1357</v>
      </c>
      <c r="L7171" t="s">
        <v>1357</v>
      </c>
    </row>
    <row r="7172" spans="6:12">
      <c r="H7172" t="s">
        <v>20233</v>
      </c>
      <c r="I7172" t="s">
        <v>1357</v>
      </c>
      <c r="J7172" t="s">
        <v>1357</v>
      </c>
      <c r="K7172" t="s">
        <v>1357</v>
      </c>
      <c r="L7172" t="s">
        <v>1357</v>
      </c>
    </row>
    <row r="7173" spans="6:12">
      <c r="H7173" t="s">
        <v>20230</v>
      </c>
      <c r="I7173" t="s">
        <v>1357</v>
      </c>
      <c r="J7173" t="s">
        <v>1357</v>
      </c>
      <c r="K7173" t="s">
        <v>1357</v>
      </c>
      <c r="L7173" t="s">
        <v>1357</v>
      </c>
    </row>
    <row r="7174" spans="6:12">
      <c r="H7174" t="s">
        <v>20281</v>
      </c>
      <c r="I7174" t="s">
        <v>1357</v>
      </c>
      <c r="J7174" t="s">
        <v>1357</v>
      </c>
      <c r="K7174" t="s">
        <v>1357</v>
      </c>
      <c r="L7174" t="s">
        <v>1357</v>
      </c>
    </row>
    <row r="7175" spans="6:12">
      <c r="H7175" t="s">
        <v>20282</v>
      </c>
      <c r="I7175" t="s">
        <v>1357</v>
      </c>
      <c r="J7175" t="s">
        <v>1357</v>
      </c>
      <c r="K7175" t="s">
        <v>1357</v>
      </c>
      <c r="L7175" t="s">
        <v>1357</v>
      </c>
    </row>
    <row r="7176" spans="6:12">
      <c r="H7176" t="s">
        <v>20284</v>
      </c>
      <c r="I7176" t="s">
        <v>1357</v>
      </c>
      <c r="J7176" t="s">
        <v>1357</v>
      </c>
      <c r="K7176" t="s">
        <v>1357</v>
      </c>
      <c r="L7176" t="s">
        <v>1357</v>
      </c>
    </row>
    <row r="7177" spans="6:12">
      <c r="H7177" t="s">
        <v>20285</v>
      </c>
      <c r="I7177" t="s">
        <v>1357</v>
      </c>
      <c r="J7177" t="s">
        <v>1357</v>
      </c>
      <c r="K7177" t="s">
        <v>1357</v>
      </c>
      <c r="L7177" t="s">
        <v>1357</v>
      </c>
    </row>
    <row r="7178" spans="6:12">
      <c r="H7178" t="s">
        <v>20286</v>
      </c>
      <c r="I7178" t="s">
        <v>1357</v>
      </c>
      <c r="J7178" t="s">
        <v>1357</v>
      </c>
      <c r="K7178" t="s">
        <v>1357</v>
      </c>
      <c r="L7178" t="s">
        <v>1357</v>
      </c>
    </row>
    <row r="7179" spans="6:12">
      <c r="H7179" t="s">
        <v>20287</v>
      </c>
      <c r="I7179" t="s">
        <v>1357</v>
      </c>
      <c r="J7179" t="s">
        <v>1357</v>
      </c>
      <c r="K7179" t="s">
        <v>1357</v>
      </c>
      <c r="L7179" t="s">
        <v>1357</v>
      </c>
    </row>
    <row r="7180" spans="6:12">
      <c r="H7180" t="s">
        <v>20288</v>
      </c>
      <c r="I7180" t="s">
        <v>1357</v>
      </c>
      <c r="J7180" t="s">
        <v>1357</v>
      </c>
      <c r="K7180" t="s">
        <v>1357</v>
      </c>
      <c r="L7180" t="s">
        <v>1357</v>
      </c>
    </row>
    <row r="7181" spans="6:12">
      <c r="H7181" t="s">
        <v>20289</v>
      </c>
      <c r="I7181" t="s">
        <v>1357</v>
      </c>
      <c r="J7181" t="s">
        <v>1357</v>
      </c>
      <c r="K7181" t="s">
        <v>1357</v>
      </c>
      <c r="L7181" t="s">
        <v>1357</v>
      </c>
    </row>
    <row r="7182" spans="6:12">
      <c r="F7182" t="s">
        <v>14863</v>
      </c>
      <c r="G7182" t="s">
        <v>17707</v>
      </c>
      <c r="H7182" t="s">
        <v>20280</v>
      </c>
      <c r="I7182" t="s">
        <v>1357</v>
      </c>
      <c r="J7182" t="s">
        <v>1357</v>
      </c>
      <c r="K7182" t="s">
        <v>1357</v>
      </c>
      <c r="L7182" t="s">
        <v>1357</v>
      </c>
    </row>
    <row r="7183" spans="6:12">
      <c r="H7183" t="s">
        <v>20233</v>
      </c>
      <c r="I7183" t="s">
        <v>1357</v>
      </c>
      <c r="J7183" t="s">
        <v>1357</v>
      </c>
      <c r="K7183" t="s">
        <v>1357</v>
      </c>
      <c r="L7183" t="s">
        <v>1357</v>
      </c>
    </row>
    <row r="7184" spans="6:12">
      <c r="H7184" t="s">
        <v>20230</v>
      </c>
      <c r="I7184" t="s">
        <v>1357</v>
      </c>
      <c r="J7184" t="s">
        <v>1357</v>
      </c>
      <c r="K7184" t="s">
        <v>1357</v>
      </c>
      <c r="L7184" t="s">
        <v>1357</v>
      </c>
    </row>
    <row r="7185" spans="6:12">
      <c r="H7185" t="s">
        <v>20227</v>
      </c>
      <c r="I7185" t="s">
        <v>1357</v>
      </c>
      <c r="J7185" t="s">
        <v>1357</v>
      </c>
      <c r="K7185" t="s">
        <v>1357</v>
      </c>
      <c r="L7185" t="s">
        <v>1357</v>
      </c>
    </row>
    <row r="7186" spans="6:12">
      <c r="H7186" t="s">
        <v>20228</v>
      </c>
      <c r="I7186" t="s">
        <v>1357</v>
      </c>
      <c r="J7186" t="s">
        <v>1357</v>
      </c>
      <c r="K7186" t="s">
        <v>1357</v>
      </c>
      <c r="L7186" t="s">
        <v>1357</v>
      </c>
    </row>
    <row r="7187" spans="6:12">
      <c r="H7187" t="s">
        <v>20296</v>
      </c>
      <c r="I7187" t="s">
        <v>1357</v>
      </c>
      <c r="J7187" t="s">
        <v>1357</v>
      </c>
      <c r="K7187" t="s">
        <v>1357</v>
      </c>
      <c r="L7187" t="s">
        <v>1357</v>
      </c>
    </row>
    <row r="7188" spans="6:12">
      <c r="H7188" t="s">
        <v>20297</v>
      </c>
      <c r="I7188" t="s">
        <v>1357</v>
      </c>
      <c r="J7188" t="s">
        <v>1357</v>
      </c>
      <c r="K7188" t="s">
        <v>1357</v>
      </c>
      <c r="L7188" t="s">
        <v>1357</v>
      </c>
    </row>
    <row r="7189" spans="6:12">
      <c r="H7189" t="s">
        <v>20234</v>
      </c>
      <c r="I7189" t="s">
        <v>1357</v>
      </c>
      <c r="J7189" t="s">
        <v>1357</v>
      </c>
      <c r="K7189" t="s">
        <v>1357</v>
      </c>
      <c r="L7189" t="s">
        <v>1357</v>
      </c>
    </row>
    <row r="7190" spans="6:12">
      <c r="H7190" t="s">
        <v>20235</v>
      </c>
      <c r="I7190" t="s">
        <v>1357</v>
      </c>
      <c r="J7190" t="s">
        <v>1357</v>
      </c>
      <c r="K7190" t="s">
        <v>1357</v>
      </c>
      <c r="L7190" t="s">
        <v>1357</v>
      </c>
    </row>
    <row r="7191" spans="6:12">
      <c r="H7191" t="s">
        <v>20284</v>
      </c>
      <c r="I7191" t="s">
        <v>1357</v>
      </c>
      <c r="J7191" t="s">
        <v>1357</v>
      </c>
      <c r="K7191" t="s">
        <v>1357</v>
      </c>
      <c r="L7191" t="s">
        <v>1357</v>
      </c>
    </row>
    <row r="7192" spans="6:12">
      <c r="H7192" t="s">
        <v>20285</v>
      </c>
      <c r="I7192" t="s">
        <v>1357</v>
      </c>
      <c r="J7192" t="s">
        <v>1357</v>
      </c>
      <c r="K7192" t="s">
        <v>1357</v>
      </c>
      <c r="L7192" t="s">
        <v>1357</v>
      </c>
    </row>
    <row r="7193" spans="6:12">
      <c r="H7193" t="s">
        <v>20286</v>
      </c>
      <c r="I7193" t="s">
        <v>1357</v>
      </c>
      <c r="J7193" t="s">
        <v>1357</v>
      </c>
      <c r="K7193" t="s">
        <v>1357</v>
      </c>
      <c r="L7193" t="s">
        <v>1357</v>
      </c>
    </row>
    <row r="7194" spans="6:12">
      <c r="H7194" t="s">
        <v>20287</v>
      </c>
      <c r="I7194" t="s">
        <v>1357</v>
      </c>
      <c r="J7194" t="s">
        <v>1357</v>
      </c>
      <c r="K7194" t="s">
        <v>1357</v>
      </c>
      <c r="L7194" t="s">
        <v>1357</v>
      </c>
    </row>
    <row r="7195" spans="6:12">
      <c r="F7195" t="s">
        <v>14864</v>
      </c>
      <c r="G7195" t="s">
        <v>17708</v>
      </c>
      <c r="H7195" t="s">
        <v>20280</v>
      </c>
      <c r="I7195" t="s">
        <v>1357</v>
      </c>
      <c r="J7195" t="s">
        <v>1357</v>
      </c>
      <c r="K7195" t="s">
        <v>1357</v>
      </c>
      <c r="L7195" t="s">
        <v>1357</v>
      </c>
    </row>
    <row r="7196" spans="6:12">
      <c r="H7196" t="s">
        <v>20233</v>
      </c>
      <c r="I7196" t="s">
        <v>1357</v>
      </c>
      <c r="J7196" t="s">
        <v>1357</v>
      </c>
      <c r="K7196" t="s">
        <v>1357</v>
      </c>
      <c r="L7196" t="s">
        <v>1357</v>
      </c>
    </row>
    <row r="7197" spans="6:12">
      <c r="H7197" t="s">
        <v>20230</v>
      </c>
      <c r="I7197" t="s">
        <v>1357</v>
      </c>
      <c r="J7197" t="s">
        <v>1357</v>
      </c>
      <c r="K7197" t="s">
        <v>1357</v>
      </c>
      <c r="L7197" t="s">
        <v>1357</v>
      </c>
    </row>
    <row r="7198" spans="6:12">
      <c r="H7198" t="s">
        <v>20227</v>
      </c>
      <c r="I7198" t="s">
        <v>1357</v>
      </c>
      <c r="J7198" t="s">
        <v>1357</v>
      </c>
      <c r="K7198" t="s">
        <v>1357</v>
      </c>
      <c r="L7198" t="s">
        <v>1357</v>
      </c>
    </row>
    <row r="7199" spans="6:12">
      <c r="H7199" t="s">
        <v>20228</v>
      </c>
      <c r="I7199" t="s">
        <v>1357</v>
      </c>
      <c r="J7199" t="s">
        <v>1357</v>
      </c>
      <c r="K7199" t="s">
        <v>1357</v>
      </c>
      <c r="L7199" t="s">
        <v>1357</v>
      </c>
    </row>
    <row r="7200" spans="6:12">
      <c r="H7200" t="s">
        <v>20296</v>
      </c>
      <c r="I7200" t="s">
        <v>1357</v>
      </c>
      <c r="J7200" t="s">
        <v>1357</v>
      </c>
      <c r="K7200" t="s">
        <v>1357</v>
      </c>
      <c r="L7200" t="s">
        <v>1357</v>
      </c>
    </row>
    <row r="7201" spans="6:12">
      <c r="H7201" t="s">
        <v>20297</v>
      </c>
      <c r="I7201" t="s">
        <v>1357</v>
      </c>
      <c r="J7201" t="s">
        <v>1357</v>
      </c>
      <c r="K7201" t="s">
        <v>1357</v>
      </c>
      <c r="L7201" t="s">
        <v>1357</v>
      </c>
    </row>
    <row r="7202" spans="6:12">
      <c r="H7202" t="s">
        <v>20234</v>
      </c>
      <c r="I7202" t="s">
        <v>1357</v>
      </c>
      <c r="J7202" t="s">
        <v>1357</v>
      </c>
      <c r="K7202" t="s">
        <v>1357</v>
      </c>
      <c r="L7202" t="s">
        <v>1357</v>
      </c>
    </row>
    <row r="7203" spans="6:12">
      <c r="H7203" t="s">
        <v>20235</v>
      </c>
      <c r="I7203" t="s">
        <v>1357</v>
      </c>
      <c r="J7203" t="s">
        <v>1357</v>
      </c>
      <c r="K7203" t="s">
        <v>1357</v>
      </c>
      <c r="L7203" t="s">
        <v>1357</v>
      </c>
    </row>
    <row r="7204" spans="6:12">
      <c r="H7204" t="s">
        <v>20284</v>
      </c>
      <c r="I7204" t="s">
        <v>1357</v>
      </c>
      <c r="J7204" t="s">
        <v>1357</v>
      </c>
      <c r="K7204" t="s">
        <v>1357</v>
      </c>
      <c r="L7204" t="s">
        <v>1357</v>
      </c>
    </row>
    <row r="7205" spans="6:12">
      <c r="H7205" t="s">
        <v>20285</v>
      </c>
      <c r="I7205" t="s">
        <v>1357</v>
      </c>
      <c r="J7205" t="s">
        <v>1357</v>
      </c>
      <c r="K7205" t="s">
        <v>1357</v>
      </c>
      <c r="L7205" t="s">
        <v>1357</v>
      </c>
    </row>
    <row r="7206" spans="6:12">
      <c r="H7206" t="s">
        <v>20286</v>
      </c>
      <c r="I7206" t="s">
        <v>1357</v>
      </c>
      <c r="J7206" t="s">
        <v>1357</v>
      </c>
      <c r="K7206" t="s">
        <v>1357</v>
      </c>
      <c r="L7206" t="s">
        <v>1357</v>
      </c>
    </row>
    <row r="7207" spans="6:12">
      <c r="H7207" t="s">
        <v>20287</v>
      </c>
      <c r="I7207" t="s">
        <v>1357</v>
      </c>
      <c r="J7207" t="s">
        <v>1357</v>
      </c>
      <c r="K7207" t="s">
        <v>1357</v>
      </c>
      <c r="L7207" t="s">
        <v>1357</v>
      </c>
    </row>
    <row r="7208" spans="6:12">
      <c r="F7208" t="s">
        <v>14865</v>
      </c>
      <c r="G7208" t="s">
        <v>17709</v>
      </c>
      <c r="H7208" t="s">
        <v>20280</v>
      </c>
      <c r="I7208" t="s">
        <v>1357</v>
      </c>
      <c r="J7208" t="s">
        <v>1357</v>
      </c>
      <c r="K7208" t="s">
        <v>1357</v>
      </c>
      <c r="L7208" t="s">
        <v>1357</v>
      </c>
    </row>
    <row r="7209" spans="6:12">
      <c r="H7209" t="s">
        <v>20233</v>
      </c>
      <c r="I7209" t="s">
        <v>1357</v>
      </c>
      <c r="J7209" t="s">
        <v>1357</v>
      </c>
      <c r="K7209" t="s">
        <v>1357</v>
      </c>
      <c r="L7209" t="s">
        <v>1357</v>
      </c>
    </row>
    <row r="7210" spans="6:12">
      <c r="H7210" t="s">
        <v>20284</v>
      </c>
      <c r="I7210" t="s">
        <v>1357</v>
      </c>
      <c r="J7210" t="s">
        <v>1357</v>
      </c>
      <c r="K7210" t="s">
        <v>1357</v>
      </c>
      <c r="L7210" t="s">
        <v>1357</v>
      </c>
    </row>
    <row r="7211" spans="6:12">
      <c r="H7211" t="s">
        <v>20285</v>
      </c>
      <c r="I7211" t="s">
        <v>1357</v>
      </c>
      <c r="J7211" t="s">
        <v>1357</v>
      </c>
      <c r="K7211" t="s">
        <v>1357</v>
      </c>
      <c r="L7211" t="s">
        <v>1357</v>
      </c>
    </row>
    <row r="7212" spans="6:12">
      <c r="H7212" t="s">
        <v>20286</v>
      </c>
      <c r="I7212" t="s">
        <v>1357</v>
      </c>
      <c r="J7212" t="s">
        <v>1357</v>
      </c>
      <c r="K7212" t="s">
        <v>1357</v>
      </c>
      <c r="L7212" t="s">
        <v>1357</v>
      </c>
    </row>
    <row r="7213" spans="6:12">
      <c r="H7213" t="s">
        <v>20230</v>
      </c>
      <c r="I7213" t="s">
        <v>1357</v>
      </c>
      <c r="J7213" t="s">
        <v>1357</v>
      </c>
      <c r="K7213" t="s">
        <v>1357</v>
      </c>
      <c r="L7213" t="s">
        <v>1357</v>
      </c>
    </row>
    <row r="7214" spans="6:12">
      <c r="H7214" t="s">
        <v>20227</v>
      </c>
      <c r="I7214" t="s">
        <v>1357</v>
      </c>
      <c r="J7214" t="s">
        <v>1357</v>
      </c>
      <c r="K7214" t="s">
        <v>1357</v>
      </c>
      <c r="L7214" t="s">
        <v>1357</v>
      </c>
    </row>
    <row r="7215" spans="6:12">
      <c r="H7215" t="s">
        <v>20287</v>
      </c>
      <c r="I7215" t="s">
        <v>1357</v>
      </c>
      <c r="J7215" t="s">
        <v>1357</v>
      </c>
      <c r="K7215" t="s">
        <v>1357</v>
      </c>
      <c r="L7215" t="s">
        <v>1357</v>
      </c>
    </row>
    <row r="7216" spans="6:12">
      <c r="H7216" t="s">
        <v>20288</v>
      </c>
      <c r="I7216" t="s">
        <v>1357</v>
      </c>
      <c r="J7216" t="s">
        <v>1357</v>
      </c>
      <c r="K7216" t="s">
        <v>1357</v>
      </c>
      <c r="L7216" t="s">
        <v>1357</v>
      </c>
    </row>
    <row r="7217" spans="6:12">
      <c r="H7217" t="s">
        <v>20289</v>
      </c>
      <c r="I7217" t="s">
        <v>1357</v>
      </c>
      <c r="J7217" t="s">
        <v>1357</v>
      </c>
      <c r="K7217" t="s">
        <v>1357</v>
      </c>
      <c r="L7217" t="s">
        <v>1357</v>
      </c>
    </row>
    <row r="7218" spans="6:12">
      <c r="F7218" t="s">
        <v>14866</v>
      </c>
      <c r="G7218" t="s">
        <v>17710</v>
      </c>
      <c r="H7218" t="s">
        <v>20280</v>
      </c>
      <c r="I7218" t="s">
        <v>1357</v>
      </c>
      <c r="J7218" t="s">
        <v>1357</v>
      </c>
      <c r="K7218" t="s">
        <v>1357</v>
      </c>
      <c r="L7218" t="s">
        <v>1357</v>
      </c>
    </row>
    <row r="7219" spans="6:12">
      <c r="H7219" t="s">
        <v>20233</v>
      </c>
      <c r="I7219" t="s">
        <v>1357</v>
      </c>
      <c r="J7219" t="s">
        <v>1357</v>
      </c>
      <c r="K7219" t="s">
        <v>1357</v>
      </c>
      <c r="L7219" t="s">
        <v>1357</v>
      </c>
    </row>
    <row r="7220" spans="6:12">
      <c r="H7220" t="s">
        <v>20284</v>
      </c>
      <c r="I7220" t="s">
        <v>1357</v>
      </c>
      <c r="J7220" t="s">
        <v>1357</v>
      </c>
      <c r="K7220" t="s">
        <v>1357</v>
      </c>
      <c r="L7220" t="s">
        <v>1357</v>
      </c>
    </row>
    <row r="7221" spans="6:12">
      <c r="H7221" t="s">
        <v>20285</v>
      </c>
      <c r="I7221" t="s">
        <v>1357</v>
      </c>
      <c r="J7221" t="s">
        <v>1357</v>
      </c>
      <c r="K7221" t="s">
        <v>1357</v>
      </c>
      <c r="L7221" t="s">
        <v>1357</v>
      </c>
    </row>
    <row r="7222" spans="6:12">
      <c r="H7222" t="s">
        <v>20286</v>
      </c>
      <c r="I7222" t="s">
        <v>1357</v>
      </c>
      <c r="J7222" t="s">
        <v>1357</v>
      </c>
      <c r="K7222" t="s">
        <v>1357</v>
      </c>
      <c r="L7222" t="s">
        <v>1357</v>
      </c>
    </row>
    <row r="7223" spans="6:12">
      <c r="F7223" t="s">
        <v>14867</v>
      </c>
      <c r="G7223" t="s">
        <v>17711</v>
      </c>
      <c r="H7223" t="s">
        <v>20280</v>
      </c>
      <c r="I7223" t="s">
        <v>1357</v>
      </c>
      <c r="J7223" t="s">
        <v>1357</v>
      </c>
      <c r="K7223" t="s">
        <v>1357</v>
      </c>
      <c r="L7223" t="s">
        <v>1357</v>
      </c>
    </row>
    <row r="7224" spans="6:12">
      <c r="H7224" t="s">
        <v>20233</v>
      </c>
      <c r="I7224" t="s">
        <v>1357</v>
      </c>
      <c r="J7224" t="s">
        <v>1357</v>
      </c>
      <c r="K7224" t="s">
        <v>1357</v>
      </c>
      <c r="L7224" t="s">
        <v>1357</v>
      </c>
    </row>
    <row r="7225" spans="6:12">
      <c r="H7225" t="s">
        <v>20284</v>
      </c>
      <c r="I7225" t="s">
        <v>1357</v>
      </c>
      <c r="J7225" t="s">
        <v>1357</v>
      </c>
      <c r="K7225" t="s">
        <v>1357</v>
      </c>
      <c r="L7225" t="s">
        <v>1357</v>
      </c>
    </row>
    <row r="7226" spans="6:12">
      <c r="H7226" t="s">
        <v>20285</v>
      </c>
      <c r="I7226" t="s">
        <v>1357</v>
      </c>
      <c r="J7226" t="s">
        <v>1357</v>
      </c>
      <c r="K7226" t="s">
        <v>1357</v>
      </c>
      <c r="L7226" t="s">
        <v>1357</v>
      </c>
    </row>
    <row r="7227" spans="6:12">
      <c r="H7227" t="s">
        <v>20286</v>
      </c>
      <c r="I7227" t="s">
        <v>1357</v>
      </c>
      <c r="J7227" t="s">
        <v>1357</v>
      </c>
      <c r="K7227" t="s">
        <v>1357</v>
      </c>
      <c r="L7227" t="s">
        <v>1357</v>
      </c>
    </row>
    <row r="7228" spans="6:12">
      <c r="F7228" t="s">
        <v>14868</v>
      </c>
      <c r="G7228" t="s">
        <v>17712</v>
      </c>
      <c r="H7228" t="s">
        <v>20280</v>
      </c>
      <c r="I7228" t="s">
        <v>1357</v>
      </c>
      <c r="J7228" t="s">
        <v>1357</v>
      </c>
      <c r="K7228" t="s">
        <v>1357</v>
      </c>
      <c r="L7228" t="s">
        <v>1357</v>
      </c>
    </row>
    <row r="7229" spans="6:12">
      <c r="H7229" t="s">
        <v>20233</v>
      </c>
      <c r="I7229" t="s">
        <v>1357</v>
      </c>
      <c r="J7229" t="s">
        <v>1357</v>
      </c>
      <c r="K7229" t="s">
        <v>1357</v>
      </c>
      <c r="L7229" t="s">
        <v>1357</v>
      </c>
    </row>
    <row r="7230" spans="6:12">
      <c r="H7230" t="s">
        <v>20284</v>
      </c>
      <c r="I7230" t="s">
        <v>1357</v>
      </c>
      <c r="J7230" t="s">
        <v>1357</v>
      </c>
      <c r="K7230" t="s">
        <v>1357</v>
      </c>
      <c r="L7230" t="s">
        <v>1357</v>
      </c>
    </row>
    <row r="7231" spans="6:12">
      <c r="H7231" t="s">
        <v>20285</v>
      </c>
      <c r="I7231" t="s">
        <v>1357</v>
      </c>
      <c r="J7231" t="s">
        <v>1357</v>
      </c>
      <c r="K7231" t="s">
        <v>1357</v>
      </c>
      <c r="L7231" t="s">
        <v>1357</v>
      </c>
    </row>
    <row r="7232" spans="6:12">
      <c r="H7232" t="s">
        <v>20286</v>
      </c>
      <c r="I7232" t="s">
        <v>1357</v>
      </c>
      <c r="J7232" t="s">
        <v>1357</v>
      </c>
      <c r="K7232" t="s">
        <v>1357</v>
      </c>
      <c r="L7232" t="s">
        <v>1357</v>
      </c>
    </row>
    <row r="7233" spans="6:12">
      <c r="F7233" t="s">
        <v>14869</v>
      </c>
      <c r="G7233" t="s">
        <v>17713</v>
      </c>
      <c r="H7233" t="s">
        <v>20280</v>
      </c>
      <c r="I7233" t="s">
        <v>1357</v>
      </c>
      <c r="J7233" t="s">
        <v>1357</v>
      </c>
      <c r="K7233" t="s">
        <v>1357</v>
      </c>
      <c r="L7233" t="s">
        <v>1357</v>
      </c>
    </row>
    <row r="7234" spans="6:12">
      <c r="H7234" t="s">
        <v>20233</v>
      </c>
      <c r="I7234" t="s">
        <v>1357</v>
      </c>
      <c r="J7234" t="s">
        <v>1357</v>
      </c>
      <c r="K7234" t="s">
        <v>1357</v>
      </c>
      <c r="L7234" t="s">
        <v>1357</v>
      </c>
    </row>
    <row r="7235" spans="6:12">
      <c r="H7235" t="s">
        <v>20284</v>
      </c>
      <c r="I7235" t="s">
        <v>1357</v>
      </c>
      <c r="J7235" t="s">
        <v>1357</v>
      </c>
      <c r="K7235" t="s">
        <v>1357</v>
      </c>
      <c r="L7235" t="s">
        <v>1357</v>
      </c>
    </row>
    <row r="7236" spans="6:12">
      <c r="H7236" t="s">
        <v>20285</v>
      </c>
      <c r="I7236" t="s">
        <v>1357</v>
      </c>
      <c r="J7236" t="s">
        <v>1357</v>
      </c>
      <c r="K7236" t="s">
        <v>1357</v>
      </c>
      <c r="L7236" t="s">
        <v>1357</v>
      </c>
    </row>
    <row r="7237" spans="6:12">
      <c r="H7237" t="s">
        <v>20286</v>
      </c>
      <c r="I7237" t="s">
        <v>1357</v>
      </c>
      <c r="J7237" t="s">
        <v>1357</v>
      </c>
      <c r="K7237" t="s">
        <v>1357</v>
      </c>
      <c r="L7237" t="s">
        <v>1357</v>
      </c>
    </row>
    <row r="7238" spans="6:12">
      <c r="F7238" t="s">
        <v>14870</v>
      </c>
      <c r="G7238" t="s">
        <v>17714</v>
      </c>
      <c r="H7238" t="s">
        <v>20280</v>
      </c>
      <c r="I7238" t="s">
        <v>1357</v>
      </c>
      <c r="J7238" t="s">
        <v>1357</v>
      </c>
      <c r="K7238" t="s">
        <v>1357</v>
      </c>
      <c r="L7238" t="s">
        <v>1357</v>
      </c>
    </row>
    <row r="7239" spans="6:12">
      <c r="H7239" t="s">
        <v>20233</v>
      </c>
      <c r="I7239" t="s">
        <v>1357</v>
      </c>
      <c r="J7239" t="s">
        <v>1357</v>
      </c>
      <c r="K7239" t="s">
        <v>1357</v>
      </c>
      <c r="L7239" t="s">
        <v>1357</v>
      </c>
    </row>
    <row r="7240" spans="6:12">
      <c r="H7240" t="s">
        <v>20230</v>
      </c>
      <c r="I7240" t="s">
        <v>1357</v>
      </c>
      <c r="J7240" t="s">
        <v>1357</v>
      </c>
      <c r="K7240" t="s">
        <v>1357</v>
      </c>
      <c r="L7240" t="s">
        <v>1357</v>
      </c>
    </row>
    <row r="7241" spans="6:12">
      <c r="H7241" t="s">
        <v>20227</v>
      </c>
      <c r="I7241" t="s">
        <v>1357</v>
      </c>
      <c r="J7241" t="s">
        <v>1357</v>
      </c>
      <c r="K7241" t="s">
        <v>1357</v>
      </c>
      <c r="L7241" t="s">
        <v>1357</v>
      </c>
    </row>
    <row r="7242" spans="6:12">
      <c r="H7242" t="s">
        <v>20296</v>
      </c>
      <c r="I7242" t="s">
        <v>1357</v>
      </c>
      <c r="J7242" t="s">
        <v>1357</v>
      </c>
      <c r="K7242" t="s">
        <v>1357</v>
      </c>
      <c r="L7242" t="s">
        <v>1357</v>
      </c>
    </row>
    <row r="7243" spans="6:12">
      <c r="H7243" t="s">
        <v>20297</v>
      </c>
      <c r="I7243" t="s">
        <v>1357</v>
      </c>
      <c r="J7243" t="s">
        <v>1357</v>
      </c>
      <c r="K7243" t="s">
        <v>1357</v>
      </c>
      <c r="L7243" t="s">
        <v>1357</v>
      </c>
    </row>
    <row r="7244" spans="6:12">
      <c r="H7244" t="s">
        <v>20234</v>
      </c>
      <c r="I7244" t="s">
        <v>1357</v>
      </c>
      <c r="J7244" t="s">
        <v>1357</v>
      </c>
      <c r="K7244" t="s">
        <v>1357</v>
      </c>
      <c r="L7244" t="s">
        <v>1357</v>
      </c>
    </row>
    <row r="7245" spans="6:12">
      <c r="H7245" t="s">
        <v>20235</v>
      </c>
      <c r="I7245" t="s">
        <v>1357</v>
      </c>
      <c r="J7245" t="s">
        <v>1357</v>
      </c>
      <c r="K7245" t="s">
        <v>1357</v>
      </c>
      <c r="L7245" t="s">
        <v>1357</v>
      </c>
    </row>
    <row r="7246" spans="6:12">
      <c r="H7246" t="s">
        <v>20298</v>
      </c>
      <c r="I7246" t="s">
        <v>1357</v>
      </c>
      <c r="J7246" t="s">
        <v>1357</v>
      </c>
      <c r="K7246" t="s">
        <v>1357</v>
      </c>
      <c r="L7246" t="s">
        <v>1357</v>
      </c>
    </row>
    <row r="7247" spans="6:12">
      <c r="H7247" t="s">
        <v>20299</v>
      </c>
      <c r="I7247" t="s">
        <v>1357</v>
      </c>
      <c r="J7247" t="s">
        <v>1357</v>
      </c>
      <c r="K7247" t="s">
        <v>1357</v>
      </c>
      <c r="L7247" t="s">
        <v>1357</v>
      </c>
    </row>
    <row r="7248" spans="6:12">
      <c r="H7248" t="s">
        <v>20300</v>
      </c>
      <c r="I7248" t="s">
        <v>1357</v>
      </c>
      <c r="J7248" t="s">
        <v>1357</v>
      </c>
      <c r="K7248" t="s">
        <v>1357</v>
      </c>
      <c r="L7248" t="s">
        <v>1357</v>
      </c>
    </row>
    <row r="7249" spans="6:12">
      <c r="H7249" t="s">
        <v>20301</v>
      </c>
      <c r="I7249" t="s">
        <v>1357</v>
      </c>
      <c r="J7249" t="s">
        <v>1357</v>
      </c>
      <c r="K7249" t="s">
        <v>1357</v>
      </c>
      <c r="L7249" t="s">
        <v>1357</v>
      </c>
    </row>
    <row r="7250" spans="6:12">
      <c r="H7250" t="s">
        <v>20302</v>
      </c>
      <c r="I7250" t="s">
        <v>1357</v>
      </c>
      <c r="J7250" t="s">
        <v>1357</v>
      </c>
      <c r="K7250" t="s">
        <v>1357</v>
      </c>
      <c r="L7250" t="s">
        <v>1357</v>
      </c>
    </row>
    <row r="7251" spans="6:12">
      <c r="H7251" t="s">
        <v>20284</v>
      </c>
      <c r="I7251" t="s">
        <v>1357</v>
      </c>
      <c r="J7251" t="s">
        <v>1357</v>
      </c>
      <c r="K7251" t="s">
        <v>1357</v>
      </c>
      <c r="L7251" t="s">
        <v>1357</v>
      </c>
    </row>
    <row r="7252" spans="6:12">
      <c r="H7252" t="s">
        <v>20285</v>
      </c>
      <c r="I7252" t="s">
        <v>1357</v>
      </c>
      <c r="J7252" t="s">
        <v>1357</v>
      </c>
      <c r="K7252" t="s">
        <v>1357</v>
      </c>
      <c r="L7252" t="s">
        <v>1357</v>
      </c>
    </row>
    <row r="7253" spans="6:12">
      <c r="H7253" t="s">
        <v>20286</v>
      </c>
      <c r="I7253" t="s">
        <v>1357</v>
      </c>
      <c r="J7253" t="s">
        <v>1357</v>
      </c>
      <c r="K7253" t="s">
        <v>1357</v>
      </c>
      <c r="L7253" t="s">
        <v>1357</v>
      </c>
    </row>
    <row r="7254" spans="6:12">
      <c r="H7254" t="s">
        <v>20287</v>
      </c>
      <c r="I7254" t="s">
        <v>1357</v>
      </c>
      <c r="J7254" t="s">
        <v>1357</v>
      </c>
      <c r="K7254" t="s">
        <v>1357</v>
      </c>
      <c r="L7254" t="s">
        <v>1357</v>
      </c>
    </row>
    <row r="7255" spans="6:12">
      <c r="F7255" t="s">
        <v>14871</v>
      </c>
      <c r="G7255" t="s">
        <v>17715</v>
      </c>
      <c r="H7255" t="s">
        <v>20280</v>
      </c>
      <c r="I7255" t="s">
        <v>1357</v>
      </c>
      <c r="J7255" t="s">
        <v>1357</v>
      </c>
      <c r="K7255" t="s">
        <v>1357</v>
      </c>
      <c r="L7255" t="s">
        <v>1357</v>
      </c>
    </row>
    <row r="7256" spans="6:12">
      <c r="H7256" t="s">
        <v>20233</v>
      </c>
      <c r="I7256" t="s">
        <v>1357</v>
      </c>
      <c r="J7256" t="s">
        <v>1357</v>
      </c>
      <c r="K7256" t="s">
        <v>1357</v>
      </c>
      <c r="L7256" t="s">
        <v>1357</v>
      </c>
    </row>
    <row r="7257" spans="6:12">
      <c r="H7257" t="s">
        <v>20230</v>
      </c>
      <c r="I7257" t="s">
        <v>1357</v>
      </c>
      <c r="J7257" t="s">
        <v>1357</v>
      </c>
      <c r="K7257" t="s">
        <v>1357</v>
      </c>
      <c r="L7257" t="s">
        <v>1357</v>
      </c>
    </row>
    <row r="7258" spans="6:12">
      <c r="H7258" t="s">
        <v>20227</v>
      </c>
      <c r="I7258" t="s">
        <v>1357</v>
      </c>
      <c r="J7258" t="s">
        <v>1357</v>
      </c>
      <c r="K7258" t="s">
        <v>1357</v>
      </c>
      <c r="L7258" t="s">
        <v>1357</v>
      </c>
    </row>
    <row r="7259" spans="6:12">
      <c r="H7259" t="s">
        <v>20228</v>
      </c>
      <c r="I7259" t="s">
        <v>1357</v>
      </c>
      <c r="J7259" t="s">
        <v>1357</v>
      </c>
      <c r="K7259" t="s">
        <v>1357</v>
      </c>
      <c r="L7259" t="s">
        <v>1357</v>
      </c>
    </row>
    <row r="7260" spans="6:12">
      <c r="H7260" t="s">
        <v>20296</v>
      </c>
      <c r="I7260" t="s">
        <v>1357</v>
      </c>
      <c r="J7260" t="s">
        <v>1357</v>
      </c>
      <c r="K7260" t="s">
        <v>1357</v>
      </c>
      <c r="L7260" t="s">
        <v>1357</v>
      </c>
    </row>
    <row r="7261" spans="6:12">
      <c r="H7261" t="s">
        <v>20297</v>
      </c>
      <c r="I7261" t="s">
        <v>1357</v>
      </c>
      <c r="J7261" t="s">
        <v>1357</v>
      </c>
      <c r="K7261" t="s">
        <v>1357</v>
      </c>
      <c r="L7261" t="s">
        <v>1357</v>
      </c>
    </row>
    <row r="7262" spans="6:12">
      <c r="H7262" t="s">
        <v>20234</v>
      </c>
      <c r="I7262" t="s">
        <v>1357</v>
      </c>
      <c r="J7262" t="s">
        <v>1357</v>
      </c>
      <c r="K7262" t="s">
        <v>1357</v>
      </c>
      <c r="L7262" t="s">
        <v>1357</v>
      </c>
    </row>
    <row r="7263" spans="6:12">
      <c r="H7263" t="s">
        <v>20235</v>
      </c>
      <c r="I7263" t="s">
        <v>1357</v>
      </c>
      <c r="J7263" t="s">
        <v>1357</v>
      </c>
      <c r="K7263" t="s">
        <v>1357</v>
      </c>
      <c r="L7263" t="s">
        <v>1357</v>
      </c>
    </row>
    <row r="7264" spans="6:12">
      <c r="H7264" t="s">
        <v>20284</v>
      </c>
      <c r="I7264" t="s">
        <v>1357</v>
      </c>
      <c r="J7264" t="s">
        <v>1357</v>
      </c>
      <c r="K7264" t="s">
        <v>1357</v>
      </c>
      <c r="L7264" t="s">
        <v>1357</v>
      </c>
    </row>
    <row r="7265" spans="6:12">
      <c r="H7265" t="s">
        <v>20285</v>
      </c>
      <c r="I7265" t="s">
        <v>1357</v>
      </c>
      <c r="J7265" t="s">
        <v>1357</v>
      </c>
      <c r="K7265" t="s">
        <v>1357</v>
      </c>
      <c r="L7265" t="s">
        <v>1357</v>
      </c>
    </row>
    <row r="7266" spans="6:12">
      <c r="H7266" t="s">
        <v>20286</v>
      </c>
      <c r="I7266" t="s">
        <v>1357</v>
      </c>
      <c r="J7266" t="s">
        <v>1357</v>
      </c>
      <c r="K7266" t="s">
        <v>1357</v>
      </c>
      <c r="L7266" t="s">
        <v>1357</v>
      </c>
    </row>
    <row r="7267" spans="6:12">
      <c r="H7267" t="s">
        <v>20287</v>
      </c>
      <c r="I7267" t="s">
        <v>1357</v>
      </c>
      <c r="J7267" t="s">
        <v>1357</v>
      </c>
      <c r="K7267" t="s">
        <v>1357</v>
      </c>
      <c r="L7267" t="s">
        <v>1357</v>
      </c>
    </row>
    <row r="7268" spans="6:12">
      <c r="F7268" t="s">
        <v>14872</v>
      </c>
      <c r="G7268" t="s">
        <v>17716</v>
      </c>
      <c r="H7268" t="s">
        <v>20280</v>
      </c>
      <c r="I7268" t="s">
        <v>1357</v>
      </c>
      <c r="J7268" t="s">
        <v>1357</v>
      </c>
      <c r="K7268" t="s">
        <v>1357</v>
      </c>
      <c r="L7268" t="s">
        <v>1357</v>
      </c>
    </row>
    <row r="7269" spans="6:12">
      <c r="H7269" t="s">
        <v>20233</v>
      </c>
      <c r="I7269" t="s">
        <v>1357</v>
      </c>
      <c r="J7269" t="s">
        <v>1357</v>
      </c>
      <c r="K7269" t="s">
        <v>1357</v>
      </c>
      <c r="L7269" t="s">
        <v>1357</v>
      </c>
    </row>
    <row r="7270" spans="6:12">
      <c r="H7270" t="s">
        <v>20230</v>
      </c>
      <c r="I7270" t="s">
        <v>1357</v>
      </c>
      <c r="J7270" t="s">
        <v>1357</v>
      </c>
      <c r="K7270" t="s">
        <v>1357</v>
      </c>
      <c r="L7270" t="s">
        <v>1357</v>
      </c>
    </row>
    <row r="7271" spans="6:12">
      <c r="H7271" t="s">
        <v>20296</v>
      </c>
      <c r="I7271" t="s">
        <v>1357</v>
      </c>
      <c r="J7271" t="s">
        <v>1357</v>
      </c>
      <c r="K7271" t="s">
        <v>1357</v>
      </c>
      <c r="L7271" t="s">
        <v>1357</v>
      </c>
    </row>
    <row r="7272" spans="6:12">
      <c r="H7272" t="s">
        <v>20297</v>
      </c>
      <c r="I7272" t="s">
        <v>1357</v>
      </c>
      <c r="J7272" t="s">
        <v>1357</v>
      </c>
      <c r="K7272" t="s">
        <v>1357</v>
      </c>
      <c r="L7272" t="s">
        <v>1357</v>
      </c>
    </row>
    <row r="7273" spans="6:12">
      <c r="H7273" t="s">
        <v>20284</v>
      </c>
      <c r="I7273" t="s">
        <v>1357</v>
      </c>
      <c r="J7273" t="s">
        <v>1357</v>
      </c>
      <c r="K7273" t="s">
        <v>1357</v>
      </c>
      <c r="L7273" t="s">
        <v>1357</v>
      </c>
    </row>
    <row r="7274" spans="6:12">
      <c r="H7274" t="s">
        <v>20285</v>
      </c>
      <c r="I7274" t="s">
        <v>1357</v>
      </c>
      <c r="J7274" t="s">
        <v>1357</v>
      </c>
      <c r="K7274" t="s">
        <v>1357</v>
      </c>
      <c r="L7274" t="s">
        <v>1357</v>
      </c>
    </row>
    <row r="7275" spans="6:12">
      <c r="H7275" t="s">
        <v>20286</v>
      </c>
      <c r="I7275" t="s">
        <v>1357</v>
      </c>
      <c r="J7275" t="s">
        <v>1357</v>
      </c>
      <c r="K7275" t="s">
        <v>1357</v>
      </c>
      <c r="L7275" t="s">
        <v>1357</v>
      </c>
    </row>
    <row r="7276" spans="6:12">
      <c r="H7276" t="s">
        <v>20287</v>
      </c>
      <c r="I7276" t="s">
        <v>1357</v>
      </c>
      <c r="J7276" t="s">
        <v>1357</v>
      </c>
      <c r="K7276" t="s">
        <v>1357</v>
      </c>
      <c r="L7276" t="s">
        <v>1357</v>
      </c>
    </row>
    <row r="7277" spans="6:12">
      <c r="F7277" t="s">
        <v>14873</v>
      </c>
      <c r="G7277" t="s">
        <v>17717</v>
      </c>
      <c r="H7277" t="s">
        <v>20280</v>
      </c>
      <c r="I7277" t="s">
        <v>1357</v>
      </c>
      <c r="J7277" t="s">
        <v>1357</v>
      </c>
      <c r="K7277" t="s">
        <v>1357</v>
      </c>
      <c r="L7277" t="s">
        <v>1357</v>
      </c>
    </row>
    <row r="7278" spans="6:12">
      <c r="H7278" t="s">
        <v>20233</v>
      </c>
      <c r="I7278" t="s">
        <v>1357</v>
      </c>
      <c r="J7278" t="s">
        <v>1357</v>
      </c>
      <c r="K7278" t="s">
        <v>1357</v>
      </c>
      <c r="L7278" t="s">
        <v>1357</v>
      </c>
    </row>
    <row r="7279" spans="6:12">
      <c r="H7279" t="s">
        <v>20284</v>
      </c>
      <c r="I7279" t="s">
        <v>1357</v>
      </c>
      <c r="J7279" t="s">
        <v>1357</v>
      </c>
      <c r="K7279" t="s">
        <v>1357</v>
      </c>
      <c r="L7279" t="s">
        <v>1357</v>
      </c>
    </row>
    <row r="7280" spans="6:12">
      <c r="H7280" t="s">
        <v>20285</v>
      </c>
      <c r="I7280" t="s">
        <v>1357</v>
      </c>
      <c r="J7280" t="s">
        <v>1357</v>
      </c>
      <c r="K7280" t="s">
        <v>1357</v>
      </c>
      <c r="L7280" t="s">
        <v>1357</v>
      </c>
    </row>
    <row r="7281" spans="6:12">
      <c r="H7281" t="s">
        <v>20286</v>
      </c>
      <c r="I7281" t="s">
        <v>1357</v>
      </c>
      <c r="J7281" t="s">
        <v>1357</v>
      </c>
      <c r="K7281" t="s">
        <v>1357</v>
      </c>
      <c r="L7281" t="s">
        <v>1357</v>
      </c>
    </row>
    <row r="7282" spans="6:12">
      <c r="F7282" t="s">
        <v>14874</v>
      </c>
      <c r="G7282" t="s">
        <v>17718</v>
      </c>
      <c r="H7282" t="s">
        <v>20280</v>
      </c>
      <c r="I7282" t="s">
        <v>1357</v>
      </c>
      <c r="J7282" t="s">
        <v>1357</v>
      </c>
      <c r="K7282" t="s">
        <v>1357</v>
      </c>
      <c r="L7282" t="s">
        <v>1357</v>
      </c>
    </row>
    <row r="7283" spans="6:12">
      <c r="H7283" t="s">
        <v>20233</v>
      </c>
      <c r="I7283" t="s">
        <v>1357</v>
      </c>
      <c r="J7283" t="s">
        <v>1357</v>
      </c>
      <c r="K7283" t="s">
        <v>1357</v>
      </c>
      <c r="L7283" t="s">
        <v>1357</v>
      </c>
    </row>
    <row r="7284" spans="6:12">
      <c r="H7284" t="s">
        <v>20284</v>
      </c>
      <c r="I7284" t="s">
        <v>1357</v>
      </c>
      <c r="J7284" t="s">
        <v>1357</v>
      </c>
      <c r="K7284" t="s">
        <v>1357</v>
      </c>
      <c r="L7284" t="s">
        <v>1357</v>
      </c>
    </row>
    <row r="7285" spans="6:12">
      <c r="H7285" t="s">
        <v>20285</v>
      </c>
      <c r="I7285" t="s">
        <v>1357</v>
      </c>
      <c r="J7285" t="s">
        <v>1357</v>
      </c>
      <c r="K7285" t="s">
        <v>1357</v>
      </c>
      <c r="L7285" t="s">
        <v>1357</v>
      </c>
    </row>
    <row r="7286" spans="6:12">
      <c r="H7286" t="s">
        <v>20286</v>
      </c>
      <c r="I7286" t="s">
        <v>1357</v>
      </c>
      <c r="J7286" t="s">
        <v>1357</v>
      </c>
      <c r="K7286" t="s">
        <v>1357</v>
      </c>
      <c r="L7286" t="s">
        <v>1357</v>
      </c>
    </row>
    <row r="7287" spans="6:12">
      <c r="F7287" t="s">
        <v>14875</v>
      </c>
      <c r="G7287" t="s">
        <v>17719</v>
      </c>
      <c r="H7287" t="s">
        <v>20280</v>
      </c>
      <c r="I7287" t="s">
        <v>1357</v>
      </c>
      <c r="J7287" t="s">
        <v>1357</v>
      </c>
      <c r="K7287" t="s">
        <v>1357</v>
      </c>
      <c r="L7287" t="s">
        <v>1357</v>
      </c>
    </row>
    <row r="7288" spans="6:12">
      <c r="H7288" t="s">
        <v>20233</v>
      </c>
      <c r="I7288" t="s">
        <v>1357</v>
      </c>
      <c r="J7288" t="s">
        <v>1357</v>
      </c>
      <c r="K7288" t="s">
        <v>1357</v>
      </c>
      <c r="L7288" t="s">
        <v>1357</v>
      </c>
    </row>
    <row r="7289" spans="6:12">
      <c r="H7289" t="s">
        <v>20230</v>
      </c>
      <c r="I7289" t="s">
        <v>1357</v>
      </c>
      <c r="J7289" t="s">
        <v>1357</v>
      </c>
      <c r="K7289" t="s">
        <v>1357</v>
      </c>
      <c r="L7289" t="s">
        <v>1357</v>
      </c>
    </row>
    <row r="7290" spans="6:12">
      <c r="H7290" t="s">
        <v>20296</v>
      </c>
      <c r="I7290" t="s">
        <v>1357</v>
      </c>
      <c r="J7290" t="s">
        <v>1357</v>
      </c>
      <c r="K7290" t="s">
        <v>1357</v>
      </c>
      <c r="L7290" t="s">
        <v>1357</v>
      </c>
    </row>
    <row r="7291" spans="6:12">
      <c r="H7291" t="s">
        <v>20297</v>
      </c>
      <c r="I7291" t="s">
        <v>1357</v>
      </c>
      <c r="J7291" t="s">
        <v>1357</v>
      </c>
      <c r="K7291" t="s">
        <v>1357</v>
      </c>
      <c r="L7291" t="s">
        <v>1357</v>
      </c>
    </row>
    <row r="7292" spans="6:12">
      <c r="H7292" t="s">
        <v>20234</v>
      </c>
      <c r="I7292" t="s">
        <v>1357</v>
      </c>
      <c r="J7292" t="s">
        <v>1357</v>
      </c>
      <c r="K7292" t="s">
        <v>1357</v>
      </c>
      <c r="L7292" t="s">
        <v>1357</v>
      </c>
    </row>
    <row r="7293" spans="6:12">
      <c r="H7293" t="s">
        <v>20284</v>
      </c>
      <c r="I7293" t="s">
        <v>1357</v>
      </c>
      <c r="J7293" t="s">
        <v>1357</v>
      </c>
      <c r="K7293" t="s">
        <v>1357</v>
      </c>
      <c r="L7293" t="s">
        <v>1357</v>
      </c>
    </row>
    <row r="7294" spans="6:12">
      <c r="H7294" t="s">
        <v>20285</v>
      </c>
      <c r="I7294" t="s">
        <v>1357</v>
      </c>
      <c r="J7294" t="s">
        <v>1357</v>
      </c>
      <c r="K7294" t="s">
        <v>1357</v>
      </c>
      <c r="L7294" t="s">
        <v>1357</v>
      </c>
    </row>
    <row r="7295" spans="6:12">
      <c r="H7295" t="s">
        <v>20286</v>
      </c>
      <c r="I7295" t="s">
        <v>1357</v>
      </c>
      <c r="J7295" t="s">
        <v>1357</v>
      </c>
      <c r="K7295" t="s">
        <v>1357</v>
      </c>
      <c r="L7295" t="s">
        <v>1357</v>
      </c>
    </row>
    <row r="7296" spans="6:12">
      <c r="H7296" t="s">
        <v>20287</v>
      </c>
      <c r="I7296" t="s">
        <v>1357</v>
      </c>
      <c r="J7296" t="s">
        <v>1357</v>
      </c>
      <c r="K7296" t="s">
        <v>1357</v>
      </c>
      <c r="L7296" t="s">
        <v>1357</v>
      </c>
    </row>
    <row r="7297" spans="6:12">
      <c r="F7297" t="s">
        <v>14876</v>
      </c>
      <c r="G7297" t="s">
        <v>17720</v>
      </c>
      <c r="H7297" t="s">
        <v>20280</v>
      </c>
      <c r="I7297" t="s">
        <v>1357</v>
      </c>
      <c r="J7297" t="s">
        <v>1357</v>
      </c>
      <c r="K7297" t="s">
        <v>1357</v>
      </c>
      <c r="L7297" t="s">
        <v>1357</v>
      </c>
    </row>
    <row r="7298" spans="6:12">
      <c r="H7298" t="s">
        <v>20233</v>
      </c>
      <c r="I7298" t="s">
        <v>1357</v>
      </c>
      <c r="J7298" t="s">
        <v>1357</v>
      </c>
      <c r="K7298" t="s">
        <v>1357</v>
      </c>
      <c r="L7298" t="s">
        <v>1357</v>
      </c>
    </row>
    <row r="7299" spans="6:12">
      <c r="H7299" t="s">
        <v>20230</v>
      </c>
      <c r="I7299" t="s">
        <v>1357</v>
      </c>
      <c r="J7299" t="s">
        <v>1357</v>
      </c>
      <c r="K7299" t="s">
        <v>1357</v>
      </c>
      <c r="L7299" t="s">
        <v>1357</v>
      </c>
    </row>
    <row r="7300" spans="6:12">
      <c r="H7300" t="s">
        <v>20296</v>
      </c>
      <c r="I7300" t="s">
        <v>1357</v>
      </c>
      <c r="J7300" t="s">
        <v>1357</v>
      </c>
      <c r="K7300" t="s">
        <v>1357</v>
      </c>
      <c r="L7300" t="s">
        <v>1357</v>
      </c>
    </row>
    <row r="7301" spans="6:12">
      <c r="H7301" t="s">
        <v>20297</v>
      </c>
      <c r="I7301" t="s">
        <v>1357</v>
      </c>
      <c r="J7301" t="s">
        <v>1357</v>
      </c>
      <c r="K7301" t="s">
        <v>1357</v>
      </c>
      <c r="L7301" t="s">
        <v>1357</v>
      </c>
    </row>
    <row r="7302" spans="6:12">
      <c r="H7302" t="s">
        <v>20234</v>
      </c>
      <c r="I7302" t="s">
        <v>1357</v>
      </c>
      <c r="J7302" t="s">
        <v>1357</v>
      </c>
      <c r="K7302" t="s">
        <v>1357</v>
      </c>
      <c r="L7302" t="s">
        <v>1357</v>
      </c>
    </row>
    <row r="7303" spans="6:12">
      <c r="H7303" t="s">
        <v>20284</v>
      </c>
      <c r="I7303" t="s">
        <v>1357</v>
      </c>
      <c r="J7303" t="s">
        <v>1357</v>
      </c>
      <c r="K7303" t="s">
        <v>1357</v>
      </c>
      <c r="L7303" t="s">
        <v>1357</v>
      </c>
    </row>
    <row r="7304" spans="6:12">
      <c r="H7304" t="s">
        <v>20285</v>
      </c>
      <c r="I7304" t="s">
        <v>1357</v>
      </c>
      <c r="J7304" t="s">
        <v>1357</v>
      </c>
      <c r="K7304" t="s">
        <v>1357</v>
      </c>
      <c r="L7304" t="s">
        <v>1357</v>
      </c>
    </row>
    <row r="7305" spans="6:12">
      <c r="H7305" t="s">
        <v>20286</v>
      </c>
      <c r="I7305" t="s">
        <v>1357</v>
      </c>
      <c r="J7305" t="s">
        <v>1357</v>
      </c>
      <c r="K7305" t="s">
        <v>1357</v>
      </c>
      <c r="L7305" t="s">
        <v>1357</v>
      </c>
    </row>
    <row r="7306" spans="6:12">
      <c r="H7306" t="s">
        <v>20287</v>
      </c>
      <c r="I7306" t="s">
        <v>1357</v>
      </c>
      <c r="J7306" t="s">
        <v>1357</v>
      </c>
      <c r="K7306" t="s">
        <v>1357</v>
      </c>
      <c r="L7306" t="s">
        <v>1357</v>
      </c>
    </row>
    <row r="7307" spans="6:12">
      <c r="F7307" t="s">
        <v>14877</v>
      </c>
      <c r="G7307" t="s">
        <v>17721</v>
      </c>
      <c r="H7307" t="s">
        <v>20280</v>
      </c>
      <c r="I7307" t="s">
        <v>1357</v>
      </c>
      <c r="J7307" t="s">
        <v>1357</v>
      </c>
      <c r="K7307" t="s">
        <v>1357</v>
      </c>
      <c r="L7307" t="s">
        <v>1357</v>
      </c>
    </row>
    <row r="7308" spans="6:12">
      <c r="H7308" t="s">
        <v>20233</v>
      </c>
      <c r="I7308" t="s">
        <v>1357</v>
      </c>
      <c r="J7308" t="s">
        <v>1357</v>
      </c>
      <c r="K7308" t="s">
        <v>1357</v>
      </c>
      <c r="L7308" t="s">
        <v>1357</v>
      </c>
    </row>
    <row r="7309" spans="6:12">
      <c r="H7309" t="s">
        <v>20230</v>
      </c>
      <c r="I7309" t="s">
        <v>1357</v>
      </c>
      <c r="J7309" t="s">
        <v>1357</v>
      </c>
      <c r="K7309" t="s">
        <v>1357</v>
      </c>
      <c r="L7309" t="s">
        <v>1357</v>
      </c>
    </row>
    <row r="7310" spans="6:12">
      <c r="H7310" t="s">
        <v>20227</v>
      </c>
      <c r="I7310" t="s">
        <v>1357</v>
      </c>
      <c r="J7310" t="s">
        <v>1357</v>
      </c>
      <c r="K7310" t="s">
        <v>1357</v>
      </c>
      <c r="L7310" t="s">
        <v>1357</v>
      </c>
    </row>
    <row r="7311" spans="6:12">
      <c r="H7311" t="s">
        <v>20296</v>
      </c>
      <c r="I7311" t="s">
        <v>1357</v>
      </c>
      <c r="J7311" t="s">
        <v>1357</v>
      </c>
      <c r="K7311" t="s">
        <v>1357</v>
      </c>
      <c r="L7311" t="s">
        <v>1357</v>
      </c>
    </row>
    <row r="7312" spans="6:12">
      <c r="H7312" t="s">
        <v>20297</v>
      </c>
      <c r="I7312" t="s">
        <v>1357</v>
      </c>
      <c r="J7312" t="s">
        <v>1357</v>
      </c>
      <c r="K7312" t="s">
        <v>1357</v>
      </c>
      <c r="L7312" t="s">
        <v>1357</v>
      </c>
    </row>
    <row r="7313" spans="6:12">
      <c r="H7313" t="s">
        <v>20234</v>
      </c>
      <c r="I7313" t="s">
        <v>1357</v>
      </c>
      <c r="J7313" t="s">
        <v>1357</v>
      </c>
      <c r="K7313" t="s">
        <v>1357</v>
      </c>
      <c r="L7313" t="s">
        <v>1357</v>
      </c>
    </row>
    <row r="7314" spans="6:12">
      <c r="H7314" t="s">
        <v>20284</v>
      </c>
      <c r="I7314" t="s">
        <v>1357</v>
      </c>
      <c r="J7314" t="s">
        <v>1357</v>
      </c>
      <c r="K7314" t="s">
        <v>1357</v>
      </c>
      <c r="L7314" t="s">
        <v>1357</v>
      </c>
    </row>
    <row r="7315" spans="6:12">
      <c r="H7315" t="s">
        <v>20285</v>
      </c>
      <c r="I7315" t="s">
        <v>1357</v>
      </c>
      <c r="J7315" t="s">
        <v>1357</v>
      </c>
      <c r="K7315" t="s">
        <v>1357</v>
      </c>
      <c r="L7315" t="s">
        <v>1357</v>
      </c>
    </row>
    <row r="7316" spans="6:12">
      <c r="H7316" t="s">
        <v>20286</v>
      </c>
      <c r="I7316" t="s">
        <v>1357</v>
      </c>
      <c r="J7316" t="s">
        <v>1357</v>
      </c>
      <c r="K7316" t="s">
        <v>1357</v>
      </c>
      <c r="L7316" t="s">
        <v>1357</v>
      </c>
    </row>
    <row r="7317" spans="6:12">
      <c r="H7317" t="s">
        <v>20287</v>
      </c>
      <c r="I7317" t="s">
        <v>1357</v>
      </c>
      <c r="J7317" t="s">
        <v>1357</v>
      </c>
      <c r="K7317" t="s">
        <v>1357</v>
      </c>
      <c r="L7317" t="s">
        <v>1357</v>
      </c>
    </row>
    <row r="7318" spans="6:12">
      <c r="F7318" t="s">
        <v>14878</v>
      </c>
      <c r="G7318" t="s">
        <v>17722</v>
      </c>
      <c r="H7318" t="s">
        <v>20280</v>
      </c>
      <c r="I7318" t="s">
        <v>1357</v>
      </c>
      <c r="J7318" t="s">
        <v>1357</v>
      </c>
      <c r="K7318" t="s">
        <v>1357</v>
      </c>
      <c r="L7318" t="s">
        <v>1357</v>
      </c>
    </row>
    <row r="7319" spans="6:12">
      <c r="H7319" t="s">
        <v>20233</v>
      </c>
      <c r="I7319" t="s">
        <v>1357</v>
      </c>
      <c r="J7319" t="s">
        <v>1357</v>
      </c>
      <c r="K7319" t="s">
        <v>1357</v>
      </c>
      <c r="L7319" t="s">
        <v>1357</v>
      </c>
    </row>
    <row r="7320" spans="6:12">
      <c r="H7320" t="s">
        <v>20230</v>
      </c>
      <c r="I7320" t="s">
        <v>1357</v>
      </c>
      <c r="J7320" t="s">
        <v>1357</v>
      </c>
      <c r="K7320" t="s">
        <v>1357</v>
      </c>
      <c r="L7320" t="s">
        <v>1357</v>
      </c>
    </row>
    <row r="7321" spans="6:12">
      <c r="H7321" t="s">
        <v>20296</v>
      </c>
      <c r="I7321" t="s">
        <v>1357</v>
      </c>
      <c r="J7321" t="s">
        <v>1357</v>
      </c>
      <c r="K7321" t="s">
        <v>1357</v>
      </c>
      <c r="L7321" t="s">
        <v>1357</v>
      </c>
    </row>
    <row r="7322" spans="6:12">
      <c r="H7322" t="s">
        <v>20297</v>
      </c>
      <c r="I7322" t="s">
        <v>1357</v>
      </c>
      <c r="J7322" t="s">
        <v>1357</v>
      </c>
      <c r="K7322" t="s">
        <v>1357</v>
      </c>
      <c r="L7322" t="s">
        <v>1357</v>
      </c>
    </row>
    <row r="7323" spans="6:12">
      <c r="H7323" t="s">
        <v>20234</v>
      </c>
      <c r="I7323" t="s">
        <v>1357</v>
      </c>
      <c r="J7323" t="s">
        <v>1357</v>
      </c>
      <c r="K7323" t="s">
        <v>1357</v>
      </c>
      <c r="L7323" t="s">
        <v>1357</v>
      </c>
    </row>
    <row r="7324" spans="6:12">
      <c r="H7324" t="s">
        <v>20235</v>
      </c>
      <c r="I7324" t="s">
        <v>1357</v>
      </c>
      <c r="J7324" t="s">
        <v>1357</v>
      </c>
      <c r="K7324" t="s">
        <v>1357</v>
      </c>
      <c r="L7324" t="s">
        <v>1357</v>
      </c>
    </row>
    <row r="7325" spans="6:12">
      <c r="H7325" t="s">
        <v>20298</v>
      </c>
      <c r="I7325" t="s">
        <v>1357</v>
      </c>
      <c r="J7325" t="s">
        <v>1357</v>
      </c>
      <c r="K7325" t="s">
        <v>1357</v>
      </c>
      <c r="L7325" t="s">
        <v>1357</v>
      </c>
    </row>
    <row r="7326" spans="6:12">
      <c r="H7326" t="s">
        <v>20299</v>
      </c>
      <c r="I7326" t="s">
        <v>1357</v>
      </c>
      <c r="J7326" t="s">
        <v>1357</v>
      </c>
      <c r="K7326" t="s">
        <v>1357</v>
      </c>
      <c r="L7326" t="s">
        <v>1357</v>
      </c>
    </row>
    <row r="7327" spans="6:12">
      <c r="H7327" t="s">
        <v>20300</v>
      </c>
      <c r="I7327" t="s">
        <v>1357</v>
      </c>
      <c r="J7327" t="s">
        <v>1357</v>
      </c>
      <c r="K7327" t="s">
        <v>1357</v>
      </c>
      <c r="L7327" t="s">
        <v>1357</v>
      </c>
    </row>
    <row r="7328" spans="6:12">
      <c r="H7328" t="s">
        <v>20301</v>
      </c>
      <c r="I7328" t="s">
        <v>1357</v>
      </c>
      <c r="J7328" t="s">
        <v>1357</v>
      </c>
      <c r="K7328" t="s">
        <v>1357</v>
      </c>
      <c r="L7328" t="s">
        <v>1357</v>
      </c>
    </row>
    <row r="7329" spans="6:12">
      <c r="H7329" t="s">
        <v>20284</v>
      </c>
      <c r="I7329" t="s">
        <v>1357</v>
      </c>
      <c r="J7329" t="s">
        <v>1357</v>
      </c>
      <c r="K7329" t="s">
        <v>1357</v>
      </c>
      <c r="L7329" t="s">
        <v>1357</v>
      </c>
    </row>
    <row r="7330" spans="6:12">
      <c r="H7330" t="s">
        <v>20285</v>
      </c>
      <c r="I7330" t="s">
        <v>1357</v>
      </c>
      <c r="J7330" t="s">
        <v>1357</v>
      </c>
      <c r="K7330" t="s">
        <v>1357</v>
      </c>
      <c r="L7330" t="s">
        <v>1357</v>
      </c>
    </row>
    <row r="7331" spans="6:12">
      <c r="H7331" t="s">
        <v>20286</v>
      </c>
      <c r="I7331" t="s">
        <v>1357</v>
      </c>
      <c r="J7331" t="s">
        <v>1357</v>
      </c>
      <c r="K7331" t="s">
        <v>1357</v>
      </c>
      <c r="L7331" t="s">
        <v>1357</v>
      </c>
    </row>
    <row r="7332" spans="6:12">
      <c r="H7332" t="s">
        <v>20287</v>
      </c>
      <c r="I7332" t="s">
        <v>1357</v>
      </c>
      <c r="J7332" t="s">
        <v>1357</v>
      </c>
      <c r="K7332" t="s">
        <v>1357</v>
      </c>
      <c r="L7332" t="s">
        <v>1357</v>
      </c>
    </row>
    <row r="7333" spans="6:12">
      <c r="H7333" t="s">
        <v>20288</v>
      </c>
      <c r="I7333" t="s">
        <v>1357</v>
      </c>
      <c r="J7333" t="s">
        <v>1357</v>
      </c>
      <c r="K7333" t="s">
        <v>1357</v>
      </c>
      <c r="L7333" t="s">
        <v>1357</v>
      </c>
    </row>
    <row r="7334" spans="6:12">
      <c r="F7334" t="s">
        <v>14879</v>
      </c>
      <c r="G7334" t="s">
        <v>17723</v>
      </c>
      <c r="H7334" t="s">
        <v>20280</v>
      </c>
      <c r="I7334" t="s">
        <v>1357</v>
      </c>
      <c r="J7334" t="s">
        <v>1357</v>
      </c>
      <c r="K7334" t="s">
        <v>1357</v>
      </c>
      <c r="L7334" t="s">
        <v>1357</v>
      </c>
    </row>
    <row r="7335" spans="6:12">
      <c r="H7335" t="s">
        <v>20233</v>
      </c>
      <c r="I7335" t="s">
        <v>1357</v>
      </c>
      <c r="J7335" t="s">
        <v>1357</v>
      </c>
      <c r="K7335" t="s">
        <v>1357</v>
      </c>
      <c r="L7335" t="s">
        <v>1357</v>
      </c>
    </row>
    <row r="7336" spans="6:12">
      <c r="H7336" t="s">
        <v>20281</v>
      </c>
      <c r="I7336" t="s">
        <v>1357</v>
      </c>
      <c r="J7336" t="s">
        <v>1357</v>
      </c>
      <c r="K7336" t="s">
        <v>1357</v>
      </c>
      <c r="L7336" t="s">
        <v>1357</v>
      </c>
    </row>
    <row r="7337" spans="6:12">
      <c r="H7337" t="s">
        <v>20282</v>
      </c>
      <c r="I7337" t="s">
        <v>1357</v>
      </c>
      <c r="J7337" t="s">
        <v>1357</v>
      </c>
      <c r="K7337" t="s">
        <v>1357</v>
      </c>
      <c r="L7337" t="s">
        <v>1357</v>
      </c>
    </row>
    <row r="7338" spans="6:12">
      <c r="H7338" t="s">
        <v>20283</v>
      </c>
      <c r="I7338" t="s">
        <v>1357</v>
      </c>
      <c r="J7338" t="s">
        <v>1357</v>
      </c>
      <c r="K7338" t="s">
        <v>1357</v>
      </c>
      <c r="L7338" t="s">
        <v>1357</v>
      </c>
    </row>
    <row r="7339" spans="6:12">
      <c r="H7339" t="s">
        <v>20284</v>
      </c>
      <c r="I7339" t="s">
        <v>1357</v>
      </c>
      <c r="J7339" t="s">
        <v>1357</v>
      </c>
      <c r="K7339" t="s">
        <v>1357</v>
      </c>
      <c r="L7339" t="s">
        <v>1357</v>
      </c>
    </row>
    <row r="7340" spans="6:12">
      <c r="H7340" t="s">
        <v>20285</v>
      </c>
      <c r="I7340" t="s">
        <v>1357</v>
      </c>
      <c r="J7340" t="s">
        <v>1357</v>
      </c>
      <c r="K7340" t="s">
        <v>1357</v>
      </c>
      <c r="L7340" t="s">
        <v>1357</v>
      </c>
    </row>
    <row r="7341" spans="6:12">
      <c r="H7341" t="s">
        <v>20286</v>
      </c>
      <c r="I7341" t="s">
        <v>1357</v>
      </c>
      <c r="J7341" t="s">
        <v>1357</v>
      </c>
      <c r="K7341" t="s">
        <v>1357</v>
      </c>
      <c r="L7341" t="s">
        <v>1357</v>
      </c>
    </row>
    <row r="7342" spans="6:12">
      <c r="H7342" t="s">
        <v>20287</v>
      </c>
      <c r="I7342" t="s">
        <v>1357</v>
      </c>
      <c r="J7342" t="s">
        <v>1357</v>
      </c>
      <c r="K7342" t="s">
        <v>1357</v>
      </c>
      <c r="L7342" t="s">
        <v>1357</v>
      </c>
    </row>
    <row r="7343" spans="6:12">
      <c r="H7343" t="s">
        <v>20288</v>
      </c>
      <c r="I7343" t="s">
        <v>1357</v>
      </c>
      <c r="J7343" t="s">
        <v>1357</v>
      </c>
      <c r="K7343" t="s">
        <v>1357</v>
      </c>
      <c r="L7343" t="s">
        <v>1357</v>
      </c>
    </row>
    <row r="7344" spans="6:12">
      <c r="H7344" t="s">
        <v>20289</v>
      </c>
      <c r="I7344" t="s">
        <v>1357</v>
      </c>
      <c r="J7344" t="s">
        <v>1357</v>
      </c>
      <c r="K7344" t="s">
        <v>1357</v>
      </c>
      <c r="L7344" t="s">
        <v>1357</v>
      </c>
    </row>
    <row r="7345" spans="6:12">
      <c r="H7345" t="s">
        <v>20290</v>
      </c>
      <c r="I7345" t="s">
        <v>1357</v>
      </c>
      <c r="J7345" t="s">
        <v>1357</v>
      </c>
      <c r="K7345" t="s">
        <v>1357</v>
      </c>
      <c r="L7345" t="s">
        <v>1357</v>
      </c>
    </row>
    <row r="7346" spans="6:12">
      <c r="H7346" t="s">
        <v>20291</v>
      </c>
      <c r="I7346" t="s">
        <v>1357</v>
      </c>
      <c r="J7346" t="s">
        <v>1357</v>
      </c>
      <c r="K7346" t="s">
        <v>1357</v>
      </c>
      <c r="L7346" t="s">
        <v>1357</v>
      </c>
    </row>
    <row r="7347" spans="6:12">
      <c r="H7347" t="s">
        <v>20293</v>
      </c>
      <c r="I7347" t="s">
        <v>1357</v>
      </c>
      <c r="J7347" t="s">
        <v>1357</v>
      </c>
      <c r="K7347" t="s">
        <v>1357</v>
      </c>
      <c r="L7347" t="s">
        <v>1357</v>
      </c>
    </row>
    <row r="7348" spans="6:12">
      <c r="F7348" t="s">
        <v>14880</v>
      </c>
      <c r="G7348" t="s">
        <v>17724</v>
      </c>
      <c r="H7348" t="s">
        <v>20280</v>
      </c>
      <c r="I7348" t="s">
        <v>1357</v>
      </c>
      <c r="J7348" t="s">
        <v>1357</v>
      </c>
      <c r="K7348" t="s">
        <v>1357</v>
      </c>
      <c r="L7348" t="s">
        <v>1357</v>
      </c>
    </row>
    <row r="7349" spans="6:12">
      <c r="H7349" t="s">
        <v>20233</v>
      </c>
      <c r="I7349" t="s">
        <v>1357</v>
      </c>
      <c r="J7349" t="s">
        <v>1357</v>
      </c>
      <c r="K7349" t="s">
        <v>1357</v>
      </c>
      <c r="L7349" t="s">
        <v>1357</v>
      </c>
    </row>
    <row r="7350" spans="6:12">
      <c r="H7350" t="s">
        <v>20230</v>
      </c>
      <c r="I7350" t="s">
        <v>1357</v>
      </c>
      <c r="J7350" t="s">
        <v>1357</v>
      </c>
      <c r="K7350" t="s">
        <v>1357</v>
      </c>
      <c r="L7350" t="s">
        <v>1357</v>
      </c>
    </row>
    <row r="7351" spans="6:12">
      <c r="H7351" t="s">
        <v>20296</v>
      </c>
      <c r="I7351" t="s">
        <v>1357</v>
      </c>
      <c r="J7351" t="s">
        <v>1357</v>
      </c>
      <c r="K7351" t="s">
        <v>1357</v>
      </c>
      <c r="L7351" t="s">
        <v>1357</v>
      </c>
    </row>
    <row r="7352" spans="6:12">
      <c r="H7352" t="s">
        <v>20297</v>
      </c>
      <c r="I7352" t="s">
        <v>1357</v>
      </c>
      <c r="J7352" t="s">
        <v>1357</v>
      </c>
      <c r="K7352" t="s">
        <v>1357</v>
      </c>
      <c r="L7352" t="s">
        <v>1357</v>
      </c>
    </row>
    <row r="7353" spans="6:12">
      <c r="H7353" t="s">
        <v>20284</v>
      </c>
      <c r="I7353" t="s">
        <v>1357</v>
      </c>
      <c r="J7353" t="s">
        <v>1357</v>
      </c>
      <c r="K7353" t="s">
        <v>1357</v>
      </c>
      <c r="L7353" t="s">
        <v>1357</v>
      </c>
    </row>
    <row r="7354" spans="6:12">
      <c r="H7354" t="s">
        <v>20285</v>
      </c>
      <c r="I7354" t="s">
        <v>1357</v>
      </c>
      <c r="J7354" t="s">
        <v>1357</v>
      </c>
      <c r="K7354" t="s">
        <v>1357</v>
      </c>
      <c r="L7354" t="s">
        <v>1357</v>
      </c>
    </row>
    <row r="7355" spans="6:12">
      <c r="H7355" t="s">
        <v>20286</v>
      </c>
      <c r="I7355" t="s">
        <v>1357</v>
      </c>
      <c r="J7355" t="s">
        <v>1357</v>
      </c>
      <c r="K7355" t="s">
        <v>1357</v>
      </c>
      <c r="L7355" t="s">
        <v>1357</v>
      </c>
    </row>
    <row r="7356" spans="6:12">
      <c r="H7356" t="s">
        <v>20287</v>
      </c>
      <c r="I7356" t="s">
        <v>1357</v>
      </c>
      <c r="J7356" t="s">
        <v>1357</v>
      </c>
      <c r="K7356" t="s">
        <v>1357</v>
      </c>
      <c r="L7356" t="s">
        <v>1357</v>
      </c>
    </row>
    <row r="7357" spans="6:12">
      <c r="F7357" t="s">
        <v>14881</v>
      </c>
      <c r="G7357" t="s">
        <v>17725</v>
      </c>
      <c r="H7357" t="s">
        <v>20280</v>
      </c>
      <c r="I7357" t="s">
        <v>1357</v>
      </c>
      <c r="J7357" t="s">
        <v>1357</v>
      </c>
      <c r="K7357" t="s">
        <v>1357</v>
      </c>
      <c r="L7357" t="s">
        <v>1357</v>
      </c>
    </row>
    <row r="7358" spans="6:12">
      <c r="H7358" t="s">
        <v>20233</v>
      </c>
      <c r="I7358" t="s">
        <v>1357</v>
      </c>
      <c r="J7358" t="s">
        <v>1357</v>
      </c>
      <c r="K7358" t="s">
        <v>1357</v>
      </c>
      <c r="L7358" t="s">
        <v>1357</v>
      </c>
    </row>
    <row r="7359" spans="6:12">
      <c r="H7359" t="s">
        <v>20281</v>
      </c>
      <c r="I7359" t="s">
        <v>1357</v>
      </c>
      <c r="J7359" t="s">
        <v>1357</v>
      </c>
      <c r="K7359" t="s">
        <v>1357</v>
      </c>
      <c r="L7359" t="s">
        <v>1357</v>
      </c>
    </row>
    <row r="7360" spans="6:12">
      <c r="H7360" t="s">
        <v>20282</v>
      </c>
      <c r="I7360" t="s">
        <v>1357</v>
      </c>
      <c r="J7360" t="s">
        <v>1357</v>
      </c>
      <c r="K7360" t="s">
        <v>1357</v>
      </c>
      <c r="L7360" t="s">
        <v>1357</v>
      </c>
    </row>
    <row r="7361" spans="6:12">
      <c r="H7361" t="s">
        <v>20283</v>
      </c>
      <c r="I7361" t="s">
        <v>1357</v>
      </c>
      <c r="J7361" t="s">
        <v>1357</v>
      </c>
      <c r="K7361" t="s">
        <v>1357</v>
      </c>
      <c r="L7361" t="s">
        <v>1357</v>
      </c>
    </row>
    <row r="7362" spans="6:12">
      <c r="H7362" t="s">
        <v>20284</v>
      </c>
      <c r="I7362" t="s">
        <v>1357</v>
      </c>
      <c r="J7362" t="s">
        <v>1357</v>
      </c>
      <c r="K7362" t="s">
        <v>1357</v>
      </c>
      <c r="L7362" t="s">
        <v>1357</v>
      </c>
    </row>
    <row r="7363" spans="6:12">
      <c r="H7363" t="s">
        <v>20285</v>
      </c>
      <c r="I7363" t="s">
        <v>1357</v>
      </c>
      <c r="J7363" t="s">
        <v>1357</v>
      </c>
      <c r="K7363" t="s">
        <v>1357</v>
      </c>
      <c r="L7363" t="s">
        <v>1357</v>
      </c>
    </row>
    <row r="7364" spans="6:12">
      <c r="H7364" t="s">
        <v>20286</v>
      </c>
      <c r="I7364" t="s">
        <v>1357</v>
      </c>
      <c r="J7364" t="s">
        <v>1357</v>
      </c>
      <c r="K7364" t="s">
        <v>1357</v>
      </c>
      <c r="L7364" t="s">
        <v>1357</v>
      </c>
    </row>
    <row r="7365" spans="6:12">
      <c r="H7365" t="s">
        <v>20287</v>
      </c>
      <c r="I7365" t="s">
        <v>1357</v>
      </c>
      <c r="J7365" t="s">
        <v>1357</v>
      </c>
      <c r="K7365" t="s">
        <v>1357</v>
      </c>
      <c r="L7365" t="s">
        <v>1357</v>
      </c>
    </row>
    <row r="7366" spans="6:12">
      <c r="H7366" t="s">
        <v>20288</v>
      </c>
      <c r="I7366" t="s">
        <v>1357</v>
      </c>
      <c r="J7366" t="s">
        <v>1357</v>
      </c>
      <c r="K7366" t="s">
        <v>1357</v>
      </c>
      <c r="L7366" t="s">
        <v>1357</v>
      </c>
    </row>
    <row r="7367" spans="6:12">
      <c r="H7367" t="s">
        <v>20289</v>
      </c>
      <c r="I7367" t="s">
        <v>1357</v>
      </c>
      <c r="J7367" t="s">
        <v>1357</v>
      </c>
      <c r="K7367" t="s">
        <v>1357</v>
      </c>
      <c r="L7367" t="s">
        <v>1357</v>
      </c>
    </row>
    <row r="7368" spans="6:12">
      <c r="H7368" t="s">
        <v>20290</v>
      </c>
      <c r="I7368" t="s">
        <v>1357</v>
      </c>
      <c r="J7368" t="s">
        <v>1357</v>
      </c>
      <c r="K7368" t="s">
        <v>1357</v>
      </c>
      <c r="L7368" t="s">
        <v>1357</v>
      </c>
    </row>
    <row r="7369" spans="6:12">
      <c r="H7369" t="s">
        <v>20291</v>
      </c>
      <c r="I7369" t="s">
        <v>1357</v>
      </c>
      <c r="J7369" t="s">
        <v>1357</v>
      </c>
      <c r="K7369" t="s">
        <v>1357</v>
      </c>
      <c r="L7369" t="s">
        <v>1357</v>
      </c>
    </row>
    <row r="7370" spans="6:12">
      <c r="F7370" t="s">
        <v>14882</v>
      </c>
      <c r="G7370" t="s">
        <v>17726</v>
      </c>
      <c r="H7370" t="s">
        <v>20280</v>
      </c>
      <c r="I7370" t="s">
        <v>1357</v>
      </c>
      <c r="J7370" t="s">
        <v>1357</v>
      </c>
      <c r="K7370" t="s">
        <v>1357</v>
      </c>
      <c r="L7370" t="s">
        <v>1357</v>
      </c>
    </row>
    <row r="7371" spans="6:12">
      <c r="H7371" t="s">
        <v>20233</v>
      </c>
      <c r="I7371" t="s">
        <v>1357</v>
      </c>
      <c r="J7371" t="s">
        <v>1357</v>
      </c>
      <c r="K7371" t="s">
        <v>1357</v>
      </c>
      <c r="L7371" t="s">
        <v>1357</v>
      </c>
    </row>
    <row r="7372" spans="6:12">
      <c r="H7372" t="s">
        <v>20230</v>
      </c>
      <c r="I7372" t="s">
        <v>1357</v>
      </c>
      <c r="J7372" t="s">
        <v>1357</v>
      </c>
      <c r="K7372" t="s">
        <v>1357</v>
      </c>
      <c r="L7372" t="s">
        <v>1357</v>
      </c>
    </row>
    <row r="7373" spans="6:12">
      <c r="H7373" t="s">
        <v>20296</v>
      </c>
      <c r="I7373" t="s">
        <v>1357</v>
      </c>
      <c r="J7373" t="s">
        <v>1357</v>
      </c>
      <c r="K7373" t="s">
        <v>1357</v>
      </c>
      <c r="L7373" t="s">
        <v>1357</v>
      </c>
    </row>
    <row r="7374" spans="6:12">
      <c r="H7374" t="s">
        <v>20297</v>
      </c>
      <c r="I7374" t="s">
        <v>1357</v>
      </c>
      <c r="J7374" t="s">
        <v>1357</v>
      </c>
      <c r="K7374" t="s">
        <v>1357</v>
      </c>
      <c r="L7374" t="s">
        <v>1357</v>
      </c>
    </row>
    <row r="7375" spans="6:12">
      <c r="H7375" t="s">
        <v>20234</v>
      </c>
      <c r="I7375" t="s">
        <v>1357</v>
      </c>
      <c r="J7375" t="s">
        <v>1357</v>
      </c>
      <c r="K7375" t="s">
        <v>1357</v>
      </c>
      <c r="L7375" t="s">
        <v>1357</v>
      </c>
    </row>
    <row r="7376" spans="6:12">
      <c r="H7376" t="s">
        <v>20235</v>
      </c>
      <c r="I7376" t="s">
        <v>1357</v>
      </c>
      <c r="J7376" t="s">
        <v>1357</v>
      </c>
      <c r="K7376" t="s">
        <v>1357</v>
      </c>
      <c r="L7376" t="s">
        <v>1357</v>
      </c>
    </row>
    <row r="7377" spans="6:12">
      <c r="H7377" t="s">
        <v>20298</v>
      </c>
      <c r="I7377" t="s">
        <v>1357</v>
      </c>
      <c r="J7377" t="s">
        <v>1357</v>
      </c>
      <c r="K7377" t="s">
        <v>1357</v>
      </c>
      <c r="L7377" t="s">
        <v>1357</v>
      </c>
    </row>
    <row r="7378" spans="6:12">
      <c r="H7378" t="s">
        <v>20299</v>
      </c>
      <c r="I7378" t="s">
        <v>1357</v>
      </c>
      <c r="J7378" t="s">
        <v>1357</v>
      </c>
      <c r="K7378" t="s">
        <v>1357</v>
      </c>
      <c r="L7378" t="s">
        <v>1357</v>
      </c>
    </row>
    <row r="7379" spans="6:12">
      <c r="H7379" t="s">
        <v>20284</v>
      </c>
      <c r="I7379" t="s">
        <v>1357</v>
      </c>
      <c r="J7379" t="s">
        <v>1357</v>
      </c>
      <c r="K7379" t="s">
        <v>1357</v>
      </c>
      <c r="L7379" t="s">
        <v>1357</v>
      </c>
    </row>
    <row r="7380" spans="6:12">
      <c r="H7380" t="s">
        <v>20285</v>
      </c>
      <c r="I7380" t="s">
        <v>1357</v>
      </c>
      <c r="J7380" t="s">
        <v>1357</v>
      </c>
      <c r="K7380" t="s">
        <v>1357</v>
      </c>
      <c r="L7380" t="s">
        <v>1357</v>
      </c>
    </row>
    <row r="7381" spans="6:12">
      <c r="H7381" t="s">
        <v>20286</v>
      </c>
      <c r="I7381" t="s">
        <v>1357</v>
      </c>
      <c r="J7381" t="s">
        <v>1357</v>
      </c>
      <c r="K7381" t="s">
        <v>1357</v>
      </c>
      <c r="L7381" t="s">
        <v>1357</v>
      </c>
    </row>
    <row r="7382" spans="6:12">
      <c r="H7382" t="s">
        <v>20287</v>
      </c>
      <c r="I7382" t="s">
        <v>1357</v>
      </c>
      <c r="J7382" t="s">
        <v>1357</v>
      </c>
      <c r="K7382" t="s">
        <v>1357</v>
      </c>
      <c r="L7382" t="s">
        <v>1357</v>
      </c>
    </row>
    <row r="7383" spans="6:12">
      <c r="H7383" t="s">
        <v>20288</v>
      </c>
      <c r="I7383" t="s">
        <v>1357</v>
      </c>
      <c r="J7383" t="s">
        <v>1357</v>
      </c>
      <c r="K7383" t="s">
        <v>1357</v>
      </c>
      <c r="L7383" t="s">
        <v>1357</v>
      </c>
    </row>
    <row r="7384" spans="6:12">
      <c r="F7384" t="s">
        <v>14883</v>
      </c>
      <c r="G7384" t="s">
        <v>17727</v>
      </c>
      <c r="H7384" t="s">
        <v>20280</v>
      </c>
      <c r="I7384" t="s">
        <v>1357</v>
      </c>
      <c r="J7384" t="s">
        <v>1357</v>
      </c>
      <c r="K7384" t="s">
        <v>1357</v>
      </c>
      <c r="L7384" t="s">
        <v>1357</v>
      </c>
    </row>
    <row r="7385" spans="6:12">
      <c r="H7385" t="s">
        <v>20284</v>
      </c>
      <c r="I7385" t="s">
        <v>1357</v>
      </c>
      <c r="J7385" t="s">
        <v>1357</v>
      </c>
      <c r="K7385" t="s">
        <v>1357</v>
      </c>
      <c r="L7385" t="s">
        <v>1357</v>
      </c>
    </row>
    <row r="7386" spans="6:12">
      <c r="F7386" t="s">
        <v>14884</v>
      </c>
      <c r="G7386" t="s">
        <v>17728</v>
      </c>
      <c r="H7386" t="s">
        <v>20280</v>
      </c>
      <c r="I7386" t="s">
        <v>1357</v>
      </c>
      <c r="J7386" t="s">
        <v>1357</v>
      </c>
      <c r="K7386" t="s">
        <v>1357</v>
      </c>
      <c r="L7386" t="s">
        <v>1357</v>
      </c>
    </row>
    <row r="7387" spans="6:12">
      <c r="H7387" t="s">
        <v>20284</v>
      </c>
      <c r="I7387" t="s">
        <v>1357</v>
      </c>
      <c r="J7387" t="s">
        <v>1357</v>
      </c>
      <c r="K7387" t="s">
        <v>1357</v>
      </c>
      <c r="L7387" t="s">
        <v>1357</v>
      </c>
    </row>
    <row r="7388" spans="6:12">
      <c r="F7388" t="s">
        <v>14885</v>
      </c>
      <c r="G7388" t="s">
        <v>17729</v>
      </c>
      <c r="H7388" t="s">
        <v>20280</v>
      </c>
      <c r="I7388" t="s">
        <v>1357</v>
      </c>
      <c r="J7388" t="s">
        <v>1357</v>
      </c>
      <c r="K7388" t="s">
        <v>1357</v>
      </c>
      <c r="L7388" t="s">
        <v>1357</v>
      </c>
    </row>
    <row r="7389" spans="6:12">
      <c r="H7389" t="s">
        <v>20233</v>
      </c>
      <c r="I7389" t="s">
        <v>1357</v>
      </c>
      <c r="J7389" t="s">
        <v>1357</v>
      </c>
      <c r="K7389" t="s">
        <v>1357</v>
      </c>
      <c r="L7389" t="s">
        <v>1357</v>
      </c>
    </row>
    <row r="7390" spans="6:12">
      <c r="H7390" t="s">
        <v>20230</v>
      </c>
      <c r="I7390" t="s">
        <v>1357</v>
      </c>
      <c r="J7390" t="s">
        <v>1357</v>
      </c>
      <c r="K7390" t="s">
        <v>1357</v>
      </c>
      <c r="L7390" t="s">
        <v>1357</v>
      </c>
    </row>
    <row r="7391" spans="6:12">
      <c r="H7391" t="s">
        <v>20284</v>
      </c>
      <c r="I7391" t="s">
        <v>1357</v>
      </c>
      <c r="J7391" t="s">
        <v>1357</v>
      </c>
      <c r="K7391" t="s">
        <v>1357</v>
      </c>
      <c r="L7391" t="s">
        <v>1357</v>
      </c>
    </row>
    <row r="7392" spans="6:12">
      <c r="H7392" t="s">
        <v>20285</v>
      </c>
      <c r="I7392" t="s">
        <v>1357</v>
      </c>
      <c r="J7392" t="s">
        <v>1357</v>
      </c>
      <c r="K7392" t="s">
        <v>1357</v>
      </c>
      <c r="L7392" t="s">
        <v>1357</v>
      </c>
    </row>
    <row r="7393" spans="6:12">
      <c r="F7393" t="s">
        <v>14886</v>
      </c>
      <c r="G7393" t="s">
        <v>17730</v>
      </c>
      <c r="H7393" t="s">
        <v>20280</v>
      </c>
      <c r="I7393" t="s">
        <v>1357</v>
      </c>
      <c r="J7393" t="s">
        <v>1357</v>
      </c>
      <c r="K7393" t="s">
        <v>1357</v>
      </c>
      <c r="L7393" t="s">
        <v>1357</v>
      </c>
    </row>
    <row r="7394" spans="6:12">
      <c r="H7394" t="s">
        <v>20233</v>
      </c>
      <c r="I7394" t="s">
        <v>1357</v>
      </c>
      <c r="J7394" t="s">
        <v>1357</v>
      </c>
      <c r="K7394" t="s">
        <v>1357</v>
      </c>
      <c r="L7394" t="s">
        <v>1357</v>
      </c>
    </row>
    <row r="7395" spans="6:12">
      <c r="H7395" t="s">
        <v>20284</v>
      </c>
      <c r="I7395" t="s">
        <v>1357</v>
      </c>
      <c r="J7395" t="s">
        <v>1357</v>
      </c>
      <c r="K7395" t="s">
        <v>1357</v>
      </c>
      <c r="L7395" t="s">
        <v>1357</v>
      </c>
    </row>
    <row r="7396" spans="6:12">
      <c r="H7396" t="s">
        <v>20285</v>
      </c>
      <c r="I7396" t="s">
        <v>1357</v>
      </c>
      <c r="J7396" t="s">
        <v>1357</v>
      </c>
      <c r="K7396" t="s">
        <v>1357</v>
      </c>
      <c r="L7396" t="s">
        <v>1357</v>
      </c>
    </row>
    <row r="7397" spans="6:12">
      <c r="F7397" t="s">
        <v>14887</v>
      </c>
      <c r="G7397" t="s">
        <v>17731</v>
      </c>
      <c r="H7397" t="s">
        <v>20280</v>
      </c>
      <c r="I7397" t="s">
        <v>1357</v>
      </c>
      <c r="J7397" t="s">
        <v>1357</v>
      </c>
      <c r="K7397" t="s">
        <v>1357</v>
      </c>
      <c r="L7397" t="s">
        <v>1357</v>
      </c>
    </row>
    <row r="7398" spans="6:12">
      <c r="H7398" t="s">
        <v>20233</v>
      </c>
      <c r="I7398" t="s">
        <v>1357</v>
      </c>
      <c r="J7398" t="s">
        <v>1357</v>
      </c>
      <c r="K7398" t="s">
        <v>1357</v>
      </c>
      <c r="L7398" t="s">
        <v>1357</v>
      </c>
    </row>
    <row r="7399" spans="6:12">
      <c r="H7399" t="s">
        <v>20284</v>
      </c>
      <c r="I7399" t="s">
        <v>1357</v>
      </c>
      <c r="J7399" t="s">
        <v>1357</v>
      </c>
      <c r="K7399" t="s">
        <v>1357</v>
      </c>
      <c r="L7399" t="s">
        <v>1357</v>
      </c>
    </row>
    <row r="7400" spans="6:12">
      <c r="H7400" t="s">
        <v>20285</v>
      </c>
      <c r="I7400" t="s">
        <v>1357</v>
      </c>
      <c r="J7400" t="s">
        <v>1357</v>
      </c>
      <c r="K7400" t="s">
        <v>1357</v>
      </c>
      <c r="L7400" t="s">
        <v>1357</v>
      </c>
    </row>
    <row r="7401" spans="6:12">
      <c r="F7401" t="s">
        <v>14888</v>
      </c>
      <c r="G7401" t="s">
        <v>17732</v>
      </c>
      <c r="H7401" t="s">
        <v>20280</v>
      </c>
      <c r="I7401" t="s">
        <v>1357</v>
      </c>
      <c r="J7401" t="s">
        <v>1357</v>
      </c>
      <c r="K7401" t="s">
        <v>1357</v>
      </c>
      <c r="L7401" t="s">
        <v>1357</v>
      </c>
    </row>
    <row r="7402" spans="6:12">
      <c r="H7402" t="s">
        <v>20233</v>
      </c>
      <c r="I7402" t="s">
        <v>1357</v>
      </c>
      <c r="J7402" t="s">
        <v>1357</v>
      </c>
      <c r="K7402" t="s">
        <v>1357</v>
      </c>
      <c r="L7402" t="s">
        <v>1357</v>
      </c>
    </row>
    <row r="7403" spans="6:12">
      <c r="H7403" t="s">
        <v>20230</v>
      </c>
      <c r="I7403" t="s">
        <v>1357</v>
      </c>
      <c r="J7403" t="s">
        <v>1357</v>
      </c>
      <c r="K7403" t="s">
        <v>1357</v>
      </c>
      <c r="L7403" t="s">
        <v>1357</v>
      </c>
    </row>
    <row r="7404" spans="6:12">
      <c r="H7404" t="s">
        <v>20227</v>
      </c>
      <c r="I7404" t="s">
        <v>1357</v>
      </c>
      <c r="J7404" t="s">
        <v>1357</v>
      </c>
      <c r="K7404" t="s">
        <v>1357</v>
      </c>
      <c r="L7404" t="s">
        <v>1357</v>
      </c>
    </row>
    <row r="7405" spans="6:12">
      <c r="H7405" t="s">
        <v>20228</v>
      </c>
      <c r="I7405" t="s">
        <v>1357</v>
      </c>
      <c r="J7405" t="s">
        <v>1357</v>
      </c>
      <c r="K7405" t="s">
        <v>1357</v>
      </c>
      <c r="L7405" t="s">
        <v>1357</v>
      </c>
    </row>
    <row r="7406" spans="6:12">
      <c r="H7406" t="s">
        <v>20232</v>
      </c>
      <c r="I7406" t="s">
        <v>1357</v>
      </c>
      <c r="J7406" t="s">
        <v>1357</v>
      </c>
      <c r="K7406" t="s">
        <v>1357</v>
      </c>
      <c r="L7406" t="s">
        <v>1357</v>
      </c>
    </row>
    <row r="7407" spans="6:12">
      <c r="H7407" t="s">
        <v>20296</v>
      </c>
      <c r="I7407" t="s">
        <v>1357</v>
      </c>
      <c r="J7407" t="s">
        <v>1357</v>
      </c>
      <c r="K7407" t="s">
        <v>1357</v>
      </c>
      <c r="L7407" t="s">
        <v>1357</v>
      </c>
    </row>
    <row r="7408" spans="6:12">
      <c r="H7408" t="s">
        <v>20297</v>
      </c>
      <c r="I7408" t="s">
        <v>1357</v>
      </c>
      <c r="J7408" t="s">
        <v>1357</v>
      </c>
      <c r="K7408" t="s">
        <v>1357</v>
      </c>
      <c r="L7408" t="s">
        <v>1357</v>
      </c>
    </row>
    <row r="7409" spans="6:12">
      <c r="H7409" t="s">
        <v>20234</v>
      </c>
      <c r="I7409" t="s">
        <v>1357</v>
      </c>
      <c r="J7409" t="s">
        <v>1357</v>
      </c>
      <c r="K7409" t="s">
        <v>1357</v>
      </c>
      <c r="L7409" t="s">
        <v>1357</v>
      </c>
    </row>
    <row r="7410" spans="6:12">
      <c r="H7410" t="s">
        <v>20235</v>
      </c>
      <c r="I7410" t="s">
        <v>1357</v>
      </c>
      <c r="J7410" t="s">
        <v>1357</v>
      </c>
      <c r="K7410" t="s">
        <v>1357</v>
      </c>
      <c r="L7410" t="s">
        <v>1357</v>
      </c>
    </row>
    <row r="7411" spans="6:12">
      <c r="H7411" t="s">
        <v>20298</v>
      </c>
      <c r="I7411" t="s">
        <v>1357</v>
      </c>
      <c r="J7411" t="s">
        <v>1357</v>
      </c>
      <c r="K7411" t="s">
        <v>1357</v>
      </c>
      <c r="L7411" t="s">
        <v>1357</v>
      </c>
    </row>
    <row r="7412" spans="6:12">
      <c r="H7412" t="s">
        <v>20299</v>
      </c>
      <c r="I7412" t="s">
        <v>1357</v>
      </c>
      <c r="J7412" t="s">
        <v>1357</v>
      </c>
      <c r="K7412" t="s">
        <v>1357</v>
      </c>
      <c r="L7412" t="s">
        <v>1357</v>
      </c>
    </row>
    <row r="7413" spans="6:12">
      <c r="H7413" t="s">
        <v>20281</v>
      </c>
      <c r="I7413" t="s">
        <v>1357</v>
      </c>
      <c r="J7413" t="s">
        <v>1357</v>
      </c>
      <c r="K7413" t="s">
        <v>1357</v>
      </c>
      <c r="L7413" t="s">
        <v>1357</v>
      </c>
    </row>
    <row r="7414" spans="6:12">
      <c r="H7414" t="s">
        <v>20284</v>
      </c>
      <c r="I7414" t="s">
        <v>1357</v>
      </c>
      <c r="J7414" t="s">
        <v>1357</v>
      </c>
      <c r="K7414" t="s">
        <v>1357</v>
      </c>
      <c r="L7414" t="s">
        <v>1357</v>
      </c>
    </row>
    <row r="7415" spans="6:12">
      <c r="H7415" t="s">
        <v>20285</v>
      </c>
      <c r="I7415" t="s">
        <v>1357</v>
      </c>
      <c r="J7415" t="s">
        <v>1357</v>
      </c>
      <c r="K7415" t="s">
        <v>1357</v>
      </c>
      <c r="L7415" t="s">
        <v>1357</v>
      </c>
    </row>
    <row r="7416" spans="6:12">
      <c r="H7416" t="s">
        <v>20286</v>
      </c>
      <c r="I7416" t="s">
        <v>1357</v>
      </c>
      <c r="J7416" t="s">
        <v>1357</v>
      </c>
      <c r="K7416" t="s">
        <v>1357</v>
      </c>
      <c r="L7416" t="s">
        <v>1357</v>
      </c>
    </row>
    <row r="7417" spans="6:12">
      <c r="H7417" t="s">
        <v>20287</v>
      </c>
      <c r="I7417" t="s">
        <v>1357</v>
      </c>
      <c r="J7417" t="s">
        <v>1357</v>
      </c>
      <c r="K7417" t="s">
        <v>1357</v>
      </c>
      <c r="L7417" t="s">
        <v>1357</v>
      </c>
    </row>
    <row r="7418" spans="6:12">
      <c r="H7418" t="s">
        <v>20288</v>
      </c>
      <c r="I7418" t="s">
        <v>1357</v>
      </c>
      <c r="J7418" t="s">
        <v>1357</v>
      </c>
      <c r="K7418" t="s">
        <v>1357</v>
      </c>
      <c r="L7418" t="s">
        <v>1357</v>
      </c>
    </row>
    <row r="7419" spans="6:12">
      <c r="H7419" t="s">
        <v>20289</v>
      </c>
      <c r="I7419" t="s">
        <v>1357</v>
      </c>
      <c r="J7419" t="s">
        <v>1357</v>
      </c>
      <c r="K7419" t="s">
        <v>1357</v>
      </c>
      <c r="L7419" t="s">
        <v>1357</v>
      </c>
    </row>
    <row r="7420" spans="6:12">
      <c r="F7420" t="s">
        <v>14889</v>
      </c>
      <c r="G7420" t="s">
        <v>17733</v>
      </c>
      <c r="H7420" t="s">
        <v>20280</v>
      </c>
      <c r="I7420" t="s">
        <v>1357</v>
      </c>
      <c r="J7420" t="s">
        <v>1357</v>
      </c>
      <c r="K7420" t="s">
        <v>1357</v>
      </c>
      <c r="L7420" t="s">
        <v>1357</v>
      </c>
    </row>
    <row r="7421" spans="6:12">
      <c r="H7421" t="s">
        <v>20233</v>
      </c>
      <c r="I7421" t="s">
        <v>1357</v>
      </c>
      <c r="J7421" t="s">
        <v>1357</v>
      </c>
      <c r="K7421" t="s">
        <v>1357</v>
      </c>
      <c r="L7421" t="s">
        <v>1357</v>
      </c>
    </row>
    <row r="7422" spans="6:12">
      <c r="H7422" t="s">
        <v>20284</v>
      </c>
      <c r="I7422" t="s">
        <v>1357</v>
      </c>
      <c r="J7422" t="s">
        <v>1357</v>
      </c>
      <c r="K7422" t="s">
        <v>1357</v>
      </c>
      <c r="L7422" t="s">
        <v>1357</v>
      </c>
    </row>
    <row r="7423" spans="6:12">
      <c r="H7423" t="s">
        <v>20285</v>
      </c>
      <c r="I7423" t="s">
        <v>1357</v>
      </c>
      <c r="J7423" t="s">
        <v>1357</v>
      </c>
      <c r="K7423" t="s">
        <v>1357</v>
      </c>
      <c r="L7423" t="s">
        <v>1357</v>
      </c>
    </row>
    <row r="7424" spans="6:12">
      <c r="H7424" t="s">
        <v>20286</v>
      </c>
      <c r="I7424" t="s">
        <v>1357</v>
      </c>
      <c r="J7424" t="s">
        <v>1357</v>
      </c>
      <c r="K7424" t="s">
        <v>1357</v>
      </c>
      <c r="L7424" t="s">
        <v>1357</v>
      </c>
    </row>
    <row r="7425" spans="6:12">
      <c r="H7425" t="s">
        <v>20287</v>
      </c>
      <c r="I7425" t="s">
        <v>1357</v>
      </c>
      <c r="J7425" t="s">
        <v>1357</v>
      </c>
      <c r="K7425" t="s">
        <v>1357</v>
      </c>
      <c r="L7425" t="s">
        <v>1357</v>
      </c>
    </row>
    <row r="7426" spans="6:12">
      <c r="H7426" t="s">
        <v>20230</v>
      </c>
      <c r="I7426" t="s">
        <v>1357</v>
      </c>
      <c r="J7426" t="s">
        <v>1357</v>
      </c>
      <c r="K7426" t="s">
        <v>1357</v>
      </c>
      <c r="L7426" t="s">
        <v>1357</v>
      </c>
    </row>
    <row r="7427" spans="6:12">
      <c r="H7427" t="s">
        <v>20227</v>
      </c>
      <c r="I7427" t="s">
        <v>1357</v>
      </c>
      <c r="J7427" t="s">
        <v>1357</v>
      </c>
      <c r="K7427" t="s">
        <v>1357</v>
      </c>
      <c r="L7427" t="s">
        <v>1357</v>
      </c>
    </row>
    <row r="7428" spans="6:12">
      <c r="H7428" t="s">
        <v>20288</v>
      </c>
      <c r="I7428" t="s">
        <v>1357</v>
      </c>
      <c r="J7428" t="s">
        <v>1357</v>
      </c>
      <c r="K7428" t="s">
        <v>1357</v>
      </c>
      <c r="L7428" t="s">
        <v>1357</v>
      </c>
    </row>
    <row r="7429" spans="6:12">
      <c r="H7429" t="s">
        <v>20289</v>
      </c>
      <c r="I7429" t="s">
        <v>1357</v>
      </c>
      <c r="J7429" t="s">
        <v>1357</v>
      </c>
      <c r="K7429" t="s">
        <v>1357</v>
      </c>
      <c r="L7429" t="s">
        <v>1357</v>
      </c>
    </row>
    <row r="7430" spans="6:12">
      <c r="H7430" t="s">
        <v>20290</v>
      </c>
      <c r="I7430" t="s">
        <v>1357</v>
      </c>
      <c r="J7430" t="s">
        <v>1357</v>
      </c>
      <c r="K7430" t="s">
        <v>1357</v>
      </c>
      <c r="L7430" t="s">
        <v>1357</v>
      </c>
    </row>
    <row r="7431" spans="6:12">
      <c r="H7431" t="s">
        <v>20291</v>
      </c>
      <c r="I7431" t="s">
        <v>1357</v>
      </c>
      <c r="J7431" t="s">
        <v>1357</v>
      </c>
      <c r="K7431" t="s">
        <v>1357</v>
      </c>
      <c r="L7431" t="s">
        <v>1357</v>
      </c>
    </row>
    <row r="7432" spans="6:12">
      <c r="F7432" t="s">
        <v>14890</v>
      </c>
      <c r="G7432" t="s">
        <v>17734</v>
      </c>
      <c r="H7432" t="s">
        <v>20280</v>
      </c>
      <c r="I7432" t="s">
        <v>1357</v>
      </c>
      <c r="J7432" t="s">
        <v>1357</v>
      </c>
      <c r="K7432" t="s">
        <v>1357</v>
      </c>
      <c r="L7432" t="s">
        <v>1357</v>
      </c>
    </row>
    <row r="7433" spans="6:12">
      <c r="H7433" t="s">
        <v>20233</v>
      </c>
      <c r="I7433" t="s">
        <v>1357</v>
      </c>
      <c r="J7433" t="s">
        <v>1357</v>
      </c>
      <c r="K7433" t="s">
        <v>1357</v>
      </c>
      <c r="L7433" t="s">
        <v>1357</v>
      </c>
    </row>
    <row r="7434" spans="6:12">
      <c r="H7434" t="s">
        <v>20284</v>
      </c>
      <c r="I7434" t="s">
        <v>1357</v>
      </c>
      <c r="J7434" t="s">
        <v>1357</v>
      </c>
      <c r="K7434" t="s">
        <v>1357</v>
      </c>
      <c r="L7434" t="s">
        <v>1357</v>
      </c>
    </row>
    <row r="7435" spans="6:12">
      <c r="H7435" t="s">
        <v>20285</v>
      </c>
      <c r="I7435" t="s">
        <v>1357</v>
      </c>
      <c r="J7435" t="s">
        <v>1357</v>
      </c>
      <c r="K7435" t="s">
        <v>1357</v>
      </c>
      <c r="L7435" t="s">
        <v>1357</v>
      </c>
    </row>
    <row r="7436" spans="6:12">
      <c r="H7436" t="s">
        <v>20286</v>
      </c>
      <c r="I7436" t="s">
        <v>1357</v>
      </c>
      <c r="J7436" t="s">
        <v>1357</v>
      </c>
      <c r="K7436" t="s">
        <v>1357</v>
      </c>
      <c r="L7436" t="s">
        <v>1357</v>
      </c>
    </row>
    <row r="7437" spans="6:12">
      <c r="H7437" t="s">
        <v>20287</v>
      </c>
      <c r="I7437" t="s">
        <v>1357</v>
      </c>
      <c r="J7437" t="s">
        <v>1357</v>
      </c>
      <c r="K7437" t="s">
        <v>1357</v>
      </c>
      <c r="L7437" t="s">
        <v>1357</v>
      </c>
    </row>
    <row r="7438" spans="6:12">
      <c r="F7438" t="s">
        <v>14891</v>
      </c>
      <c r="G7438" t="s">
        <v>17735</v>
      </c>
      <c r="H7438" t="s">
        <v>20280</v>
      </c>
      <c r="I7438" t="s">
        <v>1357</v>
      </c>
      <c r="J7438" t="s">
        <v>1357</v>
      </c>
      <c r="K7438" t="s">
        <v>1357</v>
      </c>
      <c r="L7438" t="s">
        <v>1357</v>
      </c>
    </row>
    <row r="7439" spans="6:12">
      <c r="H7439" t="s">
        <v>20233</v>
      </c>
      <c r="I7439" t="s">
        <v>1357</v>
      </c>
      <c r="J7439" t="s">
        <v>1357</v>
      </c>
      <c r="K7439" t="s">
        <v>1357</v>
      </c>
      <c r="L7439" t="s">
        <v>1357</v>
      </c>
    </row>
    <row r="7440" spans="6:12">
      <c r="H7440" t="s">
        <v>20284</v>
      </c>
      <c r="I7440" t="s">
        <v>1357</v>
      </c>
      <c r="J7440" t="s">
        <v>1357</v>
      </c>
      <c r="K7440" t="s">
        <v>1357</v>
      </c>
      <c r="L7440" t="s">
        <v>1357</v>
      </c>
    </row>
    <row r="7441" spans="6:12">
      <c r="H7441" t="s">
        <v>20285</v>
      </c>
      <c r="I7441" t="s">
        <v>1357</v>
      </c>
      <c r="J7441" t="s">
        <v>1357</v>
      </c>
      <c r="K7441" t="s">
        <v>1357</v>
      </c>
      <c r="L7441" t="s">
        <v>1357</v>
      </c>
    </row>
    <row r="7442" spans="6:12">
      <c r="H7442" t="s">
        <v>20286</v>
      </c>
      <c r="I7442" t="s">
        <v>1357</v>
      </c>
      <c r="J7442" t="s">
        <v>1357</v>
      </c>
      <c r="K7442" t="s">
        <v>1357</v>
      </c>
      <c r="L7442" t="s">
        <v>1357</v>
      </c>
    </row>
    <row r="7443" spans="6:12">
      <c r="H7443" t="s">
        <v>20287</v>
      </c>
      <c r="I7443" t="s">
        <v>1357</v>
      </c>
      <c r="J7443" t="s">
        <v>1357</v>
      </c>
      <c r="K7443" t="s">
        <v>1357</v>
      </c>
      <c r="L7443" t="s">
        <v>1357</v>
      </c>
    </row>
    <row r="7444" spans="6:12">
      <c r="F7444" t="s">
        <v>14892</v>
      </c>
      <c r="G7444" t="s">
        <v>17736</v>
      </c>
      <c r="H7444" t="s">
        <v>20280</v>
      </c>
      <c r="I7444" t="s">
        <v>1357</v>
      </c>
      <c r="J7444" t="s">
        <v>1357</v>
      </c>
      <c r="K7444" t="s">
        <v>1357</v>
      </c>
      <c r="L7444" t="s">
        <v>1357</v>
      </c>
    </row>
    <row r="7445" spans="6:12">
      <c r="H7445" t="s">
        <v>20233</v>
      </c>
      <c r="I7445" t="s">
        <v>1357</v>
      </c>
      <c r="J7445" t="s">
        <v>1357</v>
      </c>
      <c r="K7445" t="s">
        <v>1357</v>
      </c>
      <c r="L7445" t="s">
        <v>1357</v>
      </c>
    </row>
    <row r="7446" spans="6:12">
      <c r="H7446" t="s">
        <v>20284</v>
      </c>
      <c r="I7446" t="s">
        <v>1357</v>
      </c>
      <c r="J7446" t="s">
        <v>1357</v>
      </c>
      <c r="K7446" t="s">
        <v>1357</v>
      </c>
      <c r="L7446" t="s">
        <v>1357</v>
      </c>
    </row>
    <row r="7447" spans="6:12">
      <c r="H7447" t="s">
        <v>20285</v>
      </c>
      <c r="I7447" t="s">
        <v>1357</v>
      </c>
      <c r="J7447" t="s">
        <v>1357</v>
      </c>
      <c r="K7447" t="s">
        <v>1357</v>
      </c>
      <c r="L7447" t="s">
        <v>1357</v>
      </c>
    </row>
    <row r="7448" spans="6:12">
      <c r="H7448" t="s">
        <v>20286</v>
      </c>
      <c r="I7448" t="s">
        <v>1357</v>
      </c>
      <c r="J7448" t="s">
        <v>1357</v>
      </c>
      <c r="K7448" t="s">
        <v>1357</v>
      </c>
      <c r="L7448" t="s">
        <v>1357</v>
      </c>
    </row>
    <row r="7449" spans="6:12">
      <c r="H7449" t="s">
        <v>20287</v>
      </c>
      <c r="I7449" t="s">
        <v>1357</v>
      </c>
      <c r="J7449" t="s">
        <v>1357</v>
      </c>
      <c r="K7449" t="s">
        <v>1357</v>
      </c>
      <c r="L7449" t="s">
        <v>1357</v>
      </c>
    </row>
    <row r="7450" spans="6:12">
      <c r="F7450" t="s">
        <v>14893</v>
      </c>
      <c r="G7450" t="s">
        <v>17737</v>
      </c>
      <c r="H7450" t="s">
        <v>20280</v>
      </c>
      <c r="I7450" t="s">
        <v>1357</v>
      </c>
      <c r="J7450" t="s">
        <v>1357</v>
      </c>
      <c r="K7450" t="s">
        <v>1357</v>
      </c>
      <c r="L7450" t="s">
        <v>1357</v>
      </c>
    </row>
    <row r="7451" spans="6:12">
      <c r="H7451" t="s">
        <v>20233</v>
      </c>
      <c r="I7451" t="s">
        <v>1357</v>
      </c>
      <c r="J7451" t="s">
        <v>1357</v>
      </c>
      <c r="K7451" t="s">
        <v>1357</v>
      </c>
      <c r="L7451" t="s">
        <v>1357</v>
      </c>
    </row>
    <row r="7452" spans="6:12">
      <c r="H7452" t="s">
        <v>20284</v>
      </c>
      <c r="I7452" t="s">
        <v>1357</v>
      </c>
      <c r="J7452" t="s">
        <v>1357</v>
      </c>
      <c r="K7452" t="s">
        <v>1357</v>
      </c>
      <c r="L7452" t="s">
        <v>1357</v>
      </c>
    </row>
    <row r="7453" spans="6:12">
      <c r="H7453" t="s">
        <v>20285</v>
      </c>
      <c r="I7453" t="s">
        <v>1357</v>
      </c>
      <c r="J7453" t="s">
        <v>1357</v>
      </c>
      <c r="K7453" t="s">
        <v>1357</v>
      </c>
      <c r="L7453" t="s">
        <v>1357</v>
      </c>
    </row>
    <row r="7454" spans="6:12">
      <c r="H7454" t="s">
        <v>20286</v>
      </c>
      <c r="I7454" t="s">
        <v>1357</v>
      </c>
      <c r="J7454" t="s">
        <v>1357</v>
      </c>
      <c r="K7454" t="s">
        <v>1357</v>
      </c>
      <c r="L7454" t="s">
        <v>1357</v>
      </c>
    </row>
    <row r="7455" spans="6:12">
      <c r="H7455" t="s">
        <v>20287</v>
      </c>
      <c r="I7455" t="s">
        <v>1357</v>
      </c>
      <c r="J7455" t="s">
        <v>1357</v>
      </c>
      <c r="K7455" t="s">
        <v>1357</v>
      </c>
      <c r="L7455" t="s">
        <v>1357</v>
      </c>
    </row>
    <row r="7456" spans="6:12">
      <c r="F7456" t="s">
        <v>14894</v>
      </c>
      <c r="G7456" t="s">
        <v>17738</v>
      </c>
      <c r="H7456" t="s">
        <v>20280</v>
      </c>
      <c r="I7456" t="s">
        <v>1357</v>
      </c>
      <c r="J7456" t="s">
        <v>1357</v>
      </c>
      <c r="K7456" t="s">
        <v>1357</v>
      </c>
      <c r="L7456" t="s">
        <v>1357</v>
      </c>
    </row>
    <row r="7457" spans="6:12">
      <c r="H7457" t="s">
        <v>20233</v>
      </c>
      <c r="I7457" t="s">
        <v>1357</v>
      </c>
      <c r="J7457" t="s">
        <v>1357</v>
      </c>
      <c r="K7457" t="s">
        <v>1357</v>
      </c>
      <c r="L7457" t="s">
        <v>1357</v>
      </c>
    </row>
    <row r="7458" spans="6:12">
      <c r="H7458" t="s">
        <v>20230</v>
      </c>
      <c r="I7458" t="s">
        <v>1357</v>
      </c>
      <c r="J7458" t="s">
        <v>1357</v>
      </c>
      <c r="K7458" t="s">
        <v>1357</v>
      </c>
      <c r="L7458" t="s">
        <v>1357</v>
      </c>
    </row>
    <row r="7459" spans="6:12">
      <c r="H7459" t="s">
        <v>20296</v>
      </c>
      <c r="I7459" t="s">
        <v>1357</v>
      </c>
      <c r="J7459" t="s">
        <v>1357</v>
      </c>
      <c r="K7459" t="s">
        <v>1357</v>
      </c>
      <c r="L7459" t="s">
        <v>1357</v>
      </c>
    </row>
    <row r="7460" spans="6:12">
      <c r="H7460" t="s">
        <v>20297</v>
      </c>
      <c r="I7460" t="s">
        <v>1357</v>
      </c>
      <c r="J7460" t="s">
        <v>1357</v>
      </c>
      <c r="K7460" t="s">
        <v>1357</v>
      </c>
      <c r="L7460" t="s">
        <v>1357</v>
      </c>
    </row>
    <row r="7461" spans="6:12">
      <c r="H7461" t="s">
        <v>20234</v>
      </c>
      <c r="I7461" t="s">
        <v>1357</v>
      </c>
      <c r="J7461" t="s">
        <v>1357</v>
      </c>
      <c r="K7461" t="s">
        <v>1357</v>
      </c>
      <c r="L7461" t="s">
        <v>1357</v>
      </c>
    </row>
    <row r="7462" spans="6:12">
      <c r="H7462" t="s">
        <v>20235</v>
      </c>
      <c r="I7462" t="s">
        <v>1357</v>
      </c>
      <c r="J7462" t="s">
        <v>1357</v>
      </c>
      <c r="K7462" t="s">
        <v>1357</v>
      </c>
      <c r="L7462" t="s">
        <v>1357</v>
      </c>
    </row>
    <row r="7463" spans="6:12">
      <c r="H7463" t="s">
        <v>20298</v>
      </c>
      <c r="I7463" t="s">
        <v>1357</v>
      </c>
      <c r="J7463" t="s">
        <v>1357</v>
      </c>
      <c r="K7463" t="s">
        <v>1357</v>
      </c>
      <c r="L7463" t="s">
        <v>1357</v>
      </c>
    </row>
    <row r="7464" spans="6:12">
      <c r="H7464" t="s">
        <v>20299</v>
      </c>
      <c r="I7464" t="s">
        <v>1357</v>
      </c>
      <c r="J7464" t="s">
        <v>1357</v>
      </c>
      <c r="K7464" t="s">
        <v>1357</v>
      </c>
      <c r="L7464" t="s">
        <v>1357</v>
      </c>
    </row>
    <row r="7465" spans="6:12">
      <c r="H7465" t="s">
        <v>20300</v>
      </c>
      <c r="I7465" t="s">
        <v>1357</v>
      </c>
      <c r="J7465" t="s">
        <v>1357</v>
      </c>
      <c r="K7465" t="s">
        <v>1357</v>
      </c>
      <c r="L7465" t="s">
        <v>1357</v>
      </c>
    </row>
    <row r="7466" spans="6:12">
      <c r="H7466" t="s">
        <v>20284</v>
      </c>
      <c r="I7466" t="s">
        <v>1357</v>
      </c>
      <c r="J7466" t="s">
        <v>1357</v>
      </c>
      <c r="K7466" t="s">
        <v>1357</v>
      </c>
      <c r="L7466" t="s">
        <v>1357</v>
      </c>
    </row>
    <row r="7467" spans="6:12">
      <c r="H7467" t="s">
        <v>20285</v>
      </c>
      <c r="I7467" t="s">
        <v>1357</v>
      </c>
      <c r="J7467" t="s">
        <v>1357</v>
      </c>
      <c r="K7467" t="s">
        <v>1357</v>
      </c>
      <c r="L7467" t="s">
        <v>1357</v>
      </c>
    </row>
    <row r="7468" spans="6:12">
      <c r="H7468" t="s">
        <v>20286</v>
      </c>
      <c r="I7468" t="s">
        <v>1357</v>
      </c>
      <c r="J7468" t="s">
        <v>1357</v>
      </c>
      <c r="K7468" t="s">
        <v>1357</v>
      </c>
      <c r="L7468" t="s">
        <v>1357</v>
      </c>
    </row>
    <row r="7469" spans="6:12">
      <c r="H7469" t="s">
        <v>20287</v>
      </c>
      <c r="I7469" t="s">
        <v>1357</v>
      </c>
      <c r="J7469" t="s">
        <v>1357</v>
      </c>
      <c r="K7469" t="s">
        <v>1357</v>
      </c>
      <c r="L7469" t="s">
        <v>1357</v>
      </c>
    </row>
    <row r="7470" spans="6:12">
      <c r="H7470" t="s">
        <v>20288</v>
      </c>
      <c r="I7470" t="s">
        <v>1357</v>
      </c>
      <c r="J7470" t="s">
        <v>1357</v>
      </c>
      <c r="K7470" t="s">
        <v>1357</v>
      </c>
      <c r="L7470" t="s">
        <v>1357</v>
      </c>
    </row>
    <row r="7471" spans="6:12">
      <c r="H7471" t="s">
        <v>20289</v>
      </c>
      <c r="I7471" t="s">
        <v>1357</v>
      </c>
      <c r="J7471" t="s">
        <v>1357</v>
      </c>
      <c r="K7471" t="s">
        <v>1357</v>
      </c>
      <c r="L7471" t="s">
        <v>1357</v>
      </c>
    </row>
    <row r="7472" spans="6:12">
      <c r="F7472" t="s">
        <v>14895</v>
      </c>
      <c r="G7472" t="s">
        <v>17739</v>
      </c>
      <c r="H7472" t="s">
        <v>20280</v>
      </c>
      <c r="I7472" t="s">
        <v>1357</v>
      </c>
      <c r="J7472" t="s">
        <v>1357</v>
      </c>
      <c r="K7472" t="s">
        <v>1357</v>
      </c>
      <c r="L7472" t="s">
        <v>1357</v>
      </c>
    </row>
    <row r="7473" spans="6:12">
      <c r="H7473" t="s">
        <v>20233</v>
      </c>
      <c r="I7473" t="s">
        <v>1357</v>
      </c>
      <c r="J7473" t="s">
        <v>1357</v>
      </c>
      <c r="K7473" t="s">
        <v>1357</v>
      </c>
      <c r="L7473" t="s">
        <v>1357</v>
      </c>
    </row>
    <row r="7474" spans="6:12">
      <c r="H7474" t="s">
        <v>20230</v>
      </c>
      <c r="I7474" t="s">
        <v>1357</v>
      </c>
      <c r="J7474" t="s">
        <v>1357</v>
      </c>
      <c r="K7474" t="s">
        <v>1357</v>
      </c>
      <c r="L7474" t="s">
        <v>1357</v>
      </c>
    </row>
    <row r="7475" spans="6:12">
      <c r="H7475" t="s">
        <v>20227</v>
      </c>
      <c r="I7475" t="s">
        <v>1357</v>
      </c>
      <c r="J7475" t="s">
        <v>1357</v>
      </c>
      <c r="K7475" t="s">
        <v>1357</v>
      </c>
      <c r="L7475" t="s">
        <v>1357</v>
      </c>
    </row>
    <row r="7476" spans="6:12">
      <c r="H7476" t="s">
        <v>20296</v>
      </c>
      <c r="I7476" t="s">
        <v>1357</v>
      </c>
      <c r="J7476" t="s">
        <v>1357</v>
      </c>
      <c r="K7476" t="s">
        <v>1357</v>
      </c>
      <c r="L7476" t="s">
        <v>1357</v>
      </c>
    </row>
    <row r="7477" spans="6:12">
      <c r="H7477" t="s">
        <v>20297</v>
      </c>
      <c r="I7477" t="s">
        <v>1357</v>
      </c>
      <c r="J7477" t="s">
        <v>1357</v>
      </c>
      <c r="K7477" t="s">
        <v>1357</v>
      </c>
      <c r="L7477" t="s">
        <v>1357</v>
      </c>
    </row>
    <row r="7478" spans="6:12">
      <c r="H7478" t="s">
        <v>20234</v>
      </c>
      <c r="I7478" t="s">
        <v>1357</v>
      </c>
      <c r="J7478" t="s">
        <v>1357</v>
      </c>
      <c r="K7478" t="s">
        <v>1357</v>
      </c>
      <c r="L7478" t="s">
        <v>1357</v>
      </c>
    </row>
    <row r="7479" spans="6:12">
      <c r="H7479" t="s">
        <v>20284</v>
      </c>
      <c r="I7479" t="s">
        <v>1357</v>
      </c>
      <c r="J7479" t="s">
        <v>1357</v>
      </c>
      <c r="K7479" t="s">
        <v>1357</v>
      </c>
      <c r="L7479" t="s">
        <v>1357</v>
      </c>
    </row>
    <row r="7480" spans="6:12">
      <c r="H7480" t="s">
        <v>20285</v>
      </c>
      <c r="I7480" t="s">
        <v>1357</v>
      </c>
      <c r="J7480" t="s">
        <v>1357</v>
      </c>
      <c r="K7480" t="s">
        <v>1357</v>
      </c>
      <c r="L7480" t="s">
        <v>1357</v>
      </c>
    </row>
    <row r="7481" spans="6:12">
      <c r="H7481" t="s">
        <v>20286</v>
      </c>
      <c r="I7481" t="s">
        <v>1357</v>
      </c>
      <c r="J7481" t="s">
        <v>1357</v>
      </c>
      <c r="K7481" t="s">
        <v>1357</v>
      </c>
      <c r="L7481" t="s">
        <v>1357</v>
      </c>
    </row>
    <row r="7482" spans="6:12">
      <c r="H7482" t="s">
        <v>20287</v>
      </c>
      <c r="I7482" t="s">
        <v>1357</v>
      </c>
      <c r="J7482" t="s">
        <v>1357</v>
      </c>
      <c r="K7482" t="s">
        <v>1357</v>
      </c>
      <c r="L7482" t="s">
        <v>1357</v>
      </c>
    </row>
    <row r="7483" spans="6:12">
      <c r="H7483" t="s">
        <v>20288</v>
      </c>
      <c r="I7483" t="s">
        <v>1357</v>
      </c>
      <c r="J7483" t="s">
        <v>1357</v>
      </c>
      <c r="K7483" t="s">
        <v>1357</v>
      </c>
      <c r="L7483" t="s">
        <v>1357</v>
      </c>
    </row>
    <row r="7484" spans="6:12">
      <c r="F7484" t="s">
        <v>14896</v>
      </c>
      <c r="G7484" t="s">
        <v>17740</v>
      </c>
      <c r="H7484" t="s">
        <v>20280</v>
      </c>
      <c r="I7484" t="s">
        <v>1357</v>
      </c>
      <c r="J7484" t="s">
        <v>1357</v>
      </c>
      <c r="K7484" t="s">
        <v>1357</v>
      </c>
      <c r="L7484" t="s">
        <v>1357</v>
      </c>
    </row>
    <row r="7485" spans="6:12">
      <c r="H7485" t="s">
        <v>20296</v>
      </c>
      <c r="I7485" t="s">
        <v>1357</v>
      </c>
      <c r="J7485" t="s">
        <v>1357</v>
      </c>
      <c r="K7485" t="s">
        <v>1357</v>
      </c>
      <c r="L7485" t="s">
        <v>1357</v>
      </c>
    </row>
    <row r="7486" spans="6:12">
      <c r="H7486" t="s">
        <v>20297</v>
      </c>
      <c r="I7486" t="s">
        <v>1357</v>
      </c>
      <c r="J7486" t="s">
        <v>1357</v>
      </c>
      <c r="K7486" t="s">
        <v>1357</v>
      </c>
      <c r="L7486" t="s">
        <v>1357</v>
      </c>
    </row>
    <row r="7487" spans="6:12">
      <c r="H7487" t="s">
        <v>20284</v>
      </c>
      <c r="I7487" t="s">
        <v>1357</v>
      </c>
      <c r="J7487" t="s">
        <v>1357</v>
      </c>
      <c r="K7487" t="s">
        <v>1357</v>
      </c>
      <c r="L7487" t="s">
        <v>1357</v>
      </c>
    </row>
    <row r="7488" spans="6:12">
      <c r="H7488" t="s">
        <v>20285</v>
      </c>
      <c r="I7488" t="s">
        <v>1357</v>
      </c>
      <c r="J7488" t="s">
        <v>1357</v>
      </c>
      <c r="K7488" t="s">
        <v>1357</v>
      </c>
      <c r="L7488" t="s">
        <v>1357</v>
      </c>
    </row>
    <row r="7489" spans="6:12">
      <c r="H7489" t="s">
        <v>20286</v>
      </c>
      <c r="I7489" t="s">
        <v>1357</v>
      </c>
      <c r="J7489" t="s">
        <v>1357</v>
      </c>
      <c r="K7489" t="s">
        <v>1357</v>
      </c>
      <c r="L7489" t="s">
        <v>1357</v>
      </c>
    </row>
    <row r="7490" spans="6:12">
      <c r="H7490" t="s">
        <v>20287</v>
      </c>
      <c r="I7490" t="s">
        <v>1357</v>
      </c>
      <c r="J7490" t="s">
        <v>1357</v>
      </c>
      <c r="K7490" t="s">
        <v>1357</v>
      </c>
      <c r="L7490" t="s">
        <v>1357</v>
      </c>
    </row>
    <row r="7491" spans="6:12">
      <c r="H7491" t="s">
        <v>20288</v>
      </c>
      <c r="I7491" t="s">
        <v>1357</v>
      </c>
      <c r="J7491" t="s">
        <v>1357</v>
      </c>
      <c r="K7491" t="s">
        <v>1357</v>
      </c>
      <c r="L7491" t="s">
        <v>1357</v>
      </c>
    </row>
    <row r="7492" spans="6:12">
      <c r="H7492" t="s">
        <v>20289</v>
      </c>
      <c r="I7492" t="s">
        <v>1357</v>
      </c>
      <c r="J7492" t="s">
        <v>1357</v>
      </c>
      <c r="K7492" t="s">
        <v>1357</v>
      </c>
      <c r="L7492" t="s">
        <v>1357</v>
      </c>
    </row>
    <row r="7493" spans="6:12">
      <c r="H7493" t="s">
        <v>20290</v>
      </c>
      <c r="I7493" t="s">
        <v>1357</v>
      </c>
      <c r="J7493" t="s">
        <v>1357</v>
      </c>
      <c r="K7493" t="s">
        <v>1357</v>
      </c>
      <c r="L7493" t="s">
        <v>1357</v>
      </c>
    </row>
    <row r="7494" spans="6:12">
      <c r="H7494" t="s">
        <v>20291</v>
      </c>
      <c r="I7494" t="s">
        <v>1357</v>
      </c>
      <c r="J7494" t="s">
        <v>1357</v>
      </c>
      <c r="K7494" t="s">
        <v>1357</v>
      </c>
      <c r="L7494" t="s">
        <v>1357</v>
      </c>
    </row>
    <row r="7495" spans="6:12">
      <c r="H7495" t="s">
        <v>20293</v>
      </c>
      <c r="I7495" t="s">
        <v>1357</v>
      </c>
      <c r="J7495" t="s">
        <v>1357</v>
      </c>
      <c r="K7495" t="s">
        <v>1357</v>
      </c>
      <c r="L7495" t="s">
        <v>1357</v>
      </c>
    </row>
    <row r="7496" spans="6:12">
      <c r="F7496" t="s">
        <v>14897</v>
      </c>
      <c r="G7496" t="s">
        <v>17741</v>
      </c>
      <c r="H7496" t="s">
        <v>20280</v>
      </c>
      <c r="I7496" t="s">
        <v>1357</v>
      </c>
      <c r="J7496" t="s">
        <v>1357</v>
      </c>
      <c r="K7496" t="s">
        <v>1357</v>
      </c>
      <c r="L7496" t="s">
        <v>1357</v>
      </c>
    </row>
    <row r="7497" spans="6:12">
      <c r="H7497" t="s">
        <v>20233</v>
      </c>
      <c r="I7497" t="s">
        <v>1357</v>
      </c>
      <c r="J7497" t="s">
        <v>1357</v>
      </c>
      <c r="K7497" t="s">
        <v>1357</v>
      </c>
      <c r="L7497" t="s">
        <v>1357</v>
      </c>
    </row>
    <row r="7498" spans="6:12">
      <c r="H7498" t="s">
        <v>20230</v>
      </c>
      <c r="I7498" t="s">
        <v>1357</v>
      </c>
      <c r="J7498" t="s">
        <v>1357</v>
      </c>
      <c r="K7498" t="s">
        <v>1357</v>
      </c>
      <c r="L7498" t="s">
        <v>1357</v>
      </c>
    </row>
    <row r="7499" spans="6:12">
      <c r="H7499" t="s">
        <v>20296</v>
      </c>
      <c r="I7499" t="s">
        <v>1357</v>
      </c>
      <c r="J7499" t="s">
        <v>1357</v>
      </c>
      <c r="K7499" t="s">
        <v>1357</v>
      </c>
      <c r="L7499" t="s">
        <v>1357</v>
      </c>
    </row>
    <row r="7500" spans="6:12">
      <c r="H7500" t="s">
        <v>20297</v>
      </c>
      <c r="I7500" t="s">
        <v>1357</v>
      </c>
      <c r="J7500" t="s">
        <v>1357</v>
      </c>
      <c r="K7500" t="s">
        <v>1357</v>
      </c>
      <c r="L7500" t="s">
        <v>1357</v>
      </c>
    </row>
    <row r="7501" spans="6:12">
      <c r="H7501" t="s">
        <v>20284</v>
      </c>
      <c r="I7501" t="s">
        <v>1357</v>
      </c>
      <c r="J7501" t="s">
        <v>1357</v>
      </c>
      <c r="K7501" t="s">
        <v>1357</v>
      </c>
      <c r="L7501" t="s">
        <v>1357</v>
      </c>
    </row>
    <row r="7502" spans="6:12">
      <c r="H7502" t="s">
        <v>20285</v>
      </c>
      <c r="I7502" t="s">
        <v>1357</v>
      </c>
      <c r="J7502" t="s">
        <v>1357</v>
      </c>
      <c r="K7502" t="s">
        <v>1357</v>
      </c>
      <c r="L7502" t="s">
        <v>1357</v>
      </c>
    </row>
    <row r="7503" spans="6:12">
      <c r="H7503" t="s">
        <v>20286</v>
      </c>
      <c r="I7503" t="s">
        <v>1357</v>
      </c>
      <c r="J7503" t="s">
        <v>1357</v>
      </c>
      <c r="K7503" t="s">
        <v>1357</v>
      </c>
      <c r="L7503" t="s">
        <v>1357</v>
      </c>
    </row>
    <row r="7504" spans="6:12">
      <c r="H7504" t="s">
        <v>20287</v>
      </c>
      <c r="I7504" t="s">
        <v>1357</v>
      </c>
      <c r="J7504" t="s">
        <v>1357</v>
      </c>
      <c r="K7504" t="s">
        <v>1357</v>
      </c>
      <c r="L7504" t="s">
        <v>1357</v>
      </c>
    </row>
    <row r="7505" spans="6:12">
      <c r="H7505" t="s">
        <v>20288</v>
      </c>
      <c r="I7505" t="s">
        <v>1357</v>
      </c>
      <c r="J7505" t="s">
        <v>1357</v>
      </c>
      <c r="K7505" t="s">
        <v>1357</v>
      </c>
      <c r="L7505" t="s">
        <v>1357</v>
      </c>
    </row>
    <row r="7506" spans="6:12">
      <c r="F7506" t="s">
        <v>14898</v>
      </c>
      <c r="G7506" t="s">
        <v>17742</v>
      </c>
      <c r="H7506" t="s">
        <v>20280</v>
      </c>
      <c r="I7506" t="s">
        <v>1357</v>
      </c>
      <c r="J7506" t="s">
        <v>1357</v>
      </c>
      <c r="K7506" t="s">
        <v>1357</v>
      </c>
      <c r="L7506" t="s">
        <v>1357</v>
      </c>
    </row>
    <row r="7507" spans="6:12">
      <c r="H7507" t="s">
        <v>20233</v>
      </c>
      <c r="I7507" t="s">
        <v>1357</v>
      </c>
      <c r="J7507" t="s">
        <v>1357</v>
      </c>
      <c r="K7507" t="s">
        <v>1357</v>
      </c>
      <c r="L7507" t="s">
        <v>1357</v>
      </c>
    </row>
    <row r="7508" spans="6:12">
      <c r="H7508" t="s">
        <v>20230</v>
      </c>
      <c r="I7508" t="s">
        <v>1357</v>
      </c>
      <c r="J7508" t="s">
        <v>1357</v>
      </c>
      <c r="K7508" t="s">
        <v>1357</v>
      </c>
      <c r="L7508" t="s">
        <v>1357</v>
      </c>
    </row>
    <row r="7509" spans="6:12">
      <c r="H7509" t="s">
        <v>20227</v>
      </c>
      <c r="I7509" t="s">
        <v>1357</v>
      </c>
      <c r="J7509" t="s">
        <v>1357</v>
      </c>
      <c r="K7509" t="s">
        <v>1357</v>
      </c>
      <c r="L7509" t="s">
        <v>1357</v>
      </c>
    </row>
    <row r="7510" spans="6:12">
      <c r="H7510" t="s">
        <v>20228</v>
      </c>
      <c r="I7510" t="s">
        <v>1357</v>
      </c>
      <c r="J7510" t="s">
        <v>1357</v>
      </c>
      <c r="K7510" t="s">
        <v>1357</v>
      </c>
      <c r="L7510" t="s">
        <v>1357</v>
      </c>
    </row>
    <row r="7511" spans="6:12">
      <c r="H7511" t="s">
        <v>20232</v>
      </c>
      <c r="I7511" t="s">
        <v>1357</v>
      </c>
      <c r="J7511" t="s">
        <v>1357</v>
      </c>
      <c r="K7511" t="s">
        <v>1357</v>
      </c>
      <c r="L7511" t="s">
        <v>1357</v>
      </c>
    </row>
    <row r="7512" spans="6:12">
      <c r="H7512" t="s">
        <v>20296</v>
      </c>
      <c r="I7512" t="s">
        <v>1357</v>
      </c>
      <c r="J7512" t="s">
        <v>1357</v>
      </c>
      <c r="K7512" t="s">
        <v>1357</v>
      </c>
      <c r="L7512" t="s">
        <v>1357</v>
      </c>
    </row>
    <row r="7513" spans="6:12">
      <c r="H7513" t="s">
        <v>20297</v>
      </c>
      <c r="I7513" t="s">
        <v>1357</v>
      </c>
      <c r="J7513" t="s">
        <v>1357</v>
      </c>
      <c r="K7513" t="s">
        <v>1357</v>
      </c>
      <c r="L7513" t="s">
        <v>1357</v>
      </c>
    </row>
    <row r="7514" spans="6:12">
      <c r="H7514" t="s">
        <v>20234</v>
      </c>
      <c r="I7514" t="s">
        <v>1357</v>
      </c>
      <c r="J7514" t="s">
        <v>1357</v>
      </c>
      <c r="K7514" t="s">
        <v>1357</v>
      </c>
      <c r="L7514" t="s">
        <v>1357</v>
      </c>
    </row>
    <row r="7515" spans="6:12">
      <c r="H7515" t="s">
        <v>20235</v>
      </c>
      <c r="I7515" t="s">
        <v>1357</v>
      </c>
      <c r="J7515" t="s">
        <v>1357</v>
      </c>
      <c r="K7515" t="s">
        <v>1357</v>
      </c>
      <c r="L7515" t="s">
        <v>1357</v>
      </c>
    </row>
    <row r="7516" spans="6:12">
      <c r="H7516" t="s">
        <v>20298</v>
      </c>
      <c r="I7516" t="s">
        <v>1357</v>
      </c>
      <c r="J7516" t="s">
        <v>1357</v>
      </c>
      <c r="K7516" t="s">
        <v>1357</v>
      </c>
      <c r="L7516" t="s">
        <v>1357</v>
      </c>
    </row>
    <row r="7517" spans="6:12">
      <c r="H7517" t="s">
        <v>20299</v>
      </c>
      <c r="I7517" t="s">
        <v>1357</v>
      </c>
      <c r="J7517" t="s">
        <v>1357</v>
      </c>
      <c r="K7517" t="s">
        <v>1357</v>
      </c>
      <c r="L7517" t="s">
        <v>1357</v>
      </c>
    </row>
    <row r="7518" spans="6:12">
      <c r="H7518" t="s">
        <v>20281</v>
      </c>
      <c r="I7518" t="s">
        <v>1357</v>
      </c>
      <c r="J7518" t="s">
        <v>1357</v>
      </c>
      <c r="K7518" t="s">
        <v>1357</v>
      </c>
      <c r="L7518" t="s">
        <v>1357</v>
      </c>
    </row>
    <row r="7519" spans="6:12">
      <c r="H7519" t="s">
        <v>20284</v>
      </c>
      <c r="I7519" t="s">
        <v>1357</v>
      </c>
      <c r="J7519" t="s">
        <v>1357</v>
      </c>
      <c r="K7519" t="s">
        <v>1357</v>
      </c>
      <c r="L7519" t="s">
        <v>1357</v>
      </c>
    </row>
    <row r="7520" spans="6:12">
      <c r="H7520" t="s">
        <v>20285</v>
      </c>
      <c r="I7520" t="s">
        <v>1357</v>
      </c>
      <c r="J7520" t="s">
        <v>1357</v>
      </c>
      <c r="K7520" t="s">
        <v>1357</v>
      </c>
      <c r="L7520" t="s">
        <v>1357</v>
      </c>
    </row>
    <row r="7521" spans="6:12">
      <c r="H7521" t="s">
        <v>20286</v>
      </c>
      <c r="I7521" t="s">
        <v>1357</v>
      </c>
      <c r="J7521" t="s">
        <v>1357</v>
      </c>
      <c r="K7521" t="s">
        <v>1357</v>
      </c>
      <c r="L7521" t="s">
        <v>1357</v>
      </c>
    </row>
    <row r="7522" spans="6:12">
      <c r="H7522" t="s">
        <v>20287</v>
      </c>
      <c r="I7522" t="s">
        <v>1357</v>
      </c>
      <c r="J7522" t="s">
        <v>1357</v>
      </c>
      <c r="K7522" t="s">
        <v>1357</v>
      </c>
      <c r="L7522" t="s">
        <v>1357</v>
      </c>
    </row>
    <row r="7523" spans="6:12">
      <c r="H7523" t="s">
        <v>20288</v>
      </c>
      <c r="I7523" t="s">
        <v>1357</v>
      </c>
      <c r="J7523" t="s">
        <v>1357</v>
      </c>
      <c r="K7523" t="s">
        <v>1357</v>
      </c>
      <c r="L7523" t="s">
        <v>1357</v>
      </c>
    </row>
    <row r="7524" spans="6:12">
      <c r="F7524" t="s">
        <v>14899</v>
      </c>
      <c r="G7524" t="s">
        <v>17743</v>
      </c>
      <c r="H7524" t="s">
        <v>20280</v>
      </c>
      <c r="I7524" t="s">
        <v>1357</v>
      </c>
      <c r="J7524" t="s">
        <v>1357</v>
      </c>
      <c r="K7524" t="s">
        <v>1357</v>
      </c>
      <c r="L7524" t="s">
        <v>1357</v>
      </c>
    </row>
    <row r="7525" spans="6:12">
      <c r="H7525" t="s">
        <v>20233</v>
      </c>
      <c r="I7525" t="s">
        <v>1357</v>
      </c>
      <c r="J7525" t="s">
        <v>1357</v>
      </c>
      <c r="K7525" t="s">
        <v>1357</v>
      </c>
      <c r="L7525" t="s">
        <v>1357</v>
      </c>
    </row>
    <row r="7526" spans="6:12">
      <c r="H7526" t="s">
        <v>20230</v>
      </c>
      <c r="I7526" t="s">
        <v>1357</v>
      </c>
      <c r="J7526" t="s">
        <v>1357</v>
      </c>
      <c r="K7526" t="s">
        <v>1357</v>
      </c>
      <c r="L7526" t="s">
        <v>1357</v>
      </c>
    </row>
    <row r="7527" spans="6:12">
      <c r="H7527" t="s">
        <v>20281</v>
      </c>
      <c r="I7527" t="s">
        <v>1357</v>
      </c>
      <c r="J7527" t="s">
        <v>1357</v>
      </c>
      <c r="K7527" t="s">
        <v>1357</v>
      </c>
      <c r="L7527" t="s">
        <v>1357</v>
      </c>
    </row>
    <row r="7528" spans="6:12">
      <c r="H7528" t="s">
        <v>20284</v>
      </c>
      <c r="I7528" t="s">
        <v>1357</v>
      </c>
      <c r="J7528" t="s">
        <v>1357</v>
      </c>
      <c r="K7528" t="s">
        <v>1357</v>
      </c>
      <c r="L7528" t="s">
        <v>1357</v>
      </c>
    </row>
    <row r="7529" spans="6:12">
      <c r="H7529" t="s">
        <v>20285</v>
      </c>
      <c r="I7529" t="s">
        <v>1357</v>
      </c>
      <c r="J7529" t="s">
        <v>1357</v>
      </c>
      <c r="K7529" t="s">
        <v>1357</v>
      </c>
      <c r="L7529" t="s">
        <v>1357</v>
      </c>
    </row>
    <row r="7530" spans="6:12">
      <c r="H7530" t="s">
        <v>20286</v>
      </c>
      <c r="I7530" t="s">
        <v>1357</v>
      </c>
      <c r="J7530" t="s">
        <v>1357</v>
      </c>
      <c r="K7530" t="s">
        <v>1357</v>
      </c>
      <c r="L7530" t="s">
        <v>1357</v>
      </c>
    </row>
    <row r="7531" spans="6:12">
      <c r="H7531" t="s">
        <v>20287</v>
      </c>
      <c r="I7531" t="s">
        <v>1357</v>
      </c>
      <c r="J7531" t="s">
        <v>1357</v>
      </c>
      <c r="K7531" t="s">
        <v>1357</v>
      </c>
      <c r="L7531" t="s">
        <v>1357</v>
      </c>
    </row>
    <row r="7532" spans="6:12">
      <c r="H7532" t="s">
        <v>20288</v>
      </c>
      <c r="I7532" t="s">
        <v>1357</v>
      </c>
      <c r="J7532" t="s">
        <v>1357</v>
      </c>
      <c r="K7532" t="s">
        <v>1357</v>
      </c>
      <c r="L7532" t="s">
        <v>1357</v>
      </c>
    </row>
    <row r="7533" spans="6:12">
      <c r="H7533" t="s">
        <v>20289</v>
      </c>
      <c r="I7533" t="s">
        <v>1357</v>
      </c>
      <c r="J7533" t="s">
        <v>1357</v>
      </c>
      <c r="K7533" t="s">
        <v>1357</v>
      </c>
      <c r="L7533" t="s">
        <v>1357</v>
      </c>
    </row>
    <row r="7534" spans="6:12">
      <c r="F7534" t="s">
        <v>14900</v>
      </c>
      <c r="G7534" t="s">
        <v>17744</v>
      </c>
      <c r="H7534" t="s">
        <v>20280</v>
      </c>
      <c r="I7534" t="s">
        <v>1357</v>
      </c>
      <c r="J7534" t="s">
        <v>1357</v>
      </c>
      <c r="K7534" t="s">
        <v>1357</v>
      </c>
      <c r="L7534" t="s">
        <v>1357</v>
      </c>
    </row>
    <row r="7535" spans="6:12">
      <c r="H7535" t="s">
        <v>20233</v>
      </c>
      <c r="I7535" t="s">
        <v>1357</v>
      </c>
      <c r="J7535" t="s">
        <v>1357</v>
      </c>
      <c r="K7535" t="s">
        <v>1357</v>
      </c>
      <c r="L7535" t="s">
        <v>1357</v>
      </c>
    </row>
    <row r="7536" spans="6:12">
      <c r="H7536" t="s">
        <v>20230</v>
      </c>
      <c r="I7536" t="s">
        <v>1357</v>
      </c>
      <c r="J7536" t="s">
        <v>1357</v>
      </c>
      <c r="K7536" t="s">
        <v>1357</v>
      </c>
      <c r="L7536" t="s">
        <v>1357</v>
      </c>
    </row>
    <row r="7537" spans="6:12">
      <c r="H7537" t="s">
        <v>20227</v>
      </c>
      <c r="I7537" t="s">
        <v>1357</v>
      </c>
      <c r="J7537" t="s">
        <v>1357</v>
      </c>
      <c r="K7537" t="s">
        <v>1357</v>
      </c>
      <c r="L7537" t="s">
        <v>1357</v>
      </c>
    </row>
    <row r="7538" spans="6:12">
      <c r="H7538" t="s">
        <v>20228</v>
      </c>
      <c r="I7538" t="s">
        <v>1357</v>
      </c>
      <c r="J7538" t="s">
        <v>1357</v>
      </c>
      <c r="K7538" t="s">
        <v>1357</v>
      </c>
      <c r="L7538" t="s">
        <v>1357</v>
      </c>
    </row>
    <row r="7539" spans="6:12">
      <c r="H7539" t="s">
        <v>20296</v>
      </c>
      <c r="I7539" t="s">
        <v>1357</v>
      </c>
      <c r="J7539" t="s">
        <v>1357</v>
      </c>
      <c r="K7539" t="s">
        <v>1357</v>
      </c>
      <c r="L7539" t="s">
        <v>1357</v>
      </c>
    </row>
    <row r="7540" spans="6:12">
      <c r="H7540" t="s">
        <v>20297</v>
      </c>
      <c r="I7540" t="s">
        <v>1357</v>
      </c>
      <c r="J7540" t="s">
        <v>1357</v>
      </c>
      <c r="K7540" t="s">
        <v>1357</v>
      </c>
      <c r="L7540" t="s">
        <v>1357</v>
      </c>
    </row>
    <row r="7541" spans="6:12">
      <c r="H7541" t="s">
        <v>20234</v>
      </c>
      <c r="I7541" t="s">
        <v>1357</v>
      </c>
      <c r="J7541" t="s">
        <v>1357</v>
      </c>
      <c r="K7541" t="s">
        <v>1357</v>
      </c>
      <c r="L7541" t="s">
        <v>1357</v>
      </c>
    </row>
    <row r="7542" spans="6:12">
      <c r="H7542" t="s">
        <v>20235</v>
      </c>
      <c r="I7542" t="s">
        <v>1357</v>
      </c>
      <c r="J7542" t="s">
        <v>1357</v>
      </c>
      <c r="K7542" t="s">
        <v>1357</v>
      </c>
      <c r="L7542" t="s">
        <v>1357</v>
      </c>
    </row>
    <row r="7543" spans="6:12">
      <c r="H7543" t="s">
        <v>20284</v>
      </c>
      <c r="I7543" t="s">
        <v>1357</v>
      </c>
      <c r="J7543" t="s">
        <v>1357</v>
      </c>
      <c r="K7543" t="s">
        <v>1357</v>
      </c>
      <c r="L7543" t="s">
        <v>1357</v>
      </c>
    </row>
    <row r="7544" spans="6:12">
      <c r="H7544" t="s">
        <v>20285</v>
      </c>
      <c r="I7544" t="s">
        <v>1357</v>
      </c>
      <c r="J7544" t="s">
        <v>1357</v>
      </c>
      <c r="K7544" t="s">
        <v>1357</v>
      </c>
      <c r="L7544" t="s">
        <v>1357</v>
      </c>
    </row>
    <row r="7545" spans="6:12">
      <c r="H7545" t="s">
        <v>20286</v>
      </c>
      <c r="I7545" t="s">
        <v>1357</v>
      </c>
      <c r="J7545" t="s">
        <v>1357</v>
      </c>
      <c r="K7545" t="s">
        <v>1357</v>
      </c>
      <c r="L7545" t="s">
        <v>1357</v>
      </c>
    </row>
    <row r="7546" spans="6:12">
      <c r="H7546" t="s">
        <v>20287</v>
      </c>
      <c r="I7546" t="s">
        <v>1357</v>
      </c>
      <c r="J7546" t="s">
        <v>1357</v>
      </c>
      <c r="K7546" t="s">
        <v>1357</v>
      </c>
      <c r="L7546" t="s">
        <v>1357</v>
      </c>
    </row>
    <row r="7547" spans="6:12">
      <c r="H7547" t="s">
        <v>20288</v>
      </c>
      <c r="I7547" t="s">
        <v>1357</v>
      </c>
      <c r="J7547" t="s">
        <v>1357</v>
      </c>
      <c r="K7547" t="s">
        <v>1357</v>
      </c>
      <c r="L7547" t="s">
        <v>1357</v>
      </c>
    </row>
    <row r="7548" spans="6:12">
      <c r="F7548" t="s">
        <v>14901</v>
      </c>
      <c r="G7548" t="s">
        <v>17745</v>
      </c>
      <c r="H7548" t="s">
        <v>20280</v>
      </c>
      <c r="I7548" t="s">
        <v>1357</v>
      </c>
      <c r="J7548" t="s">
        <v>1357</v>
      </c>
      <c r="K7548" t="s">
        <v>1357</v>
      </c>
      <c r="L7548" t="s">
        <v>1357</v>
      </c>
    </row>
    <row r="7549" spans="6:12">
      <c r="H7549" t="s">
        <v>20233</v>
      </c>
      <c r="I7549" t="s">
        <v>1357</v>
      </c>
      <c r="J7549" t="s">
        <v>1357</v>
      </c>
      <c r="K7549" t="s">
        <v>1357</v>
      </c>
      <c r="L7549" t="s">
        <v>1357</v>
      </c>
    </row>
    <row r="7550" spans="6:12">
      <c r="H7550" t="s">
        <v>20230</v>
      </c>
      <c r="I7550" t="s">
        <v>1357</v>
      </c>
      <c r="J7550" t="s">
        <v>1357</v>
      </c>
      <c r="K7550" t="s">
        <v>1357</v>
      </c>
      <c r="L7550" t="s">
        <v>1357</v>
      </c>
    </row>
    <row r="7551" spans="6:12">
      <c r="H7551" t="s">
        <v>20227</v>
      </c>
      <c r="I7551" t="s">
        <v>1357</v>
      </c>
      <c r="J7551" t="s">
        <v>1357</v>
      </c>
      <c r="K7551" t="s">
        <v>1357</v>
      </c>
      <c r="L7551" t="s">
        <v>1357</v>
      </c>
    </row>
    <row r="7552" spans="6:12">
      <c r="H7552" t="s">
        <v>20228</v>
      </c>
      <c r="I7552" t="s">
        <v>1357</v>
      </c>
      <c r="J7552" t="s">
        <v>1357</v>
      </c>
      <c r="K7552" t="s">
        <v>1357</v>
      </c>
      <c r="L7552" t="s">
        <v>1357</v>
      </c>
    </row>
    <row r="7553" spans="6:12">
      <c r="H7553" t="s">
        <v>20296</v>
      </c>
      <c r="I7553" t="s">
        <v>1357</v>
      </c>
      <c r="J7553" t="s">
        <v>1357</v>
      </c>
      <c r="K7553" t="s">
        <v>1357</v>
      </c>
      <c r="L7553" t="s">
        <v>1357</v>
      </c>
    </row>
    <row r="7554" spans="6:12">
      <c r="H7554" t="s">
        <v>20297</v>
      </c>
      <c r="I7554" t="s">
        <v>1357</v>
      </c>
      <c r="J7554" t="s">
        <v>1357</v>
      </c>
      <c r="K7554" t="s">
        <v>1357</v>
      </c>
      <c r="L7554" t="s">
        <v>1357</v>
      </c>
    </row>
    <row r="7555" spans="6:12">
      <c r="H7555" t="s">
        <v>20234</v>
      </c>
      <c r="I7555" t="s">
        <v>1357</v>
      </c>
      <c r="J7555" t="s">
        <v>1357</v>
      </c>
      <c r="K7555" t="s">
        <v>1357</v>
      </c>
      <c r="L7555" t="s">
        <v>1357</v>
      </c>
    </row>
    <row r="7556" spans="6:12">
      <c r="H7556" t="s">
        <v>20235</v>
      </c>
      <c r="I7556" t="s">
        <v>1357</v>
      </c>
      <c r="J7556" t="s">
        <v>1357</v>
      </c>
      <c r="K7556" t="s">
        <v>1357</v>
      </c>
      <c r="L7556" t="s">
        <v>1357</v>
      </c>
    </row>
    <row r="7557" spans="6:12">
      <c r="H7557" t="s">
        <v>20284</v>
      </c>
      <c r="I7557" t="s">
        <v>1357</v>
      </c>
      <c r="J7557" t="s">
        <v>1357</v>
      </c>
      <c r="K7557" t="s">
        <v>1357</v>
      </c>
      <c r="L7557" t="s">
        <v>1357</v>
      </c>
    </row>
    <row r="7558" spans="6:12">
      <c r="H7558" t="s">
        <v>20285</v>
      </c>
      <c r="I7558" t="s">
        <v>1357</v>
      </c>
      <c r="J7558" t="s">
        <v>1357</v>
      </c>
      <c r="K7558" t="s">
        <v>1357</v>
      </c>
      <c r="L7558" t="s">
        <v>1357</v>
      </c>
    </row>
    <row r="7559" spans="6:12">
      <c r="H7559" t="s">
        <v>20286</v>
      </c>
      <c r="I7559" t="s">
        <v>1357</v>
      </c>
      <c r="J7559" t="s">
        <v>1357</v>
      </c>
      <c r="K7559" t="s">
        <v>1357</v>
      </c>
      <c r="L7559" t="s">
        <v>1357</v>
      </c>
    </row>
    <row r="7560" spans="6:12">
      <c r="H7560" t="s">
        <v>20287</v>
      </c>
      <c r="I7560" t="s">
        <v>1357</v>
      </c>
      <c r="J7560" t="s">
        <v>1357</v>
      </c>
      <c r="K7560" t="s">
        <v>1357</v>
      </c>
      <c r="L7560" t="s">
        <v>1357</v>
      </c>
    </row>
    <row r="7561" spans="6:12">
      <c r="H7561" t="s">
        <v>20288</v>
      </c>
      <c r="I7561" t="s">
        <v>1357</v>
      </c>
      <c r="J7561" t="s">
        <v>1357</v>
      </c>
      <c r="K7561" t="s">
        <v>1357</v>
      </c>
      <c r="L7561" t="s">
        <v>1357</v>
      </c>
    </row>
    <row r="7562" spans="6:12">
      <c r="F7562" t="s">
        <v>14902</v>
      </c>
      <c r="G7562" t="s">
        <v>17746</v>
      </c>
      <c r="H7562" t="s">
        <v>20280</v>
      </c>
      <c r="I7562" t="s">
        <v>1357</v>
      </c>
      <c r="J7562" t="s">
        <v>1357</v>
      </c>
      <c r="K7562" t="s">
        <v>1357</v>
      </c>
      <c r="L7562" t="s">
        <v>1357</v>
      </c>
    </row>
    <row r="7563" spans="6:12">
      <c r="H7563" t="s">
        <v>20233</v>
      </c>
      <c r="I7563" t="s">
        <v>1357</v>
      </c>
      <c r="J7563" t="s">
        <v>1357</v>
      </c>
      <c r="K7563" t="s">
        <v>1357</v>
      </c>
      <c r="L7563" t="s">
        <v>1357</v>
      </c>
    </row>
    <row r="7564" spans="6:12">
      <c r="H7564" t="s">
        <v>20284</v>
      </c>
      <c r="I7564" t="s">
        <v>1357</v>
      </c>
      <c r="J7564" t="s">
        <v>1357</v>
      </c>
      <c r="K7564" t="s">
        <v>1357</v>
      </c>
      <c r="L7564" t="s">
        <v>1357</v>
      </c>
    </row>
    <row r="7565" spans="6:12">
      <c r="H7565" t="s">
        <v>20285</v>
      </c>
      <c r="I7565" t="s">
        <v>1357</v>
      </c>
      <c r="J7565" t="s">
        <v>1357</v>
      </c>
      <c r="K7565" t="s">
        <v>1357</v>
      </c>
      <c r="L7565" t="s">
        <v>1357</v>
      </c>
    </row>
    <row r="7566" spans="6:12">
      <c r="H7566" t="s">
        <v>20286</v>
      </c>
      <c r="I7566" t="s">
        <v>1357</v>
      </c>
      <c r="J7566" t="s">
        <v>1357</v>
      </c>
      <c r="K7566" t="s">
        <v>1357</v>
      </c>
      <c r="L7566" t="s">
        <v>1357</v>
      </c>
    </row>
    <row r="7567" spans="6:12">
      <c r="H7567" t="s">
        <v>20287</v>
      </c>
      <c r="I7567" t="s">
        <v>1357</v>
      </c>
      <c r="J7567" t="s">
        <v>1357</v>
      </c>
      <c r="K7567" t="s">
        <v>1357</v>
      </c>
      <c r="L7567" t="s">
        <v>1357</v>
      </c>
    </row>
    <row r="7568" spans="6:12">
      <c r="H7568" t="s">
        <v>20230</v>
      </c>
      <c r="I7568" t="s">
        <v>1357</v>
      </c>
      <c r="J7568" t="s">
        <v>1357</v>
      </c>
      <c r="K7568" t="s">
        <v>1357</v>
      </c>
      <c r="L7568" t="s">
        <v>1357</v>
      </c>
    </row>
    <row r="7569" spans="6:12">
      <c r="H7569" t="s">
        <v>20227</v>
      </c>
      <c r="I7569" t="s">
        <v>1357</v>
      </c>
      <c r="J7569" t="s">
        <v>1357</v>
      </c>
      <c r="K7569" t="s">
        <v>1357</v>
      </c>
      <c r="L7569" t="s">
        <v>1357</v>
      </c>
    </row>
    <row r="7570" spans="6:12">
      <c r="H7570" t="s">
        <v>20288</v>
      </c>
      <c r="I7570" t="s">
        <v>1357</v>
      </c>
      <c r="J7570" t="s">
        <v>1357</v>
      </c>
      <c r="K7570" t="s">
        <v>1357</v>
      </c>
      <c r="L7570" t="s">
        <v>1357</v>
      </c>
    </row>
    <row r="7571" spans="6:12">
      <c r="H7571" t="s">
        <v>20289</v>
      </c>
      <c r="I7571" t="s">
        <v>1357</v>
      </c>
      <c r="J7571" t="s">
        <v>1357</v>
      </c>
      <c r="K7571" t="s">
        <v>1357</v>
      </c>
      <c r="L7571" t="s">
        <v>1357</v>
      </c>
    </row>
    <row r="7572" spans="6:12">
      <c r="H7572" t="s">
        <v>20290</v>
      </c>
      <c r="I7572" t="s">
        <v>1357</v>
      </c>
      <c r="J7572" t="s">
        <v>1357</v>
      </c>
      <c r="K7572" t="s">
        <v>1357</v>
      </c>
      <c r="L7572" t="s">
        <v>1357</v>
      </c>
    </row>
    <row r="7573" spans="6:12">
      <c r="H7573" t="s">
        <v>20291</v>
      </c>
      <c r="I7573" t="s">
        <v>1357</v>
      </c>
      <c r="J7573" t="s">
        <v>1357</v>
      </c>
      <c r="K7573" t="s">
        <v>1357</v>
      </c>
      <c r="L7573" t="s">
        <v>1357</v>
      </c>
    </row>
    <row r="7574" spans="6:12">
      <c r="F7574" t="s">
        <v>14903</v>
      </c>
      <c r="G7574" t="s">
        <v>17747</v>
      </c>
      <c r="H7574" t="s">
        <v>20280</v>
      </c>
      <c r="I7574" t="s">
        <v>1357</v>
      </c>
      <c r="J7574" t="s">
        <v>1357</v>
      </c>
      <c r="K7574" t="s">
        <v>1357</v>
      </c>
      <c r="L7574" t="s">
        <v>1357</v>
      </c>
    </row>
    <row r="7575" spans="6:12">
      <c r="H7575" t="s">
        <v>20233</v>
      </c>
      <c r="I7575" t="s">
        <v>1357</v>
      </c>
      <c r="J7575" t="s">
        <v>1357</v>
      </c>
      <c r="K7575" t="s">
        <v>1357</v>
      </c>
      <c r="L7575" t="s">
        <v>1357</v>
      </c>
    </row>
    <row r="7576" spans="6:12">
      <c r="H7576" t="s">
        <v>20284</v>
      </c>
      <c r="I7576" t="s">
        <v>1357</v>
      </c>
      <c r="J7576" t="s">
        <v>1357</v>
      </c>
      <c r="K7576" t="s">
        <v>1357</v>
      </c>
      <c r="L7576" t="s">
        <v>1357</v>
      </c>
    </row>
    <row r="7577" spans="6:12">
      <c r="H7577" t="s">
        <v>20285</v>
      </c>
      <c r="I7577" t="s">
        <v>1357</v>
      </c>
      <c r="J7577" t="s">
        <v>1357</v>
      </c>
      <c r="K7577" t="s">
        <v>1357</v>
      </c>
      <c r="L7577" t="s">
        <v>1357</v>
      </c>
    </row>
    <row r="7578" spans="6:12">
      <c r="H7578" t="s">
        <v>20286</v>
      </c>
      <c r="I7578" t="s">
        <v>1357</v>
      </c>
      <c r="J7578" t="s">
        <v>1357</v>
      </c>
      <c r="K7578" t="s">
        <v>1357</v>
      </c>
      <c r="L7578" t="s">
        <v>1357</v>
      </c>
    </row>
    <row r="7579" spans="6:12">
      <c r="H7579" t="s">
        <v>20287</v>
      </c>
      <c r="I7579" t="s">
        <v>1357</v>
      </c>
      <c r="J7579" t="s">
        <v>1357</v>
      </c>
      <c r="K7579" t="s">
        <v>1357</v>
      </c>
      <c r="L7579" t="s">
        <v>1357</v>
      </c>
    </row>
    <row r="7580" spans="6:12">
      <c r="F7580" t="s">
        <v>14904</v>
      </c>
      <c r="G7580" t="s">
        <v>17748</v>
      </c>
      <c r="H7580" t="s">
        <v>20280</v>
      </c>
      <c r="I7580" t="s">
        <v>1357</v>
      </c>
      <c r="J7580" t="s">
        <v>1357</v>
      </c>
      <c r="K7580" t="s">
        <v>1357</v>
      </c>
      <c r="L7580" t="s">
        <v>1357</v>
      </c>
    </row>
    <row r="7581" spans="6:12">
      <c r="H7581" t="s">
        <v>20233</v>
      </c>
      <c r="I7581" t="s">
        <v>1357</v>
      </c>
      <c r="J7581" t="s">
        <v>1357</v>
      </c>
      <c r="K7581" t="s">
        <v>1357</v>
      </c>
      <c r="L7581" t="s">
        <v>1357</v>
      </c>
    </row>
    <row r="7582" spans="6:12">
      <c r="H7582" t="s">
        <v>20284</v>
      </c>
      <c r="I7582" t="s">
        <v>1357</v>
      </c>
      <c r="J7582" t="s">
        <v>1357</v>
      </c>
      <c r="K7582" t="s">
        <v>1357</v>
      </c>
      <c r="L7582" t="s">
        <v>1357</v>
      </c>
    </row>
    <row r="7583" spans="6:12">
      <c r="H7583" t="s">
        <v>20285</v>
      </c>
      <c r="I7583" t="s">
        <v>1357</v>
      </c>
      <c r="J7583" t="s">
        <v>1357</v>
      </c>
      <c r="K7583" t="s">
        <v>1357</v>
      </c>
      <c r="L7583" t="s">
        <v>1357</v>
      </c>
    </row>
    <row r="7584" spans="6:12">
      <c r="H7584" t="s">
        <v>20286</v>
      </c>
      <c r="I7584" t="s">
        <v>1357</v>
      </c>
      <c r="J7584" t="s">
        <v>1357</v>
      </c>
      <c r="K7584" t="s">
        <v>1357</v>
      </c>
      <c r="L7584" t="s">
        <v>1357</v>
      </c>
    </row>
    <row r="7585" spans="6:12">
      <c r="H7585" t="s">
        <v>20287</v>
      </c>
      <c r="I7585" t="s">
        <v>1357</v>
      </c>
      <c r="J7585" t="s">
        <v>1357</v>
      </c>
      <c r="K7585" t="s">
        <v>1357</v>
      </c>
      <c r="L7585" t="s">
        <v>1357</v>
      </c>
    </row>
    <row r="7586" spans="6:12">
      <c r="F7586" t="s">
        <v>14905</v>
      </c>
      <c r="G7586" t="s">
        <v>17749</v>
      </c>
      <c r="H7586" t="s">
        <v>20280</v>
      </c>
      <c r="I7586" t="s">
        <v>1357</v>
      </c>
      <c r="J7586" t="s">
        <v>1357</v>
      </c>
      <c r="K7586" t="s">
        <v>1357</v>
      </c>
      <c r="L7586" t="s">
        <v>1357</v>
      </c>
    </row>
    <row r="7587" spans="6:12">
      <c r="H7587" t="s">
        <v>20233</v>
      </c>
      <c r="I7587" t="s">
        <v>1357</v>
      </c>
      <c r="J7587" t="s">
        <v>1357</v>
      </c>
      <c r="K7587" t="s">
        <v>1357</v>
      </c>
      <c r="L7587" t="s">
        <v>1357</v>
      </c>
    </row>
    <row r="7588" spans="6:12">
      <c r="H7588" t="s">
        <v>20284</v>
      </c>
      <c r="I7588" t="s">
        <v>1357</v>
      </c>
      <c r="J7588" t="s">
        <v>1357</v>
      </c>
      <c r="K7588" t="s">
        <v>1357</v>
      </c>
      <c r="L7588" t="s">
        <v>1357</v>
      </c>
    </row>
    <row r="7589" spans="6:12">
      <c r="H7589" t="s">
        <v>20285</v>
      </c>
      <c r="I7589" t="s">
        <v>1357</v>
      </c>
      <c r="J7589" t="s">
        <v>1357</v>
      </c>
      <c r="K7589" t="s">
        <v>1357</v>
      </c>
      <c r="L7589" t="s">
        <v>1357</v>
      </c>
    </row>
    <row r="7590" spans="6:12">
      <c r="H7590" t="s">
        <v>20286</v>
      </c>
      <c r="I7590" t="s">
        <v>1357</v>
      </c>
      <c r="J7590" t="s">
        <v>1357</v>
      </c>
      <c r="K7590" t="s">
        <v>1357</v>
      </c>
      <c r="L7590" t="s">
        <v>1357</v>
      </c>
    </row>
    <row r="7591" spans="6:12">
      <c r="H7591" t="s">
        <v>20287</v>
      </c>
      <c r="I7591" t="s">
        <v>1357</v>
      </c>
      <c r="J7591" t="s">
        <v>1357</v>
      </c>
      <c r="K7591" t="s">
        <v>1357</v>
      </c>
      <c r="L7591" t="s">
        <v>1357</v>
      </c>
    </row>
    <row r="7592" spans="6:12">
      <c r="F7592" t="s">
        <v>14906</v>
      </c>
      <c r="G7592" t="s">
        <v>17750</v>
      </c>
      <c r="H7592" t="s">
        <v>20280</v>
      </c>
      <c r="I7592" t="s">
        <v>1357</v>
      </c>
      <c r="J7592" t="s">
        <v>1357</v>
      </c>
      <c r="K7592" t="s">
        <v>1357</v>
      </c>
      <c r="L7592" t="s">
        <v>1357</v>
      </c>
    </row>
    <row r="7593" spans="6:12">
      <c r="H7593" t="s">
        <v>20233</v>
      </c>
      <c r="I7593" t="s">
        <v>1357</v>
      </c>
      <c r="J7593" t="s">
        <v>1357</v>
      </c>
      <c r="K7593" t="s">
        <v>1357</v>
      </c>
      <c r="L7593" t="s">
        <v>1357</v>
      </c>
    </row>
    <row r="7594" spans="6:12">
      <c r="H7594" t="s">
        <v>20284</v>
      </c>
      <c r="I7594" t="s">
        <v>1357</v>
      </c>
      <c r="J7594" t="s">
        <v>1357</v>
      </c>
      <c r="K7594" t="s">
        <v>1357</v>
      </c>
      <c r="L7594" t="s">
        <v>1357</v>
      </c>
    </row>
    <row r="7595" spans="6:12">
      <c r="H7595" t="s">
        <v>20285</v>
      </c>
      <c r="I7595" t="s">
        <v>1357</v>
      </c>
      <c r="J7595" t="s">
        <v>1357</v>
      </c>
      <c r="K7595" t="s">
        <v>1357</v>
      </c>
      <c r="L7595" t="s">
        <v>1357</v>
      </c>
    </row>
    <row r="7596" spans="6:12">
      <c r="H7596" t="s">
        <v>20286</v>
      </c>
      <c r="I7596" t="s">
        <v>1357</v>
      </c>
      <c r="J7596" t="s">
        <v>1357</v>
      </c>
      <c r="K7596" t="s">
        <v>1357</v>
      </c>
      <c r="L7596" t="s">
        <v>1357</v>
      </c>
    </row>
    <row r="7597" spans="6:12">
      <c r="H7597" t="s">
        <v>20287</v>
      </c>
      <c r="I7597" t="s">
        <v>1357</v>
      </c>
      <c r="J7597" t="s">
        <v>1357</v>
      </c>
      <c r="K7597" t="s">
        <v>1357</v>
      </c>
      <c r="L7597" t="s">
        <v>1357</v>
      </c>
    </row>
    <row r="7598" spans="6:12">
      <c r="F7598" t="s">
        <v>14907</v>
      </c>
      <c r="G7598" t="s">
        <v>17751</v>
      </c>
      <c r="H7598" t="s">
        <v>20280</v>
      </c>
      <c r="I7598" t="s">
        <v>1357</v>
      </c>
      <c r="J7598" t="s">
        <v>1357</v>
      </c>
      <c r="K7598" t="s">
        <v>1357</v>
      </c>
      <c r="L7598" t="s">
        <v>1357</v>
      </c>
    </row>
    <row r="7599" spans="6:12">
      <c r="H7599" t="s">
        <v>20233</v>
      </c>
      <c r="I7599" t="s">
        <v>1357</v>
      </c>
      <c r="J7599" t="s">
        <v>1357</v>
      </c>
      <c r="K7599" t="s">
        <v>1357</v>
      </c>
      <c r="L7599" t="s">
        <v>1357</v>
      </c>
    </row>
    <row r="7600" spans="6:12">
      <c r="H7600" t="s">
        <v>20230</v>
      </c>
      <c r="I7600" t="s">
        <v>1357</v>
      </c>
      <c r="J7600" t="s">
        <v>1357</v>
      </c>
      <c r="K7600" t="s">
        <v>1357</v>
      </c>
      <c r="L7600" t="s">
        <v>1357</v>
      </c>
    </row>
    <row r="7601" spans="6:12">
      <c r="H7601" t="s">
        <v>20296</v>
      </c>
      <c r="I7601" t="s">
        <v>1357</v>
      </c>
      <c r="J7601" t="s">
        <v>1357</v>
      </c>
      <c r="K7601" t="s">
        <v>1357</v>
      </c>
      <c r="L7601" t="s">
        <v>1357</v>
      </c>
    </row>
    <row r="7602" spans="6:12">
      <c r="H7602" t="s">
        <v>20297</v>
      </c>
      <c r="I7602" t="s">
        <v>1357</v>
      </c>
      <c r="J7602" t="s">
        <v>1357</v>
      </c>
      <c r="K7602" t="s">
        <v>1357</v>
      </c>
      <c r="L7602" t="s">
        <v>1357</v>
      </c>
    </row>
    <row r="7603" spans="6:12">
      <c r="H7603" t="s">
        <v>20234</v>
      </c>
      <c r="I7603" t="s">
        <v>1357</v>
      </c>
      <c r="J7603" t="s">
        <v>1357</v>
      </c>
      <c r="K7603" t="s">
        <v>1357</v>
      </c>
      <c r="L7603" t="s">
        <v>1357</v>
      </c>
    </row>
    <row r="7604" spans="6:12">
      <c r="H7604" t="s">
        <v>20235</v>
      </c>
      <c r="I7604" t="s">
        <v>1357</v>
      </c>
      <c r="J7604" t="s">
        <v>1357</v>
      </c>
      <c r="K7604" t="s">
        <v>1357</v>
      </c>
      <c r="L7604" t="s">
        <v>1357</v>
      </c>
    </row>
    <row r="7605" spans="6:12">
      <c r="H7605" t="s">
        <v>20298</v>
      </c>
      <c r="I7605" t="s">
        <v>1357</v>
      </c>
      <c r="J7605" t="s">
        <v>1357</v>
      </c>
      <c r="K7605" t="s">
        <v>1357</v>
      </c>
      <c r="L7605" t="s">
        <v>1357</v>
      </c>
    </row>
    <row r="7606" spans="6:12">
      <c r="H7606" t="s">
        <v>20299</v>
      </c>
      <c r="I7606" t="s">
        <v>1357</v>
      </c>
      <c r="J7606" t="s">
        <v>1357</v>
      </c>
      <c r="K7606" t="s">
        <v>1357</v>
      </c>
      <c r="L7606" t="s">
        <v>1357</v>
      </c>
    </row>
    <row r="7607" spans="6:12">
      <c r="H7607" t="s">
        <v>20284</v>
      </c>
      <c r="I7607" t="s">
        <v>1357</v>
      </c>
      <c r="J7607" t="s">
        <v>1357</v>
      </c>
      <c r="K7607" t="s">
        <v>1357</v>
      </c>
      <c r="L7607" t="s">
        <v>1357</v>
      </c>
    </row>
    <row r="7608" spans="6:12">
      <c r="H7608" t="s">
        <v>20285</v>
      </c>
      <c r="I7608" t="s">
        <v>1357</v>
      </c>
      <c r="J7608" t="s">
        <v>1357</v>
      </c>
      <c r="K7608" t="s">
        <v>1357</v>
      </c>
      <c r="L7608" t="s">
        <v>1357</v>
      </c>
    </row>
    <row r="7609" spans="6:12">
      <c r="H7609" t="s">
        <v>20286</v>
      </c>
      <c r="I7609" t="s">
        <v>1357</v>
      </c>
      <c r="J7609" t="s">
        <v>1357</v>
      </c>
      <c r="K7609" t="s">
        <v>1357</v>
      </c>
      <c r="L7609" t="s">
        <v>1357</v>
      </c>
    </row>
    <row r="7610" spans="6:12">
      <c r="H7610" t="s">
        <v>20287</v>
      </c>
      <c r="I7610" t="s">
        <v>1357</v>
      </c>
      <c r="J7610" t="s">
        <v>1357</v>
      </c>
      <c r="K7610" t="s">
        <v>1357</v>
      </c>
      <c r="L7610" t="s">
        <v>1357</v>
      </c>
    </row>
    <row r="7611" spans="6:12">
      <c r="H7611" t="s">
        <v>20288</v>
      </c>
      <c r="I7611" t="s">
        <v>1357</v>
      </c>
      <c r="J7611" t="s">
        <v>1357</v>
      </c>
      <c r="K7611" t="s">
        <v>1357</v>
      </c>
      <c r="L7611" t="s">
        <v>1357</v>
      </c>
    </row>
    <row r="7612" spans="6:12">
      <c r="F7612" t="s">
        <v>14908</v>
      </c>
      <c r="G7612" t="s">
        <v>17752</v>
      </c>
      <c r="H7612" t="s">
        <v>20280</v>
      </c>
      <c r="I7612" t="s">
        <v>1357</v>
      </c>
      <c r="J7612" t="s">
        <v>1357</v>
      </c>
      <c r="K7612" t="s">
        <v>1357</v>
      </c>
      <c r="L7612" t="s">
        <v>1357</v>
      </c>
    </row>
    <row r="7613" spans="6:12">
      <c r="H7613" t="s">
        <v>20233</v>
      </c>
      <c r="I7613" t="s">
        <v>1357</v>
      </c>
      <c r="J7613" t="s">
        <v>1357</v>
      </c>
      <c r="K7613" t="s">
        <v>1357</v>
      </c>
      <c r="L7613" t="s">
        <v>1357</v>
      </c>
    </row>
    <row r="7614" spans="6:12">
      <c r="H7614" t="s">
        <v>20230</v>
      </c>
      <c r="I7614" t="s">
        <v>1357</v>
      </c>
      <c r="J7614" t="s">
        <v>1357</v>
      </c>
      <c r="K7614" t="s">
        <v>1357</v>
      </c>
      <c r="L7614" t="s">
        <v>1357</v>
      </c>
    </row>
    <row r="7615" spans="6:12">
      <c r="H7615" t="s">
        <v>20227</v>
      </c>
      <c r="I7615" t="s">
        <v>1357</v>
      </c>
      <c r="J7615" t="s">
        <v>1357</v>
      </c>
      <c r="K7615" t="s">
        <v>1357</v>
      </c>
      <c r="L7615" t="s">
        <v>1357</v>
      </c>
    </row>
    <row r="7616" spans="6:12">
      <c r="H7616" t="s">
        <v>20228</v>
      </c>
      <c r="I7616" t="s">
        <v>1357</v>
      </c>
      <c r="J7616" t="s">
        <v>1357</v>
      </c>
      <c r="K7616" t="s">
        <v>1357</v>
      </c>
      <c r="L7616" t="s">
        <v>1357</v>
      </c>
    </row>
    <row r="7617" spans="6:12">
      <c r="H7617" t="s">
        <v>20232</v>
      </c>
      <c r="I7617" t="s">
        <v>1357</v>
      </c>
      <c r="J7617" t="s">
        <v>1357</v>
      </c>
      <c r="K7617" t="s">
        <v>1357</v>
      </c>
      <c r="L7617" t="s">
        <v>1357</v>
      </c>
    </row>
    <row r="7618" spans="6:12">
      <c r="H7618" t="s">
        <v>20296</v>
      </c>
      <c r="I7618" t="s">
        <v>1357</v>
      </c>
      <c r="J7618" t="s">
        <v>1357</v>
      </c>
      <c r="K7618" t="s">
        <v>1357</v>
      </c>
      <c r="L7618" t="s">
        <v>1357</v>
      </c>
    </row>
    <row r="7619" spans="6:12">
      <c r="H7619" t="s">
        <v>20297</v>
      </c>
      <c r="I7619" t="s">
        <v>1357</v>
      </c>
      <c r="J7619" t="s">
        <v>1357</v>
      </c>
      <c r="K7619" t="s">
        <v>1357</v>
      </c>
      <c r="L7619" t="s">
        <v>1357</v>
      </c>
    </row>
    <row r="7620" spans="6:12">
      <c r="H7620" t="s">
        <v>20234</v>
      </c>
      <c r="I7620" t="s">
        <v>1357</v>
      </c>
      <c r="J7620" t="s">
        <v>1357</v>
      </c>
      <c r="K7620" t="s">
        <v>1357</v>
      </c>
      <c r="L7620" t="s">
        <v>1357</v>
      </c>
    </row>
    <row r="7621" spans="6:12">
      <c r="H7621" t="s">
        <v>20235</v>
      </c>
      <c r="I7621" t="s">
        <v>1357</v>
      </c>
      <c r="J7621" t="s">
        <v>1357</v>
      </c>
      <c r="K7621" t="s">
        <v>1357</v>
      </c>
      <c r="L7621" t="s">
        <v>1357</v>
      </c>
    </row>
    <row r="7622" spans="6:12">
      <c r="H7622" t="s">
        <v>20284</v>
      </c>
      <c r="I7622" t="s">
        <v>1357</v>
      </c>
      <c r="J7622" t="s">
        <v>1357</v>
      </c>
      <c r="K7622" t="s">
        <v>1357</v>
      </c>
      <c r="L7622" t="s">
        <v>1357</v>
      </c>
    </row>
    <row r="7623" spans="6:12">
      <c r="H7623" t="s">
        <v>20285</v>
      </c>
      <c r="I7623" t="s">
        <v>1357</v>
      </c>
      <c r="J7623" t="s">
        <v>1357</v>
      </c>
      <c r="K7623" t="s">
        <v>1357</v>
      </c>
      <c r="L7623" t="s">
        <v>1357</v>
      </c>
    </row>
    <row r="7624" spans="6:12">
      <c r="H7624" t="s">
        <v>20286</v>
      </c>
      <c r="I7624" t="s">
        <v>1357</v>
      </c>
      <c r="J7624" t="s">
        <v>1357</v>
      </c>
      <c r="K7624" t="s">
        <v>1357</v>
      </c>
      <c r="L7624" t="s">
        <v>1357</v>
      </c>
    </row>
    <row r="7625" spans="6:12">
      <c r="H7625" t="s">
        <v>20287</v>
      </c>
      <c r="I7625" t="s">
        <v>1357</v>
      </c>
      <c r="J7625" t="s">
        <v>1357</v>
      </c>
      <c r="K7625" t="s">
        <v>1357</v>
      </c>
      <c r="L7625" t="s">
        <v>1357</v>
      </c>
    </row>
    <row r="7626" spans="6:12">
      <c r="H7626" t="s">
        <v>20288</v>
      </c>
      <c r="I7626" t="s">
        <v>1357</v>
      </c>
      <c r="J7626" t="s">
        <v>1357</v>
      </c>
      <c r="K7626" t="s">
        <v>1357</v>
      </c>
      <c r="L7626" t="s">
        <v>1357</v>
      </c>
    </row>
    <row r="7627" spans="6:12">
      <c r="F7627" t="s">
        <v>14909</v>
      </c>
      <c r="G7627" t="s">
        <v>17753</v>
      </c>
      <c r="H7627" t="s">
        <v>20280</v>
      </c>
      <c r="I7627" t="s">
        <v>1357</v>
      </c>
      <c r="J7627" t="s">
        <v>1357</v>
      </c>
      <c r="K7627" t="s">
        <v>1357</v>
      </c>
      <c r="L7627" t="s">
        <v>1357</v>
      </c>
    </row>
    <row r="7628" spans="6:12">
      <c r="H7628" t="s">
        <v>20233</v>
      </c>
      <c r="I7628" t="s">
        <v>1357</v>
      </c>
      <c r="J7628" t="s">
        <v>1357</v>
      </c>
      <c r="K7628" t="s">
        <v>1357</v>
      </c>
      <c r="L7628" t="s">
        <v>1357</v>
      </c>
    </row>
    <row r="7629" spans="6:12">
      <c r="H7629" t="s">
        <v>20230</v>
      </c>
      <c r="I7629" t="s">
        <v>1357</v>
      </c>
      <c r="J7629" t="s">
        <v>1357</v>
      </c>
      <c r="K7629" t="s">
        <v>1357</v>
      </c>
      <c r="L7629" t="s">
        <v>1357</v>
      </c>
    </row>
    <row r="7630" spans="6:12">
      <c r="H7630" t="s">
        <v>20296</v>
      </c>
      <c r="I7630" t="s">
        <v>1357</v>
      </c>
      <c r="J7630" t="s">
        <v>1357</v>
      </c>
      <c r="K7630" t="s">
        <v>1357</v>
      </c>
      <c r="L7630" t="s">
        <v>1357</v>
      </c>
    </row>
    <row r="7631" spans="6:12">
      <c r="H7631" t="s">
        <v>20297</v>
      </c>
      <c r="I7631" t="s">
        <v>1357</v>
      </c>
      <c r="J7631" t="s">
        <v>1357</v>
      </c>
      <c r="K7631" t="s">
        <v>1357</v>
      </c>
      <c r="L7631" t="s">
        <v>1357</v>
      </c>
    </row>
    <row r="7632" spans="6:12">
      <c r="H7632" t="s">
        <v>20234</v>
      </c>
      <c r="I7632" t="s">
        <v>1357</v>
      </c>
      <c r="J7632" t="s">
        <v>1357</v>
      </c>
      <c r="K7632" t="s">
        <v>1357</v>
      </c>
      <c r="L7632" t="s">
        <v>1357</v>
      </c>
    </row>
    <row r="7633" spans="6:12">
      <c r="H7633" t="s">
        <v>20284</v>
      </c>
      <c r="I7633" t="s">
        <v>1357</v>
      </c>
      <c r="J7633" t="s">
        <v>1357</v>
      </c>
      <c r="K7633" t="s">
        <v>1357</v>
      </c>
      <c r="L7633" t="s">
        <v>1357</v>
      </c>
    </row>
    <row r="7634" spans="6:12">
      <c r="H7634" t="s">
        <v>20285</v>
      </c>
      <c r="I7634" t="s">
        <v>1357</v>
      </c>
      <c r="J7634" t="s">
        <v>1357</v>
      </c>
      <c r="K7634" t="s">
        <v>1357</v>
      </c>
      <c r="L7634" t="s">
        <v>1357</v>
      </c>
    </row>
    <row r="7635" spans="6:12">
      <c r="H7635" t="s">
        <v>20286</v>
      </c>
      <c r="I7635" t="s">
        <v>1357</v>
      </c>
      <c r="J7635" t="s">
        <v>1357</v>
      </c>
      <c r="K7635" t="s">
        <v>1357</v>
      </c>
      <c r="L7635" t="s">
        <v>1357</v>
      </c>
    </row>
    <row r="7636" spans="6:12">
      <c r="H7636" t="s">
        <v>20287</v>
      </c>
      <c r="I7636" t="s">
        <v>1357</v>
      </c>
      <c r="J7636" t="s">
        <v>1357</v>
      </c>
      <c r="K7636" t="s">
        <v>1357</v>
      </c>
      <c r="L7636" t="s">
        <v>1357</v>
      </c>
    </row>
    <row r="7637" spans="6:12">
      <c r="H7637" t="s">
        <v>20288</v>
      </c>
      <c r="I7637" t="s">
        <v>1357</v>
      </c>
      <c r="J7637" t="s">
        <v>1357</v>
      </c>
      <c r="K7637" t="s">
        <v>1357</v>
      </c>
      <c r="L7637" t="s">
        <v>1357</v>
      </c>
    </row>
    <row r="7638" spans="6:12">
      <c r="F7638" t="s">
        <v>14910</v>
      </c>
      <c r="G7638" t="s">
        <v>17754</v>
      </c>
      <c r="H7638" t="s">
        <v>20280</v>
      </c>
      <c r="I7638" t="s">
        <v>1357</v>
      </c>
      <c r="J7638" t="s">
        <v>1357</v>
      </c>
      <c r="K7638" t="s">
        <v>1357</v>
      </c>
      <c r="L7638" t="s">
        <v>1357</v>
      </c>
    </row>
    <row r="7639" spans="6:12">
      <c r="H7639" t="s">
        <v>20233</v>
      </c>
      <c r="I7639" t="s">
        <v>1357</v>
      </c>
      <c r="J7639" t="s">
        <v>1357</v>
      </c>
      <c r="K7639" t="s">
        <v>1357</v>
      </c>
      <c r="L7639" t="s">
        <v>1357</v>
      </c>
    </row>
    <row r="7640" spans="6:12">
      <c r="H7640" t="s">
        <v>20281</v>
      </c>
      <c r="I7640" t="s">
        <v>1357</v>
      </c>
      <c r="J7640" t="s">
        <v>1357</v>
      </c>
      <c r="K7640" t="s">
        <v>1357</v>
      </c>
      <c r="L7640" t="s">
        <v>1357</v>
      </c>
    </row>
    <row r="7641" spans="6:12">
      <c r="H7641" t="s">
        <v>20284</v>
      </c>
      <c r="I7641" t="s">
        <v>1357</v>
      </c>
      <c r="J7641" t="s">
        <v>1357</v>
      </c>
      <c r="K7641" t="s">
        <v>1357</v>
      </c>
      <c r="L7641" t="s">
        <v>1357</v>
      </c>
    </row>
    <row r="7642" spans="6:12">
      <c r="H7642" t="s">
        <v>20285</v>
      </c>
      <c r="I7642" t="s">
        <v>1357</v>
      </c>
      <c r="J7642" t="s">
        <v>1357</v>
      </c>
      <c r="K7642" t="s">
        <v>1357</v>
      </c>
      <c r="L7642" t="s">
        <v>1357</v>
      </c>
    </row>
    <row r="7643" spans="6:12">
      <c r="F7643" t="s">
        <v>14911</v>
      </c>
      <c r="G7643" t="s">
        <v>17755</v>
      </c>
      <c r="H7643" t="s">
        <v>20281</v>
      </c>
      <c r="I7643" t="s">
        <v>1357</v>
      </c>
      <c r="J7643" t="s">
        <v>1357</v>
      </c>
      <c r="K7643" t="s">
        <v>1357</v>
      </c>
      <c r="L7643" t="s">
        <v>1357</v>
      </c>
    </row>
    <row r="7644" spans="6:12">
      <c r="H7644" t="s">
        <v>20282</v>
      </c>
      <c r="I7644" t="s">
        <v>1357</v>
      </c>
      <c r="J7644" t="s">
        <v>1357</v>
      </c>
      <c r="K7644" t="s">
        <v>1357</v>
      </c>
      <c r="L7644" t="s">
        <v>1357</v>
      </c>
    </row>
    <row r="7645" spans="6:12">
      <c r="H7645" t="s">
        <v>20283</v>
      </c>
      <c r="I7645" t="s">
        <v>1357</v>
      </c>
      <c r="J7645" t="s">
        <v>1357</v>
      </c>
      <c r="K7645" t="s">
        <v>1357</v>
      </c>
      <c r="L7645" t="s">
        <v>1357</v>
      </c>
    </row>
    <row r="7646" spans="6:12">
      <c r="H7646" t="s">
        <v>20284</v>
      </c>
      <c r="I7646" t="s">
        <v>1357</v>
      </c>
      <c r="J7646" t="s">
        <v>1357</v>
      </c>
      <c r="K7646" t="s">
        <v>1357</v>
      </c>
      <c r="L7646" t="s">
        <v>1357</v>
      </c>
    </row>
    <row r="7647" spans="6:12">
      <c r="H7647" t="s">
        <v>20285</v>
      </c>
      <c r="I7647" t="s">
        <v>1357</v>
      </c>
      <c r="J7647" t="s">
        <v>1357</v>
      </c>
      <c r="K7647" t="s">
        <v>1357</v>
      </c>
      <c r="L7647" t="s">
        <v>1357</v>
      </c>
    </row>
    <row r="7648" spans="6:12">
      <c r="F7648" t="s">
        <v>14912</v>
      </c>
      <c r="G7648" t="s">
        <v>17756</v>
      </c>
      <c r="H7648" t="s">
        <v>20280</v>
      </c>
      <c r="I7648" t="s">
        <v>1357</v>
      </c>
      <c r="J7648" t="s">
        <v>1357</v>
      </c>
      <c r="K7648" t="s">
        <v>1357</v>
      </c>
      <c r="L7648" t="s">
        <v>1357</v>
      </c>
    </row>
    <row r="7649" spans="6:12">
      <c r="H7649" t="s">
        <v>20233</v>
      </c>
      <c r="I7649" t="s">
        <v>1357</v>
      </c>
      <c r="J7649" t="s">
        <v>1357</v>
      </c>
      <c r="K7649" t="s">
        <v>1357</v>
      </c>
      <c r="L7649" t="s">
        <v>1357</v>
      </c>
    </row>
    <row r="7650" spans="6:12">
      <c r="H7650" t="s">
        <v>20230</v>
      </c>
      <c r="I7650" t="s">
        <v>1357</v>
      </c>
      <c r="J7650" t="s">
        <v>1357</v>
      </c>
      <c r="K7650" t="s">
        <v>1357</v>
      </c>
      <c r="L7650" t="s">
        <v>1357</v>
      </c>
    </row>
    <row r="7651" spans="6:12">
      <c r="H7651" t="s">
        <v>20281</v>
      </c>
      <c r="I7651" t="s">
        <v>1357</v>
      </c>
      <c r="J7651" t="s">
        <v>1357</v>
      </c>
      <c r="K7651" t="s">
        <v>1357</v>
      </c>
      <c r="L7651" t="s">
        <v>1357</v>
      </c>
    </row>
    <row r="7652" spans="6:12">
      <c r="H7652" t="s">
        <v>20282</v>
      </c>
      <c r="I7652" t="s">
        <v>1357</v>
      </c>
      <c r="J7652" t="s">
        <v>1357</v>
      </c>
      <c r="K7652" t="s">
        <v>1357</v>
      </c>
      <c r="L7652" t="s">
        <v>1357</v>
      </c>
    </row>
    <row r="7653" spans="6:12">
      <c r="H7653" t="s">
        <v>20283</v>
      </c>
      <c r="I7653" t="s">
        <v>1357</v>
      </c>
      <c r="J7653" t="s">
        <v>1357</v>
      </c>
      <c r="K7653" t="s">
        <v>1357</v>
      </c>
      <c r="L7653" t="s">
        <v>1357</v>
      </c>
    </row>
    <row r="7654" spans="6:12">
      <c r="H7654" t="s">
        <v>20284</v>
      </c>
      <c r="I7654" t="s">
        <v>1357</v>
      </c>
      <c r="J7654" t="s">
        <v>1357</v>
      </c>
      <c r="K7654" t="s">
        <v>1357</v>
      </c>
      <c r="L7654" t="s">
        <v>1357</v>
      </c>
    </row>
    <row r="7655" spans="6:12">
      <c r="H7655" t="s">
        <v>20285</v>
      </c>
      <c r="I7655" t="s">
        <v>1357</v>
      </c>
      <c r="J7655" t="s">
        <v>1357</v>
      </c>
      <c r="K7655" t="s">
        <v>1357</v>
      </c>
      <c r="L7655" t="s">
        <v>1357</v>
      </c>
    </row>
    <row r="7656" spans="6:12">
      <c r="H7656" t="s">
        <v>20286</v>
      </c>
      <c r="I7656" t="s">
        <v>1357</v>
      </c>
      <c r="J7656" t="s">
        <v>1357</v>
      </c>
      <c r="K7656" t="s">
        <v>1357</v>
      </c>
      <c r="L7656" t="s">
        <v>1357</v>
      </c>
    </row>
    <row r="7657" spans="6:12">
      <c r="H7657" t="s">
        <v>20287</v>
      </c>
      <c r="I7657" t="s">
        <v>1357</v>
      </c>
      <c r="J7657" t="s">
        <v>1357</v>
      </c>
      <c r="K7657" t="s">
        <v>1357</v>
      </c>
      <c r="L7657" t="s">
        <v>1357</v>
      </c>
    </row>
    <row r="7658" spans="6:12">
      <c r="H7658" t="s">
        <v>20288</v>
      </c>
      <c r="I7658" t="s">
        <v>1357</v>
      </c>
      <c r="J7658" t="s">
        <v>1357</v>
      </c>
      <c r="K7658" t="s">
        <v>1357</v>
      </c>
      <c r="L7658" t="s">
        <v>1357</v>
      </c>
    </row>
    <row r="7659" spans="6:12">
      <c r="H7659" t="s">
        <v>20289</v>
      </c>
      <c r="I7659" t="s">
        <v>1357</v>
      </c>
      <c r="J7659" t="s">
        <v>1357</v>
      </c>
      <c r="K7659" t="s">
        <v>1357</v>
      </c>
      <c r="L7659" t="s">
        <v>1357</v>
      </c>
    </row>
    <row r="7660" spans="6:12">
      <c r="F7660" t="s">
        <v>14913</v>
      </c>
      <c r="G7660" t="s">
        <v>17757</v>
      </c>
      <c r="H7660" t="s">
        <v>20280</v>
      </c>
      <c r="I7660" t="s">
        <v>1357</v>
      </c>
      <c r="J7660" t="s">
        <v>1357</v>
      </c>
      <c r="K7660" t="s">
        <v>1357</v>
      </c>
      <c r="L7660" t="s">
        <v>1357</v>
      </c>
    </row>
    <row r="7661" spans="6:12">
      <c r="H7661" t="s">
        <v>20233</v>
      </c>
      <c r="I7661" t="s">
        <v>1357</v>
      </c>
      <c r="J7661" t="s">
        <v>1357</v>
      </c>
      <c r="K7661" t="s">
        <v>1357</v>
      </c>
      <c r="L7661" t="s">
        <v>1357</v>
      </c>
    </row>
    <row r="7662" spans="6:12">
      <c r="H7662" t="s">
        <v>20281</v>
      </c>
      <c r="I7662" t="s">
        <v>1357</v>
      </c>
      <c r="J7662" t="s">
        <v>1357</v>
      </c>
      <c r="K7662" t="s">
        <v>1357</v>
      </c>
      <c r="L7662" t="s">
        <v>1357</v>
      </c>
    </row>
    <row r="7663" spans="6:12">
      <c r="H7663" t="s">
        <v>20296</v>
      </c>
      <c r="I7663" t="s">
        <v>1357</v>
      </c>
      <c r="J7663" t="s">
        <v>1357</v>
      </c>
      <c r="K7663" t="s">
        <v>1357</v>
      </c>
      <c r="L7663" t="s">
        <v>1357</v>
      </c>
    </row>
    <row r="7664" spans="6:12">
      <c r="H7664" t="s">
        <v>20284</v>
      </c>
      <c r="I7664" t="s">
        <v>1357</v>
      </c>
      <c r="J7664" t="s">
        <v>1357</v>
      </c>
      <c r="K7664" t="s">
        <v>1357</v>
      </c>
      <c r="L7664" t="s">
        <v>1357</v>
      </c>
    </row>
    <row r="7665" spans="6:12">
      <c r="H7665" t="s">
        <v>20285</v>
      </c>
      <c r="I7665" t="s">
        <v>1357</v>
      </c>
      <c r="J7665" t="s">
        <v>1357</v>
      </c>
      <c r="K7665" t="s">
        <v>1357</v>
      </c>
      <c r="L7665" t="s">
        <v>1357</v>
      </c>
    </row>
    <row r="7666" spans="6:12">
      <c r="H7666" t="s">
        <v>20286</v>
      </c>
      <c r="I7666" t="s">
        <v>1357</v>
      </c>
      <c r="J7666" t="s">
        <v>1357</v>
      </c>
      <c r="K7666" t="s">
        <v>1357</v>
      </c>
      <c r="L7666" t="s">
        <v>1357</v>
      </c>
    </row>
    <row r="7667" spans="6:12">
      <c r="H7667" t="s">
        <v>20287</v>
      </c>
      <c r="I7667" t="s">
        <v>1357</v>
      </c>
      <c r="J7667" t="s">
        <v>1357</v>
      </c>
      <c r="K7667" t="s">
        <v>1357</v>
      </c>
      <c r="L7667" t="s">
        <v>1357</v>
      </c>
    </row>
    <row r="7668" spans="6:12">
      <c r="F7668" t="s">
        <v>14914</v>
      </c>
      <c r="G7668" t="s">
        <v>17758</v>
      </c>
      <c r="H7668" t="s">
        <v>20280</v>
      </c>
      <c r="I7668" t="s">
        <v>1357</v>
      </c>
      <c r="J7668" t="s">
        <v>1357</v>
      </c>
      <c r="K7668" t="s">
        <v>1357</v>
      </c>
      <c r="L7668" t="s">
        <v>1357</v>
      </c>
    </row>
    <row r="7669" spans="6:12">
      <c r="F7669" t="s">
        <v>14915</v>
      </c>
      <c r="G7669" t="s">
        <v>17759</v>
      </c>
      <c r="H7669" t="s">
        <v>20280</v>
      </c>
      <c r="I7669" t="s">
        <v>1357</v>
      </c>
      <c r="J7669" t="s">
        <v>1357</v>
      </c>
      <c r="K7669" t="s">
        <v>1357</v>
      </c>
      <c r="L7669" t="s">
        <v>1357</v>
      </c>
    </row>
    <row r="7670" spans="6:12">
      <c r="H7670" t="s">
        <v>20233</v>
      </c>
      <c r="I7670" t="s">
        <v>1357</v>
      </c>
      <c r="J7670" t="s">
        <v>1357</v>
      </c>
      <c r="K7670" t="s">
        <v>1357</v>
      </c>
      <c r="L7670" t="s">
        <v>1357</v>
      </c>
    </row>
    <row r="7671" spans="6:12">
      <c r="H7671" t="s">
        <v>20230</v>
      </c>
      <c r="I7671" t="s">
        <v>1357</v>
      </c>
      <c r="J7671" t="s">
        <v>1357</v>
      </c>
      <c r="K7671" t="s">
        <v>1357</v>
      </c>
      <c r="L7671" t="s">
        <v>1357</v>
      </c>
    </row>
    <row r="7672" spans="6:12">
      <c r="H7672" t="s">
        <v>20284</v>
      </c>
      <c r="I7672" t="s">
        <v>1357</v>
      </c>
      <c r="J7672" t="s">
        <v>1357</v>
      </c>
      <c r="K7672" t="s">
        <v>1357</v>
      </c>
      <c r="L7672" t="s">
        <v>1357</v>
      </c>
    </row>
    <row r="7673" spans="6:12">
      <c r="H7673" t="s">
        <v>20285</v>
      </c>
      <c r="I7673" t="s">
        <v>1357</v>
      </c>
      <c r="J7673" t="s">
        <v>1357</v>
      </c>
      <c r="K7673" t="s">
        <v>1357</v>
      </c>
      <c r="L7673" t="s">
        <v>1357</v>
      </c>
    </row>
    <row r="7674" spans="6:12">
      <c r="H7674" t="s">
        <v>20286</v>
      </c>
      <c r="I7674" t="s">
        <v>1357</v>
      </c>
      <c r="J7674" t="s">
        <v>1357</v>
      </c>
      <c r="K7674" t="s">
        <v>1357</v>
      </c>
      <c r="L7674" t="s">
        <v>1357</v>
      </c>
    </row>
    <row r="7675" spans="6:12">
      <c r="F7675" t="s">
        <v>14916</v>
      </c>
      <c r="G7675" t="s">
        <v>17760</v>
      </c>
      <c r="H7675" t="s">
        <v>20280</v>
      </c>
      <c r="I7675" t="s">
        <v>1357</v>
      </c>
      <c r="J7675" t="s">
        <v>1357</v>
      </c>
      <c r="K7675" t="s">
        <v>1357</v>
      </c>
      <c r="L7675" t="s">
        <v>1357</v>
      </c>
    </row>
    <row r="7676" spans="6:12">
      <c r="H7676" t="s">
        <v>20233</v>
      </c>
      <c r="I7676" t="s">
        <v>1357</v>
      </c>
      <c r="J7676" t="s">
        <v>1357</v>
      </c>
      <c r="K7676" t="s">
        <v>1357</v>
      </c>
      <c r="L7676" t="s">
        <v>1357</v>
      </c>
    </row>
    <row r="7677" spans="6:12">
      <c r="H7677" t="s">
        <v>20230</v>
      </c>
      <c r="I7677" t="s">
        <v>1357</v>
      </c>
      <c r="J7677" t="s">
        <v>1357</v>
      </c>
      <c r="K7677" t="s">
        <v>1357</v>
      </c>
      <c r="L7677" t="s">
        <v>1357</v>
      </c>
    </row>
    <row r="7678" spans="6:12">
      <c r="H7678" t="s">
        <v>20227</v>
      </c>
      <c r="I7678" t="s">
        <v>1357</v>
      </c>
      <c r="J7678" t="s">
        <v>1357</v>
      </c>
      <c r="K7678" t="s">
        <v>1357</v>
      </c>
      <c r="L7678" t="s">
        <v>1357</v>
      </c>
    </row>
    <row r="7679" spans="6:12">
      <c r="H7679" t="s">
        <v>20281</v>
      </c>
      <c r="I7679" t="s">
        <v>1357</v>
      </c>
      <c r="J7679" t="s">
        <v>1357</v>
      </c>
      <c r="K7679" t="s">
        <v>1357</v>
      </c>
      <c r="L7679" t="s">
        <v>1357</v>
      </c>
    </row>
    <row r="7680" spans="6:12">
      <c r="H7680" t="s">
        <v>20282</v>
      </c>
      <c r="I7680" t="s">
        <v>1357</v>
      </c>
      <c r="J7680" t="s">
        <v>1357</v>
      </c>
      <c r="K7680" t="s">
        <v>1357</v>
      </c>
      <c r="L7680" t="s">
        <v>1357</v>
      </c>
    </row>
    <row r="7681" spans="6:12">
      <c r="H7681" t="s">
        <v>20284</v>
      </c>
      <c r="I7681" t="s">
        <v>1357</v>
      </c>
      <c r="J7681" t="s">
        <v>1357</v>
      </c>
      <c r="K7681" t="s">
        <v>1357</v>
      </c>
      <c r="L7681" t="s">
        <v>1357</v>
      </c>
    </row>
    <row r="7682" spans="6:12">
      <c r="H7682" t="s">
        <v>20285</v>
      </c>
      <c r="I7682" t="s">
        <v>1357</v>
      </c>
      <c r="J7682" t="s">
        <v>1357</v>
      </c>
      <c r="K7682" t="s">
        <v>1357</v>
      </c>
      <c r="L7682" t="s">
        <v>1357</v>
      </c>
    </row>
    <row r="7683" spans="6:12">
      <c r="H7683" t="s">
        <v>20286</v>
      </c>
      <c r="I7683" t="s">
        <v>1357</v>
      </c>
      <c r="J7683" t="s">
        <v>1357</v>
      </c>
      <c r="K7683" t="s">
        <v>1357</v>
      </c>
      <c r="L7683" t="s">
        <v>1357</v>
      </c>
    </row>
    <row r="7684" spans="6:12">
      <c r="H7684" t="s">
        <v>20287</v>
      </c>
      <c r="I7684" t="s">
        <v>1357</v>
      </c>
      <c r="J7684" t="s">
        <v>1357</v>
      </c>
      <c r="K7684" t="s">
        <v>1357</v>
      </c>
      <c r="L7684" t="s">
        <v>1357</v>
      </c>
    </row>
    <row r="7685" spans="6:12">
      <c r="F7685" t="s">
        <v>14917</v>
      </c>
      <c r="G7685" t="s">
        <v>17761</v>
      </c>
      <c r="H7685" t="s">
        <v>20280</v>
      </c>
      <c r="I7685" t="s">
        <v>1357</v>
      </c>
      <c r="J7685" t="s">
        <v>1357</v>
      </c>
      <c r="K7685" t="s">
        <v>1357</v>
      </c>
      <c r="L7685" t="s">
        <v>1357</v>
      </c>
    </row>
    <row r="7686" spans="6:12">
      <c r="H7686" t="s">
        <v>20281</v>
      </c>
      <c r="I7686" t="s">
        <v>1357</v>
      </c>
      <c r="J7686" t="s">
        <v>1357</v>
      </c>
      <c r="K7686" t="s">
        <v>1357</v>
      </c>
      <c r="L7686" t="s">
        <v>1357</v>
      </c>
    </row>
    <row r="7687" spans="6:12">
      <c r="H7687" t="s">
        <v>20282</v>
      </c>
      <c r="I7687" t="s">
        <v>1357</v>
      </c>
      <c r="J7687" t="s">
        <v>1357</v>
      </c>
      <c r="K7687" t="s">
        <v>1357</v>
      </c>
      <c r="L7687" t="s">
        <v>1357</v>
      </c>
    </row>
    <row r="7688" spans="6:12">
      <c r="H7688" t="s">
        <v>20283</v>
      </c>
      <c r="I7688" t="s">
        <v>1357</v>
      </c>
      <c r="J7688" t="s">
        <v>1357</v>
      </c>
      <c r="K7688" t="s">
        <v>1357</v>
      </c>
      <c r="L7688" t="s">
        <v>1357</v>
      </c>
    </row>
    <row r="7689" spans="6:12">
      <c r="H7689" t="s">
        <v>20292</v>
      </c>
      <c r="I7689" t="s">
        <v>1357</v>
      </c>
      <c r="J7689" t="s">
        <v>1357</v>
      </c>
      <c r="K7689" t="s">
        <v>1357</v>
      </c>
      <c r="L7689" t="s">
        <v>1357</v>
      </c>
    </row>
    <row r="7690" spans="6:12">
      <c r="H7690" t="s">
        <v>20305</v>
      </c>
      <c r="I7690" t="s">
        <v>1357</v>
      </c>
      <c r="J7690" t="s">
        <v>1357</v>
      </c>
      <c r="K7690" t="s">
        <v>1357</v>
      </c>
      <c r="L7690" t="s">
        <v>1357</v>
      </c>
    </row>
    <row r="7691" spans="6:12">
      <c r="H7691" t="s">
        <v>20284</v>
      </c>
      <c r="I7691" t="s">
        <v>1357</v>
      </c>
      <c r="J7691" t="s">
        <v>1357</v>
      </c>
      <c r="K7691" t="s">
        <v>1357</v>
      </c>
      <c r="L7691" t="s">
        <v>1357</v>
      </c>
    </row>
    <row r="7692" spans="6:12">
      <c r="H7692" t="s">
        <v>20285</v>
      </c>
      <c r="I7692" t="s">
        <v>1357</v>
      </c>
      <c r="J7692" t="s">
        <v>1357</v>
      </c>
      <c r="K7692" t="s">
        <v>1357</v>
      </c>
      <c r="L7692" t="s">
        <v>1357</v>
      </c>
    </row>
    <row r="7693" spans="6:12">
      <c r="H7693" t="s">
        <v>20286</v>
      </c>
      <c r="I7693" t="s">
        <v>1357</v>
      </c>
      <c r="J7693" t="s">
        <v>1357</v>
      </c>
      <c r="K7693" t="s">
        <v>1357</v>
      </c>
      <c r="L7693" t="s">
        <v>1357</v>
      </c>
    </row>
    <row r="7694" spans="6:12">
      <c r="H7694" t="s">
        <v>20287</v>
      </c>
      <c r="I7694" t="s">
        <v>1357</v>
      </c>
      <c r="J7694" t="s">
        <v>1357</v>
      </c>
      <c r="K7694" t="s">
        <v>1357</v>
      </c>
      <c r="L7694" t="s">
        <v>1357</v>
      </c>
    </row>
    <row r="7695" spans="6:12">
      <c r="F7695" t="s">
        <v>14918</v>
      </c>
      <c r="G7695" t="s">
        <v>17762</v>
      </c>
      <c r="H7695" t="s">
        <v>20280</v>
      </c>
      <c r="I7695" t="s">
        <v>1357</v>
      </c>
      <c r="J7695" t="s">
        <v>1357</v>
      </c>
      <c r="K7695" t="s">
        <v>1357</v>
      </c>
      <c r="L7695" t="s">
        <v>1357</v>
      </c>
    </row>
    <row r="7696" spans="6:12">
      <c r="H7696" t="s">
        <v>20233</v>
      </c>
      <c r="I7696" t="s">
        <v>1357</v>
      </c>
      <c r="J7696" t="s">
        <v>1357</v>
      </c>
      <c r="K7696" t="s">
        <v>1357</v>
      </c>
      <c r="L7696" t="s">
        <v>1357</v>
      </c>
    </row>
    <row r="7697" spans="6:12">
      <c r="H7697" t="s">
        <v>20281</v>
      </c>
      <c r="I7697" t="s">
        <v>1357</v>
      </c>
      <c r="J7697" t="s">
        <v>1357</v>
      </c>
      <c r="K7697" t="s">
        <v>1357</v>
      </c>
      <c r="L7697" t="s">
        <v>1357</v>
      </c>
    </row>
    <row r="7698" spans="6:12">
      <c r="H7698" t="s">
        <v>20282</v>
      </c>
      <c r="I7698" t="s">
        <v>1357</v>
      </c>
      <c r="J7698" t="s">
        <v>1357</v>
      </c>
      <c r="K7698" t="s">
        <v>1357</v>
      </c>
      <c r="L7698" t="s">
        <v>1357</v>
      </c>
    </row>
    <row r="7699" spans="6:12">
      <c r="H7699" t="s">
        <v>20284</v>
      </c>
      <c r="I7699" t="s">
        <v>1357</v>
      </c>
      <c r="J7699" t="s">
        <v>1357</v>
      </c>
      <c r="K7699" t="s">
        <v>1357</v>
      </c>
      <c r="L7699" t="s">
        <v>1357</v>
      </c>
    </row>
    <row r="7700" spans="6:12">
      <c r="H7700" t="s">
        <v>20285</v>
      </c>
      <c r="I7700" t="s">
        <v>1357</v>
      </c>
      <c r="J7700" t="s">
        <v>1357</v>
      </c>
      <c r="K7700" t="s">
        <v>1357</v>
      </c>
      <c r="L7700" t="s">
        <v>1357</v>
      </c>
    </row>
    <row r="7701" spans="6:12">
      <c r="F7701" t="s">
        <v>14919</v>
      </c>
      <c r="G7701" t="s">
        <v>17763</v>
      </c>
      <c r="H7701" t="s">
        <v>20280</v>
      </c>
      <c r="I7701" t="s">
        <v>1357</v>
      </c>
      <c r="J7701" t="s">
        <v>1357</v>
      </c>
      <c r="K7701" t="s">
        <v>1357</v>
      </c>
      <c r="L7701" t="s">
        <v>1357</v>
      </c>
    </row>
    <row r="7702" spans="6:12">
      <c r="H7702" t="s">
        <v>20233</v>
      </c>
      <c r="I7702" t="s">
        <v>1357</v>
      </c>
      <c r="J7702" t="s">
        <v>1357</v>
      </c>
      <c r="K7702" t="s">
        <v>1357</v>
      </c>
      <c r="L7702" t="s">
        <v>1357</v>
      </c>
    </row>
    <row r="7703" spans="6:12">
      <c r="H7703" t="s">
        <v>20284</v>
      </c>
      <c r="I7703" t="s">
        <v>1357</v>
      </c>
      <c r="J7703" t="s">
        <v>1357</v>
      </c>
      <c r="K7703" t="s">
        <v>1357</v>
      </c>
      <c r="L7703" t="s">
        <v>1357</v>
      </c>
    </row>
    <row r="7704" spans="6:12">
      <c r="H7704" t="s">
        <v>20285</v>
      </c>
      <c r="I7704" t="s">
        <v>1357</v>
      </c>
      <c r="J7704" t="s">
        <v>1357</v>
      </c>
      <c r="K7704" t="s">
        <v>1357</v>
      </c>
      <c r="L7704" t="s">
        <v>1357</v>
      </c>
    </row>
    <row r="7705" spans="6:12">
      <c r="F7705" t="s">
        <v>14920</v>
      </c>
      <c r="G7705" t="s">
        <v>17764</v>
      </c>
      <c r="H7705" t="s">
        <v>20280</v>
      </c>
      <c r="I7705" t="s">
        <v>1357</v>
      </c>
      <c r="J7705" t="s">
        <v>1357</v>
      </c>
      <c r="K7705" t="s">
        <v>1357</v>
      </c>
      <c r="L7705" t="s">
        <v>1357</v>
      </c>
    </row>
    <row r="7706" spans="6:12">
      <c r="H7706" t="s">
        <v>20233</v>
      </c>
      <c r="I7706" t="s">
        <v>1357</v>
      </c>
      <c r="J7706" t="s">
        <v>1357</v>
      </c>
      <c r="K7706" t="s">
        <v>1357</v>
      </c>
      <c r="L7706" t="s">
        <v>1357</v>
      </c>
    </row>
    <row r="7707" spans="6:12">
      <c r="H7707" t="s">
        <v>20284</v>
      </c>
      <c r="I7707" t="s">
        <v>1357</v>
      </c>
      <c r="J7707" t="s">
        <v>1357</v>
      </c>
      <c r="K7707" t="s">
        <v>1357</v>
      </c>
      <c r="L7707" t="s">
        <v>1357</v>
      </c>
    </row>
    <row r="7708" spans="6:12">
      <c r="H7708" t="s">
        <v>20285</v>
      </c>
      <c r="I7708" t="s">
        <v>1357</v>
      </c>
      <c r="J7708" t="s">
        <v>1357</v>
      </c>
      <c r="K7708" t="s">
        <v>1357</v>
      </c>
      <c r="L7708" t="s">
        <v>1357</v>
      </c>
    </row>
    <row r="7709" spans="6:12">
      <c r="F7709" t="s">
        <v>14921</v>
      </c>
      <c r="G7709" t="s">
        <v>17765</v>
      </c>
      <c r="H7709" t="s">
        <v>20280</v>
      </c>
      <c r="I7709" t="s">
        <v>1357</v>
      </c>
      <c r="J7709" t="s">
        <v>1357</v>
      </c>
      <c r="K7709" t="s">
        <v>1357</v>
      </c>
      <c r="L7709" t="s">
        <v>1357</v>
      </c>
    </row>
    <row r="7710" spans="6:12">
      <c r="H7710" t="s">
        <v>20233</v>
      </c>
      <c r="I7710" t="s">
        <v>1357</v>
      </c>
      <c r="J7710" t="s">
        <v>1357</v>
      </c>
      <c r="K7710" t="s">
        <v>1357</v>
      </c>
      <c r="L7710" t="s">
        <v>1357</v>
      </c>
    </row>
    <row r="7711" spans="6:12">
      <c r="H7711" t="s">
        <v>20230</v>
      </c>
      <c r="I7711" t="s">
        <v>1357</v>
      </c>
      <c r="J7711" t="s">
        <v>1357</v>
      </c>
      <c r="K7711" t="s">
        <v>1357</v>
      </c>
      <c r="L7711" t="s">
        <v>1357</v>
      </c>
    </row>
    <row r="7712" spans="6:12">
      <c r="H7712" t="s">
        <v>20227</v>
      </c>
      <c r="I7712" t="s">
        <v>1357</v>
      </c>
      <c r="J7712" t="s">
        <v>1357</v>
      </c>
      <c r="K7712" t="s">
        <v>1357</v>
      </c>
      <c r="L7712" t="s">
        <v>1357</v>
      </c>
    </row>
    <row r="7713" spans="6:12">
      <c r="H7713" t="s">
        <v>20228</v>
      </c>
      <c r="I7713" t="s">
        <v>1357</v>
      </c>
      <c r="J7713" t="s">
        <v>1357</v>
      </c>
      <c r="K7713" t="s">
        <v>1357</v>
      </c>
      <c r="L7713" t="s">
        <v>1357</v>
      </c>
    </row>
    <row r="7714" spans="6:12">
      <c r="H7714" t="s">
        <v>20232</v>
      </c>
      <c r="I7714" t="s">
        <v>1357</v>
      </c>
      <c r="J7714" t="s">
        <v>1357</v>
      </c>
      <c r="K7714" t="s">
        <v>1357</v>
      </c>
      <c r="L7714" t="s">
        <v>1357</v>
      </c>
    </row>
    <row r="7715" spans="6:12">
      <c r="H7715" t="s">
        <v>20281</v>
      </c>
      <c r="I7715" t="s">
        <v>1357</v>
      </c>
      <c r="J7715" t="s">
        <v>1357</v>
      </c>
      <c r="K7715" t="s">
        <v>1357</v>
      </c>
      <c r="L7715" t="s">
        <v>1357</v>
      </c>
    </row>
    <row r="7716" spans="6:12">
      <c r="H7716" t="s">
        <v>20282</v>
      </c>
      <c r="I7716" t="s">
        <v>1357</v>
      </c>
      <c r="J7716" t="s">
        <v>1357</v>
      </c>
      <c r="K7716" t="s">
        <v>1357</v>
      </c>
      <c r="L7716" t="s">
        <v>1357</v>
      </c>
    </row>
    <row r="7717" spans="6:12">
      <c r="H7717" t="s">
        <v>20283</v>
      </c>
      <c r="I7717" t="s">
        <v>1357</v>
      </c>
      <c r="J7717" t="s">
        <v>1357</v>
      </c>
      <c r="K7717" t="s">
        <v>1357</v>
      </c>
      <c r="L7717" t="s">
        <v>1357</v>
      </c>
    </row>
    <row r="7718" spans="6:12">
      <c r="H7718" t="s">
        <v>20292</v>
      </c>
      <c r="I7718" t="s">
        <v>1357</v>
      </c>
      <c r="J7718" t="s">
        <v>1357</v>
      </c>
      <c r="K7718" t="s">
        <v>1357</v>
      </c>
      <c r="L7718" t="s">
        <v>1357</v>
      </c>
    </row>
    <row r="7719" spans="6:12">
      <c r="H7719" t="s">
        <v>20305</v>
      </c>
      <c r="I7719" t="s">
        <v>1357</v>
      </c>
      <c r="J7719" t="s">
        <v>1357</v>
      </c>
      <c r="K7719" t="s">
        <v>1357</v>
      </c>
      <c r="L7719" t="s">
        <v>1357</v>
      </c>
    </row>
    <row r="7720" spans="6:12">
      <c r="H7720" t="s">
        <v>20306</v>
      </c>
      <c r="I7720" t="s">
        <v>1357</v>
      </c>
      <c r="J7720" t="s">
        <v>1357</v>
      </c>
      <c r="K7720" t="s">
        <v>1357</v>
      </c>
      <c r="L7720" t="s">
        <v>1357</v>
      </c>
    </row>
    <row r="7721" spans="6:12">
      <c r="H7721" t="s">
        <v>20307</v>
      </c>
      <c r="I7721" t="s">
        <v>1357</v>
      </c>
      <c r="J7721" t="s">
        <v>1357</v>
      </c>
      <c r="K7721" t="s">
        <v>1357</v>
      </c>
      <c r="L7721" t="s">
        <v>1357</v>
      </c>
    </row>
    <row r="7722" spans="6:12">
      <c r="H7722" t="s">
        <v>20284</v>
      </c>
      <c r="I7722" t="s">
        <v>1357</v>
      </c>
      <c r="J7722" t="s">
        <v>1357</v>
      </c>
      <c r="K7722" t="s">
        <v>1357</v>
      </c>
      <c r="L7722" t="s">
        <v>1357</v>
      </c>
    </row>
    <row r="7723" spans="6:12">
      <c r="H7723" t="s">
        <v>20285</v>
      </c>
      <c r="I7723" t="s">
        <v>1357</v>
      </c>
      <c r="J7723" t="s">
        <v>1357</v>
      </c>
      <c r="K7723" t="s">
        <v>1357</v>
      </c>
      <c r="L7723" t="s">
        <v>1357</v>
      </c>
    </row>
    <row r="7724" spans="6:12">
      <c r="H7724" t="s">
        <v>20286</v>
      </c>
      <c r="I7724" t="s">
        <v>1357</v>
      </c>
      <c r="J7724" t="s">
        <v>1357</v>
      </c>
      <c r="K7724" t="s">
        <v>1357</v>
      </c>
      <c r="L7724" t="s">
        <v>1357</v>
      </c>
    </row>
    <row r="7725" spans="6:12">
      <c r="H7725" t="s">
        <v>20287</v>
      </c>
      <c r="I7725" t="s">
        <v>1357</v>
      </c>
      <c r="J7725" t="s">
        <v>1357</v>
      </c>
      <c r="K7725" t="s">
        <v>1357</v>
      </c>
      <c r="L7725" t="s">
        <v>1357</v>
      </c>
    </row>
    <row r="7726" spans="6:12">
      <c r="H7726" t="s">
        <v>20288</v>
      </c>
      <c r="I7726" t="s">
        <v>1357</v>
      </c>
      <c r="J7726" t="s">
        <v>1357</v>
      </c>
      <c r="K7726" t="s">
        <v>1357</v>
      </c>
      <c r="L7726" t="s">
        <v>1357</v>
      </c>
    </row>
    <row r="7727" spans="6:12">
      <c r="H7727" t="s">
        <v>20289</v>
      </c>
      <c r="I7727" t="s">
        <v>1357</v>
      </c>
      <c r="J7727" t="s">
        <v>1357</v>
      </c>
      <c r="K7727" t="s">
        <v>1357</v>
      </c>
      <c r="L7727" t="s">
        <v>1357</v>
      </c>
    </row>
    <row r="7728" spans="6:12">
      <c r="F7728" t="s">
        <v>14922</v>
      </c>
      <c r="G7728" t="s">
        <v>17766</v>
      </c>
      <c r="H7728" t="s">
        <v>20280</v>
      </c>
      <c r="I7728" t="s">
        <v>1357</v>
      </c>
      <c r="J7728" t="s">
        <v>1357</v>
      </c>
      <c r="K7728" t="s">
        <v>1357</v>
      </c>
      <c r="L7728" t="s">
        <v>1357</v>
      </c>
    </row>
    <row r="7729" spans="8:12">
      <c r="H7729" t="s">
        <v>20233</v>
      </c>
      <c r="I7729" t="s">
        <v>1357</v>
      </c>
      <c r="J7729" t="s">
        <v>1357</v>
      </c>
      <c r="K7729" t="s">
        <v>1357</v>
      </c>
      <c r="L7729" t="s">
        <v>1357</v>
      </c>
    </row>
    <row r="7730" spans="8:12">
      <c r="H7730" t="s">
        <v>20230</v>
      </c>
      <c r="I7730" t="s">
        <v>1357</v>
      </c>
      <c r="J7730" t="s">
        <v>1357</v>
      </c>
      <c r="K7730" t="s">
        <v>1357</v>
      </c>
      <c r="L7730" t="s">
        <v>1357</v>
      </c>
    </row>
    <row r="7731" spans="8:12">
      <c r="H7731" t="s">
        <v>20227</v>
      </c>
      <c r="I7731" t="s">
        <v>1357</v>
      </c>
      <c r="J7731" t="s">
        <v>1357</v>
      </c>
      <c r="K7731" t="s">
        <v>1357</v>
      </c>
      <c r="L7731" t="s">
        <v>1357</v>
      </c>
    </row>
    <row r="7732" spans="8:12">
      <c r="H7732" t="s">
        <v>20228</v>
      </c>
      <c r="I7732" t="s">
        <v>1357</v>
      </c>
      <c r="J7732" t="s">
        <v>1357</v>
      </c>
      <c r="K7732" t="s">
        <v>1357</v>
      </c>
      <c r="L7732" t="s">
        <v>1357</v>
      </c>
    </row>
    <row r="7733" spans="8:12">
      <c r="H7733" t="s">
        <v>20281</v>
      </c>
      <c r="I7733" t="s">
        <v>1357</v>
      </c>
      <c r="J7733" t="s">
        <v>1357</v>
      </c>
      <c r="K7733" t="s">
        <v>1357</v>
      </c>
      <c r="L7733" t="s">
        <v>1357</v>
      </c>
    </row>
    <row r="7734" spans="8:12">
      <c r="H7734" t="s">
        <v>20282</v>
      </c>
      <c r="I7734" t="s">
        <v>1357</v>
      </c>
      <c r="J7734" t="s">
        <v>1357</v>
      </c>
      <c r="K7734" t="s">
        <v>1357</v>
      </c>
      <c r="L7734" t="s">
        <v>1357</v>
      </c>
    </row>
    <row r="7735" spans="8:12">
      <c r="H7735" t="s">
        <v>20283</v>
      </c>
      <c r="I7735" t="s">
        <v>1357</v>
      </c>
      <c r="J7735" t="s">
        <v>1357</v>
      </c>
      <c r="K7735" t="s">
        <v>1357</v>
      </c>
      <c r="L7735" t="s">
        <v>1357</v>
      </c>
    </row>
    <row r="7736" spans="8:12">
      <c r="H7736" t="s">
        <v>20292</v>
      </c>
      <c r="I7736" t="s">
        <v>1357</v>
      </c>
      <c r="J7736" t="s">
        <v>1357</v>
      </c>
      <c r="K7736" t="s">
        <v>1357</v>
      </c>
      <c r="L7736" t="s">
        <v>1357</v>
      </c>
    </row>
    <row r="7737" spans="8:12">
      <c r="H7737" t="s">
        <v>20305</v>
      </c>
      <c r="I7737" t="s">
        <v>1357</v>
      </c>
      <c r="J7737" t="s">
        <v>1357</v>
      </c>
      <c r="K7737" t="s">
        <v>1357</v>
      </c>
      <c r="L7737" t="s">
        <v>1357</v>
      </c>
    </row>
    <row r="7738" spans="8:12">
      <c r="H7738" t="s">
        <v>20306</v>
      </c>
      <c r="I7738" t="s">
        <v>1357</v>
      </c>
      <c r="J7738" t="s">
        <v>1357</v>
      </c>
      <c r="K7738" t="s">
        <v>1357</v>
      </c>
      <c r="L7738" t="s">
        <v>1357</v>
      </c>
    </row>
    <row r="7739" spans="8:12">
      <c r="H7739" t="s">
        <v>20307</v>
      </c>
      <c r="I7739" t="s">
        <v>1357</v>
      </c>
      <c r="J7739" t="s">
        <v>1357</v>
      </c>
      <c r="K7739" t="s">
        <v>1357</v>
      </c>
      <c r="L7739" t="s">
        <v>1357</v>
      </c>
    </row>
    <row r="7740" spans="8:12">
      <c r="H7740" t="s">
        <v>20284</v>
      </c>
      <c r="I7740" t="s">
        <v>1357</v>
      </c>
      <c r="J7740" t="s">
        <v>1357</v>
      </c>
      <c r="K7740" t="s">
        <v>1357</v>
      </c>
      <c r="L7740" t="s">
        <v>1357</v>
      </c>
    </row>
    <row r="7741" spans="8:12">
      <c r="H7741" t="s">
        <v>20285</v>
      </c>
      <c r="I7741" t="s">
        <v>1357</v>
      </c>
      <c r="J7741" t="s">
        <v>1357</v>
      </c>
      <c r="K7741" t="s">
        <v>1357</v>
      </c>
      <c r="L7741" t="s">
        <v>1357</v>
      </c>
    </row>
    <row r="7742" spans="8:12">
      <c r="H7742" t="s">
        <v>20286</v>
      </c>
      <c r="I7742" t="s">
        <v>1357</v>
      </c>
      <c r="J7742" t="s">
        <v>1357</v>
      </c>
      <c r="K7742" t="s">
        <v>1357</v>
      </c>
      <c r="L7742" t="s">
        <v>1357</v>
      </c>
    </row>
    <row r="7743" spans="8:12">
      <c r="H7743" t="s">
        <v>20287</v>
      </c>
      <c r="I7743" t="s">
        <v>1357</v>
      </c>
      <c r="J7743" t="s">
        <v>1357</v>
      </c>
      <c r="K7743" t="s">
        <v>1357</v>
      </c>
      <c r="L7743" t="s">
        <v>1357</v>
      </c>
    </row>
    <row r="7744" spans="8:12">
      <c r="H7744" t="s">
        <v>20288</v>
      </c>
      <c r="I7744" t="s">
        <v>1357</v>
      </c>
      <c r="J7744" t="s">
        <v>1357</v>
      </c>
      <c r="K7744" t="s">
        <v>1357</v>
      </c>
      <c r="L7744" t="s">
        <v>1357</v>
      </c>
    </row>
    <row r="7745" spans="6:12">
      <c r="H7745" t="s">
        <v>20289</v>
      </c>
      <c r="I7745" t="s">
        <v>1357</v>
      </c>
      <c r="J7745" t="s">
        <v>1357</v>
      </c>
      <c r="K7745" t="s">
        <v>1357</v>
      </c>
      <c r="L7745" t="s">
        <v>1357</v>
      </c>
    </row>
    <row r="7746" spans="6:12">
      <c r="F7746" t="s">
        <v>14923</v>
      </c>
      <c r="G7746" t="s">
        <v>17767</v>
      </c>
      <c r="H7746" t="s">
        <v>20280</v>
      </c>
      <c r="I7746" t="s">
        <v>1357</v>
      </c>
      <c r="J7746" t="s">
        <v>1357</v>
      </c>
      <c r="K7746" t="s">
        <v>1357</v>
      </c>
      <c r="L7746" t="s">
        <v>1357</v>
      </c>
    </row>
    <row r="7747" spans="6:12">
      <c r="H7747" t="s">
        <v>20284</v>
      </c>
      <c r="I7747" t="s">
        <v>1357</v>
      </c>
      <c r="J7747" t="s">
        <v>1357</v>
      </c>
      <c r="K7747" t="s">
        <v>1357</v>
      </c>
      <c r="L7747" t="s">
        <v>1357</v>
      </c>
    </row>
    <row r="7748" spans="6:12">
      <c r="H7748" t="s">
        <v>20285</v>
      </c>
      <c r="I7748" t="s">
        <v>1357</v>
      </c>
      <c r="J7748" t="s">
        <v>1357</v>
      </c>
      <c r="K7748" t="s">
        <v>1357</v>
      </c>
      <c r="L7748" t="s">
        <v>1357</v>
      </c>
    </row>
    <row r="7749" spans="6:12">
      <c r="H7749" t="s">
        <v>20288</v>
      </c>
      <c r="I7749" t="s">
        <v>1357</v>
      </c>
      <c r="J7749" t="s">
        <v>1357</v>
      </c>
      <c r="K7749" t="s">
        <v>1357</v>
      </c>
      <c r="L7749" t="s">
        <v>1357</v>
      </c>
    </row>
    <row r="7750" spans="6:12">
      <c r="H7750" t="s">
        <v>20290</v>
      </c>
      <c r="I7750" t="s">
        <v>1357</v>
      </c>
      <c r="J7750" t="s">
        <v>1357</v>
      </c>
      <c r="K7750" t="s">
        <v>1357</v>
      </c>
      <c r="L7750" t="s">
        <v>1357</v>
      </c>
    </row>
    <row r="7751" spans="6:12">
      <c r="H7751" t="s">
        <v>20233</v>
      </c>
      <c r="I7751" t="s">
        <v>1357</v>
      </c>
      <c r="J7751" t="s">
        <v>1357</v>
      </c>
      <c r="K7751" t="s">
        <v>1357</v>
      </c>
      <c r="L7751" t="s">
        <v>1357</v>
      </c>
    </row>
    <row r="7752" spans="6:12">
      <c r="H7752" t="s">
        <v>20286</v>
      </c>
      <c r="I7752" t="s">
        <v>1357</v>
      </c>
      <c r="J7752" t="s">
        <v>1357</v>
      </c>
      <c r="K7752" t="s">
        <v>1357</v>
      </c>
      <c r="L7752" t="s">
        <v>1357</v>
      </c>
    </row>
    <row r="7753" spans="6:12">
      <c r="H7753" t="s">
        <v>20287</v>
      </c>
      <c r="I7753" t="s">
        <v>1357</v>
      </c>
      <c r="J7753" t="s">
        <v>1357</v>
      </c>
      <c r="K7753" t="s">
        <v>1357</v>
      </c>
      <c r="L7753" t="s">
        <v>1357</v>
      </c>
    </row>
    <row r="7754" spans="6:12">
      <c r="H7754" t="s">
        <v>20289</v>
      </c>
      <c r="I7754" t="s">
        <v>1357</v>
      </c>
      <c r="J7754" t="s">
        <v>1357</v>
      </c>
      <c r="K7754" t="s">
        <v>1357</v>
      </c>
      <c r="L7754" t="s">
        <v>1357</v>
      </c>
    </row>
    <row r="7755" spans="6:12">
      <c r="H7755" t="s">
        <v>20291</v>
      </c>
      <c r="I7755" t="s">
        <v>1357</v>
      </c>
      <c r="J7755" t="s">
        <v>1357</v>
      </c>
      <c r="K7755" t="s">
        <v>1357</v>
      </c>
      <c r="L7755" t="s">
        <v>1357</v>
      </c>
    </row>
    <row r="7756" spans="6:12">
      <c r="F7756" t="s">
        <v>14924</v>
      </c>
      <c r="G7756" t="s">
        <v>17768</v>
      </c>
      <c r="H7756" t="s">
        <v>20280</v>
      </c>
      <c r="I7756" t="s">
        <v>1357</v>
      </c>
      <c r="J7756" t="s">
        <v>1357</v>
      </c>
      <c r="K7756" t="s">
        <v>1357</v>
      </c>
      <c r="L7756" t="s">
        <v>1357</v>
      </c>
    </row>
    <row r="7757" spans="6:12">
      <c r="H7757" t="s">
        <v>20233</v>
      </c>
      <c r="I7757" t="s">
        <v>1357</v>
      </c>
      <c r="J7757" t="s">
        <v>1357</v>
      </c>
      <c r="K7757" t="s">
        <v>1357</v>
      </c>
      <c r="L7757" t="s">
        <v>1357</v>
      </c>
    </row>
    <row r="7758" spans="6:12">
      <c r="H7758" t="s">
        <v>20281</v>
      </c>
      <c r="I7758" t="s">
        <v>1357</v>
      </c>
      <c r="J7758" t="s">
        <v>1357</v>
      </c>
      <c r="K7758" t="s">
        <v>1357</v>
      </c>
      <c r="L7758" t="s">
        <v>1357</v>
      </c>
    </row>
    <row r="7759" spans="6:12">
      <c r="H7759" t="s">
        <v>20282</v>
      </c>
      <c r="I7759" t="s">
        <v>1357</v>
      </c>
      <c r="J7759" t="s">
        <v>1357</v>
      </c>
      <c r="K7759" t="s">
        <v>1357</v>
      </c>
      <c r="L7759" t="s">
        <v>1357</v>
      </c>
    </row>
    <row r="7760" spans="6:12">
      <c r="H7760" t="s">
        <v>20283</v>
      </c>
      <c r="I7760" t="s">
        <v>1357</v>
      </c>
      <c r="J7760" t="s">
        <v>1357</v>
      </c>
      <c r="K7760" t="s">
        <v>1357</v>
      </c>
      <c r="L7760" t="s">
        <v>1357</v>
      </c>
    </row>
    <row r="7761" spans="6:12">
      <c r="H7761" t="s">
        <v>20284</v>
      </c>
      <c r="I7761" t="s">
        <v>1357</v>
      </c>
      <c r="J7761" t="s">
        <v>1357</v>
      </c>
      <c r="K7761" t="s">
        <v>1357</v>
      </c>
      <c r="L7761" t="s">
        <v>1357</v>
      </c>
    </row>
    <row r="7762" spans="6:12">
      <c r="H7762" t="s">
        <v>20285</v>
      </c>
      <c r="I7762" t="s">
        <v>1357</v>
      </c>
      <c r="J7762" t="s">
        <v>1357</v>
      </c>
      <c r="K7762" t="s">
        <v>1357</v>
      </c>
      <c r="L7762" t="s">
        <v>1357</v>
      </c>
    </row>
    <row r="7763" spans="6:12">
      <c r="H7763" t="s">
        <v>20286</v>
      </c>
      <c r="I7763" t="s">
        <v>1357</v>
      </c>
      <c r="J7763" t="s">
        <v>1357</v>
      </c>
      <c r="K7763" t="s">
        <v>1357</v>
      </c>
      <c r="L7763" t="s">
        <v>1357</v>
      </c>
    </row>
    <row r="7764" spans="6:12">
      <c r="H7764" t="s">
        <v>20287</v>
      </c>
      <c r="I7764" t="s">
        <v>1357</v>
      </c>
      <c r="J7764" t="s">
        <v>1357</v>
      </c>
      <c r="K7764" t="s">
        <v>1357</v>
      </c>
      <c r="L7764" t="s">
        <v>1357</v>
      </c>
    </row>
    <row r="7765" spans="6:12">
      <c r="H7765" t="s">
        <v>20288</v>
      </c>
      <c r="I7765" t="s">
        <v>1357</v>
      </c>
      <c r="J7765" t="s">
        <v>1357</v>
      </c>
      <c r="K7765" t="s">
        <v>1357</v>
      </c>
      <c r="L7765" t="s">
        <v>1357</v>
      </c>
    </row>
    <row r="7766" spans="6:12">
      <c r="H7766" t="s">
        <v>20289</v>
      </c>
      <c r="I7766" t="s">
        <v>1357</v>
      </c>
      <c r="J7766" t="s">
        <v>1357</v>
      </c>
      <c r="K7766" t="s">
        <v>1357</v>
      </c>
      <c r="L7766" t="s">
        <v>1357</v>
      </c>
    </row>
    <row r="7767" spans="6:12">
      <c r="H7767" t="s">
        <v>20290</v>
      </c>
      <c r="I7767" t="s">
        <v>1357</v>
      </c>
      <c r="J7767" t="s">
        <v>1357</v>
      </c>
      <c r="K7767" t="s">
        <v>1357</v>
      </c>
      <c r="L7767" t="s">
        <v>1357</v>
      </c>
    </row>
    <row r="7768" spans="6:12">
      <c r="H7768" t="s">
        <v>20291</v>
      </c>
      <c r="I7768" t="s">
        <v>1357</v>
      </c>
      <c r="J7768" t="s">
        <v>1357</v>
      </c>
      <c r="K7768" t="s">
        <v>1357</v>
      </c>
      <c r="L7768" t="s">
        <v>1357</v>
      </c>
    </row>
    <row r="7769" spans="6:12">
      <c r="F7769" t="s">
        <v>14925</v>
      </c>
      <c r="G7769" t="s">
        <v>17769</v>
      </c>
      <c r="H7769" t="s">
        <v>20280</v>
      </c>
      <c r="I7769" t="s">
        <v>1357</v>
      </c>
      <c r="J7769" t="s">
        <v>1357</v>
      </c>
      <c r="K7769" t="s">
        <v>1357</v>
      </c>
      <c r="L7769" t="s">
        <v>1357</v>
      </c>
    </row>
    <row r="7770" spans="6:12">
      <c r="H7770" t="s">
        <v>20233</v>
      </c>
      <c r="I7770" t="s">
        <v>1357</v>
      </c>
      <c r="J7770" t="s">
        <v>1357</v>
      </c>
      <c r="K7770" t="s">
        <v>1357</v>
      </c>
      <c r="L7770" t="s">
        <v>1357</v>
      </c>
    </row>
    <row r="7771" spans="6:12">
      <c r="H7771" t="s">
        <v>20281</v>
      </c>
      <c r="I7771" t="s">
        <v>1357</v>
      </c>
      <c r="J7771" t="s">
        <v>1357</v>
      </c>
      <c r="K7771" t="s">
        <v>1357</v>
      </c>
      <c r="L7771" t="s">
        <v>1357</v>
      </c>
    </row>
    <row r="7772" spans="6:12">
      <c r="H7772" t="s">
        <v>20282</v>
      </c>
      <c r="I7772" t="s">
        <v>1357</v>
      </c>
      <c r="J7772" t="s">
        <v>1357</v>
      </c>
      <c r="K7772" t="s">
        <v>1357</v>
      </c>
      <c r="L7772" t="s">
        <v>1357</v>
      </c>
    </row>
    <row r="7773" spans="6:12">
      <c r="H7773" t="s">
        <v>20283</v>
      </c>
      <c r="I7773" t="s">
        <v>1357</v>
      </c>
      <c r="J7773" t="s">
        <v>1357</v>
      </c>
      <c r="K7773" t="s">
        <v>1357</v>
      </c>
      <c r="L7773" t="s">
        <v>1357</v>
      </c>
    </row>
    <row r="7774" spans="6:12">
      <c r="H7774" t="s">
        <v>20284</v>
      </c>
      <c r="I7774" t="s">
        <v>1357</v>
      </c>
      <c r="J7774" t="s">
        <v>1357</v>
      </c>
      <c r="K7774" t="s">
        <v>1357</v>
      </c>
      <c r="L7774" t="s">
        <v>1357</v>
      </c>
    </row>
    <row r="7775" spans="6:12">
      <c r="H7775" t="s">
        <v>20285</v>
      </c>
      <c r="I7775" t="s">
        <v>1357</v>
      </c>
      <c r="J7775" t="s">
        <v>1357</v>
      </c>
      <c r="K7775" t="s">
        <v>1357</v>
      </c>
      <c r="L7775" t="s">
        <v>1357</v>
      </c>
    </row>
    <row r="7776" spans="6:12">
      <c r="H7776" t="s">
        <v>20286</v>
      </c>
      <c r="I7776" t="s">
        <v>1357</v>
      </c>
      <c r="J7776" t="s">
        <v>1357</v>
      </c>
      <c r="K7776" t="s">
        <v>1357</v>
      </c>
      <c r="L7776" t="s">
        <v>1357</v>
      </c>
    </row>
    <row r="7777" spans="6:12">
      <c r="H7777" t="s">
        <v>20287</v>
      </c>
      <c r="I7777" t="s">
        <v>1357</v>
      </c>
      <c r="J7777" t="s">
        <v>1357</v>
      </c>
      <c r="K7777" t="s">
        <v>1357</v>
      </c>
      <c r="L7777" t="s">
        <v>1357</v>
      </c>
    </row>
    <row r="7778" spans="6:12">
      <c r="H7778" t="s">
        <v>20288</v>
      </c>
      <c r="I7778" t="s">
        <v>1357</v>
      </c>
      <c r="J7778" t="s">
        <v>1357</v>
      </c>
      <c r="K7778" t="s">
        <v>1357</v>
      </c>
      <c r="L7778" t="s">
        <v>1357</v>
      </c>
    </row>
    <row r="7779" spans="6:12">
      <c r="H7779" t="s">
        <v>20289</v>
      </c>
      <c r="I7779" t="s">
        <v>1357</v>
      </c>
      <c r="J7779" t="s">
        <v>1357</v>
      </c>
      <c r="K7779" t="s">
        <v>1357</v>
      </c>
      <c r="L7779" t="s">
        <v>1357</v>
      </c>
    </row>
    <row r="7780" spans="6:12">
      <c r="H7780" t="s">
        <v>20290</v>
      </c>
      <c r="I7780" t="s">
        <v>1357</v>
      </c>
      <c r="J7780" t="s">
        <v>1357</v>
      </c>
      <c r="K7780" t="s">
        <v>1357</v>
      </c>
      <c r="L7780" t="s">
        <v>1357</v>
      </c>
    </row>
    <row r="7781" spans="6:12">
      <c r="H7781" t="s">
        <v>20291</v>
      </c>
      <c r="I7781" t="s">
        <v>1357</v>
      </c>
      <c r="J7781" t="s">
        <v>1357</v>
      </c>
      <c r="K7781" t="s">
        <v>1357</v>
      </c>
      <c r="L7781" t="s">
        <v>1357</v>
      </c>
    </row>
    <row r="7782" spans="6:12">
      <c r="F7782" t="s">
        <v>14926</v>
      </c>
      <c r="G7782" t="s">
        <v>17770</v>
      </c>
      <c r="H7782" t="s">
        <v>20280</v>
      </c>
      <c r="I7782" t="s">
        <v>1357</v>
      </c>
      <c r="J7782" t="s">
        <v>1357</v>
      </c>
      <c r="K7782" t="s">
        <v>1357</v>
      </c>
      <c r="L7782" t="s">
        <v>1357</v>
      </c>
    </row>
    <row r="7783" spans="6:12">
      <c r="H7783" t="s">
        <v>20296</v>
      </c>
      <c r="I7783" t="s">
        <v>1357</v>
      </c>
      <c r="J7783" t="s">
        <v>1357</v>
      </c>
      <c r="K7783" t="s">
        <v>1357</v>
      </c>
      <c r="L7783" t="s">
        <v>1357</v>
      </c>
    </row>
    <row r="7784" spans="6:12">
      <c r="H7784" t="s">
        <v>20297</v>
      </c>
      <c r="I7784" t="s">
        <v>1357</v>
      </c>
      <c r="J7784" t="s">
        <v>1357</v>
      </c>
      <c r="K7784" t="s">
        <v>1357</v>
      </c>
      <c r="L7784" t="s">
        <v>1357</v>
      </c>
    </row>
    <row r="7785" spans="6:12">
      <c r="H7785" t="s">
        <v>20284</v>
      </c>
      <c r="I7785" t="s">
        <v>1357</v>
      </c>
      <c r="J7785" t="s">
        <v>1357</v>
      </c>
      <c r="K7785" t="s">
        <v>1357</v>
      </c>
      <c r="L7785" t="s">
        <v>1357</v>
      </c>
    </row>
    <row r="7786" spans="6:12">
      <c r="F7786" t="s">
        <v>14927</v>
      </c>
      <c r="G7786" t="s">
        <v>17771</v>
      </c>
      <c r="H7786" t="s">
        <v>20280</v>
      </c>
      <c r="I7786" t="s">
        <v>1357</v>
      </c>
      <c r="J7786" t="s">
        <v>1357</v>
      </c>
      <c r="K7786" t="s">
        <v>1357</v>
      </c>
      <c r="L7786" t="s">
        <v>1357</v>
      </c>
    </row>
    <row r="7787" spans="6:12">
      <c r="H7787" t="s">
        <v>20233</v>
      </c>
      <c r="I7787" t="s">
        <v>1357</v>
      </c>
      <c r="J7787" t="s">
        <v>1357</v>
      </c>
      <c r="K7787" t="s">
        <v>1357</v>
      </c>
      <c r="L7787" t="s">
        <v>1357</v>
      </c>
    </row>
    <row r="7788" spans="6:12">
      <c r="H7788" t="s">
        <v>20230</v>
      </c>
      <c r="I7788" t="s">
        <v>1357</v>
      </c>
      <c r="J7788" t="s">
        <v>1357</v>
      </c>
      <c r="K7788" t="s">
        <v>1357</v>
      </c>
      <c r="L7788" t="s">
        <v>1357</v>
      </c>
    </row>
    <row r="7789" spans="6:12">
      <c r="H7789" t="s">
        <v>20227</v>
      </c>
      <c r="I7789" t="s">
        <v>1357</v>
      </c>
      <c r="J7789" t="s">
        <v>1357</v>
      </c>
      <c r="K7789" t="s">
        <v>1357</v>
      </c>
      <c r="L7789" t="s">
        <v>1357</v>
      </c>
    </row>
    <row r="7790" spans="6:12">
      <c r="H7790" t="s">
        <v>20284</v>
      </c>
      <c r="I7790" t="s">
        <v>1357</v>
      </c>
      <c r="J7790" t="s">
        <v>1357</v>
      </c>
      <c r="K7790" t="s">
        <v>1357</v>
      </c>
      <c r="L7790" t="s">
        <v>1357</v>
      </c>
    </row>
    <row r="7791" spans="6:12">
      <c r="H7791" t="s">
        <v>20285</v>
      </c>
      <c r="I7791" t="s">
        <v>1357</v>
      </c>
      <c r="J7791" t="s">
        <v>1357</v>
      </c>
      <c r="K7791" t="s">
        <v>1357</v>
      </c>
      <c r="L7791" t="s">
        <v>1357</v>
      </c>
    </row>
    <row r="7792" spans="6:12">
      <c r="H7792" t="s">
        <v>20286</v>
      </c>
      <c r="I7792" t="s">
        <v>1357</v>
      </c>
      <c r="J7792" t="s">
        <v>1357</v>
      </c>
      <c r="K7792" t="s">
        <v>1357</v>
      </c>
      <c r="L7792" t="s">
        <v>1357</v>
      </c>
    </row>
    <row r="7793" spans="6:12">
      <c r="H7793" t="s">
        <v>20287</v>
      </c>
      <c r="I7793" t="s">
        <v>1357</v>
      </c>
      <c r="J7793" t="s">
        <v>1357</v>
      </c>
      <c r="K7793" t="s">
        <v>1357</v>
      </c>
      <c r="L7793" t="s">
        <v>1357</v>
      </c>
    </row>
    <row r="7794" spans="6:12">
      <c r="F7794" t="s">
        <v>14928</v>
      </c>
      <c r="G7794" t="s">
        <v>17772</v>
      </c>
      <c r="H7794" t="s">
        <v>20280</v>
      </c>
      <c r="I7794" t="s">
        <v>1357</v>
      </c>
      <c r="J7794" t="s">
        <v>1357</v>
      </c>
      <c r="K7794" t="s">
        <v>1357</v>
      </c>
      <c r="L7794" t="s">
        <v>1357</v>
      </c>
    </row>
    <row r="7795" spans="6:12">
      <c r="H7795" t="s">
        <v>20296</v>
      </c>
      <c r="I7795" t="s">
        <v>1357</v>
      </c>
      <c r="J7795" t="s">
        <v>1357</v>
      </c>
      <c r="K7795" t="s">
        <v>1357</v>
      </c>
      <c r="L7795" t="s">
        <v>1357</v>
      </c>
    </row>
    <row r="7796" spans="6:12">
      <c r="H7796" t="s">
        <v>20297</v>
      </c>
      <c r="I7796" t="s">
        <v>1357</v>
      </c>
      <c r="J7796" t="s">
        <v>1357</v>
      </c>
      <c r="K7796" t="s">
        <v>1357</v>
      </c>
      <c r="L7796" t="s">
        <v>1357</v>
      </c>
    </row>
    <row r="7797" spans="6:12">
      <c r="H7797" t="s">
        <v>20284</v>
      </c>
      <c r="I7797" t="s">
        <v>1357</v>
      </c>
      <c r="J7797" t="s">
        <v>1357</v>
      </c>
      <c r="K7797" t="s">
        <v>1357</v>
      </c>
      <c r="L7797" t="s">
        <v>1357</v>
      </c>
    </row>
    <row r="7798" spans="6:12">
      <c r="H7798" t="s">
        <v>20285</v>
      </c>
      <c r="I7798" t="s">
        <v>1357</v>
      </c>
      <c r="J7798" t="s">
        <v>1357</v>
      </c>
      <c r="K7798" t="s">
        <v>1357</v>
      </c>
      <c r="L7798" t="s">
        <v>1357</v>
      </c>
    </row>
    <row r="7799" spans="6:12">
      <c r="H7799" t="s">
        <v>20286</v>
      </c>
      <c r="I7799" t="s">
        <v>1357</v>
      </c>
      <c r="J7799" t="s">
        <v>1357</v>
      </c>
      <c r="K7799" t="s">
        <v>1357</v>
      </c>
      <c r="L7799" t="s">
        <v>1357</v>
      </c>
    </row>
    <row r="7800" spans="6:12">
      <c r="H7800" t="s">
        <v>20287</v>
      </c>
      <c r="I7800" t="s">
        <v>1357</v>
      </c>
      <c r="J7800" t="s">
        <v>1357</v>
      </c>
      <c r="K7800" t="s">
        <v>1357</v>
      </c>
      <c r="L7800" t="s">
        <v>1357</v>
      </c>
    </row>
    <row r="7801" spans="6:12">
      <c r="H7801" t="s">
        <v>20288</v>
      </c>
      <c r="I7801" t="s">
        <v>1357</v>
      </c>
      <c r="J7801" t="s">
        <v>1357</v>
      </c>
      <c r="K7801" t="s">
        <v>1357</v>
      </c>
      <c r="L7801" t="s">
        <v>1357</v>
      </c>
    </row>
    <row r="7802" spans="6:12">
      <c r="H7802" t="s">
        <v>20289</v>
      </c>
      <c r="I7802" t="s">
        <v>1357</v>
      </c>
      <c r="J7802" t="s">
        <v>1357</v>
      </c>
      <c r="K7802" t="s">
        <v>1357</v>
      </c>
      <c r="L7802" t="s">
        <v>1357</v>
      </c>
    </row>
    <row r="7803" spans="6:12">
      <c r="H7803" t="s">
        <v>20290</v>
      </c>
      <c r="I7803" t="s">
        <v>1357</v>
      </c>
      <c r="J7803" t="s">
        <v>1357</v>
      </c>
      <c r="K7803" t="s">
        <v>1357</v>
      </c>
      <c r="L7803" t="s">
        <v>1357</v>
      </c>
    </row>
    <row r="7804" spans="6:12">
      <c r="H7804" t="s">
        <v>20291</v>
      </c>
      <c r="I7804" t="s">
        <v>1357</v>
      </c>
      <c r="J7804" t="s">
        <v>1357</v>
      </c>
      <c r="K7804" t="s">
        <v>1357</v>
      </c>
      <c r="L7804" t="s">
        <v>1357</v>
      </c>
    </row>
    <row r="7805" spans="6:12">
      <c r="F7805" t="s">
        <v>14929</v>
      </c>
      <c r="G7805" t="s">
        <v>17773</v>
      </c>
      <c r="H7805" t="s">
        <v>20284</v>
      </c>
      <c r="I7805" t="s">
        <v>1357</v>
      </c>
      <c r="J7805" t="s">
        <v>1357</v>
      </c>
      <c r="K7805" t="s">
        <v>1357</v>
      </c>
      <c r="L7805" t="s">
        <v>1357</v>
      </c>
    </row>
    <row r="7806" spans="6:12">
      <c r="H7806" t="s">
        <v>20285</v>
      </c>
      <c r="I7806" t="s">
        <v>1357</v>
      </c>
      <c r="J7806" t="s">
        <v>1357</v>
      </c>
      <c r="K7806" t="s">
        <v>1357</v>
      </c>
      <c r="L7806" t="s">
        <v>1357</v>
      </c>
    </row>
    <row r="7807" spans="6:12">
      <c r="F7807" t="s">
        <v>14930</v>
      </c>
      <c r="G7807" t="s">
        <v>17774</v>
      </c>
      <c r="H7807" t="s">
        <v>20284</v>
      </c>
      <c r="I7807" t="s">
        <v>1357</v>
      </c>
      <c r="J7807" t="s">
        <v>1357</v>
      </c>
      <c r="K7807" t="s">
        <v>1357</v>
      </c>
      <c r="L7807" t="s">
        <v>1357</v>
      </c>
    </row>
    <row r="7808" spans="6:12">
      <c r="F7808" t="s">
        <v>14931</v>
      </c>
      <c r="G7808" t="s">
        <v>17775</v>
      </c>
      <c r="H7808" t="s">
        <v>20284</v>
      </c>
      <c r="I7808" t="s">
        <v>1357</v>
      </c>
      <c r="J7808" t="s">
        <v>1357</v>
      </c>
      <c r="K7808" t="s">
        <v>1357</v>
      </c>
      <c r="L7808" t="s">
        <v>1357</v>
      </c>
    </row>
    <row r="7809" spans="6:12">
      <c r="F7809" t="s">
        <v>14932</v>
      </c>
      <c r="G7809" t="s">
        <v>17776</v>
      </c>
      <c r="H7809" t="s">
        <v>20284</v>
      </c>
      <c r="I7809" t="s">
        <v>1357</v>
      </c>
      <c r="J7809" t="s">
        <v>1357</v>
      </c>
      <c r="K7809" t="s">
        <v>1357</v>
      </c>
      <c r="L7809" t="s">
        <v>1357</v>
      </c>
    </row>
    <row r="7810" spans="6:12">
      <c r="F7810" t="s">
        <v>14933</v>
      </c>
      <c r="G7810" t="s">
        <v>17777</v>
      </c>
      <c r="H7810" t="s">
        <v>20284</v>
      </c>
      <c r="I7810" t="s">
        <v>1357</v>
      </c>
      <c r="J7810" t="s">
        <v>1357</v>
      </c>
      <c r="K7810" t="s">
        <v>1357</v>
      </c>
      <c r="L7810" t="s">
        <v>1357</v>
      </c>
    </row>
    <row r="7811" spans="6:12">
      <c r="H7811" t="s">
        <v>20285</v>
      </c>
      <c r="I7811" t="s">
        <v>1357</v>
      </c>
      <c r="J7811" t="s">
        <v>1357</v>
      </c>
      <c r="K7811" t="s">
        <v>1357</v>
      </c>
      <c r="L7811" t="s">
        <v>1357</v>
      </c>
    </row>
    <row r="7812" spans="6:12">
      <c r="H7812" t="s">
        <v>20286</v>
      </c>
      <c r="I7812" t="s">
        <v>1357</v>
      </c>
      <c r="J7812" t="s">
        <v>1357</v>
      </c>
      <c r="K7812" t="s">
        <v>1357</v>
      </c>
      <c r="L7812" t="s">
        <v>1357</v>
      </c>
    </row>
    <row r="7813" spans="6:12">
      <c r="H7813" t="s">
        <v>20287</v>
      </c>
      <c r="I7813" t="s">
        <v>1357</v>
      </c>
      <c r="J7813" t="s">
        <v>1357</v>
      </c>
      <c r="K7813" t="s">
        <v>1357</v>
      </c>
      <c r="L7813" t="s">
        <v>1357</v>
      </c>
    </row>
    <row r="7814" spans="6:12">
      <c r="F7814" t="s">
        <v>14934</v>
      </c>
      <c r="G7814" t="s">
        <v>17778</v>
      </c>
      <c r="H7814" t="s">
        <v>20284</v>
      </c>
      <c r="I7814" t="s">
        <v>1357</v>
      </c>
      <c r="J7814" t="s">
        <v>1357</v>
      </c>
      <c r="K7814" t="s">
        <v>1357</v>
      </c>
      <c r="L7814" t="s">
        <v>1357</v>
      </c>
    </row>
    <row r="7815" spans="6:12">
      <c r="F7815" t="s">
        <v>14935</v>
      </c>
      <c r="G7815" t="s">
        <v>17779</v>
      </c>
      <c r="H7815" t="s">
        <v>20284</v>
      </c>
      <c r="I7815" t="s">
        <v>1357</v>
      </c>
      <c r="J7815" t="s">
        <v>1357</v>
      </c>
      <c r="K7815" t="s">
        <v>1357</v>
      </c>
      <c r="L7815" t="s">
        <v>1357</v>
      </c>
    </row>
    <row r="7816" spans="6:12">
      <c r="H7816" t="s">
        <v>20285</v>
      </c>
      <c r="I7816" t="s">
        <v>1357</v>
      </c>
      <c r="J7816" t="s">
        <v>1357</v>
      </c>
      <c r="K7816" t="s">
        <v>1357</v>
      </c>
      <c r="L7816" t="s">
        <v>1357</v>
      </c>
    </row>
    <row r="7817" spans="6:12">
      <c r="F7817" t="s">
        <v>14936</v>
      </c>
      <c r="G7817" t="s">
        <v>17780</v>
      </c>
      <c r="H7817" t="s">
        <v>20280</v>
      </c>
      <c r="I7817" t="s">
        <v>1357</v>
      </c>
      <c r="J7817" t="s">
        <v>1357</v>
      </c>
      <c r="K7817" t="s">
        <v>1357</v>
      </c>
      <c r="L7817" t="s">
        <v>1357</v>
      </c>
    </row>
    <row r="7818" spans="6:12">
      <c r="H7818" t="s">
        <v>20284</v>
      </c>
      <c r="I7818" t="s">
        <v>1357</v>
      </c>
      <c r="J7818" t="s">
        <v>1357</v>
      </c>
      <c r="K7818" t="s">
        <v>1357</v>
      </c>
      <c r="L7818" t="s">
        <v>1357</v>
      </c>
    </row>
    <row r="7819" spans="6:12">
      <c r="H7819" t="s">
        <v>20285</v>
      </c>
      <c r="I7819" t="s">
        <v>1357</v>
      </c>
      <c r="J7819" t="s">
        <v>1357</v>
      </c>
      <c r="K7819" t="s">
        <v>1357</v>
      </c>
      <c r="L7819" t="s">
        <v>1357</v>
      </c>
    </row>
    <row r="7820" spans="6:12">
      <c r="F7820" t="s">
        <v>14937</v>
      </c>
      <c r="G7820" t="s">
        <v>17781</v>
      </c>
      <c r="H7820" t="s">
        <v>20284</v>
      </c>
      <c r="I7820" t="s">
        <v>1357</v>
      </c>
      <c r="J7820" t="s">
        <v>1357</v>
      </c>
      <c r="K7820" t="s">
        <v>1357</v>
      </c>
      <c r="L7820" t="s">
        <v>1357</v>
      </c>
    </row>
    <row r="7821" spans="6:12">
      <c r="H7821" t="s">
        <v>20285</v>
      </c>
      <c r="I7821" t="s">
        <v>1357</v>
      </c>
      <c r="J7821" t="s">
        <v>1357</v>
      </c>
      <c r="K7821" t="s">
        <v>1357</v>
      </c>
      <c r="L7821" t="s">
        <v>1357</v>
      </c>
    </row>
    <row r="7822" spans="6:12">
      <c r="F7822" t="s">
        <v>14938</v>
      </c>
      <c r="G7822" t="s">
        <v>17782</v>
      </c>
      <c r="H7822" t="s">
        <v>20284</v>
      </c>
      <c r="I7822" t="s">
        <v>1357</v>
      </c>
      <c r="J7822" t="s">
        <v>1357</v>
      </c>
      <c r="K7822" t="s">
        <v>1357</v>
      </c>
      <c r="L7822" t="s">
        <v>1357</v>
      </c>
    </row>
    <row r="7823" spans="6:12">
      <c r="F7823" t="s">
        <v>14939</v>
      </c>
      <c r="G7823" t="s">
        <v>17783</v>
      </c>
      <c r="H7823" t="s">
        <v>20284</v>
      </c>
      <c r="I7823" t="s">
        <v>1357</v>
      </c>
      <c r="J7823" t="s">
        <v>1357</v>
      </c>
      <c r="K7823" t="s">
        <v>1357</v>
      </c>
      <c r="L7823" t="s">
        <v>1357</v>
      </c>
    </row>
    <row r="7824" spans="6:12">
      <c r="F7824" t="s">
        <v>14940</v>
      </c>
      <c r="G7824" t="s">
        <v>17784</v>
      </c>
      <c r="H7824" t="s">
        <v>20284</v>
      </c>
      <c r="I7824" t="s">
        <v>1357</v>
      </c>
      <c r="J7824" t="s">
        <v>1357</v>
      </c>
      <c r="K7824" t="s">
        <v>1357</v>
      </c>
      <c r="L7824" t="s">
        <v>1357</v>
      </c>
    </row>
    <row r="7825" spans="1:12">
      <c r="H7825" t="s">
        <v>20285</v>
      </c>
      <c r="I7825" t="s">
        <v>1357</v>
      </c>
      <c r="J7825" t="s">
        <v>1357</v>
      </c>
      <c r="K7825" t="s">
        <v>1357</v>
      </c>
      <c r="L7825" t="s">
        <v>1357</v>
      </c>
    </row>
    <row r="7826" spans="1:12">
      <c r="F7826" t="s">
        <v>14941</v>
      </c>
      <c r="G7826" t="s">
        <v>17785</v>
      </c>
      <c r="H7826" t="s">
        <v>20284</v>
      </c>
      <c r="I7826" t="s">
        <v>1357</v>
      </c>
      <c r="J7826" t="s">
        <v>1357</v>
      </c>
      <c r="K7826" t="s">
        <v>1357</v>
      </c>
      <c r="L7826" t="s">
        <v>1357</v>
      </c>
    </row>
    <row r="7827" spans="1:12">
      <c r="H7827" t="s">
        <v>20285</v>
      </c>
      <c r="I7827" t="s">
        <v>1357</v>
      </c>
      <c r="J7827" t="s">
        <v>1357</v>
      </c>
      <c r="K7827" t="s">
        <v>1357</v>
      </c>
      <c r="L7827" t="s">
        <v>1357</v>
      </c>
    </row>
    <row r="7828" spans="1:12">
      <c r="H7828" t="s">
        <v>20286</v>
      </c>
      <c r="I7828" t="s">
        <v>1357</v>
      </c>
      <c r="J7828" t="s">
        <v>1357</v>
      </c>
      <c r="K7828" t="s">
        <v>1357</v>
      </c>
      <c r="L7828" t="s">
        <v>1357</v>
      </c>
    </row>
    <row r="7829" spans="1:12">
      <c r="F7829" t="s">
        <v>14942</v>
      </c>
      <c r="G7829" t="s">
        <v>17786</v>
      </c>
      <c r="H7829" t="s">
        <v>20284</v>
      </c>
      <c r="I7829" t="s">
        <v>1357</v>
      </c>
      <c r="J7829" t="s">
        <v>1357</v>
      </c>
      <c r="K7829" t="s">
        <v>1357</v>
      </c>
      <c r="L7829" t="s">
        <v>1357</v>
      </c>
    </row>
    <row r="7830" spans="1:12">
      <c r="H7830" t="s">
        <v>20285</v>
      </c>
      <c r="I7830" t="s">
        <v>1357</v>
      </c>
      <c r="J7830" t="s">
        <v>1357</v>
      </c>
      <c r="K7830" t="s">
        <v>1357</v>
      </c>
      <c r="L7830" t="s">
        <v>1357</v>
      </c>
    </row>
    <row r="7831" spans="1:12">
      <c r="F7831" t="s">
        <v>14943</v>
      </c>
      <c r="G7831" t="s">
        <v>17787</v>
      </c>
      <c r="H7831" t="s">
        <v>20284</v>
      </c>
      <c r="I7831" t="s">
        <v>1357</v>
      </c>
      <c r="J7831" t="s">
        <v>1357</v>
      </c>
      <c r="K7831" t="s">
        <v>1357</v>
      </c>
      <c r="L7831" t="s">
        <v>1357</v>
      </c>
    </row>
    <row r="7832" spans="1:12">
      <c r="H7832" t="s">
        <v>20285</v>
      </c>
      <c r="I7832" t="s">
        <v>1357</v>
      </c>
      <c r="J7832" t="s">
        <v>1357</v>
      </c>
      <c r="K7832" t="s">
        <v>1357</v>
      </c>
      <c r="L7832" t="s">
        <v>1357</v>
      </c>
    </row>
    <row r="7833" spans="1:12">
      <c r="A7833" t="s">
        <v>10127</v>
      </c>
      <c r="B7833">
        <f>HYPERLINK("https://android.googlesource.com/platform/cts/+/bc9b467765c6b77506b88dc8c6f3a5dd585d1055", "bc9b467765c6b77506b88dc8c6f3a5dd585d1055")</f>
        <v>0</v>
      </c>
      <c r="C7833">
        <f>HYPERLINK("https://android.googlesource.com/platform/cts/+/c7ca40ff7593edb1902b4802e6a4517be61b658a", "c7ca40ff7593edb1902b4802e6a4517be61b658a")</f>
        <v>0</v>
      </c>
      <c r="D7833" t="s">
        <v>11994</v>
      </c>
      <c r="E7833" t="s">
        <v>12696</v>
      </c>
      <c r="F7833" t="s">
        <v>15171</v>
      </c>
      <c r="G7833" t="s">
        <v>17873</v>
      </c>
      <c r="H7833" t="s">
        <v>20343</v>
      </c>
      <c r="I7833" t="s">
        <v>1357</v>
      </c>
      <c r="J7833" t="s">
        <v>1357</v>
      </c>
      <c r="K7833" t="s">
        <v>1357</v>
      </c>
      <c r="L7833" t="s">
        <v>1357</v>
      </c>
    </row>
    <row r="7834" spans="1:12">
      <c r="A7834" t="s">
        <v>10128</v>
      </c>
      <c r="B7834">
        <f>HYPERLINK("https://android.googlesource.com/platform/cts/+/d5f04893f0c1a7663ff195a9b373d100e2741518", "d5f04893f0c1a7663ff195a9b373d100e2741518")</f>
        <v>0</v>
      </c>
      <c r="C7834">
        <f>HYPERLINK("https://android.googlesource.com/platform/cts/+/68b0d0be0cf57b8d2b1efb674f263a8a23a38055", "68b0d0be0cf57b8d2b1efb674f263a8a23a38055")</f>
        <v>0</v>
      </c>
      <c r="D7834" t="s">
        <v>12002</v>
      </c>
      <c r="E7834" t="s">
        <v>12697</v>
      </c>
      <c r="F7834" t="s">
        <v>15172</v>
      </c>
      <c r="G7834" t="s">
        <v>17874</v>
      </c>
      <c r="H7834" t="s">
        <v>20344</v>
      </c>
      <c r="I7834" t="s">
        <v>1357</v>
      </c>
      <c r="J7834" t="s">
        <v>1357</v>
      </c>
      <c r="K7834" t="s">
        <v>1357</v>
      </c>
      <c r="L7834" t="s">
        <v>1357</v>
      </c>
    </row>
    <row r="7835" spans="1:12">
      <c r="H7835" t="s">
        <v>20345</v>
      </c>
      <c r="I7835" t="s">
        <v>1357</v>
      </c>
      <c r="J7835" t="s">
        <v>1357</v>
      </c>
      <c r="K7835" t="s">
        <v>1357</v>
      </c>
      <c r="L7835" t="s">
        <v>1357</v>
      </c>
    </row>
    <row r="7836" spans="1:12">
      <c r="H7836" t="s">
        <v>20346</v>
      </c>
      <c r="I7836" t="s">
        <v>1358</v>
      </c>
      <c r="J7836" t="s">
        <v>1358</v>
      </c>
      <c r="K7836" t="s">
        <v>1358</v>
      </c>
      <c r="L7836" t="s">
        <v>1358</v>
      </c>
    </row>
    <row r="7837" spans="1:12">
      <c r="H7837" t="s">
        <v>20347</v>
      </c>
      <c r="I7837" t="s">
        <v>1358</v>
      </c>
      <c r="J7837" t="s">
        <v>1358</v>
      </c>
      <c r="K7837" t="s">
        <v>1358</v>
      </c>
      <c r="L7837" t="s">
        <v>1358</v>
      </c>
    </row>
    <row r="7838" spans="1:12">
      <c r="H7838" t="s">
        <v>20348</v>
      </c>
      <c r="I7838" t="s">
        <v>1359</v>
      </c>
      <c r="J7838" t="s">
        <v>1357</v>
      </c>
      <c r="K7838" t="s">
        <v>1357</v>
      </c>
      <c r="L7838" t="s">
        <v>1358</v>
      </c>
    </row>
    <row r="7839" spans="1:12">
      <c r="H7839" t="s">
        <v>20349</v>
      </c>
      <c r="I7839" t="s">
        <v>1359</v>
      </c>
      <c r="J7839" t="s">
        <v>1357</v>
      </c>
      <c r="K7839" t="s">
        <v>1357</v>
      </c>
      <c r="L7839" t="s">
        <v>1358</v>
      </c>
    </row>
    <row r="7840" spans="1:12">
      <c r="H7840" t="s">
        <v>20350</v>
      </c>
      <c r="I7840" t="s">
        <v>1359</v>
      </c>
      <c r="J7840" t="s">
        <v>1357</v>
      </c>
      <c r="K7840" t="s">
        <v>1357</v>
      </c>
      <c r="L7840" t="s">
        <v>1358</v>
      </c>
    </row>
    <row r="7841" spans="1:13">
      <c r="H7841" t="s">
        <v>20351</v>
      </c>
      <c r="I7841" t="s">
        <v>1359</v>
      </c>
      <c r="J7841" t="s">
        <v>1357</v>
      </c>
      <c r="K7841" t="s">
        <v>1357</v>
      </c>
      <c r="L7841" t="s">
        <v>1358</v>
      </c>
    </row>
    <row r="7842" spans="1:13">
      <c r="A7842" t="s">
        <v>10129</v>
      </c>
      <c r="B7842">
        <f>HYPERLINK("https://android.googlesource.com/platform/cts/+/3620919a4e2f4b7d2801411fee1dc8b16c6c9344", "3620919a4e2f4b7d2801411fee1dc8b16c6c9344")</f>
        <v>0</v>
      </c>
      <c r="C7842">
        <f>HYPERLINK("https://android.googlesource.com/platform/cts/+/98439bb945e0d32ff42f5ab98618ff50859c0fb8", "98439bb945e0d32ff42f5ab98618ff50859c0fb8")</f>
        <v>0</v>
      </c>
      <c r="D7842" t="s">
        <v>12002</v>
      </c>
      <c r="E7842" t="s">
        <v>12698</v>
      </c>
      <c r="F7842" t="s">
        <v>15173</v>
      </c>
      <c r="G7842" t="s">
        <v>17875</v>
      </c>
      <c r="H7842" t="s">
        <v>20352</v>
      </c>
      <c r="I7842" t="s">
        <v>1358</v>
      </c>
      <c r="J7842" t="s">
        <v>1358</v>
      </c>
      <c r="K7842" t="s">
        <v>1358</v>
      </c>
      <c r="L7842" t="s">
        <v>1358</v>
      </c>
    </row>
    <row r="7843" spans="1:13">
      <c r="A7843" t="s">
        <v>10130</v>
      </c>
      <c r="B7843">
        <f>HYPERLINK("https://android.googlesource.com/platform/cts/+/af31fd0dd392fea5451421d61a3f904f2b56c6bd", "af31fd0dd392fea5451421d61a3f904f2b56c6bd")</f>
        <v>0</v>
      </c>
      <c r="C7843">
        <f>HYPERLINK("https://android.googlesource.com/platform/cts/+/dc6eef954a66e71b84489734d930290f289aa2ed", "dc6eef954a66e71b84489734d930290f289aa2ed")</f>
        <v>0</v>
      </c>
      <c r="D7843" t="s">
        <v>12004</v>
      </c>
      <c r="E7843" t="s">
        <v>12699</v>
      </c>
      <c r="F7843" t="s">
        <v>15174</v>
      </c>
      <c r="G7843" t="s">
        <v>17876</v>
      </c>
      <c r="H7843" t="s">
        <v>20353</v>
      </c>
      <c r="I7843" t="s">
        <v>1358</v>
      </c>
      <c r="J7843" t="s">
        <v>1358</v>
      </c>
      <c r="K7843" t="s">
        <v>1358</v>
      </c>
      <c r="L7843" t="s">
        <v>1358</v>
      </c>
    </row>
    <row r="7844" spans="1:13">
      <c r="H7844" t="s">
        <v>20354</v>
      </c>
      <c r="I7844" t="s">
        <v>1358</v>
      </c>
      <c r="J7844" t="s">
        <v>1358</v>
      </c>
      <c r="K7844" t="s">
        <v>1358</v>
      </c>
      <c r="L7844" t="s">
        <v>1358</v>
      </c>
    </row>
    <row r="7845" spans="1:13">
      <c r="A7845" t="s">
        <v>10131</v>
      </c>
      <c r="B7845">
        <f>HYPERLINK("https://android.googlesource.com/platform/cts/+/b6d00d345818c037a9d2e40c8207326a6931ce36", "b6d00d345818c037a9d2e40c8207326a6931ce36")</f>
        <v>0</v>
      </c>
      <c r="C7845">
        <f>HYPERLINK("https://android.googlesource.com/platform/cts/+/e259e04c163a34a536dc8bde625593d9c386e758", "e259e04c163a34a536dc8bde625593d9c386e758")</f>
        <v>0</v>
      </c>
      <c r="D7845" t="s">
        <v>12002</v>
      </c>
      <c r="E7845" t="s">
        <v>12700</v>
      </c>
      <c r="F7845" t="s">
        <v>15172</v>
      </c>
      <c r="G7845" t="s">
        <v>17874</v>
      </c>
      <c r="H7845" t="s">
        <v>20355</v>
      </c>
      <c r="I7845" t="s">
        <v>1357</v>
      </c>
      <c r="J7845" t="s">
        <v>1357</v>
      </c>
      <c r="K7845" t="s">
        <v>1357</v>
      </c>
      <c r="L7845" t="s">
        <v>1357</v>
      </c>
    </row>
    <row r="7846" spans="1:13">
      <c r="H7846" t="s">
        <v>20356</v>
      </c>
      <c r="I7846" t="s">
        <v>1357</v>
      </c>
      <c r="J7846" t="s">
        <v>1357</v>
      </c>
      <c r="K7846" t="s">
        <v>1357</v>
      </c>
      <c r="L7846" t="s">
        <v>1357</v>
      </c>
    </row>
    <row r="7847" spans="1:13">
      <c r="A7847" t="s">
        <v>10132</v>
      </c>
      <c r="B7847">
        <f>HYPERLINK("https://android.googlesource.com/platform/cts/+/b803f80f0fa6680dd8fe7606e7d9b6a908ddaaf4", "b803f80f0fa6680dd8fe7606e7d9b6a908ddaaf4")</f>
        <v>0</v>
      </c>
      <c r="C7847">
        <f>HYPERLINK("https://android.googlesource.com/platform/cts/+/d95ad171495887f9012d3fb75cf78341f4d4db59", "d95ad171495887f9012d3fb75cf78341f4d4db59")</f>
        <v>0</v>
      </c>
      <c r="D7847" t="s">
        <v>12005</v>
      </c>
      <c r="E7847" t="s">
        <v>12701</v>
      </c>
      <c r="F7847" t="s">
        <v>15175</v>
      </c>
      <c r="G7847" t="s">
        <v>17877</v>
      </c>
      <c r="H7847" t="s">
        <v>20357</v>
      </c>
      <c r="I7847" t="s">
        <v>1357</v>
      </c>
      <c r="J7847" t="s">
        <v>1357</v>
      </c>
      <c r="K7847" t="s">
        <v>1357</v>
      </c>
      <c r="L7847" t="s">
        <v>1357</v>
      </c>
      <c r="M7847" t="s">
        <v>1360</v>
      </c>
    </row>
    <row r="7848" spans="1:13">
      <c r="H7848" t="s">
        <v>20358</v>
      </c>
      <c r="I7848" t="s">
        <v>1357</v>
      </c>
      <c r="J7848" t="s">
        <v>1357</v>
      </c>
      <c r="K7848" t="s">
        <v>1357</v>
      </c>
      <c r="L7848" t="s">
        <v>1357</v>
      </c>
      <c r="M7848" t="s">
        <v>1360</v>
      </c>
    </row>
    <row r="7849" spans="1:13">
      <c r="H7849" t="s">
        <v>20359</v>
      </c>
      <c r="I7849" t="s">
        <v>1357</v>
      </c>
      <c r="J7849" t="s">
        <v>1357</v>
      </c>
      <c r="K7849" t="s">
        <v>1357</v>
      </c>
      <c r="L7849" t="s">
        <v>1357</v>
      </c>
      <c r="M7849" t="s">
        <v>1360</v>
      </c>
    </row>
    <row r="7850" spans="1:13">
      <c r="H7850" t="s">
        <v>20360</v>
      </c>
      <c r="I7850" t="s">
        <v>1357</v>
      </c>
      <c r="J7850" t="s">
        <v>1357</v>
      </c>
      <c r="K7850" t="s">
        <v>1357</v>
      </c>
      <c r="L7850" t="s">
        <v>1357</v>
      </c>
      <c r="M7850" t="s">
        <v>1360</v>
      </c>
    </row>
    <row r="7851" spans="1:13">
      <c r="H7851" t="s">
        <v>20361</v>
      </c>
      <c r="I7851" t="s">
        <v>1357</v>
      </c>
      <c r="J7851" t="s">
        <v>1357</v>
      </c>
      <c r="K7851" t="s">
        <v>1357</v>
      </c>
      <c r="L7851" t="s">
        <v>1357</v>
      </c>
      <c r="M7851" t="s">
        <v>1360</v>
      </c>
    </row>
    <row r="7852" spans="1:13">
      <c r="H7852" t="s">
        <v>20362</v>
      </c>
      <c r="I7852" t="s">
        <v>1357</v>
      </c>
      <c r="J7852" t="s">
        <v>1357</v>
      </c>
      <c r="K7852" t="s">
        <v>1357</v>
      </c>
      <c r="L7852" t="s">
        <v>1357</v>
      </c>
      <c r="M7852" t="s">
        <v>1360</v>
      </c>
    </row>
    <row r="7853" spans="1:13">
      <c r="H7853" t="s">
        <v>20363</v>
      </c>
      <c r="I7853" t="s">
        <v>1357</v>
      </c>
      <c r="J7853" t="s">
        <v>1357</v>
      </c>
      <c r="K7853" t="s">
        <v>1357</v>
      </c>
      <c r="L7853" t="s">
        <v>1357</v>
      </c>
      <c r="M7853" t="s">
        <v>1360</v>
      </c>
    </row>
    <row r="7854" spans="1:13">
      <c r="H7854" t="s">
        <v>20364</v>
      </c>
      <c r="I7854" t="s">
        <v>1357</v>
      </c>
      <c r="J7854" t="s">
        <v>1357</v>
      </c>
      <c r="K7854" t="s">
        <v>1357</v>
      </c>
      <c r="L7854" t="s">
        <v>1357</v>
      </c>
      <c r="M7854" t="s">
        <v>1360</v>
      </c>
    </row>
    <row r="7855" spans="1:13">
      <c r="H7855" t="s">
        <v>20365</v>
      </c>
      <c r="I7855" t="s">
        <v>1357</v>
      </c>
      <c r="J7855" t="s">
        <v>1357</v>
      </c>
      <c r="K7855" t="s">
        <v>1357</v>
      </c>
      <c r="L7855" t="s">
        <v>1357</v>
      </c>
      <c r="M7855" t="s">
        <v>1360</v>
      </c>
    </row>
    <row r="7856" spans="1:13">
      <c r="H7856" t="s">
        <v>20366</v>
      </c>
      <c r="I7856" t="s">
        <v>1357</v>
      </c>
      <c r="J7856" t="s">
        <v>1357</v>
      </c>
      <c r="K7856" t="s">
        <v>1357</v>
      </c>
      <c r="L7856" t="s">
        <v>1357</v>
      </c>
      <c r="M7856" t="s">
        <v>1360</v>
      </c>
    </row>
    <row r="7857" spans="1:13">
      <c r="H7857" t="s">
        <v>20367</v>
      </c>
      <c r="I7857" t="s">
        <v>1357</v>
      </c>
      <c r="J7857" t="s">
        <v>1357</v>
      </c>
      <c r="K7857" t="s">
        <v>1357</v>
      </c>
      <c r="L7857" t="s">
        <v>1357</v>
      </c>
      <c r="M7857" t="s">
        <v>1360</v>
      </c>
    </row>
    <row r="7858" spans="1:13">
      <c r="H7858" t="s">
        <v>20368</v>
      </c>
      <c r="I7858" t="s">
        <v>1357</v>
      </c>
      <c r="J7858" t="s">
        <v>1357</v>
      </c>
      <c r="K7858" t="s">
        <v>1357</v>
      </c>
      <c r="L7858" t="s">
        <v>1357</v>
      </c>
      <c r="M7858" t="s">
        <v>1360</v>
      </c>
    </row>
    <row r="7859" spans="1:13">
      <c r="H7859" t="s">
        <v>20369</v>
      </c>
      <c r="I7859" t="s">
        <v>1357</v>
      </c>
      <c r="J7859" t="s">
        <v>1357</v>
      </c>
      <c r="K7859" t="s">
        <v>1357</v>
      </c>
      <c r="L7859" t="s">
        <v>1357</v>
      </c>
      <c r="M7859" t="s">
        <v>1360</v>
      </c>
    </row>
    <row r="7860" spans="1:13">
      <c r="H7860" t="s">
        <v>20370</v>
      </c>
      <c r="I7860" t="s">
        <v>1357</v>
      </c>
      <c r="J7860" t="s">
        <v>1357</v>
      </c>
      <c r="K7860" t="s">
        <v>1357</v>
      </c>
      <c r="L7860" t="s">
        <v>1357</v>
      </c>
      <c r="M7860" t="s">
        <v>1360</v>
      </c>
    </row>
    <row r="7861" spans="1:13">
      <c r="H7861" t="s">
        <v>20371</v>
      </c>
      <c r="I7861" t="s">
        <v>1357</v>
      </c>
      <c r="J7861" t="s">
        <v>1357</v>
      </c>
      <c r="K7861" t="s">
        <v>1357</v>
      </c>
      <c r="L7861" t="s">
        <v>1357</v>
      </c>
      <c r="M7861" t="s">
        <v>1360</v>
      </c>
    </row>
    <row r="7862" spans="1:13">
      <c r="H7862" t="s">
        <v>20372</v>
      </c>
      <c r="I7862" t="s">
        <v>1357</v>
      </c>
      <c r="J7862" t="s">
        <v>1357</v>
      </c>
      <c r="K7862" t="s">
        <v>1357</v>
      </c>
      <c r="L7862" t="s">
        <v>1357</v>
      </c>
      <c r="M7862" t="s">
        <v>1360</v>
      </c>
    </row>
    <row r="7863" spans="1:13">
      <c r="H7863" t="s">
        <v>20373</v>
      </c>
      <c r="I7863" t="s">
        <v>1357</v>
      </c>
      <c r="J7863" t="s">
        <v>1357</v>
      </c>
      <c r="K7863" t="s">
        <v>1357</v>
      </c>
      <c r="L7863" t="s">
        <v>1357</v>
      </c>
      <c r="M7863" t="s">
        <v>1360</v>
      </c>
    </row>
    <row r="7864" spans="1:13">
      <c r="H7864" t="s">
        <v>20374</v>
      </c>
      <c r="I7864" t="s">
        <v>1357</v>
      </c>
      <c r="J7864" t="s">
        <v>1357</v>
      </c>
      <c r="K7864" t="s">
        <v>1357</v>
      </c>
      <c r="L7864" t="s">
        <v>1357</v>
      </c>
      <c r="M7864" t="s">
        <v>1360</v>
      </c>
    </row>
    <row r="7865" spans="1:13">
      <c r="A7865" t="s">
        <v>10133</v>
      </c>
      <c r="B7865">
        <f>HYPERLINK("https://android.googlesource.com/platform/cts/+/c05d6814751ce3291539822528e689390e69da8d", "c05d6814751ce3291539822528e689390e69da8d")</f>
        <v>0</v>
      </c>
      <c r="C7865">
        <f>HYPERLINK("https://android.googlesource.com/platform/cts/+/a5e07f729e8c21c643c6913fe86cd326239bb1c4", "a5e07f729e8c21c643c6913fe86cd326239bb1c4")</f>
        <v>0</v>
      </c>
      <c r="D7865" t="s">
        <v>12002</v>
      </c>
      <c r="E7865" t="s">
        <v>12702</v>
      </c>
      <c r="F7865" t="s">
        <v>15172</v>
      </c>
      <c r="G7865" t="s">
        <v>17874</v>
      </c>
      <c r="H7865" t="s">
        <v>20375</v>
      </c>
      <c r="I7865" t="s">
        <v>1358</v>
      </c>
      <c r="J7865" t="s">
        <v>1358</v>
      </c>
      <c r="K7865" t="s">
        <v>1358</v>
      </c>
      <c r="L7865" t="s">
        <v>1358</v>
      </c>
      <c r="M7865" t="s">
        <v>5099</v>
      </c>
    </row>
    <row r="7866" spans="1:13">
      <c r="H7866" t="s">
        <v>20376</v>
      </c>
      <c r="I7866" t="s">
        <v>1358</v>
      </c>
      <c r="J7866" t="s">
        <v>1358</v>
      </c>
      <c r="K7866" t="s">
        <v>1358</v>
      </c>
      <c r="L7866" t="s">
        <v>1358</v>
      </c>
    </row>
    <row r="7867" spans="1:13">
      <c r="H7867" t="s">
        <v>20377</v>
      </c>
      <c r="I7867" t="s">
        <v>1359</v>
      </c>
      <c r="J7867" t="s">
        <v>1357</v>
      </c>
      <c r="K7867" t="s">
        <v>1357</v>
      </c>
      <c r="L7867" t="s">
        <v>1358</v>
      </c>
    </row>
    <row r="7868" spans="1:13">
      <c r="H7868" t="s">
        <v>20378</v>
      </c>
      <c r="I7868" t="s">
        <v>1359</v>
      </c>
      <c r="J7868" t="s">
        <v>1357</v>
      </c>
      <c r="K7868" t="s">
        <v>1357</v>
      </c>
      <c r="L7868" t="s">
        <v>1358</v>
      </c>
    </row>
    <row r="7869" spans="1:13">
      <c r="A7869" t="s">
        <v>10134</v>
      </c>
      <c r="B7869">
        <f>HYPERLINK("https://android.googlesource.com/platform/cts/+/e1cafc03a8c2559371dc199b9ae96e10d443bae5", "e1cafc03a8c2559371dc199b9ae96e10d443bae5")</f>
        <v>0</v>
      </c>
      <c r="C7869">
        <f>HYPERLINK("https://android.googlesource.com/platform/cts/+/bb828157aef048a28edefc2796fa64b472ab3c32", "bb828157aef048a28edefc2796fa64b472ab3c32")</f>
        <v>0</v>
      </c>
      <c r="D7869" t="s">
        <v>11991</v>
      </c>
      <c r="E7869" t="s">
        <v>12703</v>
      </c>
      <c r="F7869" t="s">
        <v>15176</v>
      </c>
      <c r="G7869" t="s">
        <v>17878</v>
      </c>
      <c r="H7869" t="s">
        <v>20379</v>
      </c>
      <c r="I7869" t="s">
        <v>1357</v>
      </c>
      <c r="J7869" t="s">
        <v>1357</v>
      </c>
      <c r="K7869" t="s">
        <v>1357</v>
      </c>
      <c r="L7869" t="s">
        <v>1357</v>
      </c>
    </row>
    <row r="7870" spans="1:13">
      <c r="H7870" t="s">
        <v>20380</v>
      </c>
      <c r="I7870" t="s">
        <v>1357</v>
      </c>
      <c r="J7870" t="s">
        <v>1357</v>
      </c>
      <c r="K7870" t="s">
        <v>1357</v>
      </c>
      <c r="L7870" t="s">
        <v>1357</v>
      </c>
    </row>
    <row r="7871" spans="1:13">
      <c r="H7871" t="s">
        <v>20381</v>
      </c>
      <c r="I7871" t="s">
        <v>1357</v>
      </c>
      <c r="J7871" t="s">
        <v>1357</v>
      </c>
      <c r="K7871" t="s">
        <v>1357</v>
      </c>
      <c r="L7871" t="s">
        <v>1357</v>
      </c>
    </row>
    <row r="7872" spans="1:13">
      <c r="H7872" t="s">
        <v>20382</v>
      </c>
      <c r="I7872" t="s">
        <v>1357</v>
      </c>
      <c r="J7872" t="s">
        <v>1357</v>
      </c>
      <c r="K7872" t="s">
        <v>1357</v>
      </c>
      <c r="L7872" t="s">
        <v>1357</v>
      </c>
    </row>
    <row r="7873" spans="1:13">
      <c r="H7873" t="s">
        <v>20383</v>
      </c>
      <c r="I7873" t="s">
        <v>1357</v>
      </c>
      <c r="J7873" t="s">
        <v>1357</v>
      </c>
      <c r="K7873" t="s">
        <v>1357</v>
      </c>
      <c r="L7873" t="s">
        <v>1357</v>
      </c>
    </row>
    <row r="7874" spans="1:13">
      <c r="A7874" t="s">
        <v>10135</v>
      </c>
      <c r="B7874">
        <f>HYPERLINK("https://android.googlesource.com/platform/cts/+/5947eefac18b736441c8a488b32727fc8f9f0811", "5947eefac18b736441c8a488b32727fc8f9f0811")</f>
        <v>0</v>
      </c>
      <c r="C7874">
        <f>HYPERLINK("https://android.googlesource.com/platform/cts/+/b75e6c7911492de9acb4120c62c0654064d10846", "b75e6c7911492de9acb4120c62c0654064d10846")</f>
        <v>0</v>
      </c>
      <c r="D7874" t="s">
        <v>12006</v>
      </c>
      <c r="E7874" t="s">
        <v>12704</v>
      </c>
      <c r="F7874" t="s">
        <v>15174</v>
      </c>
      <c r="G7874" t="s">
        <v>17876</v>
      </c>
      <c r="H7874" t="s">
        <v>20384</v>
      </c>
      <c r="I7874" t="s">
        <v>1357</v>
      </c>
      <c r="J7874" t="s">
        <v>1357</v>
      </c>
      <c r="K7874" t="s">
        <v>1357</v>
      </c>
      <c r="L7874" t="s">
        <v>1357</v>
      </c>
    </row>
    <row r="7875" spans="1:13">
      <c r="H7875" t="s">
        <v>20385</v>
      </c>
      <c r="I7875" t="s">
        <v>1357</v>
      </c>
      <c r="J7875" t="s">
        <v>1357</v>
      </c>
      <c r="K7875" t="s">
        <v>1357</v>
      </c>
      <c r="L7875" t="s">
        <v>1357</v>
      </c>
    </row>
    <row r="7876" spans="1:13">
      <c r="H7876" t="s">
        <v>20386</v>
      </c>
      <c r="I7876" t="s">
        <v>1357</v>
      </c>
      <c r="J7876" t="s">
        <v>1357</v>
      </c>
      <c r="K7876" t="s">
        <v>1357</v>
      </c>
      <c r="L7876" t="s">
        <v>1357</v>
      </c>
    </row>
    <row r="7877" spans="1:13">
      <c r="H7877" t="s">
        <v>20387</v>
      </c>
      <c r="I7877" t="s">
        <v>1357</v>
      </c>
      <c r="J7877" t="s">
        <v>1357</v>
      </c>
      <c r="K7877" t="s">
        <v>1357</v>
      </c>
      <c r="L7877" t="s">
        <v>1357</v>
      </c>
    </row>
    <row r="7878" spans="1:13">
      <c r="H7878" t="s">
        <v>20388</v>
      </c>
      <c r="I7878" t="s">
        <v>1357</v>
      </c>
      <c r="J7878" t="s">
        <v>1357</v>
      </c>
      <c r="K7878" t="s">
        <v>1357</v>
      </c>
      <c r="L7878" t="s">
        <v>1357</v>
      </c>
    </row>
    <row r="7879" spans="1:13">
      <c r="A7879" t="s">
        <v>10136</v>
      </c>
      <c r="B7879">
        <f>HYPERLINK("https://android.googlesource.com/platform/cts/+/e470100fe5b2f3e07c72e62dfe8437c4f9668e65", "e470100fe5b2f3e07c72e62dfe8437c4f9668e65")</f>
        <v>0</v>
      </c>
      <c r="C7879">
        <f>HYPERLINK("https://android.googlesource.com/platform/cts/+/678ed973b614c9e717aaf7b6c3f11962860d317a", "678ed973b614c9e717aaf7b6c3f11962860d317a")</f>
        <v>0</v>
      </c>
      <c r="D7879" t="s">
        <v>11982</v>
      </c>
      <c r="E7879" t="s">
        <v>12705</v>
      </c>
      <c r="F7879" t="s">
        <v>14514</v>
      </c>
      <c r="G7879" t="s">
        <v>17359</v>
      </c>
      <c r="H7879" t="s">
        <v>20389</v>
      </c>
      <c r="I7879" t="s">
        <v>1357</v>
      </c>
      <c r="J7879" t="s">
        <v>1357</v>
      </c>
      <c r="K7879" t="s">
        <v>1357</v>
      </c>
      <c r="L7879" t="s">
        <v>1357</v>
      </c>
    </row>
    <row r="7880" spans="1:13">
      <c r="F7880" t="s">
        <v>15177</v>
      </c>
      <c r="G7880" t="s">
        <v>17879</v>
      </c>
      <c r="H7880" t="s">
        <v>795</v>
      </c>
      <c r="I7880" t="s">
        <v>1357</v>
      </c>
      <c r="J7880" t="s">
        <v>1357</v>
      </c>
      <c r="K7880" t="s">
        <v>1357</v>
      </c>
      <c r="L7880" t="s">
        <v>1357</v>
      </c>
    </row>
    <row r="7881" spans="1:13">
      <c r="A7881" t="s">
        <v>10137</v>
      </c>
      <c r="B7881">
        <f>HYPERLINK("https://android.googlesource.com/platform/cts/+/da34b0e4b53f910e01e80bd463bf63b2f0996600", "da34b0e4b53f910e01e80bd463bf63b2f0996600")</f>
        <v>0</v>
      </c>
      <c r="C7881">
        <f>HYPERLINK("https://android.googlesource.com/platform/cts/+/3273b8230a2ab5cbe318a282c6db1d46a719ad59", "3273b8230a2ab5cbe318a282c6db1d46a719ad59")</f>
        <v>0</v>
      </c>
      <c r="D7881" t="s">
        <v>12005</v>
      </c>
      <c r="E7881" t="s">
        <v>12706</v>
      </c>
      <c r="F7881" t="s">
        <v>15178</v>
      </c>
      <c r="G7881" t="s">
        <v>17880</v>
      </c>
      <c r="H7881" t="s">
        <v>20390</v>
      </c>
      <c r="I7881" t="s">
        <v>1357</v>
      </c>
      <c r="J7881" t="s">
        <v>1357</v>
      </c>
      <c r="K7881" t="s">
        <v>1357</v>
      </c>
      <c r="L7881" t="s">
        <v>1357</v>
      </c>
    </row>
    <row r="7882" spans="1:13">
      <c r="H7882" t="s">
        <v>20391</v>
      </c>
      <c r="I7882" t="s">
        <v>1357</v>
      </c>
      <c r="J7882" t="s">
        <v>1357</v>
      </c>
      <c r="K7882" t="s">
        <v>1357</v>
      </c>
      <c r="L7882" t="s">
        <v>1357</v>
      </c>
    </row>
    <row r="7883" spans="1:13">
      <c r="H7883" t="s">
        <v>20392</v>
      </c>
      <c r="I7883" t="s">
        <v>1357</v>
      </c>
      <c r="J7883" t="s">
        <v>1357</v>
      </c>
      <c r="K7883" t="s">
        <v>1357</v>
      </c>
      <c r="L7883" t="s">
        <v>1357</v>
      </c>
      <c r="M7883" t="s">
        <v>5099</v>
      </c>
    </row>
    <row r="7884" spans="1:13">
      <c r="A7884" t="s">
        <v>10138</v>
      </c>
      <c r="B7884">
        <f>HYPERLINK("https://android.googlesource.com/platform/cts/+/91b820c64092393a3c06d8cbf5cd5e90be4827d1", "91b820c64092393a3c06d8cbf5cd5e90be4827d1")</f>
        <v>0</v>
      </c>
      <c r="C7884">
        <f>HYPERLINK("https://android.googlesource.com/platform/cts/+/04e5d7861c5885e2f8f7cbcbe508ac3d5dfd90e6", "04e5d7861c5885e2f8f7cbcbe508ac3d5dfd90e6")</f>
        <v>0</v>
      </c>
      <c r="D7884" t="s">
        <v>11982</v>
      </c>
      <c r="E7884" t="s">
        <v>12707</v>
      </c>
      <c r="F7884" t="s">
        <v>15179</v>
      </c>
      <c r="G7884" t="s">
        <v>17881</v>
      </c>
      <c r="H7884" t="s">
        <v>20393</v>
      </c>
      <c r="I7884" t="s">
        <v>1357</v>
      </c>
      <c r="J7884" t="s">
        <v>1357</v>
      </c>
      <c r="K7884" t="s">
        <v>1357</v>
      </c>
      <c r="L7884" t="s">
        <v>1357</v>
      </c>
    </row>
    <row r="7885" spans="1:13">
      <c r="A7885" t="s">
        <v>10139</v>
      </c>
      <c r="B7885">
        <f>HYPERLINK("https://android.googlesource.com/platform/cts/+/673cc33a3b7268920c31d662319043b898d3a79c", "673cc33a3b7268920c31d662319043b898d3a79c")</f>
        <v>0</v>
      </c>
      <c r="C7885">
        <f>HYPERLINK("https://android.googlesource.com/platform/cts/+/bd21bedd2816c47bfba9b4e205e2c3dd10ede310", "bd21bedd2816c47bfba9b4e205e2c3dd10ede310")</f>
        <v>0</v>
      </c>
      <c r="D7885" t="s">
        <v>11991</v>
      </c>
      <c r="E7885" t="s">
        <v>12708</v>
      </c>
      <c r="F7885" t="s">
        <v>15180</v>
      </c>
      <c r="G7885" t="s">
        <v>17882</v>
      </c>
      <c r="H7885" t="s">
        <v>20394</v>
      </c>
      <c r="I7885" t="s">
        <v>1358</v>
      </c>
      <c r="J7885" t="s">
        <v>1358</v>
      </c>
      <c r="K7885" t="s">
        <v>1358</v>
      </c>
      <c r="L7885" t="s">
        <v>1358</v>
      </c>
    </row>
    <row r="7886" spans="1:13">
      <c r="A7886" t="s">
        <v>10140</v>
      </c>
      <c r="B7886">
        <f>HYPERLINK("https://android.googlesource.com/platform/cts/+/c7b1d2ec404eb57add0efa4121316c7f766dae79", "c7b1d2ec404eb57add0efa4121316c7f766dae79")</f>
        <v>0</v>
      </c>
      <c r="C7886">
        <f>HYPERLINK("https://android.googlesource.com/platform/cts/+/ffff412d5dbf789f2cd1b17c173c309157775a0d", "ffff412d5dbf789f2cd1b17c173c309157775a0d")</f>
        <v>0</v>
      </c>
      <c r="D7886" t="s">
        <v>12007</v>
      </c>
      <c r="E7886" t="s">
        <v>12709</v>
      </c>
      <c r="F7886" t="s">
        <v>15181</v>
      </c>
      <c r="G7886" t="s">
        <v>17883</v>
      </c>
      <c r="H7886" t="s">
        <v>20395</v>
      </c>
      <c r="I7886" t="s">
        <v>1357</v>
      </c>
      <c r="J7886" t="s">
        <v>1357</v>
      </c>
      <c r="K7886" t="s">
        <v>1357</v>
      </c>
      <c r="L7886" t="s">
        <v>1357</v>
      </c>
    </row>
    <row r="7887" spans="1:13">
      <c r="F7887" t="s">
        <v>15182</v>
      </c>
      <c r="G7887" t="s">
        <v>17884</v>
      </c>
      <c r="H7887" t="s">
        <v>20396</v>
      </c>
      <c r="I7887" t="s">
        <v>1357</v>
      </c>
      <c r="J7887" t="s">
        <v>1357</v>
      </c>
      <c r="K7887" t="s">
        <v>1357</v>
      </c>
      <c r="L7887" t="s">
        <v>1357</v>
      </c>
    </row>
    <row r="7888" spans="1:13">
      <c r="F7888" t="s">
        <v>15183</v>
      </c>
      <c r="G7888" t="s">
        <v>17885</v>
      </c>
      <c r="H7888" t="s">
        <v>20397</v>
      </c>
      <c r="I7888" t="s">
        <v>1357</v>
      </c>
      <c r="J7888" t="s">
        <v>1357</v>
      </c>
      <c r="K7888" t="s">
        <v>1357</v>
      </c>
      <c r="L7888" t="s">
        <v>1357</v>
      </c>
    </row>
    <row r="7889" spans="1:12">
      <c r="H7889" t="s">
        <v>20398</v>
      </c>
      <c r="I7889" t="s">
        <v>1357</v>
      </c>
      <c r="J7889" t="s">
        <v>1357</v>
      </c>
      <c r="K7889" t="s">
        <v>1357</v>
      </c>
      <c r="L7889" t="s">
        <v>1357</v>
      </c>
    </row>
    <row r="7890" spans="1:12">
      <c r="H7890" t="s">
        <v>20399</v>
      </c>
      <c r="I7890" t="s">
        <v>1357</v>
      </c>
      <c r="J7890" t="s">
        <v>1357</v>
      </c>
      <c r="K7890" t="s">
        <v>1357</v>
      </c>
      <c r="L7890" t="s">
        <v>1357</v>
      </c>
    </row>
    <row r="7891" spans="1:12">
      <c r="H7891" t="s">
        <v>20400</v>
      </c>
      <c r="I7891" t="s">
        <v>1357</v>
      </c>
      <c r="J7891" t="s">
        <v>1357</v>
      </c>
      <c r="K7891" t="s">
        <v>1357</v>
      </c>
      <c r="L7891" t="s">
        <v>1357</v>
      </c>
    </row>
    <row r="7892" spans="1:12">
      <c r="F7892" t="s">
        <v>15184</v>
      </c>
      <c r="G7892" t="s">
        <v>17886</v>
      </c>
      <c r="H7892" t="s">
        <v>20401</v>
      </c>
      <c r="I7892" t="s">
        <v>1357</v>
      </c>
      <c r="J7892" t="s">
        <v>1357</v>
      </c>
      <c r="K7892" t="s">
        <v>1357</v>
      </c>
      <c r="L7892" t="s">
        <v>1357</v>
      </c>
    </row>
    <row r="7893" spans="1:12">
      <c r="H7893" t="s">
        <v>20402</v>
      </c>
      <c r="I7893" t="s">
        <v>1357</v>
      </c>
      <c r="J7893" t="s">
        <v>1357</v>
      </c>
      <c r="K7893" t="s">
        <v>1357</v>
      </c>
      <c r="L7893" t="s">
        <v>1357</v>
      </c>
    </row>
    <row r="7894" spans="1:12">
      <c r="H7894" t="s">
        <v>20403</v>
      </c>
      <c r="I7894" t="s">
        <v>1357</v>
      </c>
      <c r="J7894" t="s">
        <v>1357</v>
      </c>
      <c r="K7894" t="s">
        <v>1357</v>
      </c>
      <c r="L7894" t="s">
        <v>1357</v>
      </c>
    </row>
    <row r="7895" spans="1:12">
      <c r="H7895" t="s">
        <v>20404</v>
      </c>
      <c r="I7895" t="s">
        <v>1357</v>
      </c>
      <c r="J7895" t="s">
        <v>1357</v>
      </c>
      <c r="K7895" t="s">
        <v>1357</v>
      </c>
      <c r="L7895" t="s">
        <v>1357</v>
      </c>
    </row>
    <row r="7896" spans="1:12">
      <c r="H7896" t="s">
        <v>20405</v>
      </c>
      <c r="I7896" t="s">
        <v>1357</v>
      </c>
      <c r="J7896" t="s">
        <v>1357</v>
      </c>
      <c r="K7896" t="s">
        <v>1357</v>
      </c>
      <c r="L7896" t="s">
        <v>1357</v>
      </c>
    </row>
    <row r="7897" spans="1:12">
      <c r="H7897" t="s">
        <v>20406</v>
      </c>
      <c r="I7897" t="s">
        <v>1357</v>
      </c>
      <c r="J7897" t="s">
        <v>1357</v>
      </c>
      <c r="K7897" t="s">
        <v>1357</v>
      </c>
      <c r="L7897" t="s">
        <v>1357</v>
      </c>
    </row>
    <row r="7898" spans="1:12">
      <c r="H7898" t="s">
        <v>20407</v>
      </c>
      <c r="I7898" t="s">
        <v>1357</v>
      </c>
      <c r="J7898" t="s">
        <v>1357</v>
      </c>
      <c r="K7898" t="s">
        <v>1357</v>
      </c>
      <c r="L7898" t="s">
        <v>1357</v>
      </c>
    </row>
    <row r="7899" spans="1:12">
      <c r="H7899" t="s">
        <v>20408</v>
      </c>
      <c r="I7899" t="s">
        <v>1357</v>
      </c>
      <c r="J7899" t="s">
        <v>1357</v>
      </c>
      <c r="K7899" t="s">
        <v>1357</v>
      </c>
      <c r="L7899" t="s">
        <v>1357</v>
      </c>
    </row>
    <row r="7900" spans="1:12">
      <c r="H7900" t="s">
        <v>20409</v>
      </c>
      <c r="I7900" t="s">
        <v>1357</v>
      </c>
      <c r="J7900" t="s">
        <v>1357</v>
      </c>
      <c r="K7900" t="s">
        <v>1357</v>
      </c>
      <c r="L7900" t="s">
        <v>1357</v>
      </c>
    </row>
    <row r="7901" spans="1:12">
      <c r="H7901" t="s">
        <v>20410</v>
      </c>
      <c r="I7901" t="s">
        <v>1357</v>
      </c>
      <c r="J7901" t="s">
        <v>1357</v>
      </c>
      <c r="K7901" t="s">
        <v>1357</v>
      </c>
      <c r="L7901" t="s">
        <v>1357</v>
      </c>
    </row>
    <row r="7902" spans="1:12">
      <c r="H7902" t="s">
        <v>20411</v>
      </c>
      <c r="I7902" t="s">
        <v>1357</v>
      </c>
      <c r="J7902" t="s">
        <v>1357</v>
      </c>
      <c r="K7902" t="s">
        <v>1357</v>
      </c>
      <c r="L7902" t="s">
        <v>1357</v>
      </c>
    </row>
    <row r="7903" spans="1:12">
      <c r="H7903" t="s">
        <v>20412</v>
      </c>
      <c r="I7903" t="s">
        <v>1357</v>
      </c>
      <c r="J7903" t="s">
        <v>1357</v>
      </c>
      <c r="K7903" t="s">
        <v>1357</v>
      </c>
      <c r="L7903" t="s">
        <v>1357</v>
      </c>
    </row>
    <row r="7904" spans="1:12">
      <c r="A7904" t="s">
        <v>10141</v>
      </c>
      <c r="B7904">
        <f>HYPERLINK("https://android.googlesource.com/platform/cts/+/6b8b6db2396fe7f3736e4668e8a03cf6cdd1d60a", "6b8b6db2396fe7f3736e4668e8a03cf6cdd1d60a")</f>
        <v>0</v>
      </c>
      <c r="C7904">
        <f>HYPERLINK("https://android.googlesource.com/platform/cts/+/5ae4c7de3dae3e6446726138ea553f2099f67f84", "5ae4c7de3dae3e6446726138ea553f2099f67f84")</f>
        <v>0</v>
      </c>
      <c r="D7904" t="s">
        <v>12007</v>
      </c>
      <c r="E7904" t="s">
        <v>12710</v>
      </c>
      <c r="F7904" t="s">
        <v>14471</v>
      </c>
      <c r="G7904" t="s">
        <v>17318</v>
      </c>
      <c r="H7904" t="s">
        <v>20413</v>
      </c>
      <c r="I7904" t="s">
        <v>1357</v>
      </c>
      <c r="J7904" t="s">
        <v>1357</v>
      </c>
      <c r="K7904" t="s">
        <v>1357</v>
      </c>
      <c r="L7904" t="s">
        <v>1357</v>
      </c>
    </row>
    <row r="7905" spans="1:14">
      <c r="A7905" t="s">
        <v>10142</v>
      </c>
      <c r="B7905">
        <f>HYPERLINK("https://android.googlesource.com/platform/cts/+/2ebcb4f47fa183cea52366d36c4ac76e8690f2ae", "2ebcb4f47fa183cea52366d36c4ac76e8690f2ae")</f>
        <v>0</v>
      </c>
      <c r="C7905">
        <f>HYPERLINK("https://android.googlesource.com/platform/cts/+/c4201329bf1833d3582bce81b080708a1b70de3e", "c4201329bf1833d3582bce81b080708a1b70de3e")</f>
        <v>0</v>
      </c>
      <c r="D7905" t="s">
        <v>11991</v>
      </c>
      <c r="E7905" t="s">
        <v>12711</v>
      </c>
      <c r="F7905" t="s">
        <v>15185</v>
      </c>
      <c r="G7905" t="s">
        <v>17887</v>
      </c>
      <c r="H7905" t="s">
        <v>20414</v>
      </c>
      <c r="I7905" t="s">
        <v>1357</v>
      </c>
      <c r="J7905" t="s">
        <v>1357</v>
      </c>
      <c r="K7905" t="s">
        <v>1357</v>
      </c>
      <c r="L7905" t="s">
        <v>1357</v>
      </c>
    </row>
    <row r="7906" spans="1:14">
      <c r="A7906" t="s">
        <v>10143</v>
      </c>
      <c r="B7906">
        <f>HYPERLINK("https://android.googlesource.com/platform/cts/+/7dddfd11f7eea14a100bd60f6b6feb1c4e8d7007", "7dddfd11f7eea14a100bd60f6b6feb1c4e8d7007")</f>
        <v>0</v>
      </c>
      <c r="C7906">
        <f>HYPERLINK("https://android.googlesource.com/platform/cts/+/9891cebb67d3d07d19440c6c2c7913b0372000a4", "9891cebb67d3d07d19440c6c2c7913b0372000a4")</f>
        <v>0</v>
      </c>
      <c r="D7906" t="s">
        <v>12007</v>
      </c>
      <c r="E7906" t="s">
        <v>12712</v>
      </c>
      <c r="F7906" t="s">
        <v>14554</v>
      </c>
      <c r="G7906" t="s">
        <v>17399</v>
      </c>
      <c r="H7906" t="s">
        <v>20415</v>
      </c>
      <c r="I7906" t="s">
        <v>1357</v>
      </c>
      <c r="J7906" t="s">
        <v>1357</v>
      </c>
      <c r="K7906" t="s">
        <v>1357</v>
      </c>
      <c r="L7906" t="s">
        <v>1357</v>
      </c>
    </row>
    <row r="7907" spans="1:14">
      <c r="F7907" t="s">
        <v>15186</v>
      </c>
      <c r="G7907" t="s">
        <v>17888</v>
      </c>
      <c r="H7907" t="s">
        <v>20416</v>
      </c>
      <c r="I7907" t="s">
        <v>1357</v>
      </c>
      <c r="J7907" t="s">
        <v>1357</v>
      </c>
      <c r="K7907" t="s">
        <v>1357</v>
      </c>
      <c r="L7907" t="s">
        <v>1357</v>
      </c>
    </row>
    <row r="7908" spans="1:14">
      <c r="H7908" t="s">
        <v>20417</v>
      </c>
      <c r="I7908" t="s">
        <v>1357</v>
      </c>
      <c r="J7908" t="s">
        <v>1357</v>
      </c>
      <c r="K7908" t="s">
        <v>1357</v>
      </c>
      <c r="L7908" t="s">
        <v>1357</v>
      </c>
    </row>
    <row r="7909" spans="1:14">
      <c r="A7909" t="s">
        <v>10144</v>
      </c>
      <c r="B7909">
        <f>HYPERLINK("https://android.googlesource.com/platform/cts/+/6a3ac6d97642168b9aa85b6ed774fbbdd836265d", "6a3ac6d97642168b9aa85b6ed774fbbdd836265d")</f>
        <v>0</v>
      </c>
      <c r="C7909">
        <f>HYPERLINK("https://android.googlesource.com/platform/cts/+/57933a04caa41c019e6b9c40b88954adbfb96dbb", "57933a04caa41c019e6b9c40b88954adbfb96dbb")</f>
        <v>0</v>
      </c>
      <c r="D7909" t="s">
        <v>12005</v>
      </c>
      <c r="E7909" t="s">
        <v>12713</v>
      </c>
      <c r="F7909" t="s">
        <v>15187</v>
      </c>
      <c r="G7909" t="s">
        <v>17889</v>
      </c>
      <c r="H7909" t="s">
        <v>20418</v>
      </c>
      <c r="I7909" t="s">
        <v>1357</v>
      </c>
      <c r="J7909" t="s">
        <v>1357</v>
      </c>
      <c r="K7909" t="s">
        <v>1357</v>
      </c>
      <c r="L7909" t="s">
        <v>1357</v>
      </c>
    </row>
    <row r="7910" spans="1:14">
      <c r="H7910" t="s">
        <v>20419</v>
      </c>
      <c r="I7910" t="s">
        <v>1357</v>
      </c>
      <c r="J7910" t="s">
        <v>1357</v>
      </c>
      <c r="K7910" t="s">
        <v>1357</v>
      </c>
      <c r="L7910" t="s">
        <v>1357</v>
      </c>
    </row>
    <row r="7911" spans="1:14">
      <c r="H7911" t="s">
        <v>20420</v>
      </c>
      <c r="I7911" t="s">
        <v>1357</v>
      </c>
      <c r="J7911" t="s">
        <v>1357</v>
      </c>
      <c r="K7911" t="s">
        <v>1357</v>
      </c>
      <c r="L7911" t="s">
        <v>1357</v>
      </c>
    </row>
    <row r="7912" spans="1:14">
      <c r="H7912" t="s">
        <v>20421</v>
      </c>
      <c r="I7912" t="s">
        <v>1357</v>
      </c>
      <c r="J7912" t="s">
        <v>1357</v>
      </c>
      <c r="K7912" t="s">
        <v>1357</v>
      </c>
      <c r="L7912" t="s">
        <v>1357</v>
      </c>
    </row>
    <row r="7913" spans="1:14">
      <c r="A7913" t="s">
        <v>10145</v>
      </c>
      <c r="B7913">
        <f>HYPERLINK("https://android.googlesource.com/platform/cts/+/1ea506ee94dc3e8bfe48d6fd1ce663cacef38d91", "1ea506ee94dc3e8bfe48d6fd1ce663cacef38d91")</f>
        <v>0</v>
      </c>
      <c r="C7913">
        <f>HYPERLINK("https://android.googlesource.com/platform/cts/+/82b8e073159a404379be354b30ca75475abe181c", "82b8e073159a404379be354b30ca75475abe181c")</f>
        <v>0</v>
      </c>
      <c r="D7913" t="s">
        <v>11982</v>
      </c>
      <c r="E7913" t="s">
        <v>12714</v>
      </c>
      <c r="F7913" t="s">
        <v>15188</v>
      </c>
      <c r="G7913" t="s">
        <v>17890</v>
      </c>
      <c r="H7913" t="s">
        <v>20083</v>
      </c>
      <c r="I7913" t="s">
        <v>1357</v>
      </c>
      <c r="J7913" t="s">
        <v>1357</v>
      </c>
      <c r="K7913" t="s">
        <v>1357</v>
      </c>
      <c r="L7913" t="s">
        <v>1357</v>
      </c>
    </row>
    <row r="7914" spans="1:14">
      <c r="A7914" t="s">
        <v>10146</v>
      </c>
      <c r="B7914">
        <f>HYPERLINK("https://android.googlesource.com/platform/cts/+/5b7fa1892268a96b1481de768cafe67ca6edfc9d", "5b7fa1892268a96b1481de768cafe67ca6edfc9d")</f>
        <v>0</v>
      </c>
      <c r="C7914">
        <f>HYPERLINK("https://android.googlesource.com/platform/cts/+/0dbe847037fc266152965a6ca3d4645036f9ef2e", "0dbe847037fc266152965a6ca3d4645036f9ef2e")</f>
        <v>0</v>
      </c>
      <c r="D7914" t="s">
        <v>12002</v>
      </c>
      <c r="E7914" t="s">
        <v>12715</v>
      </c>
      <c r="F7914" t="s">
        <v>15189</v>
      </c>
      <c r="G7914" t="s">
        <v>17891</v>
      </c>
      <c r="H7914" t="s">
        <v>20422</v>
      </c>
      <c r="I7914" t="s">
        <v>1357</v>
      </c>
      <c r="J7914" t="s">
        <v>1357</v>
      </c>
      <c r="K7914" t="s">
        <v>1357</v>
      </c>
      <c r="L7914" t="s">
        <v>1357</v>
      </c>
    </row>
    <row r="7915" spans="1:14">
      <c r="H7915" t="s">
        <v>20423</v>
      </c>
      <c r="I7915" t="s">
        <v>1357</v>
      </c>
      <c r="J7915" t="s">
        <v>1357</v>
      </c>
      <c r="K7915" t="s">
        <v>1357</v>
      </c>
      <c r="L7915" t="s">
        <v>1357</v>
      </c>
      <c r="N7915" t="s">
        <v>27505</v>
      </c>
    </row>
    <row r="7916" spans="1:14">
      <c r="H7916" t="s">
        <v>20424</v>
      </c>
      <c r="I7916" t="s">
        <v>1358</v>
      </c>
      <c r="J7916" t="s">
        <v>1358</v>
      </c>
      <c r="K7916" t="s">
        <v>1358</v>
      </c>
      <c r="L7916" t="s">
        <v>1358</v>
      </c>
    </row>
    <row r="7917" spans="1:14">
      <c r="A7917" t="s">
        <v>10147</v>
      </c>
      <c r="B7917">
        <f>HYPERLINK("https://android.googlesource.com/platform/cts/+/b4bca5bf45f8b907c6f71dcad8e9972016eeabb5", "b4bca5bf45f8b907c6f71dcad8e9972016eeabb5")</f>
        <v>0</v>
      </c>
      <c r="C7917">
        <f>HYPERLINK("https://android.googlesource.com/platform/cts/+/b5b2307fc7eb12c13209c929fac86b23252b78dc", "b5b2307fc7eb12c13209c929fac86b23252b78dc")</f>
        <v>0</v>
      </c>
      <c r="D7917" t="s">
        <v>11982</v>
      </c>
      <c r="E7917" t="s">
        <v>12716</v>
      </c>
      <c r="F7917" t="s">
        <v>15190</v>
      </c>
      <c r="G7917" t="s">
        <v>17892</v>
      </c>
      <c r="H7917" t="s">
        <v>20425</v>
      </c>
      <c r="I7917" t="s">
        <v>1357</v>
      </c>
      <c r="J7917" t="s">
        <v>1357</v>
      </c>
      <c r="K7917" t="s">
        <v>1357</v>
      </c>
      <c r="L7917" t="s">
        <v>1357</v>
      </c>
    </row>
    <row r="7918" spans="1:14">
      <c r="A7918" t="s">
        <v>10148</v>
      </c>
      <c r="B7918">
        <f>HYPERLINK("https://android.googlesource.com/platform/cts/+/a6570dcfa4b86bd4d473dfd5aba8956ea3ef4a89", "a6570dcfa4b86bd4d473dfd5aba8956ea3ef4a89")</f>
        <v>0</v>
      </c>
      <c r="C7918">
        <f>HYPERLINK("https://android.googlesource.com/platform/cts/+/e0d6e0d1a9d3364f0410bcda9ab1b93f358f45f9", "e0d6e0d1a9d3364f0410bcda9ab1b93f358f45f9")</f>
        <v>0</v>
      </c>
      <c r="D7918" t="s">
        <v>11982</v>
      </c>
      <c r="E7918" t="s">
        <v>12717</v>
      </c>
      <c r="F7918" t="s">
        <v>15190</v>
      </c>
      <c r="G7918" t="s">
        <v>17892</v>
      </c>
      <c r="H7918" t="s">
        <v>20425</v>
      </c>
      <c r="I7918" t="s">
        <v>1357</v>
      </c>
      <c r="J7918" t="s">
        <v>1357</v>
      </c>
      <c r="K7918" t="s">
        <v>1357</v>
      </c>
      <c r="L7918" t="s">
        <v>1357</v>
      </c>
    </row>
    <row r="7919" spans="1:14">
      <c r="A7919" t="s">
        <v>10149</v>
      </c>
      <c r="B7919">
        <f>HYPERLINK("https://android.googlesource.com/platform/cts/+/2c6d380e7d8206949e25b045653ce71c73663c55", "2c6d380e7d8206949e25b045653ce71c73663c55")</f>
        <v>0</v>
      </c>
      <c r="C7919">
        <f>HYPERLINK("https://android.googlesource.com/platform/cts/+/0f6a860f9fcba915cbf1801ddf97fdddd8785c2f", "0f6a860f9fcba915cbf1801ddf97fdddd8785c2f")</f>
        <v>0</v>
      </c>
      <c r="D7919" t="s">
        <v>12008</v>
      </c>
      <c r="E7919" t="s">
        <v>12718</v>
      </c>
      <c r="F7919" t="s">
        <v>15191</v>
      </c>
      <c r="G7919" t="s">
        <v>17893</v>
      </c>
      <c r="H7919" t="s">
        <v>20426</v>
      </c>
      <c r="I7919" t="s">
        <v>1357</v>
      </c>
      <c r="J7919" t="s">
        <v>1357</v>
      </c>
      <c r="K7919" t="s">
        <v>1357</v>
      </c>
      <c r="L7919" t="s">
        <v>1357</v>
      </c>
    </row>
    <row r="7920" spans="1:14">
      <c r="H7920" t="s">
        <v>20427</v>
      </c>
      <c r="I7920" t="s">
        <v>1357</v>
      </c>
      <c r="J7920" t="s">
        <v>1357</v>
      </c>
      <c r="K7920" t="s">
        <v>1357</v>
      </c>
      <c r="L7920" t="s">
        <v>1357</v>
      </c>
    </row>
    <row r="7921" spans="1:14">
      <c r="A7921" t="s">
        <v>10150</v>
      </c>
      <c r="B7921">
        <f>HYPERLINK("https://android.googlesource.com/platform/cts/+/2504acc530674e50ddb4cb44cd32c1f7805fcd0b", "2504acc530674e50ddb4cb44cd32c1f7805fcd0b")</f>
        <v>0</v>
      </c>
      <c r="C7921">
        <f>HYPERLINK("https://android.googlesource.com/platform/cts/+/2c6d380e7d8206949e25b045653ce71c73663c55", "2c6d380e7d8206949e25b045653ce71c73663c55")</f>
        <v>0</v>
      </c>
      <c r="D7921" t="s">
        <v>11982</v>
      </c>
      <c r="E7921" t="s">
        <v>12719</v>
      </c>
      <c r="F7921" t="s">
        <v>15192</v>
      </c>
      <c r="G7921" t="s">
        <v>17894</v>
      </c>
      <c r="H7921" t="s">
        <v>20428</v>
      </c>
      <c r="I7921" t="s">
        <v>1357</v>
      </c>
      <c r="J7921" t="s">
        <v>1357</v>
      </c>
      <c r="K7921" t="s">
        <v>1357</v>
      </c>
      <c r="L7921" t="s">
        <v>1357</v>
      </c>
    </row>
    <row r="7922" spans="1:14">
      <c r="A7922" t="s">
        <v>10151</v>
      </c>
      <c r="B7922">
        <f>HYPERLINK("https://android.googlesource.com/platform/cts/+/fbfb026c4deca937184f2bb14daea3405d7e004b", "fbfb026c4deca937184f2bb14daea3405d7e004b")</f>
        <v>0</v>
      </c>
      <c r="C7922">
        <f>HYPERLINK("https://android.googlesource.com/platform/cts/+/ad8f4d4562562b62cbe694c46f9e11850fe1c82f", "ad8f4d4562562b62cbe694c46f9e11850fe1c82f")</f>
        <v>0</v>
      </c>
      <c r="D7922" t="s">
        <v>12009</v>
      </c>
      <c r="E7922" t="s">
        <v>12720</v>
      </c>
      <c r="F7922" t="s">
        <v>15193</v>
      </c>
      <c r="G7922" t="s">
        <v>17895</v>
      </c>
      <c r="H7922" t="s">
        <v>20429</v>
      </c>
      <c r="I7922" t="s">
        <v>1357</v>
      </c>
      <c r="J7922" t="s">
        <v>1357</v>
      </c>
      <c r="K7922" t="s">
        <v>1357</v>
      </c>
      <c r="L7922" t="s">
        <v>1357</v>
      </c>
      <c r="M7922" t="s">
        <v>1360</v>
      </c>
      <c r="N7922" t="s">
        <v>1360</v>
      </c>
    </row>
    <row r="7923" spans="1:14">
      <c r="H7923" t="s">
        <v>20430</v>
      </c>
      <c r="I7923" t="s">
        <v>1357</v>
      </c>
      <c r="J7923" t="s">
        <v>1357</v>
      </c>
      <c r="K7923" t="s">
        <v>1357</v>
      </c>
      <c r="L7923" t="s">
        <v>1357</v>
      </c>
      <c r="M7923" t="s">
        <v>1360</v>
      </c>
      <c r="N7923" t="s">
        <v>1360</v>
      </c>
    </row>
    <row r="7924" spans="1:14">
      <c r="A7924" t="s">
        <v>10152</v>
      </c>
      <c r="B7924">
        <f>HYPERLINK("https://android.googlesource.com/platform/cts/+/775d37162a287fb6d3838c92879bfa1f9d2c32c7", "775d37162a287fb6d3838c92879bfa1f9d2c32c7")</f>
        <v>0</v>
      </c>
      <c r="C7924">
        <f>HYPERLINK("https://android.googlesource.com/platform/cts/+/8fdfc653ff74c5cb03722f165db608b9f63be978", "8fdfc653ff74c5cb03722f165db608b9f63be978")</f>
        <v>0</v>
      </c>
      <c r="D7924" t="s">
        <v>12005</v>
      </c>
      <c r="E7924" t="s">
        <v>12721</v>
      </c>
      <c r="F7924" t="s">
        <v>15194</v>
      </c>
      <c r="G7924" t="s">
        <v>17896</v>
      </c>
      <c r="H7924" t="s">
        <v>20431</v>
      </c>
      <c r="I7924" t="s">
        <v>1357</v>
      </c>
      <c r="J7924" t="s">
        <v>1357</v>
      </c>
      <c r="K7924" t="s">
        <v>1357</v>
      </c>
      <c r="L7924" t="s">
        <v>1357</v>
      </c>
    </row>
    <row r="7925" spans="1:14">
      <c r="H7925" t="s">
        <v>20432</v>
      </c>
      <c r="I7925" t="s">
        <v>1357</v>
      </c>
      <c r="J7925" t="s">
        <v>1357</v>
      </c>
      <c r="K7925" t="s">
        <v>1357</v>
      </c>
      <c r="L7925" t="s">
        <v>1357</v>
      </c>
    </row>
    <row r="7926" spans="1:14">
      <c r="H7926" t="s">
        <v>20433</v>
      </c>
      <c r="I7926" t="s">
        <v>1357</v>
      </c>
      <c r="J7926" t="s">
        <v>1357</v>
      </c>
      <c r="K7926" t="s">
        <v>1357</v>
      </c>
      <c r="L7926" t="s">
        <v>1357</v>
      </c>
    </row>
    <row r="7927" spans="1:14">
      <c r="H7927" t="s">
        <v>20434</v>
      </c>
      <c r="I7927" t="s">
        <v>1357</v>
      </c>
      <c r="J7927" t="s">
        <v>1357</v>
      </c>
      <c r="K7927" t="s">
        <v>1357</v>
      </c>
      <c r="L7927" t="s">
        <v>1357</v>
      </c>
    </row>
    <row r="7928" spans="1:14">
      <c r="A7928" t="s">
        <v>10153</v>
      </c>
      <c r="B7928">
        <f>HYPERLINK("https://android.googlesource.com/platform/cts/+/f34f531afb52bddffcb706d829740ea46044f50b", "f34f531afb52bddffcb706d829740ea46044f50b")</f>
        <v>0</v>
      </c>
      <c r="C7928">
        <f>HYPERLINK("https://android.googlesource.com/platform/cts/+/a9df97da8c7d6b547e1f1a55768a5a783ea58d2b", "a9df97da8c7d6b547e1f1a55768a5a783ea58d2b")</f>
        <v>0</v>
      </c>
      <c r="D7928" t="s">
        <v>12008</v>
      </c>
      <c r="E7928" t="s">
        <v>12722</v>
      </c>
      <c r="F7928" t="s">
        <v>15194</v>
      </c>
      <c r="G7928" t="s">
        <v>17896</v>
      </c>
      <c r="H7928" t="s">
        <v>20431</v>
      </c>
      <c r="I7928" t="s">
        <v>1357</v>
      </c>
      <c r="J7928" t="s">
        <v>1357</v>
      </c>
      <c r="K7928" t="s">
        <v>1357</v>
      </c>
      <c r="L7928" t="s">
        <v>1357</v>
      </c>
    </row>
    <row r="7929" spans="1:14">
      <c r="H7929" t="s">
        <v>20432</v>
      </c>
      <c r="I7929" t="s">
        <v>1357</v>
      </c>
      <c r="J7929" t="s">
        <v>1357</v>
      </c>
      <c r="K7929" t="s">
        <v>1357</v>
      </c>
      <c r="L7929" t="s">
        <v>1357</v>
      </c>
    </row>
    <row r="7930" spans="1:14">
      <c r="H7930" t="s">
        <v>20433</v>
      </c>
      <c r="I7930" t="s">
        <v>1357</v>
      </c>
      <c r="J7930" t="s">
        <v>1357</v>
      </c>
      <c r="K7930" t="s">
        <v>1357</v>
      </c>
      <c r="L7930" t="s">
        <v>1357</v>
      </c>
    </row>
    <row r="7931" spans="1:14">
      <c r="H7931" t="s">
        <v>20434</v>
      </c>
      <c r="I7931" t="s">
        <v>1357</v>
      </c>
      <c r="J7931" t="s">
        <v>1357</v>
      </c>
      <c r="K7931" t="s">
        <v>1357</v>
      </c>
      <c r="L7931" t="s">
        <v>1357</v>
      </c>
    </row>
    <row r="7932" spans="1:14">
      <c r="A7932" t="s">
        <v>10154</v>
      </c>
      <c r="B7932">
        <f>HYPERLINK("https://android.googlesource.com/platform/cts/+/a21bd2a58a73b0aac2700a551e82824c7a44f42a", "a21bd2a58a73b0aac2700a551e82824c7a44f42a")</f>
        <v>0</v>
      </c>
      <c r="C7932">
        <f>HYPERLINK("https://android.googlesource.com/platform/cts/+/98a6d451be2559e03ba221fb382764f85e3c2038", "98a6d451be2559e03ba221fb382764f85e3c2038")</f>
        <v>0</v>
      </c>
      <c r="D7932" t="s">
        <v>12006</v>
      </c>
      <c r="E7932" t="s">
        <v>12723</v>
      </c>
      <c r="F7932" t="s">
        <v>15195</v>
      </c>
      <c r="G7932" t="s">
        <v>17897</v>
      </c>
      <c r="H7932" t="s">
        <v>20435</v>
      </c>
      <c r="I7932" t="s">
        <v>1357</v>
      </c>
      <c r="J7932" t="s">
        <v>1357</v>
      </c>
      <c r="K7932" t="s">
        <v>1357</v>
      </c>
      <c r="L7932" t="s">
        <v>1357</v>
      </c>
    </row>
    <row r="7933" spans="1:14">
      <c r="A7933" t="s">
        <v>10155</v>
      </c>
      <c r="B7933">
        <f>HYPERLINK("https://android.googlesource.com/platform/cts/+/2e21839f3f1927d040a2a2ee2493d0a20bb3c3ef", "2e21839f3f1927d040a2a2ee2493d0a20bb3c3ef")</f>
        <v>0</v>
      </c>
      <c r="C7933">
        <f>HYPERLINK("https://android.googlesource.com/platform/cts/+/5b4f93248db549b7b0c10e8c5389107fb21be579", "5b4f93248db549b7b0c10e8c5389107fb21be579")</f>
        <v>0</v>
      </c>
      <c r="D7933" t="s">
        <v>12010</v>
      </c>
      <c r="E7933" t="s">
        <v>12723</v>
      </c>
      <c r="F7933" t="s">
        <v>15195</v>
      </c>
      <c r="G7933" t="s">
        <v>17897</v>
      </c>
      <c r="H7933" t="s">
        <v>20435</v>
      </c>
      <c r="I7933" t="s">
        <v>1357</v>
      </c>
      <c r="J7933" t="s">
        <v>1357</v>
      </c>
      <c r="K7933" t="s">
        <v>1357</v>
      </c>
      <c r="L7933" t="s">
        <v>1357</v>
      </c>
      <c r="M7933" t="s">
        <v>27479</v>
      </c>
    </row>
    <row r="7934" spans="1:14">
      <c r="A7934" t="s">
        <v>10156</v>
      </c>
      <c r="B7934">
        <f>HYPERLINK("https://android.googlesource.com/platform/cts/+/521d0c6b88e4c6531b6ec360e2c244c8d13d34ef", "521d0c6b88e4c6531b6ec360e2c244c8d13d34ef")</f>
        <v>0</v>
      </c>
      <c r="C7934">
        <f>HYPERLINK("https://android.googlesource.com/platform/cts/+/29a837278f7974b6004574c6deb86bef59a98928", "29a837278f7974b6004574c6deb86bef59a98928")</f>
        <v>0</v>
      </c>
      <c r="D7934" t="s">
        <v>12011</v>
      </c>
      <c r="E7934" t="s">
        <v>12724</v>
      </c>
      <c r="F7934" t="s">
        <v>15196</v>
      </c>
      <c r="G7934" t="s">
        <v>17898</v>
      </c>
      <c r="H7934" t="s">
        <v>1175</v>
      </c>
      <c r="I7934" t="s">
        <v>1357</v>
      </c>
      <c r="J7934" t="s">
        <v>1357</v>
      </c>
      <c r="K7934" t="s">
        <v>1357</v>
      </c>
      <c r="L7934" t="s">
        <v>1357</v>
      </c>
    </row>
    <row r="7935" spans="1:14">
      <c r="A7935" t="s">
        <v>10157</v>
      </c>
      <c r="B7935">
        <f>HYPERLINK("https://android.googlesource.com/platform/cts/+/50455b3f14f3cd835150e63bea640cb76c7c2cb4", "50455b3f14f3cd835150e63bea640cb76c7c2cb4")</f>
        <v>0</v>
      </c>
      <c r="C7935">
        <f>HYPERLINK("https://android.googlesource.com/platform/cts/+/b6ea46e3f074720ddae5e018b80e616f72272ed0", "b6ea46e3f074720ddae5e018b80e616f72272ed0")</f>
        <v>0</v>
      </c>
      <c r="D7935" t="s">
        <v>12006</v>
      </c>
      <c r="E7935" t="s">
        <v>12725</v>
      </c>
      <c r="F7935" t="s">
        <v>15197</v>
      </c>
      <c r="G7935" t="s">
        <v>17899</v>
      </c>
      <c r="H7935" t="s">
        <v>20436</v>
      </c>
      <c r="I7935" t="s">
        <v>1357</v>
      </c>
      <c r="J7935" t="s">
        <v>1357</v>
      </c>
      <c r="K7935" t="s">
        <v>1357</v>
      </c>
      <c r="L7935" t="s">
        <v>1357</v>
      </c>
    </row>
    <row r="7936" spans="1:14">
      <c r="F7936" t="s">
        <v>15198</v>
      </c>
      <c r="G7936" t="s">
        <v>17900</v>
      </c>
      <c r="H7936" t="s">
        <v>20437</v>
      </c>
      <c r="I7936" t="s">
        <v>1357</v>
      </c>
      <c r="J7936" t="s">
        <v>1357</v>
      </c>
      <c r="K7936" t="s">
        <v>1357</v>
      </c>
      <c r="L7936" t="s">
        <v>1357</v>
      </c>
    </row>
    <row r="7937" spans="1:12">
      <c r="H7937" t="s">
        <v>20438</v>
      </c>
      <c r="I7937" t="s">
        <v>1357</v>
      </c>
      <c r="J7937" t="s">
        <v>1357</v>
      </c>
      <c r="K7937" t="s">
        <v>1357</v>
      </c>
      <c r="L7937" t="s">
        <v>1357</v>
      </c>
    </row>
    <row r="7938" spans="1:12">
      <c r="H7938" t="s">
        <v>20439</v>
      </c>
      <c r="I7938" t="s">
        <v>1357</v>
      </c>
      <c r="J7938" t="s">
        <v>1357</v>
      </c>
      <c r="K7938" t="s">
        <v>1357</v>
      </c>
      <c r="L7938" t="s">
        <v>1357</v>
      </c>
    </row>
    <row r="7939" spans="1:12">
      <c r="F7939" t="s">
        <v>15199</v>
      </c>
      <c r="G7939" t="s">
        <v>17901</v>
      </c>
      <c r="H7939" t="s">
        <v>20440</v>
      </c>
      <c r="I7939" t="s">
        <v>1357</v>
      </c>
      <c r="J7939" t="s">
        <v>1357</v>
      </c>
      <c r="K7939" t="s">
        <v>1357</v>
      </c>
      <c r="L7939" t="s">
        <v>1357</v>
      </c>
    </row>
    <row r="7940" spans="1:12">
      <c r="H7940" t="s">
        <v>20441</v>
      </c>
      <c r="I7940" t="s">
        <v>1357</v>
      </c>
      <c r="J7940" t="s">
        <v>1357</v>
      </c>
      <c r="K7940" t="s">
        <v>1357</v>
      </c>
      <c r="L7940" t="s">
        <v>1357</v>
      </c>
    </row>
    <row r="7941" spans="1:12">
      <c r="F7941" t="s">
        <v>15200</v>
      </c>
      <c r="G7941" t="s">
        <v>17902</v>
      </c>
      <c r="H7941" t="s">
        <v>20442</v>
      </c>
      <c r="I7941" t="s">
        <v>1357</v>
      </c>
      <c r="J7941" t="s">
        <v>1357</v>
      </c>
      <c r="K7941" t="s">
        <v>1357</v>
      </c>
      <c r="L7941" t="s">
        <v>1357</v>
      </c>
    </row>
    <row r="7942" spans="1:12">
      <c r="A7942" t="s">
        <v>10158</v>
      </c>
      <c r="B7942">
        <f>HYPERLINK("https://android.googlesource.com/platform/cts/+/952eb5628458766f4f5778aaf467be6854b69767", "952eb5628458766f4f5778aaf467be6854b69767")</f>
        <v>0</v>
      </c>
      <c r="C7942">
        <f>HYPERLINK("https://android.googlesource.com/platform/cts/+/86033165713af249c1daa8a825d1a5e64acbc048", "86033165713af249c1daa8a825d1a5e64acbc048")</f>
        <v>0</v>
      </c>
      <c r="D7942" t="s">
        <v>12007</v>
      </c>
      <c r="E7942" t="s">
        <v>12726</v>
      </c>
      <c r="F7942" t="s">
        <v>14521</v>
      </c>
      <c r="G7942" t="s">
        <v>17366</v>
      </c>
      <c r="H7942" t="s">
        <v>20443</v>
      </c>
      <c r="I7942" t="s">
        <v>1357</v>
      </c>
      <c r="J7942" t="s">
        <v>1357</v>
      </c>
      <c r="K7942" t="s">
        <v>1357</v>
      </c>
      <c r="L7942" t="s">
        <v>1357</v>
      </c>
    </row>
    <row r="7943" spans="1:12">
      <c r="A7943" t="s">
        <v>10159</v>
      </c>
      <c r="B7943">
        <f>HYPERLINK("https://android.googlesource.com/platform/cts/+/b043cccc87014cf79e7d37a29b73e46e5294815f", "b043cccc87014cf79e7d37a29b73e46e5294815f")</f>
        <v>0</v>
      </c>
      <c r="C7943">
        <f>HYPERLINK("https://android.googlesource.com/platform/cts/+/2ffddecc8c3ae8942982fa8e34c442d4183946df", "2ffddecc8c3ae8942982fa8e34c442d4183946df")</f>
        <v>0</v>
      </c>
      <c r="D7943" t="s">
        <v>12002</v>
      </c>
      <c r="E7943" t="s">
        <v>12727</v>
      </c>
      <c r="F7943" t="s">
        <v>15201</v>
      </c>
      <c r="G7943" t="s">
        <v>17903</v>
      </c>
      <c r="H7943" t="s">
        <v>20444</v>
      </c>
      <c r="I7943" t="s">
        <v>1357</v>
      </c>
      <c r="J7943" t="s">
        <v>1357</v>
      </c>
      <c r="K7943" t="s">
        <v>1357</v>
      </c>
      <c r="L7943" t="s">
        <v>1357</v>
      </c>
    </row>
    <row r="7944" spans="1:12">
      <c r="A7944" t="s">
        <v>10160</v>
      </c>
      <c r="B7944">
        <f>HYPERLINK("https://android.googlesource.com/platform/cts/+/95fe67721579ade45132e5225b55f887a60f69a1", "95fe67721579ade45132e5225b55f887a60f69a1")</f>
        <v>0</v>
      </c>
      <c r="C7944">
        <f>HYPERLINK("https://android.googlesource.com/platform/cts/+/01dc6706b3485cdc50330d9b7529baf8e4d83602", "01dc6706b3485cdc50330d9b7529baf8e4d83602")</f>
        <v>0</v>
      </c>
      <c r="D7944" t="s">
        <v>12012</v>
      </c>
      <c r="E7944" t="s">
        <v>12728</v>
      </c>
      <c r="F7944" t="s">
        <v>14488</v>
      </c>
      <c r="G7944" t="s">
        <v>17334</v>
      </c>
      <c r="H7944" t="s">
        <v>19932</v>
      </c>
      <c r="I7944" t="s">
        <v>1357</v>
      </c>
      <c r="J7944" t="s">
        <v>1357</v>
      </c>
      <c r="K7944" t="s">
        <v>1357</v>
      </c>
      <c r="L7944" t="s">
        <v>1357</v>
      </c>
    </row>
    <row r="7945" spans="1:12">
      <c r="A7945" t="s">
        <v>10161</v>
      </c>
      <c r="B7945">
        <f>HYPERLINK("https://android.googlesource.com/platform/cts/+/c0ef6f802bbc0d40b1dc8e7cefa360f7434a9299", "c0ef6f802bbc0d40b1dc8e7cefa360f7434a9299")</f>
        <v>0</v>
      </c>
      <c r="C7945">
        <f>HYPERLINK("https://android.googlesource.com/platform/cts/+/976971e382bbe4a0d6528bf5690baa449fde61ce", "976971e382bbe4a0d6528bf5690baa449fde61ce")</f>
        <v>0</v>
      </c>
      <c r="D7945" t="s">
        <v>12008</v>
      </c>
      <c r="E7945" t="s">
        <v>12729</v>
      </c>
      <c r="F7945" t="s">
        <v>15202</v>
      </c>
      <c r="G7945" t="s">
        <v>17904</v>
      </c>
      <c r="H7945" t="s">
        <v>20445</v>
      </c>
      <c r="I7945" t="s">
        <v>1357</v>
      </c>
      <c r="J7945" t="s">
        <v>1357</v>
      </c>
      <c r="K7945" t="s">
        <v>1357</v>
      </c>
      <c r="L7945" t="s">
        <v>1357</v>
      </c>
    </row>
    <row r="7946" spans="1:12">
      <c r="A7946" t="s">
        <v>10162</v>
      </c>
      <c r="B7946">
        <f>HYPERLINK("https://android.googlesource.com/platform/cts/+/25665383264fbedfb22e801e6c631333a40b2a35", "25665383264fbedfb22e801e6c631333a40b2a35")</f>
        <v>0</v>
      </c>
      <c r="C7946">
        <f>HYPERLINK("https://android.googlesource.com/platform/cts/+/976971e382bbe4a0d6528bf5690baa449fde61ce", "976971e382bbe4a0d6528bf5690baa449fde61ce")</f>
        <v>0</v>
      </c>
      <c r="D7946" t="s">
        <v>12008</v>
      </c>
      <c r="E7946" t="s">
        <v>12730</v>
      </c>
      <c r="F7946" t="s">
        <v>15203</v>
      </c>
      <c r="G7946" t="s">
        <v>17905</v>
      </c>
      <c r="H7946" t="s">
        <v>20446</v>
      </c>
      <c r="I7946" t="s">
        <v>1357</v>
      </c>
      <c r="J7946" t="s">
        <v>1357</v>
      </c>
      <c r="K7946" t="s">
        <v>1357</v>
      </c>
      <c r="L7946" t="s">
        <v>1357</v>
      </c>
    </row>
    <row r="7947" spans="1:12">
      <c r="F7947" t="s">
        <v>15204</v>
      </c>
      <c r="G7947" t="s">
        <v>17906</v>
      </c>
      <c r="H7947" t="s">
        <v>20446</v>
      </c>
      <c r="I7947" t="s">
        <v>1357</v>
      </c>
      <c r="J7947" t="s">
        <v>1357</v>
      </c>
      <c r="K7947" t="s">
        <v>1357</v>
      </c>
      <c r="L7947" t="s">
        <v>1357</v>
      </c>
    </row>
    <row r="7948" spans="1:12">
      <c r="F7948" t="s">
        <v>15205</v>
      </c>
      <c r="G7948" t="s">
        <v>17907</v>
      </c>
      <c r="H7948" t="s">
        <v>20446</v>
      </c>
      <c r="I7948" t="s">
        <v>1357</v>
      </c>
      <c r="J7948" t="s">
        <v>1357</v>
      </c>
      <c r="K7948" t="s">
        <v>1357</v>
      </c>
      <c r="L7948" t="s">
        <v>1357</v>
      </c>
    </row>
    <row r="7949" spans="1:12">
      <c r="F7949" t="s">
        <v>15206</v>
      </c>
      <c r="G7949" t="s">
        <v>17908</v>
      </c>
      <c r="H7949" t="s">
        <v>20446</v>
      </c>
      <c r="I7949" t="s">
        <v>1357</v>
      </c>
      <c r="J7949" t="s">
        <v>1357</v>
      </c>
      <c r="K7949" t="s">
        <v>1357</v>
      </c>
      <c r="L7949" t="s">
        <v>1357</v>
      </c>
    </row>
    <row r="7950" spans="1:12">
      <c r="F7950" t="s">
        <v>15207</v>
      </c>
      <c r="G7950" t="s">
        <v>17909</v>
      </c>
      <c r="H7950" t="s">
        <v>20446</v>
      </c>
      <c r="I7950" t="s">
        <v>1357</v>
      </c>
      <c r="J7950" t="s">
        <v>1357</v>
      </c>
      <c r="K7950" t="s">
        <v>1357</v>
      </c>
      <c r="L7950" t="s">
        <v>1357</v>
      </c>
    </row>
    <row r="7951" spans="1:12">
      <c r="F7951" t="s">
        <v>15208</v>
      </c>
      <c r="G7951" t="s">
        <v>17910</v>
      </c>
      <c r="H7951" t="s">
        <v>20446</v>
      </c>
      <c r="I7951" t="s">
        <v>1357</v>
      </c>
      <c r="J7951" t="s">
        <v>1357</v>
      </c>
      <c r="K7951" t="s">
        <v>1357</v>
      </c>
      <c r="L7951" t="s">
        <v>1357</v>
      </c>
    </row>
    <row r="7952" spans="1:12">
      <c r="F7952" t="s">
        <v>15209</v>
      </c>
      <c r="G7952" t="s">
        <v>17911</v>
      </c>
      <c r="H7952" t="s">
        <v>20446</v>
      </c>
      <c r="I7952" t="s">
        <v>1357</v>
      </c>
      <c r="J7952" t="s">
        <v>1357</v>
      </c>
      <c r="K7952" t="s">
        <v>1357</v>
      </c>
      <c r="L7952" t="s">
        <v>1357</v>
      </c>
    </row>
    <row r="7953" spans="6:12">
      <c r="F7953" t="s">
        <v>15210</v>
      </c>
      <c r="G7953" t="s">
        <v>17912</v>
      </c>
      <c r="H7953" t="s">
        <v>20446</v>
      </c>
      <c r="I7953" t="s">
        <v>1357</v>
      </c>
      <c r="J7953" t="s">
        <v>1357</v>
      </c>
      <c r="K7953" t="s">
        <v>1357</v>
      </c>
      <c r="L7953" t="s">
        <v>1357</v>
      </c>
    </row>
    <row r="7954" spans="6:12">
      <c r="F7954" t="s">
        <v>15211</v>
      </c>
      <c r="G7954" t="s">
        <v>17913</v>
      </c>
      <c r="H7954" t="s">
        <v>20446</v>
      </c>
      <c r="I7954" t="s">
        <v>1357</v>
      </c>
      <c r="J7954" t="s">
        <v>1357</v>
      </c>
      <c r="K7954" t="s">
        <v>1357</v>
      </c>
      <c r="L7954" t="s">
        <v>1357</v>
      </c>
    </row>
    <row r="7955" spans="6:12">
      <c r="F7955" t="s">
        <v>15212</v>
      </c>
      <c r="G7955" t="s">
        <v>17914</v>
      </c>
      <c r="H7955" t="s">
        <v>20446</v>
      </c>
      <c r="I7955" t="s">
        <v>1357</v>
      </c>
      <c r="J7955" t="s">
        <v>1357</v>
      </c>
      <c r="K7955" t="s">
        <v>1357</v>
      </c>
      <c r="L7955" t="s">
        <v>1357</v>
      </c>
    </row>
    <row r="7956" spans="6:12">
      <c r="F7956" t="s">
        <v>15213</v>
      </c>
      <c r="G7956" t="s">
        <v>17915</v>
      </c>
      <c r="H7956" t="s">
        <v>20446</v>
      </c>
      <c r="I7956" t="s">
        <v>1357</v>
      </c>
      <c r="J7956" t="s">
        <v>1357</v>
      </c>
      <c r="K7956" t="s">
        <v>1357</v>
      </c>
      <c r="L7956" t="s">
        <v>1357</v>
      </c>
    </row>
    <row r="7957" spans="6:12">
      <c r="F7957" t="s">
        <v>15214</v>
      </c>
      <c r="G7957" t="s">
        <v>17916</v>
      </c>
      <c r="H7957" t="s">
        <v>20446</v>
      </c>
      <c r="I7957" t="s">
        <v>1357</v>
      </c>
      <c r="J7957" t="s">
        <v>1357</v>
      </c>
      <c r="K7957" t="s">
        <v>1357</v>
      </c>
      <c r="L7957" t="s">
        <v>1357</v>
      </c>
    </row>
    <row r="7958" spans="6:12">
      <c r="F7958" t="s">
        <v>15215</v>
      </c>
      <c r="G7958" t="s">
        <v>17917</v>
      </c>
      <c r="H7958" t="s">
        <v>20446</v>
      </c>
      <c r="I7958" t="s">
        <v>1357</v>
      </c>
      <c r="J7958" t="s">
        <v>1357</v>
      </c>
      <c r="K7958" t="s">
        <v>1357</v>
      </c>
      <c r="L7958" t="s">
        <v>1357</v>
      </c>
    </row>
    <row r="7959" spans="6:12">
      <c r="F7959" t="s">
        <v>15216</v>
      </c>
      <c r="G7959" t="s">
        <v>17918</v>
      </c>
      <c r="H7959" t="s">
        <v>20446</v>
      </c>
      <c r="I7959" t="s">
        <v>1357</v>
      </c>
      <c r="J7959" t="s">
        <v>1357</v>
      </c>
      <c r="K7959" t="s">
        <v>1357</v>
      </c>
      <c r="L7959" t="s">
        <v>1357</v>
      </c>
    </row>
    <row r="7960" spans="6:12">
      <c r="F7960" t="s">
        <v>15217</v>
      </c>
      <c r="G7960" t="s">
        <v>17919</v>
      </c>
      <c r="H7960" t="s">
        <v>20446</v>
      </c>
      <c r="I7960" t="s">
        <v>1357</v>
      </c>
      <c r="J7960" t="s">
        <v>1357</v>
      </c>
      <c r="K7960" t="s">
        <v>1357</v>
      </c>
      <c r="L7960" t="s">
        <v>1357</v>
      </c>
    </row>
    <row r="7961" spans="6:12">
      <c r="F7961" t="s">
        <v>15218</v>
      </c>
      <c r="G7961" t="s">
        <v>17920</v>
      </c>
      <c r="H7961" t="s">
        <v>20446</v>
      </c>
      <c r="I7961" t="s">
        <v>1357</v>
      </c>
      <c r="J7961" t="s">
        <v>1357</v>
      </c>
      <c r="K7961" t="s">
        <v>1357</v>
      </c>
      <c r="L7961" t="s">
        <v>1357</v>
      </c>
    </row>
    <row r="7962" spans="6:12">
      <c r="F7962" t="s">
        <v>15219</v>
      </c>
      <c r="G7962" t="s">
        <v>17921</v>
      </c>
      <c r="H7962" t="s">
        <v>20446</v>
      </c>
      <c r="I7962" t="s">
        <v>1357</v>
      </c>
      <c r="J7962" t="s">
        <v>1357</v>
      </c>
      <c r="K7962" t="s">
        <v>1357</v>
      </c>
      <c r="L7962" t="s">
        <v>1357</v>
      </c>
    </row>
    <row r="7963" spans="6:12">
      <c r="F7963" t="s">
        <v>15220</v>
      </c>
      <c r="G7963" t="s">
        <v>17922</v>
      </c>
      <c r="H7963" t="s">
        <v>20446</v>
      </c>
      <c r="I7963" t="s">
        <v>1357</v>
      </c>
      <c r="J7963" t="s">
        <v>1357</v>
      </c>
      <c r="K7963" t="s">
        <v>1357</v>
      </c>
      <c r="L7963" t="s">
        <v>1357</v>
      </c>
    </row>
    <row r="7964" spans="6:12">
      <c r="F7964" t="s">
        <v>15221</v>
      </c>
      <c r="G7964" t="s">
        <v>17923</v>
      </c>
      <c r="H7964" t="s">
        <v>20446</v>
      </c>
      <c r="I7964" t="s">
        <v>1357</v>
      </c>
      <c r="J7964" t="s">
        <v>1357</v>
      </c>
      <c r="K7964" t="s">
        <v>1357</v>
      </c>
      <c r="L7964" t="s">
        <v>1357</v>
      </c>
    </row>
    <row r="7965" spans="6:12">
      <c r="F7965" t="s">
        <v>15222</v>
      </c>
      <c r="G7965" t="s">
        <v>17924</v>
      </c>
      <c r="H7965" t="s">
        <v>20446</v>
      </c>
      <c r="I7965" t="s">
        <v>1357</v>
      </c>
      <c r="J7965" t="s">
        <v>1357</v>
      </c>
      <c r="K7965" t="s">
        <v>1357</v>
      </c>
      <c r="L7965" t="s">
        <v>1357</v>
      </c>
    </row>
    <row r="7966" spans="6:12">
      <c r="F7966" t="s">
        <v>15223</v>
      </c>
      <c r="G7966" t="s">
        <v>17925</v>
      </c>
      <c r="H7966" t="s">
        <v>20446</v>
      </c>
      <c r="I7966" t="s">
        <v>1357</v>
      </c>
      <c r="J7966" t="s">
        <v>1357</v>
      </c>
      <c r="K7966" t="s">
        <v>1357</v>
      </c>
      <c r="L7966" t="s">
        <v>1357</v>
      </c>
    </row>
    <row r="7967" spans="6:12">
      <c r="F7967" t="s">
        <v>15224</v>
      </c>
      <c r="G7967" t="s">
        <v>17926</v>
      </c>
      <c r="H7967" t="s">
        <v>20446</v>
      </c>
      <c r="I7967" t="s">
        <v>1357</v>
      </c>
      <c r="J7967" t="s">
        <v>1357</v>
      </c>
      <c r="K7967" t="s">
        <v>1357</v>
      </c>
      <c r="L7967" t="s">
        <v>1357</v>
      </c>
    </row>
    <row r="7968" spans="6:12">
      <c r="F7968" t="s">
        <v>15225</v>
      </c>
      <c r="G7968" t="s">
        <v>17927</v>
      </c>
      <c r="H7968" t="s">
        <v>20446</v>
      </c>
      <c r="I7968" t="s">
        <v>1357</v>
      </c>
      <c r="J7968" t="s">
        <v>1357</v>
      </c>
      <c r="K7968" t="s">
        <v>1357</v>
      </c>
      <c r="L7968" t="s">
        <v>1357</v>
      </c>
    </row>
    <row r="7969" spans="6:12">
      <c r="F7969" t="s">
        <v>15226</v>
      </c>
      <c r="G7969" t="s">
        <v>17928</v>
      </c>
      <c r="H7969" t="s">
        <v>20446</v>
      </c>
      <c r="I7969" t="s">
        <v>1357</v>
      </c>
      <c r="J7969" t="s">
        <v>1357</v>
      </c>
      <c r="K7969" t="s">
        <v>1357</v>
      </c>
      <c r="L7969" t="s">
        <v>1357</v>
      </c>
    </row>
    <row r="7970" spans="6:12">
      <c r="F7970" t="s">
        <v>15227</v>
      </c>
      <c r="G7970" t="s">
        <v>17929</v>
      </c>
      <c r="H7970" t="s">
        <v>20446</v>
      </c>
      <c r="I7970" t="s">
        <v>1357</v>
      </c>
      <c r="J7970" t="s">
        <v>1357</v>
      </c>
      <c r="K7970" t="s">
        <v>1357</v>
      </c>
      <c r="L7970" t="s">
        <v>1357</v>
      </c>
    </row>
    <row r="7971" spans="6:12">
      <c r="F7971" t="s">
        <v>15228</v>
      </c>
      <c r="G7971" t="s">
        <v>17930</v>
      </c>
      <c r="H7971" t="s">
        <v>20446</v>
      </c>
      <c r="I7971" t="s">
        <v>1357</v>
      </c>
      <c r="J7971" t="s">
        <v>1357</v>
      </c>
      <c r="K7971" t="s">
        <v>1357</v>
      </c>
      <c r="L7971" t="s">
        <v>1357</v>
      </c>
    </row>
    <row r="7972" spans="6:12">
      <c r="F7972" t="s">
        <v>15229</v>
      </c>
      <c r="G7972" t="s">
        <v>17931</v>
      </c>
      <c r="H7972" t="s">
        <v>20446</v>
      </c>
      <c r="I7972" t="s">
        <v>1357</v>
      </c>
      <c r="J7972" t="s">
        <v>1357</v>
      </c>
      <c r="K7972" t="s">
        <v>1357</v>
      </c>
      <c r="L7972" t="s">
        <v>1357</v>
      </c>
    </row>
    <row r="7973" spans="6:12">
      <c r="F7973" t="s">
        <v>15230</v>
      </c>
      <c r="G7973" t="s">
        <v>17932</v>
      </c>
      <c r="H7973" t="s">
        <v>20446</v>
      </c>
      <c r="I7973" t="s">
        <v>1357</v>
      </c>
      <c r="J7973" t="s">
        <v>1357</v>
      </c>
      <c r="K7973" t="s">
        <v>1357</v>
      </c>
      <c r="L7973" t="s">
        <v>1357</v>
      </c>
    </row>
    <row r="7974" spans="6:12">
      <c r="F7974" t="s">
        <v>15231</v>
      </c>
      <c r="G7974" t="s">
        <v>17933</v>
      </c>
      <c r="H7974" t="s">
        <v>20446</v>
      </c>
      <c r="I7974" t="s">
        <v>1357</v>
      </c>
      <c r="J7974" t="s">
        <v>1357</v>
      </c>
      <c r="K7974" t="s">
        <v>1357</v>
      </c>
      <c r="L7974" t="s">
        <v>1357</v>
      </c>
    </row>
    <row r="7975" spans="6:12">
      <c r="F7975" t="s">
        <v>15232</v>
      </c>
      <c r="G7975" t="s">
        <v>17934</v>
      </c>
      <c r="H7975" t="s">
        <v>20446</v>
      </c>
      <c r="I7975" t="s">
        <v>1357</v>
      </c>
      <c r="J7975" t="s">
        <v>1357</v>
      </c>
      <c r="K7975" t="s">
        <v>1357</v>
      </c>
      <c r="L7975" t="s">
        <v>1357</v>
      </c>
    </row>
    <row r="7976" spans="6:12">
      <c r="F7976" t="s">
        <v>15233</v>
      </c>
      <c r="G7976" t="s">
        <v>17935</v>
      </c>
      <c r="H7976" t="s">
        <v>20446</v>
      </c>
      <c r="I7976" t="s">
        <v>1357</v>
      </c>
      <c r="J7976" t="s">
        <v>1357</v>
      </c>
      <c r="K7976" t="s">
        <v>1357</v>
      </c>
      <c r="L7976" t="s">
        <v>1357</v>
      </c>
    </row>
    <row r="7977" spans="6:12">
      <c r="F7977" t="s">
        <v>15234</v>
      </c>
      <c r="G7977" t="s">
        <v>17936</v>
      </c>
      <c r="H7977" t="s">
        <v>20446</v>
      </c>
      <c r="I7977" t="s">
        <v>1357</v>
      </c>
      <c r="J7977" t="s">
        <v>1357</v>
      </c>
      <c r="K7977" t="s">
        <v>1357</v>
      </c>
      <c r="L7977" t="s">
        <v>1357</v>
      </c>
    </row>
    <row r="7978" spans="6:12">
      <c r="F7978" t="s">
        <v>15235</v>
      </c>
      <c r="G7978" t="s">
        <v>17937</v>
      </c>
      <c r="H7978" t="s">
        <v>20446</v>
      </c>
      <c r="I7978" t="s">
        <v>1357</v>
      </c>
      <c r="J7978" t="s">
        <v>1357</v>
      </c>
      <c r="K7978" t="s">
        <v>1357</v>
      </c>
      <c r="L7978" t="s">
        <v>1357</v>
      </c>
    </row>
    <row r="7979" spans="6:12">
      <c r="F7979" t="s">
        <v>15236</v>
      </c>
      <c r="G7979" t="s">
        <v>17938</v>
      </c>
      <c r="H7979" t="s">
        <v>20446</v>
      </c>
      <c r="I7979" t="s">
        <v>1357</v>
      </c>
      <c r="J7979" t="s">
        <v>1357</v>
      </c>
      <c r="K7979" t="s">
        <v>1357</v>
      </c>
      <c r="L7979" t="s">
        <v>1357</v>
      </c>
    </row>
    <row r="7980" spans="6:12">
      <c r="F7980" t="s">
        <v>15237</v>
      </c>
      <c r="G7980" t="s">
        <v>17939</v>
      </c>
      <c r="H7980" t="s">
        <v>20446</v>
      </c>
      <c r="I7980" t="s">
        <v>1357</v>
      </c>
      <c r="J7980" t="s">
        <v>1357</v>
      </c>
      <c r="K7980" t="s">
        <v>1357</v>
      </c>
      <c r="L7980" t="s">
        <v>1357</v>
      </c>
    </row>
    <row r="7981" spans="6:12">
      <c r="F7981" t="s">
        <v>15238</v>
      </c>
      <c r="G7981" t="s">
        <v>17940</v>
      </c>
      <c r="H7981" t="s">
        <v>20446</v>
      </c>
      <c r="I7981" t="s">
        <v>1357</v>
      </c>
      <c r="J7981" t="s">
        <v>1357</v>
      </c>
      <c r="K7981" t="s">
        <v>1357</v>
      </c>
      <c r="L7981" t="s">
        <v>1357</v>
      </c>
    </row>
    <row r="7982" spans="6:12">
      <c r="F7982" t="s">
        <v>15239</v>
      </c>
      <c r="G7982" t="s">
        <v>17941</v>
      </c>
      <c r="H7982" t="s">
        <v>20446</v>
      </c>
      <c r="I7982" t="s">
        <v>1357</v>
      </c>
      <c r="J7982" t="s">
        <v>1357</v>
      </c>
      <c r="K7982" t="s">
        <v>1357</v>
      </c>
      <c r="L7982" t="s">
        <v>1357</v>
      </c>
    </row>
    <row r="7983" spans="6:12">
      <c r="F7983" t="s">
        <v>15240</v>
      </c>
      <c r="G7983" t="s">
        <v>17942</v>
      </c>
      <c r="H7983" t="s">
        <v>20446</v>
      </c>
      <c r="I7983" t="s">
        <v>1357</v>
      </c>
      <c r="J7983" t="s">
        <v>1357</v>
      </c>
      <c r="K7983" t="s">
        <v>1357</v>
      </c>
      <c r="L7983" t="s">
        <v>1357</v>
      </c>
    </row>
    <row r="7984" spans="6:12">
      <c r="F7984" t="s">
        <v>15241</v>
      </c>
      <c r="G7984" t="s">
        <v>17943</v>
      </c>
      <c r="H7984" t="s">
        <v>20446</v>
      </c>
      <c r="I7984" t="s">
        <v>1357</v>
      </c>
      <c r="J7984" t="s">
        <v>1357</v>
      </c>
      <c r="K7984" t="s">
        <v>1357</v>
      </c>
      <c r="L7984" t="s">
        <v>1357</v>
      </c>
    </row>
    <row r="7985" spans="6:12">
      <c r="F7985" t="s">
        <v>15242</v>
      </c>
      <c r="G7985" t="s">
        <v>17944</v>
      </c>
      <c r="H7985" t="s">
        <v>20446</v>
      </c>
      <c r="I7985" t="s">
        <v>1357</v>
      </c>
      <c r="J7985" t="s">
        <v>1357</v>
      </c>
      <c r="K7985" t="s">
        <v>1357</v>
      </c>
      <c r="L7985" t="s">
        <v>1357</v>
      </c>
    </row>
    <row r="7986" spans="6:12">
      <c r="F7986" t="s">
        <v>15243</v>
      </c>
      <c r="G7986" t="s">
        <v>17945</v>
      </c>
      <c r="H7986" t="s">
        <v>20446</v>
      </c>
      <c r="I7986" t="s">
        <v>1357</v>
      </c>
      <c r="J7986" t="s">
        <v>1357</v>
      </c>
      <c r="K7986" t="s">
        <v>1357</v>
      </c>
      <c r="L7986" t="s">
        <v>1357</v>
      </c>
    </row>
    <row r="7987" spans="6:12">
      <c r="F7987" t="s">
        <v>15244</v>
      </c>
      <c r="G7987" t="s">
        <v>17946</v>
      </c>
      <c r="H7987" t="s">
        <v>20446</v>
      </c>
      <c r="I7987" t="s">
        <v>1357</v>
      </c>
      <c r="J7987" t="s">
        <v>1357</v>
      </c>
      <c r="K7987" t="s">
        <v>1357</v>
      </c>
      <c r="L7987" t="s">
        <v>1357</v>
      </c>
    </row>
    <row r="7988" spans="6:12">
      <c r="F7988" t="s">
        <v>15245</v>
      </c>
      <c r="G7988" t="s">
        <v>17947</v>
      </c>
      <c r="H7988" t="s">
        <v>20446</v>
      </c>
      <c r="I7988" t="s">
        <v>1357</v>
      </c>
      <c r="J7988" t="s">
        <v>1357</v>
      </c>
      <c r="K7988" t="s">
        <v>1357</v>
      </c>
      <c r="L7988" t="s">
        <v>1357</v>
      </c>
    </row>
    <row r="7989" spans="6:12">
      <c r="F7989" t="s">
        <v>15246</v>
      </c>
      <c r="G7989" t="s">
        <v>17948</v>
      </c>
      <c r="H7989" t="s">
        <v>20446</v>
      </c>
      <c r="I7989" t="s">
        <v>1357</v>
      </c>
      <c r="J7989" t="s">
        <v>1357</v>
      </c>
      <c r="K7989" t="s">
        <v>1357</v>
      </c>
      <c r="L7989" t="s">
        <v>1357</v>
      </c>
    </row>
    <row r="7990" spans="6:12">
      <c r="F7990" t="s">
        <v>15247</v>
      </c>
      <c r="G7990" t="s">
        <v>17949</v>
      </c>
      <c r="H7990" t="s">
        <v>20446</v>
      </c>
      <c r="I7990" t="s">
        <v>1357</v>
      </c>
      <c r="J7990" t="s">
        <v>1357</v>
      </c>
      <c r="K7990" t="s">
        <v>1357</v>
      </c>
      <c r="L7990" t="s">
        <v>1357</v>
      </c>
    </row>
    <row r="7991" spans="6:12">
      <c r="F7991" t="s">
        <v>15248</v>
      </c>
      <c r="G7991" t="s">
        <v>17950</v>
      </c>
      <c r="H7991" t="s">
        <v>20446</v>
      </c>
      <c r="I7991" t="s">
        <v>1357</v>
      </c>
      <c r="J7991" t="s">
        <v>1357</v>
      </c>
      <c r="K7991" t="s">
        <v>1357</v>
      </c>
      <c r="L7991" t="s">
        <v>1357</v>
      </c>
    </row>
    <row r="7992" spans="6:12">
      <c r="F7992" t="s">
        <v>15249</v>
      </c>
      <c r="G7992" t="s">
        <v>17951</v>
      </c>
      <c r="H7992" t="s">
        <v>20446</v>
      </c>
      <c r="I7992" t="s">
        <v>1357</v>
      </c>
      <c r="J7992" t="s">
        <v>1357</v>
      </c>
      <c r="K7992" t="s">
        <v>1357</v>
      </c>
      <c r="L7992" t="s">
        <v>1357</v>
      </c>
    </row>
    <row r="7993" spans="6:12">
      <c r="F7993" t="s">
        <v>15250</v>
      </c>
      <c r="G7993" t="s">
        <v>17952</v>
      </c>
      <c r="H7993" t="s">
        <v>20446</v>
      </c>
      <c r="I7993" t="s">
        <v>1357</v>
      </c>
      <c r="J7993" t="s">
        <v>1357</v>
      </c>
      <c r="K7993" t="s">
        <v>1357</v>
      </c>
      <c r="L7993" t="s">
        <v>1357</v>
      </c>
    </row>
    <row r="7994" spans="6:12">
      <c r="F7994" t="s">
        <v>15251</v>
      </c>
      <c r="G7994" t="s">
        <v>17953</v>
      </c>
      <c r="H7994" t="s">
        <v>20446</v>
      </c>
      <c r="I7994" t="s">
        <v>1357</v>
      </c>
      <c r="J7994" t="s">
        <v>1357</v>
      </c>
      <c r="K7994" t="s">
        <v>1357</v>
      </c>
      <c r="L7994" t="s">
        <v>1357</v>
      </c>
    </row>
    <row r="7995" spans="6:12">
      <c r="F7995" t="s">
        <v>15252</v>
      </c>
      <c r="G7995" t="s">
        <v>17954</v>
      </c>
      <c r="H7995" t="s">
        <v>20446</v>
      </c>
      <c r="I7995" t="s">
        <v>1357</v>
      </c>
      <c r="J7995" t="s">
        <v>1357</v>
      </c>
      <c r="K7995" t="s">
        <v>1357</v>
      </c>
      <c r="L7995" t="s">
        <v>1357</v>
      </c>
    </row>
    <row r="7996" spans="6:12">
      <c r="F7996" t="s">
        <v>15253</v>
      </c>
      <c r="G7996" t="s">
        <v>17955</v>
      </c>
      <c r="H7996" t="s">
        <v>20446</v>
      </c>
      <c r="I7996" t="s">
        <v>1357</v>
      </c>
      <c r="J7996" t="s">
        <v>1357</v>
      </c>
      <c r="K7996" t="s">
        <v>1357</v>
      </c>
      <c r="L7996" t="s">
        <v>1357</v>
      </c>
    </row>
    <row r="7997" spans="6:12">
      <c r="F7997" t="s">
        <v>15254</v>
      </c>
      <c r="G7997" t="s">
        <v>17956</v>
      </c>
      <c r="H7997" t="s">
        <v>20446</v>
      </c>
      <c r="I7997" t="s">
        <v>1357</v>
      </c>
      <c r="J7997" t="s">
        <v>1357</v>
      </c>
      <c r="K7997" t="s">
        <v>1357</v>
      </c>
      <c r="L7997" t="s">
        <v>1357</v>
      </c>
    </row>
    <row r="7998" spans="6:12">
      <c r="F7998" t="s">
        <v>15255</v>
      </c>
      <c r="G7998" t="s">
        <v>17957</v>
      </c>
      <c r="H7998" t="s">
        <v>20446</v>
      </c>
      <c r="I7998" t="s">
        <v>1357</v>
      </c>
      <c r="J7998" t="s">
        <v>1357</v>
      </c>
      <c r="K7998" t="s">
        <v>1357</v>
      </c>
      <c r="L7998" t="s">
        <v>1357</v>
      </c>
    </row>
    <row r="7999" spans="6:12">
      <c r="F7999" t="s">
        <v>15256</v>
      </c>
      <c r="G7999" t="s">
        <v>17958</v>
      </c>
      <c r="H7999" t="s">
        <v>20446</v>
      </c>
      <c r="I7999" t="s">
        <v>1357</v>
      </c>
      <c r="J7999" t="s">
        <v>1357</v>
      </c>
      <c r="K7999" t="s">
        <v>1357</v>
      </c>
      <c r="L7999" t="s">
        <v>1357</v>
      </c>
    </row>
    <row r="8000" spans="6:12">
      <c r="F8000" t="s">
        <v>15257</v>
      </c>
      <c r="G8000" t="s">
        <v>17959</v>
      </c>
      <c r="H8000" t="s">
        <v>20446</v>
      </c>
      <c r="I8000" t="s">
        <v>1357</v>
      </c>
      <c r="J8000" t="s">
        <v>1357</v>
      </c>
      <c r="K8000" t="s">
        <v>1357</v>
      </c>
      <c r="L8000" t="s">
        <v>1357</v>
      </c>
    </row>
    <row r="8001" spans="6:12">
      <c r="F8001" t="s">
        <v>15258</v>
      </c>
      <c r="G8001" t="s">
        <v>17960</v>
      </c>
      <c r="H8001" t="s">
        <v>20446</v>
      </c>
      <c r="I8001" t="s">
        <v>1357</v>
      </c>
      <c r="J8001" t="s">
        <v>1357</v>
      </c>
      <c r="K8001" t="s">
        <v>1357</v>
      </c>
      <c r="L8001" t="s">
        <v>1357</v>
      </c>
    </row>
    <row r="8002" spans="6:12">
      <c r="F8002" t="s">
        <v>15259</v>
      </c>
      <c r="G8002" t="s">
        <v>17961</v>
      </c>
      <c r="H8002" t="s">
        <v>20446</v>
      </c>
      <c r="I8002" t="s">
        <v>1357</v>
      </c>
      <c r="J8002" t="s">
        <v>1357</v>
      </c>
      <c r="K8002" t="s">
        <v>1357</v>
      </c>
      <c r="L8002" t="s">
        <v>1357</v>
      </c>
    </row>
    <row r="8003" spans="6:12">
      <c r="F8003" t="s">
        <v>15260</v>
      </c>
      <c r="G8003" t="s">
        <v>17962</v>
      </c>
      <c r="H8003" t="s">
        <v>20446</v>
      </c>
      <c r="I8003" t="s">
        <v>1357</v>
      </c>
      <c r="J8003" t="s">
        <v>1357</v>
      </c>
      <c r="K8003" t="s">
        <v>1357</v>
      </c>
      <c r="L8003" t="s">
        <v>1357</v>
      </c>
    </row>
    <row r="8004" spans="6:12">
      <c r="F8004" t="s">
        <v>15261</v>
      </c>
      <c r="G8004" t="s">
        <v>17963</v>
      </c>
      <c r="H8004" t="s">
        <v>20446</v>
      </c>
      <c r="I8004" t="s">
        <v>1357</v>
      </c>
      <c r="J8004" t="s">
        <v>1357</v>
      </c>
      <c r="K8004" t="s">
        <v>1357</v>
      </c>
      <c r="L8004" t="s">
        <v>1357</v>
      </c>
    </row>
    <row r="8005" spans="6:12">
      <c r="F8005" t="s">
        <v>15262</v>
      </c>
      <c r="G8005" t="s">
        <v>17964</v>
      </c>
      <c r="H8005" t="s">
        <v>20446</v>
      </c>
      <c r="I8005" t="s">
        <v>1357</v>
      </c>
      <c r="J8005" t="s">
        <v>1357</v>
      </c>
      <c r="K8005" t="s">
        <v>1357</v>
      </c>
      <c r="L8005" t="s">
        <v>1357</v>
      </c>
    </row>
    <row r="8006" spans="6:12">
      <c r="F8006" t="s">
        <v>15263</v>
      </c>
      <c r="G8006" t="s">
        <v>17965</v>
      </c>
      <c r="H8006" t="s">
        <v>20446</v>
      </c>
      <c r="I8006" t="s">
        <v>1357</v>
      </c>
      <c r="J8006" t="s">
        <v>1357</v>
      </c>
      <c r="K8006" t="s">
        <v>1357</v>
      </c>
      <c r="L8006" t="s">
        <v>1357</v>
      </c>
    </row>
    <row r="8007" spans="6:12">
      <c r="F8007" t="s">
        <v>15264</v>
      </c>
      <c r="G8007" t="s">
        <v>17966</v>
      </c>
      <c r="H8007" t="s">
        <v>20446</v>
      </c>
      <c r="I8007" t="s">
        <v>1357</v>
      </c>
      <c r="J8007" t="s">
        <v>1357</v>
      </c>
      <c r="K8007" t="s">
        <v>1357</v>
      </c>
      <c r="L8007" t="s">
        <v>1357</v>
      </c>
    </row>
    <row r="8008" spans="6:12">
      <c r="F8008" t="s">
        <v>15265</v>
      </c>
      <c r="G8008" t="s">
        <v>17967</v>
      </c>
      <c r="H8008" t="s">
        <v>20446</v>
      </c>
      <c r="I8008" t="s">
        <v>1357</v>
      </c>
      <c r="J8008" t="s">
        <v>1357</v>
      </c>
      <c r="K8008" t="s">
        <v>1357</v>
      </c>
      <c r="L8008" t="s">
        <v>1357</v>
      </c>
    </row>
    <row r="8009" spans="6:12">
      <c r="F8009" t="s">
        <v>15266</v>
      </c>
      <c r="G8009" t="s">
        <v>17968</v>
      </c>
      <c r="H8009" t="s">
        <v>20446</v>
      </c>
      <c r="I8009" t="s">
        <v>1357</v>
      </c>
      <c r="J8009" t="s">
        <v>1357</v>
      </c>
      <c r="K8009" t="s">
        <v>1357</v>
      </c>
      <c r="L8009" t="s">
        <v>1357</v>
      </c>
    </row>
    <row r="8010" spans="6:12">
      <c r="F8010" t="s">
        <v>15267</v>
      </c>
      <c r="G8010" t="s">
        <v>17969</v>
      </c>
      <c r="H8010" t="s">
        <v>20446</v>
      </c>
      <c r="I8010" t="s">
        <v>1357</v>
      </c>
      <c r="J8010" t="s">
        <v>1357</v>
      </c>
      <c r="K8010" t="s">
        <v>1357</v>
      </c>
      <c r="L8010" t="s">
        <v>1357</v>
      </c>
    </row>
    <row r="8011" spans="6:12">
      <c r="F8011" t="s">
        <v>15268</v>
      </c>
      <c r="G8011" t="s">
        <v>17970</v>
      </c>
      <c r="H8011" t="s">
        <v>20446</v>
      </c>
      <c r="I8011" t="s">
        <v>1357</v>
      </c>
      <c r="J8011" t="s">
        <v>1357</v>
      </c>
      <c r="K8011" t="s">
        <v>1357</v>
      </c>
      <c r="L8011" t="s">
        <v>1357</v>
      </c>
    </row>
    <row r="8012" spans="6:12">
      <c r="F8012" t="s">
        <v>15269</v>
      </c>
      <c r="G8012" t="s">
        <v>17971</v>
      </c>
      <c r="H8012" t="s">
        <v>20446</v>
      </c>
      <c r="I8012" t="s">
        <v>1357</v>
      </c>
      <c r="J8012" t="s">
        <v>1357</v>
      </c>
      <c r="K8012" t="s">
        <v>1357</v>
      </c>
      <c r="L8012" t="s">
        <v>1357</v>
      </c>
    </row>
    <row r="8013" spans="6:12">
      <c r="F8013" t="s">
        <v>15270</v>
      </c>
      <c r="G8013" t="s">
        <v>17972</v>
      </c>
      <c r="H8013" t="s">
        <v>20446</v>
      </c>
      <c r="I8013" t="s">
        <v>1357</v>
      </c>
      <c r="J8013" t="s">
        <v>1357</v>
      </c>
      <c r="K8013" t="s">
        <v>1357</v>
      </c>
      <c r="L8013" t="s">
        <v>1357</v>
      </c>
    </row>
    <row r="8014" spans="6:12">
      <c r="F8014" t="s">
        <v>15271</v>
      </c>
      <c r="G8014" t="s">
        <v>17973</v>
      </c>
      <c r="H8014" t="s">
        <v>20446</v>
      </c>
      <c r="I8014" t="s">
        <v>1357</v>
      </c>
      <c r="J8014" t="s">
        <v>1357</v>
      </c>
      <c r="K8014" t="s">
        <v>1357</v>
      </c>
      <c r="L8014" t="s">
        <v>1357</v>
      </c>
    </row>
    <row r="8015" spans="6:12">
      <c r="F8015" t="s">
        <v>15272</v>
      </c>
      <c r="G8015" t="s">
        <v>17974</v>
      </c>
      <c r="H8015" t="s">
        <v>20446</v>
      </c>
      <c r="I8015" t="s">
        <v>1357</v>
      </c>
      <c r="J8015" t="s">
        <v>1357</v>
      </c>
      <c r="K8015" t="s">
        <v>1357</v>
      </c>
      <c r="L8015" t="s">
        <v>1357</v>
      </c>
    </row>
    <row r="8016" spans="6:12">
      <c r="F8016" t="s">
        <v>15273</v>
      </c>
      <c r="G8016" t="s">
        <v>17975</v>
      </c>
      <c r="H8016" t="s">
        <v>20446</v>
      </c>
      <c r="I8016" t="s">
        <v>1357</v>
      </c>
      <c r="J8016" t="s">
        <v>1357</v>
      </c>
      <c r="K8016" t="s">
        <v>1357</v>
      </c>
      <c r="L8016" t="s">
        <v>1357</v>
      </c>
    </row>
    <row r="8017" spans="6:12">
      <c r="F8017" t="s">
        <v>15274</v>
      </c>
      <c r="G8017" t="s">
        <v>17976</v>
      </c>
      <c r="H8017" t="s">
        <v>20446</v>
      </c>
      <c r="I8017" t="s">
        <v>1357</v>
      </c>
      <c r="J8017" t="s">
        <v>1357</v>
      </c>
      <c r="K8017" t="s">
        <v>1357</v>
      </c>
      <c r="L8017" t="s">
        <v>1357</v>
      </c>
    </row>
    <row r="8018" spans="6:12">
      <c r="F8018" t="s">
        <v>15275</v>
      </c>
      <c r="G8018" t="s">
        <v>17977</v>
      </c>
      <c r="H8018" t="s">
        <v>20446</v>
      </c>
      <c r="I8018" t="s">
        <v>1357</v>
      </c>
      <c r="J8018" t="s">
        <v>1357</v>
      </c>
      <c r="K8018" t="s">
        <v>1357</v>
      </c>
      <c r="L8018" t="s">
        <v>1357</v>
      </c>
    </row>
    <row r="8019" spans="6:12">
      <c r="F8019" t="s">
        <v>15276</v>
      </c>
      <c r="G8019" t="s">
        <v>17978</v>
      </c>
      <c r="H8019" t="s">
        <v>20446</v>
      </c>
      <c r="I8019" t="s">
        <v>1357</v>
      </c>
      <c r="J8019" t="s">
        <v>1357</v>
      </c>
      <c r="K8019" t="s">
        <v>1357</v>
      </c>
      <c r="L8019" t="s">
        <v>1357</v>
      </c>
    </row>
    <row r="8020" spans="6:12">
      <c r="F8020" t="s">
        <v>15277</v>
      </c>
      <c r="G8020" t="s">
        <v>17979</v>
      </c>
      <c r="H8020" t="s">
        <v>20446</v>
      </c>
      <c r="I8020" t="s">
        <v>1357</v>
      </c>
      <c r="J8020" t="s">
        <v>1357</v>
      </c>
      <c r="K8020" t="s">
        <v>1357</v>
      </c>
      <c r="L8020" t="s">
        <v>1357</v>
      </c>
    </row>
    <row r="8021" spans="6:12">
      <c r="F8021" t="s">
        <v>15278</v>
      </c>
      <c r="G8021" t="s">
        <v>17980</v>
      </c>
      <c r="H8021" t="s">
        <v>20446</v>
      </c>
      <c r="I8021" t="s">
        <v>1357</v>
      </c>
      <c r="J8021" t="s">
        <v>1357</v>
      </c>
      <c r="K8021" t="s">
        <v>1357</v>
      </c>
      <c r="L8021" t="s">
        <v>1357</v>
      </c>
    </row>
    <row r="8022" spans="6:12">
      <c r="F8022" t="s">
        <v>15279</v>
      </c>
      <c r="G8022" t="s">
        <v>17981</v>
      </c>
      <c r="H8022" t="s">
        <v>20446</v>
      </c>
      <c r="I8022" t="s">
        <v>1357</v>
      </c>
      <c r="J8022" t="s">
        <v>1357</v>
      </c>
      <c r="K8022" t="s">
        <v>1357</v>
      </c>
      <c r="L8022" t="s">
        <v>1357</v>
      </c>
    </row>
    <row r="8023" spans="6:12">
      <c r="F8023" t="s">
        <v>15280</v>
      </c>
      <c r="G8023" t="s">
        <v>17982</v>
      </c>
      <c r="H8023" t="s">
        <v>20446</v>
      </c>
      <c r="I8023" t="s">
        <v>1357</v>
      </c>
      <c r="J8023" t="s">
        <v>1357</v>
      </c>
      <c r="K8023" t="s">
        <v>1357</v>
      </c>
      <c r="L8023" t="s">
        <v>1357</v>
      </c>
    </row>
    <row r="8024" spans="6:12">
      <c r="F8024" t="s">
        <v>15281</v>
      </c>
      <c r="G8024" t="s">
        <v>17983</v>
      </c>
      <c r="H8024" t="s">
        <v>20446</v>
      </c>
      <c r="I8024" t="s">
        <v>1357</v>
      </c>
      <c r="J8024" t="s">
        <v>1357</v>
      </c>
      <c r="K8024" t="s">
        <v>1357</v>
      </c>
      <c r="L8024" t="s">
        <v>1357</v>
      </c>
    </row>
    <row r="8025" spans="6:12">
      <c r="F8025" t="s">
        <v>15282</v>
      </c>
      <c r="G8025" t="s">
        <v>17984</v>
      </c>
      <c r="H8025" t="s">
        <v>20446</v>
      </c>
      <c r="I8025" t="s">
        <v>1357</v>
      </c>
      <c r="J8025" t="s">
        <v>1357</v>
      </c>
      <c r="K8025" t="s">
        <v>1357</v>
      </c>
      <c r="L8025" t="s">
        <v>1357</v>
      </c>
    </row>
    <row r="8026" spans="6:12">
      <c r="F8026" t="s">
        <v>15283</v>
      </c>
      <c r="G8026" t="s">
        <v>17985</v>
      </c>
      <c r="H8026" t="s">
        <v>20446</v>
      </c>
      <c r="I8026" t="s">
        <v>1357</v>
      </c>
      <c r="J8026" t="s">
        <v>1357</v>
      </c>
      <c r="K8026" t="s">
        <v>1357</v>
      </c>
      <c r="L8026" t="s">
        <v>1357</v>
      </c>
    </row>
    <row r="8027" spans="6:12">
      <c r="F8027" t="s">
        <v>15284</v>
      </c>
      <c r="G8027" t="s">
        <v>17986</v>
      </c>
      <c r="H8027" t="s">
        <v>20446</v>
      </c>
      <c r="I8027" t="s">
        <v>1357</v>
      </c>
      <c r="J8027" t="s">
        <v>1357</v>
      </c>
      <c r="K8027" t="s">
        <v>1357</v>
      </c>
      <c r="L8027" t="s">
        <v>1357</v>
      </c>
    </row>
    <row r="8028" spans="6:12">
      <c r="F8028" t="s">
        <v>15285</v>
      </c>
      <c r="G8028" t="s">
        <v>17987</v>
      </c>
      <c r="H8028" t="s">
        <v>20446</v>
      </c>
      <c r="I8028" t="s">
        <v>1357</v>
      </c>
      <c r="J8028" t="s">
        <v>1357</v>
      </c>
      <c r="K8028" t="s">
        <v>1357</v>
      </c>
      <c r="L8028" t="s">
        <v>1357</v>
      </c>
    </row>
    <row r="8029" spans="6:12">
      <c r="F8029" t="s">
        <v>15286</v>
      </c>
      <c r="G8029" t="s">
        <v>17988</v>
      </c>
      <c r="H8029" t="s">
        <v>20446</v>
      </c>
      <c r="I8029" t="s">
        <v>1357</v>
      </c>
      <c r="J8029" t="s">
        <v>1357</v>
      </c>
      <c r="K8029" t="s">
        <v>1357</v>
      </c>
      <c r="L8029" t="s">
        <v>1357</v>
      </c>
    </row>
    <row r="8030" spans="6:12">
      <c r="F8030" t="s">
        <v>15287</v>
      </c>
      <c r="G8030" t="s">
        <v>17989</v>
      </c>
      <c r="H8030" t="s">
        <v>20446</v>
      </c>
      <c r="I8030" t="s">
        <v>1357</v>
      </c>
      <c r="J8030" t="s">
        <v>1357</v>
      </c>
      <c r="K8030" t="s">
        <v>1357</v>
      </c>
      <c r="L8030" t="s">
        <v>1357</v>
      </c>
    </row>
    <row r="8031" spans="6:12">
      <c r="F8031" t="s">
        <v>15288</v>
      </c>
      <c r="G8031" t="s">
        <v>17990</v>
      </c>
      <c r="H8031" t="s">
        <v>20446</v>
      </c>
      <c r="I8031" t="s">
        <v>1357</v>
      </c>
      <c r="J8031" t="s">
        <v>1357</v>
      </c>
      <c r="K8031" t="s">
        <v>1357</v>
      </c>
      <c r="L8031" t="s">
        <v>1357</v>
      </c>
    </row>
    <row r="8032" spans="6:12">
      <c r="F8032" t="s">
        <v>15289</v>
      </c>
      <c r="G8032" t="s">
        <v>17991</v>
      </c>
      <c r="H8032" t="s">
        <v>20446</v>
      </c>
      <c r="I8032" t="s">
        <v>1357</v>
      </c>
      <c r="J8032" t="s">
        <v>1357</v>
      </c>
      <c r="K8032" t="s">
        <v>1357</v>
      </c>
      <c r="L8032" t="s">
        <v>1357</v>
      </c>
    </row>
    <row r="8033" spans="6:12">
      <c r="F8033" t="s">
        <v>15290</v>
      </c>
      <c r="G8033" t="s">
        <v>17992</v>
      </c>
      <c r="H8033" t="s">
        <v>20446</v>
      </c>
      <c r="I8033" t="s">
        <v>1357</v>
      </c>
      <c r="J8033" t="s">
        <v>1357</v>
      </c>
      <c r="K8033" t="s">
        <v>1357</v>
      </c>
      <c r="L8033" t="s">
        <v>1357</v>
      </c>
    </row>
    <row r="8034" spans="6:12">
      <c r="F8034" t="s">
        <v>15291</v>
      </c>
      <c r="G8034" t="s">
        <v>17993</v>
      </c>
      <c r="H8034" t="s">
        <v>20446</v>
      </c>
      <c r="I8034" t="s">
        <v>1357</v>
      </c>
      <c r="J8034" t="s">
        <v>1357</v>
      </c>
      <c r="K8034" t="s">
        <v>1357</v>
      </c>
      <c r="L8034" t="s">
        <v>1357</v>
      </c>
    </row>
    <row r="8035" spans="6:12">
      <c r="F8035" t="s">
        <v>15292</v>
      </c>
      <c r="G8035" t="s">
        <v>17994</v>
      </c>
      <c r="H8035" t="s">
        <v>20446</v>
      </c>
      <c r="I8035" t="s">
        <v>1357</v>
      </c>
      <c r="J8035" t="s">
        <v>1357</v>
      </c>
      <c r="K8035" t="s">
        <v>1357</v>
      </c>
      <c r="L8035" t="s">
        <v>1357</v>
      </c>
    </row>
    <row r="8036" spans="6:12">
      <c r="F8036" t="s">
        <v>15293</v>
      </c>
      <c r="G8036" t="s">
        <v>17995</v>
      </c>
      <c r="H8036" t="s">
        <v>20446</v>
      </c>
      <c r="I8036" t="s">
        <v>1357</v>
      </c>
      <c r="J8036" t="s">
        <v>1357</v>
      </c>
      <c r="K8036" t="s">
        <v>1357</v>
      </c>
      <c r="L8036" t="s">
        <v>1357</v>
      </c>
    </row>
    <row r="8037" spans="6:12">
      <c r="F8037" t="s">
        <v>15294</v>
      </c>
      <c r="G8037" t="s">
        <v>17996</v>
      </c>
      <c r="H8037" t="s">
        <v>20446</v>
      </c>
      <c r="I8037" t="s">
        <v>1357</v>
      </c>
      <c r="J8037" t="s">
        <v>1357</v>
      </c>
      <c r="K8037" t="s">
        <v>1357</v>
      </c>
      <c r="L8037" t="s">
        <v>1357</v>
      </c>
    </row>
    <row r="8038" spans="6:12">
      <c r="F8038" t="s">
        <v>15295</v>
      </c>
      <c r="G8038" t="s">
        <v>17997</v>
      </c>
      <c r="H8038" t="s">
        <v>20446</v>
      </c>
      <c r="I8038" t="s">
        <v>1357</v>
      </c>
      <c r="J8038" t="s">
        <v>1357</v>
      </c>
      <c r="K8038" t="s">
        <v>1357</v>
      </c>
      <c r="L8038" t="s">
        <v>1357</v>
      </c>
    </row>
    <row r="8039" spans="6:12">
      <c r="F8039" t="s">
        <v>15296</v>
      </c>
      <c r="G8039" t="s">
        <v>17998</v>
      </c>
      <c r="H8039" t="s">
        <v>20446</v>
      </c>
      <c r="I8039" t="s">
        <v>1357</v>
      </c>
      <c r="J8039" t="s">
        <v>1357</v>
      </c>
      <c r="K8039" t="s">
        <v>1357</v>
      </c>
      <c r="L8039" t="s">
        <v>1357</v>
      </c>
    </row>
    <row r="8040" spans="6:12">
      <c r="F8040" t="s">
        <v>15297</v>
      </c>
      <c r="G8040" t="s">
        <v>17999</v>
      </c>
      <c r="H8040" t="s">
        <v>20446</v>
      </c>
      <c r="I8040" t="s">
        <v>1357</v>
      </c>
      <c r="J8040" t="s">
        <v>1357</v>
      </c>
      <c r="K8040" t="s">
        <v>1357</v>
      </c>
      <c r="L8040" t="s">
        <v>1357</v>
      </c>
    </row>
    <row r="8041" spans="6:12">
      <c r="F8041" t="s">
        <v>15298</v>
      </c>
      <c r="G8041" t="s">
        <v>18000</v>
      </c>
      <c r="H8041" t="s">
        <v>20446</v>
      </c>
      <c r="I8041" t="s">
        <v>1357</v>
      </c>
      <c r="J8041" t="s">
        <v>1357</v>
      </c>
      <c r="K8041" t="s">
        <v>1357</v>
      </c>
      <c r="L8041" t="s">
        <v>1357</v>
      </c>
    </row>
    <row r="8042" spans="6:12">
      <c r="F8042" t="s">
        <v>15299</v>
      </c>
      <c r="G8042" t="s">
        <v>18001</v>
      </c>
      <c r="H8042" t="s">
        <v>20446</v>
      </c>
      <c r="I8042" t="s">
        <v>1357</v>
      </c>
      <c r="J8042" t="s">
        <v>1357</v>
      </c>
      <c r="K8042" t="s">
        <v>1357</v>
      </c>
      <c r="L8042" t="s">
        <v>1357</v>
      </c>
    </row>
    <row r="8043" spans="6:12">
      <c r="F8043" t="s">
        <v>15300</v>
      </c>
      <c r="G8043" t="s">
        <v>18002</v>
      </c>
      <c r="H8043" t="s">
        <v>20446</v>
      </c>
      <c r="I8043" t="s">
        <v>1357</v>
      </c>
      <c r="J8043" t="s">
        <v>1357</v>
      </c>
      <c r="K8043" t="s">
        <v>1357</v>
      </c>
      <c r="L8043" t="s">
        <v>1357</v>
      </c>
    </row>
    <row r="8044" spans="6:12">
      <c r="F8044" t="s">
        <v>15301</v>
      </c>
      <c r="G8044" t="s">
        <v>18003</v>
      </c>
      <c r="H8044" t="s">
        <v>20446</v>
      </c>
      <c r="I8044" t="s">
        <v>1357</v>
      </c>
      <c r="J8044" t="s">
        <v>1357</v>
      </c>
      <c r="K8044" t="s">
        <v>1357</v>
      </c>
      <c r="L8044" t="s">
        <v>1357</v>
      </c>
    </row>
    <row r="8045" spans="6:12">
      <c r="F8045" t="s">
        <v>15302</v>
      </c>
      <c r="G8045" t="s">
        <v>18004</v>
      </c>
      <c r="H8045" t="s">
        <v>20446</v>
      </c>
      <c r="I8045" t="s">
        <v>1357</v>
      </c>
      <c r="J8045" t="s">
        <v>1357</v>
      </c>
      <c r="K8045" t="s">
        <v>1357</v>
      </c>
      <c r="L8045" t="s">
        <v>1357</v>
      </c>
    </row>
    <row r="8046" spans="6:12">
      <c r="F8046" t="s">
        <v>15303</v>
      </c>
      <c r="G8046" t="s">
        <v>18005</v>
      </c>
      <c r="H8046" t="s">
        <v>20446</v>
      </c>
      <c r="I8046" t="s">
        <v>1357</v>
      </c>
      <c r="J8046" t="s">
        <v>1357</v>
      </c>
      <c r="K8046" t="s">
        <v>1357</v>
      </c>
      <c r="L8046" t="s">
        <v>1357</v>
      </c>
    </row>
    <row r="8047" spans="6:12">
      <c r="F8047" t="s">
        <v>15304</v>
      </c>
      <c r="G8047" t="s">
        <v>18006</v>
      </c>
      <c r="H8047" t="s">
        <v>20446</v>
      </c>
      <c r="I8047" t="s">
        <v>1357</v>
      </c>
      <c r="J8047" t="s">
        <v>1357</v>
      </c>
      <c r="K8047" t="s">
        <v>1357</v>
      </c>
      <c r="L8047" t="s">
        <v>1357</v>
      </c>
    </row>
    <row r="8048" spans="6:12">
      <c r="F8048" t="s">
        <v>15305</v>
      </c>
      <c r="G8048" t="s">
        <v>18007</v>
      </c>
      <c r="H8048" t="s">
        <v>20446</v>
      </c>
      <c r="I8048" t="s">
        <v>1357</v>
      </c>
      <c r="J8048" t="s">
        <v>1357</v>
      </c>
      <c r="K8048" t="s">
        <v>1357</v>
      </c>
      <c r="L8048" t="s">
        <v>1357</v>
      </c>
    </row>
    <row r="8049" spans="6:12">
      <c r="F8049" t="s">
        <v>15306</v>
      </c>
      <c r="G8049" t="s">
        <v>18008</v>
      </c>
      <c r="H8049" t="s">
        <v>20446</v>
      </c>
      <c r="I8049" t="s">
        <v>1357</v>
      </c>
      <c r="J8049" t="s">
        <v>1357</v>
      </c>
      <c r="K8049" t="s">
        <v>1357</v>
      </c>
      <c r="L8049" t="s">
        <v>1357</v>
      </c>
    </row>
    <row r="8050" spans="6:12">
      <c r="F8050" t="s">
        <v>15307</v>
      </c>
      <c r="G8050" t="s">
        <v>18009</v>
      </c>
      <c r="H8050" t="s">
        <v>20446</v>
      </c>
      <c r="I8050" t="s">
        <v>1357</v>
      </c>
      <c r="J8050" t="s">
        <v>1357</v>
      </c>
      <c r="K8050" t="s">
        <v>1357</v>
      </c>
      <c r="L8050" t="s">
        <v>1357</v>
      </c>
    </row>
    <row r="8051" spans="6:12">
      <c r="F8051" t="s">
        <v>15308</v>
      </c>
      <c r="G8051" t="s">
        <v>18010</v>
      </c>
      <c r="H8051" t="s">
        <v>20446</v>
      </c>
      <c r="I8051" t="s">
        <v>1357</v>
      </c>
      <c r="J8051" t="s">
        <v>1357</v>
      </c>
      <c r="K8051" t="s">
        <v>1357</v>
      </c>
      <c r="L8051" t="s">
        <v>1357</v>
      </c>
    </row>
    <row r="8052" spans="6:12">
      <c r="F8052" t="s">
        <v>15309</v>
      </c>
      <c r="G8052" t="s">
        <v>18011</v>
      </c>
      <c r="H8052" t="s">
        <v>20446</v>
      </c>
      <c r="I8052" t="s">
        <v>1357</v>
      </c>
      <c r="J8052" t="s">
        <v>1357</v>
      </c>
      <c r="K8052" t="s">
        <v>1357</v>
      </c>
      <c r="L8052" t="s">
        <v>1357</v>
      </c>
    </row>
    <row r="8053" spans="6:12">
      <c r="F8053" t="s">
        <v>15310</v>
      </c>
      <c r="G8053" t="s">
        <v>18012</v>
      </c>
      <c r="H8053" t="s">
        <v>20446</v>
      </c>
      <c r="I8053" t="s">
        <v>1357</v>
      </c>
      <c r="J8053" t="s">
        <v>1357</v>
      </c>
      <c r="K8053" t="s">
        <v>1357</v>
      </c>
      <c r="L8053" t="s">
        <v>1357</v>
      </c>
    </row>
    <row r="8054" spans="6:12">
      <c r="F8054" t="s">
        <v>15311</v>
      </c>
      <c r="G8054" t="s">
        <v>18013</v>
      </c>
      <c r="H8054" t="s">
        <v>20446</v>
      </c>
      <c r="I8054" t="s">
        <v>1357</v>
      </c>
      <c r="J8054" t="s">
        <v>1357</v>
      </c>
      <c r="K8054" t="s">
        <v>1357</v>
      </c>
      <c r="L8054" t="s">
        <v>1357</v>
      </c>
    </row>
    <row r="8055" spans="6:12">
      <c r="F8055" t="s">
        <v>15312</v>
      </c>
      <c r="G8055" t="s">
        <v>18014</v>
      </c>
      <c r="H8055" t="s">
        <v>20446</v>
      </c>
      <c r="I8055" t="s">
        <v>1357</v>
      </c>
      <c r="J8055" t="s">
        <v>1357</v>
      </c>
      <c r="K8055" t="s">
        <v>1357</v>
      </c>
      <c r="L8055" t="s">
        <v>1357</v>
      </c>
    </row>
    <row r="8056" spans="6:12">
      <c r="F8056" t="s">
        <v>15313</v>
      </c>
      <c r="G8056" t="s">
        <v>18015</v>
      </c>
      <c r="H8056" t="s">
        <v>20446</v>
      </c>
      <c r="I8056" t="s">
        <v>1357</v>
      </c>
      <c r="J8056" t="s">
        <v>1357</v>
      </c>
      <c r="K8056" t="s">
        <v>1357</v>
      </c>
      <c r="L8056" t="s">
        <v>1357</v>
      </c>
    </row>
    <row r="8057" spans="6:12">
      <c r="F8057" t="s">
        <v>15314</v>
      </c>
      <c r="G8057" t="s">
        <v>18016</v>
      </c>
      <c r="H8057" t="s">
        <v>20446</v>
      </c>
      <c r="I8057" t="s">
        <v>1357</v>
      </c>
      <c r="J8057" t="s">
        <v>1357</v>
      </c>
      <c r="K8057" t="s">
        <v>1357</v>
      </c>
      <c r="L8057" t="s">
        <v>1357</v>
      </c>
    </row>
    <row r="8058" spans="6:12">
      <c r="F8058" t="s">
        <v>15315</v>
      </c>
      <c r="G8058" t="s">
        <v>18017</v>
      </c>
      <c r="H8058" t="s">
        <v>20446</v>
      </c>
      <c r="I8058" t="s">
        <v>1357</v>
      </c>
      <c r="J8058" t="s">
        <v>1357</v>
      </c>
      <c r="K8058" t="s">
        <v>1357</v>
      </c>
      <c r="L8058" t="s">
        <v>1357</v>
      </c>
    </row>
    <row r="8059" spans="6:12">
      <c r="F8059" t="s">
        <v>15316</v>
      </c>
      <c r="G8059" t="s">
        <v>18018</v>
      </c>
      <c r="H8059" t="s">
        <v>20446</v>
      </c>
      <c r="I8059" t="s">
        <v>1357</v>
      </c>
      <c r="J8059" t="s">
        <v>1357</v>
      </c>
      <c r="K8059" t="s">
        <v>1357</v>
      </c>
      <c r="L8059" t="s">
        <v>1357</v>
      </c>
    </row>
    <row r="8060" spans="6:12">
      <c r="F8060" t="s">
        <v>15317</v>
      </c>
      <c r="G8060" t="s">
        <v>18019</v>
      </c>
      <c r="H8060" t="s">
        <v>20446</v>
      </c>
      <c r="I8060" t="s">
        <v>1357</v>
      </c>
      <c r="J8060" t="s">
        <v>1357</v>
      </c>
      <c r="K8060" t="s">
        <v>1357</v>
      </c>
      <c r="L8060" t="s">
        <v>1357</v>
      </c>
    </row>
    <row r="8061" spans="6:12">
      <c r="F8061" t="s">
        <v>15318</v>
      </c>
      <c r="G8061" t="s">
        <v>18020</v>
      </c>
      <c r="H8061" t="s">
        <v>20446</v>
      </c>
      <c r="I8061" t="s">
        <v>1357</v>
      </c>
      <c r="J8061" t="s">
        <v>1357</v>
      </c>
      <c r="K8061" t="s">
        <v>1357</v>
      </c>
      <c r="L8061" t="s">
        <v>1357</v>
      </c>
    </row>
    <row r="8062" spans="6:12">
      <c r="F8062" t="s">
        <v>15319</v>
      </c>
      <c r="G8062" t="s">
        <v>18021</v>
      </c>
      <c r="H8062" t="s">
        <v>20446</v>
      </c>
      <c r="I8062" t="s">
        <v>1357</v>
      </c>
      <c r="J8062" t="s">
        <v>1357</v>
      </c>
      <c r="K8062" t="s">
        <v>1357</v>
      </c>
      <c r="L8062" t="s">
        <v>1357</v>
      </c>
    </row>
    <row r="8063" spans="6:12">
      <c r="F8063" t="s">
        <v>15320</v>
      </c>
      <c r="G8063" t="s">
        <v>18022</v>
      </c>
      <c r="H8063" t="s">
        <v>20446</v>
      </c>
      <c r="I8063" t="s">
        <v>1357</v>
      </c>
      <c r="J8063" t="s">
        <v>1357</v>
      </c>
      <c r="K8063" t="s">
        <v>1357</v>
      </c>
      <c r="L8063" t="s">
        <v>1357</v>
      </c>
    </row>
    <row r="8064" spans="6:12">
      <c r="F8064" t="s">
        <v>15321</v>
      </c>
      <c r="G8064" t="s">
        <v>18023</v>
      </c>
      <c r="H8064" t="s">
        <v>20446</v>
      </c>
      <c r="I8064" t="s">
        <v>1357</v>
      </c>
      <c r="J8064" t="s">
        <v>1357</v>
      </c>
      <c r="K8064" t="s">
        <v>1357</v>
      </c>
      <c r="L8064" t="s">
        <v>1357</v>
      </c>
    </row>
    <row r="8065" spans="6:12">
      <c r="F8065" t="s">
        <v>15322</v>
      </c>
      <c r="G8065" t="s">
        <v>18024</v>
      </c>
      <c r="H8065" t="s">
        <v>20446</v>
      </c>
      <c r="I8065" t="s">
        <v>1357</v>
      </c>
      <c r="J8065" t="s">
        <v>1357</v>
      </c>
      <c r="K8065" t="s">
        <v>1357</v>
      </c>
      <c r="L8065" t="s">
        <v>1357</v>
      </c>
    </row>
    <row r="8066" spans="6:12">
      <c r="F8066" t="s">
        <v>15323</v>
      </c>
      <c r="G8066" t="s">
        <v>18025</v>
      </c>
      <c r="H8066" t="s">
        <v>20446</v>
      </c>
      <c r="I8066" t="s">
        <v>1357</v>
      </c>
      <c r="J8066" t="s">
        <v>1357</v>
      </c>
      <c r="K8066" t="s">
        <v>1357</v>
      </c>
      <c r="L8066" t="s">
        <v>1357</v>
      </c>
    </row>
    <row r="8067" spans="6:12">
      <c r="F8067" t="s">
        <v>15324</v>
      </c>
      <c r="G8067" t="s">
        <v>18026</v>
      </c>
      <c r="H8067" t="s">
        <v>20446</v>
      </c>
      <c r="I8067" t="s">
        <v>1357</v>
      </c>
      <c r="J8067" t="s">
        <v>1357</v>
      </c>
      <c r="K8067" t="s">
        <v>1357</v>
      </c>
      <c r="L8067" t="s">
        <v>1357</v>
      </c>
    </row>
    <row r="8068" spans="6:12">
      <c r="F8068" t="s">
        <v>15325</v>
      </c>
      <c r="G8068" t="s">
        <v>18027</v>
      </c>
      <c r="H8068" t="s">
        <v>20446</v>
      </c>
      <c r="I8068" t="s">
        <v>1357</v>
      </c>
      <c r="J8068" t="s">
        <v>1357</v>
      </c>
      <c r="K8068" t="s">
        <v>1357</v>
      </c>
      <c r="L8068" t="s">
        <v>1357</v>
      </c>
    </row>
    <row r="8069" spans="6:12">
      <c r="F8069" t="s">
        <v>15326</v>
      </c>
      <c r="G8069" t="s">
        <v>18028</v>
      </c>
      <c r="H8069" t="s">
        <v>20446</v>
      </c>
      <c r="I8069" t="s">
        <v>1357</v>
      </c>
      <c r="J8069" t="s">
        <v>1357</v>
      </c>
      <c r="K8069" t="s">
        <v>1357</v>
      </c>
      <c r="L8069" t="s">
        <v>1357</v>
      </c>
    </row>
    <row r="8070" spans="6:12">
      <c r="F8070" t="s">
        <v>15327</v>
      </c>
      <c r="G8070" t="s">
        <v>18029</v>
      </c>
      <c r="H8070" t="s">
        <v>20446</v>
      </c>
      <c r="I8070" t="s">
        <v>1357</v>
      </c>
      <c r="J8070" t="s">
        <v>1357</v>
      </c>
      <c r="K8070" t="s">
        <v>1357</v>
      </c>
      <c r="L8070" t="s">
        <v>1357</v>
      </c>
    </row>
    <row r="8071" spans="6:12">
      <c r="F8071" t="s">
        <v>15328</v>
      </c>
      <c r="G8071" t="s">
        <v>18030</v>
      </c>
      <c r="H8071" t="s">
        <v>20446</v>
      </c>
      <c r="I8071" t="s">
        <v>1357</v>
      </c>
      <c r="J8071" t="s">
        <v>1357</v>
      </c>
      <c r="K8071" t="s">
        <v>1357</v>
      </c>
      <c r="L8071" t="s">
        <v>1357</v>
      </c>
    </row>
    <row r="8072" spans="6:12">
      <c r="F8072" t="s">
        <v>15329</v>
      </c>
      <c r="G8072" t="s">
        <v>18031</v>
      </c>
      <c r="H8072" t="s">
        <v>20446</v>
      </c>
      <c r="I8072" t="s">
        <v>1357</v>
      </c>
      <c r="J8072" t="s">
        <v>1357</v>
      </c>
      <c r="K8072" t="s">
        <v>1357</v>
      </c>
      <c r="L8072" t="s">
        <v>1357</v>
      </c>
    </row>
    <row r="8073" spans="6:12">
      <c r="F8073" t="s">
        <v>15330</v>
      </c>
      <c r="G8073" t="s">
        <v>18032</v>
      </c>
      <c r="H8073" t="s">
        <v>20446</v>
      </c>
      <c r="I8073" t="s">
        <v>1357</v>
      </c>
      <c r="J8073" t="s">
        <v>1357</v>
      </c>
      <c r="K8073" t="s">
        <v>1357</v>
      </c>
      <c r="L8073" t="s">
        <v>1357</v>
      </c>
    </row>
    <row r="8074" spans="6:12">
      <c r="F8074" t="s">
        <v>15331</v>
      </c>
      <c r="G8074" t="s">
        <v>18033</v>
      </c>
      <c r="H8074" t="s">
        <v>20446</v>
      </c>
      <c r="I8074" t="s">
        <v>1357</v>
      </c>
      <c r="J8074" t="s">
        <v>1357</v>
      </c>
      <c r="K8074" t="s">
        <v>1357</v>
      </c>
      <c r="L8074" t="s">
        <v>1357</v>
      </c>
    </row>
    <row r="8075" spans="6:12">
      <c r="F8075" t="s">
        <v>15332</v>
      </c>
      <c r="G8075" t="s">
        <v>18034</v>
      </c>
      <c r="H8075" t="s">
        <v>20446</v>
      </c>
      <c r="I8075" t="s">
        <v>1357</v>
      </c>
      <c r="J8075" t="s">
        <v>1357</v>
      </c>
      <c r="K8075" t="s">
        <v>1357</v>
      </c>
      <c r="L8075" t="s">
        <v>1357</v>
      </c>
    </row>
    <row r="8076" spans="6:12">
      <c r="F8076" t="s">
        <v>15333</v>
      </c>
      <c r="G8076" t="s">
        <v>18035</v>
      </c>
      <c r="H8076" t="s">
        <v>20446</v>
      </c>
      <c r="I8076" t="s">
        <v>1357</v>
      </c>
      <c r="J8076" t="s">
        <v>1357</v>
      </c>
      <c r="K8076" t="s">
        <v>1357</v>
      </c>
      <c r="L8076" t="s">
        <v>1357</v>
      </c>
    </row>
    <row r="8077" spans="6:12">
      <c r="F8077" t="s">
        <v>15334</v>
      </c>
      <c r="G8077" t="s">
        <v>18036</v>
      </c>
      <c r="H8077" t="s">
        <v>20446</v>
      </c>
      <c r="I8077" t="s">
        <v>1357</v>
      </c>
      <c r="J8077" t="s">
        <v>1357</v>
      </c>
      <c r="K8077" t="s">
        <v>1357</v>
      </c>
      <c r="L8077" t="s">
        <v>1357</v>
      </c>
    </row>
    <row r="8078" spans="6:12">
      <c r="F8078" t="s">
        <v>15335</v>
      </c>
      <c r="G8078" t="s">
        <v>18037</v>
      </c>
      <c r="H8078" t="s">
        <v>20446</v>
      </c>
      <c r="I8078" t="s">
        <v>1357</v>
      </c>
      <c r="J8078" t="s">
        <v>1357</v>
      </c>
      <c r="K8078" t="s">
        <v>1357</v>
      </c>
      <c r="L8078" t="s">
        <v>1357</v>
      </c>
    </row>
    <row r="8079" spans="6:12">
      <c r="F8079" t="s">
        <v>15336</v>
      </c>
      <c r="G8079" t="s">
        <v>18038</v>
      </c>
      <c r="H8079" t="s">
        <v>20446</v>
      </c>
      <c r="I8079" t="s">
        <v>1357</v>
      </c>
      <c r="J8079" t="s">
        <v>1357</v>
      </c>
      <c r="K8079" t="s">
        <v>1357</v>
      </c>
      <c r="L8079" t="s">
        <v>1357</v>
      </c>
    </row>
    <row r="8080" spans="6:12">
      <c r="F8080" t="s">
        <v>15337</v>
      </c>
      <c r="G8080" t="s">
        <v>18039</v>
      </c>
      <c r="H8080" t="s">
        <v>20446</v>
      </c>
      <c r="I8080" t="s">
        <v>1357</v>
      </c>
      <c r="J8080" t="s">
        <v>1357</v>
      </c>
      <c r="K8080" t="s">
        <v>1357</v>
      </c>
      <c r="L8080" t="s">
        <v>1357</v>
      </c>
    </row>
    <row r="8081" spans="6:12">
      <c r="F8081" t="s">
        <v>15338</v>
      </c>
      <c r="G8081" t="s">
        <v>18040</v>
      </c>
      <c r="H8081" t="s">
        <v>20446</v>
      </c>
      <c r="I8081" t="s">
        <v>1357</v>
      </c>
      <c r="J8081" t="s">
        <v>1357</v>
      </c>
      <c r="K8081" t="s">
        <v>1357</v>
      </c>
      <c r="L8081" t="s">
        <v>1357</v>
      </c>
    </row>
    <row r="8082" spans="6:12">
      <c r="F8082" t="s">
        <v>15339</v>
      </c>
      <c r="G8082" t="s">
        <v>18041</v>
      </c>
      <c r="H8082" t="s">
        <v>20446</v>
      </c>
      <c r="I8082" t="s">
        <v>1357</v>
      </c>
      <c r="J8082" t="s">
        <v>1357</v>
      </c>
      <c r="K8082" t="s">
        <v>1357</v>
      </c>
      <c r="L8082" t="s">
        <v>1357</v>
      </c>
    </row>
    <row r="8083" spans="6:12">
      <c r="F8083" t="s">
        <v>15340</v>
      </c>
      <c r="G8083" t="s">
        <v>18042</v>
      </c>
      <c r="H8083" t="s">
        <v>20446</v>
      </c>
      <c r="I8083" t="s">
        <v>1357</v>
      </c>
      <c r="J8083" t="s">
        <v>1357</v>
      </c>
      <c r="K8083" t="s">
        <v>1357</v>
      </c>
      <c r="L8083" t="s">
        <v>1357</v>
      </c>
    </row>
    <row r="8084" spans="6:12">
      <c r="F8084" t="s">
        <v>15341</v>
      </c>
      <c r="G8084" t="s">
        <v>18043</v>
      </c>
      <c r="H8084" t="s">
        <v>20446</v>
      </c>
      <c r="I8084" t="s">
        <v>1357</v>
      </c>
      <c r="J8084" t="s">
        <v>1357</v>
      </c>
      <c r="K8084" t="s">
        <v>1357</v>
      </c>
      <c r="L8084" t="s">
        <v>1357</v>
      </c>
    </row>
    <row r="8085" spans="6:12">
      <c r="F8085" t="s">
        <v>15342</v>
      </c>
      <c r="G8085" t="s">
        <v>18044</v>
      </c>
      <c r="H8085" t="s">
        <v>20446</v>
      </c>
      <c r="I8085" t="s">
        <v>1357</v>
      </c>
      <c r="J8085" t="s">
        <v>1357</v>
      </c>
      <c r="K8085" t="s">
        <v>1357</v>
      </c>
      <c r="L8085" t="s">
        <v>1357</v>
      </c>
    </row>
    <row r="8086" spans="6:12">
      <c r="F8086" t="s">
        <v>15343</v>
      </c>
      <c r="G8086" t="s">
        <v>18045</v>
      </c>
      <c r="H8086" t="s">
        <v>20446</v>
      </c>
      <c r="I8086" t="s">
        <v>1357</v>
      </c>
      <c r="J8086" t="s">
        <v>1357</v>
      </c>
      <c r="K8086" t="s">
        <v>1357</v>
      </c>
      <c r="L8086" t="s">
        <v>1357</v>
      </c>
    </row>
    <row r="8087" spans="6:12">
      <c r="F8087" t="s">
        <v>15344</v>
      </c>
      <c r="G8087" t="s">
        <v>18046</v>
      </c>
      <c r="H8087" t="s">
        <v>20446</v>
      </c>
      <c r="I8087" t="s">
        <v>1357</v>
      </c>
      <c r="J8087" t="s">
        <v>1357</v>
      </c>
      <c r="K8087" t="s">
        <v>1357</v>
      </c>
      <c r="L8087" t="s">
        <v>1357</v>
      </c>
    </row>
    <row r="8088" spans="6:12">
      <c r="F8088" t="s">
        <v>15345</v>
      </c>
      <c r="G8088" t="s">
        <v>18047</v>
      </c>
      <c r="H8088" t="s">
        <v>20446</v>
      </c>
      <c r="I8088" t="s">
        <v>1357</v>
      </c>
      <c r="J8088" t="s">
        <v>1357</v>
      </c>
      <c r="K8088" t="s">
        <v>1357</v>
      </c>
      <c r="L8088" t="s">
        <v>1357</v>
      </c>
    </row>
    <row r="8089" spans="6:12">
      <c r="F8089" t="s">
        <v>15346</v>
      </c>
      <c r="G8089" t="s">
        <v>18048</v>
      </c>
      <c r="H8089" t="s">
        <v>20446</v>
      </c>
      <c r="I8089" t="s">
        <v>1357</v>
      </c>
      <c r="J8089" t="s">
        <v>1357</v>
      </c>
      <c r="K8089" t="s">
        <v>1357</v>
      </c>
      <c r="L8089" t="s">
        <v>1357</v>
      </c>
    </row>
    <row r="8090" spans="6:12">
      <c r="F8090" t="s">
        <v>15347</v>
      </c>
      <c r="G8090" t="s">
        <v>18049</v>
      </c>
      <c r="H8090" t="s">
        <v>20446</v>
      </c>
      <c r="I8090" t="s">
        <v>1357</v>
      </c>
      <c r="J8090" t="s">
        <v>1357</v>
      </c>
      <c r="K8090" t="s">
        <v>1357</v>
      </c>
      <c r="L8090" t="s">
        <v>1357</v>
      </c>
    </row>
    <row r="8091" spans="6:12">
      <c r="F8091" t="s">
        <v>15348</v>
      </c>
      <c r="G8091" t="s">
        <v>18050</v>
      </c>
      <c r="H8091" t="s">
        <v>20446</v>
      </c>
      <c r="I8091" t="s">
        <v>1357</v>
      </c>
      <c r="J8091" t="s">
        <v>1357</v>
      </c>
      <c r="K8091" t="s">
        <v>1357</v>
      </c>
      <c r="L8091" t="s">
        <v>1357</v>
      </c>
    </row>
    <row r="8092" spans="6:12">
      <c r="F8092" t="s">
        <v>15349</v>
      </c>
      <c r="G8092" t="s">
        <v>18051</v>
      </c>
      <c r="H8092" t="s">
        <v>20446</v>
      </c>
      <c r="I8092" t="s">
        <v>1357</v>
      </c>
      <c r="J8092" t="s">
        <v>1357</v>
      </c>
      <c r="K8092" t="s">
        <v>1357</v>
      </c>
      <c r="L8092" t="s">
        <v>1357</v>
      </c>
    </row>
    <row r="8093" spans="6:12">
      <c r="F8093" t="s">
        <v>15350</v>
      </c>
      <c r="G8093" t="s">
        <v>18052</v>
      </c>
      <c r="H8093" t="s">
        <v>20446</v>
      </c>
      <c r="I8093" t="s">
        <v>1357</v>
      </c>
      <c r="J8093" t="s">
        <v>1357</v>
      </c>
      <c r="K8093" t="s">
        <v>1357</v>
      </c>
      <c r="L8093" t="s">
        <v>1357</v>
      </c>
    </row>
    <row r="8094" spans="6:12">
      <c r="F8094" t="s">
        <v>15351</v>
      </c>
      <c r="G8094" t="s">
        <v>18053</v>
      </c>
      <c r="H8094" t="s">
        <v>20446</v>
      </c>
      <c r="I8094" t="s">
        <v>1357</v>
      </c>
      <c r="J8094" t="s">
        <v>1357</v>
      </c>
      <c r="K8094" t="s">
        <v>1357</v>
      </c>
      <c r="L8094" t="s">
        <v>1357</v>
      </c>
    </row>
    <row r="8095" spans="6:12">
      <c r="F8095" t="s">
        <v>15352</v>
      </c>
      <c r="G8095" t="s">
        <v>18054</v>
      </c>
      <c r="H8095" t="s">
        <v>20446</v>
      </c>
      <c r="I8095" t="s">
        <v>1357</v>
      </c>
      <c r="J8095" t="s">
        <v>1357</v>
      </c>
      <c r="K8095" t="s">
        <v>1357</v>
      </c>
      <c r="L8095" t="s">
        <v>1357</v>
      </c>
    </row>
    <row r="8096" spans="6:12">
      <c r="F8096" t="s">
        <v>15353</v>
      </c>
      <c r="G8096" t="s">
        <v>18055</v>
      </c>
      <c r="H8096" t="s">
        <v>20446</v>
      </c>
      <c r="I8096" t="s">
        <v>1357</v>
      </c>
      <c r="J8096" t="s">
        <v>1357</v>
      </c>
      <c r="K8096" t="s">
        <v>1357</v>
      </c>
      <c r="L8096" t="s">
        <v>1357</v>
      </c>
    </row>
    <row r="8097" spans="6:12">
      <c r="F8097" t="s">
        <v>15354</v>
      </c>
      <c r="G8097" t="s">
        <v>18056</v>
      </c>
      <c r="H8097" t="s">
        <v>20446</v>
      </c>
      <c r="I8097" t="s">
        <v>1357</v>
      </c>
      <c r="J8097" t="s">
        <v>1357</v>
      </c>
      <c r="K8097" t="s">
        <v>1357</v>
      </c>
      <c r="L8097" t="s">
        <v>1357</v>
      </c>
    </row>
    <row r="8098" spans="6:12">
      <c r="F8098" t="s">
        <v>15355</v>
      </c>
      <c r="G8098" t="s">
        <v>18057</v>
      </c>
      <c r="H8098" t="s">
        <v>20446</v>
      </c>
      <c r="I8098" t="s">
        <v>1357</v>
      </c>
      <c r="J8098" t="s">
        <v>1357</v>
      </c>
      <c r="K8098" t="s">
        <v>1357</v>
      </c>
      <c r="L8098" t="s">
        <v>1357</v>
      </c>
    </row>
    <row r="8099" spans="6:12">
      <c r="F8099" t="s">
        <v>15356</v>
      </c>
      <c r="G8099" t="s">
        <v>18058</v>
      </c>
      <c r="H8099" t="s">
        <v>20446</v>
      </c>
      <c r="I8099" t="s">
        <v>1357</v>
      </c>
      <c r="J8099" t="s">
        <v>1357</v>
      </c>
      <c r="K8099" t="s">
        <v>1357</v>
      </c>
      <c r="L8099" t="s">
        <v>1357</v>
      </c>
    </row>
    <row r="8100" spans="6:12">
      <c r="F8100" t="s">
        <v>15357</v>
      </c>
      <c r="G8100" t="s">
        <v>18059</v>
      </c>
      <c r="H8100" t="s">
        <v>20446</v>
      </c>
      <c r="I8100" t="s">
        <v>1357</v>
      </c>
      <c r="J8100" t="s">
        <v>1357</v>
      </c>
      <c r="K8100" t="s">
        <v>1357</v>
      </c>
      <c r="L8100" t="s">
        <v>1357</v>
      </c>
    </row>
    <row r="8101" spans="6:12">
      <c r="F8101" t="s">
        <v>15358</v>
      </c>
      <c r="G8101" t="s">
        <v>18060</v>
      </c>
      <c r="H8101" t="s">
        <v>20446</v>
      </c>
      <c r="I8101" t="s">
        <v>1357</v>
      </c>
      <c r="J8101" t="s">
        <v>1357</v>
      </c>
      <c r="K8101" t="s">
        <v>1357</v>
      </c>
      <c r="L8101" t="s">
        <v>1357</v>
      </c>
    </row>
    <row r="8102" spans="6:12">
      <c r="F8102" t="s">
        <v>15359</v>
      </c>
      <c r="G8102" t="s">
        <v>18061</v>
      </c>
      <c r="H8102" t="s">
        <v>20446</v>
      </c>
      <c r="I8102" t="s">
        <v>1357</v>
      </c>
      <c r="J8102" t="s">
        <v>1357</v>
      </c>
      <c r="K8102" t="s">
        <v>1357</v>
      </c>
      <c r="L8102" t="s">
        <v>1357</v>
      </c>
    </row>
    <row r="8103" spans="6:12">
      <c r="F8103" t="s">
        <v>15360</v>
      </c>
      <c r="G8103" t="s">
        <v>18062</v>
      </c>
      <c r="H8103" t="s">
        <v>20446</v>
      </c>
      <c r="I8103" t="s">
        <v>1357</v>
      </c>
      <c r="J8103" t="s">
        <v>1357</v>
      </c>
      <c r="K8103" t="s">
        <v>1357</v>
      </c>
      <c r="L8103" t="s">
        <v>1357</v>
      </c>
    </row>
    <row r="8104" spans="6:12">
      <c r="F8104" t="s">
        <v>15361</v>
      </c>
      <c r="G8104" t="s">
        <v>18063</v>
      </c>
      <c r="H8104" t="s">
        <v>20446</v>
      </c>
      <c r="I8104" t="s">
        <v>1357</v>
      </c>
      <c r="J8104" t="s">
        <v>1357</v>
      </c>
      <c r="K8104" t="s">
        <v>1357</v>
      </c>
      <c r="L8104" t="s">
        <v>1357</v>
      </c>
    </row>
    <row r="8105" spans="6:12">
      <c r="F8105" t="s">
        <v>15362</v>
      </c>
      <c r="G8105" t="s">
        <v>18064</v>
      </c>
      <c r="H8105" t="s">
        <v>20446</v>
      </c>
      <c r="I8105" t="s">
        <v>1357</v>
      </c>
      <c r="J8105" t="s">
        <v>1357</v>
      </c>
      <c r="K8105" t="s">
        <v>1357</v>
      </c>
      <c r="L8105" t="s">
        <v>1357</v>
      </c>
    </row>
    <row r="8106" spans="6:12">
      <c r="F8106" t="s">
        <v>15363</v>
      </c>
      <c r="G8106" t="s">
        <v>18065</v>
      </c>
      <c r="H8106" t="s">
        <v>20446</v>
      </c>
      <c r="I8106" t="s">
        <v>1357</v>
      </c>
      <c r="J8106" t="s">
        <v>1357</v>
      </c>
      <c r="K8106" t="s">
        <v>1357</v>
      </c>
      <c r="L8106" t="s">
        <v>1357</v>
      </c>
    </row>
    <row r="8107" spans="6:12">
      <c r="F8107" t="s">
        <v>15364</v>
      </c>
      <c r="G8107" t="s">
        <v>18066</v>
      </c>
      <c r="H8107" t="s">
        <v>20446</v>
      </c>
      <c r="I8107" t="s">
        <v>1357</v>
      </c>
      <c r="J8107" t="s">
        <v>1357</v>
      </c>
      <c r="K8107" t="s">
        <v>1357</v>
      </c>
      <c r="L8107" t="s">
        <v>1357</v>
      </c>
    </row>
    <row r="8108" spans="6:12">
      <c r="F8108" t="s">
        <v>15365</v>
      </c>
      <c r="G8108" t="s">
        <v>18067</v>
      </c>
      <c r="H8108" t="s">
        <v>20446</v>
      </c>
      <c r="I8108" t="s">
        <v>1357</v>
      </c>
      <c r="J8108" t="s">
        <v>1357</v>
      </c>
      <c r="K8108" t="s">
        <v>1357</v>
      </c>
      <c r="L8108" t="s">
        <v>1357</v>
      </c>
    </row>
    <row r="8109" spans="6:12">
      <c r="F8109" t="s">
        <v>15366</v>
      </c>
      <c r="G8109" t="s">
        <v>18068</v>
      </c>
      <c r="H8109" t="s">
        <v>20446</v>
      </c>
      <c r="I8109" t="s">
        <v>1357</v>
      </c>
      <c r="J8109" t="s">
        <v>1357</v>
      </c>
      <c r="K8109" t="s">
        <v>1357</v>
      </c>
      <c r="L8109" t="s">
        <v>1357</v>
      </c>
    </row>
    <row r="8110" spans="6:12">
      <c r="F8110" t="s">
        <v>15367</v>
      </c>
      <c r="G8110" t="s">
        <v>18069</v>
      </c>
      <c r="H8110" t="s">
        <v>20446</v>
      </c>
      <c r="I8110" t="s">
        <v>1357</v>
      </c>
      <c r="J8110" t="s">
        <v>1357</v>
      </c>
      <c r="K8110" t="s">
        <v>1357</v>
      </c>
      <c r="L8110" t="s">
        <v>1357</v>
      </c>
    </row>
    <row r="8111" spans="6:12">
      <c r="F8111" t="s">
        <v>15368</v>
      </c>
      <c r="G8111" t="s">
        <v>18070</v>
      </c>
      <c r="H8111" t="s">
        <v>20446</v>
      </c>
      <c r="I8111" t="s">
        <v>1357</v>
      </c>
      <c r="J8111" t="s">
        <v>1357</v>
      </c>
      <c r="K8111" t="s">
        <v>1357</v>
      </c>
      <c r="L8111" t="s">
        <v>1357</v>
      </c>
    </row>
    <row r="8112" spans="6:12">
      <c r="F8112" t="s">
        <v>15369</v>
      </c>
      <c r="G8112" t="s">
        <v>18071</v>
      </c>
      <c r="H8112" t="s">
        <v>20446</v>
      </c>
      <c r="I8112" t="s">
        <v>1357</v>
      </c>
      <c r="J8112" t="s">
        <v>1357</v>
      </c>
      <c r="K8112" t="s">
        <v>1357</v>
      </c>
      <c r="L8112" t="s">
        <v>1357</v>
      </c>
    </row>
    <row r="8113" spans="6:12">
      <c r="F8113" t="s">
        <v>15370</v>
      </c>
      <c r="G8113" t="s">
        <v>18072</v>
      </c>
      <c r="H8113" t="s">
        <v>20446</v>
      </c>
      <c r="I8113" t="s">
        <v>1357</v>
      </c>
      <c r="J8113" t="s">
        <v>1357</v>
      </c>
      <c r="K8113" t="s">
        <v>1357</v>
      </c>
      <c r="L8113" t="s">
        <v>1357</v>
      </c>
    </row>
    <row r="8114" spans="6:12">
      <c r="F8114" t="s">
        <v>15371</v>
      </c>
      <c r="G8114" t="s">
        <v>18073</v>
      </c>
      <c r="H8114" t="s">
        <v>20446</v>
      </c>
      <c r="I8114" t="s">
        <v>1357</v>
      </c>
      <c r="J8114" t="s">
        <v>1357</v>
      </c>
      <c r="K8114" t="s">
        <v>1357</v>
      </c>
      <c r="L8114" t="s">
        <v>1357</v>
      </c>
    </row>
    <row r="8115" spans="6:12">
      <c r="F8115" t="s">
        <v>15372</v>
      </c>
      <c r="G8115" t="s">
        <v>18074</v>
      </c>
      <c r="H8115" t="s">
        <v>20446</v>
      </c>
      <c r="I8115" t="s">
        <v>1357</v>
      </c>
      <c r="J8115" t="s">
        <v>1357</v>
      </c>
      <c r="K8115" t="s">
        <v>1357</v>
      </c>
      <c r="L8115" t="s">
        <v>1357</v>
      </c>
    </row>
    <row r="8116" spans="6:12">
      <c r="F8116" t="s">
        <v>15373</v>
      </c>
      <c r="G8116" t="s">
        <v>18075</v>
      </c>
      <c r="H8116" t="s">
        <v>20446</v>
      </c>
      <c r="I8116" t="s">
        <v>1357</v>
      </c>
      <c r="J8116" t="s">
        <v>1357</v>
      </c>
      <c r="K8116" t="s">
        <v>1357</v>
      </c>
      <c r="L8116" t="s">
        <v>1357</v>
      </c>
    </row>
    <row r="8117" spans="6:12">
      <c r="F8117" t="s">
        <v>15374</v>
      </c>
      <c r="G8117" t="s">
        <v>18076</v>
      </c>
      <c r="H8117" t="s">
        <v>20446</v>
      </c>
      <c r="I8117" t="s">
        <v>1357</v>
      </c>
      <c r="J8117" t="s">
        <v>1357</v>
      </c>
      <c r="K8117" t="s">
        <v>1357</v>
      </c>
      <c r="L8117" t="s">
        <v>1357</v>
      </c>
    </row>
    <row r="8118" spans="6:12">
      <c r="F8118" t="s">
        <v>15375</v>
      </c>
      <c r="G8118" t="s">
        <v>18077</v>
      </c>
      <c r="H8118" t="s">
        <v>20446</v>
      </c>
      <c r="I8118" t="s">
        <v>1357</v>
      </c>
      <c r="J8118" t="s">
        <v>1357</v>
      </c>
      <c r="K8118" t="s">
        <v>1357</v>
      </c>
      <c r="L8118" t="s">
        <v>1357</v>
      </c>
    </row>
    <row r="8119" spans="6:12">
      <c r="F8119" t="s">
        <v>15376</v>
      </c>
      <c r="G8119" t="s">
        <v>18078</v>
      </c>
      <c r="H8119" t="s">
        <v>20446</v>
      </c>
      <c r="I8119" t="s">
        <v>1357</v>
      </c>
      <c r="J8119" t="s">
        <v>1357</v>
      </c>
      <c r="K8119" t="s">
        <v>1357</v>
      </c>
      <c r="L8119" t="s">
        <v>1357</v>
      </c>
    </row>
    <row r="8120" spans="6:12">
      <c r="F8120" t="s">
        <v>15377</v>
      </c>
      <c r="G8120" t="s">
        <v>18079</v>
      </c>
      <c r="H8120" t="s">
        <v>20446</v>
      </c>
      <c r="I8120" t="s">
        <v>1357</v>
      </c>
      <c r="J8120" t="s">
        <v>1357</v>
      </c>
      <c r="K8120" t="s">
        <v>1357</v>
      </c>
      <c r="L8120" t="s">
        <v>1357</v>
      </c>
    </row>
    <row r="8121" spans="6:12">
      <c r="F8121" t="s">
        <v>15378</v>
      </c>
      <c r="G8121" t="s">
        <v>18080</v>
      </c>
      <c r="H8121" t="s">
        <v>20446</v>
      </c>
      <c r="I8121" t="s">
        <v>1357</v>
      </c>
      <c r="J8121" t="s">
        <v>1357</v>
      </c>
      <c r="K8121" t="s">
        <v>1357</v>
      </c>
      <c r="L8121" t="s">
        <v>1357</v>
      </c>
    </row>
    <row r="8122" spans="6:12">
      <c r="F8122" t="s">
        <v>15379</v>
      </c>
      <c r="G8122" t="s">
        <v>18081</v>
      </c>
      <c r="H8122" t="s">
        <v>20446</v>
      </c>
      <c r="I8122" t="s">
        <v>1357</v>
      </c>
      <c r="J8122" t="s">
        <v>1357</v>
      </c>
      <c r="K8122" t="s">
        <v>1357</v>
      </c>
      <c r="L8122" t="s">
        <v>1357</v>
      </c>
    </row>
    <row r="8123" spans="6:12">
      <c r="F8123" t="s">
        <v>15380</v>
      </c>
      <c r="G8123" t="s">
        <v>18082</v>
      </c>
      <c r="H8123" t="s">
        <v>20446</v>
      </c>
      <c r="I8123" t="s">
        <v>1357</v>
      </c>
      <c r="J8123" t="s">
        <v>1357</v>
      </c>
      <c r="K8123" t="s">
        <v>1357</v>
      </c>
      <c r="L8123" t="s">
        <v>1357</v>
      </c>
    </row>
    <row r="8124" spans="6:12">
      <c r="F8124" t="s">
        <v>15381</v>
      </c>
      <c r="G8124" t="s">
        <v>18083</v>
      </c>
      <c r="H8124" t="s">
        <v>20446</v>
      </c>
      <c r="I8124" t="s">
        <v>1357</v>
      </c>
      <c r="J8124" t="s">
        <v>1357</v>
      </c>
      <c r="K8124" t="s">
        <v>1357</v>
      </c>
      <c r="L8124" t="s">
        <v>1357</v>
      </c>
    </row>
    <row r="8125" spans="6:12">
      <c r="F8125" t="s">
        <v>15382</v>
      </c>
      <c r="G8125" t="s">
        <v>18084</v>
      </c>
      <c r="H8125" t="s">
        <v>20446</v>
      </c>
      <c r="I8125" t="s">
        <v>1357</v>
      </c>
      <c r="J8125" t="s">
        <v>1357</v>
      </c>
      <c r="K8125" t="s">
        <v>1357</v>
      </c>
      <c r="L8125" t="s">
        <v>1357</v>
      </c>
    </row>
    <row r="8126" spans="6:12">
      <c r="F8126" t="s">
        <v>15383</v>
      </c>
      <c r="G8126" t="s">
        <v>18085</v>
      </c>
      <c r="H8126" t="s">
        <v>20446</v>
      </c>
      <c r="I8126" t="s">
        <v>1357</v>
      </c>
      <c r="J8126" t="s">
        <v>1357</v>
      </c>
      <c r="K8126" t="s">
        <v>1357</v>
      </c>
      <c r="L8126" t="s">
        <v>1357</v>
      </c>
    </row>
    <row r="8127" spans="6:12">
      <c r="F8127" t="s">
        <v>15384</v>
      </c>
      <c r="G8127" t="s">
        <v>18086</v>
      </c>
      <c r="H8127" t="s">
        <v>20446</v>
      </c>
      <c r="I8127" t="s">
        <v>1357</v>
      </c>
      <c r="J8127" t="s">
        <v>1357</v>
      </c>
      <c r="K8127" t="s">
        <v>1357</v>
      </c>
      <c r="L8127" t="s">
        <v>1357</v>
      </c>
    </row>
    <row r="8128" spans="6:12">
      <c r="F8128" t="s">
        <v>15385</v>
      </c>
      <c r="G8128" t="s">
        <v>18087</v>
      </c>
      <c r="H8128" t="s">
        <v>20446</v>
      </c>
      <c r="I8128" t="s">
        <v>1357</v>
      </c>
      <c r="J8128" t="s">
        <v>1357</v>
      </c>
      <c r="K8128" t="s">
        <v>1357</v>
      </c>
      <c r="L8128" t="s">
        <v>1357</v>
      </c>
    </row>
    <row r="8129" spans="6:12">
      <c r="F8129" t="s">
        <v>15386</v>
      </c>
      <c r="G8129" t="s">
        <v>18088</v>
      </c>
      <c r="H8129" t="s">
        <v>20446</v>
      </c>
      <c r="I8129" t="s">
        <v>1357</v>
      </c>
      <c r="J8129" t="s">
        <v>1357</v>
      </c>
      <c r="K8129" t="s">
        <v>1357</v>
      </c>
      <c r="L8129" t="s">
        <v>1357</v>
      </c>
    </row>
    <row r="8130" spans="6:12">
      <c r="F8130" t="s">
        <v>15387</v>
      </c>
      <c r="G8130" t="s">
        <v>18089</v>
      </c>
      <c r="H8130" t="s">
        <v>20446</v>
      </c>
      <c r="I8130" t="s">
        <v>1357</v>
      </c>
      <c r="J8130" t="s">
        <v>1357</v>
      </c>
      <c r="K8130" t="s">
        <v>1357</v>
      </c>
      <c r="L8130" t="s">
        <v>1357</v>
      </c>
    </row>
    <row r="8131" spans="6:12">
      <c r="F8131" t="s">
        <v>15388</v>
      </c>
      <c r="G8131" t="s">
        <v>18090</v>
      </c>
      <c r="H8131" t="s">
        <v>20446</v>
      </c>
      <c r="I8131" t="s">
        <v>1357</v>
      </c>
      <c r="J8131" t="s">
        <v>1357</v>
      </c>
      <c r="K8131" t="s">
        <v>1357</v>
      </c>
      <c r="L8131" t="s">
        <v>1357</v>
      </c>
    </row>
    <row r="8132" spans="6:12">
      <c r="F8132" t="s">
        <v>15389</v>
      </c>
      <c r="G8132" t="s">
        <v>18091</v>
      </c>
      <c r="H8132" t="s">
        <v>20446</v>
      </c>
      <c r="I8132" t="s">
        <v>1357</v>
      </c>
      <c r="J8132" t="s">
        <v>1357</v>
      </c>
      <c r="K8132" t="s">
        <v>1357</v>
      </c>
      <c r="L8132" t="s">
        <v>1357</v>
      </c>
    </row>
    <row r="8133" spans="6:12">
      <c r="F8133" t="s">
        <v>15390</v>
      </c>
      <c r="G8133" t="s">
        <v>18092</v>
      </c>
      <c r="H8133" t="s">
        <v>20446</v>
      </c>
      <c r="I8133" t="s">
        <v>1357</v>
      </c>
      <c r="J8133" t="s">
        <v>1357</v>
      </c>
      <c r="K8133" t="s">
        <v>1357</v>
      </c>
      <c r="L8133" t="s">
        <v>1357</v>
      </c>
    </row>
    <row r="8134" spans="6:12">
      <c r="F8134" t="s">
        <v>15391</v>
      </c>
      <c r="G8134" t="s">
        <v>18093</v>
      </c>
      <c r="H8134" t="s">
        <v>20446</v>
      </c>
      <c r="I8134" t="s">
        <v>1357</v>
      </c>
      <c r="J8134" t="s">
        <v>1357</v>
      </c>
      <c r="K8134" t="s">
        <v>1357</v>
      </c>
      <c r="L8134" t="s">
        <v>1357</v>
      </c>
    </row>
    <row r="8135" spans="6:12">
      <c r="F8135" t="s">
        <v>15392</v>
      </c>
      <c r="G8135" t="s">
        <v>18094</v>
      </c>
      <c r="H8135" t="s">
        <v>20446</v>
      </c>
      <c r="I8135" t="s">
        <v>1357</v>
      </c>
      <c r="J8135" t="s">
        <v>1357</v>
      </c>
      <c r="K8135" t="s">
        <v>1357</v>
      </c>
      <c r="L8135" t="s">
        <v>1357</v>
      </c>
    </row>
    <row r="8136" spans="6:12">
      <c r="F8136" t="s">
        <v>15393</v>
      </c>
      <c r="G8136" t="s">
        <v>18095</v>
      </c>
      <c r="H8136" t="s">
        <v>20446</v>
      </c>
      <c r="I8136" t="s">
        <v>1357</v>
      </c>
      <c r="J8136" t="s">
        <v>1357</v>
      </c>
      <c r="K8136" t="s">
        <v>1357</v>
      </c>
      <c r="L8136" t="s">
        <v>1357</v>
      </c>
    </row>
    <row r="8137" spans="6:12">
      <c r="F8137" t="s">
        <v>15394</v>
      </c>
      <c r="G8137" t="s">
        <v>18096</v>
      </c>
      <c r="H8137" t="s">
        <v>20446</v>
      </c>
      <c r="I8137" t="s">
        <v>1357</v>
      </c>
      <c r="J8137" t="s">
        <v>1357</v>
      </c>
      <c r="K8137" t="s">
        <v>1357</v>
      </c>
      <c r="L8137" t="s">
        <v>1357</v>
      </c>
    </row>
    <row r="8138" spans="6:12">
      <c r="F8138" t="s">
        <v>15395</v>
      </c>
      <c r="G8138" t="s">
        <v>18097</v>
      </c>
      <c r="H8138" t="s">
        <v>20446</v>
      </c>
      <c r="I8138" t="s">
        <v>1357</v>
      </c>
      <c r="J8138" t="s">
        <v>1357</v>
      </c>
      <c r="K8138" t="s">
        <v>1357</v>
      </c>
      <c r="L8138" t="s">
        <v>1357</v>
      </c>
    </row>
    <row r="8139" spans="6:12">
      <c r="F8139" t="s">
        <v>15396</v>
      </c>
      <c r="G8139" t="s">
        <v>18098</v>
      </c>
      <c r="H8139" t="s">
        <v>20446</v>
      </c>
      <c r="I8139" t="s">
        <v>1357</v>
      </c>
      <c r="J8139" t="s">
        <v>1357</v>
      </c>
      <c r="K8139" t="s">
        <v>1357</v>
      </c>
      <c r="L8139" t="s">
        <v>1357</v>
      </c>
    </row>
    <row r="8140" spans="6:12">
      <c r="F8140" t="s">
        <v>15397</v>
      </c>
      <c r="G8140" t="s">
        <v>18099</v>
      </c>
      <c r="H8140" t="s">
        <v>20446</v>
      </c>
      <c r="I8140" t="s">
        <v>1357</v>
      </c>
      <c r="J8140" t="s">
        <v>1357</v>
      </c>
      <c r="K8140" t="s">
        <v>1357</v>
      </c>
      <c r="L8140" t="s">
        <v>1357</v>
      </c>
    </row>
    <row r="8141" spans="6:12">
      <c r="F8141" t="s">
        <v>15398</v>
      </c>
      <c r="G8141" t="s">
        <v>18100</v>
      </c>
      <c r="H8141" t="s">
        <v>20446</v>
      </c>
      <c r="I8141" t="s">
        <v>1357</v>
      </c>
      <c r="J8141" t="s">
        <v>1357</v>
      </c>
      <c r="K8141" t="s">
        <v>1357</v>
      </c>
      <c r="L8141" t="s">
        <v>1357</v>
      </c>
    </row>
    <row r="8142" spans="6:12">
      <c r="F8142" t="s">
        <v>15399</v>
      </c>
      <c r="G8142" t="s">
        <v>18101</v>
      </c>
      <c r="H8142" t="s">
        <v>20446</v>
      </c>
      <c r="I8142" t="s">
        <v>1357</v>
      </c>
      <c r="J8142" t="s">
        <v>1357</v>
      </c>
      <c r="K8142" t="s">
        <v>1357</v>
      </c>
      <c r="L8142" t="s">
        <v>1357</v>
      </c>
    </row>
    <row r="8143" spans="6:12">
      <c r="F8143" t="s">
        <v>15400</v>
      </c>
      <c r="G8143" t="s">
        <v>18102</v>
      </c>
      <c r="H8143" t="s">
        <v>20446</v>
      </c>
      <c r="I8143" t="s">
        <v>1357</v>
      </c>
      <c r="J8143" t="s">
        <v>1357</v>
      </c>
      <c r="K8143" t="s">
        <v>1357</v>
      </c>
      <c r="L8143" t="s">
        <v>1357</v>
      </c>
    </row>
    <row r="8144" spans="6:12">
      <c r="F8144" t="s">
        <v>15401</v>
      </c>
      <c r="G8144" t="s">
        <v>18103</v>
      </c>
      <c r="H8144" t="s">
        <v>20446</v>
      </c>
      <c r="I8144" t="s">
        <v>1357</v>
      </c>
      <c r="J8144" t="s">
        <v>1357</v>
      </c>
      <c r="K8144" t="s">
        <v>1357</v>
      </c>
      <c r="L8144" t="s">
        <v>1357</v>
      </c>
    </row>
    <row r="8145" spans="6:12">
      <c r="F8145" t="s">
        <v>15402</v>
      </c>
      <c r="G8145" t="s">
        <v>18104</v>
      </c>
      <c r="H8145" t="s">
        <v>20446</v>
      </c>
      <c r="I8145" t="s">
        <v>1357</v>
      </c>
      <c r="J8145" t="s">
        <v>1357</v>
      </c>
      <c r="K8145" t="s">
        <v>1357</v>
      </c>
      <c r="L8145" t="s">
        <v>1357</v>
      </c>
    </row>
    <row r="8146" spans="6:12">
      <c r="F8146" t="s">
        <v>15403</v>
      </c>
      <c r="G8146" t="s">
        <v>18105</v>
      </c>
      <c r="H8146" t="s">
        <v>20446</v>
      </c>
      <c r="I8146" t="s">
        <v>1357</v>
      </c>
      <c r="J8146" t="s">
        <v>1357</v>
      </c>
      <c r="K8146" t="s">
        <v>1357</v>
      </c>
      <c r="L8146" t="s">
        <v>1357</v>
      </c>
    </row>
    <row r="8147" spans="6:12">
      <c r="F8147" t="s">
        <v>15404</v>
      </c>
      <c r="G8147" t="s">
        <v>18106</v>
      </c>
      <c r="H8147" t="s">
        <v>20446</v>
      </c>
      <c r="I8147" t="s">
        <v>1357</v>
      </c>
      <c r="J8147" t="s">
        <v>1357</v>
      </c>
      <c r="K8147" t="s">
        <v>1357</v>
      </c>
      <c r="L8147" t="s">
        <v>1357</v>
      </c>
    </row>
    <row r="8148" spans="6:12">
      <c r="F8148" t="s">
        <v>15405</v>
      </c>
      <c r="G8148" t="s">
        <v>18107</v>
      </c>
      <c r="H8148" t="s">
        <v>20446</v>
      </c>
      <c r="I8148" t="s">
        <v>1357</v>
      </c>
      <c r="J8148" t="s">
        <v>1357</v>
      </c>
      <c r="K8148" t="s">
        <v>1357</v>
      </c>
      <c r="L8148" t="s">
        <v>1357</v>
      </c>
    </row>
    <row r="8149" spans="6:12">
      <c r="F8149" t="s">
        <v>15406</v>
      </c>
      <c r="G8149" t="s">
        <v>18108</v>
      </c>
      <c r="H8149" t="s">
        <v>20446</v>
      </c>
      <c r="I8149" t="s">
        <v>1357</v>
      </c>
      <c r="J8149" t="s">
        <v>1357</v>
      </c>
      <c r="K8149" t="s">
        <v>1357</v>
      </c>
      <c r="L8149" t="s">
        <v>1357</v>
      </c>
    </row>
    <row r="8150" spans="6:12">
      <c r="F8150" t="s">
        <v>15407</v>
      </c>
      <c r="G8150" t="s">
        <v>18109</v>
      </c>
      <c r="H8150" t="s">
        <v>20446</v>
      </c>
      <c r="I8150" t="s">
        <v>1357</v>
      </c>
      <c r="J8150" t="s">
        <v>1357</v>
      </c>
      <c r="K8150" t="s">
        <v>1357</v>
      </c>
      <c r="L8150" t="s">
        <v>1357</v>
      </c>
    </row>
    <row r="8151" spans="6:12">
      <c r="F8151" t="s">
        <v>15408</v>
      </c>
      <c r="G8151" t="s">
        <v>18110</v>
      </c>
      <c r="H8151" t="s">
        <v>20446</v>
      </c>
      <c r="I8151" t="s">
        <v>1357</v>
      </c>
      <c r="J8151" t="s">
        <v>1357</v>
      </c>
      <c r="K8151" t="s">
        <v>1357</v>
      </c>
      <c r="L8151" t="s">
        <v>1357</v>
      </c>
    </row>
    <row r="8152" spans="6:12">
      <c r="F8152" t="s">
        <v>15409</v>
      </c>
      <c r="G8152" t="s">
        <v>18111</v>
      </c>
      <c r="H8152" t="s">
        <v>20446</v>
      </c>
      <c r="I8152" t="s">
        <v>1357</v>
      </c>
      <c r="J8152" t="s">
        <v>1357</v>
      </c>
      <c r="K8152" t="s">
        <v>1357</v>
      </c>
      <c r="L8152" t="s">
        <v>1357</v>
      </c>
    </row>
    <row r="8153" spans="6:12">
      <c r="F8153" t="s">
        <v>15410</v>
      </c>
      <c r="G8153" t="s">
        <v>18112</v>
      </c>
      <c r="H8153" t="s">
        <v>20446</v>
      </c>
      <c r="I8153" t="s">
        <v>1357</v>
      </c>
      <c r="J8153" t="s">
        <v>1357</v>
      </c>
      <c r="K8153" t="s">
        <v>1357</v>
      </c>
      <c r="L8153" t="s">
        <v>1357</v>
      </c>
    </row>
    <row r="8154" spans="6:12">
      <c r="F8154" t="s">
        <v>15411</v>
      </c>
      <c r="G8154" t="s">
        <v>18113</v>
      </c>
      <c r="H8154" t="s">
        <v>20446</v>
      </c>
      <c r="I8154" t="s">
        <v>1357</v>
      </c>
      <c r="J8154" t="s">
        <v>1357</v>
      </c>
      <c r="K8154" t="s">
        <v>1357</v>
      </c>
      <c r="L8154" t="s">
        <v>1357</v>
      </c>
    </row>
    <row r="8155" spans="6:12">
      <c r="F8155" t="s">
        <v>15412</v>
      </c>
      <c r="G8155" t="s">
        <v>18114</v>
      </c>
      <c r="H8155" t="s">
        <v>20446</v>
      </c>
      <c r="I8155" t="s">
        <v>1357</v>
      </c>
      <c r="J8155" t="s">
        <v>1357</v>
      </c>
      <c r="K8155" t="s">
        <v>1357</v>
      </c>
      <c r="L8155" t="s">
        <v>1357</v>
      </c>
    </row>
    <row r="8156" spans="6:12">
      <c r="F8156" t="s">
        <v>15413</v>
      </c>
      <c r="G8156" t="s">
        <v>18115</v>
      </c>
      <c r="H8156" t="s">
        <v>20446</v>
      </c>
      <c r="I8156" t="s">
        <v>1357</v>
      </c>
      <c r="J8156" t="s">
        <v>1357</v>
      </c>
      <c r="K8156" t="s">
        <v>1357</v>
      </c>
      <c r="L8156" t="s">
        <v>1357</v>
      </c>
    </row>
    <row r="8157" spans="6:12">
      <c r="F8157" t="s">
        <v>15414</v>
      </c>
      <c r="G8157" t="s">
        <v>18116</v>
      </c>
      <c r="H8157" t="s">
        <v>20446</v>
      </c>
      <c r="I8157" t="s">
        <v>1357</v>
      </c>
      <c r="J8157" t="s">
        <v>1357</v>
      </c>
      <c r="K8157" t="s">
        <v>1357</v>
      </c>
      <c r="L8157" t="s">
        <v>1357</v>
      </c>
    </row>
    <row r="8158" spans="6:12">
      <c r="F8158" t="s">
        <v>15415</v>
      </c>
      <c r="G8158" t="s">
        <v>18117</v>
      </c>
      <c r="H8158" t="s">
        <v>20446</v>
      </c>
      <c r="I8158" t="s">
        <v>1357</v>
      </c>
      <c r="J8158" t="s">
        <v>1357</v>
      </c>
      <c r="K8158" t="s">
        <v>1357</v>
      </c>
      <c r="L8158" t="s">
        <v>1357</v>
      </c>
    </row>
    <row r="8159" spans="6:12">
      <c r="F8159" t="s">
        <v>15416</v>
      </c>
      <c r="G8159" t="s">
        <v>18118</v>
      </c>
      <c r="H8159" t="s">
        <v>20446</v>
      </c>
      <c r="I8159" t="s">
        <v>1357</v>
      </c>
      <c r="J8159" t="s">
        <v>1357</v>
      </c>
      <c r="K8159" t="s">
        <v>1357</v>
      </c>
      <c r="L8159" t="s">
        <v>1357</v>
      </c>
    </row>
    <row r="8160" spans="6:12">
      <c r="F8160" t="s">
        <v>15417</v>
      </c>
      <c r="G8160" t="s">
        <v>18119</v>
      </c>
      <c r="H8160" t="s">
        <v>20446</v>
      </c>
      <c r="I8160" t="s">
        <v>1357</v>
      </c>
      <c r="J8160" t="s">
        <v>1357</v>
      </c>
      <c r="K8160" t="s">
        <v>1357</v>
      </c>
      <c r="L8160" t="s">
        <v>1357</v>
      </c>
    </row>
    <row r="8161" spans="6:12">
      <c r="F8161" t="s">
        <v>15418</v>
      </c>
      <c r="G8161" t="s">
        <v>18120</v>
      </c>
      <c r="H8161" t="s">
        <v>20446</v>
      </c>
      <c r="I8161" t="s">
        <v>1357</v>
      </c>
      <c r="J8161" t="s">
        <v>1357</v>
      </c>
      <c r="K8161" t="s">
        <v>1357</v>
      </c>
      <c r="L8161" t="s">
        <v>1357</v>
      </c>
    </row>
    <row r="8162" spans="6:12">
      <c r="F8162" t="s">
        <v>15419</v>
      </c>
      <c r="G8162" t="s">
        <v>18121</v>
      </c>
      <c r="H8162" t="s">
        <v>20446</v>
      </c>
      <c r="I8162" t="s">
        <v>1357</v>
      </c>
      <c r="J8162" t="s">
        <v>1357</v>
      </c>
      <c r="K8162" t="s">
        <v>1357</v>
      </c>
      <c r="L8162" t="s">
        <v>1357</v>
      </c>
    </row>
    <row r="8163" spans="6:12">
      <c r="F8163" t="s">
        <v>15420</v>
      </c>
      <c r="G8163" t="s">
        <v>18122</v>
      </c>
      <c r="H8163" t="s">
        <v>20446</v>
      </c>
      <c r="I8163" t="s">
        <v>1357</v>
      </c>
      <c r="J8163" t="s">
        <v>1357</v>
      </c>
      <c r="K8163" t="s">
        <v>1357</v>
      </c>
      <c r="L8163" t="s">
        <v>1357</v>
      </c>
    </row>
    <row r="8164" spans="6:12">
      <c r="F8164" t="s">
        <v>15421</v>
      </c>
      <c r="G8164" t="s">
        <v>18123</v>
      </c>
      <c r="H8164" t="s">
        <v>20446</v>
      </c>
      <c r="I8164" t="s">
        <v>1357</v>
      </c>
      <c r="J8164" t="s">
        <v>1357</v>
      </c>
      <c r="K8164" t="s">
        <v>1357</v>
      </c>
      <c r="L8164" t="s">
        <v>1357</v>
      </c>
    </row>
    <row r="8165" spans="6:12">
      <c r="F8165" t="s">
        <v>15422</v>
      </c>
      <c r="G8165" t="s">
        <v>18124</v>
      </c>
      <c r="H8165" t="s">
        <v>20446</v>
      </c>
      <c r="I8165" t="s">
        <v>1357</v>
      </c>
      <c r="J8165" t="s">
        <v>1357</v>
      </c>
      <c r="K8165" t="s">
        <v>1357</v>
      </c>
      <c r="L8165" t="s">
        <v>1357</v>
      </c>
    </row>
    <row r="8166" spans="6:12">
      <c r="F8166" t="s">
        <v>15423</v>
      </c>
      <c r="G8166" t="s">
        <v>18125</v>
      </c>
      <c r="H8166" t="s">
        <v>20446</v>
      </c>
      <c r="I8166" t="s">
        <v>1357</v>
      </c>
      <c r="J8166" t="s">
        <v>1357</v>
      </c>
      <c r="K8166" t="s">
        <v>1357</v>
      </c>
      <c r="L8166" t="s">
        <v>1357</v>
      </c>
    </row>
    <row r="8167" spans="6:12">
      <c r="F8167" t="s">
        <v>15424</v>
      </c>
      <c r="G8167" t="s">
        <v>18126</v>
      </c>
      <c r="H8167" t="s">
        <v>20446</v>
      </c>
      <c r="I8167" t="s">
        <v>1357</v>
      </c>
      <c r="J8167" t="s">
        <v>1357</v>
      </c>
      <c r="K8167" t="s">
        <v>1357</v>
      </c>
      <c r="L8167" t="s">
        <v>1357</v>
      </c>
    </row>
    <row r="8168" spans="6:12">
      <c r="F8168" t="s">
        <v>15425</v>
      </c>
      <c r="G8168" t="s">
        <v>18127</v>
      </c>
      <c r="H8168" t="s">
        <v>20446</v>
      </c>
      <c r="I8168" t="s">
        <v>1357</v>
      </c>
      <c r="J8168" t="s">
        <v>1357</v>
      </c>
      <c r="K8168" t="s">
        <v>1357</v>
      </c>
      <c r="L8168" t="s">
        <v>1357</v>
      </c>
    </row>
    <row r="8169" spans="6:12">
      <c r="F8169" t="s">
        <v>15426</v>
      </c>
      <c r="G8169" t="s">
        <v>18128</v>
      </c>
      <c r="H8169" t="s">
        <v>20446</v>
      </c>
      <c r="I8169" t="s">
        <v>1357</v>
      </c>
      <c r="J8169" t="s">
        <v>1357</v>
      </c>
      <c r="K8169" t="s">
        <v>1357</v>
      </c>
      <c r="L8169" t="s">
        <v>1357</v>
      </c>
    </row>
    <row r="8170" spans="6:12">
      <c r="F8170" t="s">
        <v>15427</v>
      </c>
      <c r="G8170" t="s">
        <v>18129</v>
      </c>
      <c r="H8170" t="s">
        <v>20446</v>
      </c>
      <c r="I8170" t="s">
        <v>1357</v>
      </c>
      <c r="J8170" t="s">
        <v>1357</v>
      </c>
      <c r="K8170" t="s">
        <v>1357</v>
      </c>
      <c r="L8170" t="s">
        <v>1357</v>
      </c>
    </row>
    <row r="8171" spans="6:12">
      <c r="F8171" t="s">
        <v>15428</v>
      </c>
      <c r="G8171" t="s">
        <v>18130</v>
      </c>
      <c r="H8171" t="s">
        <v>20446</v>
      </c>
      <c r="I8171" t="s">
        <v>1357</v>
      </c>
      <c r="J8171" t="s">
        <v>1357</v>
      </c>
      <c r="K8171" t="s">
        <v>1357</v>
      </c>
      <c r="L8171" t="s">
        <v>1357</v>
      </c>
    </row>
    <row r="8172" spans="6:12">
      <c r="F8172" t="s">
        <v>15429</v>
      </c>
      <c r="G8172" t="s">
        <v>18131</v>
      </c>
      <c r="H8172" t="s">
        <v>20446</v>
      </c>
      <c r="I8172" t="s">
        <v>1357</v>
      </c>
      <c r="J8172" t="s">
        <v>1357</v>
      </c>
      <c r="K8172" t="s">
        <v>1357</v>
      </c>
      <c r="L8172" t="s">
        <v>1357</v>
      </c>
    </row>
    <row r="8173" spans="6:12">
      <c r="F8173" t="s">
        <v>15430</v>
      </c>
      <c r="G8173" t="s">
        <v>18132</v>
      </c>
      <c r="H8173" t="s">
        <v>20446</v>
      </c>
      <c r="I8173" t="s">
        <v>1357</v>
      </c>
      <c r="J8173" t="s">
        <v>1357</v>
      </c>
      <c r="K8173" t="s">
        <v>1357</v>
      </c>
      <c r="L8173" t="s">
        <v>1357</v>
      </c>
    </row>
    <row r="8174" spans="6:12">
      <c r="F8174" t="s">
        <v>15431</v>
      </c>
      <c r="G8174" t="s">
        <v>18133</v>
      </c>
      <c r="H8174" t="s">
        <v>20446</v>
      </c>
      <c r="I8174" t="s">
        <v>1357</v>
      </c>
      <c r="J8174" t="s">
        <v>1357</v>
      </c>
      <c r="K8174" t="s">
        <v>1357</v>
      </c>
      <c r="L8174" t="s">
        <v>1357</v>
      </c>
    </row>
    <row r="8175" spans="6:12">
      <c r="F8175" t="s">
        <v>15432</v>
      </c>
      <c r="G8175" t="s">
        <v>18134</v>
      </c>
      <c r="H8175" t="s">
        <v>20446</v>
      </c>
      <c r="I8175" t="s">
        <v>1357</v>
      </c>
      <c r="J8175" t="s">
        <v>1357</v>
      </c>
      <c r="K8175" t="s">
        <v>1357</v>
      </c>
      <c r="L8175" t="s">
        <v>1357</v>
      </c>
    </row>
    <row r="8176" spans="6:12">
      <c r="F8176" t="s">
        <v>15433</v>
      </c>
      <c r="G8176" t="s">
        <v>18135</v>
      </c>
      <c r="H8176" t="s">
        <v>20446</v>
      </c>
      <c r="I8176" t="s">
        <v>1357</v>
      </c>
      <c r="J8176" t="s">
        <v>1357</v>
      </c>
      <c r="K8176" t="s">
        <v>1357</v>
      </c>
      <c r="L8176" t="s">
        <v>1357</v>
      </c>
    </row>
    <row r="8177" spans="6:12">
      <c r="F8177" t="s">
        <v>15434</v>
      </c>
      <c r="G8177" t="s">
        <v>18136</v>
      </c>
      <c r="H8177" t="s">
        <v>20446</v>
      </c>
      <c r="I8177" t="s">
        <v>1357</v>
      </c>
      <c r="J8177" t="s">
        <v>1357</v>
      </c>
      <c r="K8177" t="s">
        <v>1357</v>
      </c>
      <c r="L8177" t="s">
        <v>1357</v>
      </c>
    </row>
    <row r="8178" spans="6:12">
      <c r="F8178" t="s">
        <v>15435</v>
      </c>
      <c r="G8178" t="s">
        <v>18137</v>
      </c>
      <c r="H8178" t="s">
        <v>20446</v>
      </c>
      <c r="I8178" t="s">
        <v>1357</v>
      </c>
      <c r="J8178" t="s">
        <v>1357</v>
      </c>
      <c r="K8178" t="s">
        <v>1357</v>
      </c>
      <c r="L8178" t="s">
        <v>1357</v>
      </c>
    </row>
    <row r="8179" spans="6:12">
      <c r="F8179" t="s">
        <v>15436</v>
      </c>
      <c r="G8179" t="s">
        <v>18138</v>
      </c>
      <c r="H8179" t="s">
        <v>20446</v>
      </c>
      <c r="I8179" t="s">
        <v>1357</v>
      </c>
      <c r="J8179" t="s">
        <v>1357</v>
      </c>
      <c r="K8179" t="s">
        <v>1357</v>
      </c>
      <c r="L8179" t="s">
        <v>1357</v>
      </c>
    </row>
    <row r="8180" spans="6:12">
      <c r="F8180" t="s">
        <v>15437</v>
      </c>
      <c r="G8180" t="s">
        <v>18139</v>
      </c>
      <c r="H8180" t="s">
        <v>20446</v>
      </c>
      <c r="I8180" t="s">
        <v>1357</v>
      </c>
      <c r="J8180" t="s">
        <v>1357</v>
      </c>
      <c r="K8180" t="s">
        <v>1357</v>
      </c>
      <c r="L8180" t="s">
        <v>1357</v>
      </c>
    </row>
    <row r="8181" spans="6:12">
      <c r="F8181" t="s">
        <v>15438</v>
      </c>
      <c r="G8181" t="s">
        <v>18140</v>
      </c>
      <c r="H8181" t="s">
        <v>20446</v>
      </c>
      <c r="I8181" t="s">
        <v>1357</v>
      </c>
      <c r="J8181" t="s">
        <v>1357</v>
      </c>
      <c r="K8181" t="s">
        <v>1357</v>
      </c>
      <c r="L8181" t="s">
        <v>1357</v>
      </c>
    </row>
    <row r="8182" spans="6:12">
      <c r="F8182" t="s">
        <v>15439</v>
      </c>
      <c r="G8182" t="s">
        <v>18141</v>
      </c>
      <c r="H8182" t="s">
        <v>20446</v>
      </c>
      <c r="I8182" t="s">
        <v>1357</v>
      </c>
      <c r="J8182" t="s">
        <v>1357</v>
      </c>
      <c r="K8182" t="s">
        <v>1357</v>
      </c>
      <c r="L8182" t="s">
        <v>1357</v>
      </c>
    </row>
    <row r="8183" spans="6:12">
      <c r="F8183" t="s">
        <v>15440</v>
      </c>
      <c r="G8183" t="s">
        <v>18142</v>
      </c>
      <c r="H8183" t="s">
        <v>20446</v>
      </c>
      <c r="I8183" t="s">
        <v>1357</v>
      </c>
      <c r="J8183" t="s">
        <v>1357</v>
      </c>
      <c r="K8183" t="s">
        <v>1357</v>
      </c>
      <c r="L8183" t="s">
        <v>1357</v>
      </c>
    </row>
    <row r="8184" spans="6:12">
      <c r="F8184" t="s">
        <v>15441</v>
      </c>
      <c r="G8184" t="s">
        <v>18143</v>
      </c>
      <c r="H8184" t="s">
        <v>20446</v>
      </c>
      <c r="I8184" t="s">
        <v>1357</v>
      </c>
      <c r="J8184" t="s">
        <v>1357</v>
      </c>
      <c r="K8184" t="s">
        <v>1357</v>
      </c>
      <c r="L8184" t="s">
        <v>1357</v>
      </c>
    </row>
    <row r="8185" spans="6:12">
      <c r="F8185" t="s">
        <v>15442</v>
      </c>
      <c r="G8185" t="s">
        <v>18144</v>
      </c>
      <c r="H8185" t="s">
        <v>20446</v>
      </c>
      <c r="I8185" t="s">
        <v>1357</v>
      </c>
      <c r="J8185" t="s">
        <v>1357</v>
      </c>
      <c r="K8185" t="s">
        <v>1357</v>
      </c>
      <c r="L8185" t="s">
        <v>1357</v>
      </c>
    </row>
    <row r="8186" spans="6:12">
      <c r="F8186" t="s">
        <v>15443</v>
      </c>
      <c r="G8186" t="s">
        <v>18145</v>
      </c>
      <c r="H8186" t="s">
        <v>20446</v>
      </c>
      <c r="I8186" t="s">
        <v>1357</v>
      </c>
      <c r="J8186" t="s">
        <v>1357</v>
      </c>
      <c r="K8186" t="s">
        <v>1357</v>
      </c>
      <c r="L8186" t="s">
        <v>1357</v>
      </c>
    </row>
    <row r="8187" spans="6:12">
      <c r="F8187" t="s">
        <v>15444</v>
      </c>
      <c r="G8187" t="s">
        <v>18146</v>
      </c>
      <c r="H8187" t="s">
        <v>20446</v>
      </c>
      <c r="I8187" t="s">
        <v>1357</v>
      </c>
      <c r="J8187" t="s">
        <v>1357</v>
      </c>
      <c r="K8187" t="s">
        <v>1357</v>
      </c>
      <c r="L8187" t="s">
        <v>1357</v>
      </c>
    </row>
    <row r="8188" spans="6:12">
      <c r="F8188" t="s">
        <v>15445</v>
      </c>
      <c r="G8188" t="s">
        <v>18147</v>
      </c>
      <c r="H8188" t="s">
        <v>20446</v>
      </c>
      <c r="I8188" t="s">
        <v>1357</v>
      </c>
      <c r="J8188" t="s">
        <v>1357</v>
      </c>
      <c r="K8188" t="s">
        <v>1357</v>
      </c>
      <c r="L8188" t="s">
        <v>1357</v>
      </c>
    </row>
    <row r="8189" spans="6:12">
      <c r="F8189" t="s">
        <v>15446</v>
      </c>
      <c r="G8189" t="s">
        <v>18148</v>
      </c>
      <c r="H8189" t="s">
        <v>20446</v>
      </c>
      <c r="I8189" t="s">
        <v>1357</v>
      </c>
      <c r="J8189" t="s">
        <v>1357</v>
      </c>
      <c r="K8189" t="s">
        <v>1357</v>
      </c>
      <c r="L8189" t="s">
        <v>1357</v>
      </c>
    </row>
    <row r="8190" spans="6:12">
      <c r="F8190" t="s">
        <v>15447</v>
      </c>
      <c r="G8190" t="s">
        <v>18149</v>
      </c>
      <c r="H8190" t="s">
        <v>20446</v>
      </c>
      <c r="I8190" t="s">
        <v>1357</v>
      </c>
      <c r="J8190" t="s">
        <v>1357</v>
      </c>
      <c r="K8190" t="s">
        <v>1357</v>
      </c>
      <c r="L8190" t="s">
        <v>1357</v>
      </c>
    </row>
    <row r="8191" spans="6:12">
      <c r="F8191" t="s">
        <v>15448</v>
      </c>
      <c r="G8191" t="s">
        <v>18150</v>
      </c>
      <c r="H8191" t="s">
        <v>20446</v>
      </c>
      <c r="I8191" t="s">
        <v>1357</v>
      </c>
      <c r="J8191" t="s">
        <v>1357</v>
      </c>
      <c r="K8191" t="s">
        <v>1357</v>
      </c>
      <c r="L8191" t="s">
        <v>1357</v>
      </c>
    </row>
    <row r="8192" spans="6:12">
      <c r="F8192" t="s">
        <v>15449</v>
      </c>
      <c r="G8192" t="s">
        <v>18151</v>
      </c>
      <c r="H8192" t="s">
        <v>20446</v>
      </c>
      <c r="I8192" t="s">
        <v>1357</v>
      </c>
      <c r="J8192" t="s">
        <v>1357</v>
      </c>
      <c r="K8192" t="s">
        <v>1357</v>
      </c>
      <c r="L8192" t="s">
        <v>1357</v>
      </c>
    </row>
    <row r="8193" spans="6:12">
      <c r="F8193" t="s">
        <v>15450</v>
      </c>
      <c r="G8193" t="s">
        <v>18152</v>
      </c>
      <c r="H8193" t="s">
        <v>20446</v>
      </c>
      <c r="I8193" t="s">
        <v>1357</v>
      </c>
      <c r="J8193" t="s">
        <v>1357</v>
      </c>
      <c r="K8193" t="s">
        <v>1357</v>
      </c>
      <c r="L8193" t="s">
        <v>1357</v>
      </c>
    </row>
    <row r="8194" spans="6:12">
      <c r="F8194" t="s">
        <v>15451</v>
      </c>
      <c r="G8194" t="s">
        <v>18153</v>
      </c>
      <c r="H8194" t="s">
        <v>20446</v>
      </c>
      <c r="I8194" t="s">
        <v>1357</v>
      </c>
      <c r="J8194" t="s">
        <v>1357</v>
      </c>
      <c r="K8194" t="s">
        <v>1357</v>
      </c>
      <c r="L8194" t="s">
        <v>1357</v>
      </c>
    </row>
    <row r="8195" spans="6:12">
      <c r="F8195" t="s">
        <v>15452</v>
      </c>
      <c r="G8195" t="s">
        <v>18154</v>
      </c>
      <c r="H8195" t="s">
        <v>20446</v>
      </c>
      <c r="I8195" t="s">
        <v>1357</v>
      </c>
      <c r="J8195" t="s">
        <v>1357</v>
      </c>
      <c r="K8195" t="s">
        <v>1357</v>
      </c>
      <c r="L8195" t="s">
        <v>1357</v>
      </c>
    </row>
    <row r="8196" spans="6:12">
      <c r="F8196" t="s">
        <v>15453</v>
      </c>
      <c r="G8196" t="s">
        <v>18155</v>
      </c>
      <c r="H8196" t="s">
        <v>20446</v>
      </c>
      <c r="I8196" t="s">
        <v>1357</v>
      </c>
      <c r="J8196" t="s">
        <v>1357</v>
      </c>
      <c r="K8196" t="s">
        <v>1357</v>
      </c>
      <c r="L8196" t="s">
        <v>1357</v>
      </c>
    </row>
    <row r="8197" spans="6:12">
      <c r="F8197" t="s">
        <v>15454</v>
      </c>
      <c r="G8197" t="s">
        <v>18156</v>
      </c>
      <c r="H8197" t="s">
        <v>20446</v>
      </c>
      <c r="I8197" t="s">
        <v>1357</v>
      </c>
      <c r="J8197" t="s">
        <v>1357</v>
      </c>
      <c r="K8197" t="s">
        <v>1357</v>
      </c>
      <c r="L8197" t="s">
        <v>1357</v>
      </c>
    </row>
    <row r="8198" spans="6:12">
      <c r="F8198" t="s">
        <v>15455</v>
      </c>
      <c r="G8198" t="s">
        <v>18157</v>
      </c>
      <c r="H8198" t="s">
        <v>20446</v>
      </c>
      <c r="I8198" t="s">
        <v>1357</v>
      </c>
      <c r="J8198" t="s">
        <v>1357</v>
      </c>
      <c r="K8198" t="s">
        <v>1357</v>
      </c>
      <c r="L8198" t="s">
        <v>1357</v>
      </c>
    </row>
    <row r="8199" spans="6:12">
      <c r="F8199" t="s">
        <v>15456</v>
      </c>
      <c r="G8199" t="s">
        <v>18158</v>
      </c>
      <c r="H8199" t="s">
        <v>20446</v>
      </c>
      <c r="I8199" t="s">
        <v>1357</v>
      </c>
      <c r="J8199" t="s">
        <v>1357</v>
      </c>
      <c r="K8199" t="s">
        <v>1357</v>
      </c>
      <c r="L8199" t="s">
        <v>1357</v>
      </c>
    </row>
    <row r="8200" spans="6:12">
      <c r="F8200" t="s">
        <v>15457</v>
      </c>
      <c r="G8200" t="s">
        <v>18159</v>
      </c>
      <c r="H8200" t="s">
        <v>20446</v>
      </c>
      <c r="I8200" t="s">
        <v>1357</v>
      </c>
      <c r="J8200" t="s">
        <v>1357</v>
      </c>
      <c r="K8200" t="s">
        <v>1357</v>
      </c>
      <c r="L8200" t="s">
        <v>1357</v>
      </c>
    </row>
    <row r="8201" spans="6:12">
      <c r="F8201" t="s">
        <v>15458</v>
      </c>
      <c r="G8201" t="s">
        <v>18160</v>
      </c>
      <c r="H8201" t="s">
        <v>20446</v>
      </c>
      <c r="I8201" t="s">
        <v>1357</v>
      </c>
      <c r="J8201" t="s">
        <v>1357</v>
      </c>
      <c r="K8201" t="s">
        <v>1357</v>
      </c>
      <c r="L8201" t="s">
        <v>1357</v>
      </c>
    </row>
    <row r="8202" spans="6:12">
      <c r="F8202" t="s">
        <v>15459</v>
      </c>
      <c r="G8202" t="s">
        <v>18161</v>
      </c>
      <c r="H8202" t="s">
        <v>20446</v>
      </c>
      <c r="I8202" t="s">
        <v>1357</v>
      </c>
      <c r="J8202" t="s">
        <v>1357</v>
      </c>
      <c r="K8202" t="s">
        <v>1357</v>
      </c>
      <c r="L8202" t="s">
        <v>1357</v>
      </c>
    </row>
    <row r="8203" spans="6:12">
      <c r="F8203" t="s">
        <v>15460</v>
      </c>
      <c r="G8203" t="s">
        <v>18162</v>
      </c>
      <c r="H8203" t="s">
        <v>20446</v>
      </c>
      <c r="I8203" t="s">
        <v>1357</v>
      </c>
      <c r="J8203" t="s">
        <v>1357</v>
      </c>
      <c r="K8203" t="s">
        <v>1357</v>
      </c>
      <c r="L8203" t="s">
        <v>1357</v>
      </c>
    </row>
    <row r="8204" spans="6:12">
      <c r="F8204" t="s">
        <v>15461</v>
      </c>
      <c r="G8204" t="s">
        <v>18163</v>
      </c>
      <c r="H8204" t="s">
        <v>20446</v>
      </c>
      <c r="I8204" t="s">
        <v>1357</v>
      </c>
      <c r="J8204" t="s">
        <v>1357</v>
      </c>
      <c r="K8204" t="s">
        <v>1357</v>
      </c>
      <c r="L8204" t="s">
        <v>1357</v>
      </c>
    </row>
    <row r="8205" spans="6:12">
      <c r="F8205" t="s">
        <v>15462</v>
      </c>
      <c r="G8205" t="s">
        <v>18164</v>
      </c>
      <c r="H8205" t="s">
        <v>20446</v>
      </c>
      <c r="I8205" t="s">
        <v>1357</v>
      </c>
      <c r="J8205" t="s">
        <v>1357</v>
      </c>
      <c r="K8205" t="s">
        <v>1357</v>
      </c>
      <c r="L8205" t="s">
        <v>1357</v>
      </c>
    </row>
    <row r="8206" spans="6:12">
      <c r="F8206" t="s">
        <v>15463</v>
      </c>
      <c r="G8206" t="s">
        <v>18165</v>
      </c>
      <c r="H8206" t="s">
        <v>20446</v>
      </c>
      <c r="I8206" t="s">
        <v>1357</v>
      </c>
      <c r="J8206" t="s">
        <v>1357</v>
      </c>
      <c r="K8206" t="s">
        <v>1357</v>
      </c>
      <c r="L8206" t="s">
        <v>1357</v>
      </c>
    </row>
    <row r="8207" spans="6:12">
      <c r="F8207" t="s">
        <v>15464</v>
      </c>
      <c r="G8207" t="s">
        <v>18166</v>
      </c>
      <c r="H8207" t="s">
        <v>20446</v>
      </c>
      <c r="I8207" t="s">
        <v>1357</v>
      </c>
      <c r="J8207" t="s">
        <v>1357</v>
      </c>
      <c r="K8207" t="s">
        <v>1357</v>
      </c>
      <c r="L8207" t="s">
        <v>1357</v>
      </c>
    </row>
    <row r="8208" spans="6:12">
      <c r="F8208" t="s">
        <v>15465</v>
      </c>
      <c r="G8208" t="s">
        <v>18167</v>
      </c>
      <c r="H8208" t="s">
        <v>20446</v>
      </c>
      <c r="I8208" t="s">
        <v>1357</v>
      </c>
      <c r="J8208" t="s">
        <v>1357</v>
      </c>
      <c r="K8208" t="s">
        <v>1357</v>
      </c>
      <c r="L8208" t="s">
        <v>1357</v>
      </c>
    </row>
    <row r="8209" spans="6:12">
      <c r="F8209" t="s">
        <v>15466</v>
      </c>
      <c r="G8209" t="s">
        <v>18168</v>
      </c>
      <c r="H8209" t="s">
        <v>20446</v>
      </c>
      <c r="I8209" t="s">
        <v>1357</v>
      </c>
      <c r="J8209" t="s">
        <v>1357</v>
      </c>
      <c r="K8209" t="s">
        <v>1357</v>
      </c>
      <c r="L8209" t="s">
        <v>1357</v>
      </c>
    </row>
    <row r="8210" spans="6:12">
      <c r="F8210" t="s">
        <v>15467</v>
      </c>
      <c r="G8210" t="s">
        <v>18169</v>
      </c>
      <c r="H8210" t="s">
        <v>20446</v>
      </c>
      <c r="I8210" t="s">
        <v>1357</v>
      </c>
      <c r="J8210" t="s">
        <v>1357</v>
      </c>
      <c r="K8210" t="s">
        <v>1357</v>
      </c>
      <c r="L8210" t="s">
        <v>1357</v>
      </c>
    </row>
    <row r="8211" spans="6:12">
      <c r="F8211" t="s">
        <v>15468</v>
      </c>
      <c r="G8211" t="s">
        <v>18170</v>
      </c>
      <c r="H8211" t="s">
        <v>20446</v>
      </c>
      <c r="I8211" t="s">
        <v>1357</v>
      </c>
      <c r="J8211" t="s">
        <v>1357</v>
      </c>
      <c r="K8211" t="s">
        <v>1357</v>
      </c>
      <c r="L8211" t="s">
        <v>1357</v>
      </c>
    </row>
    <row r="8212" spans="6:12">
      <c r="F8212" t="s">
        <v>15469</v>
      </c>
      <c r="G8212" t="s">
        <v>18171</v>
      </c>
      <c r="H8212" t="s">
        <v>20446</v>
      </c>
      <c r="I8212" t="s">
        <v>1357</v>
      </c>
      <c r="J8212" t="s">
        <v>1357</v>
      </c>
      <c r="K8212" t="s">
        <v>1357</v>
      </c>
      <c r="L8212" t="s">
        <v>1357</v>
      </c>
    </row>
    <row r="8213" spans="6:12">
      <c r="F8213" t="s">
        <v>15470</v>
      </c>
      <c r="G8213" t="s">
        <v>18172</v>
      </c>
      <c r="H8213" t="s">
        <v>20446</v>
      </c>
      <c r="I8213" t="s">
        <v>1357</v>
      </c>
      <c r="J8213" t="s">
        <v>1357</v>
      </c>
      <c r="K8213" t="s">
        <v>1357</v>
      </c>
      <c r="L8213" t="s">
        <v>1357</v>
      </c>
    </row>
    <row r="8214" spans="6:12">
      <c r="F8214" t="s">
        <v>15471</v>
      </c>
      <c r="G8214" t="s">
        <v>18173</v>
      </c>
      <c r="H8214" t="s">
        <v>20446</v>
      </c>
      <c r="I8214" t="s">
        <v>1357</v>
      </c>
      <c r="J8214" t="s">
        <v>1357</v>
      </c>
      <c r="K8214" t="s">
        <v>1357</v>
      </c>
      <c r="L8214" t="s">
        <v>1357</v>
      </c>
    </row>
    <row r="8215" spans="6:12">
      <c r="F8215" t="s">
        <v>15472</v>
      </c>
      <c r="G8215" t="s">
        <v>18174</v>
      </c>
      <c r="H8215" t="s">
        <v>20446</v>
      </c>
      <c r="I8215" t="s">
        <v>1357</v>
      </c>
      <c r="J8215" t="s">
        <v>1357</v>
      </c>
      <c r="K8215" t="s">
        <v>1357</v>
      </c>
      <c r="L8215" t="s">
        <v>1357</v>
      </c>
    </row>
    <row r="8216" spans="6:12">
      <c r="F8216" t="s">
        <v>15473</v>
      </c>
      <c r="G8216" t="s">
        <v>18175</v>
      </c>
      <c r="H8216" t="s">
        <v>20446</v>
      </c>
      <c r="I8216" t="s">
        <v>1357</v>
      </c>
      <c r="J8216" t="s">
        <v>1357</v>
      </c>
      <c r="K8216" t="s">
        <v>1357</v>
      </c>
      <c r="L8216" t="s">
        <v>1357</v>
      </c>
    </row>
    <row r="8217" spans="6:12">
      <c r="F8217" t="s">
        <v>15474</v>
      </c>
      <c r="G8217" t="s">
        <v>18176</v>
      </c>
      <c r="H8217" t="s">
        <v>20446</v>
      </c>
      <c r="I8217" t="s">
        <v>1357</v>
      </c>
      <c r="J8217" t="s">
        <v>1357</v>
      </c>
      <c r="K8217" t="s">
        <v>1357</v>
      </c>
      <c r="L8217" t="s">
        <v>1357</v>
      </c>
    </row>
    <row r="8218" spans="6:12">
      <c r="F8218" t="s">
        <v>15475</v>
      </c>
      <c r="G8218" t="s">
        <v>18177</v>
      </c>
      <c r="H8218" t="s">
        <v>20446</v>
      </c>
      <c r="I8218" t="s">
        <v>1357</v>
      </c>
      <c r="J8218" t="s">
        <v>1357</v>
      </c>
      <c r="K8218" t="s">
        <v>1357</v>
      </c>
      <c r="L8218" t="s">
        <v>1357</v>
      </c>
    </row>
    <row r="8219" spans="6:12">
      <c r="F8219" t="s">
        <v>15476</v>
      </c>
      <c r="G8219" t="s">
        <v>18178</v>
      </c>
      <c r="H8219" t="s">
        <v>20446</v>
      </c>
      <c r="I8219" t="s">
        <v>1357</v>
      </c>
      <c r="J8219" t="s">
        <v>1357</v>
      </c>
      <c r="K8219" t="s">
        <v>1357</v>
      </c>
      <c r="L8219" t="s">
        <v>1357</v>
      </c>
    </row>
    <row r="8220" spans="6:12">
      <c r="F8220" t="s">
        <v>15477</v>
      </c>
      <c r="G8220" t="s">
        <v>18179</v>
      </c>
      <c r="H8220" t="s">
        <v>20446</v>
      </c>
      <c r="I8220" t="s">
        <v>1357</v>
      </c>
      <c r="J8220" t="s">
        <v>1357</v>
      </c>
      <c r="K8220" t="s">
        <v>1357</v>
      </c>
      <c r="L8220" t="s">
        <v>1357</v>
      </c>
    </row>
    <row r="8221" spans="6:12">
      <c r="F8221" t="s">
        <v>15478</v>
      </c>
      <c r="G8221" t="s">
        <v>18180</v>
      </c>
      <c r="H8221" t="s">
        <v>20446</v>
      </c>
      <c r="I8221" t="s">
        <v>1357</v>
      </c>
      <c r="J8221" t="s">
        <v>1357</v>
      </c>
      <c r="K8221" t="s">
        <v>1357</v>
      </c>
      <c r="L8221" t="s">
        <v>1357</v>
      </c>
    </row>
    <row r="8222" spans="6:12">
      <c r="F8222" t="s">
        <v>15479</v>
      </c>
      <c r="G8222" t="s">
        <v>18181</v>
      </c>
      <c r="H8222" t="s">
        <v>20446</v>
      </c>
      <c r="I8222" t="s">
        <v>1357</v>
      </c>
      <c r="J8222" t="s">
        <v>1357</v>
      </c>
      <c r="K8222" t="s">
        <v>1357</v>
      </c>
      <c r="L8222" t="s">
        <v>1357</v>
      </c>
    </row>
    <row r="8223" spans="6:12">
      <c r="F8223" t="s">
        <v>15480</v>
      </c>
      <c r="G8223" t="s">
        <v>18182</v>
      </c>
      <c r="H8223" t="s">
        <v>20446</v>
      </c>
      <c r="I8223" t="s">
        <v>1357</v>
      </c>
      <c r="J8223" t="s">
        <v>1357</v>
      </c>
      <c r="K8223" t="s">
        <v>1357</v>
      </c>
      <c r="L8223" t="s">
        <v>1357</v>
      </c>
    </row>
    <row r="8224" spans="6:12">
      <c r="F8224" t="s">
        <v>15481</v>
      </c>
      <c r="G8224" t="s">
        <v>18183</v>
      </c>
      <c r="H8224" t="s">
        <v>20446</v>
      </c>
      <c r="I8224" t="s">
        <v>1357</v>
      </c>
      <c r="J8224" t="s">
        <v>1357</v>
      </c>
      <c r="K8224" t="s">
        <v>1357</v>
      </c>
      <c r="L8224" t="s">
        <v>1357</v>
      </c>
    </row>
    <row r="8225" spans="6:12">
      <c r="F8225" t="s">
        <v>15482</v>
      </c>
      <c r="G8225" t="s">
        <v>18184</v>
      </c>
      <c r="H8225" t="s">
        <v>20446</v>
      </c>
      <c r="I8225" t="s">
        <v>1357</v>
      </c>
      <c r="J8225" t="s">
        <v>1357</v>
      </c>
      <c r="K8225" t="s">
        <v>1357</v>
      </c>
      <c r="L8225" t="s">
        <v>1357</v>
      </c>
    </row>
    <row r="8226" spans="6:12">
      <c r="F8226" t="s">
        <v>15483</v>
      </c>
      <c r="G8226" t="s">
        <v>18185</v>
      </c>
      <c r="H8226" t="s">
        <v>20446</v>
      </c>
      <c r="I8226" t="s">
        <v>1357</v>
      </c>
      <c r="J8226" t="s">
        <v>1357</v>
      </c>
      <c r="K8226" t="s">
        <v>1357</v>
      </c>
      <c r="L8226" t="s">
        <v>1357</v>
      </c>
    </row>
    <row r="8227" spans="6:12">
      <c r="F8227" t="s">
        <v>15484</v>
      </c>
      <c r="G8227" t="s">
        <v>18186</v>
      </c>
      <c r="H8227" t="s">
        <v>20446</v>
      </c>
      <c r="I8227" t="s">
        <v>1357</v>
      </c>
      <c r="J8227" t="s">
        <v>1357</v>
      </c>
      <c r="K8227" t="s">
        <v>1357</v>
      </c>
      <c r="L8227" t="s">
        <v>1357</v>
      </c>
    </row>
    <row r="8228" spans="6:12">
      <c r="F8228" t="s">
        <v>15485</v>
      </c>
      <c r="G8228" t="s">
        <v>18187</v>
      </c>
      <c r="H8228" t="s">
        <v>20446</v>
      </c>
      <c r="I8228" t="s">
        <v>1357</v>
      </c>
      <c r="J8228" t="s">
        <v>1357</v>
      </c>
      <c r="K8228" t="s">
        <v>1357</v>
      </c>
      <c r="L8228" t="s">
        <v>1357</v>
      </c>
    </row>
    <row r="8229" spans="6:12">
      <c r="F8229" t="s">
        <v>15486</v>
      </c>
      <c r="G8229" t="s">
        <v>18188</v>
      </c>
      <c r="H8229" t="s">
        <v>20446</v>
      </c>
      <c r="I8229" t="s">
        <v>1357</v>
      </c>
      <c r="J8229" t="s">
        <v>1357</v>
      </c>
      <c r="K8229" t="s">
        <v>1357</v>
      </c>
      <c r="L8229" t="s">
        <v>1357</v>
      </c>
    </row>
    <row r="8230" spans="6:12">
      <c r="F8230" t="s">
        <v>15487</v>
      </c>
      <c r="G8230" t="s">
        <v>18189</v>
      </c>
      <c r="H8230" t="s">
        <v>20446</v>
      </c>
      <c r="I8230" t="s">
        <v>1357</v>
      </c>
      <c r="J8230" t="s">
        <v>1357</v>
      </c>
      <c r="K8230" t="s">
        <v>1357</v>
      </c>
      <c r="L8230" t="s">
        <v>1357</v>
      </c>
    </row>
    <row r="8231" spans="6:12">
      <c r="F8231" t="s">
        <v>15488</v>
      </c>
      <c r="G8231" t="s">
        <v>18190</v>
      </c>
      <c r="H8231" t="s">
        <v>20446</v>
      </c>
      <c r="I8231" t="s">
        <v>1357</v>
      </c>
      <c r="J8231" t="s">
        <v>1357</v>
      </c>
      <c r="K8231" t="s">
        <v>1357</v>
      </c>
      <c r="L8231" t="s">
        <v>1357</v>
      </c>
    </row>
    <row r="8232" spans="6:12">
      <c r="F8232" t="s">
        <v>15489</v>
      </c>
      <c r="G8232" t="s">
        <v>18191</v>
      </c>
      <c r="H8232" t="s">
        <v>20446</v>
      </c>
      <c r="I8232" t="s">
        <v>1357</v>
      </c>
      <c r="J8232" t="s">
        <v>1357</v>
      </c>
      <c r="K8232" t="s">
        <v>1357</v>
      </c>
      <c r="L8232" t="s">
        <v>1357</v>
      </c>
    </row>
    <row r="8233" spans="6:12">
      <c r="F8233" t="s">
        <v>15490</v>
      </c>
      <c r="G8233" t="s">
        <v>18192</v>
      </c>
      <c r="H8233" t="s">
        <v>20446</v>
      </c>
      <c r="I8233" t="s">
        <v>1357</v>
      </c>
      <c r="J8233" t="s">
        <v>1357</v>
      </c>
      <c r="K8233" t="s">
        <v>1357</v>
      </c>
      <c r="L8233" t="s">
        <v>1357</v>
      </c>
    </row>
    <row r="8234" spans="6:12">
      <c r="F8234" t="s">
        <v>15491</v>
      </c>
      <c r="G8234" t="s">
        <v>18193</v>
      </c>
      <c r="H8234" t="s">
        <v>20446</v>
      </c>
      <c r="I8234" t="s">
        <v>1357</v>
      </c>
      <c r="J8234" t="s">
        <v>1357</v>
      </c>
      <c r="K8234" t="s">
        <v>1357</v>
      </c>
      <c r="L8234" t="s">
        <v>1357</v>
      </c>
    </row>
    <row r="8235" spans="6:12">
      <c r="F8235" t="s">
        <v>15492</v>
      </c>
      <c r="G8235" t="s">
        <v>18194</v>
      </c>
      <c r="H8235" t="s">
        <v>20446</v>
      </c>
      <c r="I8235" t="s">
        <v>1357</v>
      </c>
      <c r="J8235" t="s">
        <v>1357</v>
      </c>
      <c r="K8235" t="s">
        <v>1357</v>
      </c>
      <c r="L8235" t="s">
        <v>1357</v>
      </c>
    </row>
    <row r="8236" spans="6:12">
      <c r="F8236" t="s">
        <v>15493</v>
      </c>
      <c r="G8236" t="s">
        <v>18195</v>
      </c>
      <c r="H8236" t="s">
        <v>20446</v>
      </c>
      <c r="I8236" t="s">
        <v>1357</v>
      </c>
      <c r="J8236" t="s">
        <v>1357</v>
      </c>
      <c r="K8236" t="s">
        <v>1357</v>
      </c>
      <c r="L8236" t="s">
        <v>1357</v>
      </c>
    </row>
    <row r="8237" spans="6:12">
      <c r="F8237" t="s">
        <v>15494</v>
      </c>
      <c r="G8237" t="s">
        <v>18196</v>
      </c>
      <c r="H8237" t="s">
        <v>20446</v>
      </c>
      <c r="I8237" t="s">
        <v>1357</v>
      </c>
      <c r="J8237" t="s">
        <v>1357</v>
      </c>
      <c r="K8237" t="s">
        <v>1357</v>
      </c>
      <c r="L8237" t="s">
        <v>1357</v>
      </c>
    </row>
    <row r="8238" spans="6:12">
      <c r="F8238" t="s">
        <v>15495</v>
      </c>
      <c r="G8238" t="s">
        <v>18197</v>
      </c>
      <c r="H8238" t="s">
        <v>20446</v>
      </c>
      <c r="I8238" t="s">
        <v>1357</v>
      </c>
      <c r="J8238" t="s">
        <v>1357</v>
      </c>
      <c r="K8238" t="s">
        <v>1357</v>
      </c>
      <c r="L8238" t="s">
        <v>1357</v>
      </c>
    </row>
    <row r="8239" spans="6:12">
      <c r="F8239" t="s">
        <v>15496</v>
      </c>
      <c r="G8239" t="s">
        <v>18198</v>
      </c>
      <c r="H8239" t="s">
        <v>20446</v>
      </c>
      <c r="I8239" t="s">
        <v>1357</v>
      </c>
      <c r="J8239" t="s">
        <v>1357</v>
      </c>
      <c r="K8239" t="s">
        <v>1357</v>
      </c>
      <c r="L8239" t="s">
        <v>1357</v>
      </c>
    </row>
    <row r="8240" spans="6:12">
      <c r="F8240" t="s">
        <v>15497</v>
      </c>
      <c r="G8240" t="s">
        <v>18199</v>
      </c>
      <c r="H8240" t="s">
        <v>20446</v>
      </c>
      <c r="I8240" t="s">
        <v>1357</v>
      </c>
      <c r="J8240" t="s">
        <v>1357</v>
      </c>
      <c r="K8240" t="s">
        <v>1357</v>
      </c>
      <c r="L8240" t="s">
        <v>1357</v>
      </c>
    </row>
    <row r="8241" spans="6:12">
      <c r="F8241" t="s">
        <v>15498</v>
      </c>
      <c r="G8241" t="s">
        <v>18200</v>
      </c>
      <c r="H8241" t="s">
        <v>20446</v>
      </c>
      <c r="I8241" t="s">
        <v>1357</v>
      </c>
      <c r="J8241" t="s">
        <v>1357</v>
      </c>
      <c r="K8241" t="s">
        <v>1357</v>
      </c>
      <c r="L8241" t="s">
        <v>1357</v>
      </c>
    </row>
    <row r="8242" spans="6:12">
      <c r="F8242" t="s">
        <v>15499</v>
      </c>
      <c r="G8242" t="s">
        <v>18201</v>
      </c>
      <c r="H8242" t="s">
        <v>20446</v>
      </c>
      <c r="I8242" t="s">
        <v>1357</v>
      </c>
      <c r="J8242" t="s">
        <v>1357</v>
      </c>
      <c r="K8242" t="s">
        <v>1357</v>
      </c>
      <c r="L8242" t="s">
        <v>1357</v>
      </c>
    </row>
    <row r="8243" spans="6:12">
      <c r="F8243" t="s">
        <v>15500</v>
      </c>
      <c r="G8243" t="s">
        <v>18202</v>
      </c>
      <c r="H8243" t="s">
        <v>20446</v>
      </c>
      <c r="I8243" t="s">
        <v>1357</v>
      </c>
      <c r="J8243" t="s">
        <v>1357</v>
      </c>
      <c r="K8243" t="s">
        <v>1357</v>
      </c>
      <c r="L8243" t="s">
        <v>1357</v>
      </c>
    </row>
    <row r="8244" spans="6:12">
      <c r="F8244" t="s">
        <v>15501</v>
      </c>
      <c r="G8244" t="s">
        <v>18203</v>
      </c>
      <c r="H8244" t="s">
        <v>20446</v>
      </c>
      <c r="I8244" t="s">
        <v>1357</v>
      </c>
      <c r="J8244" t="s">
        <v>1357</v>
      </c>
      <c r="K8244" t="s">
        <v>1357</v>
      </c>
      <c r="L8244" t="s">
        <v>1357</v>
      </c>
    </row>
    <row r="8245" spans="6:12">
      <c r="F8245" t="s">
        <v>15502</v>
      </c>
      <c r="G8245" t="s">
        <v>18204</v>
      </c>
      <c r="H8245" t="s">
        <v>20446</v>
      </c>
      <c r="I8245" t="s">
        <v>1357</v>
      </c>
      <c r="J8245" t="s">
        <v>1357</v>
      </c>
      <c r="K8245" t="s">
        <v>1357</v>
      </c>
      <c r="L8245" t="s">
        <v>1357</v>
      </c>
    </row>
    <row r="8246" spans="6:12">
      <c r="F8246" t="s">
        <v>15503</v>
      </c>
      <c r="G8246" t="s">
        <v>18205</v>
      </c>
      <c r="H8246" t="s">
        <v>20446</v>
      </c>
      <c r="I8246" t="s">
        <v>1357</v>
      </c>
      <c r="J8246" t="s">
        <v>1357</v>
      </c>
      <c r="K8246" t="s">
        <v>1357</v>
      </c>
      <c r="L8246" t="s">
        <v>1357</v>
      </c>
    </row>
    <row r="8247" spans="6:12">
      <c r="F8247" t="s">
        <v>15504</v>
      </c>
      <c r="G8247" t="s">
        <v>18206</v>
      </c>
      <c r="H8247" t="s">
        <v>20446</v>
      </c>
      <c r="I8247" t="s">
        <v>1357</v>
      </c>
      <c r="J8247" t="s">
        <v>1357</v>
      </c>
      <c r="K8247" t="s">
        <v>1357</v>
      </c>
      <c r="L8247" t="s">
        <v>1357</v>
      </c>
    </row>
    <row r="8248" spans="6:12">
      <c r="F8248" t="s">
        <v>15505</v>
      </c>
      <c r="G8248" t="s">
        <v>18207</v>
      </c>
      <c r="H8248" t="s">
        <v>20446</v>
      </c>
      <c r="I8248" t="s">
        <v>1357</v>
      </c>
      <c r="J8248" t="s">
        <v>1357</v>
      </c>
      <c r="K8248" t="s">
        <v>1357</v>
      </c>
      <c r="L8248" t="s">
        <v>1357</v>
      </c>
    </row>
    <row r="8249" spans="6:12">
      <c r="F8249" t="s">
        <v>15506</v>
      </c>
      <c r="G8249" t="s">
        <v>18208</v>
      </c>
      <c r="H8249" t="s">
        <v>20446</v>
      </c>
      <c r="I8249" t="s">
        <v>1357</v>
      </c>
      <c r="J8249" t="s">
        <v>1357</v>
      </c>
      <c r="K8249" t="s">
        <v>1357</v>
      </c>
      <c r="L8249" t="s">
        <v>1357</v>
      </c>
    </row>
    <row r="8250" spans="6:12">
      <c r="F8250" t="s">
        <v>15507</v>
      </c>
      <c r="G8250" t="s">
        <v>18209</v>
      </c>
      <c r="H8250" t="s">
        <v>20446</v>
      </c>
      <c r="I8250" t="s">
        <v>1357</v>
      </c>
      <c r="J8250" t="s">
        <v>1357</v>
      </c>
      <c r="K8250" t="s">
        <v>1357</v>
      </c>
      <c r="L8250" t="s">
        <v>1357</v>
      </c>
    </row>
    <row r="8251" spans="6:12">
      <c r="F8251" t="s">
        <v>15508</v>
      </c>
      <c r="G8251" t="s">
        <v>18210</v>
      </c>
      <c r="H8251" t="s">
        <v>20446</v>
      </c>
      <c r="I8251" t="s">
        <v>1357</v>
      </c>
      <c r="J8251" t="s">
        <v>1357</v>
      </c>
      <c r="K8251" t="s">
        <v>1357</v>
      </c>
      <c r="L8251" t="s">
        <v>1357</v>
      </c>
    </row>
    <row r="8252" spans="6:12">
      <c r="F8252" t="s">
        <v>15509</v>
      </c>
      <c r="G8252" t="s">
        <v>18211</v>
      </c>
      <c r="H8252" t="s">
        <v>20446</v>
      </c>
      <c r="I8252" t="s">
        <v>1357</v>
      </c>
      <c r="J8252" t="s">
        <v>1357</v>
      </c>
      <c r="K8252" t="s">
        <v>1357</v>
      </c>
      <c r="L8252" t="s">
        <v>1357</v>
      </c>
    </row>
    <row r="8253" spans="6:12">
      <c r="F8253" t="s">
        <v>15510</v>
      </c>
      <c r="G8253" t="s">
        <v>18212</v>
      </c>
      <c r="H8253" t="s">
        <v>20446</v>
      </c>
      <c r="I8253" t="s">
        <v>1357</v>
      </c>
      <c r="J8253" t="s">
        <v>1357</v>
      </c>
      <c r="K8253" t="s">
        <v>1357</v>
      </c>
      <c r="L8253" t="s">
        <v>1357</v>
      </c>
    </row>
    <row r="8254" spans="6:12">
      <c r="F8254" t="s">
        <v>15511</v>
      </c>
      <c r="G8254" t="s">
        <v>18213</v>
      </c>
      <c r="H8254" t="s">
        <v>20446</v>
      </c>
      <c r="I8254" t="s">
        <v>1357</v>
      </c>
      <c r="J8254" t="s">
        <v>1357</v>
      </c>
      <c r="K8254" t="s">
        <v>1357</v>
      </c>
      <c r="L8254" t="s">
        <v>1357</v>
      </c>
    </row>
    <row r="8255" spans="6:12">
      <c r="F8255" t="s">
        <v>15512</v>
      </c>
      <c r="G8255" t="s">
        <v>18214</v>
      </c>
      <c r="H8255" t="s">
        <v>20446</v>
      </c>
      <c r="I8255" t="s">
        <v>1357</v>
      </c>
      <c r="J8255" t="s">
        <v>1357</v>
      </c>
      <c r="K8255" t="s">
        <v>1357</v>
      </c>
      <c r="L8255" t="s">
        <v>1357</v>
      </c>
    </row>
    <row r="8256" spans="6:12">
      <c r="F8256" t="s">
        <v>15513</v>
      </c>
      <c r="G8256" t="s">
        <v>18215</v>
      </c>
      <c r="H8256" t="s">
        <v>20446</v>
      </c>
      <c r="I8256" t="s">
        <v>1357</v>
      </c>
      <c r="J8256" t="s">
        <v>1357</v>
      </c>
      <c r="K8256" t="s">
        <v>1357</v>
      </c>
      <c r="L8256" t="s">
        <v>1357</v>
      </c>
    </row>
    <row r="8257" spans="6:12">
      <c r="F8257" t="s">
        <v>15514</v>
      </c>
      <c r="G8257" t="s">
        <v>18216</v>
      </c>
      <c r="H8257" t="s">
        <v>20446</v>
      </c>
      <c r="I8257" t="s">
        <v>1357</v>
      </c>
      <c r="J8257" t="s">
        <v>1357</v>
      </c>
      <c r="K8257" t="s">
        <v>1357</v>
      </c>
      <c r="L8257" t="s">
        <v>1357</v>
      </c>
    </row>
    <row r="8258" spans="6:12">
      <c r="F8258" t="s">
        <v>15515</v>
      </c>
      <c r="G8258" t="s">
        <v>18217</v>
      </c>
      <c r="H8258" t="s">
        <v>20446</v>
      </c>
      <c r="I8258" t="s">
        <v>1357</v>
      </c>
      <c r="J8258" t="s">
        <v>1357</v>
      </c>
      <c r="K8258" t="s">
        <v>1357</v>
      </c>
      <c r="L8258" t="s">
        <v>1357</v>
      </c>
    </row>
    <row r="8259" spans="6:12">
      <c r="F8259" t="s">
        <v>15516</v>
      </c>
      <c r="G8259" t="s">
        <v>18218</v>
      </c>
      <c r="H8259" t="s">
        <v>20446</v>
      </c>
      <c r="I8259" t="s">
        <v>1357</v>
      </c>
      <c r="J8259" t="s">
        <v>1357</v>
      </c>
      <c r="K8259" t="s">
        <v>1357</v>
      </c>
      <c r="L8259" t="s">
        <v>1357</v>
      </c>
    </row>
    <row r="8260" spans="6:12">
      <c r="F8260" t="s">
        <v>15517</v>
      </c>
      <c r="G8260" t="s">
        <v>18219</v>
      </c>
      <c r="H8260" t="s">
        <v>20446</v>
      </c>
      <c r="I8260" t="s">
        <v>1357</v>
      </c>
      <c r="J8260" t="s">
        <v>1357</v>
      </c>
      <c r="K8260" t="s">
        <v>1357</v>
      </c>
      <c r="L8260" t="s">
        <v>1357</v>
      </c>
    </row>
    <row r="8261" spans="6:12">
      <c r="F8261" t="s">
        <v>15518</v>
      </c>
      <c r="G8261" t="s">
        <v>18220</v>
      </c>
      <c r="H8261" t="s">
        <v>20446</v>
      </c>
      <c r="I8261" t="s">
        <v>1357</v>
      </c>
      <c r="J8261" t="s">
        <v>1357</v>
      </c>
      <c r="K8261" t="s">
        <v>1357</v>
      </c>
      <c r="L8261" t="s">
        <v>1357</v>
      </c>
    </row>
    <row r="8262" spans="6:12">
      <c r="F8262" t="s">
        <v>15519</v>
      </c>
      <c r="G8262" t="s">
        <v>18221</v>
      </c>
      <c r="H8262" t="s">
        <v>20446</v>
      </c>
      <c r="I8262" t="s">
        <v>1357</v>
      </c>
      <c r="J8262" t="s">
        <v>1357</v>
      </c>
      <c r="K8262" t="s">
        <v>1357</v>
      </c>
      <c r="L8262" t="s">
        <v>1357</v>
      </c>
    </row>
    <row r="8263" spans="6:12">
      <c r="F8263" t="s">
        <v>15520</v>
      </c>
      <c r="G8263" t="s">
        <v>18222</v>
      </c>
      <c r="H8263" t="s">
        <v>20446</v>
      </c>
      <c r="I8263" t="s">
        <v>1357</v>
      </c>
      <c r="J8263" t="s">
        <v>1357</v>
      </c>
      <c r="K8263" t="s">
        <v>1357</v>
      </c>
      <c r="L8263" t="s">
        <v>1357</v>
      </c>
    </row>
    <row r="8264" spans="6:12">
      <c r="F8264" t="s">
        <v>15521</v>
      </c>
      <c r="G8264" t="s">
        <v>18223</v>
      </c>
      <c r="H8264" t="s">
        <v>20446</v>
      </c>
      <c r="I8264" t="s">
        <v>1357</v>
      </c>
      <c r="J8264" t="s">
        <v>1357</v>
      </c>
      <c r="K8264" t="s">
        <v>1357</v>
      </c>
      <c r="L8264" t="s">
        <v>1357</v>
      </c>
    </row>
    <row r="8265" spans="6:12">
      <c r="F8265" t="s">
        <v>15522</v>
      </c>
      <c r="G8265" t="s">
        <v>18224</v>
      </c>
      <c r="H8265" t="s">
        <v>20446</v>
      </c>
      <c r="I8265" t="s">
        <v>1357</v>
      </c>
      <c r="J8265" t="s">
        <v>1357</v>
      </c>
      <c r="K8265" t="s">
        <v>1357</v>
      </c>
      <c r="L8265" t="s">
        <v>1357</v>
      </c>
    </row>
    <row r="8266" spans="6:12">
      <c r="F8266" t="s">
        <v>15523</v>
      </c>
      <c r="G8266" t="s">
        <v>18225</v>
      </c>
      <c r="H8266" t="s">
        <v>20446</v>
      </c>
      <c r="I8266" t="s">
        <v>1357</v>
      </c>
      <c r="J8266" t="s">
        <v>1357</v>
      </c>
      <c r="K8266" t="s">
        <v>1357</v>
      </c>
      <c r="L8266" t="s">
        <v>1357</v>
      </c>
    </row>
    <row r="8267" spans="6:12">
      <c r="F8267" t="s">
        <v>15524</v>
      </c>
      <c r="G8267" t="s">
        <v>18226</v>
      </c>
      <c r="H8267" t="s">
        <v>20446</v>
      </c>
      <c r="I8267" t="s">
        <v>1357</v>
      </c>
      <c r="J8267" t="s">
        <v>1357</v>
      </c>
      <c r="K8267" t="s">
        <v>1357</v>
      </c>
      <c r="L8267" t="s">
        <v>1357</v>
      </c>
    </row>
    <row r="8268" spans="6:12">
      <c r="F8268" t="s">
        <v>15525</v>
      </c>
      <c r="G8268" t="s">
        <v>18227</v>
      </c>
      <c r="H8268" t="s">
        <v>20446</v>
      </c>
      <c r="I8268" t="s">
        <v>1357</v>
      </c>
      <c r="J8268" t="s">
        <v>1357</v>
      </c>
      <c r="K8268" t="s">
        <v>1357</v>
      </c>
      <c r="L8268" t="s">
        <v>1357</v>
      </c>
    </row>
    <row r="8269" spans="6:12">
      <c r="F8269" t="s">
        <v>15526</v>
      </c>
      <c r="G8269" t="s">
        <v>18228</v>
      </c>
      <c r="H8269" t="s">
        <v>20446</v>
      </c>
      <c r="I8269" t="s">
        <v>1357</v>
      </c>
      <c r="J8269" t="s">
        <v>1357</v>
      </c>
      <c r="K8269" t="s">
        <v>1357</v>
      </c>
      <c r="L8269" t="s">
        <v>1357</v>
      </c>
    </row>
    <row r="8270" spans="6:12">
      <c r="F8270" t="s">
        <v>15527</v>
      </c>
      <c r="G8270" t="s">
        <v>18229</v>
      </c>
      <c r="H8270" t="s">
        <v>20446</v>
      </c>
      <c r="I8270" t="s">
        <v>1357</v>
      </c>
      <c r="J8270" t="s">
        <v>1357</v>
      </c>
      <c r="K8270" t="s">
        <v>1357</v>
      </c>
      <c r="L8270" t="s">
        <v>1357</v>
      </c>
    </row>
    <row r="8271" spans="6:12">
      <c r="F8271" t="s">
        <v>15528</v>
      </c>
      <c r="G8271" t="s">
        <v>18230</v>
      </c>
      <c r="H8271" t="s">
        <v>20446</v>
      </c>
      <c r="I8271" t="s">
        <v>1357</v>
      </c>
      <c r="J8271" t="s">
        <v>1357</v>
      </c>
      <c r="K8271" t="s">
        <v>1357</v>
      </c>
      <c r="L8271" t="s">
        <v>1357</v>
      </c>
    </row>
    <row r="8272" spans="6:12">
      <c r="F8272" t="s">
        <v>15529</v>
      </c>
      <c r="G8272" t="s">
        <v>18231</v>
      </c>
      <c r="H8272" t="s">
        <v>20446</v>
      </c>
      <c r="I8272" t="s">
        <v>1357</v>
      </c>
      <c r="J8272" t="s">
        <v>1357</v>
      </c>
      <c r="K8272" t="s">
        <v>1357</v>
      </c>
      <c r="L8272" t="s">
        <v>1357</v>
      </c>
    </row>
    <row r="8273" spans="6:12">
      <c r="F8273" t="s">
        <v>15530</v>
      </c>
      <c r="G8273" t="s">
        <v>18232</v>
      </c>
      <c r="H8273" t="s">
        <v>20446</v>
      </c>
      <c r="I8273" t="s">
        <v>1357</v>
      </c>
      <c r="J8273" t="s">
        <v>1357</v>
      </c>
      <c r="K8273" t="s">
        <v>1357</v>
      </c>
      <c r="L8273" t="s">
        <v>1357</v>
      </c>
    </row>
    <row r="8274" spans="6:12">
      <c r="F8274" t="s">
        <v>15531</v>
      </c>
      <c r="G8274" t="s">
        <v>18233</v>
      </c>
      <c r="H8274" t="s">
        <v>20446</v>
      </c>
      <c r="I8274" t="s">
        <v>1357</v>
      </c>
      <c r="J8274" t="s">
        <v>1357</v>
      </c>
      <c r="K8274" t="s">
        <v>1357</v>
      </c>
      <c r="L8274" t="s">
        <v>1357</v>
      </c>
    </row>
    <row r="8275" spans="6:12">
      <c r="F8275" t="s">
        <v>15532</v>
      </c>
      <c r="G8275" t="s">
        <v>18234</v>
      </c>
      <c r="H8275" t="s">
        <v>20446</v>
      </c>
      <c r="I8275" t="s">
        <v>1357</v>
      </c>
      <c r="J8275" t="s">
        <v>1357</v>
      </c>
      <c r="K8275" t="s">
        <v>1357</v>
      </c>
      <c r="L8275" t="s">
        <v>1357</v>
      </c>
    </row>
    <row r="8276" spans="6:12">
      <c r="F8276" t="s">
        <v>15533</v>
      </c>
      <c r="G8276" t="s">
        <v>18235</v>
      </c>
      <c r="H8276" t="s">
        <v>20446</v>
      </c>
      <c r="I8276" t="s">
        <v>1357</v>
      </c>
      <c r="J8276" t="s">
        <v>1357</v>
      </c>
      <c r="K8276" t="s">
        <v>1357</v>
      </c>
      <c r="L8276" t="s">
        <v>1357</v>
      </c>
    </row>
    <row r="8277" spans="6:12">
      <c r="F8277" t="s">
        <v>15534</v>
      </c>
      <c r="G8277" t="s">
        <v>18236</v>
      </c>
      <c r="H8277" t="s">
        <v>20446</v>
      </c>
      <c r="I8277" t="s">
        <v>1357</v>
      </c>
      <c r="J8277" t="s">
        <v>1357</v>
      </c>
      <c r="K8277" t="s">
        <v>1357</v>
      </c>
      <c r="L8277" t="s">
        <v>1357</v>
      </c>
    </row>
    <row r="8278" spans="6:12">
      <c r="F8278" t="s">
        <v>15535</v>
      </c>
      <c r="G8278" t="s">
        <v>18237</v>
      </c>
      <c r="H8278" t="s">
        <v>20446</v>
      </c>
      <c r="I8278" t="s">
        <v>1357</v>
      </c>
      <c r="J8278" t="s">
        <v>1357</v>
      </c>
      <c r="K8278" t="s">
        <v>1357</v>
      </c>
      <c r="L8278" t="s">
        <v>1357</v>
      </c>
    </row>
    <row r="8279" spans="6:12">
      <c r="F8279" t="s">
        <v>15536</v>
      </c>
      <c r="G8279" t="s">
        <v>18238</v>
      </c>
      <c r="H8279" t="s">
        <v>20446</v>
      </c>
      <c r="I8279" t="s">
        <v>1357</v>
      </c>
      <c r="J8279" t="s">
        <v>1357</v>
      </c>
      <c r="K8279" t="s">
        <v>1357</v>
      </c>
      <c r="L8279" t="s">
        <v>1357</v>
      </c>
    </row>
    <row r="8280" spans="6:12">
      <c r="F8280" t="s">
        <v>15537</v>
      </c>
      <c r="G8280" t="s">
        <v>18239</v>
      </c>
      <c r="H8280" t="s">
        <v>20446</v>
      </c>
      <c r="I8280" t="s">
        <v>1357</v>
      </c>
      <c r="J8280" t="s">
        <v>1357</v>
      </c>
      <c r="K8280" t="s">
        <v>1357</v>
      </c>
      <c r="L8280" t="s">
        <v>1357</v>
      </c>
    </row>
    <row r="8281" spans="6:12">
      <c r="F8281" t="s">
        <v>15538</v>
      </c>
      <c r="G8281" t="s">
        <v>18240</v>
      </c>
      <c r="H8281" t="s">
        <v>20446</v>
      </c>
      <c r="I8281" t="s">
        <v>1357</v>
      </c>
      <c r="J8281" t="s">
        <v>1357</v>
      </c>
      <c r="K8281" t="s">
        <v>1357</v>
      </c>
      <c r="L8281" t="s">
        <v>1357</v>
      </c>
    </row>
    <row r="8282" spans="6:12">
      <c r="F8282" t="s">
        <v>15539</v>
      </c>
      <c r="G8282" t="s">
        <v>18241</v>
      </c>
      <c r="H8282" t="s">
        <v>20446</v>
      </c>
      <c r="I8282" t="s">
        <v>1357</v>
      </c>
      <c r="J8282" t="s">
        <v>1357</v>
      </c>
      <c r="K8282" t="s">
        <v>1357</v>
      </c>
      <c r="L8282" t="s">
        <v>1357</v>
      </c>
    </row>
    <row r="8283" spans="6:12">
      <c r="F8283" t="s">
        <v>15540</v>
      </c>
      <c r="G8283" t="s">
        <v>18242</v>
      </c>
      <c r="H8283" t="s">
        <v>20446</v>
      </c>
      <c r="I8283" t="s">
        <v>1357</v>
      </c>
      <c r="J8283" t="s">
        <v>1357</v>
      </c>
      <c r="K8283" t="s">
        <v>1357</v>
      </c>
      <c r="L8283" t="s">
        <v>1357</v>
      </c>
    </row>
    <row r="8284" spans="6:12">
      <c r="F8284" t="s">
        <v>15541</v>
      </c>
      <c r="G8284" t="s">
        <v>18243</v>
      </c>
      <c r="H8284" t="s">
        <v>20446</v>
      </c>
      <c r="I8284" t="s">
        <v>1357</v>
      </c>
      <c r="J8284" t="s">
        <v>1357</v>
      </c>
      <c r="K8284" t="s">
        <v>1357</v>
      </c>
      <c r="L8284" t="s">
        <v>1357</v>
      </c>
    </row>
    <row r="8285" spans="6:12">
      <c r="F8285" t="s">
        <v>15542</v>
      </c>
      <c r="G8285" t="s">
        <v>18244</v>
      </c>
      <c r="H8285" t="s">
        <v>20446</v>
      </c>
      <c r="I8285" t="s">
        <v>1357</v>
      </c>
      <c r="J8285" t="s">
        <v>1357</v>
      </c>
      <c r="K8285" t="s">
        <v>1357</v>
      </c>
      <c r="L8285" t="s">
        <v>1357</v>
      </c>
    </row>
    <row r="8286" spans="6:12">
      <c r="F8286" t="s">
        <v>15543</v>
      </c>
      <c r="G8286" t="s">
        <v>18245</v>
      </c>
      <c r="H8286" t="s">
        <v>20446</v>
      </c>
      <c r="I8286" t="s">
        <v>1357</v>
      </c>
      <c r="J8286" t="s">
        <v>1357</v>
      </c>
      <c r="K8286" t="s">
        <v>1357</v>
      </c>
      <c r="L8286" t="s">
        <v>1357</v>
      </c>
    </row>
    <row r="8287" spans="6:12">
      <c r="F8287" t="s">
        <v>15544</v>
      </c>
      <c r="G8287" t="s">
        <v>18246</v>
      </c>
      <c r="H8287" t="s">
        <v>20446</v>
      </c>
      <c r="I8287" t="s">
        <v>1357</v>
      </c>
      <c r="J8287" t="s">
        <v>1357</v>
      </c>
      <c r="K8287" t="s">
        <v>1357</v>
      </c>
      <c r="L8287" t="s">
        <v>1357</v>
      </c>
    </row>
    <row r="8288" spans="6:12">
      <c r="F8288" t="s">
        <v>15545</v>
      </c>
      <c r="G8288" t="s">
        <v>18247</v>
      </c>
      <c r="H8288" t="s">
        <v>20446</v>
      </c>
      <c r="I8288" t="s">
        <v>1357</v>
      </c>
      <c r="J8288" t="s">
        <v>1357</v>
      </c>
      <c r="K8288" t="s">
        <v>1357</v>
      </c>
      <c r="L8288" t="s">
        <v>1357</v>
      </c>
    </row>
    <row r="8289" spans="6:12">
      <c r="F8289" t="s">
        <v>15546</v>
      </c>
      <c r="G8289" t="s">
        <v>18248</v>
      </c>
      <c r="H8289" t="s">
        <v>20446</v>
      </c>
      <c r="I8289" t="s">
        <v>1357</v>
      </c>
      <c r="J8289" t="s">
        <v>1357</v>
      </c>
      <c r="K8289" t="s">
        <v>1357</v>
      </c>
      <c r="L8289" t="s">
        <v>1357</v>
      </c>
    </row>
    <row r="8290" spans="6:12">
      <c r="F8290" t="s">
        <v>15547</v>
      </c>
      <c r="G8290" t="s">
        <v>18249</v>
      </c>
      <c r="H8290" t="s">
        <v>20446</v>
      </c>
      <c r="I8290" t="s">
        <v>1357</v>
      </c>
      <c r="J8290" t="s">
        <v>1357</v>
      </c>
      <c r="K8290" t="s">
        <v>1357</v>
      </c>
      <c r="L8290" t="s">
        <v>1357</v>
      </c>
    </row>
    <row r="8291" spans="6:12">
      <c r="F8291" t="s">
        <v>15548</v>
      </c>
      <c r="G8291" t="s">
        <v>18250</v>
      </c>
      <c r="H8291" t="s">
        <v>20446</v>
      </c>
      <c r="I8291" t="s">
        <v>1357</v>
      </c>
      <c r="J8291" t="s">
        <v>1357</v>
      </c>
      <c r="K8291" t="s">
        <v>1357</v>
      </c>
      <c r="L8291" t="s">
        <v>1357</v>
      </c>
    </row>
    <row r="8292" spans="6:12">
      <c r="F8292" t="s">
        <v>15549</v>
      </c>
      <c r="G8292" t="s">
        <v>18251</v>
      </c>
      <c r="H8292" t="s">
        <v>20446</v>
      </c>
      <c r="I8292" t="s">
        <v>1357</v>
      </c>
      <c r="J8292" t="s">
        <v>1357</v>
      </c>
      <c r="K8292" t="s">
        <v>1357</v>
      </c>
      <c r="L8292" t="s">
        <v>1357</v>
      </c>
    </row>
    <row r="8293" spans="6:12">
      <c r="F8293" t="s">
        <v>15550</v>
      </c>
      <c r="G8293" t="s">
        <v>18252</v>
      </c>
      <c r="H8293" t="s">
        <v>20446</v>
      </c>
      <c r="I8293" t="s">
        <v>1357</v>
      </c>
      <c r="J8293" t="s">
        <v>1357</v>
      </c>
      <c r="K8293" t="s">
        <v>1357</v>
      </c>
      <c r="L8293" t="s">
        <v>1357</v>
      </c>
    </row>
    <row r="8294" spans="6:12">
      <c r="F8294" t="s">
        <v>15551</v>
      </c>
      <c r="G8294" t="s">
        <v>18253</v>
      </c>
      <c r="H8294" t="s">
        <v>20446</v>
      </c>
      <c r="I8294" t="s">
        <v>1357</v>
      </c>
      <c r="J8294" t="s">
        <v>1357</v>
      </c>
      <c r="K8294" t="s">
        <v>1357</v>
      </c>
      <c r="L8294" t="s">
        <v>1357</v>
      </c>
    </row>
    <row r="8295" spans="6:12">
      <c r="F8295" t="s">
        <v>15552</v>
      </c>
      <c r="G8295" t="s">
        <v>18254</v>
      </c>
      <c r="H8295" t="s">
        <v>20446</v>
      </c>
      <c r="I8295" t="s">
        <v>1357</v>
      </c>
      <c r="J8295" t="s">
        <v>1357</v>
      </c>
      <c r="K8295" t="s">
        <v>1357</v>
      </c>
      <c r="L8295" t="s">
        <v>1357</v>
      </c>
    </row>
    <row r="8296" spans="6:12">
      <c r="F8296" t="s">
        <v>15553</v>
      </c>
      <c r="G8296" t="s">
        <v>18255</v>
      </c>
      <c r="H8296" t="s">
        <v>20446</v>
      </c>
      <c r="I8296" t="s">
        <v>1357</v>
      </c>
      <c r="J8296" t="s">
        <v>1357</v>
      </c>
      <c r="K8296" t="s">
        <v>1357</v>
      </c>
      <c r="L8296" t="s">
        <v>1357</v>
      </c>
    </row>
    <row r="8297" spans="6:12">
      <c r="F8297" t="s">
        <v>15554</v>
      </c>
      <c r="G8297" t="s">
        <v>18256</v>
      </c>
      <c r="H8297" t="s">
        <v>20446</v>
      </c>
      <c r="I8297" t="s">
        <v>1357</v>
      </c>
      <c r="J8297" t="s">
        <v>1357</v>
      </c>
      <c r="K8297" t="s">
        <v>1357</v>
      </c>
      <c r="L8297" t="s">
        <v>1357</v>
      </c>
    </row>
    <row r="8298" spans="6:12">
      <c r="F8298" t="s">
        <v>15555</v>
      </c>
      <c r="G8298" t="s">
        <v>18257</v>
      </c>
      <c r="H8298" t="s">
        <v>20446</v>
      </c>
      <c r="I8298" t="s">
        <v>1357</v>
      </c>
      <c r="J8298" t="s">
        <v>1357</v>
      </c>
      <c r="K8298" t="s">
        <v>1357</v>
      </c>
      <c r="L8298" t="s">
        <v>1357</v>
      </c>
    </row>
    <row r="8299" spans="6:12">
      <c r="F8299" t="s">
        <v>15556</v>
      </c>
      <c r="G8299" t="s">
        <v>18258</v>
      </c>
      <c r="H8299" t="s">
        <v>20446</v>
      </c>
      <c r="I8299" t="s">
        <v>1357</v>
      </c>
      <c r="J8299" t="s">
        <v>1357</v>
      </c>
      <c r="K8299" t="s">
        <v>1357</v>
      </c>
      <c r="L8299" t="s">
        <v>1357</v>
      </c>
    </row>
    <row r="8300" spans="6:12">
      <c r="F8300" t="s">
        <v>15557</v>
      </c>
      <c r="G8300" t="s">
        <v>18259</v>
      </c>
      <c r="H8300" t="s">
        <v>20446</v>
      </c>
      <c r="I8300" t="s">
        <v>1357</v>
      </c>
      <c r="J8300" t="s">
        <v>1357</v>
      </c>
      <c r="K8300" t="s">
        <v>1357</v>
      </c>
      <c r="L8300" t="s">
        <v>1357</v>
      </c>
    </row>
    <row r="8301" spans="6:12">
      <c r="F8301" t="s">
        <v>15558</v>
      </c>
      <c r="G8301" t="s">
        <v>18260</v>
      </c>
      <c r="H8301" t="s">
        <v>20446</v>
      </c>
      <c r="I8301" t="s">
        <v>1357</v>
      </c>
      <c r="J8301" t="s">
        <v>1357</v>
      </c>
      <c r="K8301" t="s">
        <v>1357</v>
      </c>
      <c r="L8301" t="s">
        <v>1357</v>
      </c>
    </row>
    <row r="8302" spans="6:12">
      <c r="F8302" t="s">
        <v>15559</v>
      </c>
      <c r="G8302" t="s">
        <v>18261</v>
      </c>
      <c r="H8302" t="s">
        <v>20446</v>
      </c>
      <c r="I8302" t="s">
        <v>1357</v>
      </c>
      <c r="J8302" t="s">
        <v>1357</v>
      </c>
      <c r="K8302" t="s">
        <v>1357</v>
      </c>
      <c r="L8302" t="s">
        <v>1357</v>
      </c>
    </row>
    <row r="8303" spans="6:12">
      <c r="F8303" t="s">
        <v>15560</v>
      </c>
      <c r="G8303" t="s">
        <v>18262</v>
      </c>
      <c r="H8303" t="s">
        <v>20446</v>
      </c>
      <c r="I8303" t="s">
        <v>1357</v>
      </c>
      <c r="J8303" t="s">
        <v>1357</v>
      </c>
      <c r="K8303" t="s">
        <v>1357</v>
      </c>
      <c r="L8303" t="s">
        <v>1357</v>
      </c>
    </row>
    <row r="8304" spans="6:12">
      <c r="F8304" t="s">
        <v>15561</v>
      </c>
      <c r="G8304" t="s">
        <v>18263</v>
      </c>
      <c r="H8304" t="s">
        <v>20446</v>
      </c>
      <c r="I8304" t="s">
        <v>1357</v>
      </c>
      <c r="J8304" t="s">
        <v>1357</v>
      </c>
      <c r="K8304" t="s">
        <v>1357</v>
      </c>
      <c r="L8304" t="s">
        <v>1357</v>
      </c>
    </row>
    <row r="8305" spans="6:12">
      <c r="F8305" t="s">
        <v>15562</v>
      </c>
      <c r="G8305" t="s">
        <v>18264</v>
      </c>
      <c r="H8305" t="s">
        <v>20446</v>
      </c>
      <c r="I8305" t="s">
        <v>1357</v>
      </c>
      <c r="J8305" t="s">
        <v>1357</v>
      </c>
      <c r="K8305" t="s">
        <v>1357</v>
      </c>
      <c r="L8305" t="s">
        <v>1357</v>
      </c>
    </row>
    <row r="8306" spans="6:12">
      <c r="F8306" t="s">
        <v>15563</v>
      </c>
      <c r="G8306" t="s">
        <v>18265</v>
      </c>
      <c r="H8306" t="s">
        <v>20446</v>
      </c>
      <c r="I8306" t="s">
        <v>1357</v>
      </c>
      <c r="J8306" t="s">
        <v>1357</v>
      </c>
      <c r="K8306" t="s">
        <v>1357</v>
      </c>
      <c r="L8306" t="s">
        <v>1357</v>
      </c>
    </row>
    <row r="8307" spans="6:12">
      <c r="F8307" t="s">
        <v>15564</v>
      </c>
      <c r="G8307" t="s">
        <v>18266</v>
      </c>
      <c r="H8307" t="s">
        <v>20446</v>
      </c>
      <c r="I8307" t="s">
        <v>1357</v>
      </c>
      <c r="J8307" t="s">
        <v>1357</v>
      </c>
      <c r="K8307" t="s">
        <v>1357</v>
      </c>
      <c r="L8307" t="s">
        <v>1357</v>
      </c>
    </row>
    <row r="8308" spans="6:12">
      <c r="F8308" t="s">
        <v>15565</v>
      </c>
      <c r="G8308" t="s">
        <v>18267</v>
      </c>
      <c r="H8308" t="s">
        <v>20446</v>
      </c>
      <c r="I8308" t="s">
        <v>1357</v>
      </c>
      <c r="J8308" t="s">
        <v>1357</v>
      </c>
      <c r="K8308" t="s">
        <v>1357</v>
      </c>
      <c r="L8308" t="s">
        <v>1357</v>
      </c>
    </row>
    <row r="8309" spans="6:12">
      <c r="F8309" t="s">
        <v>15566</v>
      </c>
      <c r="G8309" t="s">
        <v>18268</v>
      </c>
      <c r="H8309" t="s">
        <v>20446</v>
      </c>
      <c r="I8309" t="s">
        <v>1357</v>
      </c>
      <c r="J8309" t="s">
        <v>1357</v>
      </c>
      <c r="K8309" t="s">
        <v>1357</v>
      </c>
      <c r="L8309" t="s">
        <v>1357</v>
      </c>
    </row>
    <row r="8310" spans="6:12">
      <c r="F8310" t="s">
        <v>15567</v>
      </c>
      <c r="G8310" t="s">
        <v>18269</v>
      </c>
      <c r="H8310" t="s">
        <v>20446</v>
      </c>
      <c r="I8310" t="s">
        <v>1357</v>
      </c>
      <c r="J8310" t="s">
        <v>1357</v>
      </c>
      <c r="K8310" t="s">
        <v>1357</v>
      </c>
      <c r="L8310" t="s">
        <v>1357</v>
      </c>
    </row>
    <row r="8311" spans="6:12">
      <c r="F8311" t="s">
        <v>15568</v>
      </c>
      <c r="G8311" t="s">
        <v>18270</v>
      </c>
      <c r="H8311" t="s">
        <v>20446</v>
      </c>
      <c r="I8311" t="s">
        <v>1357</v>
      </c>
      <c r="J8311" t="s">
        <v>1357</v>
      </c>
      <c r="K8311" t="s">
        <v>1357</v>
      </c>
      <c r="L8311" t="s">
        <v>1357</v>
      </c>
    </row>
    <row r="8312" spans="6:12">
      <c r="F8312" t="s">
        <v>15569</v>
      </c>
      <c r="G8312" t="s">
        <v>18271</v>
      </c>
      <c r="H8312" t="s">
        <v>20446</v>
      </c>
      <c r="I8312" t="s">
        <v>1357</v>
      </c>
      <c r="J8312" t="s">
        <v>1357</v>
      </c>
      <c r="K8312" t="s">
        <v>1357</v>
      </c>
      <c r="L8312" t="s">
        <v>1357</v>
      </c>
    </row>
    <row r="8313" spans="6:12">
      <c r="F8313" t="s">
        <v>15570</v>
      </c>
      <c r="G8313" t="s">
        <v>18272</v>
      </c>
      <c r="H8313" t="s">
        <v>20446</v>
      </c>
      <c r="I8313" t="s">
        <v>1357</v>
      </c>
      <c r="J8313" t="s">
        <v>1357</v>
      </c>
      <c r="K8313" t="s">
        <v>1357</v>
      </c>
      <c r="L8313" t="s">
        <v>1357</v>
      </c>
    </row>
    <row r="8314" spans="6:12">
      <c r="F8314" t="s">
        <v>15571</v>
      </c>
      <c r="G8314" t="s">
        <v>18273</v>
      </c>
      <c r="H8314" t="s">
        <v>20446</v>
      </c>
      <c r="I8314" t="s">
        <v>1357</v>
      </c>
      <c r="J8314" t="s">
        <v>1357</v>
      </c>
      <c r="K8314" t="s">
        <v>1357</v>
      </c>
      <c r="L8314" t="s">
        <v>1357</v>
      </c>
    </row>
    <row r="8315" spans="6:12">
      <c r="F8315" t="s">
        <v>15572</v>
      </c>
      <c r="G8315" t="s">
        <v>18274</v>
      </c>
      <c r="H8315" t="s">
        <v>20446</v>
      </c>
      <c r="I8315" t="s">
        <v>1357</v>
      </c>
      <c r="J8315" t="s">
        <v>1357</v>
      </c>
      <c r="K8315" t="s">
        <v>1357</v>
      </c>
      <c r="L8315" t="s">
        <v>1357</v>
      </c>
    </row>
    <row r="8316" spans="6:12">
      <c r="F8316" t="s">
        <v>15573</v>
      </c>
      <c r="G8316" t="s">
        <v>18275</v>
      </c>
      <c r="H8316" t="s">
        <v>20446</v>
      </c>
      <c r="I8316" t="s">
        <v>1357</v>
      </c>
      <c r="J8316" t="s">
        <v>1357</v>
      </c>
      <c r="K8316" t="s">
        <v>1357</v>
      </c>
      <c r="L8316" t="s">
        <v>1357</v>
      </c>
    </row>
    <row r="8317" spans="6:12">
      <c r="F8317" t="s">
        <v>15574</v>
      </c>
      <c r="G8317" t="s">
        <v>18276</v>
      </c>
      <c r="H8317" t="s">
        <v>20446</v>
      </c>
      <c r="I8317" t="s">
        <v>1357</v>
      </c>
      <c r="J8317" t="s">
        <v>1357</v>
      </c>
      <c r="K8317" t="s">
        <v>1357</v>
      </c>
      <c r="L8317" t="s">
        <v>1357</v>
      </c>
    </row>
    <row r="8318" spans="6:12">
      <c r="F8318" t="s">
        <v>15575</v>
      </c>
      <c r="G8318" t="s">
        <v>18277</v>
      </c>
      <c r="H8318" t="s">
        <v>20446</v>
      </c>
      <c r="I8318" t="s">
        <v>1357</v>
      </c>
      <c r="J8318" t="s">
        <v>1357</v>
      </c>
      <c r="K8318" t="s">
        <v>1357</v>
      </c>
      <c r="L8318" t="s">
        <v>1357</v>
      </c>
    </row>
    <row r="8319" spans="6:12">
      <c r="F8319" t="s">
        <v>15576</v>
      </c>
      <c r="G8319" t="s">
        <v>18278</v>
      </c>
      <c r="H8319" t="s">
        <v>20446</v>
      </c>
      <c r="I8319" t="s">
        <v>1357</v>
      </c>
      <c r="J8319" t="s">
        <v>1357</v>
      </c>
      <c r="K8319" t="s">
        <v>1357</v>
      </c>
      <c r="L8319" t="s">
        <v>1357</v>
      </c>
    </row>
    <row r="8320" spans="6:12">
      <c r="F8320" t="s">
        <v>15577</v>
      </c>
      <c r="G8320" t="s">
        <v>18279</v>
      </c>
      <c r="H8320" t="s">
        <v>20446</v>
      </c>
      <c r="I8320" t="s">
        <v>1357</v>
      </c>
      <c r="J8320" t="s">
        <v>1357</v>
      </c>
      <c r="K8320" t="s">
        <v>1357</v>
      </c>
      <c r="L8320" t="s">
        <v>1357</v>
      </c>
    </row>
    <row r="8321" spans="6:12">
      <c r="F8321" t="s">
        <v>15578</v>
      </c>
      <c r="G8321" t="s">
        <v>18280</v>
      </c>
      <c r="H8321" t="s">
        <v>20446</v>
      </c>
      <c r="I8321" t="s">
        <v>1357</v>
      </c>
      <c r="J8321" t="s">
        <v>1357</v>
      </c>
      <c r="K8321" t="s">
        <v>1357</v>
      </c>
      <c r="L8321" t="s">
        <v>1357</v>
      </c>
    </row>
    <row r="8322" spans="6:12">
      <c r="F8322" t="s">
        <v>15579</v>
      </c>
      <c r="G8322" t="s">
        <v>18281</v>
      </c>
      <c r="H8322" t="s">
        <v>20446</v>
      </c>
      <c r="I8322" t="s">
        <v>1357</v>
      </c>
      <c r="J8322" t="s">
        <v>1357</v>
      </c>
      <c r="K8322" t="s">
        <v>1357</v>
      </c>
      <c r="L8322" t="s">
        <v>1357</v>
      </c>
    </row>
    <row r="8323" spans="6:12">
      <c r="F8323" t="s">
        <v>15580</v>
      </c>
      <c r="G8323" t="s">
        <v>18282</v>
      </c>
      <c r="H8323" t="s">
        <v>20446</v>
      </c>
      <c r="I8323" t="s">
        <v>1357</v>
      </c>
      <c r="J8323" t="s">
        <v>1357</v>
      </c>
      <c r="K8323" t="s">
        <v>1357</v>
      </c>
      <c r="L8323" t="s">
        <v>1357</v>
      </c>
    </row>
    <row r="8324" spans="6:12">
      <c r="F8324" t="s">
        <v>15581</v>
      </c>
      <c r="G8324" t="s">
        <v>18283</v>
      </c>
      <c r="H8324" t="s">
        <v>20446</v>
      </c>
      <c r="I8324" t="s">
        <v>1357</v>
      </c>
      <c r="J8324" t="s">
        <v>1357</v>
      </c>
      <c r="K8324" t="s">
        <v>1357</v>
      </c>
      <c r="L8324" t="s">
        <v>1357</v>
      </c>
    </row>
    <row r="8325" spans="6:12">
      <c r="F8325" t="s">
        <v>15582</v>
      </c>
      <c r="G8325" t="s">
        <v>18284</v>
      </c>
      <c r="H8325" t="s">
        <v>20446</v>
      </c>
      <c r="I8325" t="s">
        <v>1357</v>
      </c>
      <c r="J8325" t="s">
        <v>1357</v>
      </c>
      <c r="K8325" t="s">
        <v>1357</v>
      </c>
      <c r="L8325" t="s">
        <v>1357</v>
      </c>
    </row>
    <row r="8326" spans="6:12">
      <c r="F8326" t="s">
        <v>15583</v>
      </c>
      <c r="G8326" t="s">
        <v>18285</v>
      </c>
      <c r="H8326" t="s">
        <v>20446</v>
      </c>
      <c r="I8326" t="s">
        <v>1357</v>
      </c>
      <c r="J8326" t="s">
        <v>1357</v>
      </c>
      <c r="K8326" t="s">
        <v>1357</v>
      </c>
      <c r="L8326" t="s">
        <v>1357</v>
      </c>
    </row>
    <row r="8327" spans="6:12">
      <c r="F8327" t="s">
        <v>15584</v>
      </c>
      <c r="G8327" t="s">
        <v>18286</v>
      </c>
      <c r="H8327" t="s">
        <v>20446</v>
      </c>
      <c r="I8327" t="s">
        <v>1357</v>
      </c>
      <c r="J8327" t="s">
        <v>1357</v>
      </c>
      <c r="K8327" t="s">
        <v>1357</v>
      </c>
      <c r="L8327" t="s">
        <v>1357</v>
      </c>
    </row>
    <row r="8328" spans="6:12">
      <c r="F8328" t="s">
        <v>15585</v>
      </c>
      <c r="G8328" t="s">
        <v>18287</v>
      </c>
      <c r="H8328" t="s">
        <v>20446</v>
      </c>
      <c r="I8328" t="s">
        <v>1357</v>
      </c>
      <c r="J8328" t="s">
        <v>1357</v>
      </c>
      <c r="K8328" t="s">
        <v>1357</v>
      </c>
      <c r="L8328" t="s">
        <v>1357</v>
      </c>
    </row>
    <row r="8329" spans="6:12">
      <c r="F8329" t="s">
        <v>15586</v>
      </c>
      <c r="G8329" t="s">
        <v>18288</v>
      </c>
      <c r="H8329" t="s">
        <v>20446</v>
      </c>
      <c r="I8329" t="s">
        <v>1357</v>
      </c>
      <c r="J8329" t="s">
        <v>1357</v>
      </c>
      <c r="K8329" t="s">
        <v>1357</v>
      </c>
      <c r="L8329" t="s">
        <v>1357</v>
      </c>
    </row>
    <row r="8330" spans="6:12">
      <c r="F8330" t="s">
        <v>15587</v>
      </c>
      <c r="G8330" t="s">
        <v>18289</v>
      </c>
      <c r="H8330" t="s">
        <v>20446</v>
      </c>
      <c r="I8330" t="s">
        <v>1357</v>
      </c>
      <c r="J8330" t="s">
        <v>1357</v>
      </c>
      <c r="K8330" t="s">
        <v>1357</v>
      </c>
      <c r="L8330" t="s">
        <v>1357</v>
      </c>
    </row>
    <row r="8331" spans="6:12">
      <c r="F8331" t="s">
        <v>15588</v>
      </c>
      <c r="G8331" t="s">
        <v>18290</v>
      </c>
      <c r="H8331" t="s">
        <v>20446</v>
      </c>
      <c r="I8331" t="s">
        <v>1357</v>
      </c>
      <c r="J8331" t="s">
        <v>1357</v>
      </c>
      <c r="K8331" t="s">
        <v>1357</v>
      </c>
      <c r="L8331" t="s">
        <v>1357</v>
      </c>
    </row>
    <row r="8332" spans="6:12">
      <c r="F8332" t="s">
        <v>15589</v>
      </c>
      <c r="G8332" t="s">
        <v>18291</v>
      </c>
      <c r="H8332" t="s">
        <v>20446</v>
      </c>
      <c r="I8332" t="s">
        <v>1357</v>
      </c>
      <c r="J8332" t="s">
        <v>1357</v>
      </c>
      <c r="K8332" t="s">
        <v>1357</v>
      </c>
      <c r="L8332" t="s">
        <v>1357</v>
      </c>
    </row>
    <row r="8333" spans="6:12">
      <c r="F8333" t="s">
        <v>15590</v>
      </c>
      <c r="G8333" t="s">
        <v>18292</v>
      </c>
      <c r="H8333" t="s">
        <v>20446</v>
      </c>
      <c r="I8333" t="s">
        <v>1357</v>
      </c>
      <c r="J8333" t="s">
        <v>1357</v>
      </c>
      <c r="K8333" t="s">
        <v>1357</v>
      </c>
      <c r="L8333" t="s">
        <v>1357</v>
      </c>
    </row>
    <row r="8334" spans="6:12">
      <c r="F8334" t="s">
        <v>15591</v>
      </c>
      <c r="G8334" t="s">
        <v>18293</v>
      </c>
      <c r="H8334" t="s">
        <v>20446</v>
      </c>
      <c r="I8334" t="s">
        <v>1357</v>
      </c>
      <c r="J8334" t="s">
        <v>1357</v>
      </c>
      <c r="K8334" t="s">
        <v>1357</v>
      </c>
      <c r="L8334" t="s">
        <v>1357</v>
      </c>
    </row>
    <row r="8335" spans="6:12">
      <c r="F8335" t="s">
        <v>15592</v>
      </c>
      <c r="G8335" t="s">
        <v>18294</v>
      </c>
      <c r="H8335" t="s">
        <v>20446</v>
      </c>
      <c r="I8335" t="s">
        <v>1357</v>
      </c>
      <c r="J8335" t="s">
        <v>1357</v>
      </c>
      <c r="K8335" t="s">
        <v>1357</v>
      </c>
      <c r="L8335" t="s">
        <v>1357</v>
      </c>
    </row>
    <row r="8336" spans="6:12">
      <c r="F8336" t="s">
        <v>15593</v>
      </c>
      <c r="G8336" t="s">
        <v>18295</v>
      </c>
      <c r="H8336" t="s">
        <v>20446</v>
      </c>
      <c r="I8336" t="s">
        <v>1357</v>
      </c>
      <c r="J8336" t="s">
        <v>1357</v>
      </c>
      <c r="K8336" t="s">
        <v>1357</v>
      </c>
      <c r="L8336" t="s">
        <v>1357</v>
      </c>
    </row>
    <row r="8337" spans="6:12">
      <c r="F8337" t="s">
        <v>15594</v>
      </c>
      <c r="G8337" t="s">
        <v>18296</v>
      </c>
      <c r="H8337" t="s">
        <v>20446</v>
      </c>
      <c r="I8337" t="s">
        <v>1357</v>
      </c>
      <c r="J8337" t="s">
        <v>1357</v>
      </c>
      <c r="K8337" t="s">
        <v>1357</v>
      </c>
      <c r="L8337" t="s">
        <v>1357</v>
      </c>
    </row>
    <row r="8338" spans="6:12">
      <c r="F8338" t="s">
        <v>15595</v>
      </c>
      <c r="G8338" t="s">
        <v>18297</v>
      </c>
      <c r="H8338" t="s">
        <v>20446</v>
      </c>
      <c r="I8338" t="s">
        <v>1357</v>
      </c>
      <c r="J8338" t="s">
        <v>1357</v>
      </c>
      <c r="K8338" t="s">
        <v>1357</v>
      </c>
      <c r="L8338" t="s">
        <v>1357</v>
      </c>
    </row>
    <row r="8339" spans="6:12">
      <c r="F8339" t="s">
        <v>15596</v>
      </c>
      <c r="G8339" t="s">
        <v>18298</v>
      </c>
      <c r="H8339" t="s">
        <v>20446</v>
      </c>
      <c r="I8339" t="s">
        <v>1357</v>
      </c>
      <c r="J8339" t="s">
        <v>1357</v>
      </c>
      <c r="K8339" t="s">
        <v>1357</v>
      </c>
      <c r="L8339" t="s">
        <v>1357</v>
      </c>
    </row>
    <row r="8340" spans="6:12">
      <c r="F8340" t="s">
        <v>15597</v>
      </c>
      <c r="G8340" t="s">
        <v>18299</v>
      </c>
      <c r="H8340" t="s">
        <v>20446</v>
      </c>
      <c r="I8340" t="s">
        <v>1357</v>
      </c>
      <c r="J8340" t="s">
        <v>1357</v>
      </c>
      <c r="K8340" t="s">
        <v>1357</v>
      </c>
      <c r="L8340" t="s">
        <v>1357</v>
      </c>
    </row>
    <row r="8341" spans="6:12">
      <c r="F8341" t="s">
        <v>15598</v>
      </c>
      <c r="G8341" t="s">
        <v>18300</v>
      </c>
      <c r="H8341" t="s">
        <v>20446</v>
      </c>
      <c r="I8341" t="s">
        <v>1357</v>
      </c>
      <c r="J8341" t="s">
        <v>1357</v>
      </c>
      <c r="K8341" t="s">
        <v>1357</v>
      </c>
      <c r="L8341" t="s">
        <v>1357</v>
      </c>
    </row>
    <row r="8342" spans="6:12">
      <c r="F8342" t="s">
        <v>15599</v>
      </c>
      <c r="G8342" t="s">
        <v>18301</v>
      </c>
      <c r="H8342" t="s">
        <v>20446</v>
      </c>
      <c r="I8342" t="s">
        <v>1357</v>
      </c>
      <c r="J8342" t="s">
        <v>1357</v>
      </c>
      <c r="K8342" t="s">
        <v>1357</v>
      </c>
      <c r="L8342" t="s">
        <v>1357</v>
      </c>
    </row>
    <row r="8343" spans="6:12">
      <c r="F8343" t="s">
        <v>15600</v>
      </c>
      <c r="G8343" t="s">
        <v>18302</v>
      </c>
      <c r="H8343" t="s">
        <v>20446</v>
      </c>
      <c r="I8343" t="s">
        <v>1357</v>
      </c>
      <c r="J8343" t="s">
        <v>1357</v>
      </c>
      <c r="K8343" t="s">
        <v>1357</v>
      </c>
      <c r="L8343" t="s">
        <v>1357</v>
      </c>
    </row>
    <row r="8344" spans="6:12">
      <c r="F8344" t="s">
        <v>15601</v>
      </c>
      <c r="G8344" t="s">
        <v>18303</v>
      </c>
      <c r="H8344" t="s">
        <v>20446</v>
      </c>
      <c r="I8344" t="s">
        <v>1357</v>
      </c>
      <c r="J8344" t="s">
        <v>1357</v>
      </c>
      <c r="K8344" t="s">
        <v>1357</v>
      </c>
      <c r="L8344" t="s">
        <v>1357</v>
      </c>
    </row>
    <row r="8345" spans="6:12">
      <c r="F8345" t="s">
        <v>15602</v>
      </c>
      <c r="G8345" t="s">
        <v>18304</v>
      </c>
      <c r="H8345" t="s">
        <v>20446</v>
      </c>
      <c r="I8345" t="s">
        <v>1357</v>
      </c>
      <c r="J8345" t="s">
        <v>1357</v>
      </c>
      <c r="K8345" t="s">
        <v>1357</v>
      </c>
      <c r="L8345" t="s">
        <v>1357</v>
      </c>
    </row>
    <row r="8346" spans="6:12">
      <c r="F8346" t="s">
        <v>15603</v>
      </c>
      <c r="G8346" t="s">
        <v>18305</v>
      </c>
      <c r="H8346" t="s">
        <v>20446</v>
      </c>
      <c r="I8346" t="s">
        <v>1357</v>
      </c>
      <c r="J8346" t="s">
        <v>1357</v>
      </c>
      <c r="K8346" t="s">
        <v>1357</v>
      </c>
      <c r="L8346" t="s">
        <v>1357</v>
      </c>
    </row>
    <row r="8347" spans="6:12">
      <c r="F8347" t="s">
        <v>15604</v>
      </c>
      <c r="G8347" t="s">
        <v>18306</v>
      </c>
      <c r="H8347" t="s">
        <v>20446</v>
      </c>
      <c r="I8347" t="s">
        <v>1357</v>
      </c>
      <c r="J8347" t="s">
        <v>1357</v>
      </c>
      <c r="K8347" t="s">
        <v>1357</v>
      </c>
      <c r="L8347" t="s">
        <v>1357</v>
      </c>
    </row>
    <row r="8348" spans="6:12">
      <c r="F8348" t="s">
        <v>15605</v>
      </c>
      <c r="G8348" t="s">
        <v>18307</v>
      </c>
      <c r="H8348" t="s">
        <v>20446</v>
      </c>
      <c r="I8348" t="s">
        <v>1357</v>
      </c>
      <c r="J8348" t="s">
        <v>1357</v>
      </c>
      <c r="K8348" t="s">
        <v>1357</v>
      </c>
      <c r="L8348" t="s">
        <v>1357</v>
      </c>
    </row>
    <row r="8349" spans="6:12">
      <c r="F8349" t="s">
        <v>15606</v>
      </c>
      <c r="G8349" t="s">
        <v>18308</v>
      </c>
      <c r="H8349" t="s">
        <v>20446</v>
      </c>
      <c r="I8349" t="s">
        <v>1357</v>
      </c>
      <c r="J8349" t="s">
        <v>1357</v>
      </c>
      <c r="K8349" t="s">
        <v>1357</v>
      </c>
      <c r="L8349" t="s">
        <v>1357</v>
      </c>
    </row>
    <row r="8350" spans="6:12">
      <c r="F8350" t="s">
        <v>15607</v>
      </c>
      <c r="G8350" t="s">
        <v>18309</v>
      </c>
      <c r="H8350" t="s">
        <v>20446</v>
      </c>
      <c r="I8350" t="s">
        <v>1357</v>
      </c>
      <c r="J8350" t="s">
        <v>1357</v>
      </c>
      <c r="K8350" t="s">
        <v>1357</v>
      </c>
      <c r="L8350" t="s">
        <v>1357</v>
      </c>
    </row>
    <row r="8351" spans="6:12">
      <c r="F8351" t="s">
        <v>15608</v>
      </c>
      <c r="G8351" t="s">
        <v>18310</v>
      </c>
      <c r="H8351" t="s">
        <v>20446</v>
      </c>
      <c r="I8351" t="s">
        <v>1357</v>
      </c>
      <c r="J8351" t="s">
        <v>1357</v>
      </c>
      <c r="K8351" t="s">
        <v>1357</v>
      </c>
      <c r="L8351" t="s">
        <v>1357</v>
      </c>
    </row>
    <row r="8352" spans="6:12">
      <c r="F8352" t="s">
        <v>15609</v>
      </c>
      <c r="G8352" t="s">
        <v>18311</v>
      </c>
      <c r="H8352" t="s">
        <v>20446</v>
      </c>
      <c r="I8352" t="s">
        <v>1357</v>
      </c>
      <c r="J8352" t="s">
        <v>1357</v>
      </c>
      <c r="K8352" t="s">
        <v>1357</v>
      </c>
      <c r="L8352" t="s">
        <v>1357</v>
      </c>
    </row>
    <row r="8353" spans="6:12">
      <c r="F8353" t="s">
        <v>15610</v>
      </c>
      <c r="G8353" t="s">
        <v>18312</v>
      </c>
      <c r="H8353" t="s">
        <v>20446</v>
      </c>
      <c r="I8353" t="s">
        <v>1357</v>
      </c>
      <c r="J8353" t="s">
        <v>1357</v>
      </c>
      <c r="K8353" t="s">
        <v>1357</v>
      </c>
      <c r="L8353" t="s">
        <v>1357</v>
      </c>
    </row>
    <row r="8354" spans="6:12">
      <c r="F8354" t="s">
        <v>15611</v>
      </c>
      <c r="G8354" t="s">
        <v>18313</v>
      </c>
      <c r="H8354" t="s">
        <v>20446</v>
      </c>
      <c r="I8354" t="s">
        <v>1357</v>
      </c>
      <c r="J8354" t="s">
        <v>1357</v>
      </c>
      <c r="K8354" t="s">
        <v>1357</v>
      </c>
      <c r="L8354" t="s">
        <v>1357</v>
      </c>
    </row>
    <row r="8355" spans="6:12">
      <c r="F8355" t="s">
        <v>15612</v>
      </c>
      <c r="G8355" t="s">
        <v>18314</v>
      </c>
      <c r="H8355" t="s">
        <v>20446</v>
      </c>
      <c r="I8355" t="s">
        <v>1357</v>
      </c>
      <c r="J8355" t="s">
        <v>1357</v>
      </c>
      <c r="K8355" t="s">
        <v>1357</v>
      </c>
      <c r="L8355" t="s">
        <v>1357</v>
      </c>
    </row>
    <row r="8356" spans="6:12">
      <c r="F8356" t="s">
        <v>15613</v>
      </c>
      <c r="G8356" t="s">
        <v>18315</v>
      </c>
      <c r="H8356" t="s">
        <v>20446</v>
      </c>
      <c r="I8356" t="s">
        <v>1357</v>
      </c>
      <c r="J8356" t="s">
        <v>1357</v>
      </c>
      <c r="K8356" t="s">
        <v>1357</v>
      </c>
      <c r="L8356" t="s">
        <v>1357</v>
      </c>
    </row>
    <row r="8357" spans="6:12">
      <c r="F8357" t="s">
        <v>15614</v>
      </c>
      <c r="G8357" t="s">
        <v>18316</v>
      </c>
      <c r="H8357" t="s">
        <v>20446</v>
      </c>
      <c r="I8357" t="s">
        <v>1357</v>
      </c>
      <c r="J8357" t="s">
        <v>1357</v>
      </c>
      <c r="K8357" t="s">
        <v>1357</v>
      </c>
      <c r="L8357" t="s">
        <v>1357</v>
      </c>
    </row>
    <row r="8358" spans="6:12">
      <c r="F8358" t="s">
        <v>15615</v>
      </c>
      <c r="G8358" t="s">
        <v>18317</v>
      </c>
      <c r="H8358" t="s">
        <v>20446</v>
      </c>
      <c r="I8358" t="s">
        <v>1357</v>
      </c>
      <c r="J8358" t="s">
        <v>1357</v>
      </c>
      <c r="K8358" t="s">
        <v>1357</v>
      </c>
      <c r="L8358" t="s">
        <v>1357</v>
      </c>
    </row>
    <row r="8359" spans="6:12">
      <c r="F8359" t="s">
        <v>15616</v>
      </c>
      <c r="G8359" t="s">
        <v>18318</v>
      </c>
      <c r="H8359" t="s">
        <v>20446</v>
      </c>
      <c r="I8359" t="s">
        <v>1357</v>
      </c>
      <c r="J8359" t="s">
        <v>1357</v>
      </c>
      <c r="K8359" t="s">
        <v>1357</v>
      </c>
      <c r="L8359" t="s">
        <v>1357</v>
      </c>
    </row>
    <row r="8360" spans="6:12">
      <c r="F8360" t="s">
        <v>15617</v>
      </c>
      <c r="G8360" t="s">
        <v>18319</v>
      </c>
      <c r="H8360" t="s">
        <v>20446</v>
      </c>
      <c r="I8360" t="s">
        <v>1357</v>
      </c>
      <c r="J8360" t="s">
        <v>1357</v>
      </c>
      <c r="K8360" t="s">
        <v>1357</v>
      </c>
      <c r="L8360" t="s">
        <v>1357</v>
      </c>
    </row>
    <row r="8361" spans="6:12">
      <c r="F8361" t="s">
        <v>15618</v>
      </c>
      <c r="G8361" t="s">
        <v>18320</v>
      </c>
      <c r="H8361" t="s">
        <v>20446</v>
      </c>
      <c r="I8361" t="s">
        <v>1357</v>
      </c>
      <c r="J8361" t="s">
        <v>1357</v>
      </c>
      <c r="K8361" t="s">
        <v>1357</v>
      </c>
      <c r="L8361" t="s">
        <v>1357</v>
      </c>
    </row>
    <row r="8362" spans="6:12">
      <c r="F8362" t="s">
        <v>15619</v>
      </c>
      <c r="G8362" t="s">
        <v>18321</v>
      </c>
      <c r="H8362" t="s">
        <v>20446</v>
      </c>
      <c r="I8362" t="s">
        <v>1357</v>
      </c>
      <c r="J8362" t="s">
        <v>1357</v>
      </c>
      <c r="K8362" t="s">
        <v>1357</v>
      </c>
      <c r="L8362" t="s">
        <v>1357</v>
      </c>
    </row>
    <row r="8363" spans="6:12">
      <c r="F8363" t="s">
        <v>15620</v>
      </c>
      <c r="G8363" t="s">
        <v>18322</v>
      </c>
      <c r="H8363" t="s">
        <v>20446</v>
      </c>
      <c r="I8363" t="s">
        <v>1357</v>
      </c>
      <c r="J8363" t="s">
        <v>1357</v>
      </c>
      <c r="K8363" t="s">
        <v>1357</v>
      </c>
      <c r="L8363" t="s">
        <v>1357</v>
      </c>
    </row>
    <row r="8364" spans="6:12">
      <c r="F8364" t="s">
        <v>15621</v>
      </c>
      <c r="G8364" t="s">
        <v>18323</v>
      </c>
      <c r="H8364" t="s">
        <v>20446</v>
      </c>
      <c r="I8364" t="s">
        <v>1357</v>
      </c>
      <c r="J8364" t="s">
        <v>1357</v>
      </c>
      <c r="K8364" t="s">
        <v>1357</v>
      </c>
      <c r="L8364" t="s">
        <v>1357</v>
      </c>
    </row>
    <row r="8365" spans="6:12">
      <c r="F8365" t="s">
        <v>15622</v>
      </c>
      <c r="G8365" t="s">
        <v>18324</v>
      </c>
      <c r="H8365" t="s">
        <v>20446</v>
      </c>
      <c r="I8365" t="s">
        <v>1357</v>
      </c>
      <c r="J8365" t="s">
        <v>1357</v>
      </c>
      <c r="K8365" t="s">
        <v>1357</v>
      </c>
      <c r="L8365" t="s">
        <v>1357</v>
      </c>
    </row>
    <row r="8366" spans="6:12">
      <c r="F8366" t="s">
        <v>15623</v>
      </c>
      <c r="G8366" t="s">
        <v>18325</v>
      </c>
      <c r="H8366" t="s">
        <v>20446</v>
      </c>
      <c r="I8366" t="s">
        <v>1357</v>
      </c>
      <c r="J8366" t="s">
        <v>1357</v>
      </c>
      <c r="K8366" t="s">
        <v>1357</v>
      </c>
      <c r="L8366" t="s">
        <v>1357</v>
      </c>
    </row>
    <row r="8367" spans="6:12">
      <c r="F8367" t="s">
        <v>15624</v>
      </c>
      <c r="G8367" t="s">
        <v>18326</v>
      </c>
      <c r="H8367" t="s">
        <v>20446</v>
      </c>
      <c r="I8367" t="s">
        <v>1357</v>
      </c>
      <c r="J8367" t="s">
        <v>1357</v>
      </c>
      <c r="K8367" t="s">
        <v>1357</v>
      </c>
      <c r="L8367" t="s">
        <v>1357</v>
      </c>
    </row>
    <row r="8368" spans="6:12">
      <c r="F8368" t="s">
        <v>15625</v>
      </c>
      <c r="G8368" t="s">
        <v>18327</v>
      </c>
      <c r="H8368" t="s">
        <v>20446</v>
      </c>
      <c r="I8368" t="s">
        <v>1357</v>
      </c>
      <c r="J8368" t="s">
        <v>1357</v>
      </c>
      <c r="K8368" t="s">
        <v>1357</v>
      </c>
      <c r="L8368" t="s">
        <v>1357</v>
      </c>
    </row>
    <row r="8369" spans="6:12">
      <c r="F8369" t="s">
        <v>15626</v>
      </c>
      <c r="G8369" t="s">
        <v>18328</v>
      </c>
      <c r="H8369" t="s">
        <v>20446</v>
      </c>
      <c r="I8369" t="s">
        <v>1357</v>
      </c>
      <c r="J8369" t="s">
        <v>1357</v>
      </c>
      <c r="K8369" t="s">
        <v>1357</v>
      </c>
      <c r="L8369" t="s">
        <v>1357</v>
      </c>
    </row>
    <row r="8370" spans="6:12">
      <c r="F8370" t="s">
        <v>15627</v>
      </c>
      <c r="G8370" t="s">
        <v>18329</v>
      </c>
      <c r="H8370" t="s">
        <v>20446</v>
      </c>
      <c r="I8370" t="s">
        <v>1357</v>
      </c>
      <c r="J8370" t="s">
        <v>1357</v>
      </c>
      <c r="K8370" t="s">
        <v>1357</v>
      </c>
      <c r="L8370" t="s">
        <v>1357</v>
      </c>
    </row>
    <row r="8371" spans="6:12">
      <c r="F8371" t="s">
        <v>15628</v>
      </c>
      <c r="G8371" t="s">
        <v>18330</v>
      </c>
      <c r="H8371" t="s">
        <v>20446</v>
      </c>
      <c r="I8371" t="s">
        <v>1357</v>
      </c>
      <c r="J8371" t="s">
        <v>1357</v>
      </c>
      <c r="K8371" t="s">
        <v>1357</v>
      </c>
      <c r="L8371" t="s">
        <v>1357</v>
      </c>
    </row>
    <row r="8372" spans="6:12">
      <c r="F8372" t="s">
        <v>15629</v>
      </c>
      <c r="G8372" t="s">
        <v>18331</v>
      </c>
      <c r="H8372" t="s">
        <v>20446</v>
      </c>
      <c r="I8372" t="s">
        <v>1357</v>
      </c>
      <c r="J8372" t="s">
        <v>1357</v>
      </c>
      <c r="K8372" t="s">
        <v>1357</v>
      </c>
      <c r="L8372" t="s">
        <v>1357</v>
      </c>
    </row>
    <row r="8373" spans="6:12">
      <c r="F8373" t="s">
        <v>15630</v>
      </c>
      <c r="G8373" t="s">
        <v>18332</v>
      </c>
      <c r="H8373" t="s">
        <v>20446</v>
      </c>
      <c r="I8373" t="s">
        <v>1357</v>
      </c>
      <c r="J8373" t="s">
        <v>1357</v>
      </c>
      <c r="K8373" t="s">
        <v>1357</v>
      </c>
      <c r="L8373" t="s">
        <v>1357</v>
      </c>
    </row>
    <row r="8374" spans="6:12">
      <c r="F8374" t="s">
        <v>15631</v>
      </c>
      <c r="G8374" t="s">
        <v>18333</v>
      </c>
      <c r="H8374" t="s">
        <v>20446</v>
      </c>
      <c r="I8374" t="s">
        <v>1357</v>
      </c>
      <c r="J8374" t="s">
        <v>1357</v>
      </c>
      <c r="K8374" t="s">
        <v>1357</v>
      </c>
      <c r="L8374" t="s">
        <v>1357</v>
      </c>
    </row>
    <row r="8375" spans="6:12">
      <c r="F8375" t="s">
        <v>15632</v>
      </c>
      <c r="G8375" t="s">
        <v>18334</v>
      </c>
      <c r="H8375" t="s">
        <v>20446</v>
      </c>
      <c r="I8375" t="s">
        <v>1357</v>
      </c>
      <c r="J8375" t="s">
        <v>1357</v>
      </c>
      <c r="K8375" t="s">
        <v>1357</v>
      </c>
      <c r="L8375" t="s">
        <v>1357</v>
      </c>
    </row>
    <row r="8376" spans="6:12">
      <c r="F8376" t="s">
        <v>15633</v>
      </c>
      <c r="G8376" t="s">
        <v>18335</v>
      </c>
      <c r="H8376" t="s">
        <v>20446</v>
      </c>
      <c r="I8376" t="s">
        <v>1357</v>
      </c>
      <c r="J8376" t="s">
        <v>1357</v>
      </c>
      <c r="K8376" t="s">
        <v>1357</v>
      </c>
      <c r="L8376" t="s">
        <v>1357</v>
      </c>
    </row>
    <row r="8377" spans="6:12">
      <c r="F8377" t="s">
        <v>15634</v>
      </c>
      <c r="G8377" t="s">
        <v>18336</v>
      </c>
      <c r="H8377" t="s">
        <v>20446</v>
      </c>
      <c r="I8377" t="s">
        <v>1357</v>
      </c>
      <c r="J8377" t="s">
        <v>1357</v>
      </c>
      <c r="K8377" t="s">
        <v>1357</v>
      </c>
      <c r="L8377" t="s">
        <v>1357</v>
      </c>
    </row>
    <row r="8378" spans="6:12">
      <c r="F8378" t="s">
        <v>15635</v>
      </c>
      <c r="G8378" t="s">
        <v>18337</v>
      </c>
      <c r="H8378" t="s">
        <v>20446</v>
      </c>
      <c r="I8378" t="s">
        <v>1357</v>
      </c>
      <c r="J8378" t="s">
        <v>1357</v>
      </c>
      <c r="K8378" t="s">
        <v>1357</v>
      </c>
      <c r="L8378" t="s">
        <v>1357</v>
      </c>
    </row>
    <row r="8379" spans="6:12">
      <c r="F8379" t="s">
        <v>15636</v>
      </c>
      <c r="G8379" t="s">
        <v>18338</v>
      </c>
      <c r="H8379" t="s">
        <v>20446</v>
      </c>
      <c r="I8379" t="s">
        <v>1357</v>
      </c>
      <c r="J8379" t="s">
        <v>1357</v>
      </c>
      <c r="K8379" t="s">
        <v>1357</v>
      </c>
      <c r="L8379" t="s">
        <v>1357</v>
      </c>
    </row>
    <row r="8380" spans="6:12">
      <c r="F8380" t="s">
        <v>15637</v>
      </c>
      <c r="G8380" t="s">
        <v>18339</v>
      </c>
      <c r="H8380" t="s">
        <v>20446</v>
      </c>
      <c r="I8380" t="s">
        <v>1357</v>
      </c>
      <c r="J8380" t="s">
        <v>1357</v>
      </c>
      <c r="K8380" t="s">
        <v>1357</v>
      </c>
      <c r="L8380" t="s">
        <v>1357</v>
      </c>
    </row>
    <row r="8381" spans="6:12">
      <c r="F8381" t="s">
        <v>15638</v>
      </c>
      <c r="G8381" t="s">
        <v>18340</v>
      </c>
      <c r="H8381" t="s">
        <v>20446</v>
      </c>
      <c r="I8381" t="s">
        <v>1357</v>
      </c>
      <c r="J8381" t="s">
        <v>1357</v>
      </c>
      <c r="K8381" t="s">
        <v>1357</v>
      </c>
      <c r="L8381" t="s">
        <v>1357</v>
      </c>
    </row>
    <row r="8382" spans="6:12">
      <c r="F8382" t="s">
        <v>15639</v>
      </c>
      <c r="G8382" t="s">
        <v>18341</v>
      </c>
      <c r="H8382" t="s">
        <v>20446</v>
      </c>
      <c r="I8382" t="s">
        <v>1357</v>
      </c>
      <c r="J8382" t="s">
        <v>1357</v>
      </c>
      <c r="K8382" t="s">
        <v>1357</v>
      </c>
      <c r="L8382" t="s">
        <v>1357</v>
      </c>
    </row>
    <row r="8383" spans="6:12">
      <c r="F8383" t="s">
        <v>15640</v>
      </c>
      <c r="G8383" t="s">
        <v>18342</v>
      </c>
      <c r="H8383" t="s">
        <v>20446</v>
      </c>
      <c r="I8383" t="s">
        <v>1357</v>
      </c>
      <c r="J8383" t="s">
        <v>1357</v>
      </c>
      <c r="K8383" t="s">
        <v>1357</v>
      </c>
      <c r="L8383" t="s">
        <v>1357</v>
      </c>
    </row>
    <row r="8384" spans="6:12">
      <c r="F8384" t="s">
        <v>15641</v>
      </c>
      <c r="G8384" t="s">
        <v>18343</v>
      </c>
      <c r="H8384" t="s">
        <v>20446</v>
      </c>
      <c r="I8384" t="s">
        <v>1357</v>
      </c>
      <c r="J8384" t="s">
        <v>1357</v>
      </c>
      <c r="K8384" t="s">
        <v>1357</v>
      </c>
      <c r="L8384" t="s">
        <v>1357</v>
      </c>
    </row>
    <row r="8385" spans="6:12">
      <c r="F8385" t="s">
        <v>15642</v>
      </c>
      <c r="G8385" t="s">
        <v>18344</v>
      </c>
      <c r="H8385" t="s">
        <v>20446</v>
      </c>
      <c r="I8385" t="s">
        <v>1357</v>
      </c>
      <c r="J8385" t="s">
        <v>1357</v>
      </c>
      <c r="K8385" t="s">
        <v>1357</v>
      </c>
      <c r="L8385" t="s">
        <v>1357</v>
      </c>
    </row>
    <row r="8386" spans="6:12">
      <c r="F8386" t="s">
        <v>15643</v>
      </c>
      <c r="G8386" t="s">
        <v>18345</v>
      </c>
      <c r="H8386" t="s">
        <v>20446</v>
      </c>
      <c r="I8386" t="s">
        <v>1357</v>
      </c>
      <c r="J8386" t="s">
        <v>1357</v>
      </c>
      <c r="K8386" t="s">
        <v>1357</v>
      </c>
      <c r="L8386" t="s">
        <v>1357</v>
      </c>
    </row>
    <row r="8387" spans="6:12">
      <c r="F8387" t="s">
        <v>15644</v>
      </c>
      <c r="G8387" t="s">
        <v>18346</v>
      </c>
      <c r="H8387" t="s">
        <v>20446</v>
      </c>
      <c r="I8387" t="s">
        <v>1357</v>
      </c>
      <c r="J8387" t="s">
        <v>1357</v>
      </c>
      <c r="K8387" t="s">
        <v>1357</v>
      </c>
      <c r="L8387" t="s">
        <v>1357</v>
      </c>
    </row>
    <row r="8388" spans="6:12">
      <c r="F8388" t="s">
        <v>15645</v>
      </c>
      <c r="G8388" t="s">
        <v>18347</v>
      </c>
      <c r="H8388" t="s">
        <v>20446</v>
      </c>
      <c r="I8388" t="s">
        <v>1357</v>
      </c>
      <c r="J8388" t="s">
        <v>1357</v>
      </c>
      <c r="K8388" t="s">
        <v>1357</v>
      </c>
      <c r="L8388" t="s">
        <v>1357</v>
      </c>
    </row>
    <row r="8389" spans="6:12">
      <c r="F8389" t="s">
        <v>15646</v>
      </c>
      <c r="G8389" t="s">
        <v>18348</v>
      </c>
      <c r="H8389" t="s">
        <v>20446</v>
      </c>
      <c r="I8389" t="s">
        <v>1357</v>
      </c>
      <c r="J8389" t="s">
        <v>1357</v>
      </c>
      <c r="K8389" t="s">
        <v>1357</v>
      </c>
      <c r="L8389" t="s">
        <v>1357</v>
      </c>
    </row>
    <row r="8390" spans="6:12">
      <c r="F8390" t="s">
        <v>15647</v>
      </c>
      <c r="G8390" t="s">
        <v>18349</v>
      </c>
      <c r="H8390" t="s">
        <v>20446</v>
      </c>
      <c r="I8390" t="s">
        <v>1357</v>
      </c>
      <c r="J8390" t="s">
        <v>1357</v>
      </c>
      <c r="K8390" t="s">
        <v>1357</v>
      </c>
      <c r="L8390" t="s">
        <v>1357</v>
      </c>
    </row>
    <row r="8391" spans="6:12">
      <c r="F8391" t="s">
        <v>15648</v>
      </c>
      <c r="G8391" t="s">
        <v>18350</v>
      </c>
      <c r="H8391" t="s">
        <v>20446</v>
      </c>
      <c r="I8391" t="s">
        <v>1357</v>
      </c>
      <c r="J8391" t="s">
        <v>1357</v>
      </c>
      <c r="K8391" t="s">
        <v>1357</v>
      </c>
      <c r="L8391" t="s">
        <v>1357</v>
      </c>
    </row>
    <row r="8392" spans="6:12">
      <c r="F8392" t="s">
        <v>15649</v>
      </c>
      <c r="G8392" t="s">
        <v>18351</v>
      </c>
      <c r="H8392" t="s">
        <v>20446</v>
      </c>
      <c r="I8392" t="s">
        <v>1357</v>
      </c>
      <c r="J8392" t="s">
        <v>1357</v>
      </c>
      <c r="K8392" t="s">
        <v>1357</v>
      </c>
      <c r="L8392" t="s">
        <v>1357</v>
      </c>
    </row>
    <row r="8393" spans="6:12">
      <c r="F8393" t="s">
        <v>15650</v>
      </c>
      <c r="G8393" t="s">
        <v>18352</v>
      </c>
      <c r="H8393" t="s">
        <v>20446</v>
      </c>
      <c r="I8393" t="s">
        <v>1357</v>
      </c>
      <c r="J8393" t="s">
        <v>1357</v>
      </c>
      <c r="K8393" t="s">
        <v>1357</v>
      </c>
      <c r="L8393" t="s">
        <v>1357</v>
      </c>
    </row>
    <row r="8394" spans="6:12">
      <c r="F8394" t="s">
        <v>15651</v>
      </c>
      <c r="G8394" t="s">
        <v>18353</v>
      </c>
      <c r="H8394" t="s">
        <v>20446</v>
      </c>
      <c r="I8394" t="s">
        <v>1357</v>
      </c>
      <c r="J8394" t="s">
        <v>1357</v>
      </c>
      <c r="K8394" t="s">
        <v>1357</v>
      </c>
      <c r="L8394" t="s">
        <v>1357</v>
      </c>
    </row>
    <row r="8395" spans="6:12">
      <c r="F8395" t="s">
        <v>15652</v>
      </c>
      <c r="G8395" t="s">
        <v>18354</v>
      </c>
      <c r="H8395" t="s">
        <v>20446</v>
      </c>
      <c r="I8395" t="s">
        <v>1357</v>
      </c>
      <c r="J8395" t="s">
        <v>1357</v>
      </c>
      <c r="K8395" t="s">
        <v>1357</v>
      </c>
      <c r="L8395" t="s">
        <v>1357</v>
      </c>
    </row>
    <row r="8396" spans="6:12">
      <c r="F8396" t="s">
        <v>15653</v>
      </c>
      <c r="G8396" t="s">
        <v>18355</v>
      </c>
      <c r="H8396" t="s">
        <v>20446</v>
      </c>
      <c r="I8396" t="s">
        <v>1357</v>
      </c>
      <c r="J8396" t="s">
        <v>1357</v>
      </c>
      <c r="K8396" t="s">
        <v>1357</v>
      </c>
      <c r="L8396" t="s">
        <v>1357</v>
      </c>
    </row>
    <row r="8397" spans="6:12">
      <c r="F8397" t="s">
        <v>15654</v>
      </c>
      <c r="G8397" t="s">
        <v>18356</v>
      </c>
      <c r="H8397" t="s">
        <v>20446</v>
      </c>
      <c r="I8397" t="s">
        <v>1357</v>
      </c>
      <c r="J8397" t="s">
        <v>1357</v>
      </c>
      <c r="K8397" t="s">
        <v>1357</v>
      </c>
      <c r="L8397" t="s">
        <v>1357</v>
      </c>
    </row>
    <row r="8398" spans="6:12">
      <c r="F8398" t="s">
        <v>15655</v>
      </c>
      <c r="G8398" t="s">
        <v>18357</v>
      </c>
      <c r="H8398" t="s">
        <v>20446</v>
      </c>
      <c r="I8398" t="s">
        <v>1357</v>
      </c>
      <c r="J8398" t="s">
        <v>1357</v>
      </c>
      <c r="K8398" t="s">
        <v>1357</v>
      </c>
      <c r="L8398" t="s">
        <v>1357</v>
      </c>
    </row>
    <row r="8399" spans="6:12">
      <c r="F8399" t="s">
        <v>15656</v>
      </c>
      <c r="G8399" t="s">
        <v>18358</v>
      </c>
      <c r="H8399" t="s">
        <v>20446</v>
      </c>
      <c r="I8399" t="s">
        <v>1357</v>
      </c>
      <c r="J8399" t="s">
        <v>1357</v>
      </c>
      <c r="K8399" t="s">
        <v>1357</v>
      </c>
      <c r="L8399" t="s">
        <v>1357</v>
      </c>
    </row>
    <row r="8400" spans="6:12">
      <c r="F8400" t="s">
        <v>15657</v>
      </c>
      <c r="G8400" t="s">
        <v>18359</v>
      </c>
      <c r="H8400" t="s">
        <v>20446</v>
      </c>
      <c r="I8400" t="s">
        <v>1357</v>
      </c>
      <c r="J8400" t="s">
        <v>1357</v>
      </c>
      <c r="K8400" t="s">
        <v>1357</v>
      </c>
      <c r="L8400" t="s">
        <v>1357</v>
      </c>
    </row>
    <row r="8401" spans="6:12">
      <c r="F8401" t="s">
        <v>15658</v>
      </c>
      <c r="G8401" t="s">
        <v>18360</v>
      </c>
      <c r="H8401" t="s">
        <v>20446</v>
      </c>
      <c r="I8401" t="s">
        <v>1357</v>
      </c>
      <c r="J8401" t="s">
        <v>1357</v>
      </c>
      <c r="K8401" t="s">
        <v>1357</v>
      </c>
      <c r="L8401" t="s">
        <v>1357</v>
      </c>
    </row>
    <row r="8402" spans="6:12">
      <c r="F8402" t="s">
        <v>15659</v>
      </c>
      <c r="G8402" t="s">
        <v>18361</v>
      </c>
      <c r="H8402" t="s">
        <v>20446</v>
      </c>
      <c r="I8402" t="s">
        <v>1357</v>
      </c>
      <c r="J8402" t="s">
        <v>1357</v>
      </c>
      <c r="K8402" t="s">
        <v>1357</v>
      </c>
      <c r="L8402" t="s">
        <v>1357</v>
      </c>
    </row>
    <row r="8403" spans="6:12">
      <c r="F8403" t="s">
        <v>15660</v>
      </c>
      <c r="G8403" t="s">
        <v>18362</v>
      </c>
      <c r="H8403" t="s">
        <v>20446</v>
      </c>
      <c r="I8403" t="s">
        <v>1357</v>
      </c>
      <c r="J8403" t="s">
        <v>1357</v>
      </c>
      <c r="K8403" t="s">
        <v>1357</v>
      </c>
      <c r="L8403" t="s">
        <v>1357</v>
      </c>
    </row>
    <row r="8404" spans="6:12">
      <c r="F8404" t="s">
        <v>15661</v>
      </c>
      <c r="G8404" t="s">
        <v>18363</v>
      </c>
      <c r="H8404" t="s">
        <v>20446</v>
      </c>
      <c r="I8404" t="s">
        <v>1357</v>
      </c>
      <c r="J8404" t="s">
        <v>1357</v>
      </c>
      <c r="K8404" t="s">
        <v>1357</v>
      </c>
      <c r="L8404" t="s">
        <v>1357</v>
      </c>
    </row>
    <row r="8405" spans="6:12">
      <c r="F8405" t="s">
        <v>15662</v>
      </c>
      <c r="G8405" t="s">
        <v>18364</v>
      </c>
      <c r="H8405" t="s">
        <v>20446</v>
      </c>
      <c r="I8405" t="s">
        <v>1357</v>
      </c>
      <c r="J8405" t="s">
        <v>1357</v>
      </c>
      <c r="K8405" t="s">
        <v>1357</v>
      </c>
      <c r="L8405" t="s">
        <v>1357</v>
      </c>
    </row>
    <row r="8406" spans="6:12">
      <c r="F8406" t="s">
        <v>15663</v>
      </c>
      <c r="G8406" t="s">
        <v>18365</v>
      </c>
      <c r="H8406" t="s">
        <v>20446</v>
      </c>
      <c r="I8406" t="s">
        <v>1357</v>
      </c>
      <c r="J8406" t="s">
        <v>1357</v>
      </c>
      <c r="K8406" t="s">
        <v>1357</v>
      </c>
      <c r="L8406" t="s">
        <v>1357</v>
      </c>
    </row>
    <row r="8407" spans="6:12">
      <c r="F8407" t="s">
        <v>15664</v>
      </c>
      <c r="G8407" t="s">
        <v>18366</v>
      </c>
      <c r="H8407" t="s">
        <v>20446</v>
      </c>
      <c r="I8407" t="s">
        <v>1357</v>
      </c>
      <c r="J8407" t="s">
        <v>1357</v>
      </c>
      <c r="K8407" t="s">
        <v>1357</v>
      </c>
      <c r="L8407" t="s">
        <v>1357</v>
      </c>
    </row>
    <row r="8408" spans="6:12">
      <c r="F8408" t="s">
        <v>15665</v>
      </c>
      <c r="G8408" t="s">
        <v>18367</v>
      </c>
      <c r="H8408" t="s">
        <v>20446</v>
      </c>
      <c r="I8408" t="s">
        <v>1357</v>
      </c>
      <c r="J8408" t="s">
        <v>1357</v>
      </c>
      <c r="K8408" t="s">
        <v>1357</v>
      </c>
      <c r="L8408" t="s">
        <v>1357</v>
      </c>
    </row>
    <row r="8409" spans="6:12">
      <c r="F8409" t="s">
        <v>15666</v>
      </c>
      <c r="G8409" t="s">
        <v>18368</v>
      </c>
      <c r="H8409" t="s">
        <v>20446</v>
      </c>
      <c r="I8409" t="s">
        <v>1357</v>
      </c>
      <c r="J8409" t="s">
        <v>1357</v>
      </c>
      <c r="K8409" t="s">
        <v>1357</v>
      </c>
      <c r="L8409" t="s">
        <v>1357</v>
      </c>
    </row>
    <row r="8410" spans="6:12">
      <c r="F8410" t="s">
        <v>15667</v>
      </c>
      <c r="G8410" t="s">
        <v>18369</v>
      </c>
      <c r="H8410" t="s">
        <v>20446</v>
      </c>
      <c r="I8410" t="s">
        <v>1357</v>
      </c>
      <c r="J8410" t="s">
        <v>1357</v>
      </c>
      <c r="K8410" t="s">
        <v>1357</v>
      </c>
      <c r="L8410" t="s">
        <v>1357</v>
      </c>
    </row>
    <row r="8411" spans="6:12">
      <c r="F8411" t="s">
        <v>15668</v>
      </c>
      <c r="G8411" t="s">
        <v>18370</v>
      </c>
      <c r="H8411" t="s">
        <v>20446</v>
      </c>
      <c r="I8411" t="s">
        <v>1357</v>
      </c>
      <c r="J8411" t="s">
        <v>1357</v>
      </c>
      <c r="K8411" t="s">
        <v>1357</v>
      </c>
      <c r="L8411" t="s">
        <v>1357</v>
      </c>
    </row>
    <row r="8412" spans="6:12">
      <c r="F8412" t="s">
        <v>15669</v>
      </c>
      <c r="G8412" t="s">
        <v>18371</v>
      </c>
      <c r="H8412" t="s">
        <v>20446</v>
      </c>
      <c r="I8412" t="s">
        <v>1357</v>
      </c>
      <c r="J8412" t="s">
        <v>1357</v>
      </c>
      <c r="K8412" t="s">
        <v>1357</v>
      </c>
      <c r="L8412" t="s">
        <v>1357</v>
      </c>
    </row>
    <row r="8413" spans="6:12">
      <c r="F8413" t="s">
        <v>15670</v>
      </c>
      <c r="G8413" t="s">
        <v>18372</v>
      </c>
      <c r="H8413" t="s">
        <v>20446</v>
      </c>
      <c r="I8413" t="s">
        <v>1357</v>
      </c>
      <c r="J8413" t="s">
        <v>1357</v>
      </c>
      <c r="K8413" t="s">
        <v>1357</v>
      </c>
      <c r="L8413" t="s">
        <v>1357</v>
      </c>
    </row>
    <row r="8414" spans="6:12">
      <c r="F8414" t="s">
        <v>15671</v>
      </c>
      <c r="G8414" t="s">
        <v>18373</v>
      </c>
      <c r="H8414" t="s">
        <v>20446</v>
      </c>
      <c r="I8414" t="s">
        <v>1357</v>
      </c>
      <c r="J8414" t="s">
        <v>1357</v>
      </c>
      <c r="K8414" t="s">
        <v>1357</v>
      </c>
      <c r="L8414" t="s">
        <v>1357</v>
      </c>
    </row>
    <row r="8415" spans="6:12">
      <c r="F8415" t="s">
        <v>15672</v>
      </c>
      <c r="G8415" t="s">
        <v>18374</v>
      </c>
      <c r="H8415" t="s">
        <v>20446</v>
      </c>
      <c r="I8415" t="s">
        <v>1357</v>
      </c>
      <c r="J8415" t="s">
        <v>1357</v>
      </c>
      <c r="K8415" t="s">
        <v>1357</v>
      </c>
      <c r="L8415" t="s">
        <v>1357</v>
      </c>
    </row>
    <row r="8416" spans="6:12">
      <c r="F8416" t="s">
        <v>15673</v>
      </c>
      <c r="G8416" t="s">
        <v>18375</v>
      </c>
      <c r="H8416" t="s">
        <v>20446</v>
      </c>
      <c r="I8416" t="s">
        <v>1357</v>
      </c>
      <c r="J8416" t="s">
        <v>1357</v>
      </c>
      <c r="K8416" t="s">
        <v>1357</v>
      </c>
      <c r="L8416" t="s">
        <v>1357</v>
      </c>
    </row>
    <row r="8417" spans="6:12">
      <c r="F8417" t="s">
        <v>15674</v>
      </c>
      <c r="G8417" t="s">
        <v>18376</v>
      </c>
      <c r="H8417" t="s">
        <v>20446</v>
      </c>
      <c r="I8417" t="s">
        <v>1357</v>
      </c>
      <c r="J8417" t="s">
        <v>1357</v>
      </c>
      <c r="K8417" t="s">
        <v>1357</v>
      </c>
      <c r="L8417" t="s">
        <v>1357</v>
      </c>
    </row>
    <row r="8418" spans="6:12">
      <c r="F8418" t="s">
        <v>15675</v>
      </c>
      <c r="G8418" t="s">
        <v>18377</v>
      </c>
      <c r="H8418" t="s">
        <v>20446</v>
      </c>
      <c r="I8418" t="s">
        <v>1357</v>
      </c>
      <c r="J8418" t="s">
        <v>1357</v>
      </c>
      <c r="K8418" t="s">
        <v>1357</v>
      </c>
      <c r="L8418" t="s">
        <v>1357</v>
      </c>
    </row>
    <row r="8419" spans="6:12">
      <c r="F8419" t="s">
        <v>15676</v>
      </c>
      <c r="G8419" t="s">
        <v>18378</v>
      </c>
      <c r="H8419" t="s">
        <v>20446</v>
      </c>
      <c r="I8419" t="s">
        <v>1357</v>
      </c>
      <c r="J8419" t="s">
        <v>1357</v>
      </c>
      <c r="K8419" t="s">
        <v>1357</v>
      </c>
      <c r="L8419" t="s">
        <v>1357</v>
      </c>
    </row>
    <row r="8420" spans="6:12">
      <c r="F8420" t="s">
        <v>15677</v>
      </c>
      <c r="G8420" t="s">
        <v>18379</v>
      </c>
      <c r="H8420" t="s">
        <v>20446</v>
      </c>
      <c r="I8420" t="s">
        <v>1357</v>
      </c>
      <c r="J8420" t="s">
        <v>1357</v>
      </c>
      <c r="K8420" t="s">
        <v>1357</v>
      </c>
      <c r="L8420" t="s">
        <v>1357</v>
      </c>
    </row>
    <row r="8421" spans="6:12">
      <c r="F8421" t="s">
        <v>15678</v>
      </c>
      <c r="G8421" t="s">
        <v>18380</v>
      </c>
      <c r="H8421" t="s">
        <v>20446</v>
      </c>
      <c r="I8421" t="s">
        <v>1357</v>
      </c>
      <c r="J8421" t="s">
        <v>1357</v>
      </c>
      <c r="K8421" t="s">
        <v>1357</v>
      </c>
      <c r="L8421" t="s">
        <v>1357</v>
      </c>
    </row>
    <row r="8422" spans="6:12">
      <c r="F8422" t="s">
        <v>15679</v>
      </c>
      <c r="G8422" t="s">
        <v>18381</v>
      </c>
      <c r="H8422" t="s">
        <v>20446</v>
      </c>
      <c r="I8422" t="s">
        <v>1357</v>
      </c>
      <c r="J8422" t="s">
        <v>1357</v>
      </c>
      <c r="K8422" t="s">
        <v>1357</v>
      </c>
      <c r="L8422" t="s">
        <v>1357</v>
      </c>
    </row>
    <row r="8423" spans="6:12">
      <c r="F8423" t="s">
        <v>15680</v>
      </c>
      <c r="G8423" t="s">
        <v>18382</v>
      </c>
      <c r="H8423" t="s">
        <v>20446</v>
      </c>
      <c r="I8423" t="s">
        <v>1357</v>
      </c>
      <c r="J8423" t="s">
        <v>1357</v>
      </c>
      <c r="K8423" t="s">
        <v>1357</v>
      </c>
      <c r="L8423" t="s">
        <v>1357</v>
      </c>
    </row>
    <row r="8424" spans="6:12">
      <c r="F8424" t="s">
        <v>15681</v>
      </c>
      <c r="G8424" t="s">
        <v>18383</v>
      </c>
      <c r="H8424" t="s">
        <v>20446</v>
      </c>
      <c r="I8424" t="s">
        <v>1357</v>
      </c>
      <c r="J8424" t="s">
        <v>1357</v>
      </c>
      <c r="K8424" t="s">
        <v>1357</v>
      </c>
      <c r="L8424" t="s">
        <v>1357</v>
      </c>
    </row>
    <row r="8425" spans="6:12">
      <c r="F8425" t="s">
        <v>15682</v>
      </c>
      <c r="G8425" t="s">
        <v>18384</v>
      </c>
      <c r="H8425" t="s">
        <v>20446</v>
      </c>
      <c r="I8425" t="s">
        <v>1357</v>
      </c>
      <c r="J8425" t="s">
        <v>1357</v>
      </c>
      <c r="K8425" t="s">
        <v>1357</v>
      </c>
      <c r="L8425" t="s">
        <v>1357</v>
      </c>
    </row>
    <row r="8426" spans="6:12">
      <c r="F8426" t="s">
        <v>15683</v>
      </c>
      <c r="G8426" t="s">
        <v>18385</v>
      </c>
      <c r="H8426" t="s">
        <v>20446</v>
      </c>
      <c r="I8426" t="s">
        <v>1357</v>
      </c>
      <c r="J8426" t="s">
        <v>1357</v>
      </c>
      <c r="K8426" t="s">
        <v>1357</v>
      </c>
      <c r="L8426" t="s">
        <v>1357</v>
      </c>
    </row>
    <row r="8427" spans="6:12">
      <c r="F8427" t="s">
        <v>15684</v>
      </c>
      <c r="G8427" t="s">
        <v>18386</v>
      </c>
      <c r="H8427" t="s">
        <v>20446</v>
      </c>
      <c r="I8427" t="s">
        <v>1357</v>
      </c>
      <c r="J8427" t="s">
        <v>1357</v>
      </c>
      <c r="K8427" t="s">
        <v>1357</v>
      </c>
      <c r="L8427" t="s">
        <v>1357</v>
      </c>
    </row>
    <row r="8428" spans="6:12">
      <c r="F8428" t="s">
        <v>15685</v>
      </c>
      <c r="G8428" t="s">
        <v>18387</v>
      </c>
      <c r="H8428" t="s">
        <v>20446</v>
      </c>
      <c r="I8428" t="s">
        <v>1357</v>
      </c>
      <c r="J8428" t="s">
        <v>1357</v>
      </c>
      <c r="K8428" t="s">
        <v>1357</v>
      </c>
      <c r="L8428" t="s">
        <v>1357</v>
      </c>
    </row>
    <row r="8429" spans="6:12">
      <c r="F8429" t="s">
        <v>15686</v>
      </c>
      <c r="G8429" t="s">
        <v>18388</v>
      </c>
      <c r="H8429" t="s">
        <v>20446</v>
      </c>
      <c r="I8429" t="s">
        <v>1357</v>
      </c>
      <c r="J8429" t="s">
        <v>1357</v>
      </c>
      <c r="K8429" t="s">
        <v>1357</v>
      </c>
      <c r="L8429" t="s">
        <v>1357</v>
      </c>
    </row>
    <row r="8430" spans="6:12">
      <c r="F8430" t="s">
        <v>15687</v>
      </c>
      <c r="G8430" t="s">
        <v>18389</v>
      </c>
      <c r="H8430" t="s">
        <v>20446</v>
      </c>
      <c r="I8430" t="s">
        <v>1357</v>
      </c>
      <c r="J8430" t="s">
        <v>1357</v>
      </c>
      <c r="K8430" t="s">
        <v>1357</v>
      </c>
      <c r="L8430" t="s">
        <v>1357</v>
      </c>
    </row>
    <row r="8431" spans="6:12">
      <c r="F8431" t="s">
        <v>15688</v>
      </c>
      <c r="G8431" t="s">
        <v>18390</v>
      </c>
      <c r="H8431" t="s">
        <v>20446</v>
      </c>
      <c r="I8431" t="s">
        <v>1357</v>
      </c>
      <c r="J8431" t="s">
        <v>1357</v>
      </c>
      <c r="K8431" t="s">
        <v>1357</v>
      </c>
      <c r="L8431" t="s">
        <v>1357</v>
      </c>
    </row>
    <row r="8432" spans="6:12">
      <c r="F8432" t="s">
        <v>15689</v>
      </c>
      <c r="G8432" t="s">
        <v>18391</v>
      </c>
      <c r="H8432" t="s">
        <v>20446</v>
      </c>
      <c r="I8432" t="s">
        <v>1357</v>
      </c>
      <c r="J8432" t="s">
        <v>1357</v>
      </c>
      <c r="K8432" t="s">
        <v>1357</v>
      </c>
      <c r="L8432" t="s">
        <v>1357</v>
      </c>
    </row>
    <row r="8433" spans="6:12">
      <c r="F8433" t="s">
        <v>15690</v>
      </c>
      <c r="G8433" t="s">
        <v>18392</v>
      </c>
      <c r="H8433" t="s">
        <v>20446</v>
      </c>
      <c r="I8433" t="s">
        <v>1357</v>
      </c>
      <c r="J8433" t="s">
        <v>1357</v>
      </c>
      <c r="K8433" t="s">
        <v>1357</v>
      </c>
      <c r="L8433" t="s">
        <v>1357</v>
      </c>
    </row>
    <row r="8434" spans="6:12">
      <c r="F8434" t="s">
        <v>15691</v>
      </c>
      <c r="G8434" t="s">
        <v>18393</v>
      </c>
      <c r="H8434" t="s">
        <v>20446</v>
      </c>
      <c r="I8434" t="s">
        <v>1357</v>
      </c>
      <c r="J8434" t="s">
        <v>1357</v>
      </c>
      <c r="K8434" t="s">
        <v>1357</v>
      </c>
      <c r="L8434" t="s">
        <v>1357</v>
      </c>
    </row>
    <row r="8435" spans="6:12">
      <c r="F8435" t="s">
        <v>15692</v>
      </c>
      <c r="G8435" t="s">
        <v>18394</v>
      </c>
      <c r="H8435" t="s">
        <v>20446</v>
      </c>
      <c r="I8435" t="s">
        <v>1357</v>
      </c>
      <c r="J8435" t="s">
        <v>1357</v>
      </c>
      <c r="K8435" t="s">
        <v>1357</v>
      </c>
      <c r="L8435" t="s">
        <v>1357</v>
      </c>
    </row>
    <row r="8436" spans="6:12">
      <c r="F8436" t="s">
        <v>15693</v>
      </c>
      <c r="G8436" t="s">
        <v>18395</v>
      </c>
      <c r="H8436" t="s">
        <v>20446</v>
      </c>
      <c r="I8436" t="s">
        <v>1357</v>
      </c>
      <c r="J8436" t="s">
        <v>1357</v>
      </c>
      <c r="K8436" t="s">
        <v>1357</v>
      </c>
      <c r="L8436" t="s">
        <v>1357</v>
      </c>
    </row>
    <row r="8437" spans="6:12">
      <c r="F8437" t="s">
        <v>15694</v>
      </c>
      <c r="G8437" t="s">
        <v>18396</v>
      </c>
      <c r="H8437" t="s">
        <v>20446</v>
      </c>
      <c r="I8437" t="s">
        <v>1357</v>
      </c>
      <c r="J8437" t="s">
        <v>1357</v>
      </c>
      <c r="K8437" t="s">
        <v>1357</v>
      </c>
      <c r="L8437" t="s">
        <v>1357</v>
      </c>
    </row>
    <row r="8438" spans="6:12">
      <c r="F8438" t="s">
        <v>15695</v>
      </c>
      <c r="G8438" t="s">
        <v>18397</v>
      </c>
      <c r="H8438" t="s">
        <v>20446</v>
      </c>
      <c r="I8438" t="s">
        <v>1357</v>
      </c>
      <c r="J8438" t="s">
        <v>1357</v>
      </c>
      <c r="K8438" t="s">
        <v>1357</v>
      </c>
      <c r="L8438" t="s">
        <v>1357</v>
      </c>
    </row>
    <row r="8439" spans="6:12">
      <c r="F8439" t="s">
        <v>15696</v>
      </c>
      <c r="G8439" t="s">
        <v>18398</v>
      </c>
      <c r="H8439" t="s">
        <v>20446</v>
      </c>
      <c r="I8439" t="s">
        <v>1357</v>
      </c>
      <c r="J8439" t="s">
        <v>1357</v>
      </c>
      <c r="K8439" t="s">
        <v>1357</v>
      </c>
      <c r="L8439" t="s">
        <v>1357</v>
      </c>
    </row>
    <row r="8440" spans="6:12">
      <c r="F8440" t="s">
        <v>15697</v>
      </c>
      <c r="G8440" t="s">
        <v>18399</v>
      </c>
      <c r="H8440" t="s">
        <v>20446</v>
      </c>
      <c r="I8440" t="s">
        <v>1357</v>
      </c>
      <c r="J8440" t="s">
        <v>1357</v>
      </c>
      <c r="K8440" t="s">
        <v>1357</v>
      </c>
      <c r="L8440" t="s">
        <v>1357</v>
      </c>
    </row>
    <row r="8441" spans="6:12">
      <c r="F8441" t="s">
        <v>15698</v>
      </c>
      <c r="G8441" t="s">
        <v>18400</v>
      </c>
      <c r="H8441" t="s">
        <v>20446</v>
      </c>
      <c r="I8441" t="s">
        <v>1357</v>
      </c>
      <c r="J8441" t="s">
        <v>1357</v>
      </c>
      <c r="K8441" t="s">
        <v>1357</v>
      </c>
      <c r="L8441" t="s">
        <v>1357</v>
      </c>
    </row>
    <row r="8442" spans="6:12">
      <c r="F8442" t="s">
        <v>15699</v>
      </c>
      <c r="G8442" t="s">
        <v>18401</v>
      </c>
      <c r="H8442" t="s">
        <v>20446</v>
      </c>
      <c r="I8442" t="s">
        <v>1357</v>
      </c>
      <c r="J8442" t="s">
        <v>1357</v>
      </c>
      <c r="K8442" t="s">
        <v>1357</v>
      </c>
      <c r="L8442" t="s">
        <v>1357</v>
      </c>
    </row>
    <row r="8443" spans="6:12">
      <c r="F8443" t="s">
        <v>15700</v>
      </c>
      <c r="G8443" t="s">
        <v>18402</v>
      </c>
      <c r="H8443" t="s">
        <v>20446</v>
      </c>
      <c r="I8443" t="s">
        <v>1357</v>
      </c>
      <c r="J8443" t="s">
        <v>1357</v>
      </c>
      <c r="K8443" t="s">
        <v>1357</v>
      </c>
      <c r="L8443" t="s">
        <v>1357</v>
      </c>
    </row>
    <row r="8444" spans="6:12">
      <c r="F8444" t="s">
        <v>15701</v>
      </c>
      <c r="G8444" t="s">
        <v>18403</v>
      </c>
      <c r="H8444" t="s">
        <v>20446</v>
      </c>
      <c r="I8444" t="s">
        <v>1357</v>
      </c>
      <c r="J8444" t="s">
        <v>1357</v>
      </c>
      <c r="K8444" t="s">
        <v>1357</v>
      </c>
      <c r="L8444" t="s">
        <v>1357</v>
      </c>
    </row>
    <row r="8445" spans="6:12">
      <c r="F8445" t="s">
        <v>15702</v>
      </c>
      <c r="G8445" t="s">
        <v>18404</v>
      </c>
      <c r="H8445" t="s">
        <v>20446</v>
      </c>
      <c r="I8445" t="s">
        <v>1357</v>
      </c>
      <c r="J8445" t="s">
        <v>1357</v>
      </c>
      <c r="K8445" t="s">
        <v>1357</v>
      </c>
      <c r="L8445" t="s">
        <v>1357</v>
      </c>
    </row>
    <row r="8446" spans="6:12">
      <c r="F8446" t="s">
        <v>15703</v>
      </c>
      <c r="G8446" t="s">
        <v>18405</v>
      </c>
      <c r="H8446" t="s">
        <v>20446</v>
      </c>
      <c r="I8446" t="s">
        <v>1357</v>
      </c>
      <c r="J8446" t="s">
        <v>1357</v>
      </c>
      <c r="K8446" t="s">
        <v>1357</v>
      </c>
      <c r="L8446" t="s">
        <v>1357</v>
      </c>
    </row>
    <row r="8447" spans="6:12">
      <c r="F8447" t="s">
        <v>15704</v>
      </c>
      <c r="G8447" t="s">
        <v>18406</v>
      </c>
      <c r="H8447" t="s">
        <v>20446</v>
      </c>
      <c r="I8447" t="s">
        <v>1357</v>
      </c>
      <c r="J8447" t="s">
        <v>1357</v>
      </c>
      <c r="K8447" t="s">
        <v>1357</v>
      </c>
      <c r="L8447" t="s">
        <v>1357</v>
      </c>
    </row>
    <row r="8448" spans="6:12">
      <c r="F8448" t="s">
        <v>15705</v>
      </c>
      <c r="G8448" t="s">
        <v>18407</v>
      </c>
      <c r="H8448" t="s">
        <v>20446</v>
      </c>
      <c r="I8448" t="s">
        <v>1357</v>
      </c>
      <c r="J8448" t="s">
        <v>1357</v>
      </c>
      <c r="K8448" t="s">
        <v>1357</v>
      </c>
      <c r="L8448" t="s">
        <v>1357</v>
      </c>
    </row>
    <row r="8449" spans="6:12">
      <c r="F8449" t="s">
        <v>15706</v>
      </c>
      <c r="G8449" t="s">
        <v>18408</v>
      </c>
      <c r="H8449" t="s">
        <v>20446</v>
      </c>
      <c r="I8449" t="s">
        <v>1357</v>
      </c>
      <c r="J8449" t="s">
        <v>1357</v>
      </c>
      <c r="K8449" t="s">
        <v>1357</v>
      </c>
      <c r="L8449" t="s">
        <v>1357</v>
      </c>
    </row>
    <row r="8450" spans="6:12">
      <c r="F8450" t="s">
        <v>15707</v>
      </c>
      <c r="G8450" t="s">
        <v>18409</v>
      </c>
      <c r="H8450" t="s">
        <v>20446</v>
      </c>
      <c r="I8450" t="s">
        <v>1357</v>
      </c>
      <c r="J8450" t="s">
        <v>1357</v>
      </c>
      <c r="K8450" t="s">
        <v>1357</v>
      </c>
      <c r="L8450" t="s">
        <v>1357</v>
      </c>
    </row>
    <row r="8451" spans="6:12">
      <c r="F8451" t="s">
        <v>15708</v>
      </c>
      <c r="G8451" t="s">
        <v>18410</v>
      </c>
      <c r="H8451" t="s">
        <v>20446</v>
      </c>
      <c r="I8451" t="s">
        <v>1357</v>
      </c>
      <c r="J8451" t="s">
        <v>1357</v>
      </c>
      <c r="K8451" t="s">
        <v>1357</v>
      </c>
      <c r="L8451" t="s">
        <v>1357</v>
      </c>
    </row>
    <row r="8452" spans="6:12">
      <c r="F8452" t="s">
        <v>15709</v>
      </c>
      <c r="G8452" t="s">
        <v>18411</v>
      </c>
      <c r="H8452" t="s">
        <v>20446</v>
      </c>
      <c r="I8452" t="s">
        <v>1357</v>
      </c>
      <c r="J8452" t="s">
        <v>1357</v>
      </c>
      <c r="K8452" t="s">
        <v>1357</v>
      </c>
      <c r="L8452" t="s">
        <v>1357</v>
      </c>
    </row>
    <row r="8453" spans="6:12">
      <c r="F8453" t="s">
        <v>15710</v>
      </c>
      <c r="G8453" t="s">
        <v>18412</v>
      </c>
      <c r="H8453" t="s">
        <v>20446</v>
      </c>
      <c r="I8453" t="s">
        <v>1357</v>
      </c>
      <c r="J8453" t="s">
        <v>1357</v>
      </c>
      <c r="K8453" t="s">
        <v>1357</v>
      </c>
      <c r="L8453" t="s">
        <v>1357</v>
      </c>
    </row>
    <row r="8454" spans="6:12">
      <c r="F8454" t="s">
        <v>15711</v>
      </c>
      <c r="G8454" t="s">
        <v>18413</v>
      </c>
      <c r="H8454" t="s">
        <v>20446</v>
      </c>
      <c r="I8454" t="s">
        <v>1357</v>
      </c>
      <c r="J8454" t="s">
        <v>1357</v>
      </c>
      <c r="K8454" t="s">
        <v>1357</v>
      </c>
      <c r="L8454" t="s">
        <v>1357</v>
      </c>
    </row>
    <row r="8455" spans="6:12">
      <c r="F8455" t="s">
        <v>15712</v>
      </c>
      <c r="G8455" t="s">
        <v>18414</v>
      </c>
      <c r="H8455" t="s">
        <v>20446</v>
      </c>
      <c r="I8455" t="s">
        <v>1357</v>
      </c>
      <c r="J8455" t="s">
        <v>1357</v>
      </c>
      <c r="K8455" t="s">
        <v>1357</v>
      </c>
      <c r="L8455" t="s">
        <v>1357</v>
      </c>
    </row>
    <row r="8456" spans="6:12">
      <c r="F8456" t="s">
        <v>15713</v>
      </c>
      <c r="G8456" t="s">
        <v>18415</v>
      </c>
      <c r="H8456" t="s">
        <v>20446</v>
      </c>
      <c r="I8456" t="s">
        <v>1357</v>
      </c>
      <c r="J8456" t="s">
        <v>1357</v>
      </c>
      <c r="K8456" t="s">
        <v>1357</v>
      </c>
      <c r="L8456" t="s">
        <v>1357</v>
      </c>
    </row>
    <row r="8457" spans="6:12">
      <c r="F8457" t="s">
        <v>15714</v>
      </c>
      <c r="G8457" t="s">
        <v>18416</v>
      </c>
      <c r="H8457" t="s">
        <v>20446</v>
      </c>
      <c r="I8457" t="s">
        <v>1357</v>
      </c>
      <c r="J8457" t="s">
        <v>1357</v>
      </c>
      <c r="K8457" t="s">
        <v>1357</v>
      </c>
      <c r="L8457" t="s">
        <v>1357</v>
      </c>
    </row>
    <row r="8458" spans="6:12">
      <c r="F8458" t="s">
        <v>15715</v>
      </c>
      <c r="G8458" t="s">
        <v>18417</v>
      </c>
      <c r="H8458" t="s">
        <v>20446</v>
      </c>
      <c r="I8458" t="s">
        <v>1357</v>
      </c>
      <c r="J8458" t="s">
        <v>1357</v>
      </c>
      <c r="K8458" t="s">
        <v>1357</v>
      </c>
      <c r="L8458" t="s">
        <v>1357</v>
      </c>
    </row>
    <row r="8459" spans="6:12">
      <c r="F8459" t="s">
        <v>15716</v>
      </c>
      <c r="G8459" t="s">
        <v>18418</v>
      </c>
      <c r="H8459" t="s">
        <v>20446</v>
      </c>
      <c r="I8459" t="s">
        <v>1357</v>
      </c>
      <c r="J8459" t="s">
        <v>1357</v>
      </c>
      <c r="K8459" t="s">
        <v>1357</v>
      </c>
      <c r="L8459" t="s">
        <v>1357</v>
      </c>
    </row>
    <row r="8460" spans="6:12">
      <c r="F8460" t="s">
        <v>15717</v>
      </c>
      <c r="G8460" t="s">
        <v>18419</v>
      </c>
      <c r="H8460" t="s">
        <v>20446</v>
      </c>
      <c r="I8460" t="s">
        <v>1357</v>
      </c>
      <c r="J8460" t="s">
        <v>1357</v>
      </c>
      <c r="K8460" t="s">
        <v>1357</v>
      </c>
      <c r="L8460" t="s">
        <v>1357</v>
      </c>
    </row>
    <row r="8461" spans="6:12">
      <c r="F8461" t="s">
        <v>15718</v>
      </c>
      <c r="G8461" t="s">
        <v>18420</v>
      </c>
      <c r="H8461" t="s">
        <v>20446</v>
      </c>
      <c r="I8461" t="s">
        <v>1357</v>
      </c>
      <c r="J8461" t="s">
        <v>1357</v>
      </c>
      <c r="K8461" t="s">
        <v>1357</v>
      </c>
      <c r="L8461" t="s">
        <v>1357</v>
      </c>
    </row>
    <row r="8462" spans="6:12">
      <c r="F8462" t="s">
        <v>15719</v>
      </c>
      <c r="G8462" t="s">
        <v>18421</v>
      </c>
      <c r="H8462" t="s">
        <v>20446</v>
      </c>
      <c r="I8462" t="s">
        <v>1357</v>
      </c>
      <c r="J8462" t="s">
        <v>1357</v>
      </c>
      <c r="K8462" t="s">
        <v>1357</v>
      </c>
      <c r="L8462" t="s">
        <v>1357</v>
      </c>
    </row>
    <row r="8463" spans="6:12">
      <c r="F8463" t="s">
        <v>15720</v>
      </c>
      <c r="G8463" t="s">
        <v>18422</v>
      </c>
      <c r="H8463" t="s">
        <v>20446</v>
      </c>
      <c r="I8463" t="s">
        <v>1357</v>
      </c>
      <c r="J8463" t="s">
        <v>1357</v>
      </c>
      <c r="K8463" t="s">
        <v>1357</v>
      </c>
      <c r="L8463" t="s">
        <v>1357</v>
      </c>
    </row>
    <row r="8464" spans="6:12">
      <c r="F8464" t="s">
        <v>15721</v>
      </c>
      <c r="G8464" t="s">
        <v>18423</v>
      </c>
      <c r="H8464" t="s">
        <v>20446</v>
      </c>
      <c r="I8464" t="s">
        <v>1357</v>
      </c>
      <c r="J8464" t="s">
        <v>1357</v>
      </c>
      <c r="K8464" t="s">
        <v>1357</v>
      </c>
      <c r="L8464" t="s">
        <v>1357</v>
      </c>
    </row>
    <row r="8465" spans="6:12">
      <c r="F8465" t="s">
        <v>15722</v>
      </c>
      <c r="G8465" t="s">
        <v>18424</v>
      </c>
      <c r="H8465" t="s">
        <v>20446</v>
      </c>
      <c r="I8465" t="s">
        <v>1357</v>
      </c>
      <c r="J8465" t="s">
        <v>1357</v>
      </c>
      <c r="K8465" t="s">
        <v>1357</v>
      </c>
      <c r="L8465" t="s">
        <v>1357</v>
      </c>
    </row>
    <row r="8466" spans="6:12">
      <c r="F8466" t="s">
        <v>15723</v>
      </c>
      <c r="G8466" t="s">
        <v>18425</v>
      </c>
      <c r="H8466" t="s">
        <v>20446</v>
      </c>
      <c r="I8466" t="s">
        <v>1357</v>
      </c>
      <c r="J8466" t="s">
        <v>1357</v>
      </c>
      <c r="K8466" t="s">
        <v>1357</v>
      </c>
      <c r="L8466" t="s">
        <v>1357</v>
      </c>
    </row>
    <row r="8467" spans="6:12">
      <c r="F8467" t="s">
        <v>15724</v>
      </c>
      <c r="G8467" t="s">
        <v>18426</v>
      </c>
      <c r="H8467" t="s">
        <v>20446</v>
      </c>
      <c r="I8467" t="s">
        <v>1357</v>
      </c>
      <c r="J8467" t="s">
        <v>1357</v>
      </c>
      <c r="K8467" t="s">
        <v>1357</v>
      </c>
      <c r="L8467" t="s">
        <v>1357</v>
      </c>
    </row>
    <row r="8468" spans="6:12">
      <c r="F8468" t="s">
        <v>15725</v>
      </c>
      <c r="G8468" t="s">
        <v>18427</v>
      </c>
      <c r="H8468" t="s">
        <v>20446</v>
      </c>
      <c r="I8468" t="s">
        <v>1357</v>
      </c>
      <c r="J8468" t="s">
        <v>1357</v>
      </c>
      <c r="K8468" t="s">
        <v>1357</v>
      </c>
      <c r="L8468" t="s">
        <v>1357</v>
      </c>
    </row>
    <row r="8469" spans="6:12">
      <c r="F8469" t="s">
        <v>15726</v>
      </c>
      <c r="G8469" t="s">
        <v>18428</v>
      </c>
      <c r="H8469" t="s">
        <v>20446</v>
      </c>
      <c r="I8469" t="s">
        <v>1357</v>
      </c>
      <c r="J8469" t="s">
        <v>1357</v>
      </c>
      <c r="K8469" t="s">
        <v>1357</v>
      </c>
      <c r="L8469" t="s">
        <v>1357</v>
      </c>
    </row>
    <row r="8470" spans="6:12">
      <c r="F8470" t="s">
        <v>15727</v>
      </c>
      <c r="G8470" t="s">
        <v>18429</v>
      </c>
      <c r="H8470" t="s">
        <v>20446</v>
      </c>
      <c r="I8470" t="s">
        <v>1357</v>
      </c>
      <c r="J8470" t="s">
        <v>1357</v>
      </c>
      <c r="K8470" t="s">
        <v>1357</v>
      </c>
      <c r="L8470" t="s">
        <v>1357</v>
      </c>
    </row>
    <row r="8471" spans="6:12">
      <c r="F8471" t="s">
        <v>15728</v>
      </c>
      <c r="G8471" t="s">
        <v>18430</v>
      </c>
      <c r="H8471" t="s">
        <v>20446</v>
      </c>
      <c r="I8471" t="s">
        <v>1357</v>
      </c>
      <c r="J8471" t="s">
        <v>1357</v>
      </c>
      <c r="K8471" t="s">
        <v>1357</v>
      </c>
      <c r="L8471" t="s">
        <v>1357</v>
      </c>
    </row>
    <row r="8472" spans="6:12">
      <c r="F8472" t="s">
        <v>15729</v>
      </c>
      <c r="G8472" t="s">
        <v>18431</v>
      </c>
      <c r="H8472" t="s">
        <v>20446</v>
      </c>
      <c r="I8472" t="s">
        <v>1357</v>
      </c>
      <c r="J8472" t="s">
        <v>1357</v>
      </c>
      <c r="K8472" t="s">
        <v>1357</v>
      </c>
      <c r="L8472" t="s">
        <v>1357</v>
      </c>
    </row>
    <row r="8473" spans="6:12">
      <c r="F8473" t="s">
        <v>15730</v>
      </c>
      <c r="G8473" t="s">
        <v>18432</v>
      </c>
      <c r="H8473" t="s">
        <v>20446</v>
      </c>
      <c r="I8473" t="s">
        <v>1357</v>
      </c>
      <c r="J8473" t="s">
        <v>1357</v>
      </c>
      <c r="K8473" t="s">
        <v>1357</v>
      </c>
      <c r="L8473" t="s">
        <v>1357</v>
      </c>
    </row>
    <row r="8474" spans="6:12">
      <c r="F8474" t="s">
        <v>15731</v>
      </c>
      <c r="G8474" t="s">
        <v>18433</v>
      </c>
      <c r="H8474" t="s">
        <v>20446</v>
      </c>
      <c r="I8474" t="s">
        <v>1357</v>
      </c>
      <c r="J8474" t="s">
        <v>1357</v>
      </c>
      <c r="K8474" t="s">
        <v>1357</v>
      </c>
      <c r="L8474" t="s">
        <v>1357</v>
      </c>
    </row>
    <row r="8475" spans="6:12">
      <c r="F8475" t="s">
        <v>15732</v>
      </c>
      <c r="G8475" t="s">
        <v>18434</v>
      </c>
      <c r="H8475" t="s">
        <v>20446</v>
      </c>
      <c r="I8475" t="s">
        <v>1357</v>
      </c>
      <c r="J8475" t="s">
        <v>1357</v>
      </c>
      <c r="K8475" t="s">
        <v>1357</v>
      </c>
      <c r="L8475" t="s">
        <v>1357</v>
      </c>
    </row>
    <row r="8476" spans="6:12">
      <c r="F8476" t="s">
        <v>15733</v>
      </c>
      <c r="G8476" t="s">
        <v>18435</v>
      </c>
      <c r="H8476" t="s">
        <v>20446</v>
      </c>
      <c r="I8476" t="s">
        <v>1357</v>
      </c>
      <c r="J8476" t="s">
        <v>1357</v>
      </c>
      <c r="K8476" t="s">
        <v>1357</v>
      </c>
      <c r="L8476" t="s">
        <v>1357</v>
      </c>
    </row>
    <row r="8477" spans="6:12">
      <c r="F8477" t="s">
        <v>15734</v>
      </c>
      <c r="G8477" t="s">
        <v>18436</v>
      </c>
      <c r="H8477" t="s">
        <v>20446</v>
      </c>
      <c r="I8477" t="s">
        <v>1357</v>
      </c>
      <c r="J8477" t="s">
        <v>1357</v>
      </c>
      <c r="K8477" t="s">
        <v>1357</v>
      </c>
      <c r="L8477" t="s">
        <v>1357</v>
      </c>
    </row>
    <row r="8478" spans="6:12">
      <c r="F8478" t="s">
        <v>15735</v>
      </c>
      <c r="G8478" t="s">
        <v>18437</v>
      </c>
      <c r="H8478" t="s">
        <v>20446</v>
      </c>
      <c r="I8478" t="s">
        <v>1357</v>
      </c>
      <c r="J8478" t="s">
        <v>1357</v>
      </c>
      <c r="K8478" t="s">
        <v>1357</v>
      </c>
      <c r="L8478" t="s">
        <v>1357</v>
      </c>
    </row>
    <row r="8479" spans="6:12">
      <c r="F8479" t="s">
        <v>15736</v>
      </c>
      <c r="G8479" t="s">
        <v>18438</v>
      </c>
      <c r="H8479" t="s">
        <v>20446</v>
      </c>
      <c r="I8479" t="s">
        <v>1357</v>
      </c>
      <c r="J8479" t="s">
        <v>1357</v>
      </c>
      <c r="K8479" t="s">
        <v>1357</v>
      </c>
      <c r="L8479" t="s">
        <v>1357</v>
      </c>
    </row>
    <row r="8480" spans="6:12">
      <c r="F8480" t="s">
        <v>15737</v>
      </c>
      <c r="G8480" t="s">
        <v>18439</v>
      </c>
      <c r="H8480" t="s">
        <v>20446</v>
      </c>
      <c r="I8480" t="s">
        <v>1357</v>
      </c>
      <c r="J8480" t="s">
        <v>1357</v>
      </c>
      <c r="K8480" t="s">
        <v>1357</v>
      </c>
      <c r="L8480" t="s">
        <v>1357</v>
      </c>
    </row>
    <row r="8481" spans="6:12">
      <c r="F8481" t="s">
        <v>15738</v>
      </c>
      <c r="G8481" t="s">
        <v>18440</v>
      </c>
      <c r="H8481" t="s">
        <v>20446</v>
      </c>
      <c r="I8481" t="s">
        <v>1357</v>
      </c>
      <c r="J8481" t="s">
        <v>1357</v>
      </c>
      <c r="K8481" t="s">
        <v>1357</v>
      </c>
      <c r="L8481" t="s">
        <v>1357</v>
      </c>
    </row>
    <row r="8482" spans="6:12">
      <c r="F8482" t="s">
        <v>15739</v>
      </c>
      <c r="G8482" t="s">
        <v>18441</v>
      </c>
      <c r="H8482" t="s">
        <v>20446</v>
      </c>
      <c r="I8482" t="s">
        <v>1357</v>
      </c>
      <c r="J8482" t="s">
        <v>1357</v>
      </c>
      <c r="K8482" t="s">
        <v>1357</v>
      </c>
      <c r="L8482" t="s">
        <v>1357</v>
      </c>
    </row>
    <row r="8483" spans="6:12">
      <c r="F8483" t="s">
        <v>15740</v>
      </c>
      <c r="G8483" t="s">
        <v>18442</v>
      </c>
      <c r="H8483" t="s">
        <v>20446</v>
      </c>
      <c r="I8483" t="s">
        <v>1357</v>
      </c>
      <c r="J8483" t="s">
        <v>1357</v>
      </c>
      <c r="K8483" t="s">
        <v>1357</v>
      </c>
      <c r="L8483" t="s">
        <v>1357</v>
      </c>
    </row>
    <row r="8484" spans="6:12">
      <c r="F8484" t="s">
        <v>15741</v>
      </c>
      <c r="G8484" t="s">
        <v>18443</v>
      </c>
      <c r="H8484" t="s">
        <v>20446</v>
      </c>
      <c r="I8484" t="s">
        <v>1357</v>
      </c>
      <c r="J8484" t="s">
        <v>1357</v>
      </c>
      <c r="K8484" t="s">
        <v>1357</v>
      </c>
      <c r="L8484" t="s">
        <v>1357</v>
      </c>
    </row>
    <row r="8485" spans="6:12">
      <c r="F8485" t="s">
        <v>15742</v>
      </c>
      <c r="G8485" t="s">
        <v>18444</v>
      </c>
      <c r="H8485" t="s">
        <v>20446</v>
      </c>
      <c r="I8485" t="s">
        <v>1357</v>
      </c>
      <c r="J8485" t="s">
        <v>1357</v>
      </c>
      <c r="K8485" t="s">
        <v>1357</v>
      </c>
      <c r="L8485" t="s">
        <v>1357</v>
      </c>
    </row>
    <row r="8486" spans="6:12">
      <c r="F8486" t="s">
        <v>15743</v>
      </c>
      <c r="G8486" t="s">
        <v>18445</v>
      </c>
      <c r="H8486" t="s">
        <v>20446</v>
      </c>
      <c r="I8486" t="s">
        <v>1357</v>
      </c>
      <c r="J8486" t="s">
        <v>1357</v>
      </c>
      <c r="K8486" t="s">
        <v>1357</v>
      </c>
      <c r="L8486" t="s">
        <v>1357</v>
      </c>
    </row>
    <row r="8487" spans="6:12">
      <c r="F8487" t="s">
        <v>15744</v>
      </c>
      <c r="G8487" t="s">
        <v>18446</v>
      </c>
      <c r="H8487" t="s">
        <v>20446</v>
      </c>
      <c r="I8487" t="s">
        <v>1357</v>
      </c>
      <c r="J8487" t="s">
        <v>1357</v>
      </c>
      <c r="K8487" t="s">
        <v>1357</v>
      </c>
      <c r="L8487" t="s">
        <v>1357</v>
      </c>
    </row>
    <row r="8488" spans="6:12">
      <c r="F8488" t="s">
        <v>15745</v>
      </c>
      <c r="G8488" t="s">
        <v>18447</v>
      </c>
      <c r="H8488" t="s">
        <v>20446</v>
      </c>
      <c r="I8488" t="s">
        <v>1357</v>
      </c>
      <c r="J8488" t="s">
        <v>1357</v>
      </c>
      <c r="K8488" t="s">
        <v>1357</v>
      </c>
      <c r="L8488" t="s">
        <v>1357</v>
      </c>
    </row>
    <row r="8489" spans="6:12">
      <c r="F8489" t="s">
        <v>15746</v>
      </c>
      <c r="G8489" t="s">
        <v>18448</v>
      </c>
      <c r="H8489" t="s">
        <v>20446</v>
      </c>
      <c r="I8489" t="s">
        <v>1357</v>
      </c>
      <c r="J8489" t="s">
        <v>1357</v>
      </c>
      <c r="K8489" t="s">
        <v>1357</v>
      </c>
      <c r="L8489" t="s">
        <v>1357</v>
      </c>
    </row>
    <row r="8490" spans="6:12">
      <c r="F8490" t="s">
        <v>15747</v>
      </c>
      <c r="G8490" t="s">
        <v>18449</v>
      </c>
      <c r="H8490" t="s">
        <v>20446</v>
      </c>
      <c r="I8490" t="s">
        <v>1357</v>
      </c>
      <c r="J8490" t="s">
        <v>1357</v>
      </c>
      <c r="K8490" t="s">
        <v>1357</v>
      </c>
      <c r="L8490" t="s">
        <v>1357</v>
      </c>
    </row>
    <row r="8491" spans="6:12">
      <c r="F8491" t="s">
        <v>15748</v>
      </c>
      <c r="G8491" t="s">
        <v>18450</v>
      </c>
      <c r="H8491" t="s">
        <v>20446</v>
      </c>
      <c r="I8491" t="s">
        <v>1357</v>
      </c>
      <c r="J8491" t="s">
        <v>1357</v>
      </c>
      <c r="K8491" t="s">
        <v>1357</v>
      </c>
      <c r="L8491" t="s">
        <v>1357</v>
      </c>
    </row>
    <row r="8492" spans="6:12">
      <c r="F8492" t="s">
        <v>15749</v>
      </c>
      <c r="G8492" t="s">
        <v>18451</v>
      </c>
      <c r="H8492" t="s">
        <v>20446</v>
      </c>
      <c r="I8492" t="s">
        <v>1357</v>
      </c>
      <c r="J8492" t="s">
        <v>1357</v>
      </c>
      <c r="K8492" t="s">
        <v>1357</v>
      </c>
      <c r="L8492" t="s">
        <v>1357</v>
      </c>
    </row>
    <row r="8493" spans="6:12">
      <c r="F8493" t="s">
        <v>15750</v>
      </c>
      <c r="G8493" t="s">
        <v>18452</v>
      </c>
      <c r="H8493" t="s">
        <v>20446</v>
      </c>
      <c r="I8493" t="s">
        <v>1357</v>
      </c>
      <c r="J8493" t="s">
        <v>1357</v>
      </c>
      <c r="K8493" t="s">
        <v>1357</v>
      </c>
      <c r="L8493" t="s">
        <v>1357</v>
      </c>
    </row>
    <row r="8494" spans="6:12">
      <c r="F8494" t="s">
        <v>15751</v>
      </c>
      <c r="G8494" t="s">
        <v>18453</v>
      </c>
      <c r="H8494" t="s">
        <v>20446</v>
      </c>
      <c r="I8494" t="s">
        <v>1357</v>
      </c>
      <c r="J8494" t="s">
        <v>1357</v>
      </c>
      <c r="K8494" t="s">
        <v>1357</v>
      </c>
      <c r="L8494" t="s">
        <v>1357</v>
      </c>
    </row>
    <row r="8495" spans="6:12">
      <c r="F8495" t="s">
        <v>15752</v>
      </c>
      <c r="G8495" t="s">
        <v>18454</v>
      </c>
      <c r="H8495" t="s">
        <v>20446</v>
      </c>
      <c r="I8495" t="s">
        <v>1357</v>
      </c>
      <c r="J8495" t="s">
        <v>1357</v>
      </c>
      <c r="K8495" t="s">
        <v>1357</v>
      </c>
      <c r="L8495" t="s">
        <v>1357</v>
      </c>
    </row>
    <row r="8496" spans="6:12">
      <c r="F8496" t="s">
        <v>15753</v>
      </c>
      <c r="G8496" t="s">
        <v>18455</v>
      </c>
      <c r="H8496" t="s">
        <v>20446</v>
      </c>
      <c r="I8496" t="s">
        <v>1357</v>
      </c>
      <c r="J8496" t="s">
        <v>1357</v>
      </c>
      <c r="K8496" t="s">
        <v>1357</v>
      </c>
      <c r="L8496" t="s">
        <v>1357</v>
      </c>
    </row>
    <row r="8497" spans="6:12">
      <c r="F8497" t="s">
        <v>15754</v>
      </c>
      <c r="G8497" t="s">
        <v>18456</v>
      </c>
      <c r="H8497" t="s">
        <v>20446</v>
      </c>
      <c r="I8497" t="s">
        <v>1357</v>
      </c>
      <c r="J8497" t="s">
        <v>1357</v>
      </c>
      <c r="K8497" t="s">
        <v>1357</v>
      </c>
      <c r="L8497" t="s">
        <v>1357</v>
      </c>
    </row>
    <row r="8498" spans="6:12">
      <c r="F8498" t="s">
        <v>15755</v>
      </c>
      <c r="G8498" t="s">
        <v>18457</v>
      </c>
      <c r="H8498" t="s">
        <v>20446</v>
      </c>
      <c r="I8498" t="s">
        <v>1357</v>
      </c>
      <c r="J8498" t="s">
        <v>1357</v>
      </c>
      <c r="K8498" t="s">
        <v>1357</v>
      </c>
      <c r="L8498" t="s">
        <v>1357</v>
      </c>
    </row>
    <row r="8499" spans="6:12">
      <c r="F8499" t="s">
        <v>15756</v>
      </c>
      <c r="G8499" t="s">
        <v>18458</v>
      </c>
      <c r="H8499" t="s">
        <v>20446</v>
      </c>
      <c r="I8499" t="s">
        <v>1357</v>
      </c>
      <c r="J8499" t="s">
        <v>1357</v>
      </c>
      <c r="K8499" t="s">
        <v>1357</v>
      </c>
      <c r="L8499" t="s">
        <v>1357</v>
      </c>
    </row>
    <row r="8500" spans="6:12">
      <c r="F8500" t="s">
        <v>15757</v>
      </c>
      <c r="G8500" t="s">
        <v>18459</v>
      </c>
      <c r="H8500" t="s">
        <v>20446</v>
      </c>
      <c r="I8500" t="s">
        <v>1357</v>
      </c>
      <c r="J8500" t="s">
        <v>1357</v>
      </c>
      <c r="K8500" t="s">
        <v>1357</v>
      </c>
      <c r="L8500" t="s">
        <v>1357</v>
      </c>
    </row>
    <row r="8501" spans="6:12">
      <c r="F8501" t="s">
        <v>15758</v>
      </c>
      <c r="G8501" t="s">
        <v>18460</v>
      </c>
      <c r="H8501" t="s">
        <v>20446</v>
      </c>
      <c r="I8501" t="s">
        <v>1357</v>
      </c>
      <c r="J8501" t="s">
        <v>1357</v>
      </c>
      <c r="K8501" t="s">
        <v>1357</v>
      </c>
      <c r="L8501" t="s">
        <v>1357</v>
      </c>
    </row>
    <row r="8502" spans="6:12">
      <c r="F8502" t="s">
        <v>15759</v>
      </c>
      <c r="G8502" t="s">
        <v>18461</v>
      </c>
      <c r="H8502" t="s">
        <v>20446</v>
      </c>
      <c r="I8502" t="s">
        <v>1357</v>
      </c>
      <c r="J8502" t="s">
        <v>1357</v>
      </c>
      <c r="K8502" t="s">
        <v>1357</v>
      </c>
      <c r="L8502" t="s">
        <v>1357</v>
      </c>
    </row>
    <row r="8503" spans="6:12">
      <c r="F8503" t="s">
        <v>15760</v>
      </c>
      <c r="G8503" t="s">
        <v>18462</v>
      </c>
      <c r="H8503" t="s">
        <v>20446</v>
      </c>
      <c r="I8503" t="s">
        <v>1357</v>
      </c>
      <c r="J8503" t="s">
        <v>1357</v>
      </c>
      <c r="K8503" t="s">
        <v>1357</v>
      </c>
      <c r="L8503" t="s">
        <v>1357</v>
      </c>
    </row>
    <row r="8504" spans="6:12">
      <c r="F8504" t="s">
        <v>15761</v>
      </c>
      <c r="G8504" t="s">
        <v>18463</v>
      </c>
      <c r="H8504" t="s">
        <v>20446</v>
      </c>
      <c r="I8504" t="s">
        <v>1357</v>
      </c>
      <c r="J8504" t="s">
        <v>1357</v>
      </c>
      <c r="K8504" t="s">
        <v>1357</v>
      </c>
      <c r="L8504" t="s">
        <v>1357</v>
      </c>
    </row>
    <row r="8505" spans="6:12">
      <c r="F8505" t="s">
        <v>15762</v>
      </c>
      <c r="G8505" t="s">
        <v>18464</v>
      </c>
      <c r="H8505" t="s">
        <v>20446</v>
      </c>
      <c r="I8505" t="s">
        <v>1357</v>
      </c>
      <c r="J8505" t="s">
        <v>1357</v>
      </c>
      <c r="K8505" t="s">
        <v>1357</v>
      </c>
      <c r="L8505" t="s">
        <v>1357</v>
      </c>
    </row>
    <row r="8506" spans="6:12">
      <c r="F8506" t="s">
        <v>15763</v>
      </c>
      <c r="G8506" t="s">
        <v>18465</v>
      </c>
      <c r="H8506" t="s">
        <v>20446</v>
      </c>
      <c r="I8506" t="s">
        <v>1357</v>
      </c>
      <c r="J8506" t="s">
        <v>1357</v>
      </c>
      <c r="K8506" t="s">
        <v>1357</v>
      </c>
      <c r="L8506" t="s">
        <v>1357</v>
      </c>
    </row>
    <row r="8507" spans="6:12">
      <c r="F8507" t="s">
        <v>15764</v>
      </c>
      <c r="G8507" t="s">
        <v>18466</v>
      </c>
      <c r="H8507" t="s">
        <v>20446</v>
      </c>
      <c r="I8507" t="s">
        <v>1357</v>
      </c>
      <c r="J8507" t="s">
        <v>1357</v>
      </c>
      <c r="K8507" t="s">
        <v>1357</v>
      </c>
      <c r="L8507" t="s">
        <v>1357</v>
      </c>
    </row>
    <row r="8508" spans="6:12">
      <c r="F8508" t="s">
        <v>15765</v>
      </c>
      <c r="G8508" t="s">
        <v>18467</v>
      </c>
      <c r="H8508" t="s">
        <v>20446</v>
      </c>
      <c r="I8508" t="s">
        <v>1357</v>
      </c>
      <c r="J8508" t="s">
        <v>1357</v>
      </c>
      <c r="K8508" t="s">
        <v>1357</v>
      </c>
      <c r="L8508" t="s">
        <v>1357</v>
      </c>
    </row>
    <row r="8509" spans="6:12">
      <c r="F8509" t="s">
        <v>15766</v>
      </c>
      <c r="G8509" t="s">
        <v>18468</v>
      </c>
      <c r="H8509" t="s">
        <v>20446</v>
      </c>
      <c r="I8509" t="s">
        <v>1357</v>
      </c>
      <c r="J8509" t="s">
        <v>1357</v>
      </c>
      <c r="K8509" t="s">
        <v>1357</v>
      </c>
      <c r="L8509" t="s">
        <v>1357</v>
      </c>
    </row>
    <row r="8510" spans="6:12">
      <c r="F8510" t="s">
        <v>15767</v>
      </c>
      <c r="G8510" t="s">
        <v>18469</v>
      </c>
      <c r="H8510" t="s">
        <v>20446</v>
      </c>
      <c r="I8510" t="s">
        <v>1357</v>
      </c>
      <c r="J8510" t="s">
        <v>1357</v>
      </c>
      <c r="K8510" t="s">
        <v>1357</v>
      </c>
      <c r="L8510" t="s">
        <v>1357</v>
      </c>
    </row>
    <row r="8511" spans="6:12">
      <c r="F8511" t="s">
        <v>15768</v>
      </c>
      <c r="G8511" t="s">
        <v>18470</v>
      </c>
      <c r="H8511" t="s">
        <v>20446</v>
      </c>
      <c r="I8511" t="s">
        <v>1357</v>
      </c>
      <c r="J8511" t="s">
        <v>1357</v>
      </c>
      <c r="K8511" t="s">
        <v>1357</v>
      </c>
      <c r="L8511" t="s">
        <v>1357</v>
      </c>
    </row>
    <row r="8512" spans="6:12">
      <c r="F8512" t="s">
        <v>15769</v>
      </c>
      <c r="G8512" t="s">
        <v>18471</v>
      </c>
      <c r="H8512" t="s">
        <v>20446</v>
      </c>
      <c r="I8512" t="s">
        <v>1357</v>
      </c>
      <c r="J8512" t="s">
        <v>1357</v>
      </c>
      <c r="K8512" t="s">
        <v>1357</v>
      </c>
      <c r="L8512" t="s">
        <v>1357</v>
      </c>
    </row>
    <row r="8513" spans="6:12">
      <c r="F8513" t="s">
        <v>15770</v>
      </c>
      <c r="G8513" t="s">
        <v>18472</v>
      </c>
      <c r="H8513" t="s">
        <v>20446</v>
      </c>
      <c r="I8513" t="s">
        <v>1357</v>
      </c>
      <c r="J8513" t="s">
        <v>1357</v>
      </c>
      <c r="K8513" t="s">
        <v>1357</v>
      </c>
      <c r="L8513" t="s">
        <v>1357</v>
      </c>
    </row>
    <row r="8514" spans="6:12">
      <c r="F8514" t="s">
        <v>15771</v>
      </c>
      <c r="G8514" t="s">
        <v>18473</v>
      </c>
      <c r="H8514" t="s">
        <v>20446</v>
      </c>
      <c r="I8514" t="s">
        <v>1357</v>
      </c>
      <c r="J8514" t="s">
        <v>1357</v>
      </c>
      <c r="K8514" t="s">
        <v>1357</v>
      </c>
      <c r="L8514" t="s">
        <v>1357</v>
      </c>
    </row>
    <row r="8515" spans="6:12">
      <c r="F8515" t="s">
        <v>15772</v>
      </c>
      <c r="G8515" t="s">
        <v>18474</v>
      </c>
      <c r="H8515" t="s">
        <v>20446</v>
      </c>
      <c r="I8515" t="s">
        <v>1357</v>
      </c>
      <c r="J8515" t="s">
        <v>1357</v>
      </c>
      <c r="K8515" t="s">
        <v>1357</v>
      </c>
      <c r="L8515" t="s">
        <v>1357</v>
      </c>
    </row>
    <row r="8516" spans="6:12">
      <c r="F8516" t="s">
        <v>15773</v>
      </c>
      <c r="G8516" t="s">
        <v>18475</v>
      </c>
      <c r="H8516" t="s">
        <v>20446</v>
      </c>
      <c r="I8516" t="s">
        <v>1357</v>
      </c>
      <c r="J8516" t="s">
        <v>1357</v>
      </c>
      <c r="K8516" t="s">
        <v>1357</v>
      </c>
      <c r="L8516" t="s">
        <v>1357</v>
      </c>
    </row>
    <row r="8517" spans="6:12">
      <c r="F8517" t="s">
        <v>15774</v>
      </c>
      <c r="G8517" t="s">
        <v>18476</v>
      </c>
      <c r="H8517" t="s">
        <v>20446</v>
      </c>
      <c r="I8517" t="s">
        <v>1357</v>
      </c>
      <c r="J8517" t="s">
        <v>1357</v>
      </c>
      <c r="K8517" t="s">
        <v>1357</v>
      </c>
      <c r="L8517" t="s">
        <v>1357</v>
      </c>
    </row>
    <row r="8518" spans="6:12">
      <c r="F8518" t="s">
        <v>15775</v>
      </c>
      <c r="G8518" t="s">
        <v>18477</v>
      </c>
      <c r="H8518" t="s">
        <v>20446</v>
      </c>
      <c r="I8518" t="s">
        <v>1357</v>
      </c>
      <c r="J8518" t="s">
        <v>1357</v>
      </c>
      <c r="K8518" t="s">
        <v>1357</v>
      </c>
      <c r="L8518" t="s">
        <v>1357</v>
      </c>
    </row>
    <row r="8519" spans="6:12">
      <c r="F8519" t="s">
        <v>15776</v>
      </c>
      <c r="G8519" t="s">
        <v>18478</v>
      </c>
      <c r="H8519" t="s">
        <v>20446</v>
      </c>
      <c r="I8519" t="s">
        <v>1357</v>
      </c>
      <c r="J8519" t="s">
        <v>1357</v>
      </c>
      <c r="K8519" t="s">
        <v>1357</v>
      </c>
      <c r="L8519" t="s">
        <v>1357</v>
      </c>
    </row>
    <row r="8520" spans="6:12">
      <c r="F8520" t="s">
        <v>15777</v>
      </c>
      <c r="G8520" t="s">
        <v>18479</v>
      </c>
      <c r="H8520" t="s">
        <v>20446</v>
      </c>
      <c r="I8520" t="s">
        <v>1357</v>
      </c>
      <c r="J8520" t="s">
        <v>1357</v>
      </c>
      <c r="K8520" t="s">
        <v>1357</v>
      </c>
      <c r="L8520" t="s">
        <v>1357</v>
      </c>
    </row>
    <row r="8521" spans="6:12">
      <c r="F8521" t="s">
        <v>15778</v>
      </c>
      <c r="G8521" t="s">
        <v>18480</v>
      </c>
      <c r="H8521" t="s">
        <v>20446</v>
      </c>
      <c r="I8521" t="s">
        <v>1357</v>
      </c>
      <c r="J8521" t="s">
        <v>1357</v>
      </c>
      <c r="K8521" t="s">
        <v>1357</v>
      </c>
      <c r="L8521" t="s">
        <v>1357</v>
      </c>
    </row>
    <row r="8522" spans="6:12">
      <c r="F8522" t="s">
        <v>15779</v>
      </c>
      <c r="G8522" t="s">
        <v>18481</v>
      </c>
      <c r="H8522" t="s">
        <v>20446</v>
      </c>
      <c r="I8522" t="s">
        <v>1357</v>
      </c>
      <c r="J8522" t="s">
        <v>1357</v>
      </c>
      <c r="K8522" t="s">
        <v>1357</v>
      </c>
      <c r="L8522" t="s">
        <v>1357</v>
      </c>
    </row>
    <row r="8523" spans="6:12">
      <c r="F8523" t="s">
        <v>15780</v>
      </c>
      <c r="G8523" t="s">
        <v>18482</v>
      </c>
      <c r="H8523" t="s">
        <v>20446</v>
      </c>
      <c r="I8523" t="s">
        <v>1357</v>
      </c>
      <c r="J8523" t="s">
        <v>1357</v>
      </c>
      <c r="K8523" t="s">
        <v>1357</v>
      </c>
      <c r="L8523" t="s">
        <v>1357</v>
      </c>
    </row>
    <row r="8524" spans="6:12">
      <c r="F8524" t="s">
        <v>15781</v>
      </c>
      <c r="G8524" t="s">
        <v>18483</v>
      </c>
      <c r="H8524" t="s">
        <v>20446</v>
      </c>
      <c r="I8524" t="s">
        <v>1357</v>
      </c>
      <c r="J8524" t="s">
        <v>1357</v>
      </c>
      <c r="K8524" t="s">
        <v>1357</v>
      </c>
      <c r="L8524" t="s">
        <v>1357</v>
      </c>
    </row>
    <row r="8525" spans="6:12">
      <c r="F8525" t="s">
        <v>15782</v>
      </c>
      <c r="G8525" t="s">
        <v>18484</v>
      </c>
      <c r="H8525" t="s">
        <v>20446</v>
      </c>
      <c r="I8525" t="s">
        <v>1357</v>
      </c>
      <c r="J8525" t="s">
        <v>1357</v>
      </c>
      <c r="K8525" t="s">
        <v>1357</v>
      </c>
      <c r="L8525" t="s">
        <v>1357</v>
      </c>
    </row>
    <row r="8526" spans="6:12">
      <c r="F8526" t="s">
        <v>15783</v>
      </c>
      <c r="G8526" t="s">
        <v>18485</v>
      </c>
      <c r="H8526" t="s">
        <v>20446</v>
      </c>
      <c r="I8526" t="s">
        <v>1357</v>
      </c>
      <c r="J8526" t="s">
        <v>1357</v>
      </c>
      <c r="K8526" t="s">
        <v>1357</v>
      </c>
      <c r="L8526" t="s">
        <v>1357</v>
      </c>
    </row>
    <row r="8527" spans="6:12">
      <c r="F8527" t="s">
        <v>15784</v>
      </c>
      <c r="G8527" t="s">
        <v>18486</v>
      </c>
      <c r="H8527" t="s">
        <v>20446</v>
      </c>
      <c r="I8527" t="s">
        <v>1357</v>
      </c>
      <c r="J8527" t="s">
        <v>1357</v>
      </c>
      <c r="K8527" t="s">
        <v>1357</v>
      </c>
      <c r="L8527" t="s">
        <v>1357</v>
      </c>
    </row>
    <row r="8528" spans="6:12">
      <c r="F8528" t="s">
        <v>15785</v>
      </c>
      <c r="G8528" t="s">
        <v>18487</v>
      </c>
      <c r="H8528" t="s">
        <v>20446</v>
      </c>
      <c r="I8528" t="s">
        <v>1357</v>
      </c>
      <c r="J8528" t="s">
        <v>1357</v>
      </c>
      <c r="K8528" t="s">
        <v>1357</v>
      </c>
      <c r="L8528" t="s">
        <v>1357</v>
      </c>
    </row>
    <row r="8529" spans="6:12">
      <c r="F8529" t="s">
        <v>15786</v>
      </c>
      <c r="G8529" t="s">
        <v>18488</v>
      </c>
      <c r="H8529" t="s">
        <v>20446</v>
      </c>
      <c r="I8529" t="s">
        <v>1357</v>
      </c>
      <c r="J8529" t="s">
        <v>1357</v>
      </c>
      <c r="K8529" t="s">
        <v>1357</v>
      </c>
      <c r="L8529" t="s">
        <v>1357</v>
      </c>
    </row>
    <row r="8530" spans="6:12">
      <c r="F8530" t="s">
        <v>15787</v>
      </c>
      <c r="G8530" t="s">
        <v>18489</v>
      </c>
      <c r="H8530" t="s">
        <v>20446</v>
      </c>
      <c r="I8530" t="s">
        <v>1357</v>
      </c>
      <c r="J8530" t="s">
        <v>1357</v>
      </c>
      <c r="K8530" t="s">
        <v>1357</v>
      </c>
      <c r="L8530" t="s">
        <v>1357</v>
      </c>
    </row>
    <row r="8531" spans="6:12">
      <c r="F8531" t="s">
        <v>15788</v>
      </c>
      <c r="G8531" t="s">
        <v>18490</v>
      </c>
      <c r="H8531" t="s">
        <v>20446</v>
      </c>
      <c r="I8531" t="s">
        <v>1357</v>
      </c>
      <c r="J8531" t="s">
        <v>1357</v>
      </c>
      <c r="K8531" t="s">
        <v>1357</v>
      </c>
      <c r="L8531" t="s">
        <v>1357</v>
      </c>
    </row>
    <row r="8532" spans="6:12">
      <c r="F8532" t="s">
        <v>15789</v>
      </c>
      <c r="G8532" t="s">
        <v>18491</v>
      </c>
      <c r="H8532" t="s">
        <v>20446</v>
      </c>
      <c r="I8532" t="s">
        <v>1357</v>
      </c>
      <c r="J8532" t="s">
        <v>1357</v>
      </c>
      <c r="K8532" t="s">
        <v>1357</v>
      </c>
      <c r="L8532" t="s">
        <v>1357</v>
      </c>
    </row>
    <row r="8533" spans="6:12">
      <c r="F8533" t="s">
        <v>15790</v>
      </c>
      <c r="G8533" t="s">
        <v>18492</v>
      </c>
      <c r="H8533" t="s">
        <v>20446</v>
      </c>
      <c r="I8533" t="s">
        <v>1357</v>
      </c>
      <c r="J8533" t="s">
        <v>1357</v>
      </c>
      <c r="K8533" t="s">
        <v>1357</v>
      </c>
      <c r="L8533" t="s">
        <v>1357</v>
      </c>
    </row>
    <row r="8534" spans="6:12">
      <c r="F8534" t="s">
        <v>15791</v>
      </c>
      <c r="G8534" t="s">
        <v>18493</v>
      </c>
      <c r="H8534" t="s">
        <v>20446</v>
      </c>
      <c r="I8534" t="s">
        <v>1357</v>
      </c>
      <c r="J8534" t="s">
        <v>1357</v>
      </c>
      <c r="K8534" t="s">
        <v>1357</v>
      </c>
      <c r="L8534" t="s">
        <v>1357</v>
      </c>
    </row>
    <row r="8535" spans="6:12">
      <c r="F8535" t="s">
        <v>15792</v>
      </c>
      <c r="G8535" t="s">
        <v>18494</v>
      </c>
      <c r="H8535" t="s">
        <v>20446</v>
      </c>
      <c r="I8535" t="s">
        <v>1357</v>
      </c>
      <c r="J8535" t="s">
        <v>1357</v>
      </c>
      <c r="K8535" t="s">
        <v>1357</v>
      </c>
      <c r="L8535" t="s">
        <v>1357</v>
      </c>
    </row>
    <row r="8536" spans="6:12">
      <c r="F8536" t="s">
        <v>15793</v>
      </c>
      <c r="G8536" t="s">
        <v>18495</v>
      </c>
      <c r="H8536" t="s">
        <v>20446</v>
      </c>
      <c r="I8536" t="s">
        <v>1357</v>
      </c>
      <c r="J8536" t="s">
        <v>1357</v>
      </c>
      <c r="K8536" t="s">
        <v>1357</v>
      </c>
      <c r="L8536" t="s">
        <v>1357</v>
      </c>
    </row>
    <row r="8537" spans="6:12">
      <c r="F8537" t="s">
        <v>15794</v>
      </c>
      <c r="G8537" t="s">
        <v>18496</v>
      </c>
      <c r="H8537" t="s">
        <v>20446</v>
      </c>
      <c r="I8537" t="s">
        <v>1357</v>
      </c>
      <c r="J8537" t="s">
        <v>1357</v>
      </c>
      <c r="K8537" t="s">
        <v>1357</v>
      </c>
      <c r="L8537" t="s">
        <v>1357</v>
      </c>
    </row>
    <row r="8538" spans="6:12">
      <c r="F8538" t="s">
        <v>15795</v>
      </c>
      <c r="G8538" t="s">
        <v>18497</v>
      </c>
      <c r="H8538" t="s">
        <v>20446</v>
      </c>
      <c r="I8538" t="s">
        <v>1357</v>
      </c>
      <c r="J8538" t="s">
        <v>1357</v>
      </c>
      <c r="K8538" t="s">
        <v>1357</v>
      </c>
      <c r="L8538" t="s">
        <v>1357</v>
      </c>
    </row>
    <row r="8539" spans="6:12">
      <c r="F8539" t="s">
        <v>15796</v>
      </c>
      <c r="G8539" t="s">
        <v>18498</v>
      </c>
      <c r="H8539" t="s">
        <v>20446</v>
      </c>
      <c r="I8539" t="s">
        <v>1357</v>
      </c>
      <c r="J8539" t="s">
        <v>1357</v>
      </c>
      <c r="K8539" t="s">
        <v>1357</v>
      </c>
      <c r="L8539" t="s">
        <v>1357</v>
      </c>
    </row>
    <row r="8540" spans="6:12">
      <c r="F8540" t="s">
        <v>15797</v>
      </c>
      <c r="G8540" t="s">
        <v>18499</v>
      </c>
      <c r="H8540" t="s">
        <v>20446</v>
      </c>
      <c r="I8540" t="s">
        <v>1357</v>
      </c>
      <c r="J8540" t="s">
        <v>1357</v>
      </c>
      <c r="K8540" t="s">
        <v>1357</v>
      </c>
      <c r="L8540" t="s">
        <v>1357</v>
      </c>
    </row>
    <row r="8541" spans="6:12">
      <c r="F8541" t="s">
        <v>15798</v>
      </c>
      <c r="G8541" t="s">
        <v>18500</v>
      </c>
      <c r="H8541" t="s">
        <v>20446</v>
      </c>
      <c r="I8541" t="s">
        <v>1357</v>
      </c>
      <c r="J8541" t="s">
        <v>1357</v>
      </c>
      <c r="K8541" t="s">
        <v>1357</v>
      </c>
      <c r="L8541" t="s">
        <v>1357</v>
      </c>
    </row>
    <row r="8542" spans="6:12">
      <c r="F8542" t="s">
        <v>15799</v>
      </c>
      <c r="G8542" t="s">
        <v>18501</v>
      </c>
      <c r="H8542" t="s">
        <v>20446</v>
      </c>
      <c r="I8542" t="s">
        <v>1357</v>
      </c>
      <c r="J8542" t="s">
        <v>1357</v>
      </c>
      <c r="K8542" t="s">
        <v>1357</v>
      </c>
      <c r="L8542" t="s">
        <v>1357</v>
      </c>
    </row>
    <row r="8543" spans="6:12">
      <c r="F8543" t="s">
        <v>15800</v>
      </c>
      <c r="G8543" t="s">
        <v>18502</v>
      </c>
      <c r="H8543" t="s">
        <v>20446</v>
      </c>
      <c r="I8543" t="s">
        <v>1357</v>
      </c>
      <c r="J8543" t="s">
        <v>1357</v>
      </c>
      <c r="K8543" t="s">
        <v>1357</v>
      </c>
      <c r="L8543" t="s">
        <v>1357</v>
      </c>
    </row>
    <row r="8544" spans="6:12">
      <c r="F8544" t="s">
        <v>15801</v>
      </c>
      <c r="G8544" t="s">
        <v>18503</v>
      </c>
      <c r="H8544" t="s">
        <v>20446</v>
      </c>
      <c r="I8544" t="s">
        <v>1357</v>
      </c>
      <c r="J8544" t="s">
        <v>1357</v>
      </c>
      <c r="K8544" t="s">
        <v>1357</v>
      </c>
      <c r="L8544" t="s">
        <v>1357</v>
      </c>
    </row>
    <row r="8545" spans="6:12">
      <c r="F8545" t="s">
        <v>15802</v>
      </c>
      <c r="G8545" t="s">
        <v>18504</v>
      </c>
      <c r="H8545" t="s">
        <v>20446</v>
      </c>
      <c r="I8545" t="s">
        <v>1357</v>
      </c>
      <c r="J8545" t="s">
        <v>1357</v>
      </c>
      <c r="K8545" t="s">
        <v>1357</v>
      </c>
      <c r="L8545" t="s">
        <v>1357</v>
      </c>
    </row>
    <row r="8546" spans="6:12">
      <c r="F8546" t="s">
        <v>15803</v>
      </c>
      <c r="G8546" t="s">
        <v>18505</v>
      </c>
      <c r="H8546" t="s">
        <v>20446</v>
      </c>
      <c r="I8546" t="s">
        <v>1357</v>
      </c>
      <c r="J8546" t="s">
        <v>1357</v>
      </c>
      <c r="K8546" t="s">
        <v>1357</v>
      </c>
      <c r="L8546" t="s">
        <v>1357</v>
      </c>
    </row>
    <row r="8547" spans="6:12">
      <c r="F8547" t="s">
        <v>15804</v>
      </c>
      <c r="G8547" t="s">
        <v>18506</v>
      </c>
      <c r="H8547" t="s">
        <v>20446</v>
      </c>
      <c r="I8547" t="s">
        <v>1357</v>
      </c>
      <c r="J8547" t="s">
        <v>1357</v>
      </c>
      <c r="K8547" t="s">
        <v>1357</v>
      </c>
      <c r="L8547" t="s">
        <v>1357</v>
      </c>
    </row>
    <row r="8548" spans="6:12">
      <c r="F8548" t="s">
        <v>15805</v>
      </c>
      <c r="G8548" t="s">
        <v>18507</v>
      </c>
      <c r="H8548" t="s">
        <v>20446</v>
      </c>
      <c r="I8548" t="s">
        <v>1357</v>
      </c>
      <c r="J8548" t="s">
        <v>1357</v>
      </c>
      <c r="K8548" t="s">
        <v>1357</v>
      </c>
      <c r="L8548" t="s">
        <v>1357</v>
      </c>
    </row>
    <row r="8549" spans="6:12">
      <c r="F8549" t="s">
        <v>15806</v>
      </c>
      <c r="G8549" t="s">
        <v>18508</v>
      </c>
      <c r="H8549" t="s">
        <v>20446</v>
      </c>
      <c r="I8549" t="s">
        <v>1357</v>
      </c>
      <c r="J8549" t="s">
        <v>1357</v>
      </c>
      <c r="K8549" t="s">
        <v>1357</v>
      </c>
      <c r="L8549" t="s">
        <v>1357</v>
      </c>
    </row>
    <row r="8550" spans="6:12">
      <c r="F8550" t="s">
        <v>15807</v>
      </c>
      <c r="G8550" t="s">
        <v>18509</v>
      </c>
      <c r="H8550" t="s">
        <v>20446</v>
      </c>
      <c r="I8550" t="s">
        <v>1357</v>
      </c>
      <c r="J8550" t="s">
        <v>1357</v>
      </c>
      <c r="K8550" t="s">
        <v>1357</v>
      </c>
      <c r="L8550" t="s">
        <v>1357</v>
      </c>
    </row>
    <row r="8551" spans="6:12">
      <c r="F8551" t="s">
        <v>15808</v>
      </c>
      <c r="G8551" t="s">
        <v>18510</v>
      </c>
      <c r="H8551" t="s">
        <v>20446</v>
      </c>
      <c r="I8551" t="s">
        <v>1357</v>
      </c>
      <c r="J8551" t="s">
        <v>1357</v>
      </c>
      <c r="K8551" t="s">
        <v>1357</v>
      </c>
      <c r="L8551" t="s">
        <v>1357</v>
      </c>
    </row>
    <row r="8552" spans="6:12">
      <c r="F8552" t="s">
        <v>15809</v>
      </c>
      <c r="G8552" t="s">
        <v>18511</v>
      </c>
      <c r="H8552" t="s">
        <v>20446</v>
      </c>
      <c r="I8552" t="s">
        <v>1357</v>
      </c>
      <c r="J8552" t="s">
        <v>1357</v>
      </c>
      <c r="K8552" t="s">
        <v>1357</v>
      </c>
      <c r="L8552" t="s">
        <v>1357</v>
      </c>
    </row>
    <row r="8553" spans="6:12">
      <c r="F8553" t="s">
        <v>15810</v>
      </c>
      <c r="G8553" t="s">
        <v>18512</v>
      </c>
      <c r="H8553" t="s">
        <v>20446</v>
      </c>
      <c r="I8553" t="s">
        <v>1357</v>
      </c>
      <c r="J8553" t="s">
        <v>1357</v>
      </c>
      <c r="K8553" t="s">
        <v>1357</v>
      </c>
      <c r="L8553" t="s">
        <v>1357</v>
      </c>
    </row>
    <row r="8554" spans="6:12">
      <c r="F8554" t="s">
        <v>15811</v>
      </c>
      <c r="G8554" t="s">
        <v>18513</v>
      </c>
      <c r="H8554" t="s">
        <v>20446</v>
      </c>
      <c r="I8554" t="s">
        <v>1357</v>
      </c>
      <c r="J8554" t="s">
        <v>1357</v>
      </c>
      <c r="K8554" t="s">
        <v>1357</v>
      </c>
      <c r="L8554" t="s">
        <v>1357</v>
      </c>
    </row>
    <row r="8555" spans="6:12">
      <c r="F8555" t="s">
        <v>15812</v>
      </c>
      <c r="G8555" t="s">
        <v>18514</v>
      </c>
      <c r="H8555" t="s">
        <v>20446</v>
      </c>
      <c r="I8555" t="s">
        <v>1357</v>
      </c>
      <c r="J8555" t="s">
        <v>1357</v>
      </c>
      <c r="K8555" t="s">
        <v>1357</v>
      </c>
      <c r="L8555" t="s">
        <v>1357</v>
      </c>
    </row>
    <row r="8556" spans="6:12">
      <c r="F8556" t="s">
        <v>15813</v>
      </c>
      <c r="G8556" t="s">
        <v>18515</v>
      </c>
      <c r="H8556" t="s">
        <v>20446</v>
      </c>
      <c r="I8556" t="s">
        <v>1357</v>
      </c>
      <c r="J8556" t="s">
        <v>1357</v>
      </c>
      <c r="K8556" t="s">
        <v>1357</v>
      </c>
      <c r="L8556" t="s">
        <v>1357</v>
      </c>
    </row>
    <row r="8557" spans="6:12">
      <c r="F8557" t="s">
        <v>15814</v>
      </c>
      <c r="G8557" t="s">
        <v>18516</v>
      </c>
      <c r="H8557" t="s">
        <v>20446</v>
      </c>
      <c r="I8557" t="s">
        <v>1357</v>
      </c>
      <c r="J8557" t="s">
        <v>1357</v>
      </c>
      <c r="K8557" t="s">
        <v>1357</v>
      </c>
      <c r="L8557" t="s">
        <v>1357</v>
      </c>
    </row>
    <row r="8558" spans="6:12">
      <c r="F8558" t="s">
        <v>15815</v>
      </c>
      <c r="G8558" t="s">
        <v>18517</v>
      </c>
      <c r="H8558" t="s">
        <v>20446</v>
      </c>
      <c r="I8558" t="s">
        <v>1357</v>
      </c>
      <c r="J8558" t="s">
        <v>1357</v>
      </c>
      <c r="K8558" t="s">
        <v>1357</v>
      </c>
      <c r="L8558" t="s">
        <v>1357</v>
      </c>
    </row>
    <row r="8559" spans="6:12">
      <c r="F8559" t="s">
        <v>15816</v>
      </c>
      <c r="G8559" t="s">
        <v>18518</v>
      </c>
      <c r="H8559" t="s">
        <v>20446</v>
      </c>
      <c r="I8559" t="s">
        <v>1357</v>
      </c>
      <c r="J8559" t="s">
        <v>1357</v>
      </c>
      <c r="K8559" t="s">
        <v>1357</v>
      </c>
      <c r="L8559" t="s">
        <v>1357</v>
      </c>
    </row>
    <row r="8560" spans="6:12">
      <c r="F8560" t="s">
        <v>15817</v>
      </c>
      <c r="G8560" t="s">
        <v>18519</v>
      </c>
      <c r="H8560" t="s">
        <v>20446</v>
      </c>
      <c r="I8560" t="s">
        <v>1357</v>
      </c>
      <c r="J8560" t="s">
        <v>1357</v>
      </c>
      <c r="K8560" t="s">
        <v>1357</v>
      </c>
      <c r="L8560" t="s">
        <v>1357</v>
      </c>
    </row>
    <row r="8561" spans="6:12">
      <c r="F8561" t="s">
        <v>15818</v>
      </c>
      <c r="G8561" t="s">
        <v>18520</v>
      </c>
      <c r="H8561" t="s">
        <v>20446</v>
      </c>
      <c r="I8561" t="s">
        <v>1357</v>
      </c>
      <c r="J8561" t="s">
        <v>1357</v>
      </c>
      <c r="K8561" t="s">
        <v>1357</v>
      </c>
      <c r="L8561" t="s">
        <v>1357</v>
      </c>
    </row>
    <row r="8562" spans="6:12">
      <c r="F8562" t="s">
        <v>15819</v>
      </c>
      <c r="G8562" t="s">
        <v>18521</v>
      </c>
      <c r="H8562" t="s">
        <v>20446</v>
      </c>
      <c r="I8562" t="s">
        <v>1357</v>
      </c>
      <c r="J8562" t="s">
        <v>1357</v>
      </c>
      <c r="K8562" t="s">
        <v>1357</v>
      </c>
      <c r="L8562" t="s">
        <v>1357</v>
      </c>
    </row>
    <row r="8563" spans="6:12">
      <c r="F8563" t="s">
        <v>15820</v>
      </c>
      <c r="G8563" t="s">
        <v>18522</v>
      </c>
      <c r="H8563" t="s">
        <v>20446</v>
      </c>
      <c r="I8563" t="s">
        <v>1357</v>
      </c>
      <c r="J8563" t="s">
        <v>1357</v>
      </c>
      <c r="K8563" t="s">
        <v>1357</v>
      </c>
      <c r="L8563" t="s">
        <v>1357</v>
      </c>
    </row>
    <row r="8564" spans="6:12">
      <c r="F8564" t="s">
        <v>15821</v>
      </c>
      <c r="G8564" t="s">
        <v>18523</v>
      </c>
      <c r="H8564" t="s">
        <v>20446</v>
      </c>
      <c r="I8564" t="s">
        <v>1357</v>
      </c>
      <c r="J8564" t="s">
        <v>1357</v>
      </c>
      <c r="K8564" t="s">
        <v>1357</v>
      </c>
      <c r="L8564" t="s">
        <v>1357</v>
      </c>
    </row>
    <row r="8565" spans="6:12">
      <c r="F8565" t="s">
        <v>15822</v>
      </c>
      <c r="G8565" t="s">
        <v>18524</v>
      </c>
      <c r="H8565" t="s">
        <v>20446</v>
      </c>
      <c r="I8565" t="s">
        <v>1357</v>
      </c>
      <c r="J8565" t="s">
        <v>1357</v>
      </c>
      <c r="K8565" t="s">
        <v>1357</v>
      </c>
      <c r="L8565" t="s">
        <v>1357</v>
      </c>
    </row>
    <row r="8566" spans="6:12">
      <c r="F8566" t="s">
        <v>15823</v>
      </c>
      <c r="G8566" t="s">
        <v>18525</v>
      </c>
      <c r="H8566" t="s">
        <v>20446</v>
      </c>
      <c r="I8566" t="s">
        <v>1357</v>
      </c>
      <c r="J8566" t="s">
        <v>1357</v>
      </c>
      <c r="K8566" t="s">
        <v>1357</v>
      </c>
      <c r="L8566" t="s">
        <v>1357</v>
      </c>
    </row>
    <row r="8567" spans="6:12">
      <c r="F8567" t="s">
        <v>15824</v>
      </c>
      <c r="G8567" t="s">
        <v>18526</v>
      </c>
      <c r="H8567" t="s">
        <v>20446</v>
      </c>
      <c r="I8567" t="s">
        <v>1357</v>
      </c>
      <c r="J8567" t="s">
        <v>1357</v>
      </c>
      <c r="K8567" t="s">
        <v>1357</v>
      </c>
      <c r="L8567" t="s">
        <v>1357</v>
      </c>
    </row>
    <row r="8568" spans="6:12">
      <c r="F8568" t="s">
        <v>15825</v>
      </c>
      <c r="G8568" t="s">
        <v>18527</v>
      </c>
      <c r="H8568" t="s">
        <v>20446</v>
      </c>
      <c r="I8568" t="s">
        <v>1357</v>
      </c>
      <c r="J8568" t="s">
        <v>1357</v>
      </c>
      <c r="K8568" t="s">
        <v>1357</v>
      </c>
      <c r="L8568" t="s">
        <v>1357</v>
      </c>
    </row>
    <row r="8569" spans="6:12">
      <c r="F8569" t="s">
        <v>15826</v>
      </c>
      <c r="G8569" t="s">
        <v>18528</v>
      </c>
      <c r="H8569" t="s">
        <v>20446</v>
      </c>
      <c r="I8569" t="s">
        <v>1357</v>
      </c>
      <c r="J8569" t="s">
        <v>1357</v>
      </c>
      <c r="K8569" t="s">
        <v>1357</v>
      </c>
      <c r="L8569" t="s">
        <v>1357</v>
      </c>
    </row>
    <row r="8570" spans="6:12">
      <c r="F8570" t="s">
        <v>15827</v>
      </c>
      <c r="G8570" t="s">
        <v>18529</v>
      </c>
      <c r="H8570" t="s">
        <v>20446</v>
      </c>
      <c r="I8570" t="s">
        <v>1357</v>
      </c>
      <c r="J8570" t="s">
        <v>1357</v>
      </c>
      <c r="K8570" t="s">
        <v>1357</v>
      </c>
      <c r="L8570" t="s">
        <v>1357</v>
      </c>
    </row>
    <row r="8571" spans="6:12">
      <c r="F8571" t="s">
        <v>15828</v>
      </c>
      <c r="G8571" t="s">
        <v>18530</v>
      </c>
      <c r="H8571" t="s">
        <v>20446</v>
      </c>
      <c r="I8571" t="s">
        <v>1357</v>
      </c>
      <c r="J8571" t="s">
        <v>1357</v>
      </c>
      <c r="K8571" t="s">
        <v>1357</v>
      </c>
      <c r="L8571" t="s">
        <v>1357</v>
      </c>
    </row>
    <row r="8572" spans="6:12">
      <c r="F8572" t="s">
        <v>15829</v>
      </c>
      <c r="G8572" t="s">
        <v>18531</v>
      </c>
      <c r="H8572" t="s">
        <v>20446</v>
      </c>
      <c r="I8572" t="s">
        <v>1357</v>
      </c>
      <c r="J8572" t="s">
        <v>1357</v>
      </c>
      <c r="K8572" t="s">
        <v>1357</v>
      </c>
      <c r="L8572" t="s">
        <v>1357</v>
      </c>
    </row>
    <row r="8573" spans="6:12">
      <c r="F8573" t="s">
        <v>15830</v>
      </c>
      <c r="G8573" t="s">
        <v>18532</v>
      </c>
      <c r="H8573" t="s">
        <v>20446</v>
      </c>
      <c r="I8573" t="s">
        <v>1357</v>
      </c>
      <c r="J8573" t="s">
        <v>1357</v>
      </c>
      <c r="K8573" t="s">
        <v>1357</v>
      </c>
      <c r="L8573" t="s">
        <v>1357</v>
      </c>
    </row>
    <row r="8574" spans="6:12">
      <c r="F8574" t="s">
        <v>15831</v>
      </c>
      <c r="G8574" t="s">
        <v>18533</v>
      </c>
      <c r="H8574" t="s">
        <v>20446</v>
      </c>
      <c r="I8574" t="s">
        <v>1357</v>
      </c>
      <c r="J8574" t="s">
        <v>1357</v>
      </c>
      <c r="K8574" t="s">
        <v>1357</v>
      </c>
      <c r="L8574" t="s">
        <v>1357</v>
      </c>
    </row>
    <row r="8575" spans="6:12">
      <c r="F8575" t="s">
        <v>15832</v>
      </c>
      <c r="G8575" t="s">
        <v>18534</v>
      </c>
      <c r="H8575" t="s">
        <v>20446</v>
      </c>
      <c r="I8575" t="s">
        <v>1357</v>
      </c>
      <c r="J8575" t="s">
        <v>1357</v>
      </c>
      <c r="K8575" t="s">
        <v>1357</v>
      </c>
      <c r="L8575" t="s">
        <v>1357</v>
      </c>
    </row>
    <row r="8576" spans="6:12">
      <c r="F8576" t="s">
        <v>15833</v>
      </c>
      <c r="G8576" t="s">
        <v>18535</v>
      </c>
      <c r="H8576" t="s">
        <v>20446</v>
      </c>
      <c r="I8576" t="s">
        <v>1357</v>
      </c>
      <c r="J8576" t="s">
        <v>1357</v>
      </c>
      <c r="K8576" t="s">
        <v>1357</v>
      </c>
      <c r="L8576" t="s">
        <v>1357</v>
      </c>
    </row>
    <row r="8577" spans="6:12">
      <c r="F8577" t="s">
        <v>15834</v>
      </c>
      <c r="G8577" t="s">
        <v>18536</v>
      </c>
      <c r="H8577" t="s">
        <v>20446</v>
      </c>
      <c r="I8577" t="s">
        <v>1357</v>
      </c>
      <c r="J8577" t="s">
        <v>1357</v>
      </c>
      <c r="K8577" t="s">
        <v>1357</v>
      </c>
      <c r="L8577" t="s">
        <v>1357</v>
      </c>
    </row>
    <row r="8578" spans="6:12">
      <c r="F8578" t="s">
        <v>15835</v>
      </c>
      <c r="G8578" t="s">
        <v>18537</v>
      </c>
      <c r="H8578" t="s">
        <v>20446</v>
      </c>
      <c r="I8578" t="s">
        <v>1357</v>
      </c>
      <c r="J8578" t="s">
        <v>1357</v>
      </c>
      <c r="K8578" t="s">
        <v>1357</v>
      </c>
      <c r="L8578" t="s">
        <v>1357</v>
      </c>
    </row>
    <row r="8579" spans="6:12">
      <c r="F8579" t="s">
        <v>15836</v>
      </c>
      <c r="G8579" t="s">
        <v>18538</v>
      </c>
      <c r="H8579" t="s">
        <v>20446</v>
      </c>
      <c r="I8579" t="s">
        <v>1357</v>
      </c>
      <c r="J8579" t="s">
        <v>1357</v>
      </c>
      <c r="K8579" t="s">
        <v>1357</v>
      </c>
      <c r="L8579" t="s">
        <v>1357</v>
      </c>
    </row>
    <row r="8580" spans="6:12">
      <c r="F8580" t="s">
        <v>15837</v>
      </c>
      <c r="G8580" t="s">
        <v>18539</v>
      </c>
      <c r="H8580" t="s">
        <v>20446</v>
      </c>
      <c r="I8580" t="s">
        <v>1357</v>
      </c>
      <c r="J8580" t="s">
        <v>1357</v>
      </c>
      <c r="K8580" t="s">
        <v>1357</v>
      </c>
      <c r="L8580" t="s">
        <v>1357</v>
      </c>
    </row>
    <row r="8581" spans="6:12">
      <c r="F8581" t="s">
        <v>15838</v>
      </c>
      <c r="G8581" t="s">
        <v>18540</v>
      </c>
      <c r="H8581" t="s">
        <v>20446</v>
      </c>
      <c r="I8581" t="s">
        <v>1357</v>
      </c>
      <c r="J8581" t="s">
        <v>1357</v>
      </c>
      <c r="K8581" t="s">
        <v>1357</v>
      </c>
      <c r="L8581" t="s">
        <v>1357</v>
      </c>
    </row>
    <row r="8582" spans="6:12">
      <c r="F8582" t="s">
        <v>15839</v>
      </c>
      <c r="G8582" t="s">
        <v>18541</v>
      </c>
      <c r="H8582" t="s">
        <v>20446</v>
      </c>
      <c r="I8582" t="s">
        <v>1357</v>
      </c>
      <c r="J8582" t="s">
        <v>1357</v>
      </c>
      <c r="K8582" t="s">
        <v>1357</v>
      </c>
      <c r="L8582" t="s">
        <v>1357</v>
      </c>
    </row>
    <row r="8583" spans="6:12">
      <c r="F8583" t="s">
        <v>15840</v>
      </c>
      <c r="G8583" t="s">
        <v>18542</v>
      </c>
      <c r="H8583" t="s">
        <v>20446</v>
      </c>
      <c r="I8583" t="s">
        <v>1357</v>
      </c>
      <c r="J8583" t="s">
        <v>1357</v>
      </c>
      <c r="K8583" t="s">
        <v>1357</v>
      </c>
      <c r="L8583" t="s">
        <v>1357</v>
      </c>
    </row>
    <row r="8584" spans="6:12">
      <c r="F8584" t="s">
        <v>15841</v>
      </c>
      <c r="G8584" t="s">
        <v>18543</v>
      </c>
      <c r="H8584" t="s">
        <v>20446</v>
      </c>
      <c r="I8584" t="s">
        <v>1357</v>
      </c>
      <c r="J8584" t="s">
        <v>1357</v>
      </c>
      <c r="K8584" t="s">
        <v>1357</v>
      </c>
      <c r="L8584" t="s">
        <v>1357</v>
      </c>
    </row>
    <row r="8585" spans="6:12">
      <c r="F8585" t="s">
        <v>15842</v>
      </c>
      <c r="G8585" t="s">
        <v>18544</v>
      </c>
      <c r="H8585" t="s">
        <v>20446</v>
      </c>
      <c r="I8585" t="s">
        <v>1357</v>
      </c>
      <c r="J8585" t="s">
        <v>1357</v>
      </c>
      <c r="K8585" t="s">
        <v>1357</v>
      </c>
      <c r="L8585" t="s">
        <v>1357</v>
      </c>
    </row>
    <row r="8586" spans="6:12">
      <c r="F8586" t="s">
        <v>15843</v>
      </c>
      <c r="G8586" t="s">
        <v>18545</v>
      </c>
      <c r="H8586" t="s">
        <v>20446</v>
      </c>
      <c r="I8586" t="s">
        <v>1357</v>
      </c>
      <c r="J8586" t="s">
        <v>1357</v>
      </c>
      <c r="K8586" t="s">
        <v>1357</v>
      </c>
      <c r="L8586" t="s">
        <v>1357</v>
      </c>
    </row>
    <row r="8587" spans="6:12">
      <c r="F8587" t="s">
        <v>15844</v>
      </c>
      <c r="G8587" t="s">
        <v>18546</v>
      </c>
      <c r="H8587" t="s">
        <v>20446</v>
      </c>
      <c r="I8587" t="s">
        <v>1357</v>
      </c>
      <c r="J8587" t="s">
        <v>1357</v>
      </c>
      <c r="K8587" t="s">
        <v>1357</v>
      </c>
      <c r="L8587" t="s">
        <v>1357</v>
      </c>
    </row>
    <row r="8588" spans="6:12">
      <c r="F8588" t="s">
        <v>15845</v>
      </c>
      <c r="G8588" t="s">
        <v>18547</v>
      </c>
      <c r="H8588" t="s">
        <v>20446</v>
      </c>
      <c r="I8588" t="s">
        <v>1357</v>
      </c>
      <c r="J8588" t="s">
        <v>1357</v>
      </c>
      <c r="K8588" t="s">
        <v>1357</v>
      </c>
      <c r="L8588" t="s">
        <v>1357</v>
      </c>
    </row>
    <row r="8589" spans="6:12">
      <c r="F8589" t="s">
        <v>15846</v>
      </c>
      <c r="G8589" t="s">
        <v>18548</v>
      </c>
      <c r="H8589" t="s">
        <v>20446</v>
      </c>
      <c r="I8589" t="s">
        <v>1357</v>
      </c>
      <c r="J8589" t="s">
        <v>1357</v>
      </c>
      <c r="K8589" t="s">
        <v>1357</v>
      </c>
      <c r="L8589" t="s">
        <v>1357</v>
      </c>
    </row>
    <row r="8590" spans="6:12">
      <c r="F8590" t="s">
        <v>15847</v>
      </c>
      <c r="G8590" t="s">
        <v>18549</v>
      </c>
      <c r="H8590" t="s">
        <v>20446</v>
      </c>
      <c r="I8590" t="s">
        <v>1357</v>
      </c>
      <c r="J8590" t="s">
        <v>1357</v>
      </c>
      <c r="K8590" t="s">
        <v>1357</v>
      </c>
      <c r="L8590" t="s">
        <v>1357</v>
      </c>
    </row>
    <row r="8591" spans="6:12">
      <c r="F8591" t="s">
        <v>15848</v>
      </c>
      <c r="G8591" t="s">
        <v>18550</v>
      </c>
      <c r="H8591" t="s">
        <v>20446</v>
      </c>
      <c r="I8591" t="s">
        <v>1357</v>
      </c>
      <c r="J8591" t="s">
        <v>1357</v>
      </c>
      <c r="K8591" t="s">
        <v>1357</v>
      </c>
      <c r="L8591" t="s">
        <v>1357</v>
      </c>
    </row>
    <row r="8592" spans="6:12">
      <c r="F8592" t="s">
        <v>15849</v>
      </c>
      <c r="G8592" t="s">
        <v>18551</v>
      </c>
      <c r="H8592" t="s">
        <v>20446</v>
      </c>
      <c r="I8592" t="s">
        <v>1357</v>
      </c>
      <c r="J8592" t="s">
        <v>1357</v>
      </c>
      <c r="K8592" t="s">
        <v>1357</v>
      </c>
      <c r="L8592" t="s">
        <v>1357</v>
      </c>
    </row>
    <row r="8593" spans="6:12">
      <c r="F8593" t="s">
        <v>15850</v>
      </c>
      <c r="G8593" t="s">
        <v>18552</v>
      </c>
      <c r="H8593" t="s">
        <v>20446</v>
      </c>
      <c r="I8593" t="s">
        <v>1357</v>
      </c>
      <c r="J8593" t="s">
        <v>1357</v>
      </c>
      <c r="K8593" t="s">
        <v>1357</v>
      </c>
      <c r="L8593" t="s">
        <v>1357</v>
      </c>
    </row>
    <row r="8594" spans="6:12">
      <c r="F8594" t="s">
        <v>15851</v>
      </c>
      <c r="G8594" t="s">
        <v>18553</v>
      </c>
      <c r="H8594" t="s">
        <v>20446</v>
      </c>
      <c r="I8594" t="s">
        <v>1357</v>
      </c>
      <c r="J8594" t="s">
        <v>1357</v>
      </c>
      <c r="K8594" t="s">
        <v>1357</v>
      </c>
      <c r="L8594" t="s">
        <v>1357</v>
      </c>
    </row>
    <row r="8595" spans="6:12">
      <c r="F8595" t="s">
        <v>15852</v>
      </c>
      <c r="G8595" t="s">
        <v>18554</v>
      </c>
      <c r="H8595" t="s">
        <v>20446</v>
      </c>
      <c r="I8595" t="s">
        <v>1357</v>
      </c>
      <c r="J8595" t="s">
        <v>1357</v>
      </c>
      <c r="K8595" t="s">
        <v>1357</v>
      </c>
      <c r="L8595" t="s">
        <v>1357</v>
      </c>
    </row>
    <row r="8596" spans="6:12">
      <c r="F8596" t="s">
        <v>15853</v>
      </c>
      <c r="G8596" t="s">
        <v>18555</v>
      </c>
      <c r="H8596" t="s">
        <v>20446</v>
      </c>
      <c r="I8596" t="s">
        <v>1357</v>
      </c>
      <c r="J8596" t="s">
        <v>1357</v>
      </c>
      <c r="K8596" t="s">
        <v>1357</v>
      </c>
      <c r="L8596" t="s">
        <v>1357</v>
      </c>
    </row>
    <row r="8597" spans="6:12">
      <c r="F8597" t="s">
        <v>15854</v>
      </c>
      <c r="G8597" t="s">
        <v>18556</v>
      </c>
      <c r="H8597" t="s">
        <v>20446</v>
      </c>
      <c r="I8597" t="s">
        <v>1357</v>
      </c>
      <c r="J8597" t="s">
        <v>1357</v>
      </c>
      <c r="K8597" t="s">
        <v>1357</v>
      </c>
      <c r="L8597" t="s">
        <v>1357</v>
      </c>
    </row>
    <row r="8598" spans="6:12">
      <c r="F8598" t="s">
        <v>15855</v>
      </c>
      <c r="G8598" t="s">
        <v>18557</v>
      </c>
      <c r="H8598" t="s">
        <v>20446</v>
      </c>
      <c r="I8598" t="s">
        <v>1357</v>
      </c>
      <c r="J8598" t="s">
        <v>1357</v>
      </c>
      <c r="K8598" t="s">
        <v>1357</v>
      </c>
      <c r="L8598" t="s">
        <v>1357</v>
      </c>
    </row>
    <row r="8599" spans="6:12">
      <c r="F8599" t="s">
        <v>15856</v>
      </c>
      <c r="G8599" t="s">
        <v>18558</v>
      </c>
      <c r="H8599" t="s">
        <v>20446</v>
      </c>
      <c r="I8599" t="s">
        <v>1357</v>
      </c>
      <c r="J8599" t="s">
        <v>1357</v>
      </c>
      <c r="K8599" t="s">
        <v>1357</v>
      </c>
      <c r="L8599" t="s">
        <v>1357</v>
      </c>
    </row>
    <row r="8600" spans="6:12">
      <c r="F8600" t="s">
        <v>15857</v>
      </c>
      <c r="G8600" t="s">
        <v>18559</v>
      </c>
      <c r="H8600" t="s">
        <v>20446</v>
      </c>
      <c r="I8600" t="s">
        <v>1357</v>
      </c>
      <c r="J8600" t="s">
        <v>1357</v>
      </c>
      <c r="K8600" t="s">
        <v>1357</v>
      </c>
      <c r="L8600" t="s">
        <v>1357</v>
      </c>
    </row>
    <row r="8601" spans="6:12">
      <c r="F8601" t="s">
        <v>15858</v>
      </c>
      <c r="G8601" t="s">
        <v>18560</v>
      </c>
      <c r="H8601" t="s">
        <v>20446</v>
      </c>
      <c r="I8601" t="s">
        <v>1357</v>
      </c>
      <c r="J8601" t="s">
        <v>1357</v>
      </c>
      <c r="K8601" t="s">
        <v>1357</v>
      </c>
      <c r="L8601" t="s">
        <v>1357</v>
      </c>
    </row>
    <row r="8602" spans="6:12">
      <c r="F8602" t="s">
        <v>15859</v>
      </c>
      <c r="G8602" t="s">
        <v>18561</v>
      </c>
      <c r="H8602" t="s">
        <v>20446</v>
      </c>
      <c r="I8602" t="s">
        <v>1357</v>
      </c>
      <c r="J8602" t="s">
        <v>1357</v>
      </c>
      <c r="K8602" t="s">
        <v>1357</v>
      </c>
      <c r="L8602" t="s">
        <v>1357</v>
      </c>
    </row>
    <row r="8603" spans="6:12">
      <c r="F8603" t="s">
        <v>15860</v>
      </c>
      <c r="G8603" t="s">
        <v>18562</v>
      </c>
      <c r="H8603" t="s">
        <v>20446</v>
      </c>
      <c r="I8603" t="s">
        <v>1357</v>
      </c>
      <c r="J8603" t="s">
        <v>1357</v>
      </c>
      <c r="K8603" t="s">
        <v>1357</v>
      </c>
      <c r="L8603" t="s">
        <v>1357</v>
      </c>
    </row>
    <row r="8604" spans="6:12">
      <c r="F8604" t="s">
        <v>15861</v>
      </c>
      <c r="G8604" t="s">
        <v>18563</v>
      </c>
      <c r="H8604" t="s">
        <v>20446</v>
      </c>
      <c r="I8604" t="s">
        <v>1357</v>
      </c>
      <c r="J8604" t="s">
        <v>1357</v>
      </c>
      <c r="K8604" t="s">
        <v>1357</v>
      </c>
      <c r="L8604" t="s">
        <v>1357</v>
      </c>
    </row>
    <row r="8605" spans="6:12">
      <c r="F8605" t="s">
        <v>15862</v>
      </c>
      <c r="G8605" t="s">
        <v>18564</v>
      </c>
      <c r="H8605" t="s">
        <v>20446</v>
      </c>
      <c r="I8605" t="s">
        <v>1357</v>
      </c>
      <c r="J8605" t="s">
        <v>1357</v>
      </c>
      <c r="K8605" t="s">
        <v>1357</v>
      </c>
      <c r="L8605" t="s">
        <v>1357</v>
      </c>
    </row>
    <row r="8606" spans="6:12">
      <c r="F8606" t="s">
        <v>15863</v>
      </c>
      <c r="G8606" t="s">
        <v>18565</v>
      </c>
      <c r="H8606" t="s">
        <v>20446</v>
      </c>
      <c r="I8606" t="s">
        <v>1357</v>
      </c>
      <c r="J8606" t="s">
        <v>1357</v>
      </c>
      <c r="K8606" t="s">
        <v>1357</v>
      </c>
      <c r="L8606" t="s">
        <v>1357</v>
      </c>
    </row>
    <row r="8607" spans="6:12">
      <c r="F8607" t="s">
        <v>15864</v>
      </c>
      <c r="G8607" t="s">
        <v>18566</v>
      </c>
      <c r="H8607" t="s">
        <v>20446</v>
      </c>
      <c r="I8607" t="s">
        <v>1357</v>
      </c>
      <c r="J8607" t="s">
        <v>1357</v>
      </c>
      <c r="K8607" t="s">
        <v>1357</v>
      </c>
      <c r="L8607" t="s">
        <v>1357</v>
      </c>
    </row>
    <row r="8608" spans="6:12">
      <c r="F8608" t="s">
        <v>15865</v>
      </c>
      <c r="G8608" t="s">
        <v>18567</v>
      </c>
      <c r="H8608" t="s">
        <v>20446</v>
      </c>
      <c r="I8608" t="s">
        <v>1357</v>
      </c>
      <c r="J8608" t="s">
        <v>1357</v>
      </c>
      <c r="K8608" t="s">
        <v>1357</v>
      </c>
      <c r="L8608" t="s">
        <v>1357</v>
      </c>
    </row>
    <row r="8609" spans="6:12">
      <c r="F8609" t="s">
        <v>15866</v>
      </c>
      <c r="G8609" t="s">
        <v>18568</v>
      </c>
      <c r="H8609" t="s">
        <v>20446</v>
      </c>
      <c r="I8609" t="s">
        <v>1357</v>
      </c>
      <c r="J8609" t="s">
        <v>1357</v>
      </c>
      <c r="K8609" t="s">
        <v>1357</v>
      </c>
      <c r="L8609" t="s">
        <v>1357</v>
      </c>
    </row>
    <row r="8610" spans="6:12">
      <c r="F8610" t="s">
        <v>15867</v>
      </c>
      <c r="G8610" t="s">
        <v>18569</v>
      </c>
      <c r="H8610" t="s">
        <v>20446</v>
      </c>
      <c r="I8610" t="s">
        <v>1357</v>
      </c>
      <c r="J8610" t="s">
        <v>1357</v>
      </c>
      <c r="K8610" t="s">
        <v>1357</v>
      </c>
      <c r="L8610" t="s">
        <v>1357</v>
      </c>
    </row>
    <row r="8611" spans="6:12">
      <c r="F8611" t="s">
        <v>15868</v>
      </c>
      <c r="G8611" t="s">
        <v>18570</v>
      </c>
      <c r="H8611" t="s">
        <v>20446</v>
      </c>
      <c r="I8611" t="s">
        <v>1357</v>
      </c>
      <c r="J8611" t="s">
        <v>1357</v>
      </c>
      <c r="K8611" t="s">
        <v>1357</v>
      </c>
      <c r="L8611" t="s">
        <v>1357</v>
      </c>
    </row>
    <row r="8612" spans="6:12">
      <c r="F8612" t="s">
        <v>15869</v>
      </c>
      <c r="G8612" t="s">
        <v>18571</v>
      </c>
      <c r="H8612" t="s">
        <v>20446</v>
      </c>
      <c r="I8612" t="s">
        <v>1357</v>
      </c>
      <c r="J8612" t="s">
        <v>1357</v>
      </c>
      <c r="K8612" t="s">
        <v>1357</v>
      </c>
      <c r="L8612" t="s">
        <v>1357</v>
      </c>
    </row>
    <row r="8613" spans="6:12">
      <c r="F8613" t="s">
        <v>15870</v>
      </c>
      <c r="G8613" t="s">
        <v>18572</v>
      </c>
      <c r="H8613" t="s">
        <v>20446</v>
      </c>
      <c r="I8613" t="s">
        <v>1357</v>
      </c>
      <c r="J8613" t="s">
        <v>1357</v>
      </c>
      <c r="K8613" t="s">
        <v>1357</v>
      </c>
      <c r="L8613" t="s">
        <v>1357</v>
      </c>
    </row>
    <row r="8614" spans="6:12">
      <c r="F8614" t="s">
        <v>15871</v>
      </c>
      <c r="G8614" t="s">
        <v>18573</v>
      </c>
      <c r="H8614" t="s">
        <v>20446</v>
      </c>
      <c r="I8614" t="s">
        <v>1357</v>
      </c>
      <c r="J8614" t="s">
        <v>1357</v>
      </c>
      <c r="K8614" t="s">
        <v>1357</v>
      </c>
      <c r="L8614" t="s">
        <v>1357</v>
      </c>
    </row>
    <row r="8615" spans="6:12">
      <c r="F8615" t="s">
        <v>15872</v>
      </c>
      <c r="G8615" t="s">
        <v>18574</v>
      </c>
      <c r="H8615" t="s">
        <v>20446</v>
      </c>
      <c r="I8615" t="s">
        <v>1357</v>
      </c>
      <c r="J8615" t="s">
        <v>1357</v>
      </c>
      <c r="K8615" t="s">
        <v>1357</v>
      </c>
      <c r="L8615" t="s">
        <v>1357</v>
      </c>
    </row>
    <row r="8616" spans="6:12">
      <c r="F8616" t="s">
        <v>15873</v>
      </c>
      <c r="G8616" t="s">
        <v>18575</v>
      </c>
      <c r="H8616" t="s">
        <v>20446</v>
      </c>
      <c r="I8616" t="s">
        <v>1357</v>
      </c>
      <c r="J8616" t="s">
        <v>1357</v>
      </c>
      <c r="K8616" t="s">
        <v>1357</v>
      </c>
      <c r="L8616" t="s">
        <v>1357</v>
      </c>
    </row>
    <row r="8617" spans="6:12">
      <c r="F8617" t="s">
        <v>15874</v>
      </c>
      <c r="G8617" t="s">
        <v>18576</v>
      </c>
      <c r="H8617" t="s">
        <v>20446</v>
      </c>
      <c r="I8617" t="s">
        <v>1357</v>
      </c>
      <c r="J8617" t="s">
        <v>1357</v>
      </c>
      <c r="K8617" t="s">
        <v>1357</v>
      </c>
      <c r="L8617" t="s">
        <v>1357</v>
      </c>
    </row>
    <row r="8618" spans="6:12">
      <c r="F8618" t="s">
        <v>15875</v>
      </c>
      <c r="G8618" t="s">
        <v>18577</v>
      </c>
      <c r="H8618" t="s">
        <v>20446</v>
      </c>
      <c r="I8618" t="s">
        <v>1357</v>
      </c>
      <c r="J8618" t="s">
        <v>1357</v>
      </c>
      <c r="K8618" t="s">
        <v>1357</v>
      </c>
      <c r="L8618" t="s">
        <v>1357</v>
      </c>
    </row>
    <row r="8619" spans="6:12">
      <c r="F8619" t="s">
        <v>15876</v>
      </c>
      <c r="G8619" t="s">
        <v>18578</v>
      </c>
      <c r="H8619" t="s">
        <v>20446</v>
      </c>
      <c r="I8619" t="s">
        <v>1357</v>
      </c>
      <c r="J8619" t="s">
        <v>1357</v>
      </c>
      <c r="K8619" t="s">
        <v>1357</v>
      </c>
      <c r="L8619" t="s">
        <v>1357</v>
      </c>
    </row>
    <row r="8620" spans="6:12">
      <c r="F8620" t="s">
        <v>15877</v>
      </c>
      <c r="G8620" t="s">
        <v>18579</v>
      </c>
      <c r="H8620" t="s">
        <v>20446</v>
      </c>
      <c r="I8620" t="s">
        <v>1357</v>
      </c>
      <c r="J8620" t="s">
        <v>1357</v>
      </c>
      <c r="K8620" t="s">
        <v>1357</v>
      </c>
      <c r="L8620" t="s">
        <v>1357</v>
      </c>
    </row>
    <row r="8621" spans="6:12">
      <c r="F8621" t="s">
        <v>15878</v>
      </c>
      <c r="G8621" t="s">
        <v>18580</v>
      </c>
      <c r="H8621" t="s">
        <v>20446</v>
      </c>
      <c r="I8621" t="s">
        <v>1357</v>
      </c>
      <c r="J8621" t="s">
        <v>1357</v>
      </c>
      <c r="K8621" t="s">
        <v>1357</v>
      </c>
      <c r="L8621" t="s">
        <v>1357</v>
      </c>
    </row>
    <row r="8622" spans="6:12">
      <c r="F8622" t="s">
        <v>15879</v>
      </c>
      <c r="G8622" t="s">
        <v>18581</v>
      </c>
      <c r="H8622" t="s">
        <v>20446</v>
      </c>
      <c r="I8622" t="s">
        <v>1357</v>
      </c>
      <c r="J8622" t="s">
        <v>1357</v>
      </c>
      <c r="K8622" t="s">
        <v>1357</v>
      </c>
      <c r="L8622" t="s">
        <v>1357</v>
      </c>
    </row>
    <row r="8623" spans="6:12">
      <c r="F8623" t="s">
        <v>15880</v>
      </c>
      <c r="G8623" t="s">
        <v>18582</v>
      </c>
      <c r="H8623" t="s">
        <v>20446</v>
      </c>
      <c r="I8623" t="s">
        <v>1357</v>
      </c>
      <c r="J8623" t="s">
        <v>1357</v>
      </c>
      <c r="K8623" t="s">
        <v>1357</v>
      </c>
      <c r="L8623" t="s">
        <v>1357</v>
      </c>
    </row>
    <row r="8624" spans="6:12">
      <c r="F8624" t="s">
        <v>15881</v>
      </c>
      <c r="G8624" t="s">
        <v>18583</v>
      </c>
      <c r="H8624" t="s">
        <v>20446</v>
      </c>
      <c r="I8624" t="s">
        <v>1357</v>
      </c>
      <c r="J8624" t="s">
        <v>1357</v>
      </c>
      <c r="K8624" t="s">
        <v>1357</v>
      </c>
      <c r="L8624" t="s">
        <v>1357</v>
      </c>
    </row>
    <row r="8625" spans="1:13">
      <c r="F8625" t="s">
        <v>15882</v>
      </c>
      <c r="G8625" t="s">
        <v>18584</v>
      </c>
      <c r="H8625" t="s">
        <v>20446</v>
      </c>
      <c r="I8625" t="s">
        <v>1357</v>
      </c>
      <c r="J8625" t="s">
        <v>1357</v>
      </c>
      <c r="K8625" t="s">
        <v>1357</v>
      </c>
      <c r="L8625" t="s">
        <v>1357</v>
      </c>
    </row>
    <row r="8626" spans="1:13">
      <c r="F8626" t="s">
        <v>15883</v>
      </c>
      <c r="G8626" t="s">
        <v>18585</v>
      </c>
      <c r="H8626" t="s">
        <v>20446</v>
      </c>
      <c r="I8626" t="s">
        <v>1357</v>
      </c>
      <c r="J8626" t="s">
        <v>1357</v>
      </c>
      <c r="K8626" t="s">
        <v>1357</v>
      </c>
      <c r="L8626" t="s">
        <v>1357</v>
      </c>
    </row>
    <row r="8627" spans="1:13">
      <c r="A8627" t="s">
        <v>10163</v>
      </c>
      <c r="B8627">
        <f>HYPERLINK("https://android.googlesource.com/platform/cts/+/4e6d45f82b77da6b36998ddf51d628753867d137", "4e6d45f82b77da6b36998ddf51d628753867d137")</f>
        <v>0</v>
      </c>
      <c r="C8627">
        <f>HYPERLINK("https://android.googlesource.com/platform/cts/+/a0296d64c0c18e1a892d0ef770830624a8af0411", "a0296d64c0c18e1a892d0ef770830624a8af0411")</f>
        <v>0</v>
      </c>
      <c r="D8627" t="s">
        <v>12008</v>
      </c>
      <c r="E8627" t="s">
        <v>12731</v>
      </c>
      <c r="F8627" t="s">
        <v>15884</v>
      </c>
      <c r="G8627" t="s">
        <v>18586</v>
      </c>
      <c r="H8627" t="s">
        <v>20447</v>
      </c>
      <c r="I8627" t="s">
        <v>1357</v>
      </c>
      <c r="J8627" t="s">
        <v>1357</v>
      </c>
      <c r="K8627" t="s">
        <v>1357</v>
      </c>
      <c r="L8627" t="s">
        <v>1357</v>
      </c>
    </row>
    <row r="8628" spans="1:13">
      <c r="A8628" t="s">
        <v>10164</v>
      </c>
      <c r="B8628">
        <f>HYPERLINK("https://android.googlesource.com/platform/cts/+/249fe05dbee3fcf67a1fcbb6c5371f833c606450", "249fe05dbee3fcf67a1fcbb6c5371f833c606450")</f>
        <v>0</v>
      </c>
      <c r="C8628">
        <f>HYPERLINK("https://android.googlesource.com/platform/cts/+/355ac7ba6634755553f607c6cce0fb623bea5519", "355ac7ba6634755553f607c6cce0fb623bea5519")</f>
        <v>0</v>
      </c>
      <c r="D8628" t="s">
        <v>12013</v>
      </c>
      <c r="E8628" t="s">
        <v>12732</v>
      </c>
      <c r="F8628" t="s">
        <v>14539</v>
      </c>
      <c r="G8628" t="s">
        <v>17384</v>
      </c>
      <c r="H8628" t="s">
        <v>20448</v>
      </c>
      <c r="I8628" t="s">
        <v>1357</v>
      </c>
      <c r="J8628" t="s">
        <v>1357</v>
      </c>
      <c r="K8628" t="s">
        <v>1357</v>
      </c>
      <c r="L8628" t="s">
        <v>1357</v>
      </c>
    </row>
    <row r="8629" spans="1:13">
      <c r="H8629" t="s">
        <v>20449</v>
      </c>
      <c r="I8629" t="s">
        <v>1357</v>
      </c>
      <c r="J8629" t="s">
        <v>1357</v>
      </c>
      <c r="K8629" t="s">
        <v>1357</v>
      </c>
      <c r="L8629" t="s">
        <v>1357</v>
      </c>
      <c r="M8629" t="s">
        <v>1360</v>
      </c>
    </row>
    <row r="8630" spans="1:13">
      <c r="H8630" t="s">
        <v>20450</v>
      </c>
      <c r="I8630" t="s">
        <v>1357</v>
      </c>
      <c r="J8630" t="s">
        <v>1357</v>
      </c>
      <c r="K8630" t="s">
        <v>1357</v>
      </c>
      <c r="L8630" t="s">
        <v>1357</v>
      </c>
    </row>
    <row r="8631" spans="1:13">
      <c r="H8631" t="s">
        <v>20028</v>
      </c>
      <c r="I8631" t="s">
        <v>1357</v>
      </c>
      <c r="J8631" t="s">
        <v>1357</v>
      </c>
      <c r="K8631" t="s">
        <v>1357</v>
      </c>
      <c r="L8631" t="s">
        <v>1357</v>
      </c>
    </row>
    <row r="8632" spans="1:13">
      <c r="F8632" t="s">
        <v>15885</v>
      </c>
      <c r="G8632" t="s">
        <v>18587</v>
      </c>
      <c r="H8632" t="s">
        <v>20451</v>
      </c>
      <c r="I8632" t="s">
        <v>1357</v>
      </c>
      <c r="J8632" t="s">
        <v>1357</v>
      </c>
      <c r="K8632" t="s">
        <v>1357</v>
      </c>
      <c r="L8632" t="s">
        <v>1357</v>
      </c>
    </row>
    <row r="8633" spans="1:13">
      <c r="F8633" t="s">
        <v>14519</v>
      </c>
      <c r="G8633" t="s">
        <v>17364</v>
      </c>
      <c r="H8633" t="s">
        <v>20452</v>
      </c>
      <c r="I8633" t="s">
        <v>1357</v>
      </c>
      <c r="J8633" t="s">
        <v>1357</v>
      </c>
      <c r="K8633" t="s">
        <v>1357</v>
      </c>
      <c r="L8633" t="s">
        <v>1357</v>
      </c>
    </row>
    <row r="8634" spans="1:13">
      <c r="A8634" t="s">
        <v>10165</v>
      </c>
      <c r="B8634">
        <f>HYPERLINK("https://android.googlesource.com/platform/cts/+/b1677ec3ffc62cc9ca67e57ce0eeefdd63d20c5d", "b1677ec3ffc62cc9ca67e57ce0eeefdd63d20c5d")</f>
        <v>0</v>
      </c>
      <c r="C8634">
        <f>HYPERLINK("https://android.googlesource.com/platform/cts/+/d747becc7c644563f8003a78ffb3442dc61f672b", "d747becc7c644563f8003a78ffb3442dc61f672b")</f>
        <v>0</v>
      </c>
      <c r="D8634" t="s">
        <v>12008</v>
      </c>
      <c r="E8634" t="s">
        <v>12733</v>
      </c>
      <c r="F8634" t="s">
        <v>15886</v>
      </c>
      <c r="G8634" t="s">
        <v>18588</v>
      </c>
      <c r="H8634" t="s">
        <v>20453</v>
      </c>
      <c r="I8634" t="s">
        <v>1357</v>
      </c>
      <c r="J8634" t="s">
        <v>1357</v>
      </c>
      <c r="K8634" t="s">
        <v>1357</v>
      </c>
      <c r="L8634" t="s">
        <v>1357</v>
      </c>
    </row>
    <row r="8635" spans="1:13">
      <c r="H8635" t="s">
        <v>20454</v>
      </c>
      <c r="I8635" t="s">
        <v>1357</v>
      </c>
      <c r="J8635" t="s">
        <v>1357</v>
      </c>
      <c r="K8635" t="s">
        <v>1357</v>
      </c>
      <c r="L8635" t="s">
        <v>1357</v>
      </c>
    </row>
    <row r="8636" spans="1:13">
      <c r="H8636" t="s">
        <v>20455</v>
      </c>
      <c r="I8636" t="s">
        <v>1357</v>
      </c>
      <c r="J8636" t="s">
        <v>1357</v>
      </c>
      <c r="K8636" t="s">
        <v>1357</v>
      </c>
      <c r="L8636" t="s">
        <v>1357</v>
      </c>
    </row>
    <row r="8637" spans="1:13">
      <c r="H8637" t="s">
        <v>20456</v>
      </c>
      <c r="I8637" t="s">
        <v>1357</v>
      </c>
      <c r="J8637" t="s">
        <v>1357</v>
      </c>
      <c r="K8637" t="s">
        <v>1357</v>
      </c>
      <c r="L8637" t="s">
        <v>1357</v>
      </c>
    </row>
    <row r="8638" spans="1:13">
      <c r="H8638" t="s">
        <v>20457</v>
      </c>
      <c r="I8638" t="s">
        <v>1357</v>
      </c>
      <c r="J8638" t="s">
        <v>1357</v>
      </c>
      <c r="K8638" t="s">
        <v>1357</v>
      </c>
      <c r="L8638" t="s">
        <v>1357</v>
      </c>
    </row>
    <row r="8639" spans="1:13">
      <c r="H8639" t="s">
        <v>20458</v>
      </c>
      <c r="I8639" t="s">
        <v>1357</v>
      </c>
      <c r="J8639" t="s">
        <v>1357</v>
      </c>
      <c r="K8639" t="s">
        <v>1357</v>
      </c>
      <c r="L8639" t="s">
        <v>1357</v>
      </c>
    </row>
    <row r="8640" spans="1:13">
      <c r="H8640" t="s">
        <v>20459</v>
      </c>
      <c r="I8640" t="s">
        <v>1357</v>
      </c>
      <c r="J8640" t="s">
        <v>1357</v>
      </c>
      <c r="K8640" t="s">
        <v>1357</v>
      </c>
      <c r="L8640" t="s">
        <v>1357</v>
      </c>
    </row>
    <row r="8641" spans="1:12">
      <c r="A8641" t="s">
        <v>10166</v>
      </c>
      <c r="B8641">
        <f>HYPERLINK("https://android.googlesource.com/platform/cts/+/24428b818f44db5a242b3858bb97a15becad2318", "24428b818f44db5a242b3858bb97a15becad2318")</f>
        <v>0</v>
      </c>
      <c r="C8641">
        <f>HYPERLINK("https://android.googlesource.com/platform/cts/+/640916170fd94f52afc42e116f5086165136785d", "640916170fd94f52afc42e116f5086165136785d")</f>
        <v>0</v>
      </c>
      <c r="D8641" t="s">
        <v>12008</v>
      </c>
      <c r="E8641" t="s">
        <v>12734</v>
      </c>
      <c r="F8641" t="s">
        <v>15884</v>
      </c>
      <c r="G8641" t="s">
        <v>18586</v>
      </c>
      <c r="H8641" t="s">
        <v>20460</v>
      </c>
      <c r="I8641" t="s">
        <v>1357</v>
      </c>
      <c r="J8641" t="s">
        <v>1357</v>
      </c>
      <c r="K8641" t="s">
        <v>1357</v>
      </c>
      <c r="L8641" t="s">
        <v>1357</v>
      </c>
    </row>
    <row r="8642" spans="1:12">
      <c r="A8642" t="s">
        <v>10167</v>
      </c>
      <c r="B8642">
        <f>HYPERLINK("https://android.googlesource.com/platform/cts/+/70d002367c94dae15fe19029f5f8dc13ed5054c0", "70d002367c94dae15fe19029f5f8dc13ed5054c0")</f>
        <v>0</v>
      </c>
      <c r="C8642">
        <f>HYPERLINK("https://android.googlesource.com/platform/cts/+/bdbb8113ca5973ab7c8ea0433a2bd877d15b6d23", "bdbb8113ca5973ab7c8ea0433a2bd877d15b6d23")</f>
        <v>0</v>
      </c>
      <c r="D8642" t="s">
        <v>12008</v>
      </c>
      <c r="E8642" t="s">
        <v>12735</v>
      </c>
      <c r="F8642" t="s">
        <v>15887</v>
      </c>
      <c r="G8642" t="s">
        <v>18589</v>
      </c>
      <c r="H8642" t="s">
        <v>20461</v>
      </c>
      <c r="I8642" t="s">
        <v>1357</v>
      </c>
      <c r="J8642" t="s">
        <v>1357</v>
      </c>
      <c r="K8642" t="s">
        <v>1357</v>
      </c>
      <c r="L8642" t="s">
        <v>1357</v>
      </c>
    </row>
    <row r="8643" spans="1:12">
      <c r="H8643" t="s">
        <v>20462</v>
      </c>
      <c r="I8643" t="s">
        <v>1357</v>
      </c>
      <c r="J8643" t="s">
        <v>1357</v>
      </c>
      <c r="K8643" t="s">
        <v>1357</v>
      </c>
      <c r="L8643" t="s">
        <v>1357</v>
      </c>
    </row>
    <row r="8644" spans="1:12">
      <c r="H8644" t="s">
        <v>20463</v>
      </c>
      <c r="I8644" t="s">
        <v>1357</v>
      </c>
      <c r="J8644" t="s">
        <v>1357</v>
      </c>
      <c r="K8644" t="s">
        <v>1357</v>
      </c>
      <c r="L8644" t="s">
        <v>1357</v>
      </c>
    </row>
    <row r="8645" spans="1:12">
      <c r="H8645" t="s">
        <v>20464</v>
      </c>
      <c r="I8645" t="s">
        <v>1357</v>
      </c>
      <c r="J8645" t="s">
        <v>1357</v>
      </c>
      <c r="K8645" t="s">
        <v>1357</v>
      </c>
      <c r="L8645" t="s">
        <v>1357</v>
      </c>
    </row>
    <row r="8646" spans="1:12">
      <c r="H8646" t="s">
        <v>20465</v>
      </c>
      <c r="I8646" t="s">
        <v>1357</v>
      </c>
      <c r="J8646" t="s">
        <v>1357</v>
      </c>
      <c r="K8646" t="s">
        <v>1357</v>
      </c>
      <c r="L8646" t="s">
        <v>1357</v>
      </c>
    </row>
    <row r="8647" spans="1:12">
      <c r="H8647" t="s">
        <v>20466</v>
      </c>
      <c r="I8647" t="s">
        <v>1357</v>
      </c>
      <c r="J8647" t="s">
        <v>1357</v>
      </c>
      <c r="K8647" t="s">
        <v>1357</v>
      </c>
      <c r="L8647" t="s">
        <v>1357</v>
      </c>
    </row>
    <row r="8648" spans="1:12">
      <c r="A8648" t="s">
        <v>10168</v>
      </c>
      <c r="B8648">
        <f>HYPERLINK("https://android.googlesource.com/platform/cts/+/0ed72c72490f37a7d31643b459300e67fd3a5a1b", "0ed72c72490f37a7d31643b459300e67fd3a5a1b")</f>
        <v>0</v>
      </c>
      <c r="C8648">
        <f>HYPERLINK("https://android.googlesource.com/platform/cts/+/eec74668cf14293cd66968b73146cf4471fdfe47", "eec74668cf14293cd66968b73146cf4471fdfe47")</f>
        <v>0</v>
      </c>
      <c r="D8648" t="s">
        <v>12008</v>
      </c>
      <c r="E8648" t="s">
        <v>12736</v>
      </c>
      <c r="F8648" t="s">
        <v>15884</v>
      </c>
      <c r="G8648" t="s">
        <v>18586</v>
      </c>
      <c r="H8648" t="s">
        <v>20467</v>
      </c>
      <c r="I8648" t="s">
        <v>1357</v>
      </c>
      <c r="J8648" t="s">
        <v>1357</v>
      </c>
      <c r="K8648" t="s">
        <v>1357</v>
      </c>
      <c r="L8648" t="s">
        <v>1357</v>
      </c>
    </row>
    <row r="8649" spans="1:12">
      <c r="H8649" t="s">
        <v>20468</v>
      </c>
      <c r="I8649" t="s">
        <v>1357</v>
      </c>
      <c r="J8649" t="s">
        <v>1357</v>
      </c>
      <c r="K8649" t="s">
        <v>1357</v>
      </c>
      <c r="L8649" t="s">
        <v>1357</v>
      </c>
    </row>
    <row r="8650" spans="1:12">
      <c r="H8650" t="s">
        <v>20469</v>
      </c>
      <c r="I8650" t="s">
        <v>1357</v>
      </c>
      <c r="J8650" t="s">
        <v>1357</v>
      </c>
      <c r="K8650" t="s">
        <v>1357</v>
      </c>
      <c r="L8650" t="s">
        <v>1357</v>
      </c>
    </row>
    <row r="8651" spans="1:12">
      <c r="F8651" t="s">
        <v>15888</v>
      </c>
      <c r="G8651" t="s">
        <v>18590</v>
      </c>
      <c r="H8651" t="s">
        <v>20468</v>
      </c>
      <c r="I8651" t="s">
        <v>1357</v>
      </c>
      <c r="J8651" t="s">
        <v>1357</v>
      </c>
      <c r="K8651" t="s">
        <v>1357</v>
      </c>
      <c r="L8651" t="s">
        <v>1357</v>
      </c>
    </row>
    <row r="8652" spans="1:12">
      <c r="H8652" t="s">
        <v>20469</v>
      </c>
      <c r="I8652" t="s">
        <v>1357</v>
      </c>
      <c r="J8652" t="s">
        <v>1357</v>
      </c>
      <c r="K8652" t="s">
        <v>1357</v>
      </c>
      <c r="L8652" t="s">
        <v>1357</v>
      </c>
    </row>
    <row r="8653" spans="1:12">
      <c r="A8653" t="s">
        <v>10169</v>
      </c>
      <c r="B8653">
        <f>HYPERLINK("https://android.googlesource.com/platform/cts/+/ade195341f22c03b3a1b2f29729bcb3dbca8710a", "ade195341f22c03b3a1b2f29729bcb3dbca8710a")</f>
        <v>0</v>
      </c>
      <c r="C8653">
        <f>HYPERLINK("https://android.googlesource.com/platform/cts/+/8d13f3f8cbf991832117a68053905df1659d71e0", "8d13f3f8cbf991832117a68053905df1659d71e0")</f>
        <v>0</v>
      </c>
      <c r="D8653" t="s">
        <v>12006</v>
      </c>
      <c r="E8653" t="s">
        <v>12737</v>
      </c>
      <c r="F8653" t="s">
        <v>15889</v>
      </c>
      <c r="G8653" t="s">
        <v>18591</v>
      </c>
      <c r="H8653" t="s">
        <v>20470</v>
      </c>
      <c r="I8653" t="s">
        <v>1357</v>
      </c>
      <c r="J8653" t="s">
        <v>1357</v>
      </c>
      <c r="K8653" t="s">
        <v>1357</v>
      </c>
      <c r="L8653" t="s">
        <v>1357</v>
      </c>
    </row>
    <row r="8654" spans="1:12">
      <c r="H8654" t="s">
        <v>20471</v>
      </c>
      <c r="I8654" t="s">
        <v>1357</v>
      </c>
      <c r="J8654" t="s">
        <v>1357</v>
      </c>
      <c r="K8654" t="s">
        <v>1357</v>
      </c>
      <c r="L8654" t="s">
        <v>1357</v>
      </c>
    </row>
    <row r="8655" spans="1:12">
      <c r="A8655" t="s">
        <v>10170</v>
      </c>
      <c r="B8655">
        <f>HYPERLINK("https://android.googlesource.com/platform/cts/+/2e8627ac963a680c941f8147dca784a8d58a9b35", "2e8627ac963a680c941f8147dca784a8d58a9b35")</f>
        <v>0</v>
      </c>
      <c r="C8655">
        <f>HYPERLINK("https://android.googlesource.com/platform/cts/+/72ebb23ef0dd074e1852bc4e9d4ff75c59787b1f", "72ebb23ef0dd074e1852bc4e9d4ff75c59787b1f")</f>
        <v>0</v>
      </c>
      <c r="D8655" t="s">
        <v>11994</v>
      </c>
      <c r="E8655" t="s">
        <v>12738</v>
      </c>
      <c r="F8655" t="s">
        <v>15890</v>
      </c>
      <c r="G8655" t="s">
        <v>18592</v>
      </c>
      <c r="H8655" t="s">
        <v>20472</v>
      </c>
      <c r="I8655" t="s">
        <v>1357</v>
      </c>
      <c r="J8655" t="s">
        <v>1357</v>
      </c>
      <c r="K8655" t="s">
        <v>1357</v>
      </c>
      <c r="L8655" t="s">
        <v>1357</v>
      </c>
    </row>
    <row r="8656" spans="1:12">
      <c r="H8656" t="s">
        <v>20473</v>
      </c>
      <c r="I8656" t="s">
        <v>1357</v>
      </c>
      <c r="J8656" t="s">
        <v>1357</v>
      </c>
      <c r="K8656" t="s">
        <v>1357</v>
      </c>
      <c r="L8656" t="s">
        <v>1357</v>
      </c>
    </row>
    <row r="8657" spans="1:13">
      <c r="H8657" t="s">
        <v>20474</v>
      </c>
      <c r="I8657" t="s">
        <v>1357</v>
      </c>
      <c r="J8657" t="s">
        <v>1357</v>
      </c>
      <c r="K8657" t="s">
        <v>1357</v>
      </c>
      <c r="L8657" t="s">
        <v>1357</v>
      </c>
    </row>
    <row r="8658" spans="1:13">
      <c r="A8658" t="s">
        <v>10171</v>
      </c>
      <c r="B8658">
        <f>HYPERLINK("https://android.googlesource.com/platform/cts/+/7e0ac86763565fa9d1d287932302f3e70064bc29", "7e0ac86763565fa9d1d287932302f3e70064bc29")</f>
        <v>0</v>
      </c>
      <c r="C8658">
        <f>HYPERLINK("https://android.googlesource.com/platform/cts/+/a33c105bb8396eac924e1c662ba1704ac40566e9", "a33c105bb8396eac924e1c662ba1704ac40566e9")</f>
        <v>0</v>
      </c>
      <c r="D8658" t="s">
        <v>12006</v>
      </c>
      <c r="E8658" t="s">
        <v>12739</v>
      </c>
      <c r="F8658" t="s">
        <v>14519</v>
      </c>
      <c r="G8658" t="s">
        <v>17364</v>
      </c>
      <c r="H8658" t="s">
        <v>20475</v>
      </c>
      <c r="I8658" t="s">
        <v>1357</v>
      </c>
      <c r="J8658" t="s">
        <v>1357</v>
      </c>
      <c r="K8658" t="s">
        <v>1357</v>
      </c>
      <c r="L8658" t="s">
        <v>1357</v>
      </c>
    </row>
    <row r="8659" spans="1:13">
      <c r="A8659" t="s">
        <v>10172</v>
      </c>
      <c r="B8659">
        <f>HYPERLINK("https://android.googlesource.com/platform/cts/+/37eaaa0ac1ead9561a6af2a1cc5106efee5a0855", "37eaaa0ac1ead9561a6af2a1cc5106efee5a0855")</f>
        <v>0</v>
      </c>
      <c r="C8659">
        <f>HYPERLINK("https://android.googlesource.com/platform/cts/+/ce692966d5e59fe10027cbcd0298c91d4754cd63", "ce692966d5e59fe10027cbcd0298c91d4754cd63")</f>
        <v>0</v>
      </c>
      <c r="D8659" t="s">
        <v>12014</v>
      </c>
      <c r="E8659" t="s">
        <v>12740</v>
      </c>
      <c r="F8659" t="s">
        <v>15891</v>
      </c>
      <c r="G8659" t="s">
        <v>17332</v>
      </c>
      <c r="H8659" t="s">
        <v>20476</v>
      </c>
      <c r="I8659" t="s">
        <v>1357</v>
      </c>
      <c r="J8659" t="s">
        <v>1357</v>
      </c>
      <c r="K8659" t="s">
        <v>1357</v>
      </c>
      <c r="L8659" t="s">
        <v>1357</v>
      </c>
    </row>
    <row r="8660" spans="1:13">
      <c r="H8660" t="s">
        <v>20477</v>
      </c>
      <c r="I8660" t="s">
        <v>1357</v>
      </c>
      <c r="J8660" t="s">
        <v>1357</v>
      </c>
      <c r="K8660" t="s">
        <v>1357</v>
      </c>
      <c r="L8660" t="s">
        <v>1357</v>
      </c>
    </row>
    <row r="8661" spans="1:13">
      <c r="A8661" t="s">
        <v>10173</v>
      </c>
      <c r="B8661">
        <f>HYPERLINK("https://android.googlesource.com/platform/cts/+/abd7f62560b53c40bc22f3a19630fe9b1dae95d2", "abd7f62560b53c40bc22f3a19630fe9b1dae95d2")</f>
        <v>0</v>
      </c>
      <c r="C8661">
        <f>HYPERLINK("https://android.googlesource.com/platform/cts/+/54ea8079237becd99105093d1daf70f04d12bd24", "54ea8079237becd99105093d1daf70f04d12bd24")</f>
        <v>0</v>
      </c>
      <c r="D8661" t="s">
        <v>12006</v>
      </c>
      <c r="E8661" t="s">
        <v>12741</v>
      </c>
      <c r="F8661" t="s">
        <v>14519</v>
      </c>
      <c r="G8661" t="s">
        <v>17364</v>
      </c>
      <c r="H8661" t="s">
        <v>20478</v>
      </c>
      <c r="I8661" t="s">
        <v>1357</v>
      </c>
      <c r="J8661" t="s">
        <v>1357</v>
      </c>
      <c r="K8661" t="s">
        <v>1357</v>
      </c>
      <c r="L8661" t="s">
        <v>1357</v>
      </c>
    </row>
    <row r="8662" spans="1:13">
      <c r="A8662" t="s">
        <v>10174</v>
      </c>
      <c r="B8662">
        <f>HYPERLINK("https://android.googlesource.com/platform/cts/+/f1a472051e8c56ff7b2a017129b405be6e184b20", "f1a472051e8c56ff7b2a017129b405be6e184b20")</f>
        <v>0</v>
      </c>
      <c r="C8662">
        <f>HYPERLINK("https://android.googlesource.com/platform/cts/+/5ed832af05ab5f61ae45206ca1ac589f2ba7903b", "5ed832af05ab5f61ae45206ca1ac589f2ba7903b")</f>
        <v>0</v>
      </c>
      <c r="D8662" t="s">
        <v>12008</v>
      </c>
      <c r="E8662" t="s">
        <v>12742</v>
      </c>
      <c r="F8662" t="s">
        <v>15199</v>
      </c>
      <c r="G8662" t="s">
        <v>17901</v>
      </c>
      <c r="H8662" t="s">
        <v>20440</v>
      </c>
      <c r="I8662" t="s">
        <v>1357</v>
      </c>
      <c r="J8662" t="s">
        <v>1357</v>
      </c>
      <c r="K8662" t="s">
        <v>1357</v>
      </c>
      <c r="L8662" t="s">
        <v>1357</v>
      </c>
    </row>
    <row r="8663" spans="1:13">
      <c r="H8663" t="s">
        <v>20441</v>
      </c>
      <c r="I8663" t="s">
        <v>1357</v>
      </c>
      <c r="J8663" t="s">
        <v>1357</v>
      </c>
      <c r="K8663" t="s">
        <v>1357</v>
      </c>
      <c r="L8663" t="s">
        <v>1357</v>
      </c>
    </row>
    <row r="8664" spans="1:13">
      <c r="A8664" t="s">
        <v>10175</v>
      </c>
      <c r="B8664">
        <f>HYPERLINK("https://android.googlesource.com/platform/cts/+/7432633be5569b9cd08480468e716d35baf7ecfc", "7432633be5569b9cd08480468e716d35baf7ecfc")</f>
        <v>0</v>
      </c>
      <c r="C8664">
        <f>HYPERLINK("https://android.googlesource.com/platform/cts/+/1922bf5e3d9fa47134747fcf28734e21cbe3ead4", "1922bf5e3d9fa47134747fcf28734e21cbe3ead4")</f>
        <v>0</v>
      </c>
      <c r="D8664" t="s">
        <v>12015</v>
      </c>
      <c r="E8664" t="s">
        <v>12743</v>
      </c>
      <c r="F8664" t="s">
        <v>15892</v>
      </c>
      <c r="G8664" t="s">
        <v>18593</v>
      </c>
      <c r="H8664" t="s">
        <v>20479</v>
      </c>
      <c r="I8664" t="s">
        <v>1357</v>
      </c>
      <c r="J8664" t="s">
        <v>1357</v>
      </c>
      <c r="K8664" t="s">
        <v>1357</v>
      </c>
      <c r="L8664" t="s">
        <v>1357</v>
      </c>
      <c r="M8664" t="s">
        <v>1360</v>
      </c>
    </row>
    <row r="8665" spans="1:13">
      <c r="A8665" t="s">
        <v>10176</v>
      </c>
      <c r="B8665">
        <f>HYPERLINK("https://android.googlesource.com/platform/cts/+/454631c5c6e4ee54ae67193c045b52463f7438e1", "454631c5c6e4ee54ae67193c045b52463f7438e1")</f>
        <v>0</v>
      </c>
      <c r="C8665">
        <f>HYPERLINK("https://android.googlesource.com/platform/cts/+/df312ed807e97e83aaf6bbd407d2a6480bcc0958", "df312ed807e97e83aaf6bbd407d2a6480bcc0958")</f>
        <v>0</v>
      </c>
      <c r="D8665" t="s">
        <v>12015</v>
      </c>
      <c r="E8665" t="s">
        <v>12744</v>
      </c>
      <c r="F8665" t="s">
        <v>15892</v>
      </c>
      <c r="G8665" t="s">
        <v>18593</v>
      </c>
      <c r="H8665" t="s">
        <v>20480</v>
      </c>
      <c r="I8665" t="s">
        <v>1357</v>
      </c>
      <c r="J8665" t="s">
        <v>1357</v>
      </c>
      <c r="K8665" t="s">
        <v>1357</v>
      </c>
      <c r="L8665" t="s">
        <v>1357</v>
      </c>
    </row>
    <row r="8666" spans="1:13">
      <c r="A8666" t="s">
        <v>10177</v>
      </c>
      <c r="B8666">
        <f>HYPERLINK("https://android.googlesource.com/platform/cts/+/0235daf4e9e397fe2152b469530dc16ad86fbc3b", "0235daf4e9e397fe2152b469530dc16ad86fbc3b")</f>
        <v>0</v>
      </c>
      <c r="C8666">
        <f>HYPERLINK("https://android.googlesource.com/platform/cts/+/67beea30c970c2f3e07e1ef4ce12b70a66b6d7ed", "67beea30c970c2f3e07e1ef4ce12b70a66b6d7ed")</f>
        <v>0</v>
      </c>
      <c r="D8666" t="s">
        <v>12016</v>
      </c>
      <c r="E8666" t="s">
        <v>12745</v>
      </c>
      <c r="F8666" t="s">
        <v>15174</v>
      </c>
      <c r="G8666" t="s">
        <v>17876</v>
      </c>
      <c r="H8666" t="s">
        <v>20481</v>
      </c>
      <c r="I8666" t="s">
        <v>1357</v>
      </c>
      <c r="J8666" t="s">
        <v>1357</v>
      </c>
      <c r="K8666" t="s">
        <v>1357</v>
      </c>
      <c r="L8666" t="s">
        <v>1357</v>
      </c>
    </row>
    <row r="8667" spans="1:13">
      <c r="A8667" t="s">
        <v>10178</v>
      </c>
      <c r="B8667">
        <f>HYPERLINK("https://android.googlesource.com/platform/cts/+/a7212deb6ccbfc5705a19fb1beebbf061fc3a007", "a7212deb6ccbfc5705a19fb1beebbf061fc3a007")</f>
        <v>0</v>
      </c>
      <c r="C8667">
        <f>HYPERLINK("https://android.googlesource.com/platform/cts/+/4f0d3b9d18388d010f15dd0bf0b0596886ff5c1e", "4f0d3b9d18388d010f15dd0bf0b0596886ff5c1e")</f>
        <v>0</v>
      </c>
      <c r="D8667" t="s">
        <v>12004</v>
      </c>
      <c r="E8667" t="s">
        <v>12746</v>
      </c>
      <c r="F8667" t="s">
        <v>15174</v>
      </c>
      <c r="G8667" t="s">
        <v>17876</v>
      </c>
      <c r="H8667" t="s">
        <v>20482</v>
      </c>
      <c r="I8667" t="s">
        <v>1357</v>
      </c>
      <c r="J8667" t="s">
        <v>1357</v>
      </c>
      <c r="K8667" t="s">
        <v>1357</v>
      </c>
      <c r="L8667" t="s">
        <v>1357</v>
      </c>
    </row>
    <row r="8668" spans="1:13">
      <c r="A8668" t="s">
        <v>10179</v>
      </c>
      <c r="B8668">
        <f>HYPERLINK("https://android.googlesource.com/platform/cts/+/a15f67ae7c0361db2c4fc8bdf7b27cf9cb32a312", "a15f67ae7c0361db2c4fc8bdf7b27cf9cb32a312")</f>
        <v>0</v>
      </c>
      <c r="C8668">
        <f>HYPERLINK("https://android.googlesource.com/platform/cts/+/4f0d3b9d18388d010f15dd0bf0b0596886ff5c1e", "4f0d3b9d18388d010f15dd0bf0b0596886ff5c1e")</f>
        <v>0</v>
      </c>
      <c r="D8668" t="s">
        <v>12004</v>
      </c>
      <c r="E8668" t="s">
        <v>12747</v>
      </c>
      <c r="F8668" t="s">
        <v>15174</v>
      </c>
      <c r="G8668" t="s">
        <v>17876</v>
      </c>
      <c r="H8668" t="s">
        <v>20483</v>
      </c>
      <c r="I8668" t="s">
        <v>1357</v>
      </c>
      <c r="J8668" t="s">
        <v>1357</v>
      </c>
      <c r="K8668" t="s">
        <v>1357</v>
      </c>
      <c r="L8668" t="s">
        <v>1357</v>
      </c>
    </row>
    <row r="8669" spans="1:13">
      <c r="A8669" t="s">
        <v>10180</v>
      </c>
      <c r="B8669">
        <f>HYPERLINK("https://android.googlesource.com/platform/cts/+/fb5798629739e3a0343f50418aec7beea3ddd6f5", "fb5798629739e3a0343f50418aec7beea3ddd6f5")</f>
        <v>0</v>
      </c>
      <c r="C8669">
        <f>HYPERLINK("https://android.googlesource.com/platform/cts/+/df45c01962a8deca614d1ec004220d975978b1c1", "df45c01962a8deca614d1ec004220d975978b1c1")</f>
        <v>0</v>
      </c>
      <c r="D8669" t="s">
        <v>12017</v>
      </c>
      <c r="E8669" t="s">
        <v>12748</v>
      </c>
      <c r="F8669" t="s">
        <v>14519</v>
      </c>
      <c r="G8669" t="s">
        <v>17364</v>
      </c>
      <c r="H8669" t="s">
        <v>20484</v>
      </c>
      <c r="I8669" t="s">
        <v>1357</v>
      </c>
      <c r="J8669" t="s">
        <v>1357</v>
      </c>
      <c r="K8669" t="s">
        <v>1357</v>
      </c>
      <c r="L8669" t="s">
        <v>1357</v>
      </c>
    </row>
    <row r="8670" spans="1:13">
      <c r="A8670" t="s">
        <v>10181</v>
      </c>
      <c r="B8670">
        <f>HYPERLINK("https://android.googlesource.com/platform/cts/+/96b6e21011bee83ce54dd0aff3206847fd43a385", "96b6e21011bee83ce54dd0aff3206847fd43a385")</f>
        <v>0</v>
      </c>
      <c r="C8670">
        <f>HYPERLINK("https://android.googlesource.com/platform/cts/+/13f9624353332f4045b1bcf5dce9523e5f54c923", "13f9624353332f4045b1bcf5dce9523e5f54c923")</f>
        <v>0</v>
      </c>
      <c r="D8670" t="s">
        <v>12016</v>
      </c>
      <c r="E8670" t="s">
        <v>12749</v>
      </c>
      <c r="F8670" t="s">
        <v>15174</v>
      </c>
      <c r="G8670" t="s">
        <v>17876</v>
      </c>
      <c r="H8670" t="s">
        <v>20485</v>
      </c>
      <c r="I8670" t="s">
        <v>1357</v>
      </c>
      <c r="J8670" t="s">
        <v>1357</v>
      </c>
      <c r="K8670" t="s">
        <v>1357</v>
      </c>
      <c r="L8670" t="s">
        <v>1357</v>
      </c>
    </row>
    <row r="8671" spans="1:13">
      <c r="F8671" t="s">
        <v>14519</v>
      </c>
      <c r="G8671" t="s">
        <v>17364</v>
      </c>
      <c r="H8671" t="s">
        <v>20486</v>
      </c>
      <c r="I8671" t="s">
        <v>1357</v>
      </c>
      <c r="J8671" t="s">
        <v>1357</v>
      </c>
      <c r="K8671" t="s">
        <v>1357</v>
      </c>
      <c r="L8671" t="s">
        <v>1357</v>
      </c>
    </row>
    <row r="8672" spans="1:13">
      <c r="A8672" t="s">
        <v>10182</v>
      </c>
      <c r="B8672">
        <f>HYPERLINK("https://android.googlesource.com/platform/cts/+/eef4c57eef34cd90794afb9165c071f6be6e1fcd", "eef4c57eef34cd90794afb9165c071f6be6e1fcd")</f>
        <v>0</v>
      </c>
      <c r="C8672">
        <f>HYPERLINK("https://android.googlesource.com/platform/cts/+/b2a4b59e58cce4e65c7c9347295007a735e995a7", "b2a4b59e58cce4e65c7c9347295007a735e995a7")</f>
        <v>0</v>
      </c>
      <c r="D8672" t="s">
        <v>12008</v>
      </c>
      <c r="E8672" t="s">
        <v>12750</v>
      </c>
      <c r="F8672" t="s">
        <v>15893</v>
      </c>
      <c r="G8672" t="s">
        <v>18594</v>
      </c>
      <c r="H8672" t="s">
        <v>20487</v>
      </c>
      <c r="I8672" t="s">
        <v>1357</v>
      </c>
      <c r="J8672" t="s">
        <v>1357</v>
      </c>
      <c r="K8672" t="s">
        <v>1357</v>
      </c>
      <c r="L8672" t="s">
        <v>1357</v>
      </c>
    </row>
    <row r="8673" spans="1:13">
      <c r="F8673" t="s">
        <v>15894</v>
      </c>
      <c r="G8673" t="s">
        <v>18595</v>
      </c>
      <c r="H8673" t="s">
        <v>20487</v>
      </c>
      <c r="I8673" t="s">
        <v>1357</v>
      </c>
      <c r="J8673" t="s">
        <v>1357</v>
      </c>
      <c r="K8673" t="s">
        <v>1357</v>
      </c>
      <c r="L8673" t="s">
        <v>1357</v>
      </c>
    </row>
    <row r="8674" spans="1:13">
      <c r="A8674" t="s">
        <v>10183</v>
      </c>
      <c r="B8674">
        <f>HYPERLINK("https://android.googlesource.com/platform/cts/+/d0de47e2090b27c5c5615008215ea90c17aa0117", "d0de47e2090b27c5c5615008215ea90c17aa0117")</f>
        <v>0</v>
      </c>
      <c r="C8674">
        <f>HYPERLINK("https://android.googlesource.com/platform/cts/+/53cd5d0e366465d89a77f7ad871a5fe3f00f53a2", "53cd5d0e366465d89a77f7ad871a5fe3f00f53a2")</f>
        <v>0</v>
      </c>
      <c r="D8674" t="s">
        <v>12018</v>
      </c>
      <c r="E8674" t="s">
        <v>12751</v>
      </c>
      <c r="F8674" t="s">
        <v>15895</v>
      </c>
      <c r="G8674" t="s">
        <v>18596</v>
      </c>
      <c r="H8674" t="s">
        <v>20488</v>
      </c>
      <c r="I8674" t="s">
        <v>1357</v>
      </c>
      <c r="J8674" t="s">
        <v>1357</v>
      </c>
      <c r="K8674" t="s">
        <v>1357</v>
      </c>
      <c r="L8674" t="s">
        <v>1357</v>
      </c>
    </row>
    <row r="8675" spans="1:13">
      <c r="A8675" t="s">
        <v>10184</v>
      </c>
      <c r="B8675">
        <f>HYPERLINK("https://android.googlesource.com/platform/cts/+/3f6180d7d497c36df426a61d4df9565cac65bde9", "3f6180d7d497c36df426a61d4df9565cac65bde9")</f>
        <v>0</v>
      </c>
      <c r="C8675">
        <f>HYPERLINK("https://android.googlesource.com/platform/cts/+/6d4810cb42976a96fa938fee8ebbb734dab0d520", "6d4810cb42976a96fa938fee8ebbb734dab0d520")</f>
        <v>0</v>
      </c>
      <c r="D8675" t="s">
        <v>12010</v>
      </c>
      <c r="E8675" t="s">
        <v>12751</v>
      </c>
      <c r="F8675" t="s">
        <v>15895</v>
      </c>
      <c r="G8675" t="s">
        <v>18596</v>
      </c>
      <c r="H8675" t="s">
        <v>20488</v>
      </c>
      <c r="I8675" t="s">
        <v>1357</v>
      </c>
      <c r="J8675" t="s">
        <v>1357</v>
      </c>
      <c r="K8675" t="s">
        <v>1357</v>
      </c>
      <c r="L8675" t="s">
        <v>1357</v>
      </c>
      <c r="M8675" t="s">
        <v>27480</v>
      </c>
    </row>
    <row r="8676" spans="1:13">
      <c r="A8676" t="s">
        <v>10185</v>
      </c>
      <c r="B8676">
        <f>HYPERLINK("https://android.googlesource.com/platform/cts/+/8669cace0433b06591a93136ecbdf4acafe6eaac", "8669cace0433b06591a93136ecbdf4acafe6eaac")</f>
        <v>0</v>
      </c>
      <c r="C8676">
        <f>HYPERLINK("https://android.googlesource.com/platform/cts/+/1de065b9156d171f13e2998f7a0c7dcaf29fbdd0", "1de065b9156d171f13e2998f7a0c7dcaf29fbdd0")</f>
        <v>0</v>
      </c>
      <c r="D8676" t="s">
        <v>12006</v>
      </c>
      <c r="E8676" t="s">
        <v>12752</v>
      </c>
      <c r="F8676" t="s">
        <v>15174</v>
      </c>
      <c r="G8676" t="s">
        <v>17876</v>
      </c>
      <c r="H8676" t="s">
        <v>20489</v>
      </c>
      <c r="I8676" t="s">
        <v>1357</v>
      </c>
      <c r="J8676" t="s">
        <v>1357</v>
      </c>
      <c r="K8676" t="s">
        <v>1357</v>
      </c>
      <c r="L8676" t="s">
        <v>1357</v>
      </c>
    </row>
    <row r="8677" spans="1:13">
      <c r="H8677" t="s">
        <v>20490</v>
      </c>
      <c r="I8677" t="s">
        <v>1357</v>
      </c>
      <c r="J8677" t="s">
        <v>1357</v>
      </c>
      <c r="K8677" t="s">
        <v>1357</v>
      </c>
      <c r="L8677" t="s">
        <v>1357</v>
      </c>
    </row>
    <row r="8678" spans="1:13">
      <c r="A8678" t="s">
        <v>10186</v>
      </c>
      <c r="B8678">
        <f>HYPERLINK("https://android.googlesource.com/platform/cts/+/cbd961455ce8342d0d01558bf352fae6f7250a59", "cbd961455ce8342d0d01558bf352fae6f7250a59")</f>
        <v>0</v>
      </c>
      <c r="C8678">
        <f>HYPERLINK("https://android.googlesource.com/platform/cts/+/e5f03443d32567748927b3eecfafe5a5ae78fd29", "e5f03443d32567748927b3eecfafe5a5ae78fd29")</f>
        <v>0</v>
      </c>
      <c r="D8678" t="s">
        <v>12016</v>
      </c>
      <c r="E8678" t="s">
        <v>12753</v>
      </c>
      <c r="F8678" t="s">
        <v>15174</v>
      </c>
      <c r="G8678" t="s">
        <v>17876</v>
      </c>
      <c r="H8678" t="s">
        <v>20489</v>
      </c>
      <c r="I8678" t="s">
        <v>1357</v>
      </c>
      <c r="J8678" t="s">
        <v>1357</v>
      </c>
      <c r="K8678" t="s">
        <v>1357</v>
      </c>
      <c r="L8678" t="s">
        <v>1357</v>
      </c>
    </row>
    <row r="8679" spans="1:13">
      <c r="A8679" t="s">
        <v>10187</v>
      </c>
      <c r="B8679">
        <f>HYPERLINK("https://android.googlesource.com/platform/cts/+/663a13cfa108afe02620403c87061b0ff22f08ed", "663a13cfa108afe02620403c87061b0ff22f08ed")</f>
        <v>0</v>
      </c>
      <c r="C8679">
        <f>HYPERLINK("https://android.googlesource.com/platform/cts/+/f736ec122c72be8429afdf6cc89b128f71668a3d", "f736ec122c72be8429afdf6cc89b128f71668a3d")</f>
        <v>0</v>
      </c>
      <c r="D8679" t="s">
        <v>12019</v>
      </c>
      <c r="E8679" t="s">
        <v>12754</v>
      </c>
      <c r="F8679" t="s">
        <v>15896</v>
      </c>
      <c r="G8679" t="s">
        <v>18597</v>
      </c>
      <c r="H8679" t="s">
        <v>20491</v>
      </c>
      <c r="I8679" t="s">
        <v>1357</v>
      </c>
      <c r="J8679" t="s">
        <v>1357</v>
      </c>
      <c r="K8679" t="s">
        <v>1357</v>
      </c>
      <c r="L8679" t="s">
        <v>1357</v>
      </c>
    </row>
    <row r="8680" spans="1:13">
      <c r="H8680" t="s">
        <v>20492</v>
      </c>
      <c r="I8680" t="s">
        <v>1357</v>
      </c>
      <c r="J8680" t="s">
        <v>1357</v>
      </c>
      <c r="K8680" t="s">
        <v>1357</v>
      </c>
      <c r="L8680" t="s">
        <v>1357</v>
      </c>
    </row>
    <row r="8681" spans="1:13">
      <c r="H8681" t="s">
        <v>20493</v>
      </c>
      <c r="I8681" t="s">
        <v>1357</v>
      </c>
      <c r="J8681" t="s">
        <v>1357</v>
      </c>
      <c r="K8681" t="s">
        <v>1357</v>
      </c>
      <c r="L8681" t="s">
        <v>1357</v>
      </c>
    </row>
    <row r="8682" spans="1:13">
      <c r="H8682" t="s">
        <v>20494</v>
      </c>
      <c r="I8682" t="s">
        <v>1357</v>
      </c>
      <c r="J8682" t="s">
        <v>1357</v>
      </c>
      <c r="K8682" t="s">
        <v>1357</v>
      </c>
      <c r="L8682" t="s">
        <v>1357</v>
      </c>
    </row>
    <row r="8683" spans="1:13">
      <c r="A8683" t="s">
        <v>10188</v>
      </c>
      <c r="B8683">
        <f>HYPERLINK("https://android.googlesource.com/platform/cts/+/9e0e27eeda44f2eb94dea4a97a3faa3a01adabc3", "9e0e27eeda44f2eb94dea4a97a3faa3a01adabc3")</f>
        <v>0</v>
      </c>
      <c r="C8683">
        <f>HYPERLINK("https://android.googlesource.com/platform/cts/+/9de4863318f50b9123b5e8ac446ac82f2080fca7", "9de4863318f50b9123b5e8ac446ac82f2080fca7")</f>
        <v>0</v>
      </c>
      <c r="D8683" t="s">
        <v>11991</v>
      </c>
      <c r="E8683" t="s">
        <v>12755</v>
      </c>
      <c r="F8683" t="s">
        <v>15897</v>
      </c>
      <c r="G8683" t="s">
        <v>18598</v>
      </c>
      <c r="H8683" t="s">
        <v>20495</v>
      </c>
      <c r="I8683" t="s">
        <v>1357</v>
      </c>
      <c r="J8683" t="s">
        <v>1357</v>
      </c>
      <c r="K8683" t="s">
        <v>1357</v>
      </c>
      <c r="L8683" t="s">
        <v>1357</v>
      </c>
    </row>
    <row r="8684" spans="1:13">
      <c r="A8684" t="s">
        <v>10189</v>
      </c>
      <c r="B8684">
        <f>HYPERLINK("https://android.googlesource.com/platform/cts/+/03adeb8a1b69e14c20854ac3a7ff60f17b8527d2", "03adeb8a1b69e14c20854ac3a7ff60f17b8527d2")</f>
        <v>0</v>
      </c>
      <c r="C8684">
        <f>HYPERLINK("https://android.googlesource.com/platform/cts/+/7cf81f86af29125b792e4f29aa0780298232d004", "7cf81f86af29125b792e4f29aa0780298232d004")</f>
        <v>0</v>
      </c>
      <c r="D8684" t="s">
        <v>12008</v>
      </c>
      <c r="E8684" t="s">
        <v>12756</v>
      </c>
      <c r="F8684" t="s">
        <v>15898</v>
      </c>
      <c r="G8684" t="s">
        <v>18599</v>
      </c>
      <c r="H8684" t="s">
        <v>20496</v>
      </c>
      <c r="I8684" t="s">
        <v>1357</v>
      </c>
      <c r="J8684" t="s">
        <v>1357</v>
      </c>
      <c r="K8684" t="s">
        <v>1357</v>
      </c>
      <c r="L8684" t="s">
        <v>1357</v>
      </c>
    </row>
    <row r="8685" spans="1:13">
      <c r="F8685" t="s">
        <v>15899</v>
      </c>
      <c r="G8685" t="s">
        <v>18600</v>
      </c>
      <c r="H8685" t="s">
        <v>20497</v>
      </c>
      <c r="I8685" t="s">
        <v>1357</v>
      </c>
      <c r="J8685" t="s">
        <v>1357</v>
      </c>
      <c r="K8685" t="s">
        <v>1357</v>
      </c>
      <c r="L8685" t="s">
        <v>1357</v>
      </c>
    </row>
    <row r="8686" spans="1:13">
      <c r="H8686" t="s">
        <v>20498</v>
      </c>
      <c r="I8686" t="s">
        <v>1357</v>
      </c>
      <c r="J8686" t="s">
        <v>1357</v>
      </c>
      <c r="K8686" t="s">
        <v>1357</v>
      </c>
      <c r="L8686" t="s">
        <v>1357</v>
      </c>
    </row>
    <row r="8687" spans="1:13">
      <c r="H8687" t="s">
        <v>20499</v>
      </c>
      <c r="I8687" t="s">
        <v>1357</v>
      </c>
      <c r="J8687" t="s">
        <v>1357</v>
      </c>
      <c r="K8687" t="s">
        <v>1357</v>
      </c>
      <c r="L8687" t="s">
        <v>1357</v>
      </c>
    </row>
    <row r="8688" spans="1:13">
      <c r="H8688" t="s">
        <v>20500</v>
      </c>
      <c r="I8688" t="s">
        <v>1357</v>
      </c>
      <c r="J8688" t="s">
        <v>1357</v>
      </c>
      <c r="K8688" t="s">
        <v>1357</v>
      </c>
      <c r="L8688" t="s">
        <v>1357</v>
      </c>
    </row>
    <row r="8689" spans="8:12">
      <c r="H8689" t="s">
        <v>20501</v>
      </c>
      <c r="I8689" t="s">
        <v>1357</v>
      </c>
      <c r="J8689" t="s">
        <v>1357</v>
      </c>
      <c r="K8689" t="s">
        <v>1357</v>
      </c>
      <c r="L8689" t="s">
        <v>1357</v>
      </c>
    </row>
    <row r="8690" spans="8:12">
      <c r="H8690" t="s">
        <v>20502</v>
      </c>
      <c r="I8690" t="s">
        <v>1357</v>
      </c>
      <c r="J8690" t="s">
        <v>1357</v>
      </c>
      <c r="K8690" t="s">
        <v>1357</v>
      </c>
      <c r="L8690" t="s">
        <v>1357</v>
      </c>
    </row>
    <row r="8691" spans="8:12">
      <c r="H8691" t="s">
        <v>20503</v>
      </c>
      <c r="I8691" t="s">
        <v>1357</v>
      </c>
      <c r="J8691" t="s">
        <v>1357</v>
      </c>
      <c r="K8691" t="s">
        <v>1357</v>
      </c>
      <c r="L8691" t="s">
        <v>1357</v>
      </c>
    </row>
    <row r="8692" spans="8:12">
      <c r="H8692" t="s">
        <v>20504</v>
      </c>
      <c r="I8692" t="s">
        <v>1357</v>
      </c>
      <c r="J8692" t="s">
        <v>1357</v>
      </c>
      <c r="K8692" t="s">
        <v>1357</v>
      </c>
      <c r="L8692" t="s">
        <v>1357</v>
      </c>
    </row>
    <row r="8693" spans="8:12">
      <c r="H8693" t="s">
        <v>20505</v>
      </c>
      <c r="I8693" t="s">
        <v>1357</v>
      </c>
      <c r="J8693" t="s">
        <v>1357</v>
      </c>
      <c r="K8693" t="s">
        <v>1357</v>
      </c>
      <c r="L8693" t="s">
        <v>1357</v>
      </c>
    </row>
    <row r="8694" spans="8:12">
      <c r="H8694" t="s">
        <v>20506</v>
      </c>
      <c r="I8694" t="s">
        <v>1357</v>
      </c>
      <c r="J8694" t="s">
        <v>1357</v>
      </c>
      <c r="K8694" t="s">
        <v>1357</v>
      </c>
      <c r="L8694" t="s">
        <v>1357</v>
      </c>
    </row>
    <row r="8695" spans="8:12">
      <c r="H8695" t="s">
        <v>20507</v>
      </c>
      <c r="I8695" t="s">
        <v>1357</v>
      </c>
      <c r="J8695" t="s">
        <v>1357</v>
      </c>
      <c r="K8695" t="s">
        <v>1357</v>
      </c>
      <c r="L8695" t="s">
        <v>1357</v>
      </c>
    </row>
    <row r="8696" spans="8:12">
      <c r="H8696" t="s">
        <v>20508</v>
      </c>
      <c r="I8696" t="s">
        <v>1357</v>
      </c>
      <c r="J8696" t="s">
        <v>1357</v>
      </c>
      <c r="K8696" t="s">
        <v>1357</v>
      </c>
      <c r="L8696" t="s">
        <v>1357</v>
      </c>
    </row>
    <row r="8697" spans="8:12">
      <c r="H8697" t="s">
        <v>20509</v>
      </c>
      <c r="I8697" t="s">
        <v>1357</v>
      </c>
      <c r="J8697" t="s">
        <v>1357</v>
      </c>
      <c r="K8697" t="s">
        <v>1357</v>
      </c>
      <c r="L8697" t="s">
        <v>1357</v>
      </c>
    </row>
    <row r="8698" spans="8:12">
      <c r="H8698" t="s">
        <v>20510</v>
      </c>
      <c r="I8698" t="s">
        <v>1357</v>
      </c>
      <c r="J8698" t="s">
        <v>1357</v>
      </c>
      <c r="K8698" t="s">
        <v>1357</v>
      </c>
      <c r="L8698" t="s">
        <v>1357</v>
      </c>
    </row>
    <row r="8699" spans="8:12">
      <c r="H8699" t="s">
        <v>20511</v>
      </c>
      <c r="I8699" t="s">
        <v>1357</v>
      </c>
      <c r="J8699" t="s">
        <v>1357</v>
      </c>
      <c r="K8699" t="s">
        <v>1357</v>
      </c>
      <c r="L8699" t="s">
        <v>1357</v>
      </c>
    </row>
    <row r="8700" spans="8:12">
      <c r="H8700" t="s">
        <v>20512</v>
      </c>
      <c r="I8700" t="s">
        <v>1357</v>
      </c>
      <c r="J8700" t="s">
        <v>1357</v>
      </c>
      <c r="K8700" t="s">
        <v>1357</v>
      </c>
      <c r="L8700" t="s">
        <v>1357</v>
      </c>
    </row>
    <row r="8701" spans="8:12">
      <c r="H8701" t="s">
        <v>20513</v>
      </c>
      <c r="I8701" t="s">
        <v>1357</v>
      </c>
      <c r="J8701" t="s">
        <v>1357</v>
      </c>
      <c r="K8701" t="s">
        <v>1357</v>
      </c>
      <c r="L8701" t="s">
        <v>1357</v>
      </c>
    </row>
    <row r="8702" spans="8:12">
      <c r="H8702" t="s">
        <v>20514</v>
      </c>
      <c r="I8702" t="s">
        <v>1357</v>
      </c>
      <c r="J8702" t="s">
        <v>1357</v>
      </c>
      <c r="K8702" t="s">
        <v>1357</v>
      </c>
      <c r="L8702" t="s">
        <v>1357</v>
      </c>
    </row>
    <row r="8703" spans="8:12">
      <c r="H8703" t="s">
        <v>20515</v>
      </c>
      <c r="I8703" t="s">
        <v>1357</v>
      </c>
      <c r="J8703" t="s">
        <v>1357</v>
      </c>
      <c r="K8703" t="s">
        <v>1357</v>
      </c>
      <c r="L8703" t="s">
        <v>1357</v>
      </c>
    </row>
    <row r="8704" spans="8:12">
      <c r="H8704" t="s">
        <v>20516</v>
      </c>
      <c r="I8704" t="s">
        <v>1357</v>
      </c>
      <c r="J8704" t="s">
        <v>1357</v>
      </c>
      <c r="K8704" t="s">
        <v>1357</v>
      </c>
      <c r="L8704" t="s">
        <v>1357</v>
      </c>
    </row>
    <row r="8705" spans="6:12">
      <c r="H8705" t="s">
        <v>20517</v>
      </c>
      <c r="I8705" t="s">
        <v>1357</v>
      </c>
      <c r="J8705" t="s">
        <v>1357</v>
      </c>
      <c r="K8705" t="s">
        <v>1357</v>
      </c>
      <c r="L8705" t="s">
        <v>1357</v>
      </c>
    </row>
    <row r="8706" spans="6:12">
      <c r="H8706" t="s">
        <v>20518</v>
      </c>
      <c r="I8706" t="s">
        <v>1357</v>
      </c>
      <c r="J8706" t="s">
        <v>1357</v>
      </c>
      <c r="K8706" t="s">
        <v>1357</v>
      </c>
      <c r="L8706" t="s">
        <v>1357</v>
      </c>
    </row>
    <row r="8707" spans="6:12">
      <c r="H8707" t="s">
        <v>20519</v>
      </c>
      <c r="I8707" t="s">
        <v>1357</v>
      </c>
      <c r="J8707" t="s">
        <v>1357</v>
      </c>
      <c r="K8707" t="s">
        <v>1357</v>
      </c>
      <c r="L8707" t="s">
        <v>1357</v>
      </c>
    </row>
    <row r="8708" spans="6:12">
      <c r="H8708" t="s">
        <v>20520</v>
      </c>
      <c r="I8708" t="s">
        <v>1357</v>
      </c>
      <c r="J8708" t="s">
        <v>1357</v>
      </c>
      <c r="K8708" t="s">
        <v>1357</v>
      </c>
      <c r="L8708" t="s">
        <v>1357</v>
      </c>
    </row>
    <row r="8709" spans="6:12">
      <c r="H8709" t="s">
        <v>20521</v>
      </c>
      <c r="I8709" t="s">
        <v>1357</v>
      </c>
      <c r="J8709" t="s">
        <v>1357</v>
      </c>
      <c r="K8709" t="s">
        <v>1357</v>
      </c>
      <c r="L8709" t="s">
        <v>1357</v>
      </c>
    </row>
    <row r="8710" spans="6:12">
      <c r="H8710" t="s">
        <v>20522</v>
      </c>
      <c r="I8710" t="s">
        <v>1357</v>
      </c>
      <c r="J8710" t="s">
        <v>1357</v>
      </c>
      <c r="K8710" t="s">
        <v>1357</v>
      </c>
      <c r="L8710" t="s">
        <v>1357</v>
      </c>
    </row>
    <row r="8711" spans="6:12">
      <c r="F8711" t="s">
        <v>15900</v>
      </c>
      <c r="G8711" t="s">
        <v>18601</v>
      </c>
      <c r="H8711" t="s">
        <v>20523</v>
      </c>
      <c r="I8711" t="s">
        <v>1357</v>
      </c>
      <c r="J8711" t="s">
        <v>1357</v>
      </c>
      <c r="K8711" t="s">
        <v>1357</v>
      </c>
      <c r="L8711" t="s">
        <v>1357</v>
      </c>
    </row>
    <row r="8712" spans="6:12">
      <c r="H8712" t="s">
        <v>20524</v>
      </c>
      <c r="I8712" t="s">
        <v>1357</v>
      </c>
      <c r="J8712" t="s">
        <v>1357</v>
      </c>
      <c r="K8712" t="s">
        <v>1357</v>
      </c>
      <c r="L8712" t="s">
        <v>1357</v>
      </c>
    </row>
    <row r="8713" spans="6:12">
      <c r="H8713" t="s">
        <v>20525</v>
      </c>
      <c r="I8713" t="s">
        <v>1357</v>
      </c>
      <c r="J8713" t="s">
        <v>1357</v>
      </c>
      <c r="K8713" t="s">
        <v>1357</v>
      </c>
      <c r="L8713" t="s">
        <v>1357</v>
      </c>
    </row>
    <row r="8714" spans="6:12">
      <c r="F8714" t="s">
        <v>15901</v>
      </c>
      <c r="G8714" t="s">
        <v>18602</v>
      </c>
      <c r="H8714" t="s">
        <v>20524</v>
      </c>
      <c r="I8714" t="s">
        <v>1357</v>
      </c>
      <c r="J8714" t="s">
        <v>1357</v>
      </c>
      <c r="K8714" t="s">
        <v>1357</v>
      </c>
      <c r="L8714" t="s">
        <v>1357</v>
      </c>
    </row>
    <row r="8715" spans="6:12">
      <c r="H8715" t="s">
        <v>20525</v>
      </c>
      <c r="I8715" t="s">
        <v>1357</v>
      </c>
      <c r="J8715" t="s">
        <v>1357</v>
      </c>
      <c r="K8715" t="s">
        <v>1357</v>
      </c>
      <c r="L8715" t="s">
        <v>1357</v>
      </c>
    </row>
    <row r="8716" spans="6:12">
      <c r="F8716" t="s">
        <v>15902</v>
      </c>
      <c r="G8716" t="s">
        <v>18603</v>
      </c>
      <c r="H8716" t="s">
        <v>20437</v>
      </c>
      <c r="I8716" t="s">
        <v>1357</v>
      </c>
      <c r="J8716" t="s">
        <v>1357</v>
      </c>
      <c r="K8716" t="s">
        <v>1357</v>
      </c>
      <c r="L8716" t="s">
        <v>1357</v>
      </c>
    </row>
    <row r="8717" spans="6:12">
      <c r="H8717" t="s">
        <v>20438</v>
      </c>
      <c r="I8717" t="s">
        <v>1357</v>
      </c>
      <c r="J8717" t="s">
        <v>1357</v>
      </c>
      <c r="K8717" t="s">
        <v>1357</v>
      </c>
      <c r="L8717" t="s">
        <v>1357</v>
      </c>
    </row>
    <row r="8718" spans="6:12">
      <c r="H8718" t="s">
        <v>20439</v>
      </c>
      <c r="I8718" t="s">
        <v>1357</v>
      </c>
      <c r="J8718" t="s">
        <v>1357</v>
      </c>
      <c r="K8718" t="s">
        <v>1357</v>
      </c>
      <c r="L8718" t="s">
        <v>1357</v>
      </c>
    </row>
    <row r="8719" spans="6:12">
      <c r="F8719" t="s">
        <v>15903</v>
      </c>
      <c r="G8719" t="s">
        <v>18604</v>
      </c>
      <c r="H8719" t="s">
        <v>20526</v>
      </c>
      <c r="I8719" t="s">
        <v>1357</v>
      </c>
      <c r="J8719" t="s">
        <v>1357</v>
      </c>
      <c r="K8719" t="s">
        <v>1357</v>
      </c>
      <c r="L8719" t="s">
        <v>1357</v>
      </c>
    </row>
    <row r="8720" spans="6:12">
      <c r="H8720" t="s">
        <v>20527</v>
      </c>
      <c r="I8720" t="s">
        <v>1357</v>
      </c>
      <c r="J8720" t="s">
        <v>1357</v>
      </c>
      <c r="K8720" t="s">
        <v>1357</v>
      </c>
      <c r="L8720" t="s">
        <v>1357</v>
      </c>
    </row>
    <row r="8721" spans="6:12">
      <c r="H8721" t="s">
        <v>20528</v>
      </c>
      <c r="I8721" t="s">
        <v>1357</v>
      </c>
      <c r="J8721" t="s">
        <v>1357</v>
      </c>
      <c r="K8721" t="s">
        <v>1357</v>
      </c>
      <c r="L8721" t="s">
        <v>1357</v>
      </c>
    </row>
    <row r="8722" spans="6:12">
      <c r="H8722" t="s">
        <v>20529</v>
      </c>
      <c r="I8722" t="s">
        <v>1357</v>
      </c>
      <c r="J8722" t="s">
        <v>1357</v>
      </c>
      <c r="K8722" t="s">
        <v>1357</v>
      </c>
      <c r="L8722" t="s">
        <v>1357</v>
      </c>
    </row>
    <row r="8723" spans="6:12">
      <c r="H8723" t="s">
        <v>20530</v>
      </c>
      <c r="I8723" t="s">
        <v>1357</v>
      </c>
      <c r="J8723" t="s">
        <v>1357</v>
      </c>
      <c r="K8723" t="s">
        <v>1357</v>
      </c>
      <c r="L8723" t="s">
        <v>1357</v>
      </c>
    </row>
    <row r="8724" spans="6:12">
      <c r="H8724" t="s">
        <v>20531</v>
      </c>
      <c r="I8724" t="s">
        <v>1357</v>
      </c>
      <c r="J8724" t="s">
        <v>1357</v>
      </c>
      <c r="K8724" t="s">
        <v>1357</v>
      </c>
      <c r="L8724" t="s">
        <v>1357</v>
      </c>
    </row>
    <row r="8725" spans="6:12">
      <c r="H8725" t="s">
        <v>20532</v>
      </c>
      <c r="I8725" t="s">
        <v>1357</v>
      </c>
      <c r="J8725" t="s">
        <v>1357</v>
      </c>
      <c r="K8725" t="s">
        <v>1357</v>
      </c>
      <c r="L8725" t="s">
        <v>1357</v>
      </c>
    </row>
    <row r="8726" spans="6:12">
      <c r="H8726" t="s">
        <v>20533</v>
      </c>
      <c r="I8726" t="s">
        <v>1357</v>
      </c>
      <c r="J8726" t="s">
        <v>1357</v>
      </c>
      <c r="K8726" t="s">
        <v>1357</v>
      </c>
      <c r="L8726" t="s">
        <v>1357</v>
      </c>
    </row>
    <row r="8727" spans="6:12">
      <c r="F8727" t="s">
        <v>15904</v>
      </c>
      <c r="G8727" t="s">
        <v>18605</v>
      </c>
      <c r="H8727" t="s">
        <v>20534</v>
      </c>
      <c r="I8727" t="s">
        <v>1357</v>
      </c>
      <c r="J8727" t="s">
        <v>1357</v>
      </c>
      <c r="K8727" t="s">
        <v>1357</v>
      </c>
      <c r="L8727" t="s">
        <v>1357</v>
      </c>
    </row>
    <row r="8728" spans="6:12">
      <c r="F8728" t="s">
        <v>15200</v>
      </c>
      <c r="G8728" t="s">
        <v>17902</v>
      </c>
      <c r="H8728" t="s">
        <v>20442</v>
      </c>
      <c r="I8728" t="s">
        <v>1357</v>
      </c>
      <c r="J8728" t="s">
        <v>1357</v>
      </c>
      <c r="K8728" t="s">
        <v>1357</v>
      </c>
      <c r="L8728" t="s">
        <v>1357</v>
      </c>
    </row>
    <row r="8729" spans="6:12">
      <c r="F8729" t="s">
        <v>15905</v>
      </c>
      <c r="G8729" t="s">
        <v>18606</v>
      </c>
      <c r="H8729" t="s">
        <v>20535</v>
      </c>
      <c r="I8729" t="s">
        <v>1357</v>
      </c>
      <c r="J8729" t="s">
        <v>1357</v>
      </c>
      <c r="K8729" t="s">
        <v>1357</v>
      </c>
      <c r="L8729" t="s">
        <v>1357</v>
      </c>
    </row>
    <row r="8730" spans="6:12">
      <c r="H8730" t="s">
        <v>20536</v>
      </c>
      <c r="I8730" t="s">
        <v>1357</v>
      </c>
      <c r="J8730" t="s">
        <v>1357</v>
      </c>
      <c r="K8730" t="s">
        <v>1357</v>
      </c>
      <c r="L8730" t="s">
        <v>1357</v>
      </c>
    </row>
    <row r="8731" spans="6:12">
      <c r="H8731" t="s">
        <v>20537</v>
      </c>
      <c r="I8731" t="s">
        <v>1357</v>
      </c>
      <c r="J8731" t="s">
        <v>1357</v>
      </c>
      <c r="K8731" t="s">
        <v>1357</v>
      </c>
      <c r="L8731" t="s">
        <v>1357</v>
      </c>
    </row>
    <row r="8732" spans="6:12">
      <c r="H8732" t="s">
        <v>20538</v>
      </c>
      <c r="I8732" t="s">
        <v>1357</v>
      </c>
      <c r="J8732" t="s">
        <v>1357</v>
      </c>
      <c r="K8732" t="s">
        <v>1357</v>
      </c>
      <c r="L8732" t="s">
        <v>1357</v>
      </c>
    </row>
    <row r="8733" spans="6:12">
      <c r="H8733" t="s">
        <v>20539</v>
      </c>
      <c r="I8733" t="s">
        <v>1357</v>
      </c>
      <c r="J8733" t="s">
        <v>1357</v>
      </c>
      <c r="K8733" t="s">
        <v>1357</v>
      </c>
      <c r="L8733" t="s">
        <v>1357</v>
      </c>
    </row>
    <row r="8734" spans="6:12">
      <c r="F8734" t="s">
        <v>15906</v>
      </c>
      <c r="G8734" t="s">
        <v>18607</v>
      </c>
      <c r="H8734" t="s">
        <v>20540</v>
      </c>
      <c r="I8734" t="s">
        <v>1357</v>
      </c>
      <c r="J8734" t="s">
        <v>1357</v>
      </c>
      <c r="K8734" t="s">
        <v>1357</v>
      </c>
      <c r="L8734" t="s">
        <v>1357</v>
      </c>
    </row>
    <row r="8735" spans="6:12">
      <c r="F8735" t="s">
        <v>15907</v>
      </c>
      <c r="G8735" t="s">
        <v>18608</v>
      </c>
      <c r="H8735" t="s">
        <v>20541</v>
      </c>
      <c r="I8735" t="s">
        <v>1357</v>
      </c>
      <c r="J8735" t="s">
        <v>1357</v>
      </c>
      <c r="K8735" t="s">
        <v>1357</v>
      </c>
      <c r="L8735" t="s">
        <v>1357</v>
      </c>
    </row>
    <row r="8736" spans="6:12">
      <c r="F8736" t="s">
        <v>15908</v>
      </c>
      <c r="G8736" t="s">
        <v>18609</v>
      </c>
      <c r="H8736" t="s">
        <v>20542</v>
      </c>
      <c r="I8736" t="s">
        <v>1357</v>
      </c>
      <c r="J8736" t="s">
        <v>1357</v>
      </c>
      <c r="K8736" t="s">
        <v>1357</v>
      </c>
      <c r="L8736" t="s">
        <v>1357</v>
      </c>
    </row>
    <row r="8737" spans="1:13">
      <c r="F8737" t="s">
        <v>15909</v>
      </c>
      <c r="G8737" t="s">
        <v>18610</v>
      </c>
      <c r="H8737" t="s">
        <v>20543</v>
      </c>
      <c r="I8737" t="s">
        <v>1357</v>
      </c>
      <c r="J8737" t="s">
        <v>1357</v>
      </c>
      <c r="K8737" t="s">
        <v>1357</v>
      </c>
      <c r="L8737" t="s">
        <v>1357</v>
      </c>
    </row>
    <row r="8738" spans="1:13">
      <c r="H8738" t="s">
        <v>20544</v>
      </c>
      <c r="I8738" t="s">
        <v>1358</v>
      </c>
      <c r="J8738" t="s">
        <v>1358</v>
      </c>
      <c r="K8738" t="s">
        <v>1358</v>
      </c>
      <c r="L8738" t="s">
        <v>1358</v>
      </c>
      <c r="M8738" t="s">
        <v>27481</v>
      </c>
    </row>
    <row r="8739" spans="1:13">
      <c r="A8739" t="s">
        <v>10190</v>
      </c>
      <c r="B8739">
        <f>HYPERLINK("https://android.googlesource.com/platform/cts/+/46bd645d356b166411f193220f0aa3026b706b14", "46bd645d356b166411f193220f0aa3026b706b14")</f>
        <v>0</v>
      </c>
      <c r="C8739">
        <f>HYPERLINK("https://android.googlesource.com/platform/cts/+/15ac8230207ac6e9060e6087abaf4a14cf47779c", "15ac8230207ac6e9060e6087abaf4a14cf47779c")</f>
        <v>0</v>
      </c>
      <c r="D8739" t="s">
        <v>12020</v>
      </c>
      <c r="E8739" t="s">
        <v>12757</v>
      </c>
      <c r="F8739" t="s">
        <v>15910</v>
      </c>
      <c r="G8739" t="s">
        <v>18611</v>
      </c>
      <c r="H8739" t="s">
        <v>20545</v>
      </c>
      <c r="I8739" t="s">
        <v>1357</v>
      </c>
      <c r="J8739" t="s">
        <v>1357</v>
      </c>
      <c r="K8739" t="s">
        <v>1357</v>
      </c>
      <c r="L8739" t="s">
        <v>1357</v>
      </c>
    </row>
    <row r="8740" spans="1:13">
      <c r="A8740" t="s">
        <v>10191</v>
      </c>
      <c r="B8740">
        <f>HYPERLINK("https://android.googlesource.com/platform/cts/+/c6c3ab8b92a1d23197dda6f97f834f22953d8ab7", "c6c3ab8b92a1d23197dda6f97f834f22953d8ab7")</f>
        <v>0</v>
      </c>
      <c r="C8740">
        <f>HYPERLINK("https://android.googlesource.com/platform/cts/+/17ff2b465fa4a375ce54b006dfe8768af7044264", "17ff2b465fa4a375ce54b006dfe8768af7044264")</f>
        <v>0</v>
      </c>
      <c r="D8740" t="s">
        <v>12010</v>
      </c>
      <c r="E8740" t="s">
        <v>12757</v>
      </c>
      <c r="F8740" t="s">
        <v>15910</v>
      </c>
      <c r="G8740" t="s">
        <v>18611</v>
      </c>
      <c r="H8740" t="s">
        <v>20545</v>
      </c>
      <c r="I8740" t="s">
        <v>1357</v>
      </c>
      <c r="J8740" t="s">
        <v>1357</v>
      </c>
      <c r="K8740" t="s">
        <v>1357</v>
      </c>
      <c r="L8740" t="s">
        <v>1357</v>
      </c>
      <c r="M8740" t="s">
        <v>27480</v>
      </c>
    </row>
    <row r="8741" spans="1:13">
      <c r="A8741" t="s">
        <v>10192</v>
      </c>
      <c r="B8741">
        <f>HYPERLINK("https://android.googlesource.com/platform/cts/+/5ad500949841d429f31db0ddf1bcd2a9aa692012", "5ad500949841d429f31db0ddf1bcd2a9aa692012")</f>
        <v>0</v>
      </c>
      <c r="C8741">
        <f>HYPERLINK("https://android.googlesource.com/platform/cts/+/ac20e81bc597ce3d7c301f6059ca82c13d1c32df", "ac20e81bc597ce3d7c301f6059ca82c13d1c32df")</f>
        <v>0</v>
      </c>
      <c r="D8741" t="s">
        <v>12021</v>
      </c>
      <c r="E8741" t="s">
        <v>12758</v>
      </c>
      <c r="F8741" t="s">
        <v>15911</v>
      </c>
      <c r="G8741" t="s">
        <v>18612</v>
      </c>
      <c r="H8741" t="s">
        <v>20546</v>
      </c>
      <c r="I8741" t="s">
        <v>1357</v>
      </c>
      <c r="J8741" t="s">
        <v>1357</v>
      </c>
      <c r="K8741" t="s">
        <v>1357</v>
      </c>
      <c r="L8741" t="s">
        <v>1357</v>
      </c>
    </row>
    <row r="8742" spans="1:13">
      <c r="A8742" t="s">
        <v>10193</v>
      </c>
      <c r="B8742">
        <f>HYPERLINK("https://android.googlesource.com/platform/cts/+/11a6875d8748fdc5514cfc49af182681a781f957", "11a6875d8748fdc5514cfc49af182681a781f957")</f>
        <v>0</v>
      </c>
      <c r="C8742">
        <f>HYPERLINK("https://android.googlesource.com/platform/cts/+/15e47193a78a260d87f820d6845d49ddaf5c91a1", "15e47193a78a260d87f820d6845d49ddaf5c91a1")</f>
        <v>0</v>
      </c>
      <c r="D8742" t="s">
        <v>11989</v>
      </c>
      <c r="E8742" t="s">
        <v>12759</v>
      </c>
      <c r="F8742" t="s">
        <v>15912</v>
      </c>
      <c r="G8742" t="s">
        <v>456</v>
      </c>
      <c r="H8742" t="s">
        <v>20547</v>
      </c>
      <c r="I8742" t="s">
        <v>1358</v>
      </c>
      <c r="J8742" t="s">
        <v>1358</v>
      </c>
      <c r="K8742" t="s">
        <v>1358</v>
      </c>
      <c r="L8742" t="s">
        <v>1358</v>
      </c>
    </row>
    <row r="8743" spans="1:13">
      <c r="A8743" t="s">
        <v>10194</v>
      </c>
      <c r="B8743">
        <f>HYPERLINK("https://android.googlesource.com/platform/cts/+/5d7cb1678cea7eaf44ec641900379031ea74b62a", "5d7cb1678cea7eaf44ec641900379031ea74b62a")</f>
        <v>0</v>
      </c>
      <c r="C8743">
        <f>HYPERLINK("https://android.googlesource.com/platform/cts/+/5a1f0b0fb3478b89e2c79c2ca2a2f0446f0c869f", "5a1f0b0fb3478b89e2c79c2ca2a2f0446f0c869f")</f>
        <v>0</v>
      </c>
      <c r="D8743" t="s">
        <v>12001</v>
      </c>
      <c r="E8743" t="s">
        <v>12760</v>
      </c>
      <c r="F8743" t="s">
        <v>14606</v>
      </c>
      <c r="G8743" t="s">
        <v>17450</v>
      </c>
      <c r="H8743" t="s">
        <v>20293</v>
      </c>
      <c r="I8743" t="s">
        <v>1357</v>
      </c>
      <c r="J8743" t="s">
        <v>1357</v>
      </c>
      <c r="K8743" t="s">
        <v>1357</v>
      </c>
      <c r="L8743" t="s">
        <v>1357</v>
      </c>
    </row>
    <row r="8744" spans="1:13">
      <c r="F8744" t="s">
        <v>14607</v>
      </c>
      <c r="G8744" t="s">
        <v>17451</v>
      </c>
      <c r="H8744" t="s">
        <v>20291</v>
      </c>
      <c r="I8744" t="s">
        <v>1357</v>
      </c>
      <c r="J8744" t="s">
        <v>1357</v>
      </c>
      <c r="K8744" t="s">
        <v>1357</v>
      </c>
      <c r="L8744" t="s">
        <v>1357</v>
      </c>
    </row>
    <row r="8745" spans="1:13">
      <c r="F8745" t="s">
        <v>14608</v>
      </c>
      <c r="G8745" t="s">
        <v>17452</v>
      </c>
      <c r="H8745" t="s">
        <v>20293</v>
      </c>
      <c r="I8745" t="s">
        <v>1357</v>
      </c>
      <c r="J8745" t="s">
        <v>1357</v>
      </c>
      <c r="K8745" t="s">
        <v>1357</v>
      </c>
      <c r="L8745" t="s">
        <v>1357</v>
      </c>
    </row>
    <row r="8746" spans="1:13">
      <c r="F8746" t="s">
        <v>14610</v>
      </c>
      <c r="G8746" t="s">
        <v>17454</v>
      </c>
      <c r="H8746" t="s">
        <v>20291</v>
      </c>
      <c r="I8746" t="s">
        <v>1357</v>
      </c>
      <c r="J8746" t="s">
        <v>1357</v>
      </c>
      <c r="K8746" t="s">
        <v>1357</v>
      </c>
      <c r="L8746" t="s">
        <v>1357</v>
      </c>
    </row>
    <row r="8747" spans="1:13">
      <c r="F8747" t="s">
        <v>15913</v>
      </c>
      <c r="G8747" t="s">
        <v>17821</v>
      </c>
      <c r="H8747" t="s">
        <v>20289</v>
      </c>
      <c r="I8747" t="s">
        <v>1357</v>
      </c>
      <c r="J8747" t="s">
        <v>1357</v>
      </c>
      <c r="K8747" t="s">
        <v>1357</v>
      </c>
      <c r="L8747" t="s">
        <v>1357</v>
      </c>
    </row>
    <row r="8748" spans="1:13">
      <c r="F8748" t="s">
        <v>15914</v>
      </c>
      <c r="G8748" t="s">
        <v>17822</v>
      </c>
      <c r="H8748" t="s">
        <v>20289</v>
      </c>
      <c r="I8748" t="s">
        <v>1357</v>
      </c>
      <c r="J8748" t="s">
        <v>1357</v>
      </c>
      <c r="K8748" t="s">
        <v>1357</v>
      </c>
      <c r="L8748" t="s">
        <v>1357</v>
      </c>
    </row>
    <row r="8749" spans="1:13">
      <c r="F8749" t="s">
        <v>15915</v>
      </c>
      <c r="G8749" t="s">
        <v>17823</v>
      </c>
      <c r="H8749" t="s">
        <v>20289</v>
      </c>
      <c r="I8749" t="s">
        <v>1357</v>
      </c>
      <c r="J8749" t="s">
        <v>1357</v>
      </c>
      <c r="K8749" t="s">
        <v>1357</v>
      </c>
      <c r="L8749" t="s">
        <v>1357</v>
      </c>
    </row>
    <row r="8750" spans="1:13">
      <c r="F8750" t="s">
        <v>15916</v>
      </c>
      <c r="G8750" t="s">
        <v>17825</v>
      </c>
      <c r="H8750" t="s">
        <v>20289</v>
      </c>
      <c r="I8750" t="s">
        <v>1357</v>
      </c>
      <c r="J8750" t="s">
        <v>1357</v>
      </c>
      <c r="K8750" t="s">
        <v>1357</v>
      </c>
      <c r="L8750" t="s">
        <v>1357</v>
      </c>
    </row>
    <row r="8751" spans="1:13">
      <c r="F8751" t="s">
        <v>15917</v>
      </c>
      <c r="G8751" t="s">
        <v>17856</v>
      </c>
      <c r="H8751" t="s">
        <v>20289</v>
      </c>
      <c r="I8751" t="s">
        <v>1357</v>
      </c>
      <c r="J8751" t="s">
        <v>1357</v>
      </c>
      <c r="K8751" t="s">
        <v>1357</v>
      </c>
      <c r="L8751" t="s">
        <v>1357</v>
      </c>
    </row>
    <row r="8752" spans="1:13">
      <c r="F8752" t="s">
        <v>15918</v>
      </c>
      <c r="G8752" t="s">
        <v>17857</v>
      </c>
      <c r="H8752" t="s">
        <v>20289</v>
      </c>
      <c r="I8752" t="s">
        <v>1357</v>
      </c>
      <c r="J8752" t="s">
        <v>1357</v>
      </c>
      <c r="K8752" t="s">
        <v>1357</v>
      </c>
      <c r="L8752" t="s">
        <v>1357</v>
      </c>
    </row>
    <row r="8753" spans="1:13">
      <c r="F8753" t="s">
        <v>15919</v>
      </c>
      <c r="G8753" t="s">
        <v>17858</v>
      </c>
      <c r="H8753" t="s">
        <v>20289</v>
      </c>
      <c r="I8753" t="s">
        <v>1357</v>
      </c>
      <c r="J8753" t="s">
        <v>1357</v>
      </c>
      <c r="K8753" t="s">
        <v>1357</v>
      </c>
      <c r="L8753" t="s">
        <v>1357</v>
      </c>
    </row>
    <row r="8754" spans="1:13">
      <c r="F8754" t="s">
        <v>15920</v>
      </c>
      <c r="G8754" t="s">
        <v>17860</v>
      </c>
      <c r="H8754" t="s">
        <v>20289</v>
      </c>
      <c r="I8754" t="s">
        <v>1357</v>
      </c>
      <c r="J8754" t="s">
        <v>1357</v>
      </c>
      <c r="K8754" t="s">
        <v>1357</v>
      </c>
      <c r="L8754" t="s">
        <v>1357</v>
      </c>
    </row>
    <row r="8755" spans="1:13">
      <c r="A8755" t="s">
        <v>10195</v>
      </c>
      <c r="B8755">
        <f>HYPERLINK("https://android.googlesource.com/platform/cts/+/3cdd0d4a151b81a68af45366314a753a5dab98a2", "3cdd0d4a151b81a68af45366314a753a5dab98a2")</f>
        <v>0</v>
      </c>
      <c r="C8755">
        <f>HYPERLINK("https://android.googlesource.com/platform/cts/+/efc60de3235a12bfd6ba3ddb9fb3cc9a56a1bfdb", "efc60de3235a12bfd6ba3ddb9fb3cc9a56a1bfdb")</f>
        <v>0</v>
      </c>
      <c r="D8755" t="s">
        <v>12021</v>
      </c>
      <c r="E8755" t="s">
        <v>12761</v>
      </c>
      <c r="F8755" t="s">
        <v>15904</v>
      </c>
      <c r="G8755" t="s">
        <v>18605</v>
      </c>
      <c r="H8755" t="s">
        <v>20534</v>
      </c>
      <c r="I8755" t="s">
        <v>1357</v>
      </c>
      <c r="J8755" t="s">
        <v>1357</v>
      </c>
      <c r="K8755" t="s">
        <v>1357</v>
      </c>
      <c r="L8755" t="s">
        <v>1357</v>
      </c>
    </row>
    <row r="8756" spans="1:13">
      <c r="A8756" t="s">
        <v>10196</v>
      </c>
      <c r="B8756">
        <f>HYPERLINK("https://android.googlesource.com/platform/cts/+/ce9cb7f81aafc8429095dba1e046cfb3f0df1f15", "ce9cb7f81aafc8429095dba1e046cfb3f0df1f15")</f>
        <v>0</v>
      </c>
      <c r="C8756">
        <f>HYPERLINK("https://android.googlesource.com/platform/cts/+/c1e7f652fef7c6f5c9d5c92481485e047ce18083", "c1e7f652fef7c6f5c9d5c92481485e047ce18083")</f>
        <v>0</v>
      </c>
      <c r="D8756" t="s">
        <v>12022</v>
      </c>
      <c r="E8756" t="s">
        <v>12762</v>
      </c>
      <c r="F8756" t="s">
        <v>14473</v>
      </c>
      <c r="G8756" t="s">
        <v>17320</v>
      </c>
      <c r="H8756" t="s">
        <v>20548</v>
      </c>
      <c r="I8756" t="s">
        <v>1357</v>
      </c>
      <c r="J8756" t="s">
        <v>1357</v>
      </c>
      <c r="K8756" t="s">
        <v>1357</v>
      </c>
      <c r="L8756" t="s">
        <v>1357</v>
      </c>
    </row>
    <row r="8757" spans="1:13">
      <c r="A8757" t="s">
        <v>10197</v>
      </c>
      <c r="B8757">
        <f>HYPERLINK("https://android.googlesource.com/platform/cts/+/d37bc1981a1ee1ca1e36cede69ad46933dacc963", "d37bc1981a1ee1ca1e36cede69ad46933dacc963")</f>
        <v>0</v>
      </c>
      <c r="C8757">
        <f>HYPERLINK("https://android.googlesource.com/platform/cts/+/86f5853419163efea85e9e3e95c1fe0ce0b80b60", "86f5853419163efea85e9e3e95c1fe0ce0b80b60")</f>
        <v>0</v>
      </c>
      <c r="D8757" t="s">
        <v>11991</v>
      </c>
      <c r="E8757" t="s">
        <v>12763</v>
      </c>
      <c r="F8757" t="s">
        <v>15921</v>
      </c>
      <c r="G8757" t="s">
        <v>18613</v>
      </c>
      <c r="H8757" t="s">
        <v>20549</v>
      </c>
      <c r="I8757" t="s">
        <v>1357</v>
      </c>
      <c r="J8757" t="s">
        <v>1357</v>
      </c>
      <c r="K8757" t="s">
        <v>1357</v>
      </c>
      <c r="L8757" t="s">
        <v>1357</v>
      </c>
    </row>
    <row r="8758" spans="1:13">
      <c r="A8758" t="s">
        <v>10198</v>
      </c>
      <c r="B8758">
        <f>HYPERLINK("https://android.googlesource.com/platform/cts/+/a6886a2276483a64cec469a04ed09873809a00e4", "a6886a2276483a64cec469a04ed09873809a00e4")</f>
        <v>0</v>
      </c>
      <c r="C8758">
        <f>HYPERLINK("https://android.googlesource.com/platform/cts/+/d6e20d8f8d6b2ff1bfba5464b7089ee6e6ae617f", "d6e20d8f8d6b2ff1bfba5464b7089ee6e6ae617f")</f>
        <v>0</v>
      </c>
      <c r="D8758" t="s">
        <v>11989</v>
      </c>
      <c r="E8758" t="s">
        <v>12764</v>
      </c>
      <c r="F8758" t="s">
        <v>15912</v>
      </c>
      <c r="G8758" t="s">
        <v>456</v>
      </c>
      <c r="H8758" t="s">
        <v>20550</v>
      </c>
      <c r="I8758" t="s">
        <v>1357</v>
      </c>
      <c r="J8758" t="s">
        <v>1357</v>
      </c>
      <c r="K8758" t="s">
        <v>1357</v>
      </c>
      <c r="L8758" t="s">
        <v>1357</v>
      </c>
    </row>
    <row r="8759" spans="1:13">
      <c r="A8759" t="s">
        <v>10199</v>
      </c>
      <c r="B8759">
        <f>HYPERLINK("https://android.googlesource.com/platform/cts/+/af23ba4a948e5da5f820fc640cd168346e4778a7", "af23ba4a948e5da5f820fc640cd168346e4778a7")</f>
        <v>0</v>
      </c>
      <c r="C8759">
        <f>HYPERLINK("https://android.googlesource.com/platform/cts/+/17af2e602886a8d33716a4c745f757db029e0901", "17af2e602886a8d33716a4c745f757db029e0901")</f>
        <v>0</v>
      </c>
      <c r="D8759" t="s">
        <v>12023</v>
      </c>
      <c r="E8759" t="s">
        <v>12765</v>
      </c>
      <c r="F8759" t="s">
        <v>15922</v>
      </c>
      <c r="G8759" t="s">
        <v>18614</v>
      </c>
      <c r="H8759" t="s">
        <v>20551</v>
      </c>
      <c r="I8759" t="s">
        <v>1357</v>
      </c>
      <c r="J8759" t="s">
        <v>1357</v>
      </c>
      <c r="K8759" t="s">
        <v>1357</v>
      </c>
      <c r="L8759" t="s">
        <v>1357</v>
      </c>
    </row>
    <row r="8760" spans="1:13">
      <c r="H8760" t="s">
        <v>20552</v>
      </c>
      <c r="I8760" t="s">
        <v>1357</v>
      </c>
      <c r="J8760" t="s">
        <v>1357</v>
      </c>
      <c r="K8760" t="s">
        <v>1357</v>
      </c>
      <c r="L8760" t="s">
        <v>1357</v>
      </c>
    </row>
    <row r="8761" spans="1:13">
      <c r="A8761" t="s">
        <v>10200</v>
      </c>
      <c r="B8761">
        <f>HYPERLINK("https://android.googlesource.com/platform/cts/+/3740265ff4396d162dd427c63da9d1705e7ebbe8", "3740265ff4396d162dd427c63da9d1705e7ebbe8")</f>
        <v>0</v>
      </c>
      <c r="C8761">
        <f>HYPERLINK("https://android.googlesource.com/platform/cts/+/0c1bf5ffb33614cd3aa16d0c99bbbff230e0f402", "0c1bf5ffb33614cd3aa16d0c99bbbff230e0f402")</f>
        <v>0</v>
      </c>
      <c r="D8761" t="s">
        <v>12022</v>
      </c>
      <c r="E8761" t="s">
        <v>12766</v>
      </c>
      <c r="F8761" t="s">
        <v>15923</v>
      </c>
      <c r="G8761" t="s">
        <v>18615</v>
      </c>
      <c r="H8761" t="s">
        <v>20553</v>
      </c>
      <c r="I8761" t="s">
        <v>1357</v>
      </c>
      <c r="J8761" t="s">
        <v>1357</v>
      </c>
      <c r="K8761" t="s">
        <v>1357</v>
      </c>
      <c r="L8761" t="s">
        <v>1357</v>
      </c>
      <c r="M8761" t="s">
        <v>27482</v>
      </c>
    </row>
    <row r="8762" spans="1:13">
      <c r="A8762" t="s">
        <v>10201</v>
      </c>
      <c r="B8762">
        <f>HYPERLINK("https://android.googlesource.com/platform/cts/+/9053ec5e25e6b6bc27912804812ba2b37991829f", "9053ec5e25e6b6bc27912804812ba2b37991829f")</f>
        <v>0</v>
      </c>
      <c r="C8762">
        <f>HYPERLINK("https://android.googlesource.com/platform/cts/+/3740265ff4396d162dd427c63da9d1705e7ebbe8", "3740265ff4396d162dd427c63da9d1705e7ebbe8")</f>
        <v>0</v>
      </c>
      <c r="D8762" t="s">
        <v>12022</v>
      </c>
      <c r="E8762" t="s">
        <v>12767</v>
      </c>
      <c r="F8762" t="s">
        <v>14491</v>
      </c>
      <c r="G8762" t="s">
        <v>17337</v>
      </c>
      <c r="H8762" t="s">
        <v>20554</v>
      </c>
      <c r="I8762" t="s">
        <v>1358</v>
      </c>
      <c r="J8762" t="s">
        <v>1358</v>
      </c>
      <c r="K8762" t="s">
        <v>1358</v>
      </c>
      <c r="L8762" t="s">
        <v>1358</v>
      </c>
    </row>
    <row r="8763" spans="1:13">
      <c r="A8763" t="s">
        <v>10202</v>
      </c>
      <c r="B8763">
        <f>HYPERLINK("https://android.googlesource.com/platform/cts/+/dea2acdb056ba3c198298814a71ae00fa92daa49", "dea2acdb056ba3c198298814a71ae00fa92daa49")</f>
        <v>0</v>
      </c>
      <c r="C8763">
        <f>HYPERLINK("https://android.googlesource.com/platform/cts/+/ad8714e35bf04ebd5cc45a15f9727b73e0ac877f", "ad8714e35bf04ebd5cc45a15f9727b73e0ac877f")</f>
        <v>0</v>
      </c>
      <c r="D8763" t="s">
        <v>12024</v>
      </c>
      <c r="E8763" t="s">
        <v>12766</v>
      </c>
      <c r="F8763" t="s">
        <v>15923</v>
      </c>
      <c r="G8763" t="s">
        <v>18615</v>
      </c>
      <c r="H8763" t="s">
        <v>20553</v>
      </c>
      <c r="I8763" t="s">
        <v>1357</v>
      </c>
      <c r="J8763" t="s">
        <v>1357</v>
      </c>
      <c r="K8763" t="s">
        <v>1357</v>
      </c>
      <c r="L8763" t="s">
        <v>1357</v>
      </c>
      <c r="M8763" t="s">
        <v>27483</v>
      </c>
    </row>
    <row r="8764" spans="1:13">
      <c r="A8764" t="s">
        <v>10203</v>
      </c>
      <c r="B8764">
        <f>HYPERLINK("https://android.googlesource.com/platform/cts/+/15e98cc5d8b00775b80e578f8735da8e1d9642e0", "15e98cc5d8b00775b80e578f8735da8e1d9642e0")</f>
        <v>0</v>
      </c>
      <c r="C8764">
        <f>HYPERLINK("https://android.googlesource.com/platform/cts/+/f012f361b67e121d80e54f90523e4e5ff8ba3144", "f012f361b67e121d80e54f90523e4e5ff8ba3144")</f>
        <v>0</v>
      </c>
      <c r="D8764" t="s">
        <v>12010</v>
      </c>
      <c r="E8764" t="s">
        <v>12766</v>
      </c>
      <c r="F8764" t="s">
        <v>15923</v>
      </c>
      <c r="G8764" t="s">
        <v>18615</v>
      </c>
      <c r="H8764" t="s">
        <v>20553</v>
      </c>
      <c r="I8764" t="s">
        <v>1357</v>
      </c>
      <c r="J8764" t="s">
        <v>1357</v>
      </c>
      <c r="K8764" t="s">
        <v>1357</v>
      </c>
      <c r="L8764" t="s">
        <v>1357</v>
      </c>
      <c r="M8764" t="s">
        <v>27483</v>
      </c>
    </row>
    <row r="8765" spans="1:13">
      <c r="A8765" t="s">
        <v>10204</v>
      </c>
      <c r="B8765">
        <f>HYPERLINK("https://android.googlesource.com/platform/cts/+/2aef7b8f8f9e75bd72fc5c75acc7dbca07659daf", "2aef7b8f8f9e75bd72fc5c75acc7dbca07659daf")</f>
        <v>0</v>
      </c>
      <c r="C8765">
        <f>HYPERLINK("https://android.googlesource.com/platform/cts/+/15e98cc5d8b00775b80e578f8735da8e1d9642e0", "15e98cc5d8b00775b80e578f8735da8e1d9642e0")</f>
        <v>0</v>
      </c>
      <c r="D8765" t="s">
        <v>12010</v>
      </c>
      <c r="E8765" t="s">
        <v>12767</v>
      </c>
      <c r="F8765" t="s">
        <v>14491</v>
      </c>
      <c r="G8765" t="s">
        <v>17337</v>
      </c>
      <c r="H8765" t="s">
        <v>20554</v>
      </c>
      <c r="I8765" t="s">
        <v>1358</v>
      </c>
      <c r="J8765" t="s">
        <v>1358</v>
      </c>
      <c r="K8765" t="s">
        <v>1358</v>
      </c>
      <c r="L8765" t="s">
        <v>1358</v>
      </c>
      <c r="M8765" t="s">
        <v>27476</v>
      </c>
    </row>
    <row r="8766" spans="1:13">
      <c r="A8766" t="s">
        <v>10205</v>
      </c>
      <c r="B8766">
        <f>HYPERLINK("https://android.googlesource.com/platform/cts/+/9dbe417023e71a298cb9cb729959453a96d8d907", "9dbe417023e71a298cb9cb729959453a96d8d907")</f>
        <v>0</v>
      </c>
      <c r="C8766">
        <f>HYPERLINK("https://android.googlesource.com/platform/cts/+/f6dfa9eb7807ded78f4e740686d629e7eb346d87", "f6dfa9eb7807ded78f4e740686d629e7eb346d87")</f>
        <v>0</v>
      </c>
      <c r="D8766" t="s">
        <v>12025</v>
      </c>
      <c r="E8766" t="s">
        <v>12768</v>
      </c>
      <c r="F8766" t="s">
        <v>15924</v>
      </c>
      <c r="G8766" t="s">
        <v>18616</v>
      </c>
      <c r="H8766" t="s">
        <v>20555</v>
      </c>
      <c r="I8766" t="s">
        <v>1357</v>
      </c>
      <c r="J8766" t="s">
        <v>1357</v>
      </c>
      <c r="K8766" t="s">
        <v>1357</v>
      </c>
      <c r="L8766" t="s">
        <v>1357</v>
      </c>
    </row>
    <row r="8767" spans="1:13">
      <c r="A8767" t="s">
        <v>10206</v>
      </c>
      <c r="B8767">
        <f>HYPERLINK("https://android.googlesource.com/platform/cts/+/95988bdc4f6cad1662215bcc4ae5c27ef496a38c", "95988bdc4f6cad1662215bcc4ae5c27ef496a38c")</f>
        <v>0</v>
      </c>
      <c r="C8767">
        <f>HYPERLINK("https://android.googlesource.com/platform/cts/+/27bb29f13838fcdb7536848ab54b9afa2e5c1322", "27bb29f13838fcdb7536848ab54b9afa2e5c1322")</f>
        <v>0</v>
      </c>
      <c r="D8767" t="s">
        <v>12026</v>
      </c>
      <c r="E8767" t="s">
        <v>12769</v>
      </c>
      <c r="F8767" t="s">
        <v>15925</v>
      </c>
      <c r="G8767" t="s">
        <v>18617</v>
      </c>
      <c r="H8767" t="s">
        <v>20556</v>
      </c>
      <c r="I8767" t="s">
        <v>1357</v>
      </c>
      <c r="J8767" t="s">
        <v>1357</v>
      </c>
      <c r="K8767" t="s">
        <v>1357</v>
      </c>
      <c r="L8767" t="s">
        <v>1357</v>
      </c>
    </row>
    <row r="8768" spans="1:13">
      <c r="A8768" t="s">
        <v>10207</v>
      </c>
      <c r="B8768">
        <f>HYPERLINK("https://android.googlesource.com/platform/cts/+/85fb765e613f03b51203a1384f5343394fb21d98", "85fb765e613f03b51203a1384f5343394fb21d98")</f>
        <v>0</v>
      </c>
      <c r="C8768">
        <f>HYPERLINK("https://android.googlesource.com/platform/cts/+/7d378bec4412e41b2ca0f1d99261fecf3cd27900", "7d378bec4412e41b2ca0f1d99261fecf3cd27900")</f>
        <v>0</v>
      </c>
      <c r="D8768" t="s">
        <v>12022</v>
      </c>
      <c r="E8768" t="s">
        <v>12770</v>
      </c>
      <c r="F8768" t="s">
        <v>15923</v>
      </c>
      <c r="G8768" t="s">
        <v>18615</v>
      </c>
      <c r="H8768" t="s">
        <v>20557</v>
      </c>
      <c r="I8768" t="s">
        <v>1358</v>
      </c>
      <c r="J8768" t="s">
        <v>1358</v>
      </c>
      <c r="K8768" t="s">
        <v>1358</v>
      </c>
      <c r="L8768" t="s">
        <v>1358</v>
      </c>
    </row>
    <row r="8769" spans="1:13">
      <c r="A8769" t="s">
        <v>10208</v>
      </c>
      <c r="B8769">
        <f>HYPERLINK("https://android.googlesource.com/platform/cts/+/20ecc0e2eb094fa6cc6b27b5efeb9be3df3adb91", "20ecc0e2eb094fa6cc6b27b5efeb9be3df3adb91")</f>
        <v>0</v>
      </c>
      <c r="C8769">
        <f>HYPERLINK("https://android.googlesource.com/platform/cts/+/2b7ae5139a7ed7bfa158c6213906736431de12e5", "2b7ae5139a7ed7bfa158c6213906736431de12e5")</f>
        <v>0</v>
      </c>
      <c r="D8769" t="s">
        <v>12022</v>
      </c>
      <c r="E8769" t="s">
        <v>12771</v>
      </c>
      <c r="F8769" t="s">
        <v>15926</v>
      </c>
      <c r="G8769" t="s">
        <v>18618</v>
      </c>
      <c r="H8769" t="s">
        <v>20558</v>
      </c>
      <c r="I8769" t="s">
        <v>1357</v>
      </c>
      <c r="J8769" t="s">
        <v>1357</v>
      </c>
      <c r="K8769" t="s">
        <v>1357</v>
      </c>
      <c r="L8769" t="s">
        <v>1357</v>
      </c>
    </row>
    <row r="8770" spans="1:13">
      <c r="A8770" t="s">
        <v>10209</v>
      </c>
      <c r="B8770">
        <f>HYPERLINK("https://android.googlesource.com/platform/cts/+/e69403f4663ecab20cfc80f42afc7247f3efc24b", "e69403f4663ecab20cfc80f42afc7247f3efc24b")</f>
        <v>0</v>
      </c>
      <c r="C8770">
        <f>HYPERLINK("https://android.googlesource.com/platform/cts/+/02519dac4380f1302aad40d2b96c08aa1fad52e1", "02519dac4380f1302aad40d2b96c08aa1fad52e1")</f>
        <v>0</v>
      </c>
      <c r="D8770" t="s">
        <v>12027</v>
      </c>
      <c r="E8770" t="s">
        <v>12772</v>
      </c>
      <c r="F8770" t="s">
        <v>15927</v>
      </c>
      <c r="G8770" t="s">
        <v>18619</v>
      </c>
      <c r="H8770" t="s">
        <v>20559</v>
      </c>
      <c r="I8770" t="s">
        <v>1357</v>
      </c>
      <c r="J8770" t="s">
        <v>1357</v>
      </c>
      <c r="K8770" t="s">
        <v>1357</v>
      </c>
      <c r="L8770" t="s">
        <v>1357</v>
      </c>
    </row>
    <row r="8771" spans="1:13">
      <c r="F8771" t="s">
        <v>15928</v>
      </c>
      <c r="G8771" t="s">
        <v>18620</v>
      </c>
      <c r="H8771" t="s">
        <v>20559</v>
      </c>
      <c r="I8771" t="s">
        <v>1357</v>
      </c>
      <c r="J8771" t="s">
        <v>1357</v>
      </c>
      <c r="K8771" t="s">
        <v>1357</v>
      </c>
      <c r="L8771" t="s">
        <v>1357</v>
      </c>
    </row>
    <row r="8772" spans="1:13">
      <c r="F8772" t="s">
        <v>15929</v>
      </c>
      <c r="G8772" t="s">
        <v>18621</v>
      </c>
      <c r="H8772" t="s">
        <v>20559</v>
      </c>
      <c r="I8772" t="s">
        <v>1357</v>
      </c>
      <c r="J8772" t="s">
        <v>1357</v>
      </c>
      <c r="K8772" t="s">
        <v>1357</v>
      </c>
      <c r="L8772" t="s">
        <v>1357</v>
      </c>
    </row>
    <row r="8773" spans="1:13">
      <c r="A8773" t="s">
        <v>10210</v>
      </c>
      <c r="B8773">
        <f>HYPERLINK("https://android.googlesource.com/platform/cts/+/2b0131ca8b401d80531706a20ad358b9bf99d259", "2b0131ca8b401d80531706a20ad358b9bf99d259")</f>
        <v>0</v>
      </c>
      <c r="C8773">
        <f>HYPERLINK("https://android.googlesource.com/platform/cts/+/5c7773621b2f0760d8bb4163a2f73ac5ac545e78", "5c7773621b2f0760d8bb4163a2f73ac5ac545e78")</f>
        <v>0</v>
      </c>
      <c r="D8773" t="s">
        <v>12028</v>
      </c>
      <c r="E8773" t="s">
        <v>12773</v>
      </c>
      <c r="F8773" t="s">
        <v>15930</v>
      </c>
      <c r="G8773" t="s">
        <v>18622</v>
      </c>
      <c r="H8773" t="s">
        <v>20560</v>
      </c>
      <c r="I8773" t="s">
        <v>1357</v>
      </c>
      <c r="J8773" t="s">
        <v>1357</v>
      </c>
      <c r="K8773" t="s">
        <v>1357</v>
      </c>
      <c r="L8773" t="s">
        <v>1357</v>
      </c>
    </row>
    <row r="8774" spans="1:13">
      <c r="H8774" t="s">
        <v>20561</v>
      </c>
      <c r="I8774" t="s">
        <v>1357</v>
      </c>
      <c r="J8774" t="s">
        <v>1357</v>
      </c>
      <c r="K8774" t="s">
        <v>1357</v>
      </c>
      <c r="L8774" t="s">
        <v>1357</v>
      </c>
    </row>
    <row r="8775" spans="1:13">
      <c r="A8775" t="s">
        <v>10211</v>
      </c>
      <c r="B8775">
        <f>HYPERLINK("https://android.googlesource.com/platform/cts/+/228d1b55ea6976e00c80372613511a6900c8ba4b", "228d1b55ea6976e00c80372613511a6900c8ba4b")</f>
        <v>0</v>
      </c>
      <c r="C8775">
        <f>HYPERLINK("https://android.googlesource.com/platform/cts/+/75eea801bf237975246f34c564725db3dde10b4c", "75eea801bf237975246f34c564725db3dde10b4c")</f>
        <v>0</v>
      </c>
      <c r="D8775" t="s">
        <v>12027</v>
      </c>
      <c r="E8775" t="s">
        <v>12774</v>
      </c>
      <c r="F8775" t="s">
        <v>15927</v>
      </c>
      <c r="G8775" t="s">
        <v>18619</v>
      </c>
      <c r="H8775" t="s">
        <v>20562</v>
      </c>
      <c r="I8775" t="s">
        <v>1359</v>
      </c>
      <c r="J8775" t="s">
        <v>1358</v>
      </c>
      <c r="K8775" t="s">
        <v>1357</v>
      </c>
      <c r="L8775" t="s">
        <v>1358</v>
      </c>
    </row>
    <row r="8776" spans="1:13">
      <c r="H8776" t="s">
        <v>20563</v>
      </c>
      <c r="I8776" t="s">
        <v>1359</v>
      </c>
      <c r="J8776" t="s">
        <v>1358</v>
      </c>
      <c r="K8776" t="s">
        <v>1357</v>
      </c>
      <c r="L8776" t="s">
        <v>1358</v>
      </c>
    </row>
    <row r="8777" spans="1:13">
      <c r="F8777" t="s">
        <v>15928</v>
      </c>
      <c r="G8777" t="s">
        <v>18620</v>
      </c>
      <c r="H8777" t="s">
        <v>20562</v>
      </c>
      <c r="I8777" t="s">
        <v>1359</v>
      </c>
      <c r="J8777" t="s">
        <v>1358</v>
      </c>
      <c r="K8777" t="s">
        <v>1357</v>
      </c>
      <c r="L8777" t="s">
        <v>1358</v>
      </c>
    </row>
    <row r="8778" spans="1:13">
      <c r="H8778" t="s">
        <v>20563</v>
      </c>
      <c r="I8778" t="s">
        <v>1359</v>
      </c>
      <c r="J8778" t="s">
        <v>1358</v>
      </c>
      <c r="K8778" t="s">
        <v>1357</v>
      </c>
      <c r="L8778" t="s">
        <v>1358</v>
      </c>
    </row>
    <row r="8779" spans="1:13">
      <c r="F8779" t="s">
        <v>15929</v>
      </c>
      <c r="G8779" t="s">
        <v>18621</v>
      </c>
      <c r="H8779" t="s">
        <v>20562</v>
      </c>
      <c r="I8779" t="s">
        <v>1359</v>
      </c>
      <c r="J8779" t="s">
        <v>1358</v>
      </c>
      <c r="K8779" t="s">
        <v>1357</v>
      </c>
      <c r="L8779" t="s">
        <v>1358</v>
      </c>
    </row>
    <row r="8780" spans="1:13">
      <c r="H8780" t="s">
        <v>20563</v>
      </c>
      <c r="I8780" t="s">
        <v>1359</v>
      </c>
      <c r="J8780" t="s">
        <v>1358</v>
      </c>
      <c r="K8780" t="s">
        <v>1357</v>
      </c>
      <c r="L8780" t="s">
        <v>1358</v>
      </c>
    </row>
    <row r="8781" spans="1:13">
      <c r="A8781" t="s">
        <v>10212</v>
      </c>
      <c r="B8781">
        <f>HYPERLINK("https://android.googlesource.com/platform/cts/+/c3329438041a9514d308cc03dd3cfac75573c356", "c3329438041a9514d308cc03dd3cfac75573c356")</f>
        <v>0</v>
      </c>
      <c r="C8781">
        <f>HYPERLINK("https://android.googlesource.com/platform/cts/+/6dacad5cdac2f9c44ec672043aa67a5bce631c0a", "6dacad5cdac2f9c44ec672043aa67a5bce631c0a")</f>
        <v>0</v>
      </c>
      <c r="D8781" t="s">
        <v>12021</v>
      </c>
      <c r="E8781" t="s">
        <v>12775</v>
      </c>
      <c r="F8781" t="s">
        <v>15904</v>
      </c>
      <c r="G8781" t="s">
        <v>18605</v>
      </c>
      <c r="H8781" t="s">
        <v>20534</v>
      </c>
      <c r="I8781" t="s">
        <v>1357</v>
      </c>
      <c r="J8781" t="s">
        <v>1357</v>
      </c>
      <c r="K8781" t="s">
        <v>1357</v>
      </c>
      <c r="L8781" t="s">
        <v>1357</v>
      </c>
    </row>
    <row r="8782" spans="1:13">
      <c r="A8782" t="s">
        <v>10213</v>
      </c>
      <c r="B8782">
        <f>HYPERLINK("https://android.googlesource.com/platform/cts/+/d9a21093d7cc38749a3013f9b0b011f6610be3b0", "d9a21093d7cc38749a3013f9b0b011f6610be3b0")</f>
        <v>0</v>
      </c>
      <c r="C8782">
        <f>HYPERLINK("https://android.googlesource.com/platform/cts/+/f3c7daee9db73999a26d817ae35868ea633ee7ee", "f3c7daee9db73999a26d817ae35868ea633ee7ee")</f>
        <v>0</v>
      </c>
      <c r="D8782" t="s">
        <v>12021</v>
      </c>
      <c r="E8782" t="s">
        <v>12776</v>
      </c>
      <c r="F8782" t="s">
        <v>15906</v>
      </c>
      <c r="G8782" t="s">
        <v>18607</v>
      </c>
      <c r="H8782" t="s">
        <v>20540</v>
      </c>
      <c r="I8782" t="s">
        <v>1357</v>
      </c>
      <c r="J8782" t="s">
        <v>1357</v>
      </c>
      <c r="K8782" t="s">
        <v>1357</v>
      </c>
      <c r="L8782" t="s">
        <v>1357</v>
      </c>
    </row>
    <row r="8783" spans="1:13">
      <c r="A8783" t="s">
        <v>10214</v>
      </c>
      <c r="B8783">
        <f>HYPERLINK("https://android.googlesource.com/platform/cts/+/6ab5bad82445b81f833f16a5ec21ee2498d6422b", "6ab5bad82445b81f833f16a5ec21ee2498d6422b")</f>
        <v>0</v>
      </c>
      <c r="C8783">
        <f>HYPERLINK("https://android.googlesource.com/platform/cts/+/65c7cdb401ab923b50e0f59d32e166223c8ab089", "65c7cdb401ab923b50e0f59d32e166223c8ab089")</f>
        <v>0</v>
      </c>
      <c r="D8783" t="s">
        <v>12029</v>
      </c>
      <c r="E8783" t="s">
        <v>12777</v>
      </c>
      <c r="F8783" t="s">
        <v>15931</v>
      </c>
      <c r="G8783" t="s">
        <v>18623</v>
      </c>
      <c r="H8783" t="s">
        <v>20441</v>
      </c>
      <c r="I8783" t="s">
        <v>1357</v>
      </c>
      <c r="J8783" t="s">
        <v>1357</v>
      </c>
      <c r="K8783" t="s">
        <v>1357</v>
      </c>
      <c r="L8783" t="s">
        <v>1357</v>
      </c>
    </row>
    <row r="8784" spans="1:13">
      <c r="H8784" t="s">
        <v>20564</v>
      </c>
      <c r="I8784" t="s">
        <v>1357</v>
      </c>
      <c r="J8784" t="s">
        <v>1357</v>
      </c>
      <c r="K8784" t="s">
        <v>1357</v>
      </c>
      <c r="L8784" t="s">
        <v>1357</v>
      </c>
      <c r="M8784" t="s">
        <v>1360</v>
      </c>
    </row>
    <row r="8785" spans="1:13">
      <c r="H8785" t="s">
        <v>20565</v>
      </c>
      <c r="I8785" t="s">
        <v>1357</v>
      </c>
      <c r="J8785" t="s">
        <v>1357</v>
      </c>
      <c r="K8785" t="s">
        <v>1357</v>
      </c>
      <c r="L8785" t="s">
        <v>1357</v>
      </c>
    </row>
    <row r="8786" spans="1:13">
      <c r="A8786" t="s">
        <v>10215</v>
      </c>
      <c r="B8786">
        <f>HYPERLINK("https://android.googlesource.com/platform/cts/+/562ec52401a65facf4b5f1a7af06d66ac95c9022", "562ec52401a65facf4b5f1a7af06d66ac95c9022")</f>
        <v>0</v>
      </c>
      <c r="C8786">
        <f>HYPERLINK("https://android.googlesource.com/platform/cts/+/ef2d2fa944318a8973e50045051fb525ca29a81a", "ef2d2fa944318a8973e50045051fb525ca29a81a")</f>
        <v>0</v>
      </c>
      <c r="D8786" t="s">
        <v>12030</v>
      </c>
      <c r="E8786" t="s">
        <v>12778</v>
      </c>
      <c r="F8786" t="s">
        <v>15932</v>
      </c>
      <c r="G8786" t="s">
        <v>18624</v>
      </c>
      <c r="H8786" t="s">
        <v>20566</v>
      </c>
      <c r="I8786" t="s">
        <v>1358</v>
      </c>
      <c r="J8786" t="s">
        <v>1358</v>
      </c>
      <c r="K8786" t="s">
        <v>1358</v>
      </c>
      <c r="L8786" t="s">
        <v>1358</v>
      </c>
    </row>
    <row r="8787" spans="1:13">
      <c r="A8787" t="s">
        <v>10216</v>
      </c>
      <c r="B8787">
        <f>HYPERLINK("https://android.googlesource.com/platform/cts/+/1e1a7d26cf5b992f4c65b32d34eb8a2f6c9772c9", "1e1a7d26cf5b992f4c65b32d34eb8a2f6c9772c9")</f>
        <v>0</v>
      </c>
      <c r="C8787">
        <f>HYPERLINK("https://android.googlesource.com/platform/cts/+/16be4106cf187c1a9002023b65ff653823c1c668", "16be4106cf187c1a9002023b65ff653823c1c668")</f>
        <v>0</v>
      </c>
      <c r="D8787" t="s">
        <v>12030</v>
      </c>
      <c r="E8787" t="s">
        <v>12779</v>
      </c>
      <c r="F8787" t="s">
        <v>15932</v>
      </c>
      <c r="G8787" t="s">
        <v>18624</v>
      </c>
      <c r="H8787" t="s">
        <v>20566</v>
      </c>
      <c r="I8787" t="s">
        <v>1358</v>
      </c>
      <c r="J8787" t="s">
        <v>1358</v>
      </c>
      <c r="K8787" t="s">
        <v>1358</v>
      </c>
      <c r="L8787" t="s">
        <v>1358</v>
      </c>
    </row>
    <row r="8788" spans="1:13">
      <c r="A8788" t="s">
        <v>10217</v>
      </c>
      <c r="B8788">
        <f>HYPERLINK("https://android.googlesource.com/platform/cts/+/d6fe85283594f959ea11e7567f28a28837f191b9", "d6fe85283594f959ea11e7567f28a28837f191b9")</f>
        <v>0</v>
      </c>
      <c r="C8788">
        <f>HYPERLINK("https://android.googlesource.com/platform/cts/+/779cca73143371093f2d910f2d013e9dcc2142c8", "779cca73143371093f2d910f2d013e9dcc2142c8")</f>
        <v>0</v>
      </c>
      <c r="D8788" t="s">
        <v>12017</v>
      </c>
      <c r="E8788" t="s">
        <v>12780</v>
      </c>
      <c r="F8788" t="s">
        <v>14519</v>
      </c>
      <c r="G8788" t="s">
        <v>17364</v>
      </c>
      <c r="H8788" t="s">
        <v>20567</v>
      </c>
      <c r="I8788" t="s">
        <v>1358</v>
      </c>
      <c r="J8788" t="s">
        <v>1358</v>
      </c>
      <c r="K8788" t="s">
        <v>1358</v>
      </c>
      <c r="L8788" t="s">
        <v>1358</v>
      </c>
    </row>
    <row r="8789" spans="1:13">
      <c r="H8789" t="s">
        <v>20568</v>
      </c>
      <c r="I8789" t="s">
        <v>1358</v>
      </c>
      <c r="J8789" t="s">
        <v>1358</v>
      </c>
      <c r="K8789" t="s">
        <v>1358</v>
      </c>
      <c r="L8789" t="s">
        <v>1358</v>
      </c>
      <c r="M8789" t="s">
        <v>1360</v>
      </c>
    </row>
    <row r="8790" spans="1:13">
      <c r="A8790" t="s">
        <v>10218</v>
      </c>
      <c r="B8790">
        <f>HYPERLINK("https://android.googlesource.com/platform/cts/+/923ac68a526f638f67942f70fffecb4ebff392e9", "923ac68a526f638f67942f70fffecb4ebff392e9")</f>
        <v>0</v>
      </c>
      <c r="C8790">
        <f>HYPERLINK("https://android.googlesource.com/platform/cts/+/496f375f4f39faf4861023b4a2868d289b424c44", "496f375f4f39faf4861023b4a2868d289b424c44")</f>
        <v>0</v>
      </c>
      <c r="D8790" t="s">
        <v>12016</v>
      </c>
      <c r="E8790" t="s">
        <v>12781</v>
      </c>
      <c r="F8790" t="s">
        <v>14519</v>
      </c>
      <c r="G8790" t="s">
        <v>17364</v>
      </c>
      <c r="H8790" t="s">
        <v>20569</v>
      </c>
      <c r="I8790" t="s">
        <v>1357</v>
      </c>
      <c r="J8790" t="s">
        <v>1357</v>
      </c>
      <c r="K8790" t="s">
        <v>1357</v>
      </c>
      <c r="L8790" t="s">
        <v>1357</v>
      </c>
    </row>
    <row r="8791" spans="1:13">
      <c r="A8791" t="s">
        <v>10219</v>
      </c>
      <c r="B8791">
        <f>HYPERLINK("https://android.googlesource.com/platform/cts/+/d35f8eb44fe78cb7bfc2f7d92cb64c5ed013abfd", "d35f8eb44fe78cb7bfc2f7d92cb64c5ed013abfd")</f>
        <v>0</v>
      </c>
      <c r="C8791">
        <f>HYPERLINK("https://android.googlesource.com/platform/cts/+/af052deac87840e2a3af6335376020adc0f0fde3", "af052deac87840e2a3af6335376020adc0f0fde3")</f>
        <v>0</v>
      </c>
      <c r="D8791" t="s">
        <v>12021</v>
      </c>
      <c r="E8791" t="s">
        <v>12782</v>
      </c>
      <c r="F8791" t="s">
        <v>15933</v>
      </c>
      <c r="G8791" t="s">
        <v>18625</v>
      </c>
      <c r="H8791" t="s">
        <v>20570</v>
      </c>
      <c r="I8791" t="s">
        <v>1357</v>
      </c>
      <c r="J8791" t="s">
        <v>1357</v>
      </c>
      <c r="K8791" t="s">
        <v>1357</v>
      </c>
      <c r="L8791" t="s">
        <v>1357</v>
      </c>
    </row>
    <row r="8792" spans="1:13">
      <c r="F8792" t="s">
        <v>15934</v>
      </c>
      <c r="G8792" t="s">
        <v>18626</v>
      </c>
      <c r="H8792" t="s">
        <v>20571</v>
      </c>
      <c r="I8792" t="s">
        <v>1357</v>
      </c>
      <c r="J8792" t="s">
        <v>1357</v>
      </c>
      <c r="K8792" t="s">
        <v>1357</v>
      </c>
      <c r="L8792" t="s">
        <v>1357</v>
      </c>
    </row>
    <row r="8793" spans="1:13">
      <c r="A8793" t="s">
        <v>10220</v>
      </c>
      <c r="B8793">
        <f>HYPERLINK("https://android.googlesource.com/platform/cts/+/e86f98dd5468f8c4cfa59ebcd3ccb49e75311156", "e86f98dd5468f8c4cfa59ebcd3ccb49e75311156")</f>
        <v>0</v>
      </c>
      <c r="C8793">
        <f>HYPERLINK("https://android.googlesource.com/platform/cts/+/c74e235e0e1be734b22d27b5dc1696aa7836fb60", "c74e235e0e1be734b22d27b5dc1696aa7836fb60")</f>
        <v>0</v>
      </c>
      <c r="D8793" t="s">
        <v>12002</v>
      </c>
      <c r="E8793" t="s">
        <v>12783</v>
      </c>
      <c r="F8793" t="s">
        <v>15935</v>
      </c>
      <c r="G8793" t="s">
        <v>18627</v>
      </c>
      <c r="H8793" t="s">
        <v>20572</v>
      </c>
      <c r="I8793" t="s">
        <v>1357</v>
      </c>
      <c r="J8793" t="s">
        <v>1357</v>
      </c>
      <c r="K8793" t="s">
        <v>1357</v>
      </c>
      <c r="L8793" t="s">
        <v>1357</v>
      </c>
    </row>
    <row r="8794" spans="1:13">
      <c r="A8794" t="s">
        <v>10221</v>
      </c>
      <c r="B8794">
        <f>HYPERLINK("https://android.googlesource.com/platform/cts/+/aee83a27e9f7ee3c770bd8f863bad68d5fb33be9", "aee83a27e9f7ee3c770bd8f863bad68d5fb33be9")</f>
        <v>0</v>
      </c>
      <c r="C8794">
        <f>HYPERLINK("https://android.googlesource.com/platform/cts/+/4c77c14ba0a97c5fdee364cb063e6a1e124612aa", "4c77c14ba0a97c5fdee364cb063e6a1e124612aa")</f>
        <v>0</v>
      </c>
      <c r="D8794" t="s">
        <v>12031</v>
      </c>
      <c r="E8794" t="s">
        <v>12784</v>
      </c>
      <c r="F8794" t="s">
        <v>15936</v>
      </c>
      <c r="G8794" t="s">
        <v>18628</v>
      </c>
      <c r="H8794" t="s">
        <v>20573</v>
      </c>
      <c r="I8794" t="s">
        <v>1357</v>
      </c>
      <c r="J8794" t="s">
        <v>1357</v>
      </c>
      <c r="K8794" t="s">
        <v>1357</v>
      </c>
      <c r="L8794" t="s">
        <v>1357</v>
      </c>
    </row>
    <row r="8795" spans="1:13">
      <c r="A8795" t="s">
        <v>10222</v>
      </c>
      <c r="B8795">
        <f>HYPERLINK("https://android.googlesource.com/platform/cts/+/2830d721b4173ac7a91e4fc8b9cc0cafaaf86460", "2830d721b4173ac7a91e4fc8b9cc0cafaaf86460")</f>
        <v>0</v>
      </c>
      <c r="C8795">
        <f>HYPERLINK("https://android.googlesource.com/platform/cts/+/b24876794d9324ecc36b42a0c6d0b69690710afd", "b24876794d9324ecc36b42a0c6d0b69690710afd")</f>
        <v>0</v>
      </c>
      <c r="D8795" t="s">
        <v>12032</v>
      </c>
      <c r="E8795" t="s">
        <v>12785</v>
      </c>
      <c r="F8795" t="s">
        <v>15937</v>
      </c>
      <c r="G8795" t="s">
        <v>18629</v>
      </c>
      <c r="H8795" t="s">
        <v>20574</v>
      </c>
      <c r="I8795" t="s">
        <v>1359</v>
      </c>
      <c r="J8795" t="s">
        <v>1358</v>
      </c>
      <c r="K8795" t="s">
        <v>1357</v>
      </c>
      <c r="L8795" t="s">
        <v>1358</v>
      </c>
    </row>
    <row r="8796" spans="1:13">
      <c r="A8796" t="s">
        <v>10223</v>
      </c>
      <c r="B8796">
        <f>HYPERLINK("https://android.googlesource.com/platform/cts/+/3d3e58536fc469ba8eeabb5f2f7334c6323b4f51", "3d3e58536fc469ba8eeabb5f2f7334c6323b4f51")</f>
        <v>0</v>
      </c>
      <c r="C8796">
        <f>HYPERLINK("https://android.googlesource.com/platform/cts/+/9e9c892a17fc1b5335e50601ee20884d2288b152", "9e9c892a17fc1b5335e50601ee20884d2288b152")</f>
        <v>0</v>
      </c>
      <c r="D8796" t="s">
        <v>12033</v>
      </c>
      <c r="E8796" t="s">
        <v>12786</v>
      </c>
      <c r="F8796" t="s">
        <v>15938</v>
      </c>
      <c r="G8796" t="s">
        <v>18630</v>
      </c>
      <c r="H8796" t="s">
        <v>20575</v>
      </c>
      <c r="I8796" t="s">
        <v>1357</v>
      </c>
      <c r="J8796" t="s">
        <v>1357</v>
      </c>
      <c r="K8796" t="s">
        <v>1357</v>
      </c>
      <c r="L8796" t="s">
        <v>1357</v>
      </c>
    </row>
    <row r="8797" spans="1:13">
      <c r="H8797" t="s">
        <v>20576</v>
      </c>
      <c r="I8797" t="s">
        <v>1357</v>
      </c>
      <c r="J8797" t="s">
        <v>1357</v>
      </c>
      <c r="K8797" t="s">
        <v>1357</v>
      </c>
      <c r="L8797" t="s">
        <v>1357</v>
      </c>
    </row>
    <row r="8798" spans="1:13">
      <c r="H8798" t="s">
        <v>20577</v>
      </c>
      <c r="I8798" t="s">
        <v>1357</v>
      </c>
      <c r="J8798" t="s">
        <v>1357</v>
      </c>
      <c r="K8798" t="s">
        <v>1357</v>
      </c>
      <c r="L8798" t="s">
        <v>1357</v>
      </c>
    </row>
    <row r="8799" spans="1:13">
      <c r="H8799" t="s">
        <v>20578</v>
      </c>
      <c r="I8799" t="s">
        <v>1357</v>
      </c>
      <c r="J8799" t="s">
        <v>1357</v>
      </c>
      <c r="K8799" t="s">
        <v>1357</v>
      </c>
      <c r="L8799" t="s">
        <v>1357</v>
      </c>
    </row>
    <row r="8800" spans="1:13">
      <c r="H8800" t="s">
        <v>20579</v>
      </c>
      <c r="I8800" t="s">
        <v>1357</v>
      </c>
      <c r="J8800" t="s">
        <v>1357</v>
      </c>
      <c r="K8800" t="s">
        <v>1357</v>
      </c>
      <c r="L8800" t="s">
        <v>1357</v>
      </c>
    </row>
    <row r="8801" spans="6:12">
      <c r="H8801" t="s">
        <v>20580</v>
      </c>
      <c r="I8801" t="s">
        <v>1357</v>
      </c>
      <c r="J8801" t="s">
        <v>1357</v>
      </c>
      <c r="K8801" t="s">
        <v>1357</v>
      </c>
      <c r="L8801" t="s">
        <v>1357</v>
      </c>
    </row>
    <row r="8802" spans="6:12">
      <c r="H8802" t="s">
        <v>20581</v>
      </c>
      <c r="I8802" t="s">
        <v>1357</v>
      </c>
      <c r="J8802" t="s">
        <v>1357</v>
      </c>
      <c r="K8802" t="s">
        <v>1357</v>
      </c>
      <c r="L8802" t="s">
        <v>1357</v>
      </c>
    </row>
    <row r="8803" spans="6:12">
      <c r="H8803" t="s">
        <v>20582</v>
      </c>
      <c r="I8803" t="s">
        <v>1357</v>
      </c>
      <c r="J8803" t="s">
        <v>1357</v>
      </c>
      <c r="K8803" t="s">
        <v>1357</v>
      </c>
      <c r="L8803" t="s">
        <v>1357</v>
      </c>
    </row>
    <row r="8804" spans="6:12">
      <c r="F8804" t="s">
        <v>15939</v>
      </c>
      <c r="G8804" t="s">
        <v>18631</v>
      </c>
      <c r="H8804" t="s">
        <v>20583</v>
      </c>
      <c r="I8804" t="s">
        <v>1357</v>
      </c>
      <c r="J8804" t="s">
        <v>1357</v>
      </c>
      <c r="K8804" t="s">
        <v>1357</v>
      </c>
      <c r="L8804" t="s">
        <v>1357</v>
      </c>
    </row>
    <row r="8805" spans="6:12">
      <c r="H8805" t="s">
        <v>20584</v>
      </c>
      <c r="I8805" t="s">
        <v>1357</v>
      </c>
      <c r="J8805" t="s">
        <v>1357</v>
      </c>
      <c r="K8805" t="s">
        <v>1357</v>
      </c>
      <c r="L8805" t="s">
        <v>1357</v>
      </c>
    </row>
    <row r="8806" spans="6:12">
      <c r="H8806" t="s">
        <v>20585</v>
      </c>
      <c r="I8806" t="s">
        <v>1357</v>
      </c>
      <c r="J8806" t="s">
        <v>1357</v>
      </c>
      <c r="K8806" t="s">
        <v>1357</v>
      </c>
      <c r="L8806" t="s">
        <v>1357</v>
      </c>
    </row>
    <row r="8807" spans="6:12">
      <c r="H8807" t="s">
        <v>20586</v>
      </c>
      <c r="I8807" t="s">
        <v>1357</v>
      </c>
      <c r="J8807" t="s">
        <v>1357</v>
      </c>
      <c r="K8807" t="s">
        <v>1357</v>
      </c>
      <c r="L8807" t="s">
        <v>1357</v>
      </c>
    </row>
    <row r="8808" spans="6:12">
      <c r="H8808" t="s">
        <v>20587</v>
      </c>
      <c r="I8808" t="s">
        <v>1357</v>
      </c>
      <c r="J8808" t="s">
        <v>1357</v>
      </c>
      <c r="K8808" t="s">
        <v>1357</v>
      </c>
      <c r="L8808" t="s">
        <v>1357</v>
      </c>
    </row>
    <row r="8809" spans="6:12">
      <c r="H8809" t="s">
        <v>20588</v>
      </c>
      <c r="I8809" t="s">
        <v>1357</v>
      </c>
      <c r="J8809" t="s">
        <v>1357</v>
      </c>
      <c r="K8809" t="s">
        <v>1357</v>
      </c>
      <c r="L8809" t="s">
        <v>1357</v>
      </c>
    </row>
    <row r="8810" spans="6:12">
      <c r="H8810" t="s">
        <v>20589</v>
      </c>
      <c r="I8810" t="s">
        <v>1357</v>
      </c>
      <c r="J8810" t="s">
        <v>1357</v>
      </c>
      <c r="K8810" t="s">
        <v>1357</v>
      </c>
      <c r="L8810" t="s">
        <v>1357</v>
      </c>
    </row>
    <row r="8811" spans="6:12">
      <c r="H8811" t="s">
        <v>20590</v>
      </c>
      <c r="I8811" t="s">
        <v>1357</v>
      </c>
      <c r="J8811" t="s">
        <v>1357</v>
      </c>
      <c r="K8811" t="s">
        <v>1357</v>
      </c>
      <c r="L8811" t="s">
        <v>1357</v>
      </c>
    </row>
    <row r="8812" spans="6:12">
      <c r="F8812" t="s">
        <v>15940</v>
      </c>
      <c r="G8812" t="s">
        <v>18632</v>
      </c>
      <c r="H8812" t="s">
        <v>20591</v>
      </c>
      <c r="I8812" t="s">
        <v>1357</v>
      </c>
      <c r="J8812" t="s">
        <v>1357</v>
      </c>
      <c r="K8812" t="s">
        <v>1357</v>
      </c>
      <c r="L8812" t="s">
        <v>1357</v>
      </c>
    </row>
    <row r="8813" spans="6:12">
      <c r="H8813" t="s">
        <v>20592</v>
      </c>
      <c r="I8813" t="s">
        <v>1357</v>
      </c>
      <c r="J8813" t="s">
        <v>1357</v>
      </c>
      <c r="K8813" t="s">
        <v>1357</v>
      </c>
      <c r="L8813" t="s">
        <v>1357</v>
      </c>
    </row>
    <row r="8814" spans="6:12">
      <c r="H8814" t="s">
        <v>20593</v>
      </c>
      <c r="I8814" t="s">
        <v>1357</v>
      </c>
      <c r="J8814" t="s">
        <v>1357</v>
      </c>
      <c r="K8814" t="s">
        <v>1357</v>
      </c>
      <c r="L8814" t="s">
        <v>1357</v>
      </c>
    </row>
    <row r="8815" spans="6:12">
      <c r="H8815" t="s">
        <v>20594</v>
      </c>
      <c r="I8815" t="s">
        <v>1357</v>
      </c>
      <c r="J8815" t="s">
        <v>1357</v>
      </c>
      <c r="K8815" t="s">
        <v>1357</v>
      </c>
      <c r="L8815" t="s">
        <v>1357</v>
      </c>
    </row>
    <row r="8816" spans="6:12">
      <c r="H8816" t="s">
        <v>20595</v>
      </c>
      <c r="I8816" t="s">
        <v>1357</v>
      </c>
      <c r="J8816" t="s">
        <v>1357</v>
      </c>
      <c r="K8816" t="s">
        <v>1357</v>
      </c>
      <c r="L8816" t="s">
        <v>1357</v>
      </c>
    </row>
    <row r="8817" spans="6:12">
      <c r="H8817" t="s">
        <v>20596</v>
      </c>
      <c r="I8817" t="s">
        <v>1357</v>
      </c>
      <c r="J8817" t="s">
        <v>1357</v>
      </c>
      <c r="K8817" t="s">
        <v>1357</v>
      </c>
      <c r="L8817" t="s">
        <v>1357</v>
      </c>
    </row>
    <row r="8818" spans="6:12">
      <c r="H8818" t="s">
        <v>20597</v>
      </c>
      <c r="I8818" t="s">
        <v>1357</v>
      </c>
      <c r="J8818" t="s">
        <v>1357</v>
      </c>
      <c r="K8818" t="s">
        <v>1357</v>
      </c>
      <c r="L8818" t="s">
        <v>1357</v>
      </c>
    </row>
    <row r="8819" spans="6:12">
      <c r="H8819" t="s">
        <v>20598</v>
      </c>
      <c r="I8819" t="s">
        <v>1357</v>
      </c>
      <c r="J8819" t="s">
        <v>1357</v>
      </c>
      <c r="K8819" t="s">
        <v>1357</v>
      </c>
      <c r="L8819" t="s">
        <v>1357</v>
      </c>
    </row>
    <row r="8820" spans="6:12">
      <c r="F8820" t="s">
        <v>15941</v>
      </c>
      <c r="G8820" t="s">
        <v>18633</v>
      </c>
      <c r="H8820" t="s">
        <v>20599</v>
      </c>
      <c r="I8820" t="s">
        <v>1357</v>
      </c>
      <c r="J8820" t="s">
        <v>1357</v>
      </c>
      <c r="K8820" t="s">
        <v>1357</v>
      </c>
      <c r="L8820" t="s">
        <v>1357</v>
      </c>
    </row>
    <row r="8821" spans="6:12">
      <c r="H8821" t="s">
        <v>20600</v>
      </c>
      <c r="I8821" t="s">
        <v>1357</v>
      </c>
      <c r="J8821" t="s">
        <v>1357</v>
      </c>
      <c r="K8821" t="s">
        <v>1357</v>
      </c>
      <c r="L8821" t="s">
        <v>1357</v>
      </c>
    </row>
    <row r="8822" spans="6:12">
      <c r="H8822" t="s">
        <v>20601</v>
      </c>
      <c r="I8822" t="s">
        <v>1357</v>
      </c>
      <c r="J8822" t="s">
        <v>1357</v>
      </c>
      <c r="K8822" t="s">
        <v>1357</v>
      </c>
      <c r="L8822" t="s">
        <v>1357</v>
      </c>
    </row>
    <row r="8823" spans="6:12">
      <c r="H8823" t="s">
        <v>20602</v>
      </c>
      <c r="I8823" t="s">
        <v>1357</v>
      </c>
      <c r="J8823" t="s">
        <v>1357</v>
      </c>
      <c r="K8823" t="s">
        <v>1357</v>
      </c>
      <c r="L8823" t="s">
        <v>1357</v>
      </c>
    </row>
    <row r="8824" spans="6:12">
      <c r="H8824" t="s">
        <v>20603</v>
      </c>
      <c r="I8824" t="s">
        <v>1357</v>
      </c>
      <c r="J8824" t="s">
        <v>1357</v>
      </c>
      <c r="K8824" t="s">
        <v>1357</v>
      </c>
      <c r="L8824" t="s">
        <v>1357</v>
      </c>
    </row>
    <row r="8825" spans="6:12">
      <c r="H8825" t="s">
        <v>20604</v>
      </c>
      <c r="I8825" t="s">
        <v>1357</v>
      </c>
      <c r="J8825" t="s">
        <v>1357</v>
      </c>
      <c r="K8825" t="s">
        <v>1357</v>
      </c>
      <c r="L8825" t="s">
        <v>1357</v>
      </c>
    </row>
    <row r="8826" spans="6:12">
      <c r="H8826" t="s">
        <v>20605</v>
      </c>
      <c r="I8826" t="s">
        <v>1357</v>
      </c>
      <c r="J8826" t="s">
        <v>1357</v>
      </c>
      <c r="K8826" t="s">
        <v>1357</v>
      </c>
      <c r="L8826" t="s">
        <v>1357</v>
      </c>
    </row>
    <row r="8827" spans="6:12">
      <c r="H8827" t="s">
        <v>20606</v>
      </c>
      <c r="I8827" t="s">
        <v>1357</v>
      </c>
      <c r="J8827" t="s">
        <v>1357</v>
      </c>
      <c r="K8827" t="s">
        <v>1357</v>
      </c>
      <c r="L8827" t="s">
        <v>1357</v>
      </c>
    </row>
    <row r="8828" spans="6:12">
      <c r="F8828" t="s">
        <v>15942</v>
      </c>
      <c r="G8828" t="s">
        <v>18634</v>
      </c>
      <c r="H8828" t="s">
        <v>20607</v>
      </c>
      <c r="I8828" t="s">
        <v>1357</v>
      </c>
      <c r="J8828" t="s">
        <v>1357</v>
      </c>
      <c r="K8828" t="s">
        <v>1357</v>
      </c>
      <c r="L8828" t="s">
        <v>1357</v>
      </c>
    </row>
    <row r="8829" spans="6:12">
      <c r="H8829" t="s">
        <v>20608</v>
      </c>
      <c r="I8829" t="s">
        <v>1357</v>
      </c>
      <c r="J8829" t="s">
        <v>1357</v>
      </c>
      <c r="K8829" t="s">
        <v>1357</v>
      </c>
      <c r="L8829" t="s">
        <v>1357</v>
      </c>
    </row>
    <row r="8830" spans="6:12">
      <c r="H8830" t="s">
        <v>20609</v>
      </c>
      <c r="I8830" t="s">
        <v>1357</v>
      </c>
      <c r="J8830" t="s">
        <v>1357</v>
      </c>
      <c r="K8830" t="s">
        <v>1357</v>
      </c>
      <c r="L8830" t="s">
        <v>1357</v>
      </c>
    </row>
    <row r="8831" spans="6:12">
      <c r="H8831" t="s">
        <v>20610</v>
      </c>
      <c r="I8831" t="s">
        <v>1357</v>
      </c>
      <c r="J8831" t="s">
        <v>1357</v>
      </c>
      <c r="K8831" t="s">
        <v>1357</v>
      </c>
      <c r="L8831" t="s">
        <v>1357</v>
      </c>
    </row>
    <row r="8832" spans="6:12">
      <c r="H8832" t="s">
        <v>20611</v>
      </c>
      <c r="I8832" t="s">
        <v>1357</v>
      </c>
      <c r="J8832" t="s">
        <v>1357</v>
      </c>
      <c r="K8832" t="s">
        <v>1357</v>
      </c>
      <c r="L8832" t="s">
        <v>1357</v>
      </c>
    </row>
    <row r="8833" spans="6:12">
      <c r="H8833" t="s">
        <v>20612</v>
      </c>
      <c r="I8833" t="s">
        <v>1357</v>
      </c>
      <c r="J8833" t="s">
        <v>1357</v>
      </c>
      <c r="K8833" t="s">
        <v>1357</v>
      </c>
      <c r="L8833" t="s">
        <v>1357</v>
      </c>
    </row>
    <row r="8834" spans="6:12">
      <c r="H8834" t="s">
        <v>20613</v>
      </c>
      <c r="I8834" t="s">
        <v>1357</v>
      </c>
      <c r="J8834" t="s">
        <v>1357</v>
      </c>
      <c r="K8834" t="s">
        <v>1357</v>
      </c>
      <c r="L8834" t="s">
        <v>1357</v>
      </c>
    </row>
    <row r="8835" spans="6:12">
      <c r="H8835" t="s">
        <v>20614</v>
      </c>
      <c r="I8835" t="s">
        <v>1357</v>
      </c>
      <c r="J8835" t="s">
        <v>1357</v>
      </c>
      <c r="K8835" t="s">
        <v>1357</v>
      </c>
      <c r="L8835" t="s">
        <v>1357</v>
      </c>
    </row>
    <row r="8836" spans="6:12">
      <c r="F8836" t="s">
        <v>15943</v>
      </c>
      <c r="G8836" t="s">
        <v>18635</v>
      </c>
      <c r="H8836" t="s">
        <v>20615</v>
      </c>
      <c r="I8836" t="s">
        <v>1357</v>
      </c>
      <c r="J8836" t="s">
        <v>1357</v>
      </c>
      <c r="K8836" t="s">
        <v>1357</v>
      </c>
      <c r="L8836" t="s">
        <v>1357</v>
      </c>
    </row>
    <row r="8837" spans="6:12">
      <c r="H8837" t="s">
        <v>20616</v>
      </c>
      <c r="I8837" t="s">
        <v>1357</v>
      </c>
      <c r="J8837" t="s">
        <v>1357</v>
      </c>
      <c r="K8837" t="s">
        <v>1357</v>
      </c>
      <c r="L8837" t="s">
        <v>1357</v>
      </c>
    </row>
    <row r="8838" spans="6:12">
      <c r="H8838" t="s">
        <v>20617</v>
      </c>
      <c r="I8838" t="s">
        <v>1357</v>
      </c>
      <c r="J8838" t="s">
        <v>1357</v>
      </c>
      <c r="K8838" t="s">
        <v>1357</v>
      </c>
      <c r="L8838" t="s">
        <v>1357</v>
      </c>
    </row>
    <row r="8839" spans="6:12">
      <c r="H8839" t="s">
        <v>20618</v>
      </c>
      <c r="I8839" t="s">
        <v>1357</v>
      </c>
      <c r="J8839" t="s">
        <v>1357</v>
      </c>
      <c r="K8839" t="s">
        <v>1357</v>
      </c>
      <c r="L8839" t="s">
        <v>1357</v>
      </c>
    </row>
    <row r="8840" spans="6:12">
      <c r="H8840" t="s">
        <v>20619</v>
      </c>
      <c r="I8840" t="s">
        <v>1357</v>
      </c>
      <c r="J8840" t="s">
        <v>1357</v>
      </c>
      <c r="K8840" t="s">
        <v>1357</v>
      </c>
      <c r="L8840" t="s">
        <v>1357</v>
      </c>
    </row>
    <row r="8841" spans="6:12">
      <c r="H8841" t="s">
        <v>20620</v>
      </c>
      <c r="I8841" t="s">
        <v>1357</v>
      </c>
      <c r="J8841" t="s">
        <v>1357</v>
      </c>
      <c r="K8841" t="s">
        <v>1357</v>
      </c>
      <c r="L8841" t="s">
        <v>1357</v>
      </c>
    </row>
    <row r="8842" spans="6:12">
      <c r="H8842" t="s">
        <v>20621</v>
      </c>
      <c r="I8842" t="s">
        <v>1357</v>
      </c>
      <c r="J8842" t="s">
        <v>1357</v>
      </c>
      <c r="K8842" t="s">
        <v>1357</v>
      </c>
      <c r="L8842" t="s">
        <v>1357</v>
      </c>
    </row>
    <row r="8843" spans="6:12">
      <c r="H8843" t="s">
        <v>20622</v>
      </c>
      <c r="I8843" t="s">
        <v>1357</v>
      </c>
      <c r="J8843" t="s">
        <v>1357</v>
      </c>
      <c r="K8843" t="s">
        <v>1357</v>
      </c>
      <c r="L8843" t="s">
        <v>1357</v>
      </c>
    </row>
    <row r="8844" spans="6:12">
      <c r="F8844" t="s">
        <v>15944</v>
      </c>
      <c r="G8844" t="s">
        <v>18636</v>
      </c>
      <c r="H8844" t="s">
        <v>20623</v>
      </c>
      <c r="I8844" t="s">
        <v>1357</v>
      </c>
      <c r="J8844" t="s">
        <v>1357</v>
      </c>
      <c r="K8844" t="s">
        <v>1357</v>
      </c>
      <c r="L8844" t="s">
        <v>1357</v>
      </c>
    </row>
    <row r="8845" spans="6:12">
      <c r="H8845" t="s">
        <v>20624</v>
      </c>
      <c r="I8845" t="s">
        <v>1357</v>
      </c>
      <c r="J8845" t="s">
        <v>1357</v>
      </c>
      <c r="K8845" t="s">
        <v>1357</v>
      </c>
      <c r="L8845" t="s">
        <v>1357</v>
      </c>
    </row>
    <row r="8846" spans="6:12">
      <c r="H8846" t="s">
        <v>20625</v>
      </c>
      <c r="I8846" t="s">
        <v>1357</v>
      </c>
      <c r="J8846" t="s">
        <v>1357</v>
      </c>
      <c r="K8846" t="s">
        <v>1357</v>
      </c>
      <c r="L8846" t="s">
        <v>1357</v>
      </c>
    </row>
    <row r="8847" spans="6:12">
      <c r="H8847" t="s">
        <v>20626</v>
      </c>
      <c r="I8847" t="s">
        <v>1357</v>
      </c>
      <c r="J8847" t="s">
        <v>1357</v>
      </c>
      <c r="K8847" t="s">
        <v>1357</v>
      </c>
      <c r="L8847" t="s">
        <v>1357</v>
      </c>
    </row>
    <row r="8848" spans="6:12">
      <c r="H8848" t="s">
        <v>20627</v>
      </c>
      <c r="I8848" t="s">
        <v>1357</v>
      </c>
      <c r="J8848" t="s">
        <v>1357</v>
      </c>
      <c r="K8848" t="s">
        <v>1357</v>
      </c>
      <c r="L8848" t="s">
        <v>1357</v>
      </c>
    </row>
    <row r="8849" spans="6:12">
      <c r="H8849" t="s">
        <v>20628</v>
      </c>
      <c r="I8849" t="s">
        <v>1357</v>
      </c>
      <c r="J8849" t="s">
        <v>1357</v>
      </c>
      <c r="K8849" t="s">
        <v>1357</v>
      </c>
      <c r="L8849" t="s">
        <v>1357</v>
      </c>
    </row>
    <row r="8850" spans="6:12">
      <c r="H8850" t="s">
        <v>20629</v>
      </c>
      <c r="I8850" t="s">
        <v>1357</v>
      </c>
      <c r="J8850" t="s">
        <v>1357</v>
      </c>
      <c r="K8850" t="s">
        <v>1357</v>
      </c>
      <c r="L8850" t="s">
        <v>1357</v>
      </c>
    </row>
    <row r="8851" spans="6:12">
      <c r="H8851" t="s">
        <v>20630</v>
      </c>
      <c r="I8851" t="s">
        <v>1357</v>
      </c>
      <c r="J8851" t="s">
        <v>1357</v>
      </c>
      <c r="K8851" t="s">
        <v>1357</v>
      </c>
      <c r="L8851" t="s">
        <v>1357</v>
      </c>
    </row>
    <row r="8852" spans="6:12">
      <c r="F8852" t="s">
        <v>15945</v>
      </c>
      <c r="G8852" t="s">
        <v>18637</v>
      </c>
      <c r="H8852" t="s">
        <v>20631</v>
      </c>
      <c r="I8852" t="s">
        <v>1357</v>
      </c>
      <c r="J8852" t="s">
        <v>1357</v>
      </c>
      <c r="K8852" t="s">
        <v>1357</v>
      </c>
      <c r="L8852" t="s">
        <v>1357</v>
      </c>
    </row>
    <row r="8853" spans="6:12">
      <c r="H8853" t="s">
        <v>20632</v>
      </c>
      <c r="I8853" t="s">
        <v>1357</v>
      </c>
      <c r="J8853" t="s">
        <v>1357</v>
      </c>
      <c r="K8853" t="s">
        <v>1357</v>
      </c>
      <c r="L8853" t="s">
        <v>1357</v>
      </c>
    </row>
    <row r="8854" spans="6:12">
      <c r="H8854" t="s">
        <v>20633</v>
      </c>
      <c r="I8854" t="s">
        <v>1357</v>
      </c>
      <c r="J8854" t="s">
        <v>1357</v>
      </c>
      <c r="K8854" t="s">
        <v>1357</v>
      </c>
      <c r="L8854" t="s">
        <v>1357</v>
      </c>
    </row>
    <row r="8855" spans="6:12">
      <c r="H8855" t="s">
        <v>20634</v>
      </c>
      <c r="I8855" t="s">
        <v>1357</v>
      </c>
      <c r="J8855" t="s">
        <v>1357</v>
      </c>
      <c r="K8855" t="s">
        <v>1357</v>
      </c>
      <c r="L8855" t="s">
        <v>1357</v>
      </c>
    </row>
    <row r="8856" spans="6:12">
      <c r="H8856" t="s">
        <v>20635</v>
      </c>
      <c r="I8856" t="s">
        <v>1357</v>
      </c>
      <c r="J8856" t="s">
        <v>1357</v>
      </c>
      <c r="K8856" t="s">
        <v>1357</v>
      </c>
      <c r="L8856" t="s">
        <v>1357</v>
      </c>
    </row>
    <row r="8857" spans="6:12">
      <c r="H8857" t="s">
        <v>20636</v>
      </c>
      <c r="I8857" t="s">
        <v>1357</v>
      </c>
      <c r="J8857" t="s">
        <v>1357</v>
      </c>
      <c r="K8857" t="s">
        <v>1357</v>
      </c>
      <c r="L8857" t="s">
        <v>1357</v>
      </c>
    </row>
    <row r="8858" spans="6:12">
      <c r="H8858" t="s">
        <v>20637</v>
      </c>
      <c r="I8858" t="s">
        <v>1357</v>
      </c>
      <c r="J8858" t="s">
        <v>1357</v>
      </c>
      <c r="K8858" t="s">
        <v>1357</v>
      </c>
      <c r="L8858" t="s">
        <v>1357</v>
      </c>
    </row>
    <row r="8859" spans="6:12">
      <c r="H8859" t="s">
        <v>20638</v>
      </c>
      <c r="I8859" t="s">
        <v>1357</v>
      </c>
      <c r="J8859" t="s">
        <v>1357</v>
      </c>
      <c r="K8859" t="s">
        <v>1357</v>
      </c>
      <c r="L8859" t="s">
        <v>1357</v>
      </c>
    </row>
    <row r="8860" spans="6:12">
      <c r="F8860" t="s">
        <v>15946</v>
      </c>
      <c r="G8860" t="s">
        <v>18638</v>
      </c>
      <c r="H8860" t="s">
        <v>20639</v>
      </c>
      <c r="I8860" t="s">
        <v>1357</v>
      </c>
      <c r="J8860" t="s">
        <v>1357</v>
      </c>
      <c r="K8860" t="s">
        <v>1357</v>
      </c>
      <c r="L8860" t="s">
        <v>1357</v>
      </c>
    </row>
    <row r="8861" spans="6:12">
      <c r="H8861" t="s">
        <v>20640</v>
      </c>
      <c r="I8861" t="s">
        <v>1357</v>
      </c>
      <c r="J8861" t="s">
        <v>1357</v>
      </c>
      <c r="K8861" t="s">
        <v>1357</v>
      </c>
      <c r="L8861" t="s">
        <v>1357</v>
      </c>
    </row>
    <row r="8862" spans="6:12">
      <c r="H8862" t="s">
        <v>20641</v>
      </c>
      <c r="I8862" t="s">
        <v>1357</v>
      </c>
      <c r="J8862" t="s">
        <v>1357</v>
      </c>
      <c r="K8862" t="s">
        <v>1357</v>
      </c>
      <c r="L8862" t="s">
        <v>1357</v>
      </c>
    </row>
    <row r="8863" spans="6:12">
      <c r="H8863" t="s">
        <v>20642</v>
      </c>
      <c r="I8863" t="s">
        <v>1357</v>
      </c>
      <c r="J8863" t="s">
        <v>1357</v>
      </c>
      <c r="K8863" t="s">
        <v>1357</v>
      </c>
      <c r="L8863" t="s">
        <v>1357</v>
      </c>
    </row>
    <row r="8864" spans="6:12">
      <c r="H8864" t="s">
        <v>20643</v>
      </c>
      <c r="I8864" t="s">
        <v>1357</v>
      </c>
      <c r="J8864" t="s">
        <v>1357</v>
      </c>
      <c r="K8864" t="s">
        <v>1357</v>
      </c>
      <c r="L8864" t="s">
        <v>1357</v>
      </c>
    </row>
    <row r="8865" spans="6:12">
      <c r="H8865" t="s">
        <v>20644</v>
      </c>
      <c r="I8865" t="s">
        <v>1357</v>
      </c>
      <c r="J8865" t="s">
        <v>1357</v>
      </c>
      <c r="K8865" t="s">
        <v>1357</v>
      </c>
      <c r="L8865" t="s">
        <v>1357</v>
      </c>
    </row>
    <row r="8866" spans="6:12">
      <c r="H8866" t="s">
        <v>20645</v>
      </c>
      <c r="I8866" t="s">
        <v>1357</v>
      </c>
      <c r="J8866" t="s">
        <v>1357</v>
      </c>
      <c r="K8866" t="s">
        <v>1357</v>
      </c>
      <c r="L8866" t="s">
        <v>1357</v>
      </c>
    </row>
    <row r="8867" spans="6:12">
      <c r="H8867" t="s">
        <v>20646</v>
      </c>
      <c r="I8867" t="s">
        <v>1357</v>
      </c>
      <c r="J8867" t="s">
        <v>1357</v>
      </c>
      <c r="K8867" t="s">
        <v>1357</v>
      </c>
      <c r="L8867" t="s">
        <v>1357</v>
      </c>
    </row>
    <row r="8868" spans="6:12">
      <c r="F8868" t="s">
        <v>15947</v>
      </c>
      <c r="G8868" t="s">
        <v>18639</v>
      </c>
      <c r="H8868" t="s">
        <v>20647</v>
      </c>
      <c r="I8868" t="s">
        <v>1357</v>
      </c>
      <c r="J8868" t="s">
        <v>1357</v>
      </c>
      <c r="K8868" t="s">
        <v>1357</v>
      </c>
      <c r="L8868" t="s">
        <v>1357</v>
      </c>
    </row>
    <row r="8869" spans="6:12">
      <c r="H8869" t="s">
        <v>20648</v>
      </c>
      <c r="I8869" t="s">
        <v>1357</v>
      </c>
      <c r="J8869" t="s">
        <v>1357</v>
      </c>
      <c r="K8869" t="s">
        <v>1357</v>
      </c>
      <c r="L8869" t="s">
        <v>1357</v>
      </c>
    </row>
    <row r="8870" spans="6:12">
      <c r="H8870" t="s">
        <v>20649</v>
      </c>
      <c r="I8870" t="s">
        <v>1357</v>
      </c>
      <c r="J8870" t="s">
        <v>1357</v>
      </c>
      <c r="K8870" t="s">
        <v>1357</v>
      </c>
      <c r="L8870" t="s">
        <v>1357</v>
      </c>
    </row>
    <row r="8871" spans="6:12">
      <c r="H8871" t="s">
        <v>20650</v>
      </c>
      <c r="I8871" t="s">
        <v>1357</v>
      </c>
      <c r="J8871" t="s">
        <v>1357</v>
      </c>
      <c r="K8871" t="s">
        <v>1357</v>
      </c>
      <c r="L8871" t="s">
        <v>1357</v>
      </c>
    </row>
    <row r="8872" spans="6:12">
      <c r="H8872" t="s">
        <v>20651</v>
      </c>
      <c r="I8872" t="s">
        <v>1357</v>
      </c>
      <c r="J8872" t="s">
        <v>1357</v>
      </c>
      <c r="K8872" t="s">
        <v>1357</v>
      </c>
      <c r="L8872" t="s">
        <v>1357</v>
      </c>
    </row>
    <row r="8873" spans="6:12">
      <c r="H8873" t="s">
        <v>20652</v>
      </c>
      <c r="I8873" t="s">
        <v>1357</v>
      </c>
      <c r="J8873" t="s">
        <v>1357</v>
      </c>
      <c r="K8873" t="s">
        <v>1357</v>
      </c>
      <c r="L8873" t="s">
        <v>1357</v>
      </c>
    </row>
    <row r="8874" spans="6:12">
      <c r="H8874" t="s">
        <v>20653</v>
      </c>
      <c r="I8874" t="s">
        <v>1357</v>
      </c>
      <c r="J8874" t="s">
        <v>1357</v>
      </c>
      <c r="K8874" t="s">
        <v>1357</v>
      </c>
      <c r="L8874" t="s">
        <v>1357</v>
      </c>
    </row>
    <row r="8875" spans="6:12">
      <c r="H8875" t="s">
        <v>20654</v>
      </c>
      <c r="I8875" t="s">
        <v>1357</v>
      </c>
      <c r="J8875" t="s">
        <v>1357</v>
      </c>
      <c r="K8875" t="s">
        <v>1357</v>
      </c>
      <c r="L8875" t="s">
        <v>1357</v>
      </c>
    </row>
    <row r="8876" spans="6:12">
      <c r="F8876" t="s">
        <v>15948</v>
      </c>
      <c r="G8876" t="s">
        <v>18640</v>
      </c>
      <c r="H8876" t="s">
        <v>20655</v>
      </c>
      <c r="I8876" t="s">
        <v>1357</v>
      </c>
      <c r="J8876" t="s">
        <v>1357</v>
      </c>
      <c r="K8876" t="s">
        <v>1357</v>
      </c>
      <c r="L8876" t="s">
        <v>1357</v>
      </c>
    </row>
    <row r="8877" spans="6:12">
      <c r="H8877" t="s">
        <v>20656</v>
      </c>
      <c r="I8877" t="s">
        <v>1357</v>
      </c>
      <c r="J8877" t="s">
        <v>1357</v>
      </c>
      <c r="K8877" t="s">
        <v>1357</v>
      </c>
      <c r="L8877" t="s">
        <v>1357</v>
      </c>
    </row>
    <row r="8878" spans="6:12">
      <c r="H8878" t="s">
        <v>20657</v>
      </c>
      <c r="I8878" t="s">
        <v>1357</v>
      </c>
      <c r="J8878" t="s">
        <v>1357</v>
      </c>
      <c r="K8878" t="s">
        <v>1357</v>
      </c>
      <c r="L8878" t="s">
        <v>1357</v>
      </c>
    </row>
    <row r="8879" spans="6:12">
      <c r="H8879" t="s">
        <v>20658</v>
      </c>
      <c r="I8879" t="s">
        <v>1357</v>
      </c>
      <c r="J8879" t="s">
        <v>1357</v>
      </c>
      <c r="K8879" t="s">
        <v>1357</v>
      </c>
      <c r="L8879" t="s">
        <v>1357</v>
      </c>
    </row>
    <row r="8880" spans="6:12">
      <c r="H8880" t="s">
        <v>20659</v>
      </c>
      <c r="I8880" t="s">
        <v>1357</v>
      </c>
      <c r="J8880" t="s">
        <v>1357</v>
      </c>
      <c r="K8880" t="s">
        <v>1357</v>
      </c>
      <c r="L8880" t="s">
        <v>1357</v>
      </c>
    </row>
    <row r="8881" spans="6:12">
      <c r="H8881" t="s">
        <v>20660</v>
      </c>
      <c r="I8881" t="s">
        <v>1357</v>
      </c>
      <c r="J8881" t="s">
        <v>1357</v>
      </c>
      <c r="K8881" t="s">
        <v>1357</v>
      </c>
      <c r="L8881" t="s">
        <v>1357</v>
      </c>
    </row>
    <row r="8882" spans="6:12">
      <c r="H8882" t="s">
        <v>20661</v>
      </c>
      <c r="I8882" t="s">
        <v>1357</v>
      </c>
      <c r="J8882" t="s">
        <v>1357</v>
      </c>
      <c r="K8882" t="s">
        <v>1357</v>
      </c>
      <c r="L8882" t="s">
        <v>1357</v>
      </c>
    </row>
    <row r="8883" spans="6:12">
      <c r="H8883" t="s">
        <v>20662</v>
      </c>
      <c r="I8883" t="s">
        <v>1357</v>
      </c>
      <c r="J8883" t="s">
        <v>1357</v>
      </c>
      <c r="K8883" t="s">
        <v>1357</v>
      </c>
      <c r="L8883" t="s">
        <v>1357</v>
      </c>
    </row>
    <row r="8884" spans="6:12">
      <c r="F8884" t="s">
        <v>15949</v>
      </c>
      <c r="G8884" t="s">
        <v>18641</v>
      </c>
      <c r="H8884" t="s">
        <v>20663</v>
      </c>
      <c r="I8884" t="s">
        <v>1357</v>
      </c>
      <c r="J8884" t="s">
        <v>1357</v>
      </c>
      <c r="K8884" t="s">
        <v>1357</v>
      </c>
      <c r="L8884" t="s">
        <v>1357</v>
      </c>
    </row>
    <row r="8885" spans="6:12">
      <c r="H8885" t="s">
        <v>20664</v>
      </c>
      <c r="I8885" t="s">
        <v>1357</v>
      </c>
      <c r="J8885" t="s">
        <v>1357</v>
      </c>
      <c r="K8885" t="s">
        <v>1357</v>
      </c>
      <c r="L8885" t="s">
        <v>1357</v>
      </c>
    </row>
    <row r="8886" spans="6:12">
      <c r="H8886" t="s">
        <v>20665</v>
      </c>
      <c r="I8886" t="s">
        <v>1357</v>
      </c>
      <c r="J8886" t="s">
        <v>1357</v>
      </c>
      <c r="K8886" t="s">
        <v>1357</v>
      </c>
      <c r="L8886" t="s">
        <v>1357</v>
      </c>
    </row>
    <row r="8887" spans="6:12">
      <c r="H8887" t="s">
        <v>20666</v>
      </c>
      <c r="I8887" t="s">
        <v>1357</v>
      </c>
      <c r="J8887" t="s">
        <v>1357</v>
      </c>
      <c r="K8887" t="s">
        <v>1357</v>
      </c>
      <c r="L8887" t="s">
        <v>1357</v>
      </c>
    </row>
    <row r="8888" spans="6:12">
      <c r="H8888" t="s">
        <v>20667</v>
      </c>
      <c r="I8888" t="s">
        <v>1357</v>
      </c>
      <c r="J8888" t="s">
        <v>1357</v>
      </c>
      <c r="K8888" t="s">
        <v>1357</v>
      </c>
      <c r="L8888" t="s">
        <v>1357</v>
      </c>
    </row>
    <row r="8889" spans="6:12">
      <c r="H8889" t="s">
        <v>20668</v>
      </c>
      <c r="I8889" t="s">
        <v>1357</v>
      </c>
      <c r="J8889" t="s">
        <v>1357</v>
      </c>
      <c r="K8889" t="s">
        <v>1357</v>
      </c>
      <c r="L8889" t="s">
        <v>1357</v>
      </c>
    </row>
    <row r="8890" spans="6:12">
      <c r="H8890" t="s">
        <v>20669</v>
      </c>
      <c r="I8890" t="s">
        <v>1357</v>
      </c>
      <c r="J8890" t="s">
        <v>1357</v>
      </c>
      <c r="K8890" t="s">
        <v>1357</v>
      </c>
      <c r="L8890" t="s">
        <v>1357</v>
      </c>
    </row>
    <row r="8891" spans="6:12">
      <c r="H8891" t="s">
        <v>20670</v>
      </c>
      <c r="I8891" t="s">
        <v>1357</v>
      </c>
      <c r="J8891" t="s">
        <v>1357</v>
      </c>
      <c r="K8891" t="s">
        <v>1357</v>
      </c>
      <c r="L8891" t="s">
        <v>1357</v>
      </c>
    </row>
    <row r="8892" spans="6:12">
      <c r="F8892" t="s">
        <v>15950</v>
      </c>
      <c r="G8892" t="s">
        <v>18642</v>
      </c>
      <c r="H8892" t="s">
        <v>20671</v>
      </c>
      <c r="I8892" t="s">
        <v>1357</v>
      </c>
      <c r="J8892" t="s">
        <v>1357</v>
      </c>
      <c r="K8892" t="s">
        <v>1357</v>
      </c>
      <c r="L8892" t="s">
        <v>1357</v>
      </c>
    </row>
    <row r="8893" spans="6:12">
      <c r="H8893" t="s">
        <v>20672</v>
      </c>
      <c r="I8893" t="s">
        <v>1357</v>
      </c>
      <c r="J8893" t="s">
        <v>1357</v>
      </c>
      <c r="K8893" t="s">
        <v>1357</v>
      </c>
      <c r="L8893" t="s">
        <v>1357</v>
      </c>
    </row>
    <row r="8894" spans="6:12">
      <c r="H8894" t="s">
        <v>20673</v>
      </c>
      <c r="I8894" t="s">
        <v>1357</v>
      </c>
      <c r="J8894" t="s">
        <v>1357</v>
      </c>
      <c r="K8894" t="s">
        <v>1357</v>
      </c>
      <c r="L8894" t="s">
        <v>1357</v>
      </c>
    </row>
    <row r="8895" spans="6:12">
      <c r="H8895" t="s">
        <v>20674</v>
      </c>
      <c r="I8895" t="s">
        <v>1357</v>
      </c>
      <c r="J8895" t="s">
        <v>1357</v>
      </c>
      <c r="K8895" t="s">
        <v>1357</v>
      </c>
      <c r="L8895" t="s">
        <v>1357</v>
      </c>
    </row>
    <row r="8896" spans="6:12">
      <c r="H8896" t="s">
        <v>20675</v>
      </c>
      <c r="I8896" t="s">
        <v>1357</v>
      </c>
      <c r="J8896" t="s">
        <v>1357</v>
      </c>
      <c r="K8896" t="s">
        <v>1357</v>
      </c>
      <c r="L8896" t="s">
        <v>1357</v>
      </c>
    </row>
    <row r="8897" spans="6:12">
      <c r="H8897" t="s">
        <v>20676</v>
      </c>
      <c r="I8897" t="s">
        <v>1357</v>
      </c>
      <c r="J8897" t="s">
        <v>1357</v>
      </c>
      <c r="K8897" t="s">
        <v>1357</v>
      </c>
      <c r="L8897" t="s">
        <v>1357</v>
      </c>
    </row>
    <row r="8898" spans="6:12">
      <c r="H8898" t="s">
        <v>20677</v>
      </c>
      <c r="I8898" t="s">
        <v>1357</v>
      </c>
      <c r="J8898" t="s">
        <v>1357</v>
      </c>
      <c r="K8898" t="s">
        <v>1357</v>
      </c>
      <c r="L8898" t="s">
        <v>1357</v>
      </c>
    </row>
    <row r="8899" spans="6:12">
      <c r="H8899" t="s">
        <v>20678</v>
      </c>
      <c r="I8899" t="s">
        <v>1357</v>
      </c>
      <c r="J8899" t="s">
        <v>1357</v>
      </c>
      <c r="K8899" t="s">
        <v>1357</v>
      </c>
      <c r="L8899" t="s">
        <v>1357</v>
      </c>
    </row>
    <row r="8900" spans="6:12">
      <c r="F8900" t="s">
        <v>15171</v>
      </c>
      <c r="G8900" t="s">
        <v>17873</v>
      </c>
      <c r="H8900" t="s">
        <v>20679</v>
      </c>
      <c r="I8900" t="s">
        <v>1358</v>
      </c>
      <c r="J8900" t="s">
        <v>1358</v>
      </c>
      <c r="K8900" t="s">
        <v>1358</v>
      </c>
      <c r="L8900" t="s">
        <v>1358</v>
      </c>
    </row>
    <row r="8901" spans="6:12">
      <c r="H8901" t="s">
        <v>20680</v>
      </c>
      <c r="I8901" t="s">
        <v>1357</v>
      </c>
      <c r="J8901" t="s">
        <v>1357</v>
      </c>
      <c r="K8901" t="s">
        <v>1357</v>
      </c>
      <c r="L8901" t="s">
        <v>1357</v>
      </c>
    </row>
    <row r="8902" spans="6:12">
      <c r="F8902" t="s">
        <v>15951</v>
      </c>
      <c r="G8902" t="s">
        <v>18643</v>
      </c>
      <c r="H8902" t="s">
        <v>20681</v>
      </c>
      <c r="I8902" t="s">
        <v>1357</v>
      </c>
      <c r="J8902" t="s">
        <v>1357</v>
      </c>
      <c r="K8902" t="s">
        <v>1357</v>
      </c>
      <c r="L8902" t="s">
        <v>1357</v>
      </c>
    </row>
    <row r="8903" spans="6:12">
      <c r="H8903" t="s">
        <v>20682</v>
      </c>
      <c r="I8903" t="s">
        <v>1357</v>
      </c>
      <c r="J8903" t="s">
        <v>1357</v>
      </c>
      <c r="K8903" t="s">
        <v>1357</v>
      </c>
      <c r="L8903" t="s">
        <v>1357</v>
      </c>
    </row>
    <row r="8904" spans="6:12">
      <c r="H8904" t="s">
        <v>20683</v>
      </c>
      <c r="I8904" t="s">
        <v>1357</v>
      </c>
      <c r="J8904" t="s">
        <v>1357</v>
      </c>
      <c r="K8904" t="s">
        <v>1357</v>
      </c>
      <c r="L8904" t="s">
        <v>1357</v>
      </c>
    </row>
    <row r="8905" spans="6:12">
      <c r="H8905" t="s">
        <v>20684</v>
      </c>
      <c r="I8905" t="s">
        <v>1357</v>
      </c>
      <c r="J8905" t="s">
        <v>1357</v>
      </c>
      <c r="K8905" t="s">
        <v>1357</v>
      </c>
      <c r="L8905" t="s">
        <v>1357</v>
      </c>
    </row>
    <row r="8906" spans="6:12">
      <c r="H8906" t="s">
        <v>20685</v>
      </c>
      <c r="I8906" t="s">
        <v>1357</v>
      </c>
      <c r="J8906" t="s">
        <v>1357</v>
      </c>
      <c r="K8906" t="s">
        <v>1357</v>
      </c>
      <c r="L8906" t="s">
        <v>1357</v>
      </c>
    </row>
    <row r="8907" spans="6:12">
      <c r="H8907" t="s">
        <v>20686</v>
      </c>
      <c r="I8907" t="s">
        <v>1357</v>
      </c>
      <c r="J8907" t="s">
        <v>1357</v>
      </c>
      <c r="K8907" t="s">
        <v>1357</v>
      </c>
      <c r="L8907" t="s">
        <v>1357</v>
      </c>
    </row>
    <row r="8908" spans="6:12">
      <c r="H8908" t="s">
        <v>20687</v>
      </c>
      <c r="I8908" t="s">
        <v>1357</v>
      </c>
      <c r="J8908" t="s">
        <v>1357</v>
      </c>
      <c r="K8908" t="s">
        <v>1357</v>
      </c>
      <c r="L8908" t="s">
        <v>1357</v>
      </c>
    </row>
    <row r="8909" spans="6:12">
      <c r="H8909" t="s">
        <v>20688</v>
      </c>
      <c r="I8909" t="s">
        <v>1357</v>
      </c>
      <c r="J8909" t="s">
        <v>1357</v>
      </c>
      <c r="K8909" t="s">
        <v>1357</v>
      </c>
      <c r="L8909" t="s">
        <v>1357</v>
      </c>
    </row>
    <row r="8910" spans="6:12">
      <c r="F8910" t="s">
        <v>15952</v>
      </c>
      <c r="G8910" t="s">
        <v>18644</v>
      </c>
      <c r="H8910" t="s">
        <v>20689</v>
      </c>
      <c r="I8910" t="s">
        <v>1357</v>
      </c>
      <c r="J8910" t="s">
        <v>1357</v>
      </c>
      <c r="K8910" t="s">
        <v>1357</v>
      </c>
      <c r="L8910" t="s">
        <v>1357</v>
      </c>
    </row>
    <row r="8911" spans="6:12">
      <c r="H8911" t="s">
        <v>20690</v>
      </c>
      <c r="I8911" t="s">
        <v>1357</v>
      </c>
      <c r="J8911" t="s">
        <v>1357</v>
      </c>
      <c r="K8911" t="s">
        <v>1357</v>
      </c>
      <c r="L8911" t="s">
        <v>1357</v>
      </c>
    </row>
    <row r="8912" spans="6:12">
      <c r="H8912" t="s">
        <v>20691</v>
      </c>
      <c r="I8912" t="s">
        <v>1357</v>
      </c>
      <c r="J8912" t="s">
        <v>1357</v>
      </c>
      <c r="K8912" t="s">
        <v>1357</v>
      </c>
      <c r="L8912" t="s">
        <v>1357</v>
      </c>
    </row>
    <row r="8913" spans="6:12">
      <c r="H8913" t="s">
        <v>20692</v>
      </c>
      <c r="I8913" t="s">
        <v>1357</v>
      </c>
      <c r="J8913" t="s">
        <v>1357</v>
      </c>
      <c r="K8913" t="s">
        <v>1357</v>
      </c>
      <c r="L8913" t="s">
        <v>1357</v>
      </c>
    </row>
    <row r="8914" spans="6:12">
      <c r="H8914" t="s">
        <v>20693</v>
      </c>
      <c r="I8914" t="s">
        <v>1357</v>
      </c>
      <c r="J8914" t="s">
        <v>1357</v>
      </c>
      <c r="K8914" t="s">
        <v>1357</v>
      </c>
      <c r="L8914" t="s">
        <v>1357</v>
      </c>
    </row>
    <row r="8915" spans="6:12">
      <c r="H8915" t="s">
        <v>20694</v>
      </c>
      <c r="I8915" t="s">
        <v>1357</v>
      </c>
      <c r="J8915" t="s">
        <v>1357</v>
      </c>
      <c r="K8915" t="s">
        <v>1357</v>
      </c>
      <c r="L8915" t="s">
        <v>1357</v>
      </c>
    </row>
    <row r="8916" spans="6:12">
      <c r="H8916" t="s">
        <v>20695</v>
      </c>
      <c r="I8916" t="s">
        <v>1357</v>
      </c>
      <c r="J8916" t="s">
        <v>1357</v>
      </c>
      <c r="K8916" t="s">
        <v>1357</v>
      </c>
      <c r="L8916" t="s">
        <v>1357</v>
      </c>
    </row>
    <row r="8917" spans="6:12">
      <c r="H8917" t="s">
        <v>20696</v>
      </c>
      <c r="I8917" t="s">
        <v>1357</v>
      </c>
      <c r="J8917" t="s">
        <v>1357</v>
      </c>
      <c r="K8917" t="s">
        <v>1357</v>
      </c>
      <c r="L8917" t="s">
        <v>1357</v>
      </c>
    </row>
    <row r="8918" spans="6:12">
      <c r="F8918" t="s">
        <v>15953</v>
      </c>
      <c r="G8918" t="s">
        <v>18645</v>
      </c>
      <c r="H8918" t="s">
        <v>20697</v>
      </c>
      <c r="I8918" t="s">
        <v>1357</v>
      </c>
      <c r="J8918" t="s">
        <v>1357</v>
      </c>
      <c r="K8918" t="s">
        <v>1357</v>
      </c>
      <c r="L8918" t="s">
        <v>1357</v>
      </c>
    </row>
    <row r="8919" spans="6:12">
      <c r="H8919" t="s">
        <v>20698</v>
      </c>
      <c r="I8919" t="s">
        <v>1357</v>
      </c>
      <c r="J8919" t="s">
        <v>1357</v>
      </c>
      <c r="K8919" t="s">
        <v>1357</v>
      </c>
      <c r="L8919" t="s">
        <v>1357</v>
      </c>
    </row>
    <row r="8920" spans="6:12">
      <c r="H8920" t="s">
        <v>20699</v>
      </c>
      <c r="I8920" t="s">
        <v>1357</v>
      </c>
      <c r="J8920" t="s">
        <v>1357</v>
      </c>
      <c r="K8920" t="s">
        <v>1357</v>
      </c>
      <c r="L8920" t="s">
        <v>1357</v>
      </c>
    </row>
    <row r="8921" spans="6:12">
      <c r="H8921" t="s">
        <v>20700</v>
      </c>
      <c r="I8921" t="s">
        <v>1357</v>
      </c>
      <c r="J8921" t="s">
        <v>1357</v>
      </c>
      <c r="K8921" t="s">
        <v>1357</v>
      </c>
      <c r="L8921" t="s">
        <v>1357</v>
      </c>
    </row>
    <row r="8922" spans="6:12">
      <c r="H8922" t="s">
        <v>20701</v>
      </c>
      <c r="I8922" t="s">
        <v>1357</v>
      </c>
      <c r="J8922" t="s">
        <v>1357</v>
      </c>
      <c r="K8922" t="s">
        <v>1357</v>
      </c>
      <c r="L8922" t="s">
        <v>1357</v>
      </c>
    </row>
    <row r="8923" spans="6:12">
      <c r="H8923" t="s">
        <v>20702</v>
      </c>
      <c r="I8923" t="s">
        <v>1357</v>
      </c>
      <c r="J8923" t="s">
        <v>1357</v>
      </c>
      <c r="K8923" t="s">
        <v>1357</v>
      </c>
      <c r="L8923" t="s">
        <v>1357</v>
      </c>
    </row>
    <row r="8924" spans="6:12">
      <c r="H8924" t="s">
        <v>20703</v>
      </c>
      <c r="I8924" t="s">
        <v>1357</v>
      </c>
      <c r="J8924" t="s">
        <v>1357</v>
      </c>
      <c r="K8924" t="s">
        <v>1357</v>
      </c>
      <c r="L8924" t="s">
        <v>1357</v>
      </c>
    </row>
    <row r="8925" spans="6:12">
      <c r="H8925" t="s">
        <v>20704</v>
      </c>
      <c r="I8925" t="s">
        <v>1357</v>
      </c>
      <c r="J8925" t="s">
        <v>1357</v>
      </c>
      <c r="K8925" t="s">
        <v>1357</v>
      </c>
      <c r="L8925" t="s">
        <v>1357</v>
      </c>
    </row>
    <row r="8926" spans="6:12">
      <c r="F8926" t="s">
        <v>15922</v>
      </c>
      <c r="G8926" t="s">
        <v>18614</v>
      </c>
      <c r="H8926" t="s">
        <v>20705</v>
      </c>
      <c r="I8926" t="s">
        <v>1357</v>
      </c>
      <c r="J8926" t="s">
        <v>1357</v>
      </c>
      <c r="K8926" t="s">
        <v>1357</v>
      </c>
      <c r="L8926" t="s">
        <v>1357</v>
      </c>
    </row>
    <row r="8927" spans="6:12">
      <c r="H8927" t="s">
        <v>20706</v>
      </c>
      <c r="I8927" t="s">
        <v>1357</v>
      </c>
      <c r="J8927" t="s">
        <v>1357</v>
      </c>
      <c r="K8927" t="s">
        <v>1357</v>
      </c>
      <c r="L8927" t="s">
        <v>1357</v>
      </c>
    </row>
    <row r="8928" spans="6:12">
      <c r="F8928" t="s">
        <v>15954</v>
      </c>
      <c r="G8928" t="s">
        <v>18646</v>
      </c>
      <c r="H8928" t="s">
        <v>20707</v>
      </c>
      <c r="I8928" t="s">
        <v>1357</v>
      </c>
      <c r="J8928" t="s">
        <v>1357</v>
      </c>
      <c r="K8928" t="s">
        <v>1357</v>
      </c>
      <c r="L8928" t="s">
        <v>1357</v>
      </c>
    </row>
    <row r="8929" spans="6:12">
      <c r="H8929" t="s">
        <v>20708</v>
      </c>
      <c r="I8929" t="s">
        <v>1357</v>
      </c>
      <c r="J8929" t="s">
        <v>1357</v>
      </c>
      <c r="K8929" t="s">
        <v>1357</v>
      </c>
      <c r="L8929" t="s">
        <v>1357</v>
      </c>
    </row>
    <row r="8930" spans="6:12">
      <c r="H8930" t="s">
        <v>20709</v>
      </c>
      <c r="I8930" t="s">
        <v>1357</v>
      </c>
      <c r="J8930" t="s">
        <v>1357</v>
      </c>
      <c r="K8930" t="s">
        <v>1357</v>
      </c>
      <c r="L8930" t="s">
        <v>1357</v>
      </c>
    </row>
    <row r="8931" spans="6:12">
      <c r="H8931" t="s">
        <v>20710</v>
      </c>
      <c r="I8931" t="s">
        <v>1357</v>
      </c>
      <c r="J8931" t="s">
        <v>1357</v>
      </c>
      <c r="K8931" t="s">
        <v>1357</v>
      </c>
      <c r="L8931" t="s">
        <v>1357</v>
      </c>
    </row>
    <row r="8932" spans="6:12">
      <c r="H8932" t="s">
        <v>20711</v>
      </c>
      <c r="I8932" t="s">
        <v>1357</v>
      </c>
      <c r="J8932" t="s">
        <v>1357</v>
      </c>
      <c r="K8932" t="s">
        <v>1357</v>
      </c>
      <c r="L8932" t="s">
        <v>1357</v>
      </c>
    </row>
    <row r="8933" spans="6:12">
      <c r="H8933" t="s">
        <v>20712</v>
      </c>
      <c r="I8933" t="s">
        <v>1357</v>
      </c>
      <c r="J8933" t="s">
        <v>1357</v>
      </c>
      <c r="K8933" t="s">
        <v>1357</v>
      </c>
      <c r="L8933" t="s">
        <v>1357</v>
      </c>
    </row>
    <row r="8934" spans="6:12">
      <c r="H8934" t="s">
        <v>20713</v>
      </c>
      <c r="I8934" t="s">
        <v>1357</v>
      </c>
      <c r="J8934" t="s">
        <v>1357</v>
      </c>
      <c r="K8934" t="s">
        <v>1357</v>
      </c>
      <c r="L8934" t="s">
        <v>1357</v>
      </c>
    </row>
    <row r="8935" spans="6:12">
      <c r="H8935" t="s">
        <v>20714</v>
      </c>
      <c r="I8935" t="s">
        <v>1357</v>
      </c>
      <c r="J8935" t="s">
        <v>1357</v>
      </c>
      <c r="K8935" t="s">
        <v>1357</v>
      </c>
      <c r="L8935" t="s">
        <v>1357</v>
      </c>
    </row>
    <row r="8936" spans="6:12">
      <c r="F8936" t="s">
        <v>15955</v>
      </c>
      <c r="G8936" t="s">
        <v>18647</v>
      </c>
      <c r="H8936" t="s">
        <v>20715</v>
      </c>
      <c r="I8936" t="s">
        <v>1357</v>
      </c>
      <c r="J8936" t="s">
        <v>1357</v>
      </c>
      <c r="K8936" t="s">
        <v>1357</v>
      </c>
      <c r="L8936" t="s">
        <v>1357</v>
      </c>
    </row>
    <row r="8937" spans="6:12">
      <c r="H8937" t="s">
        <v>20716</v>
      </c>
      <c r="I8937" t="s">
        <v>1357</v>
      </c>
      <c r="J8937" t="s">
        <v>1357</v>
      </c>
      <c r="K8937" t="s">
        <v>1357</v>
      </c>
      <c r="L8937" t="s">
        <v>1357</v>
      </c>
    </row>
    <row r="8938" spans="6:12">
      <c r="H8938" t="s">
        <v>20717</v>
      </c>
      <c r="I8938" t="s">
        <v>1357</v>
      </c>
      <c r="J8938" t="s">
        <v>1357</v>
      </c>
      <c r="K8938" t="s">
        <v>1357</v>
      </c>
      <c r="L8938" t="s">
        <v>1357</v>
      </c>
    </row>
    <row r="8939" spans="6:12">
      <c r="H8939" t="s">
        <v>20718</v>
      </c>
      <c r="I8939" t="s">
        <v>1357</v>
      </c>
      <c r="J8939" t="s">
        <v>1357</v>
      </c>
      <c r="K8939" t="s">
        <v>1357</v>
      </c>
      <c r="L8939" t="s">
        <v>1357</v>
      </c>
    </row>
    <row r="8940" spans="6:12">
      <c r="H8940" t="s">
        <v>20719</v>
      </c>
      <c r="I8940" t="s">
        <v>1357</v>
      </c>
      <c r="J8940" t="s">
        <v>1357</v>
      </c>
      <c r="K8940" t="s">
        <v>1357</v>
      </c>
      <c r="L8940" t="s">
        <v>1357</v>
      </c>
    </row>
    <row r="8941" spans="6:12">
      <c r="H8941" t="s">
        <v>20720</v>
      </c>
      <c r="I8941" t="s">
        <v>1357</v>
      </c>
      <c r="J8941" t="s">
        <v>1357</v>
      </c>
      <c r="K8941" t="s">
        <v>1357</v>
      </c>
      <c r="L8941" t="s">
        <v>1357</v>
      </c>
    </row>
    <row r="8942" spans="6:12">
      <c r="H8942" t="s">
        <v>20721</v>
      </c>
      <c r="I8942" t="s">
        <v>1357</v>
      </c>
      <c r="J8942" t="s">
        <v>1357</v>
      </c>
      <c r="K8942" t="s">
        <v>1357</v>
      </c>
      <c r="L8942" t="s">
        <v>1357</v>
      </c>
    </row>
    <row r="8943" spans="6:12">
      <c r="H8943" t="s">
        <v>20722</v>
      </c>
      <c r="I8943" t="s">
        <v>1357</v>
      </c>
      <c r="J8943" t="s">
        <v>1357</v>
      </c>
      <c r="K8943" t="s">
        <v>1357</v>
      </c>
      <c r="L8943" t="s">
        <v>1357</v>
      </c>
    </row>
    <row r="8944" spans="6:12">
      <c r="F8944" t="s">
        <v>15956</v>
      </c>
      <c r="G8944" t="s">
        <v>18648</v>
      </c>
      <c r="H8944" t="s">
        <v>20723</v>
      </c>
      <c r="I8944" t="s">
        <v>1357</v>
      </c>
      <c r="J8944" t="s">
        <v>1357</v>
      </c>
      <c r="K8944" t="s">
        <v>1357</v>
      </c>
      <c r="L8944" t="s">
        <v>1357</v>
      </c>
    </row>
    <row r="8945" spans="6:12">
      <c r="H8945" t="s">
        <v>20724</v>
      </c>
      <c r="I8945" t="s">
        <v>1357</v>
      </c>
      <c r="J8945" t="s">
        <v>1357</v>
      </c>
      <c r="K8945" t="s">
        <v>1357</v>
      </c>
      <c r="L8945" t="s">
        <v>1357</v>
      </c>
    </row>
    <row r="8946" spans="6:12">
      <c r="H8946" t="s">
        <v>20725</v>
      </c>
      <c r="I8946" t="s">
        <v>1357</v>
      </c>
      <c r="J8946" t="s">
        <v>1357</v>
      </c>
      <c r="K8946" t="s">
        <v>1357</v>
      </c>
      <c r="L8946" t="s">
        <v>1357</v>
      </c>
    </row>
    <row r="8947" spans="6:12">
      <c r="H8947" t="s">
        <v>20726</v>
      </c>
      <c r="I8947" t="s">
        <v>1357</v>
      </c>
      <c r="J8947" t="s">
        <v>1357</v>
      </c>
      <c r="K8947" t="s">
        <v>1357</v>
      </c>
      <c r="L8947" t="s">
        <v>1357</v>
      </c>
    </row>
    <row r="8948" spans="6:12">
      <c r="H8948" t="s">
        <v>20727</v>
      </c>
      <c r="I8948" t="s">
        <v>1357</v>
      </c>
      <c r="J8948" t="s">
        <v>1357</v>
      </c>
      <c r="K8948" t="s">
        <v>1357</v>
      </c>
      <c r="L8948" t="s">
        <v>1357</v>
      </c>
    </row>
    <row r="8949" spans="6:12">
      <c r="H8949" t="s">
        <v>20728</v>
      </c>
      <c r="I8949" t="s">
        <v>1357</v>
      </c>
      <c r="J8949" t="s">
        <v>1357</v>
      </c>
      <c r="K8949" t="s">
        <v>1357</v>
      </c>
      <c r="L8949" t="s">
        <v>1357</v>
      </c>
    </row>
    <row r="8950" spans="6:12">
      <c r="H8950" t="s">
        <v>20729</v>
      </c>
      <c r="I8950" t="s">
        <v>1357</v>
      </c>
      <c r="J8950" t="s">
        <v>1357</v>
      </c>
      <c r="K8950" t="s">
        <v>1357</v>
      </c>
      <c r="L8950" t="s">
        <v>1357</v>
      </c>
    </row>
    <row r="8951" spans="6:12">
      <c r="H8951" t="s">
        <v>20730</v>
      </c>
      <c r="I8951" t="s">
        <v>1357</v>
      </c>
      <c r="J8951" t="s">
        <v>1357</v>
      </c>
      <c r="K8951" t="s">
        <v>1357</v>
      </c>
      <c r="L8951" t="s">
        <v>1357</v>
      </c>
    </row>
    <row r="8952" spans="6:12">
      <c r="F8952" t="s">
        <v>15957</v>
      </c>
      <c r="G8952" t="s">
        <v>18649</v>
      </c>
      <c r="H8952" t="s">
        <v>20731</v>
      </c>
      <c r="I8952" t="s">
        <v>1357</v>
      </c>
      <c r="J8952" t="s">
        <v>1357</v>
      </c>
      <c r="K8952" t="s">
        <v>1357</v>
      </c>
      <c r="L8952" t="s">
        <v>1357</v>
      </c>
    </row>
    <row r="8953" spans="6:12">
      <c r="H8953" t="s">
        <v>20732</v>
      </c>
      <c r="I8953" t="s">
        <v>1357</v>
      </c>
      <c r="J8953" t="s">
        <v>1357</v>
      </c>
      <c r="K8953" t="s">
        <v>1357</v>
      </c>
      <c r="L8953" t="s">
        <v>1357</v>
      </c>
    </row>
    <row r="8954" spans="6:12">
      <c r="H8954" t="s">
        <v>20733</v>
      </c>
      <c r="I8954" t="s">
        <v>1357</v>
      </c>
      <c r="J8954" t="s">
        <v>1357</v>
      </c>
      <c r="K8954" t="s">
        <v>1357</v>
      </c>
      <c r="L8954" t="s">
        <v>1357</v>
      </c>
    </row>
    <row r="8955" spans="6:12">
      <c r="H8955" t="s">
        <v>20734</v>
      </c>
      <c r="I8955" t="s">
        <v>1357</v>
      </c>
      <c r="J8955" t="s">
        <v>1357</v>
      </c>
      <c r="K8955" t="s">
        <v>1357</v>
      </c>
      <c r="L8955" t="s">
        <v>1357</v>
      </c>
    </row>
    <row r="8956" spans="6:12">
      <c r="H8956" t="s">
        <v>20735</v>
      </c>
      <c r="I8956" t="s">
        <v>1357</v>
      </c>
      <c r="J8956" t="s">
        <v>1357</v>
      </c>
      <c r="K8956" t="s">
        <v>1357</v>
      </c>
      <c r="L8956" t="s">
        <v>1357</v>
      </c>
    </row>
    <row r="8957" spans="6:12">
      <c r="H8957" t="s">
        <v>20736</v>
      </c>
      <c r="I8957" t="s">
        <v>1357</v>
      </c>
      <c r="J8957" t="s">
        <v>1357</v>
      </c>
      <c r="K8957" t="s">
        <v>1357</v>
      </c>
      <c r="L8957" t="s">
        <v>1357</v>
      </c>
    </row>
    <row r="8958" spans="6:12">
      <c r="H8958" t="s">
        <v>20737</v>
      </c>
      <c r="I8958" t="s">
        <v>1357</v>
      </c>
      <c r="J8958" t="s">
        <v>1357</v>
      </c>
      <c r="K8958" t="s">
        <v>1357</v>
      </c>
      <c r="L8958" t="s">
        <v>1357</v>
      </c>
    </row>
    <row r="8959" spans="6:12">
      <c r="H8959" t="s">
        <v>20738</v>
      </c>
      <c r="I8959" t="s">
        <v>1357</v>
      </c>
      <c r="J8959" t="s">
        <v>1357</v>
      </c>
      <c r="K8959" t="s">
        <v>1357</v>
      </c>
      <c r="L8959" t="s">
        <v>1357</v>
      </c>
    </row>
    <row r="8960" spans="6:12">
      <c r="F8960" t="s">
        <v>15958</v>
      </c>
      <c r="G8960" t="s">
        <v>18650</v>
      </c>
      <c r="H8960" t="s">
        <v>20739</v>
      </c>
      <c r="I8960" t="s">
        <v>1357</v>
      </c>
      <c r="J8960" t="s">
        <v>1357</v>
      </c>
      <c r="K8960" t="s">
        <v>1357</v>
      </c>
      <c r="L8960" t="s">
        <v>1357</v>
      </c>
    </row>
    <row r="8961" spans="6:12">
      <c r="H8961" t="s">
        <v>20740</v>
      </c>
      <c r="I8961" t="s">
        <v>1357</v>
      </c>
      <c r="J8961" t="s">
        <v>1357</v>
      </c>
      <c r="K8961" t="s">
        <v>1357</v>
      </c>
      <c r="L8961" t="s">
        <v>1357</v>
      </c>
    </row>
    <row r="8962" spans="6:12">
      <c r="H8962" t="s">
        <v>20741</v>
      </c>
      <c r="I8962" t="s">
        <v>1357</v>
      </c>
      <c r="J8962" t="s">
        <v>1357</v>
      </c>
      <c r="K8962" t="s">
        <v>1357</v>
      </c>
      <c r="L8962" t="s">
        <v>1357</v>
      </c>
    </row>
    <row r="8963" spans="6:12">
      <c r="H8963" t="s">
        <v>20742</v>
      </c>
      <c r="I8963" t="s">
        <v>1357</v>
      </c>
      <c r="J8963" t="s">
        <v>1357</v>
      </c>
      <c r="K8963" t="s">
        <v>1357</v>
      </c>
      <c r="L8963" t="s">
        <v>1357</v>
      </c>
    </row>
    <row r="8964" spans="6:12">
      <c r="H8964" t="s">
        <v>20743</v>
      </c>
      <c r="I8964" t="s">
        <v>1357</v>
      </c>
      <c r="J8964" t="s">
        <v>1357</v>
      </c>
      <c r="K8964" t="s">
        <v>1357</v>
      </c>
      <c r="L8964" t="s">
        <v>1357</v>
      </c>
    </row>
    <row r="8965" spans="6:12">
      <c r="H8965" t="s">
        <v>20744</v>
      </c>
      <c r="I8965" t="s">
        <v>1357</v>
      </c>
      <c r="J8965" t="s">
        <v>1357</v>
      </c>
      <c r="K8965" t="s">
        <v>1357</v>
      </c>
      <c r="L8965" t="s">
        <v>1357</v>
      </c>
    </row>
    <row r="8966" spans="6:12">
      <c r="H8966" t="s">
        <v>20745</v>
      </c>
      <c r="I8966" t="s">
        <v>1357</v>
      </c>
      <c r="J8966" t="s">
        <v>1357</v>
      </c>
      <c r="K8966" t="s">
        <v>1357</v>
      </c>
      <c r="L8966" t="s">
        <v>1357</v>
      </c>
    </row>
    <row r="8967" spans="6:12">
      <c r="H8967" t="s">
        <v>20746</v>
      </c>
      <c r="I8967" t="s">
        <v>1357</v>
      </c>
      <c r="J8967" t="s">
        <v>1357</v>
      </c>
      <c r="K8967" t="s">
        <v>1357</v>
      </c>
      <c r="L8967" t="s">
        <v>1357</v>
      </c>
    </row>
    <row r="8968" spans="6:12">
      <c r="F8968" t="s">
        <v>15959</v>
      </c>
      <c r="G8968" t="s">
        <v>18651</v>
      </c>
      <c r="H8968" t="s">
        <v>20747</v>
      </c>
      <c r="I8968" t="s">
        <v>1357</v>
      </c>
      <c r="J8968" t="s">
        <v>1357</v>
      </c>
      <c r="K8968" t="s">
        <v>1357</v>
      </c>
      <c r="L8968" t="s">
        <v>1357</v>
      </c>
    </row>
    <row r="8969" spans="6:12">
      <c r="H8969" t="s">
        <v>20748</v>
      </c>
      <c r="I8969" t="s">
        <v>1357</v>
      </c>
      <c r="J8969" t="s">
        <v>1357</v>
      </c>
      <c r="K8969" t="s">
        <v>1357</v>
      </c>
      <c r="L8969" t="s">
        <v>1357</v>
      </c>
    </row>
    <row r="8970" spans="6:12">
      <c r="H8970" t="s">
        <v>20749</v>
      </c>
      <c r="I8970" t="s">
        <v>1357</v>
      </c>
      <c r="J8970" t="s">
        <v>1357</v>
      </c>
      <c r="K8970" t="s">
        <v>1357</v>
      </c>
      <c r="L8970" t="s">
        <v>1357</v>
      </c>
    </row>
    <row r="8971" spans="6:12">
      <c r="H8971" t="s">
        <v>20750</v>
      </c>
      <c r="I8971" t="s">
        <v>1357</v>
      </c>
      <c r="J8971" t="s">
        <v>1357</v>
      </c>
      <c r="K8971" t="s">
        <v>1357</v>
      </c>
      <c r="L8971" t="s">
        <v>1357</v>
      </c>
    </row>
    <row r="8972" spans="6:12">
      <c r="H8972" t="s">
        <v>20751</v>
      </c>
      <c r="I8972" t="s">
        <v>1357</v>
      </c>
      <c r="J8972" t="s">
        <v>1357</v>
      </c>
      <c r="K8972" t="s">
        <v>1357</v>
      </c>
      <c r="L8972" t="s">
        <v>1357</v>
      </c>
    </row>
    <row r="8973" spans="6:12">
      <c r="H8973" t="s">
        <v>20752</v>
      </c>
      <c r="I8973" t="s">
        <v>1357</v>
      </c>
      <c r="J8973" t="s">
        <v>1357</v>
      </c>
      <c r="K8973" t="s">
        <v>1357</v>
      </c>
      <c r="L8973" t="s">
        <v>1357</v>
      </c>
    </row>
    <row r="8974" spans="6:12">
      <c r="H8974" t="s">
        <v>20753</v>
      </c>
      <c r="I8974" t="s">
        <v>1357</v>
      </c>
      <c r="J8974" t="s">
        <v>1357</v>
      </c>
      <c r="K8974" t="s">
        <v>1357</v>
      </c>
      <c r="L8974" t="s">
        <v>1357</v>
      </c>
    </row>
    <row r="8975" spans="6:12">
      <c r="H8975" t="s">
        <v>20754</v>
      </c>
      <c r="I8975" t="s">
        <v>1357</v>
      </c>
      <c r="J8975" t="s">
        <v>1357</v>
      </c>
      <c r="K8975" t="s">
        <v>1357</v>
      </c>
      <c r="L8975" t="s">
        <v>1357</v>
      </c>
    </row>
    <row r="8976" spans="6:12">
      <c r="F8976" t="s">
        <v>15960</v>
      </c>
      <c r="G8976" t="s">
        <v>18652</v>
      </c>
      <c r="H8976" t="s">
        <v>20755</v>
      </c>
      <c r="I8976" t="s">
        <v>1357</v>
      </c>
      <c r="J8976" t="s">
        <v>1357</v>
      </c>
      <c r="K8976" t="s">
        <v>1357</v>
      </c>
      <c r="L8976" t="s">
        <v>1357</v>
      </c>
    </row>
    <row r="8977" spans="6:12">
      <c r="H8977" t="s">
        <v>20756</v>
      </c>
      <c r="I8977" t="s">
        <v>1357</v>
      </c>
      <c r="J8977" t="s">
        <v>1357</v>
      </c>
      <c r="K8977" t="s">
        <v>1357</v>
      </c>
      <c r="L8977" t="s">
        <v>1357</v>
      </c>
    </row>
    <row r="8978" spans="6:12">
      <c r="H8978" t="s">
        <v>20757</v>
      </c>
      <c r="I8978" t="s">
        <v>1357</v>
      </c>
      <c r="J8978" t="s">
        <v>1357</v>
      </c>
      <c r="K8978" t="s">
        <v>1357</v>
      </c>
      <c r="L8978" t="s">
        <v>1357</v>
      </c>
    </row>
    <row r="8979" spans="6:12">
      <c r="H8979" t="s">
        <v>20758</v>
      </c>
      <c r="I8979" t="s">
        <v>1357</v>
      </c>
      <c r="J8979" t="s">
        <v>1357</v>
      </c>
      <c r="K8979" t="s">
        <v>1357</v>
      </c>
      <c r="L8979" t="s">
        <v>1357</v>
      </c>
    </row>
    <row r="8980" spans="6:12">
      <c r="H8980" t="s">
        <v>20759</v>
      </c>
      <c r="I8980" t="s">
        <v>1357</v>
      </c>
      <c r="J8980" t="s">
        <v>1357</v>
      </c>
      <c r="K8980" t="s">
        <v>1357</v>
      </c>
      <c r="L8980" t="s">
        <v>1357</v>
      </c>
    </row>
    <row r="8981" spans="6:12">
      <c r="H8981" t="s">
        <v>20760</v>
      </c>
      <c r="I8981" t="s">
        <v>1357</v>
      </c>
      <c r="J8981" t="s">
        <v>1357</v>
      </c>
      <c r="K8981" t="s">
        <v>1357</v>
      </c>
      <c r="L8981" t="s">
        <v>1357</v>
      </c>
    </row>
    <row r="8982" spans="6:12">
      <c r="H8982" t="s">
        <v>20761</v>
      </c>
      <c r="I8982" t="s">
        <v>1357</v>
      </c>
      <c r="J8982" t="s">
        <v>1357</v>
      </c>
      <c r="K8982" t="s">
        <v>1357</v>
      </c>
      <c r="L8982" t="s">
        <v>1357</v>
      </c>
    </row>
    <row r="8983" spans="6:12">
      <c r="H8983" t="s">
        <v>20762</v>
      </c>
      <c r="I8983" t="s">
        <v>1357</v>
      </c>
      <c r="J8983" t="s">
        <v>1357</v>
      </c>
      <c r="K8983" t="s">
        <v>1357</v>
      </c>
      <c r="L8983" t="s">
        <v>1357</v>
      </c>
    </row>
    <row r="8984" spans="6:12">
      <c r="F8984" t="s">
        <v>15961</v>
      </c>
      <c r="G8984" t="s">
        <v>18653</v>
      </c>
      <c r="H8984" t="s">
        <v>20763</v>
      </c>
      <c r="I8984" t="s">
        <v>1357</v>
      </c>
      <c r="J8984" t="s">
        <v>1357</v>
      </c>
      <c r="K8984" t="s">
        <v>1357</v>
      </c>
      <c r="L8984" t="s">
        <v>1357</v>
      </c>
    </row>
    <row r="8985" spans="6:12">
      <c r="H8985" t="s">
        <v>20764</v>
      </c>
      <c r="I8985" t="s">
        <v>1357</v>
      </c>
      <c r="J8985" t="s">
        <v>1357</v>
      </c>
      <c r="K8985" t="s">
        <v>1357</v>
      </c>
      <c r="L8985" t="s">
        <v>1357</v>
      </c>
    </row>
    <row r="8986" spans="6:12">
      <c r="H8986" t="s">
        <v>20765</v>
      </c>
      <c r="I8986" t="s">
        <v>1357</v>
      </c>
      <c r="J8986" t="s">
        <v>1357</v>
      </c>
      <c r="K8986" t="s">
        <v>1357</v>
      </c>
      <c r="L8986" t="s">
        <v>1357</v>
      </c>
    </row>
    <row r="8987" spans="6:12">
      <c r="H8987" t="s">
        <v>20766</v>
      </c>
      <c r="I8987" t="s">
        <v>1357</v>
      </c>
      <c r="J8987" t="s">
        <v>1357</v>
      </c>
      <c r="K8987" t="s">
        <v>1357</v>
      </c>
      <c r="L8987" t="s">
        <v>1357</v>
      </c>
    </row>
    <row r="8988" spans="6:12">
      <c r="H8988" t="s">
        <v>20767</v>
      </c>
      <c r="I8988" t="s">
        <v>1357</v>
      </c>
      <c r="J8988" t="s">
        <v>1357</v>
      </c>
      <c r="K8988" t="s">
        <v>1357</v>
      </c>
      <c r="L8988" t="s">
        <v>1357</v>
      </c>
    </row>
    <row r="8989" spans="6:12">
      <c r="H8989" t="s">
        <v>20768</v>
      </c>
      <c r="I8989" t="s">
        <v>1357</v>
      </c>
      <c r="J8989" t="s">
        <v>1357</v>
      </c>
      <c r="K8989" t="s">
        <v>1357</v>
      </c>
      <c r="L8989" t="s">
        <v>1357</v>
      </c>
    </row>
    <row r="8990" spans="6:12">
      <c r="H8990" t="s">
        <v>20769</v>
      </c>
      <c r="I8990" t="s">
        <v>1357</v>
      </c>
      <c r="J8990" t="s">
        <v>1357</v>
      </c>
      <c r="K8990" t="s">
        <v>1357</v>
      </c>
      <c r="L8990" t="s">
        <v>1357</v>
      </c>
    </row>
    <row r="8991" spans="6:12">
      <c r="H8991" t="s">
        <v>20770</v>
      </c>
      <c r="I8991" t="s">
        <v>1357</v>
      </c>
      <c r="J8991" t="s">
        <v>1357</v>
      </c>
      <c r="K8991" t="s">
        <v>1357</v>
      </c>
      <c r="L8991" t="s">
        <v>1357</v>
      </c>
    </row>
    <row r="8992" spans="6:12">
      <c r="F8992" t="s">
        <v>15962</v>
      </c>
      <c r="G8992" t="s">
        <v>18654</v>
      </c>
      <c r="H8992" t="s">
        <v>20771</v>
      </c>
      <c r="I8992" t="s">
        <v>1357</v>
      </c>
      <c r="J8992" t="s">
        <v>1357</v>
      </c>
      <c r="K8992" t="s">
        <v>1357</v>
      </c>
      <c r="L8992" t="s">
        <v>1357</v>
      </c>
    </row>
    <row r="8993" spans="6:12">
      <c r="H8993" t="s">
        <v>20772</v>
      </c>
      <c r="I8993" t="s">
        <v>1357</v>
      </c>
      <c r="J8993" t="s">
        <v>1357</v>
      </c>
      <c r="K8993" t="s">
        <v>1357</v>
      </c>
      <c r="L8993" t="s">
        <v>1357</v>
      </c>
    </row>
    <row r="8994" spans="6:12">
      <c r="H8994" t="s">
        <v>20773</v>
      </c>
      <c r="I8994" t="s">
        <v>1357</v>
      </c>
      <c r="J8994" t="s">
        <v>1357</v>
      </c>
      <c r="K8994" t="s">
        <v>1357</v>
      </c>
      <c r="L8994" t="s">
        <v>1357</v>
      </c>
    </row>
    <row r="8995" spans="6:12">
      <c r="H8995" t="s">
        <v>20774</v>
      </c>
      <c r="I8995" t="s">
        <v>1357</v>
      </c>
      <c r="J8995" t="s">
        <v>1357</v>
      </c>
      <c r="K8995" t="s">
        <v>1357</v>
      </c>
      <c r="L8995" t="s">
        <v>1357</v>
      </c>
    </row>
    <row r="8996" spans="6:12">
      <c r="H8996" t="s">
        <v>20775</v>
      </c>
      <c r="I8996" t="s">
        <v>1357</v>
      </c>
      <c r="J8996" t="s">
        <v>1357</v>
      </c>
      <c r="K8996" t="s">
        <v>1357</v>
      </c>
      <c r="L8996" t="s">
        <v>1357</v>
      </c>
    </row>
    <row r="8997" spans="6:12">
      <c r="H8997" t="s">
        <v>20776</v>
      </c>
      <c r="I8997" t="s">
        <v>1357</v>
      </c>
      <c r="J8997" t="s">
        <v>1357</v>
      </c>
      <c r="K8997" t="s">
        <v>1357</v>
      </c>
      <c r="L8997" t="s">
        <v>1357</v>
      </c>
    </row>
    <row r="8998" spans="6:12">
      <c r="H8998" t="s">
        <v>20777</v>
      </c>
      <c r="I8998" t="s">
        <v>1357</v>
      </c>
      <c r="J8998" t="s">
        <v>1357</v>
      </c>
      <c r="K8998" t="s">
        <v>1357</v>
      </c>
      <c r="L8998" t="s">
        <v>1357</v>
      </c>
    </row>
    <row r="8999" spans="6:12">
      <c r="H8999" t="s">
        <v>20778</v>
      </c>
      <c r="I8999" t="s">
        <v>1357</v>
      </c>
      <c r="J8999" t="s">
        <v>1357</v>
      </c>
      <c r="K8999" t="s">
        <v>1357</v>
      </c>
      <c r="L8999" t="s">
        <v>1357</v>
      </c>
    </row>
    <row r="9000" spans="6:12">
      <c r="F9000" t="s">
        <v>15963</v>
      </c>
      <c r="G9000" t="s">
        <v>18655</v>
      </c>
      <c r="H9000" t="s">
        <v>20779</v>
      </c>
      <c r="I9000" t="s">
        <v>1357</v>
      </c>
      <c r="J9000" t="s">
        <v>1357</v>
      </c>
      <c r="K9000" t="s">
        <v>1357</v>
      </c>
      <c r="L9000" t="s">
        <v>1357</v>
      </c>
    </row>
    <row r="9001" spans="6:12">
      <c r="H9001" t="s">
        <v>20780</v>
      </c>
      <c r="I9001" t="s">
        <v>1357</v>
      </c>
      <c r="J9001" t="s">
        <v>1357</v>
      </c>
      <c r="K9001" t="s">
        <v>1357</v>
      </c>
      <c r="L9001" t="s">
        <v>1357</v>
      </c>
    </row>
    <row r="9002" spans="6:12">
      <c r="H9002" t="s">
        <v>20781</v>
      </c>
      <c r="I9002" t="s">
        <v>1357</v>
      </c>
      <c r="J9002" t="s">
        <v>1357</v>
      </c>
      <c r="K9002" t="s">
        <v>1357</v>
      </c>
      <c r="L9002" t="s">
        <v>1357</v>
      </c>
    </row>
    <row r="9003" spans="6:12">
      <c r="H9003" t="s">
        <v>20782</v>
      </c>
      <c r="I9003" t="s">
        <v>1357</v>
      </c>
      <c r="J9003" t="s">
        <v>1357</v>
      </c>
      <c r="K9003" t="s">
        <v>1357</v>
      </c>
      <c r="L9003" t="s">
        <v>1357</v>
      </c>
    </row>
    <row r="9004" spans="6:12">
      <c r="H9004" t="s">
        <v>20783</v>
      </c>
      <c r="I9004" t="s">
        <v>1357</v>
      </c>
      <c r="J9004" t="s">
        <v>1357</v>
      </c>
      <c r="K9004" t="s">
        <v>1357</v>
      </c>
      <c r="L9004" t="s">
        <v>1357</v>
      </c>
    </row>
    <row r="9005" spans="6:12">
      <c r="H9005" t="s">
        <v>20784</v>
      </c>
      <c r="I9005" t="s">
        <v>1357</v>
      </c>
      <c r="J9005" t="s">
        <v>1357</v>
      </c>
      <c r="K9005" t="s">
        <v>1357</v>
      </c>
      <c r="L9005" t="s">
        <v>1357</v>
      </c>
    </row>
    <row r="9006" spans="6:12">
      <c r="H9006" t="s">
        <v>20785</v>
      </c>
      <c r="I9006" t="s">
        <v>1357</v>
      </c>
      <c r="J9006" t="s">
        <v>1357</v>
      </c>
      <c r="K9006" t="s">
        <v>1357</v>
      </c>
      <c r="L9006" t="s">
        <v>1357</v>
      </c>
    </row>
    <row r="9007" spans="6:12">
      <c r="H9007" t="s">
        <v>20786</v>
      </c>
      <c r="I9007" t="s">
        <v>1357</v>
      </c>
      <c r="J9007" t="s">
        <v>1357</v>
      </c>
      <c r="K9007" t="s">
        <v>1357</v>
      </c>
      <c r="L9007" t="s">
        <v>1357</v>
      </c>
    </row>
    <row r="9008" spans="6:12">
      <c r="F9008" t="s">
        <v>15964</v>
      </c>
      <c r="G9008" t="s">
        <v>18656</v>
      </c>
      <c r="H9008" t="s">
        <v>20787</v>
      </c>
      <c r="I9008" t="s">
        <v>1357</v>
      </c>
      <c r="J9008" t="s">
        <v>1357</v>
      </c>
      <c r="K9008" t="s">
        <v>1357</v>
      </c>
      <c r="L9008" t="s">
        <v>1357</v>
      </c>
    </row>
    <row r="9009" spans="6:12">
      <c r="H9009" t="s">
        <v>20788</v>
      </c>
      <c r="I9009" t="s">
        <v>1357</v>
      </c>
      <c r="J9009" t="s">
        <v>1357</v>
      </c>
      <c r="K9009" t="s">
        <v>1357</v>
      </c>
      <c r="L9009" t="s">
        <v>1357</v>
      </c>
    </row>
    <row r="9010" spans="6:12">
      <c r="H9010" t="s">
        <v>20789</v>
      </c>
      <c r="I9010" t="s">
        <v>1357</v>
      </c>
      <c r="J9010" t="s">
        <v>1357</v>
      </c>
      <c r="K9010" t="s">
        <v>1357</v>
      </c>
      <c r="L9010" t="s">
        <v>1357</v>
      </c>
    </row>
    <row r="9011" spans="6:12">
      <c r="H9011" t="s">
        <v>20790</v>
      </c>
      <c r="I9011" t="s">
        <v>1357</v>
      </c>
      <c r="J9011" t="s">
        <v>1357</v>
      </c>
      <c r="K9011" t="s">
        <v>1357</v>
      </c>
      <c r="L9011" t="s">
        <v>1357</v>
      </c>
    </row>
    <row r="9012" spans="6:12">
      <c r="H9012" t="s">
        <v>20791</v>
      </c>
      <c r="I9012" t="s">
        <v>1357</v>
      </c>
      <c r="J9012" t="s">
        <v>1357</v>
      </c>
      <c r="K9012" t="s">
        <v>1357</v>
      </c>
      <c r="L9012" t="s">
        <v>1357</v>
      </c>
    </row>
    <row r="9013" spans="6:12">
      <c r="H9013" t="s">
        <v>20792</v>
      </c>
      <c r="I9013" t="s">
        <v>1357</v>
      </c>
      <c r="J9013" t="s">
        <v>1357</v>
      </c>
      <c r="K9013" t="s">
        <v>1357</v>
      </c>
      <c r="L9013" t="s">
        <v>1357</v>
      </c>
    </row>
    <row r="9014" spans="6:12">
      <c r="H9014" t="s">
        <v>20793</v>
      </c>
      <c r="I9014" t="s">
        <v>1357</v>
      </c>
      <c r="J9014" t="s">
        <v>1357</v>
      </c>
      <c r="K9014" t="s">
        <v>1357</v>
      </c>
      <c r="L9014" t="s">
        <v>1357</v>
      </c>
    </row>
    <row r="9015" spans="6:12">
      <c r="H9015" t="s">
        <v>20794</v>
      </c>
      <c r="I9015" t="s">
        <v>1357</v>
      </c>
      <c r="J9015" t="s">
        <v>1357</v>
      </c>
      <c r="K9015" t="s">
        <v>1357</v>
      </c>
      <c r="L9015" t="s">
        <v>1357</v>
      </c>
    </row>
    <row r="9016" spans="6:12">
      <c r="F9016" t="s">
        <v>15965</v>
      </c>
      <c r="G9016" t="s">
        <v>18657</v>
      </c>
      <c r="H9016" t="s">
        <v>20795</v>
      </c>
      <c r="I9016" t="s">
        <v>1357</v>
      </c>
      <c r="J9016" t="s">
        <v>1357</v>
      </c>
      <c r="K9016" t="s">
        <v>1357</v>
      </c>
      <c r="L9016" t="s">
        <v>1357</v>
      </c>
    </row>
    <row r="9017" spans="6:12">
      <c r="H9017" t="s">
        <v>20796</v>
      </c>
      <c r="I9017" t="s">
        <v>1357</v>
      </c>
      <c r="J9017" t="s">
        <v>1357</v>
      </c>
      <c r="K9017" t="s">
        <v>1357</v>
      </c>
      <c r="L9017" t="s">
        <v>1357</v>
      </c>
    </row>
    <row r="9018" spans="6:12">
      <c r="H9018" t="s">
        <v>20797</v>
      </c>
      <c r="I9018" t="s">
        <v>1357</v>
      </c>
      <c r="J9018" t="s">
        <v>1357</v>
      </c>
      <c r="K9018" t="s">
        <v>1357</v>
      </c>
      <c r="L9018" t="s">
        <v>1357</v>
      </c>
    </row>
    <row r="9019" spans="6:12">
      <c r="H9019" t="s">
        <v>20798</v>
      </c>
      <c r="I9019" t="s">
        <v>1357</v>
      </c>
      <c r="J9019" t="s">
        <v>1357</v>
      </c>
      <c r="K9019" t="s">
        <v>1357</v>
      </c>
      <c r="L9019" t="s">
        <v>1357</v>
      </c>
    </row>
    <row r="9020" spans="6:12">
      <c r="H9020" t="s">
        <v>20799</v>
      </c>
      <c r="I9020" t="s">
        <v>1357</v>
      </c>
      <c r="J9020" t="s">
        <v>1357</v>
      </c>
      <c r="K9020" t="s">
        <v>1357</v>
      </c>
      <c r="L9020" t="s">
        <v>1357</v>
      </c>
    </row>
    <row r="9021" spans="6:12">
      <c r="H9021" t="s">
        <v>20800</v>
      </c>
      <c r="I9021" t="s">
        <v>1357</v>
      </c>
      <c r="J9021" t="s">
        <v>1357</v>
      </c>
      <c r="K9021" t="s">
        <v>1357</v>
      </c>
      <c r="L9021" t="s">
        <v>1357</v>
      </c>
    </row>
    <row r="9022" spans="6:12">
      <c r="H9022" t="s">
        <v>20801</v>
      </c>
      <c r="I9022" t="s">
        <v>1357</v>
      </c>
      <c r="J9022" t="s">
        <v>1357</v>
      </c>
      <c r="K9022" t="s">
        <v>1357</v>
      </c>
      <c r="L9022" t="s">
        <v>1357</v>
      </c>
    </row>
    <row r="9023" spans="6:12">
      <c r="H9023" t="s">
        <v>20802</v>
      </c>
      <c r="I9023" t="s">
        <v>1357</v>
      </c>
      <c r="J9023" t="s">
        <v>1357</v>
      </c>
      <c r="K9023" t="s">
        <v>1357</v>
      </c>
      <c r="L9023" t="s">
        <v>1357</v>
      </c>
    </row>
    <row r="9024" spans="6:12">
      <c r="F9024" t="s">
        <v>15966</v>
      </c>
      <c r="G9024" t="s">
        <v>18658</v>
      </c>
      <c r="H9024" t="s">
        <v>20803</v>
      </c>
      <c r="I9024" t="s">
        <v>1357</v>
      </c>
      <c r="J9024" t="s">
        <v>1357</v>
      </c>
      <c r="K9024" t="s">
        <v>1357</v>
      </c>
      <c r="L9024" t="s">
        <v>1357</v>
      </c>
    </row>
    <row r="9025" spans="6:12">
      <c r="H9025" t="s">
        <v>20804</v>
      </c>
      <c r="I9025" t="s">
        <v>1357</v>
      </c>
      <c r="J9025" t="s">
        <v>1357</v>
      </c>
      <c r="K9025" t="s">
        <v>1357</v>
      </c>
      <c r="L9025" t="s">
        <v>1357</v>
      </c>
    </row>
    <row r="9026" spans="6:12">
      <c r="H9026" t="s">
        <v>20805</v>
      </c>
      <c r="I9026" t="s">
        <v>1357</v>
      </c>
      <c r="J9026" t="s">
        <v>1357</v>
      </c>
      <c r="K9026" t="s">
        <v>1357</v>
      </c>
      <c r="L9026" t="s">
        <v>1357</v>
      </c>
    </row>
    <row r="9027" spans="6:12">
      <c r="H9027" t="s">
        <v>20806</v>
      </c>
      <c r="I9027" t="s">
        <v>1357</v>
      </c>
      <c r="J9027" t="s">
        <v>1357</v>
      </c>
      <c r="K9027" t="s">
        <v>1357</v>
      </c>
      <c r="L9027" t="s">
        <v>1357</v>
      </c>
    </row>
    <row r="9028" spans="6:12">
      <c r="H9028" t="s">
        <v>20807</v>
      </c>
      <c r="I9028" t="s">
        <v>1357</v>
      </c>
      <c r="J9028" t="s">
        <v>1357</v>
      </c>
      <c r="K9028" t="s">
        <v>1357</v>
      </c>
      <c r="L9028" t="s">
        <v>1357</v>
      </c>
    </row>
    <row r="9029" spans="6:12">
      <c r="H9029" t="s">
        <v>20808</v>
      </c>
      <c r="I9029" t="s">
        <v>1357</v>
      </c>
      <c r="J9029" t="s">
        <v>1357</v>
      </c>
      <c r="K9029" t="s">
        <v>1357</v>
      </c>
      <c r="L9029" t="s">
        <v>1357</v>
      </c>
    </row>
    <row r="9030" spans="6:12">
      <c r="H9030" t="s">
        <v>20809</v>
      </c>
      <c r="I9030" t="s">
        <v>1357</v>
      </c>
      <c r="J9030" t="s">
        <v>1357</v>
      </c>
      <c r="K9030" t="s">
        <v>1357</v>
      </c>
      <c r="L9030" t="s">
        <v>1357</v>
      </c>
    </row>
    <row r="9031" spans="6:12">
      <c r="H9031" t="s">
        <v>20810</v>
      </c>
      <c r="I9031" t="s">
        <v>1357</v>
      </c>
      <c r="J9031" t="s">
        <v>1357</v>
      </c>
      <c r="K9031" t="s">
        <v>1357</v>
      </c>
      <c r="L9031" t="s">
        <v>1357</v>
      </c>
    </row>
    <row r="9032" spans="6:12">
      <c r="F9032" t="s">
        <v>15967</v>
      </c>
      <c r="G9032" t="s">
        <v>18659</v>
      </c>
      <c r="H9032" t="s">
        <v>20811</v>
      </c>
      <c r="I9032" t="s">
        <v>1357</v>
      </c>
      <c r="J9032" t="s">
        <v>1357</v>
      </c>
      <c r="K9032" t="s">
        <v>1357</v>
      </c>
      <c r="L9032" t="s">
        <v>1357</v>
      </c>
    </row>
    <row r="9033" spans="6:12">
      <c r="H9033" t="s">
        <v>20812</v>
      </c>
      <c r="I9033" t="s">
        <v>1357</v>
      </c>
      <c r="J9033" t="s">
        <v>1357</v>
      </c>
      <c r="K9033" t="s">
        <v>1357</v>
      </c>
      <c r="L9033" t="s">
        <v>1357</v>
      </c>
    </row>
    <row r="9034" spans="6:12">
      <c r="H9034" t="s">
        <v>20813</v>
      </c>
      <c r="I9034" t="s">
        <v>1357</v>
      </c>
      <c r="J9034" t="s">
        <v>1357</v>
      </c>
      <c r="K9034" t="s">
        <v>1357</v>
      </c>
      <c r="L9034" t="s">
        <v>1357</v>
      </c>
    </row>
    <row r="9035" spans="6:12">
      <c r="H9035" t="s">
        <v>20814</v>
      </c>
      <c r="I9035" t="s">
        <v>1357</v>
      </c>
      <c r="J9035" t="s">
        <v>1357</v>
      </c>
      <c r="K9035" t="s">
        <v>1357</v>
      </c>
      <c r="L9035" t="s">
        <v>1357</v>
      </c>
    </row>
    <row r="9036" spans="6:12">
      <c r="H9036" t="s">
        <v>20815</v>
      </c>
      <c r="I9036" t="s">
        <v>1357</v>
      </c>
      <c r="J9036" t="s">
        <v>1357</v>
      </c>
      <c r="K9036" t="s">
        <v>1357</v>
      </c>
      <c r="L9036" t="s">
        <v>1357</v>
      </c>
    </row>
    <row r="9037" spans="6:12">
      <c r="H9037" t="s">
        <v>20816</v>
      </c>
      <c r="I9037" t="s">
        <v>1357</v>
      </c>
      <c r="J9037" t="s">
        <v>1357</v>
      </c>
      <c r="K9037" t="s">
        <v>1357</v>
      </c>
      <c r="L9037" t="s">
        <v>1357</v>
      </c>
    </row>
    <row r="9038" spans="6:12">
      <c r="H9038" t="s">
        <v>20817</v>
      </c>
      <c r="I9038" t="s">
        <v>1357</v>
      </c>
      <c r="J9038" t="s">
        <v>1357</v>
      </c>
      <c r="K9038" t="s">
        <v>1357</v>
      </c>
      <c r="L9038" t="s">
        <v>1357</v>
      </c>
    </row>
    <row r="9039" spans="6:12">
      <c r="H9039" t="s">
        <v>20818</v>
      </c>
      <c r="I9039" t="s">
        <v>1357</v>
      </c>
      <c r="J9039" t="s">
        <v>1357</v>
      </c>
      <c r="K9039" t="s">
        <v>1357</v>
      </c>
      <c r="L9039" t="s">
        <v>1357</v>
      </c>
    </row>
    <row r="9040" spans="6:12">
      <c r="F9040" t="s">
        <v>15968</v>
      </c>
      <c r="G9040" t="s">
        <v>18660</v>
      </c>
      <c r="H9040" t="s">
        <v>20819</v>
      </c>
      <c r="I9040" t="s">
        <v>1357</v>
      </c>
      <c r="J9040" t="s">
        <v>1357</v>
      </c>
      <c r="K9040" t="s">
        <v>1357</v>
      </c>
      <c r="L9040" t="s">
        <v>1357</v>
      </c>
    </row>
    <row r="9041" spans="6:12">
      <c r="H9041" t="s">
        <v>20820</v>
      </c>
      <c r="I9041" t="s">
        <v>1357</v>
      </c>
      <c r="J9041" t="s">
        <v>1357</v>
      </c>
      <c r="K9041" t="s">
        <v>1357</v>
      </c>
      <c r="L9041" t="s">
        <v>1357</v>
      </c>
    </row>
    <row r="9042" spans="6:12">
      <c r="H9042" t="s">
        <v>20821</v>
      </c>
      <c r="I9042" t="s">
        <v>1357</v>
      </c>
      <c r="J9042" t="s">
        <v>1357</v>
      </c>
      <c r="K9042" t="s">
        <v>1357</v>
      </c>
      <c r="L9042" t="s">
        <v>1357</v>
      </c>
    </row>
    <row r="9043" spans="6:12">
      <c r="H9043" t="s">
        <v>20822</v>
      </c>
      <c r="I9043" t="s">
        <v>1357</v>
      </c>
      <c r="J9043" t="s">
        <v>1357</v>
      </c>
      <c r="K9043" t="s">
        <v>1357</v>
      </c>
      <c r="L9043" t="s">
        <v>1357</v>
      </c>
    </row>
    <row r="9044" spans="6:12">
      <c r="H9044" t="s">
        <v>20823</v>
      </c>
      <c r="I9044" t="s">
        <v>1357</v>
      </c>
      <c r="J9044" t="s">
        <v>1357</v>
      </c>
      <c r="K9044" t="s">
        <v>1357</v>
      </c>
      <c r="L9044" t="s">
        <v>1357</v>
      </c>
    </row>
    <row r="9045" spans="6:12">
      <c r="H9045" t="s">
        <v>20824</v>
      </c>
      <c r="I9045" t="s">
        <v>1357</v>
      </c>
      <c r="J9045" t="s">
        <v>1357</v>
      </c>
      <c r="K9045" t="s">
        <v>1357</v>
      </c>
      <c r="L9045" t="s">
        <v>1357</v>
      </c>
    </row>
    <row r="9046" spans="6:12">
      <c r="H9046" t="s">
        <v>20825</v>
      </c>
      <c r="I9046" t="s">
        <v>1357</v>
      </c>
      <c r="J9046" t="s">
        <v>1357</v>
      </c>
      <c r="K9046" t="s">
        <v>1357</v>
      </c>
      <c r="L9046" t="s">
        <v>1357</v>
      </c>
    </row>
    <row r="9047" spans="6:12">
      <c r="H9047" t="s">
        <v>20826</v>
      </c>
      <c r="I9047" t="s">
        <v>1357</v>
      </c>
      <c r="J9047" t="s">
        <v>1357</v>
      </c>
      <c r="K9047" t="s">
        <v>1357</v>
      </c>
      <c r="L9047" t="s">
        <v>1357</v>
      </c>
    </row>
    <row r="9048" spans="6:12">
      <c r="F9048" t="s">
        <v>15969</v>
      </c>
      <c r="G9048" t="s">
        <v>18661</v>
      </c>
      <c r="H9048" t="s">
        <v>20827</v>
      </c>
      <c r="I9048" t="s">
        <v>1357</v>
      </c>
      <c r="J9048" t="s">
        <v>1357</v>
      </c>
      <c r="K9048" t="s">
        <v>1357</v>
      </c>
      <c r="L9048" t="s">
        <v>1357</v>
      </c>
    </row>
    <row r="9049" spans="6:12">
      <c r="H9049" t="s">
        <v>20828</v>
      </c>
      <c r="I9049" t="s">
        <v>1357</v>
      </c>
      <c r="J9049" t="s">
        <v>1357</v>
      </c>
      <c r="K9049" t="s">
        <v>1357</v>
      </c>
      <c r="L9049" t="s">
        <v>1357</v>
      </c>
    </row>
    <row r="9050" spans="6:12">
      <c r="H9050" t="s">
        <v>20829</v>
      </c>
      <c r="I9050" t="s">
        <v>1357</v>
      </c>
      <c r="J9050" t="s">
        <v>1357</v>
      </c>
      <c r="K9050" t="s">
        <v>1357</v>
      </c>
      <c r="L9050" t="s">
        <v>1357</v>
      </c>
    </row>
    <row r="9051" spans="6:12">
      <c r="H9051" t="s">
        <v>20830</v>
      </c>
      <c r="I9051" t="s">
        <v>1357</v>
      </c>
      <c r="J9051" t="s">
        <v>1357</v>
      </c>
      <c r="K9051" t="s">
        <v>1357</v>
      </c>
      <c r="L9051" t="s">
        <v>1357</v>
      </c>
    </row>
    <row r="9052" spans="6:12">
      <c r="H9052" t="s">
        <v>20831</v>
      </c>
      <c r="I9052" t="s">
        <v>1357</v>
      </c>
      <c r="J9052" t="s">
        <v>1357</v>
      </c>
      <c r="K9052" t="s">
        <v>1357</v>
      </c>
      <c r="L9052" t="s">
        <v>1357</v>
      </c>
    </row>
    <row r="9053" spans="6:12">
      <c r="H9053" t="s">
        <v>20832</v>
      </c>
      <c r="I9053" t="s">
        <v>1357</v>
      </c>
      <c r="J9053" t="s">
        <v>1357</v>
      </c>
      <c r="K9053" t="s">
        <v>1357</v>
      </c>
      <c r="L9053" t="s">
        <v>1357</v>
      </c>
    </row>
    <row r="9054" spans="6:12">
      <c r="H9054" t="s">
        <v>20833</v>
      </c>
      <c r="I9054" t="s">
        <v>1357</v>
      </c>
      <c r="J9054" t="s">
        <v>1357</v>
      </c>
      <c r="K9054" t="s">
        <v>1357</v>
      </c>
      <c r="L9054" t="s">
        <v>1357</v>
      </c>
    </row>
    <row r="9055" spans="6:12">
      <c r="H9055" t="s">
        <v>20834</v>
      </c>
      <c r="I9055" t="s">
        <v>1357</v>
      </c>
      <c r="J9055" t="s">
        <v>1357</v>
      </c>
      <c r="K9055" t="s">
        <v>1357</v>
      </c>
      <c r="L9055" t="s">
        <v>1357</v>
      </c>
    </row>
    <row r="9056" spans="6:12">
      <c r="F9056" t="s">
        <v>15970</v>
      </c>
      <c r="G9056" t="s">
        <v>18662</v>
      </c>
      <c r="H9056" t="s">
        <v>20835</v>
      </c>
      <c r="I9056" t="s">
        <v>1357</v>
      </c>
      <c r="J9056" t="s">
        <v>1357</v>
      </c>
      <c r="K9056" t="s">
        <v>1357</v>
      </c>
      <c r="L9056" t="s">
        <v>1357</v>
      </c>
    </row>
    <row r="9057" spans="6:12">
      <c r="H9057" t="s">
        <v>20836</v>
      </c>
      <c r="I9057" t="s">
        <v>1357</v>
      </c>
      <c r="J9057" t="s">
        <v>1357</v>
      </c>
      <c r="K9057" t="s">
        <v>1357</v>
      </c>
      <c r="L9057" t="s">
        <v>1357</v>
      </c>
    </row>
    <row r="9058" spans="6:12">
      <c r="H9058" t="s">
        <v>20837</v>
      </c>
      <c r="I9058" t="s">
        <v>1357</v>
      </c>
      <c r="J9058" t="s">
        <v>1357</v>
      </c>
      <c r="K9058" t="s">
        <v>1357</v>
      </c>
      <c r="L9058" t="s">
        <v>1357</v>
      </c>
    </row>
    <row r="9059" spans="6:12">
      <c r="H9059" t="s">
        <v>20838</v>
      </c>
      <c r="I9059" t="s">
        <v>1357</v>
      </c>
      <c r="J9059" t="s">
        <v>1357</v>
      </c>
      <c r="K9059" t="s">
        <v>1357</v>
      </c>
      <c r="L9059" t="s">
        <v>1357</v>
      </c>
    </row>
    <row r="9060" spans="6:12">
      <c r="H9060" t="s">
        <v>20839</v>
      </c>
      <c r="I9060" t="s">
        <v>1357</v>
      </c>
      <c r="J9060" t="s">
        <v>1357</v>
      </c>
      <c r="K9060" t="s">
        <v>1357</v>
      </c>
      <c r="L9060" t="s">
        <v>1357</v>
      </c>
    </row>
    <row r="9061" spans="6:12">
      <c r="H9061" t="s">
        <v>20840</v>
      </c>
      <c r="I9061" t="s">
        <v>1357</v>
      </c>
      <c r="J9061" t="s">
        <v>1357</v>
      </c>
      <c r="K9061" t="s">
        <v>1357</v>
      </c>
      <c r="L9061" t="s">
        <v>1357</v>
      </c>
    </row>
    <row r="9062" spans="6:12">
      <c r="H9062" t="s">
        <v>20841</v>
      </c>
      <c r="I9062" t="s">
        <v>1357</v>
      </c>
      <c r="J9062" t="s">
        <v>1357</v>
      </c>
      <c r="K9062" t="s">
        <v>1357</v>
      </c>
      <c r="L9062" t="s">
        <v>1357</v>
      </c>
    </row>
    <row r="9063" spans="6:12">
      <c r="H9063" t="s">
        <v>20842</v>
      </c>
      <c r="I9063" t="s">
        <v>1357</v>
      </c>
      <c r="J9063" t="s">
        <v>1357</v>
      </c>
      <c r="K9063" t="s">
        <v>1357</v>
      </c>
      <c r="L9063" t="s">
        <v>1357</v>
      </c>
    </row>
    <row r="9064" spans="6:12">
      <c r="F9064" t="s">
        <v>15971</v>
      </c>
      <c r="G9064" t="s">
        <v>18663</v>
      </c>
      <c r="H9064" t="s">
        <v>20843</v>
      </c>
      <c r="I9064" t="s">
        <v>1357</v>
      </c>
      <c r="J9064" t="s">
        <v>1357</v>
      </c>
      <c r="K9064" t="s">
        <v>1357</v>
      </c>
      <c r="L9064" t="s">
        <v>1357</v>
      </c>
    </row>
    <row r="9065" spans="6:12">
      <c r="H9065" t="s">
        <v>20844</v>
      </c>
      <c r="I9065" t="s">
        <v>1357</v>
      </c>
      <c r="J9065" t="s">
        <v>1357</v>
      </c>
      <c r="K9065" t="s">
        <v>1357</v>
      </c>
      <c r="L9065" t="s">
        <v>1357</v>
      </c>
    </row>
    <row r="9066" spans="6:12">
      <c r="H9066" t="s">
        <v>20845</v>
      </c>
      <c r="I9066" t="s">
        <v>1357</v>
      </c>
      <c r="J9066" t="s">
        <v>1357</v>
      </c>
      <c r="K9066" t="s">
        <v>1357</v>
      </c>
      <c r="L9066" t="s">
        <v>1357</v>
      </c>
    </row>
    <row r="9067" spans="6:12">
      <c r="H9067" t="s">
        <v>20846</v>
      </c>
      <c r="I9067" t="s">
        <v>1357</v>
      </c>
      <c r="J9067" t="s">
        <v>1357</v>
      </c>
      <c r="K9067" t="s">
        <v>1357</v>
      </c>
      <c r="L9067" t="s">
        <v>1357</v>
      </c>
    </row>
    <row r="9068" spans="6:12">
      <c r="H9068" t="s">
        <v>20847</v>
      </c>
      <c r="I9068" t="s">
        <v>1357</v>
      </c>
      <c r="J9068" t="s">
        <v>1357</v>
      </c>
      <c r="K9068" t="s">
        <v>1357</v>
      </c>
      <c r="L9068" t="s">
        <v>1357</v>
      </c>
    </row>
    <row r="9069" spans="6:12">
      <c r="H9069" t="s">
        <v>20848</v>
      </c>
      <c r="I9069" t="s">
        <v>1357</v>
      </c>
      <c r="J9069" t="s">
        <v>1357</v>
      </c>
      <c r="K9069" t="s">
        <v>1357</v>
      </c>
      <c r="L9069" t="s">
        <v>1357</v>
      </c>
    </row>
    <row r="9070" spans="6:12">
      <c r="H9070" t="s">
        <v>20849</v>
      </c>
      <c r="I9070" t="s">
        <v>1357</v>
      </c>
      <c r="J9070" t="s">
        <v>1357</v>
      </c>
      <c r="K9070" t="s">
        <v>1357</v>
      </c>
      <c r="L9070" t="s">
        <v>1357</v>
      </c>
    </row>
    <row r="9071" spans="6:12">
      <c r="H9071" t="s">
        <v>20850</v>
      </c>
      <c r="I9071" t="s">
        <v>1357</v>
      </c>
      <c r="J9071" t="s">
        <v>1357</v>
      </c>
      <c r="K9071" t="s">
        <v>1357</v>
      </c>
      <c r="L9071" t="s">
        <v>1357</v>
      </c>
    </row>
    <row r="9072" spans="6:12">
      <c r="F9072" t="s">
        <v>15972</v>
      </c>
      <c r="G9072" t="s">
        <v>18664</v>
      </c>
      <c r="H9072" t="s">
        <v>20851</v>
      </c>
      <c r="I9072" t="s">
        <v>1357</v>
      </c>
      <c r="J9072" t="s">
        <v>1357</v>
      </c>
      <c r="K9072" t="s">
        <v>1357</v>
      </c>
      <c r="L9072" t="s">
        <v>1357</v>
      </c>
    </row>
    <row r="9073" spans="6:12">
      <c r="H9073" t="s">
        <v>20852</v>
      </c>
      <c r="I9073" t="s">
        <v>1357</v>
      </c>
      <c r="J9073" t="s">
        <v>1357</v>
      </c>
      <c r="K9073" t="s">
        <v>1357</v>
      </c>
      <c r="L9073" t="s">
        <v>1357</v>
      </c>
    </row>
    <row r="9074" spans="6:12">
      <c r="H9074" t="s">
        <v>20853</v>
      </c>
      <c r="I9074" t="s">
        <v>1357</v>
      </c>
      <c r="J9074" t="s">
        <v>1357</v>
      </c>
      <c r="K9074" t="s">
        <v>1357</v>
      </c>
      <c r="L9074" t="s">
        <v>1357</v>
      </c>
    </row>
    <row r="9075" spans="6:12">
      <c r="H9075" t="s">
        <v>20854</v>
      </c>
      <c r="I9075" t="s">
        <v>1357</v>
      </c>
      <c r="J9075" t="s">
        <v>1357</v>
      </c>
      <c r="K9075" t="s">
        <v>1357</v>
      </c>
      <c r="L9075" t="s">
        <v>1357</v>
      </c>
    </row>
    <row r="9076" spans="6:12">
      <c r="H9076" t="s">
        <v>20855</v>
      </c>
      <c r="I9076" t="s">
        <v>1357</v>
      </c>
      <c r="J9076" t="s">
        <v>1357</v>
      </c>
      <c r="K9076" t="s">
        <v>1357</v>
      </c>
      <c r="L9076" t="s">
        <v>1357</v>
      </c>
    </row>
    <row r="9077" spans="6:12">
      <c r="H9077" t="s">
        <v>20856</v>
      </c>
      <c r="I9077" t="s">
        <v>1357</v>
      </c>
      <c r="J9077" t="s">
        <v>1357</v>
      </c>
      <c r="K9077" t="s">
        <v>1357</v>
      </c>
      <c r="L9077" t="s">
        <v>1357</v>
      </c>
    </row>
    <row r="9078" spans="6:12">
      <c r="H9078" t="s">
        <v>20857</v>
      </c>
      <c r="I9078" t="s">
        <v>1357</v>
      </c>
      <c r="J9078" t="s">
        <v>1357</v>
      </c>
      <c r="K9078" t="s">
        <v>1357</v>
      </c>
      <c r="L9078" t="s">
        <v>1357</v>
      </c>
    </row>
    <row r="9079" spans="6:12">
      <c r="H9079" t="s">
        <v>20858</v>
      </c>
      <c r="I9079" t="s">
        <v>1357</v>
      </c>
      <c r="J9079" t="s">
        <v>1357</v>
      </c>
      <c r="K9079" t="s">
        <v>1357</v>
      </c>
      <c r="L9079" t="s">
        <v>1357</v>
      </c>
    </row>
    <row r="9080" spans="6:12">
      <c r="F9080" t="s">
        <v>15973</v>
      </c>
      <c r="G9080" t="s">
        <v>18665</v>
      </c>
      <c r="H9080" t="s">
        <v>20859</v>
      </c>
      <c r="I9080" t="s">
        <v>1357</v>
      </c>
      <c r="J9080" t="s">
        <v>1357</v>
      </c>
      <c r="K9080" t="s">
        <v>1357</v>
      </c>
      <c r="L9080" t="s">
        <v>1357</v>
      </c>
    </row>
    <row r="9081" spans="6:12">
      <c r="H9081" t="s">
        <v>20860</v>
      </c>
      <c r="I9081" t="s">
        <v>1357</v>
      </c>
      <c r="J9081" t="s">
        <v>1357</v>
      </c>
      <c r="K9081" t="s">
        <v>1357</v>
      </c>
      <c r="L9081" t="s">
        <v>1357</v>
      </c>
    </row>
    <row r="9082" spans="6:12">
      <c r="H9082" t="s">
        <v>20861</v>
      </c>
      <c r="I9082" t="s">
        <v>1357</v>
      </c>
      <c r="J9082" t="s">
        <v>1357</v>
      </c>
      <c r="K9082" t="s">
        <v>1357</v>
      </c>
      <c r="L9082" t="s">
        <v>1357</v>
      </c>
    </row>
    <row r="9083" spans="6:12">
      <c r="H9083" t="s">
        <v>20862</v>
      </c>
      <c r="I9083" t="s">
        <v>1357</v>
      </c>
      <c r="J9083" t="s">
        <v>1357</v>
      </c>
      <c r="K9083" t="s">
        <v>1357</v>
      </c>
      <c r="L9083" t="s">
        <v>1357</v>
      </c>
    </row>
    <row r="9084" spans="6:12">
      <c r="H9084" t="s">
        <v>20863</v>
      </c>
      <c r="I9084" t="s">
        <v>1357</v>
      </c>
      <c r="J9084" t="s">
        <v>1357</v>
      </c>
      <c r="K9084" t="s">
        <v>1357</v>
      </c>
      <c r="L9084" t="s">
        <v>1357</v>
      </c>
    </row>
    <row r="9085" spans="6:12">
      <c r="H9085" t="s">
        <v>20864</v>
      </c>
      <c r="I9085" t="s">
        <v>1357</v>
      </c>
      <c r="J9085" t="s">
        <v>1357</v>
      </c>
      <c r="K9085" t="s">
        <v>1357</v>
      </c>
      <c r="L9085" t="s">
        <v>1357</v>
      </c>
    </row>
    <row r="9086" spans="6:12">
      <c r="H9086" t="s">
        <v>20865</v>
      </c>
      <c r="I9086" t="s">
        <v>1357</v>
      </c>
      <c r="J9086" t="s">
        <v>1357</v>
      </c>
      <c r="K9086" t="s">
        <v>1357</v>
      </c>
      <c r="L9086" t="s">
        <v>1357</v>
      </c>
    </row>
    <row r="9087" spans="6:12">
      <c r="H9087" t="s">
        <v>20866</v>
      </c>
      <c r="I9087" t="s">
        <v>1357</v>
      </c>
      <c r="J9087" t="s">
        <v>1357</v>
      </c>
      <c r="K9087" t="s">
        <v>1357</v>
      </c>
      <c r="L9087" t="s">
        <v>1357</v>
      </c>
    </row>
    <row r="9088" spans="6:12">
      <c r="F9088" t="s">
        <v>15974</v>
      </c>
      <c r="G9088" t="s">
        <v>18666</v>
      </c>
      <c r="H9088" t="s">
        <v>20867</v>
      </c>
      <c r="I9088" t="s">
        <v>1357</v>
      </c>
      <c r="J9088" t="s">
        <v>1357</v>
      </c>
      <c r="K9088" t="s">
        <v>1357</v>
      </c>
      <c r="L9088" t="s">
        <v>1357</v>
      </c>
    </row>
    <row r="9089" spans="6:12">
      <c r="H9089" t="s">
        <v>20868</v>
      </c>
      <c r="I9089" t="s">
        <v>1357</v>
      </c>
      <c r="J9089" t="s">
        <v>1357</v>
      </c>
      <c r="K9089" t="s">
        <v>1357</v>
      </c>
      <c r="L9089" t="s">
        <v>1357</v>
      </c>
    </row>
    <row r="9090" spans="6:12">
      <c r="H9090" t="s">
        <v>20869</v>
      </c>
      <c r="I9090" t="s">
        <v>1357</v>
      </c>
      <c r="J9090" t="s">
        <v>1357</v>
      </c>
      <c r="K9090" t="s">
        <v>1357</v>
      </c>
      <c r="L9090" t="s">
        <v>1357</v>
      </c>
    </row>
    <row r="9091" spans="6:12">
      <c r="H9091" t="s">
        <v>20870</v>
      </c>
      <c r="I9091" t="s">
        <v>1357</v>
      </c>
      <c r="J9091" t="s">
        <v>1357</v>
      </c>
      <c r="K9091" t="s">
        <v>1357</v>
      </c>
      <c r="L9091" t="s">
        <v>1357</v>
      </c>
    </row>
    <row r="9092" spans="6:12">
      <c r="H9092" t="s">
        <v>20871</v>
      </c>
      <c r="I9092" t="s">
        <v>1357</v>
      </c>
      <c r="J9092" t="s">
        <v>1357</v>
      </c>
      <c r="K9092" t="s">
        <v>1357</v>
      </c>
      <c r="L9092" t="s">
        <v>1357</v>
      </c>
    </row>
    <row r="9093" spans="6:12">
      <c r="H9093" t="s">
        <v>20872</v>
      </c>
      <c r="I9093" t="s">
        <v>1357</v>
      </c>
      <c r="J9093" t="s">
        <v>1357</v>
      </c>
      <c r="K9093" t="s">
        <v>1357</v>
      </c>
      <c r="L9093" t="s">
        <v>1357</v>
      </c>
    </row>
    <row r="9094" spans="6:12">
      <c r="H9094" t="s">
        <v>20873</v>
      </c>
      <c r="I9094" t="s">
        <v>1357</v>
      </c>
      <c r="J9094" t="s">
        <v>1357</v>
      </c>
      <c r="K9094" t="s">
        <v>1357</v>
      </c>
      <c r="L9094" t="s">
        <v>1357</v>
      </c>
    </row>
    <row r="9095" spans="6:12">
      <c r="H9095" t="s">
        <v>20874</v>
      </c>
      <c r="I9095" t="s">
        <v>1357</v>
      </c>
      <c r="J9095" t="s">
        <v>1357</v>
      </c>
      <c r="K9095" t="s">
        <v>1357</v>
      </c>
      <c r="L9095" t="s">
        <v>1357</v>
      </c>
    </row>
    <row r="9096" spans="6:12">
      <c r="F9096" t="s">
        <v>15975</v>
      </c>
      <c r="G9096" t="s">
        <v>18667</v>
      </c>
      <c r="H9096" t="s">
        <v>20875</v>
      </c>
      <c r="I9096" t="s">
        <v>1357</v>
      </c>
      <c r="J9096" t="s">
        <v>1357</v>
      </c>
      <c r="K9096" t="s">
        <v>1357</v>
      </c>
      <c r="L9096" t="s">
        <v>1357</v>
      </c>
    </row>
    <row r="9097" spans="6:12">
      <c r="H9097" t="s">
        <v>20876</v>
      </c>
      <c r="I9097" t="s">
        <v>1357</v>
      </c>
      <c r="J9097" t="s">
        <v>1357</v>
      </c>
      <c r="K9097" t="s">
        <v>1357</v>
      </c>
      <c r="L9097" t="s">
        <v>1357</v>
      </c>
    </row>
    <row r="9098" spans="6:12">
      <c r="H9098" t="s">
        <v>20877</v>
      </c>
      <c r="I9098" t="s">
        <v>1357</v>
      </c>
      <c r="J9098" t="s">
        <v>1357</v>
      </c>
      <c r="K9098" t="s">
        <v>1357</v>
      </c>
      <c r="L9098" t="s">
        <v>1357</v>
      </c>
    </row>
    <row r="9099" spans="6:12">
      <c r="H9099" t="s">
        <v>20878</v>
      </c>
      <c r="I9099" t="s">
        <v>1357</v>
      </c>
      <c r="J9099" t="s">
        <v>1357</v>
      </c>
      <c r="K9099" t="s">
        <v>1357</v>
      </c>
      <c r="L9099" t="s">
        <v>1357</v>
      </c>
    </row>
    <row r="9100" spans="6:12">
      <c r="H9100" t="s">
        <v>20879</v>
      </c>
      <c r="I9100" t="s">
        <v>1357</v>
      </c>
      <c r="J9100" t="s">
        <v>1357</v>
      </c>
      <c r="K9100" t="s">
        <v>1357</v>
      </c>
      <c r="L9100" t="s">
        <v>1357</v>
      </c>
    </row>
    <row r="9101" spans="6:12">
      <c r="H9101" t="s">
        <v>20880</v>
      </c>
      <c r="I9101" t="s">
        <v>1357</v>
      </c>
      <c r="J9101" t="s">
        <v>1357</v>
      </c>
      <c r="K9101" t="s">
        <v>1357</v>
      </c>
      <c r="L9101" t="s">
        <v>1357</v>
      </c>
    </row>
    <row r="9102" spans="6:12">
      <c r="H9102" t="s">
        <v>20881</v>
      </c>
      <c r="I9102" t="s">
        <v>1357</v>
      </c>
      <c r="J9102" t="s">
        <v>1357</v>
      </c>
      <c r="K9102" t="s">
        <v>1357</v>
      </c>
      <c r="L9102" t="s">
        <v>1357</v>
      </c>
    </row>
    <row r="9103" spans="6:12">
      <c r="H9103" t="s">
        <v>20882</v>
      </c>
      <c r="I9103" t="s">
        <v>1357</v>
      </c>
      <c r="J9103" t="s">
        <v>1357</v>
      </c>
      <c r="K9103" t="s">
        <v>1357</v>
      </c>
      <c r="L9103" t="s">
        <v>1357</v>
      </c>
    </row>
    <row r="9104" spans="6:12">
      <c r="F9104" t="s">
        <v>15976</v>
      </c>
      <c r="G9104" t="s">
        <v>18668</v>
      </c>
      <c r="H9104" t="s">
        <v>20883</v>
      </c>
      <c r="I9104" t="s">
        <v>1357</v>
      </c>
      <c r="J9104" t="s">
        <v>1357</v>
      </c>
      <c r="K9104" t="s">
        <v>1357</v>
      </c>
      <c r="L9104" t="s">
        <v>1357</v>
      </c>
    </row>
    <row r="9105" spans="6:12">
      <c r="H9105" t="s">
        <v>20884</v>
      </c>
      <c r="I9105" t="s">
        <v>1357</v>
      </c>
      <c r="J9105" t="s">
        <v>1357</v>
      </c>
      <c r="K9105" t="s">
        <v>1357</v>
      </c>
      <c r="L9105" t="s">
        <v>1357</v>
      </c>
    </row>
    <row r="9106" spans="6:12">
      <c r="H9106" t="s">
        <v>20885</v>
      </c>
      <c r="I9106" t="s">
        <v>1357</v>
      </c>
      <c r="J9106" t="s">
        <v>1357</v>
      </c>
      <c r="K9106" t="s">
        <v>1357</v>
      </c>
      <c r="L9106" t="s">
        <v>1357</v>
      </c>
    </row>
    <row r="9107" spans="6:12">
      <c r="H9107" t="s">
        <v>20886</v>
      </c>
      <c r="I9107" t="s">
        <v>1357</v>
      </c>
      <c r="J9107" t="s">
        <v>1357</v>
      </c>
      <c r="K9107" t="s">
        <v>1357</v>
      </c>
      <c r="L9107" t="s">
        <v>1357</v>
      </c>
    </row>
    <row r="9108" spans="6:12">
      <c r="H9108" t="s">
        <v>20887</v>
      </c>
      <c r="I9108" t="s">
        <v>1357</v>
      </c>
      <c r="J9108" t="s">
        <v>1357</v>
      </c>
      <c r="K9108" t="s">
        <v>1357</v>
      </c>
      <c r="L9108" t="s">
        <v>1357</v>
      </c>
    </row>
    <row r="9109" spans="6:12">
      <c r="H9109" t="s">
        <v>20888</v>
      </c>
      <c r="I9109" t="s">
        <v>1357</v>
      </c>
      <c r="J9109" t="s">
        <v>1357</v>
      </c>
      <c r="K9109" t="s">
        <v>1357</v>
      </c>
      <c r="L9109" t="s">
        <v>1357</v>
      </c>
    </row>
    <row r="9110" spans="6:12">
      <c r="H9110" t="s">
        <v>20889</v>
      </c>
      <c r="I9110" t="s">
        <v>1357</v>
      </c>
      <c r="J9110" t="s">
        <v>1357</v>
      </c>
      <c r="K9110" t="s">
        <v>1357</v>
      </c>
      <c r="L9110" t="s">
        <v>1357</v>
      </c>
    </row>
    <row r="9111" spans="6:12">
      <c r="H9111" t="s">
        <v>20890</v>
      </c>
      <c r="I9111" t="s">
        <v>1357</v>
      </c>
      <c r="J9111" t="s">
        <v>1357</v>
      </c>
      <c r="K9111" t="s">
        <v>1357</v>
      </c>
      <c r="L9111" t="s">
        <v>1357</v>
      </c>
    </row>
    <row r="9112" spans="6:12">
      <c r="F9112" t="s">
        <v>15977</v>
      </c>
      <c r="G9112" t="s">
        <v>18669</v>
      </c>
      <c r="H9112" t="s">
        <v>20891</v>
      </c>
      <c r="I9112" t="s">
        <v>1357</v>
      </c>
      <c r="J9112" t="s">
        <v>1357</v>
      </c>
      <c r="K9112" t="s">
        <v>1357</v>
      </c>
      <c r="L9112" t="s">
        <v>1357</v>
      </c>
    </row>
    <row r="9113" spans="6:12">
      <c r="H9113" t="s">
        <v>20892</v>
      </c>
      <c r="I9113" t="s">
        <v>1357</v>
      </c>
      <c r="J9113" t="s">
        <v>1357</v>
      </c>
      <c r="K9113" t="s">
        <v>1357</v>
      </c>
      <c r="L9113" t="s">
        <v>1357</v>
      </c>
    </row>
    <row r="9114" spans="6:12">
      <c r="H9114" t="s">
        <v>20893</v>
      </c>
      <c r="I9114" t="s">
        <v>1357</v>
      </c>
      <c r="J9114" t="s">
        <v>1357</v>
      </c>
      <c r="K9114" t="s">
        <v>1357</v>
      </c>
      <c r="L9114" t="s">
        <v>1357</v>
      </c>
    </row>
    <row r="9115" spans="6:12">
      <c r="H9115" t="s">
        <v>20894</v>
      </c>
      <c r="I9115" t="s">
        <v>1357</v>
      </c>
      <c r="J9115" t="s">
        <v>1357</v>
      </c>
      <c r="K9115" t="s">
        <v>1357</v>
      </c>
      <c r="L9115" t="s">
        <v>1357</v>
      </c>
    </row>
    <row r="9116" spans="6:12">
      <c r="H9116" t="s">
        <v>20895</v>
      </c>
      <c r="I9116" t="s">
        <v>1357</v>
      </c>
      <c r="J9116" t="s">
        <v>1357</v>
      </c>
      <c r="K9116" t="s">
        <v>1357</v>
      </c>
      <c r="L9116" t="s">
        <v>1357</v>
      </c>
    </row>
    <row r="9117" spans="6:12">
      <c r="H9117" t="s">
        <v>20896</v>
      </c>
      <c r="I9117" t="s">
        <v>1357</v>
      </c>
      <c r="J9117" t="s">
        <v>1357</v>
      </c>
      <c r="K9117" t="s">
        <v>1357</v>
      </c>
      <c r="L9117" t="s">
        <v>1357</v>
      </c>
    </row>
    <row r="9118" spans="6:12">
      <c r="H9118" t="s">
        <v>20897</v>
      </c>
      <c r="I9118" t="s">
        <v>1357</v>
      </c>
      <c r="J9118" t="s">
        <v>1357</v>
      </c>
      <c r="K9118" t="s">
        <v>1357</v>
      </c>
      <c r="L9118" t="s">
        <v>1357</v>
      </c>
    </row>
    <row r="9119" spans="6:12">
      <c r="H9119" t="s">
        <v>20898</v>
      </c>
      <c r="I9119" t="s">
        <v>1357</v>
      </c>
      <c r="J9119" t="s">
        <v>1357</v>
      </c>
      <c r="K9119" t="s">
        <v>1357</v>
      </c>
      <c r="L9119" t="s">
        <v>1357</v>
      </c>
    </row>
    <row r="9120" spans="6:12">
      <c r="F9120" t="s">
        <v>15978</v>
      </c>
      <c r="G9120" t="s">
        <v>18670</v>
      </c>
      <c r="H9120" t="s">
        <v>20899</v>
      </c>
      <c r="I9120" t="s">
        <v>1357</v>
      </c>
      <c r="J9120" t="s">
        <v>1357</v>
      </c>
      <c r="K9120" t="s">
        <v>1357</v>
      </c>
      <c r="L9120" t="s">
        <v>1357</v>
      </c>
    </row>
    <row r="9121" spans="6:12">
      <c r="H9121" t="s">
        <v>20900</v>
      </c>
      <c r="I9121" t="s">
        <v>1357</v>
      </c>
      <c r="J9121" t="s">
        <v>1357</v>
      </c>
      <c r="K9121" t="s">
        <v>1357</v>
      </c>
      <c r="L9121" t="s">
        <v>1357</v>
      </c>
    </row>
    <row r="9122" spans="6:12">
      <c r="H9122" t="s">
        <v>20901</v>
      </c>
      <c r="I9122" t="s">
        <v>1357</v>
      </c>
      <c r="J9122" t="s">
        <v>1357</v>
      </c>
      <c r="K9122" t="s">
        <v>1357</v>
      </c>
      <c r="L9122" t="s">
        <v>1357</v>
      </c>
    </row>
    <row r="9123" spans="6:12">
      <c r="H9123" t="s">
        <v>20902</v>
      </c>
      <c r="I9123" t="s">
        <v>1357</v>
      </c>
      <c r="J9123" t="s">
        <v>1357</v>
      </c>
      <c r="K9123" t="s">
        <v>1357</v>
      </c>
      <c r="L9123" t="s">
        <v>1357</v>
      </c>
    </row>
    <row r="9124" spans="6:12">
      <c r="H9124" t="s">
        <v>20903</v>
      </c>
      <c r="I9124" t="s">
        <v>1357</v>
      </c>
      <c r="J9124" t="s">
        <v>1357</v>
      </c>
      <c r="K9124" t="s">
        <v>1357</v>
      </c>
      <c r="L9124" t="s">
        <v>1357</v>
      </c>
    </row>
    <row r="9125" spans="6:12">
      <c r="H9125" t="s">
        <v>20904</v>
      </c>
      <c r="I9125" t="s">
        <v>1357</v>
      </c>
      <c r="J9125" t="s">
        <v>1357</v>
      </c>
      <c r="K9125" t="s">
        <v>1357</v>
      </c>
      <c r="L9125" t="s">
        <v>1357</v>
      </c>
    </row>
    <row r="9126" spans="6:12">
      <c r="H9126" t="s">
        <v>20905</v>
      </c>
      <c r="I9126" t="s">
        <v>1357</v>
      </c>
      <c r="J9126" t="s">
        <v>1357</v>
      </c>
      <c r="K9126" t="s">
        <v>1357</v>
      </c>
      <c r="L9126" t="s">
        <v>1357</v>
      </c>
    </row>
    <row r="9127" spans="6:12">
      <c r="H9127" t="s">
        <v>20906</v>
      </c>
      <c r="I9127" t="s">
        <v>1357</v>
      </c>
      <c r="J9127" t="s">
        <v>1357</v>
      </c>
      <c r="K9127" t="s">
        <v>1357</v>
      </c>
      <c r="L9127" t="s">
        <v>1357</v>
      </c>
    </row>
    <row r="9128" spans="6:12">
      <c r="F9128" t="s">
        <v>15979</v>
      </c>
      <c r="G9128" t="s">
        <v>18671</v>
      </c>
      <c r="H9128" t="s">
        <v>20907</v>
      </c>
      <c r="I9128" t="s">
        <v>1357</v>
      </c>
      <c r="J9128" t="s">
        <v>1357</v>
      </c>
      <c r="K9128" t="s">
        <v>1357</v>
      </c>
      <c r="L9128" t="s">
        <v>1357</v>
      </c>
    </row>
    <row r="9129" spans="6:12">
      <c r="H9129" t="s">
        <v>20908</v>
      </c>
      <c r="I9129" t="s">
        <v>1357</v>
      </c>
      <c r="J9129" t="s">
        <v>1357</v>
      </c>
      <c r="K9129" t="s">
        <v>1357</v>
      </c>
      <c r="L9129" t="s">
        <v>1357</v>
      </c>
    </row>
    <row r="9130" spans="6:12">
      <c r="H9130" t="s">
        <v>20909</v>
      </c>
      <c r="I9130" t="s">
        <v>1357</v>
      </c>
      <c r="J9130" t="s">
        <v>1357</v>
      </c>
      <c r="K9130" t="s">
        <v>1357</v>
      </c>
      <c r="L9130" t="s">
        <v>1357</v>
      </c>
    </row>
    <row r="9131" spans="6:12">
      <c r="H9131" t="s">
        <v>20910</v>
      </c>
      <c r="I9131" t="s">
        <v>1357</v>
      </c>
      <c r="J9131" t="s">
        <v>1357</v>
      </c>
      <c r="K9131" t="s">
        <v>1357</v>
      </c>
      <c r="L9131" t="s">
        <v>1357</v>
      </c>
    </row>
    <row r="9132" spans="6:12">
      <c r="H9132" t="s">
        <v>20911</v>
      </c>
      <c r="I9132" t="s">
        <v>1357</v>
      </c>
      <c r="J9132" t="s">
        <v>1357</v>
      </c>
      <c r="K9132" t="s">
        <v>1357</v>
      </c>
      <c r="L9132" t="s">
        <v>1357</v>
      </c>
    </row>
    <row r="9133" spans="6:12">
      <c r="H9133" t="s">
        <v>20912</v>
      </c>
      <c r="I9133" t="s">
        <v>1357</v>
      </c>
      <c r="J9133" t="s">
        <v>1357</v>
      </c>
      <c r="K9133" t="s">
        <v>1357</v>
      </c>
      <c r="L9133" t="s">
        <v>1357</v>
      </c>
    </row>
    <row r="9134" spans="6:12">
      <c r="H9134" t="s">
        <v>20913</v>
      </c>
      <c r="I9134" t="s">
        <v>1357</v>
      </c>
      <c r="J9134" t="s">
        <v>1357</v>
      </c>
      <c r="K9134" t="s">
        <v>1357</v>
      </c>
      <c r="L9134" t="s">
        <v>1357</v>
      </c>
    </row>
    <row r="9135" spans="6:12">
      <c r="H9135" t="s">
        <v>20914</v>
      </c>
      <c r="I9135" t="s">
        <v>1357</v>
      </c>
      <c r="J9135" t="s">
        <v>1357</v>
      </c>
      <c r="K9135" t="s">
        <v>1357</v>
      </c>
      <c r="L9135" t="s">
        <v>1357</v>
      </c>
    </row>
    <row r="9136" spans="6:12">
      <c r="F9136" t="s">
        <v>15980</v>
      </c>
      <c r="G9136" t="s">
        <v>18672</v>
      </c>
      <c r="H9136" t="s">
        <v>20915</v>
      </c>
      <c r="I9136" t="s">
        <v>1357</v>
      </c>
      <c r="J9136" t="s">
        <v>1357</v>
      </c>
      <c r="K9136" t="s">
        <v>1357</v>
      </c>
      <c r="L9136" t="s">
        <v>1357</v>
      </c>
    </row>
    <row r="9137" spans="6:12">
      <c r="H9137" t="s">
        <v>20916</v>
      </c>
      <c r="I9137" t="s">
        <v>1357</v>
      </c>
      <c r="J9137" t="s">
        <v>1357</v>
      </c>
      <c r="K9137" t="s">
        <v>1357</v>
      </c>
      <c r="L9137" t="s">
        <v>1357</v>
      </c>
    </row>
    <row r="9138" spans="6:12">
      <c r="H9138" t="s">
        <v>20917</v>
      </c>
      <c r="I9138" t="s">
        <v>1357</v>
      </c>
      <c r="J9138" t="s">
        <v>1357</v>
      </c>
      <c r="K9138" t="s">
        <v>1357</v>
      </c>
      <c r="L9138" t="s">
        <v>1357</v>
      </c>
    </row>
    <row r="9139" spans="6:12">
      <c r="H9139" t="s">
        <v>20918</v>
      </c>
      <c r="I9139" t="s">
        <v>1357</v>
      </c>
      <c r="J9139" t="s">
        <v>1357</v>
      </c>
      <c r="K9139" t="s">
        <v>1357</v>
      </c>
      <c r="L9139" t="s">
        <v>1357</v>
      </c>
    </row>
    <row r="9140" spans="6:12">
      <c r="H9140" t="s">
        <v>20919</v>
      </c>
      <c r="I9140" t="s">
        <v>1357</v>
      </c>
      <c r="J9140" t="s">
        <v>1357</v>
      </c>
      <c r="K9140" t="s">
        <v>1357</v>
      </c>
      <c r="L9140" t="s">
        <v>1357</v>
      </c>
    </row>
    <row r="9141" spans="6:12">
      <c r="H9141" t="s">
        <v>20920</v>
      </c>
      <c r="I9141" t="s">
        <v>1357</v>
      </c>
      <c r="J9141" t="s">
        <v>1357</v>
      </c>
      <c r="K9141" t="s">
        <v>1357</v>
      </c>
      <c r="L9141" t="s">
        <v>1357</v>
      </c>
    </row>
    <row r="9142" spans="6:12">
      <c r="H9142" t="s">
        <v>20921</v>
      </c>
      <c r="I9142" t="s">
        <v>1357</v>
      </c>
      <c r="J9142" t="s">
        <v>1357</v>
      </c>
      <c r="K9142" t="s">
        <v>1357</v>
      </c>
      <c r="L9142" t="s">
        <v>1357</v>
      </c>
    </row>
    <row r="9143" spans="6:12">
      <c r="H9143" t="s">
        <v>20922</v>
      </c>
      <c r="I9143" t="s">
        <v>1357</v>
      </c>
      <c r="J9143" t="s">
        <v>1357</v>
      </c>
      <c r="K9143" t="s">
        <v>1357</v>
      </c>
      <c r="L9143" t="s">
        <v>1357</v>
      </c>
    </row>
    <row r="9144" spans="6:12">
      <c r="F9144" t="s">
        <v>15981</v>
      </c>
      <c r="G9144" t="s">
        <v>18673</v>
      </c>
      <c r="H9144" t="s">
        <v>20923</v>
      </c>
      <c r="I9144" t="s">
        <v>1357</v>
      </c>
      <c r="J9144" t="s">
        <v>1357</v>
      </c>
      <c r="K9144" t="s">
        <v>1357</v>
      </c>
      <c r="L9144" t="s">
        <v>1357</v>
      </c>
    </row>
    <row r="9145" spans="6:12">
      <c r="H9145" t="s">
        <v>20924</v>
      </c>
      <c r="I9145" t="s">
        <v>1357</v>
      </c>
      <c r="J9145" t="s">
        <v>1357</v>
      </c>
      <c r="K9145" t="s">
        <v>1357</v>
      </c>
      <c r="L9145" t="s">
        <v>1357</v>
      </c>
    </row>
    <row r="9146" spans="6:12">
      <c r="H9146" t="s">
        <v>20925</v>
      </c>
      <c r="I9146" t="s">
        <v>1357</v>
      </c>
      <c r="J9146" t="s">
        <v>1357</v>
      </c>
      <c r="K9146" t="s">
        <v>1357</v>
      </c>
      <c r="L9146" t="s">
        <v>1357</v>
      </c>
    </row>
    <row r="9147" spans="6:12">
      <c r="H9147" t="s">
        <v>20926</v>
      </c>
      <c r="I9147" t="s">
        <v>1357</v>
      </c>
      <c r="J9147" t="s">
        <v>1357</v>
      </c>
      <c r="K9147" t="s">
        <v>1357</v>
      </c>
      <c r="L9147" t="s">
        <v>1357</v>
      </c>
    </row>
    <row r="9148" spans="6:12">
      <c r="H9148" t="s">
        <v>20927</v>
      </c>
      <c r="I9148" t="s">
        <v>1357</v>
      </c>
      <c r="J9148" t="s">
        <v>1357</v>
      </c>
      <c r="K9148" t="s">
        <v>1357</v>
      </c>
      <c r="L9148" t="s">
        <v>1357</v>
      </c>
    </row>
    <row r="9149" spans="6:12">
      <c r="H9149" t="s">
        <v>20928</v>
      </c>
      <c r="I9149" t="s">
        <v>1357</v>
      </c>
      <c r="J9149" t="s">
        <v>1357</v>
      </c>
      <c r="K9149" t="s">
        <v>1357</v>
      </c>
      <c r="L9149" t="s">
        <v>1357</v>
      </c>
    </row>
    <row r="9150" spans="6:12">
      <c r="H9150" t="s">
        <v>20929</v>
      </c>
      <c r="I9150" t="s">
        <v>1357</v>
      </c>
      <c r="J9150" t="s">
        <v>1357</v>
      </c>
      <c r="K9150" t="s">
        <v>1357</v>
      </c>
      <c r="L9150" t="s">
        <v>1357</v>
      </c>
    </row>
    <row r="9151" spans="6:12">
      <c r="H9151" t="s">
        <v>20930</v>
      </c>
      <c r="I9151" t="s">
        <v>1357</v>
      </c>
      <c r="J9151" t="s">
        <v>1357</v>
      </c>
      <c r="K9151" t="s">
        <v>1357</v>
      </c>
      <c r="L9151" t="s">
        <v>1357</v>
      </c>
    </row>
    <row r="9152" spans="6:12">
      <c r="F9152" t="s">
        <v>15982</v>
      </c>
      <c r="G9152" t="s">
        <v>18674</v>
      </c>
      <c r="H9152" t="s">
        <v>20931</v>
      </c>
      <c r="I9152" t="s">
        <v>1357</v>
      </c>
      <c r="J9152" t="s">
        <v>1357</v>
      </c>
      <c r="K9152" t="s">
        <v>1357</v>
      </c>
      <c r="L9152" t="s">
        <v>1357</v>
      </c>
    </row>
    <row r="9153" spans="6:12">
      <c r="H9153" t="s">
        <v>20932</v>
      </c>
      <c r="I9153" t="s">
        <v>1357</v>
      </c>
      <c r="J9153" t="s">
        <v>1357</v>
      </c>
      <c r="K9153" t="s">
        <v>1357</v>
      </c>
      <c r="L9153" t="s">
        <v>1357</v>
      </c>
    </row>
    <row r="9154" spans="6:12">
      <c r="F9154" t="s">
        <v>15983</v>
      </c>
      <c r="G9154" t="s">
        <v>18675</v>
      </c>
      <c r="H9154" t="s">
        <v>20933</v>
      </c>
      <c r="I9154" t="s">
        <v>1357</v>
      </c>
      <c r="J9154" t="s">
        <v>1357</v>
      </c>
      <c r="K9154" t="s">
        <v>1357</v>
      </c>
      <c r="L9154" t="s">
        <v>1357</v>
      </c>
    </row>
    <row r="9155" spans="6:12">
      <c r="H9155" t="s">
        <v>20934</v>
      </c>
      <c r="I9155" t="s">
        <v>1357</v>
      </c>
      <c r="J9155" t="s">
        <v>1357</v>
      </c>
      <c r="K9155" t="s">
        <v>1357</v>
      </c>
      <c r="L9155" t="s">
        <v>1357</v>
      </c>
    </row>
    <row r="9156" spans="6:12">
      <c r="H9156" t="s">
        <v>20935</v>
      </c>
      <c r="I9156" t="s">
        <v>1357</v>
      </c>
      <c r="J9156" t="s">
        <v>1357</v>
      </c>
      <c r="K9156" t="s">
        <v>1357</v>
      </c>
      <c r="L9156" t="s">
        <v>1357</v>
      </c>
    </row>
    <row r="9157" spans="6:12">
      <c r="H9157" t="s">
        <v>20936</v>
      </c>
      <c r="I9157" t="s">
        <v>1357</v>
      </c>
      <c r="J9157" t="s">
        <v>1357</v>
      </c>
      <c r="K9157" t="s">
        <v>1357</v>
      </c>
      <c r="L9157" t="s">
        <v>1357</v>
      </c>
    </row>
    <row r="9158" spans="6:12">
      <c r="H9158" t="s">
        <v>20937</v>
      </c>
      <c r="I9158" t="s">
        <v>1357</v>
      </c>
      <c r="J9158" t="s">
        <v>1357</v>
      </c>
      <c r="K9158" t="s">
        <v>1357</v>
      </c>
      <c r="L9158" t="s">
        <v>1357</v>
      </c>
    </row>
    <row r="9159" spans="6:12">
      <c r="H9159" t="s">
        <v>20938</v>
      </c>
      <c r="I9159" t="s">
        <v>1357</v>
      </c>
      <c r="J9159" t="s">
        <v>1357</v>
      </c>
      <c r="K9159" t="s">
        <v>1357</v>
      </c>
      <c r="L9159" t="s">
        <v>1357</v>
      </c>
    </row>
    <row r="9160" spans="6:12">
      <c r="H9160" t="s">
        <v>20939</v>
      </c>
      <c r="I9160" t="s">
        <v>1357</v>
      </c>
      <c r="J9160" t="s">
        <v>1357</v>
      </c>
      <c r="K9160" t="s">
        <v>1357</v>
      </c>
      <c r="L9160" t="s">
        <v>1357</v>
      </c>
    </row>
    <row r="9161" spans="6:12">
      <c r="H9161" t="s">
        <v>20940</v>
      </c>
      <c r="I9161" t="s">
        <v>1357</v>
      </c>
      <c r="J9161" t="s">
        <v>1357</v>
      </c>
      <c r="K9161" t="s">
        <v>1357</v>
      </c>
      <c r="L9161" t="s">
        <v>1357</v>
      </c>
    </row>
    <row r="9162" spans="6:12">
      <c r="F9162" t="s">
        <v>15984</v>
      </c>
      <c r="G9162" t="s">
        <v>18676</v>
      </c>
      <c r="H9162" t="s">
        <v>20941</v>
      </c>
      <c r="I9162" t="s">
        <v>1357</v>
      </c>
      <c r="J9162" t="s">
        <v>1357</v>
      </c>
      <c r="K9162" t="s">
        <v>1357</v>
      </c>
      <c r="L9162" t="s">
        <v>1357</v>
      </c>
    </row>
    <row r="9163" spans="6:12">
      <c r="H9163" t="s">
        <v>20942</v>
      </c>
      <c r="I9163" t="s">
        <v>1357</v>
      </c>
      <c r="J9163" t="s">
        <v>1357</v>
      </c>
      <c r="K9163" t="s">
        <v>1357</v>
      </c>
      <c r="L9163" t="s">
        <v>1357</v>
      </c>
    </row>
    <row r="9164" spans="6:12">
      <c r="H9164" t="s">
        <v>20943</v>
      </c>
      <c r="I9164" t="s">
        <v>1357</v>
      </c>
      <c r="J9164" t="s">
        <v>1357</v>
      </c>
      <c r="K9164" t="s">
        <v>1357</v>
      </c>
      <c r="L9164" t="s">
        <v>1357</v>
      </c>
    </row>
    <row r="9165" spans="6:12">
      <c r="H9165" t="s">
        <v>20944</v>
      </c>
      <c r="I9165" t="s">
        <v>1357</v>
      </c>
      <c r="J9165" t="s">
        <v>1357</v>
      </c>
      <c r="K9165" t="s">
        <v>1357</v>
      </c>
      <c r="L9165" t="s">
        <v>1357</v>
      </c>
    </row>
    <row r="9166" spans="6:12">
      <c r="H9166" t="s">
        <v>20945</v>
      </c>
      <c r="I9166" t="s">
        <v>1357</v>
      </c>
      <c r="J9166" t="s">
        <v>1357</v>
      </c>
      <c r="K9166" t="s">
        <v>1357</v>
      </c>
      <c r="L9166" t="s">
        <v>1357</v>
      </c>
    </row>
    <row r="9167" spans="6:12">
      <c r="H9167" t="s">
        <v>20946</v>
      </c>
      <c r="I9167" t="s">
        <v>1357</v>
      </c>
      <c r="J9167" t="s">
        <v>1357</v>
      </c>
      <c r="K9167" t="s">
        <v>1357</v>
      </c>
      <c r="L9167" t="s">
        <v>1357</v>
      </c>
    </row>
    <row r="9168" spans="6:12">
      <c r="H9168" t="s">
        <v>20947</v>
      </c>
      <c r="I9168" t="s">
        <v>1357</v>
      </c>
      <c r="J9168" t="s">
        <v>1357</v>
      </c>
      <c r="K9168" t="s">
        <v>1357</v>
      </c>
      <c r="L9168" t="s">
        <v>1357</v>
      </c>
    </row>
    <row r="9169" spans="6:12">
      <c r="H9169" t="s">
        <v>20948</v>
      </c>
      <c r="I9169" t="s">
        <v>1357</v>
      </c>
      <c r="J9169" t="s">
        <v>1357</v>
      </c>
      <c r="K9169" t="s">
        <v>1357</v>
      </c>
      <c r="L9169" t="s">
        <v>1357</v>
      </c>
    </row>
    <row r="9170" spans="6:12">
      <c r="F9170" t="s">
        <v>15985</v>
      </c>
      <c r="G9170" t="s">
        <v>18677</v>
      </c>
      <c r="H9170" t="s">
        <v>20949</v>
      </c>
      <c r="I9170" t="s">
        <v>1357</v>
      </c>
      <c r="J9170" t="s">
        <v>1357</v>
      </c>
      <c r="K9170" t="s">
        <v>1357</v>
      </c>
      <c r="L9170" t="s">
        <v>1357</v>
      </c>
    </row>
    <row r="9171" spans="6:12">
      <c r="H9171" t="s">
        <v>20950</v>
      </c>
      <c r="I9171" t="s">
        <v>1357</v>
      </c>
      <c r="J9171" t="s">
        <v>1357</v>
      </c>
      <c r="K9171" t="s">
        <v>1357</v>
      </c>
      <c r="L9171" t="s">
        <v>1357</v>
      </c>
    </row>
    <row r="9172" spans="6:12">
      <c r="H9172" t="s">
        <v>20951</v>
      </c>
      <c r="I9172" t="s">
        <v>1357</v>
      </c>
      <c r="J9172" t="s">
        <v>1357</v>
      </c>
      <c r="K9172" t="s">
        <v>1357</v>
      </c>
      <c r="L9172" t="s">
        <v>1357</v>
      </c>
    </row>
    <row r="9173" spans="6:12">
      <c r="H9173" t="s">
        <v>20952</v>
      </c>
      <c r="I9173" t="s">
        <v>1357</v>
      </c>
      <c r="J9173" t="s">
        <v>1357</v>
      </c>
      <c r="K9173" t="s">
        <v>1357</v>
      </c>
      <c r="L9173" t="s">
        <v>1357</v>
      </c>
    </row>
    <row r="9174" spans="6:12">
      <c r="H9174" t="s">
        <v>20953</v>
      </c>
      <c r="I9174" t="s">
        <v>1357</v>
      </c>
      <c r="J9174" t="s">
        <v>1357</v>
      </c>
      <c r="K9174" t="s">
        <v>1357</v>
      </c>
      <c r="L9174" t="s">
        <v>1357</v>
      </c>
    </row>
    <row r="9175" spans="6:12">
      <c r="H9175" t="s">
        <v>20954</v>
      </c>
      <c r="I9175" t="s">
        <v>1357</v>
      </c>
      <c r="J9175" t="s">
        <v>1357</v>
      </c>
      <c r="K9175" t="s">
        <v>1357</v>
      </c>
      <c r="L9175" t="s">
        <v>1357</v>
      </c>
    </row>
    <row r="9176" spans="6:12">
      <c r="H9176" t="s">
        <v>20955</v>
      </c>
      <c r="I9176" t="s">
        <v>1357</v>
      </c>
      <c r="J9176" t="s">
        <v>1357</v>
      </c>
      <c r="K9176" t="s">
        <v>1357</v>
      </c>
      <c r="L9176" t="s">
        <v>1357</v>
      </c>
    </row>
    <row r="9177" spans="6:12">
      <c r="H9177" t="s">
        <v>20956</v>
      </c>
      <c r="I9177" t="s">
        <v>1357</v>
      </c>
      <c r="J9177" t="s">
        <v>1357</v>
      </c>
      <c r="K9177" t="s">
        <v>1357</v>
      </c>
      <c r="L9177" t="s">
        <v>1357</v>
      </c>
    </row>
    <row r="9178" spans="6:12">
      <c r="F9178" t="s">
        <v>15986</v>
      </c>
      <c r="G9178" t="s">
        <v>18678</v>
      </c>
      <c r="H9178" t="s">
        <v>20957</v>
      </c>
      <c r="I9178" t="s">
        <v>1357</v>
      </c>
      <c r="J9178" t="s">
        <v>1357</v>
      </c>
      <c r="K9178" t="s">
        <v>1357</v>
      </c>
      <c r="L9178" t="s">
        <v>1357</v>
      </c>
    </row>
    <row r="9179" spans="6:12">
      <c r="H9179" t="s">
        <v>20958</v>
      </c>
      <c r="I9179" t="s">
        <v>1357</v>
      </c>
      <c r="J9179" t="s">
        <v>1357</v>
      </c>
      <c r="K9179" t="s">
        <v>1357</v>
      </c>
      <c r="L9179" t="s">
        <v>1357</v>
      </c>
    </row>
    <row r="9180" spans="6:12">
      <c r="H9180" t="s">
        <v>20959</v>
      </c>
      <c r="I9180" t="s">
        <v>1357</v>
      </c>
      <c r="J9180" t="s">
        <v>1357</v>
      </c>
      <c r="K9180" t="s">
        <v>1357</v>
      </c>
      <c r="L9180" t="s">
        <v>1357</v>
      </c>
    </row>
    <row r="9181" spans="6:12">
      <c r="H9181" t="s">
        <v>20960</v>
      </c>
      <c r="I9181" t="s">
        <v>1357</v>
      </c>
      <c r="J9181" t="s">
        <v>1357</v>
      </c>
      <c r="K9181" t="s">
        <v>1357</v>
      </c>
      <c r="L9181" t="s">
        <v>1357</v>
      </c>
    </row>
    <row r="9182" spans="6:12">
      <c r="H9182" t="s">
        <v>20961</v>
      </c>
      <c r="I9182" t="s">
        <v>1357</v>
      </c>
      <c r="J9182" t="s">
        <v>1357</v>
      </c>
      <c r="K9182" t="s">
        <v>1357</v>
      </c>
      <c r="L9182" t="s">
        <v>1357</v>
      </c>
    </row>
    <row r="9183" spans="6:12">
      <c r="H9183" t="s">
        <v>20962</v>
      </c>
      <c r="I9183" t="s">
        <v>1357</v>
      </c>
      <c r="J9183" t="s">
        <v>1357</v>
      </c>
      <c r="K9183" t="s">
        <v>1357</v>
      </c>
      <c r="L9183" t="s">
        <v>1357</v>
      </c>
    </row>
    <row r="9184" spans="6:12">
      <c r="H9184" t="s">
        <v>20963</v>
      </c>
      <c r="I9184" t="s">
        <v>1357</v>
      </c>
      <c r="J9184" t="s">
        <v>1357</v>
      </c>
      <c r="K9184" t="s">
        <v>1357</v>
      </c>
      <c r="L9184" t="s">
        <v>1357</v>
      </c>
    </row>
    <row r="9185" spans="6:12">
      <c r="H9185" t="s">
        <v>20964</v>
      </c>
      <c r="I9185" t="s">
        <v>1357</v>
      </c>
      <c r="J9185" t="s">
        <v>1357</v>
      </c>
      <c r="K9185" t="s">
        <v>1357</v>
      </c>
      <c r="L9185" t="s">
        <v>1357</v>
      </c>
    </row>
    <row r="9186" spans="6:12">
      <c r="F9186" t="s">
        <v>15987</v>
      </c>
      <c r="G9186" t="s">
        <v>18679</v>
      </c>
      <c r="H9186" t="s">
        <v>20965</v>
      </c>
      <c r="I9186" t="s">
        <v>1357</v>
      </c>
      <c r="J9186" t="s">
        <v>1357</v>
      </c>
      <c r="K9186" t="s">
        <v>1357</v>
      </c>
      <c r="L9186" t="s">
        <v>1357</v>
      </c>
    </row>
    <row r="9187" spans="6:12">
      <c r="H9187" t="s">
        <v>20966</v>
      </c>
      <c r="I9187" t="s">
        <v>1357</v>
      </c>
      <c r="J9187" t="s">
        <v>1357</v>
      </c>
      <c r="K9187" t="s">
        <v>1357</v>
      </c>
      <c r="L9187" t="s">
        <v>1357</v>
      </c>
    </row>
    <row r="9188" spans="6:12">
      <c r="H9188" t="s">
        <v>20967</v>
      </c>
      <c r="I9188" t="s">
        <v>1357</v>
      </c>
      <c r="J9188" t="s">
        <v>1357</v>
      </c>
      <c r="K9188" t="s">
        <v>1357</v>
      </c>
      <c r="L9188" t="s">
        <v>1357</v>
      </c>
    </row>
    <row r="9189" spans="6:12">
      <c r="H9189" t="s">
        <v>20968</v>
      </c>
      <c r="I9189" t="s">
        <v>1357</v>
      </c>
      <c r="J9189" t="s">
        <v>1357</v>
      </c>
      <c r="K9189" t="s">
        <v>1357</v>
      </c>
      <c r="L9189" t="s">
        <v>1357</v>
      </c>
    </row>
    <row r="9190" spans="6:12">
      <c r="H9190" t="s">
        <v>20969</v>
      </c>
      <c r="I9190" t="s">
        <v>1357</v>
      </c>
      <c r="J9190" t="s">
        <v>1357</v>
      </c>
      <c r="K9190" t="s">
        <v>1357</v>
      </c>
      <c r="L9190" t="s">
        <v>1357</v>
      </c>
    </row>
    <row r="9191" spans="6:12">
      <c r="H9191" t="s">
        <v>20970</v>
      </c>
      <c r="I9191" t="s">
        <v>1357</v>
      </c>
      <c r="J9191" t="s">
        <v>1357</v>
      </c>
      <c r="K9191" t="s">
        <v>1357</v>
      </c>
      <c r="L9191" t="s">
        <v>1357</v>
      </c>
    </row>
    <row r="9192" spans="6:12">
      <c r="H9192" t="s">
        <v>20971</v>
      </c>
      <c r="I9192" t="s">
        <v>1357</v>
      </c>
      <c r="J9192" t="s">
        <v>1357</v>
      </c>
      <c r="K9192" t="s">
        <v>1357</v>
      </c>
      <c r="L9192" t="s">
        <v>1357</v>
      </c>
    </row>
    <row r="9193" spans="6:12">
      <c r="H9193" t="s">
        <v>20972</v>
      </c>
      <c r="I9193" t="s">
        <v>1357</v>
      </c>
      <c r="J9193" t="s">
        <v>1357</v>
      </c>
      <c r="K9193" t="s">
        <v>1357</v>
      </c>
      <c r="L9193" t="s">
        <v>1357</v>
      </c>
    </row>
    <row r="9194" spans="6:12">
      <c r="F9194" t="s">
        <v>15988</v>
      </c>
      <c r="G9194" t="s">
        <v>18680</v>
      </c>
      <c r="H9194" t="s">
        <v>20973</v>
      </c>
      <c r="I9194" t="s">
        <v>1357</v>
      </c>
      <c r="J9194" t="s">
        <v>1357</v>
      </c>
      <c r="K9194" t="s">
        <v>1357</v>
      </c>
      <c r="L9194" t="s">
        <v>1357</v>
      </c>
    </row>
    <row r="9195" spans="6:12">
      <c r="H9195" t="s">
        <v>20974</v>
      </c>
      <c r="I9195" t="s">
        <v>1357</v>
      </c>
      <c r="J9195" t="s">
        <v>1357</v>
      </c>
      <c r="K9195" t="s">
        <v>1357</v>
      </c>
      <c r="L9195" t="s">
        <v>1357</v>
      </c>
    </row>
    <row r="9196" spans="6:12">
      <c r="H9196" t="s">
        <v>20975</v>
      </c>
      <c r="I9196" t="s">
        <v>1357</v>
      </c>
      <c r="J9196" t="s">
        <v>1357</v>
      </c>
      <c r="K9196" t="s">
        <v>1357</v>
      </c>
      <c r="L9196" t="s">
        <v>1357</v>
      </c>
    </row>
    <row r="9197" spans="6:12">
      <c r="H9197" t="s">
        <v>20976</v>
      </c>
      <c r="I9197" t="s">
        <v>1357</v>
      </c>
      <c r="J9197" t="s">
        <v>1357</v>
      </c>
      <c r="K9197" t="s">
        <v>1357</v>
      </c>
      <c r="L9197" t="s">
        <v>1357</v>
      </c>
    </row>
    <row r="9198" spans="6:12">
      <c r="H9198" t="s">
        <v>20977</v>
      </c>
      <c r="I9198" t="s">
        <v>1357</v>
      </c>
      <c r="J9198" t="s">
        <v>1357</v>
      </c>
      <c r="K9198" t="s">
        <v>1357</v>
      </c>
      <c r="L9198" t="s">
        <v>1357</v>
      </c>
    </row>
    <row r="9199" spans="6:12">
      <c r="H9199" t="s">
        <v>20978</v>
      </c>
      <c r="I9199" t="s">
        <v>1357</v>
      </c>
      <c r="J9199" t="s">
        <v>1357</v>
      </c>
      <c r="K9199" t="s">
        <v>1357</v>
      </c>
      <c r="L9199" t="s">
        <v>1357</v>
      </c>
    </row>
    <row r="9200" spans="6:12">
      <c r="H9200" t="s">
        <v>20979</v>
      </c>
      <c r="I9200" t="s">
        <v>1357</v>
      </c>
      <c r="J9200" t="s">
        <v>1357</v>
      </c>
      <c r="K9200" t="s">
        <v>1357</v>
      </c>
      <c r="L9200" t="s">
        <v>1357</v>
      </c>
    </row>
    <row r="9201" spans="6:12">
      <c r="H9201" t="s">
        <v>20980</v>
      </c>
      <c r="I9201" t="s">
        <v>1357</v>
      </c>
      <c r="J9201" t="s">
        <v>1357</v>
      </c>
      <c r="K9201" t="s">
        <v>1357</v>
      </c>
      <c r="L9201" t="s">
        <v>1357</v>
      </c>
    </row>
    <row r="9202" spans="6:12">
      <c r="F9202" t="s">
        <v>15989</v>
      </c>
      <c r="G9202" t="s">
        <v>18681</v>
      </c>
      <c r="H9202" t="s">
        <v>20981</v>
      </c>
      <c r="I9202" t="s">
        <v>1357</v>
      </c>
      <c r="J9202" t="s">
        <v>1357</v>
      </c>
      <c r="K9202" t="s">
        <v>1357</v>
      </c>
      <c r="L9202" t="s">
        <v>1357</v>
      </c>
    </row>
    <row r="9203" spans="6:12">
      <c r="H9203" t="s">
        <v>20982</v>
      </c>
      <c r="I9203" t="s">
        <v>1357</v>
      </c>
      <c r="J9203" t="s">
        <v>1357</v>
      </c>
      <c r="K9203" t="s">
        <v>1357</v>
      </c>
      <c r="L9203" t="s">
        <v>1357</v>
      </c>
    </row>
    <row r="9204" spans="6:12">
      <c r="H9204" t="s">
        <v>20983</v>
      </c>
      <c r="I9204" t="s">
        <v>1357</v>
      </c>
      <c r="J9204" t="s">
        <v>1357</v>
      </c>
      <c r="K9204" t="s">
        <v>1357</v>
      </c>
      <c r="L9204" t="s">
        <v>1357</v>
      </c>
    </row>
    <row r="9205" spans="6:12">
      <c r="H9205" t="s">
        <v>20984</v>
      </c>
      <c r="I9205" t="s">
        <v>1357</v>
      </c>
      <c r="J9205" t="s">
        <v>1357</v>
      </c>
      <c r="K9205" t="s">
        <v>1357</v>
      </c>
      <c r="L9205" t="s">
        <v>1357</v>
      </c>
    </row>
    <row r="9206" spans="6:12">
      <c r="H9206" t="s">
        <v>20985</v>
      </c>
      <c r="I9206" t="s">
        <v>1357</v>
      </c>
      <c r="J9206" t="s">
        <v>1357</v>
      </c>
      <c r="K9206" t="s">
        <v>1357</v>
      </c>
      <c r="L9206" t="s">
        <v>1357</v>
      </c>
    </row>
    <row r="9207" spans="6:12">
      <c r="H9207" t="s">
        <v>20986</v>
      </c>
      <c r="I9207" t="s">
        <v>1357</v>
      </c>
      <c r="J9207" t="s">
        <v>1357</v>
      </c>
      <c r="K9207" t="s">
        <v>1357</v>
      </c>
      <c r="L9207" t="s">
        <v>1357</v>
      </c>
    </row>
    <row r="9208" spans="6:12">
      <c r="H9208" t="s">
        <v>20987</v>
      </c>
      <c r="I9208" t="s">
        <v>1357</v>
      </c>
      <c r="J9208" t="s">
        <v>1357</v>
      </c>
      <c r="K9208" t="s">
        <v>1357</v>
      </c>
      <c r="L9208" t="s">
        <v>1357</v>
      </c>
    </row>
    <row r="9209" spans="6:12">
      <c r="H9209" t="s">
        <v>20988</v>
      </c>
      <c r="I9209" t="s">
        <v>1357</v>
      </c>
      <c r="J9209" t="s">
        <v>1357</v>
      </c>
      <c r="K9209" t="s">
        <v>1357</v>
      </c>
      <c r="L9209" t="s">
        <v>1357</v>
      </c>
    </row>
    <row r="9210" spans="6:12">
      <c r="F9210" t="s">
        <v>15990</v>
      </c>
      <c r="G9210" t="s">
        <v>18682</v>
      </c>
      <c r="H9210" t="s">
        <v>20989</v>
      </c>
      <c r="I9210" t="s">
        <v>1357</v>
      </c>
      <c r="J9210" t="s">
        <v>1357</v>
      </c>
      <c r="K9210" t="s">
        <v>1357</v>
      </c>
      <c r="L9210" t="s">
        <v>1357</v>
      </c>
    </row>
    <row r="9211" spans="6:12">
      <c r="H9211" t="s">
        <v>20990</v>
      </c>
      <c r="I9211" t="s">
        <v>1357</v>
      </c>
      <c r="J9211" t="s">
        <v>1357</v>
      </c>
      <c r="K9211" t="s">
        <v>1357</v>
      </c>
      <c r="L9211" t="s">
        <v>1357</v>
      </c>
    </row>
    <row r="9212" spans="6:12">
      <c r="H9212" t="s">
        <v>20991</v>
      </c>
      <c r="I9212" t="s">
        <v>1357</v>
      </c>
      <c r="J9212" t="s">
        <v>1357</v>
      </c>
      <c r="K9212" t="s">
        <v>1357</v>
      </c>
      <c r="L9212" t="s">
        <v>1357</v>
      </c>
    </row>
    <row r="9213" spans="6:12">
      <c r="H9213" t="s">
        <v>20992</v>
      </c>
      <c r="I9213" t="s">
        <v>1357</v>
      </c>
      <c r="J9213" t="s">
        <v>1357</v>
      </c>
      <c r="K9213" t="s">
        <v>1357</v>
      </c>
      <c r="L9213" t="s">
        <v>1357</v>
      </c>
    </row>
    <row r="9214" spans="6:12">
      <c r="H9214" t="s">
        <v>20993</v>
      </c>
      <c r="I9214" t="s">
        <v>1357</v>
      </c>
      <c r="J9214" t="s">
        <v>1357</v>
      </c>
      <c r="K9214" t="s">
        <v>1357</v>
      </c>
      <c r="L9214" t="s">
        <v>1357</v>
      </c>
    </row>
    <row r="9215" spans="6:12">
      <c r="H9215" t="s">
        <v>20994</v>
      </c>
      <c r="I9215" t="s">
        <v>1357</v>
      </c>
      <c r="J9215" t="s">
        <v>1357</v>
      </c>
      <c r="K9215" t="s">
        <v>1357</v>
      </c>
      <c r="L9215" t="s">
        <v>1357</v>
      </c>
    </row>
    <row r="9216" spans="6:12">
      <c r="H9216" t="s">
        <v>20995</v>
      </c>
      <c r="I9216" t="s">
        <v>1357</v>
      </c>
      <c r="J9216" t="s">
        <v>1357</v>
      </c>
      <c r="K9216" t="s">
        <v>1357</v>
      </c>
      <c r="L9216" t="s">
        <v>1357</v>
      </c>
    </row>
    <row r="9217" spans="1:13">
      <c r="H9217" t="s">
        <v>20996</v>
      </c>
      <c r="I9217" t="s">
        <v>1357</v>
      </c>
      <c r="J9217" t="s">
        <v>1357</v>
      </c>
      <c r="K9217" t="s">
        <v>1357</v>
      </c>
      <c r="L9217" t="s">
        <v>1357</v>
      </c>
    </row>
    <row r="9218" spans="1:13">
      <c r="F9218" t="s">
        <v>15991</v>
      </c>
      <c r="G9218" t="s">
        <v>18683</v>
      </c>
      <c r="H9218" t="s">
        <v>20997</v>
      </c>
      <c r="I9218" t="s">
        <v>1357</v>
      </c>
      <c r="J9218" t="s">
        <v>1357</v>
      </c>
      <c r="K9218" t="s">
        <v>1357</v>
      </c>
      <c r="L9218" t="s">
        <v>1357</v>
      </c>
    </row>
    <row r="9219" spans="1:13">
      <c r="H9219" t="s">
        <v>20998</v>
      </c>
      <c r="I9219" t="s">
        <v>1357</v>
      </c>
      <c r="J9219" t="s">
        <v>1357</v>
      </c>
      <c r="K9219" t="s">
        <v>1357</v>
      </c>
      <c r="L9219" t="s">
        <v>1357</v>
      </c>
    </row>
    <row r="9220" spans="1:13">
      <c r="H9220" t="s">
        <v>20999</v>
      </c>
      <c r="I9220" t="s">
        <v>1357</v>
      </c>
      <c r="J9220" t="s">
        <v>1357</v>
      </c>
      <c r="K9220" t="s">
        <v>1357</v>
      </c>
      <c r="L9220" t="s">
        <v>1357</v>
      </c>
    </row>
    <row r="9221" spans="1:13">
      <c r="H9221" t="s">
        <v>21000</v>
      </c>
      <c r="I9221" t="s">
        <v>1357</v>
      </c>
      <c r="J9221" t="s">
        <v>1357</v>
      </c>
      <c r="K9221" t="s">
        <v>1357</v>
      </c>
      <c r="L9221" t="s">
        <v>1357</v>
      </c>
    </row>
    <row r="9222" spans="1:13">
      <c r="H9222" t="s">
        <v>21001</v>
      </c>
      <c r="I9222" t="s">
        <v>1357</v>
      </c>
      <c r="J9222" t="s">
        <v>1357</v>
      </c>
      <c r="K9222" t="s">
        <v>1357</v>
      </c>
      <c r="L9222" t="s">
        <v>1357</v>
      </c>
    </row>
    <row r="9223" spans="1:13">
      <c r="H9223" t="s">
        <v>21002</v>
      </c>
      <c r="I9223" t="s">
        <v>1357</v>
      </c>
      <c r="J9223" t="s">
        <v>1357</v>
      </c>
      <c r="K9223" t="s">
        <v>1357</v>
      </c>
      <c r="L9223" t="s">
        <v>1357</v>
      </c>
    </row>
    <row r="9224" spans="1:13">
      <c r="H9224" t="s">
        <v>21003</v>
      </c>
      <c r="I9224" t="s">
        <v>1357</v>
      </c>
      <c r="J9224" t="s">
        <v>1357</v>
      </c>
      <c r="K9224" t="s">
        <v>1357</v>
      </c>
      <c r="L9224" t="s">
        <v>1357</v>
      </c>
    </row>
    <row r="9225" spans="1:13">
      <c r="H9225" t="s">
        <v>21004</v>
      </c>
      <c r="I9225" t="s">
        <v>1357</v>
      </c>
      <c r="J9225" t="s">
        <v>1357</v>
      </c>
      <c r="K9225" t="s">
        <v>1357</v>
      </c>
      <c r="L9225" t="s">
        <v>1357</v>
      </c>
    </row>
    <row r="9226" spans="1:13">
      <c r="A9226" t="s">
        <v>10224</v>
      </c>
      <c r="B9226">
        <f>HYPERLINK("https://android.googlesource.com/platform/cts/+/ff0a994dacffeee9c7918401bca7cdd6ae402707", "ff0a994dacffeee9c7918401bca7cdd6ae402707")</f>
        <v>0</v>
      </c>
      <c r="C9226">
        <f>HYPERLINK("https://android.googlesource.com/platform/cts/+/001664d27c8fedf061b5439cbf0c42c3e615bdcc", "001664d27c8fedf061b5439cbf0c42c3e615bdcc")</f>
        <v>0</v>
      </c>
      <c r="D9226" t="s">
        <v>12032</v>
      </c>
      <c r="E9226" t="s">
        <v>12787</v>
      </c>
      <c r="F9226" t="s">
        <v>15937</v>
      </c>
      <c r="G9226" t="s">
        <v>18629</v>
      </c>
      <c r="H9226" t="s">
        <v>20574</v>
      </c>
      <c r="I9226" t="s">
        <v>1359</v>
      </c>
      <c r="J9226" t="s">
        <v>1358</v>
      </c>
      <c r="K9226" t="s">
        <v>1357</v>
      </c>
      <c r="L9226" t="s">
        <v>1358</v>
      </c>
      <c r="M9226" t="s">
        <v>27476</v>
      </c>
    </row>
    <row r="9227" spans="1:13">
      <c r="A9227" t="s">
        <v>10225</v>
      </c>
      <c r="B9227">
        <f>HYPERLINK("https://android.googlesource.com/platform/cts/+/38db26307da6ad8e7b539037fed1559668154e68", "38db26307da6ad8e7b539037fed1559668154e68")</f>
        <v>0</v>
      </c>
      <c r="C9227">
        <f>HYPERLINK("https://android.googlesource.com/platform/cts/+/91911fcbb39f138d043a7142e3dae912c4e6d12b", "91911fcbb39f138d043a7142e3dae912c4e6d12b")</f>
        <v>0</v>
      </c>
      <c r="D9227" t="s">
        <v>12034</v>
      </c>
      <c r="E9227" t="s">
        <v>12788</v>
      </c>
      <c r="F9227" t="s">
        <v>15992</v>
      </c>
      <c r="G9227" t="s">
        <v>18684</v>
      </c>
      <c r="H9227" t="s">
        <v>21005</v>
      </c>
      <c r="I9227" t="s">
        <v>1359</v>
      </c>
      <c r="J9227" t="s">
        <v>1358</v>
      </c>
      <c r="K9227" t="s">
        <v>1357</v>
      </c>
      <c r="L9227" t="s">
        <v>1358</v>
      </c>
    </row>
    <row r="9228" spans="1:13">
      <c r="A9228" t="s">
        <v>10226</v>
      </c>
      <c r="B9228">
        <f>HYPERLINK("https://android.googlesource.com/platform/cts/+/d51e0c83207dabadb0d64d86c2b4fff7ca9bef7f", "d51e0c83207dabadb0d64d86c2b4fff7ca9bef7f")</f>
        <v>0</v>
      </c>
      <c r="C9228">
        <f>HYPERLINK("https://android.googlesource.com/platform/cts/+/e32c995b1b14ea670626ebf651a0fc45ed2c8c00", "e32c995b1b14ea670626ebf651a0fc45ed2c8c00")</f>
        <v>0</v>
      </c>
      <c r="D9228" t="s">
        <v>12008</v>
      </c>
      <c r="E9228" t="s">
        <v>12789</v>
      </c>
      <c r="F9228" t="s">
        <v>15993</v>
      </c>
      <c r="G9228" t="s">
        <v>18685</v>
      </c>
      <c r="H9228" t="s">
        <v>21006</v>
      </c>
      <c r="I9228" t="s">
        <v>1357</v>
      </c>
      <c r="J9228" t="s">
        <v>1357</v>
      </c>
      <c r="K9228" t="s">
        <v>1357</v>
      </c>
      <c r="L9228" t="s">
        <v>1358</v>
      </c>
    </row>
    <row r="9229" spans="1:13">
      <c r="A9229" t="s">
        <v>10227</v>
      </c>
      <c r="B9229">
        <f>HYPERLINK("https://android.googlesource.com/platform/cts/+/7b44fee3487ee84d9c10a51dddaac4dc95229ba7", "7b44fee3487ee84d9c10a51dddaac4dc95229ba7")</f>
        <v>0</v>
      </c>
      <c r="C9229">
        <f>HYPERLINK("https://android.googlesource.com/platform/cts/+/fd4862555abcc1d8aaf80ce112c2fcd9acd52ec9", "fd4862555abcc1d8aaf80ce112c2fcd9acd52ec9")</f>
        <v>0</v>
      </c>
      <c r="D9229" t="s">
        <v>12035</v>
      </c>
      <c r="E9229" t="s">
        <v>12790</v>
      </c>
      <c r="F9229" t="s">
        <v>15994</v>
      </c>
      <c r="G9229" t="s">
        <v>18686</v>
      </c>
      <c r="H9229" t="s">
        <v>21007</v>
      </c>
      <c r="I9229" t="s">
        <v>1357</v>
      </c>
      <c r="J9229" t="s">
        <v>1357</v>
      </c>
      <c r="K9229" t="s">
        <v>1357</v>
      </c>
      <c r="L9229" t="s">
        <v>1357</v>
      </c>
    </row>
    <row r="9230" spans="1:13">
      <c r="H9230" t="s">
        <v>21008</v>
      </c>
      <c r="I9230" t="s">
        <v>1357</v>
      </c>
      <c r="J9230" t="s">
        <v>1357</v>
      </c>
      <c r="K9230" t="s">
        <v>1357</v>
      </c>
      <c r="L9230" t="s">
        <v>1357</v>
      </c>
    </row>
    <row r="9231" spans="1:13">
      <c r="H9231" t="s">
        <v>21009</v>
      </c>
      <c r="I9231" t="s">
        <v>1357</v>
      </c>
      <c r="J9231" t="s">
        <v>1357</v>
      </c>
      <c r="K9231" t="s">
        <v>1357</v>
      </c>
      <c r="L9231" t="s">
        <v>1357</v>
      </c>
    </row>
    <row r="9232" spans="1:13">
      <c r="H9232" t="s">
        <v>21010</v>
      </c>
      <c r="I9232" t="s">
        <v>1357</v>
      </c>
      <c r="J9232" t="s">
        <v>1357</v>
      </c>
      <c r="K9232" t="s">
        <v>1357</v>
      </c>
      <c r="L9232" t="s">
        <v>1357</v>
      </c>
    </row>
    <row r="9233" spans="1:12">
      <c r="H9233" t="s">
        <v>21011</v>
      </c>
      <c r="I9233" t="s">
        <v>1357</v>
      </c>
      <c r="J9233" t="s">
        <v>1357</v>
      </c>
      <c r="K9233" t="s">
        <v>1357</v>
      </c>
      <c r="L9233" t="s">
        <v>1357</v>
      </c>
    </row>
    <row r="9234" spans="1:12">
      <c r="F9234" t="s">
        <v>15995</v>
      </c>
      <c r="G9234" t="s">
        <v>18687</v>
      </c>
      <c r="H9234" t="s">
        <v>21012</v>
      </c>
      <c r="I9234" t="s">
        <v>1357</v>
      </c>
      <c r="J9234" t="s">
        <v>1357</v>
      </c>
      <c r="K9234" t="s">
        <v>1357</v>
      </c>
      <c r="L9234" t="s">
        <v>1357</v>
      </c>
    </row>
    <row r="9235" spans="1:12">
      <c r="H9235" t="s">
        <v>21013</v>
      </c>
      <c r="I9235" t="s">
        <v>1357</v>
      </c>
      <c r="J9235" t="s">
        <v>1357</v>
      </c>
      <c r="K9235" t="s">
        <v>1357</v>
      </c>
      <c r="L9235" t="s">
        <v>1357</v>
      </c>
    </row>
    <row r="9236" spans="1:12">
      <c r="H9236" t="s">
        <v>21014</v>
      </c>
      <c r="I9236" t="s">
        <v>1357</v>
      </c>
      <c r="J9236" t="s">
        <v>1357</v>
      </c>
      <c r="K9236" t="s">
        <v>1357</v>
      </c>
      <c r="L9236" t="s">
        <v>1357</v>
      </c>
    </row>
    <row r="9237" spans="1:12">
      <c r="H9237" t="s">
        <v>21015</v>
      </c>
      <c r="I9237" t="s">
        <v>1357</v>
      </c>
      <c r="J9237" t="s">
        <v>1357</v>
      </c>
      <c r="K9237" t="s">
        <v>1357</v>
      </c>
      <c r="L9237" t="s">
        <v>1357</v>
      </c>
    </row>
    <row r="9238" spans="1:12">
      <c r="H9238" t="s">
        <v>21016</v>
      </c>
      <c r="I9238" t="s">
        <v>1357</v>
      </c>
      <c r="J9238" t="s">
        <v>1357</v>
      </c>
      <c r="K9238" t="s">
        <v>1357</v>
      </c>
      <c r="L9238" t="s">
        <v>1357</v>
      </c>
    </row>
    <row r="9239" spans="1:12">
      <c r="H9239" t="s">
        <v>21017</v>
      </c>
      <c r="I9239" t="s">
        <v>1357</v>
      </c>
      <c r="J9239" t="s">
        <v>1357</v>
      </c>
      <c r="K9239" t="s">
        <v>1357</v>
      </c>
      <c r="L9239" t="s">
        <v>1357</v>
      </c>
    </row>
    <row r="9240" spans="1:12">
      <c r="H9240" t="s">
        <v>21018</v>
      </c>
      <c r="I9240" t="s">
        <v>1357</v>
      </c>
      <c r="J9240" t="s">
        <v>1357</v>
      </c>
      <c r="K9240" t="s">
        <v>1357</v>
      </c>
      <c r="L9240" t="s">
        <v>1357</v>
      </c>
    </row>
    <row r="9241" spans="1:12">
      <c r="A9241" t="s">
        <v>10228</v>
      </c>
      <c r="B9241">
        <f>HYPERLINK("https://android.googlesource.com/platform/cts/+/ccb3315b017c17710f0f190a50dbf9f92687aa87", "ccb3315b017c17710f0f190a50dbf9f92687aa87")</f>
        <v>0</v>
      </c>
      <c r="C9241">
        <f>HYPERLINK("https://android.googlesource.com/platform/cts/+/f5e85145970257730305e9f2681825e24100c4e7", "f5e85145970257730305e9f2681825e24100c4e7")</f>
        <v>0</v>
      </c>
      <c r="D9241" t="s">
        <v>12023</v>
      </c>
      <c r="E9241" t="s">
        <v>12791</v>
      </c>
      <c r="F9241" t="s">
        <v>15996</v>
      </c>
      <c r="G9241" t="s">
        <v>18688</v>
      </c>
      <c r="H9241" t="s">
        <v>21019</v>
      </c>
      <c r="I9241" t="s">
        <v>1357</v>
      </c>
      <c r="J9241" t="s">
        <v>1357</v>
      </c>
      <c r="K9241" t="s">
        <v>1357</v>
      </c>
      <c r="L9241" t="s">
        <v>1357</v>
      </c>
    </row>
    <row r="9242" spans="1:12">
      <c r="A9242" t="s">
        <v>10229</v>
      </c>
      <c r="B9242">
        <f>HYPERLINK("https://android.googlesource.com/platform/cts/+/863fadbcff87c8809e9d9fae1c64a1fe692b2ea2", "863fadbcff87c8809e9d9fae1c64a1fe692b2ea2")</f>
        <v>0</v>
      </c>
      <c r="C9242">
        <f>HYPERLINK("https://android.googlesource.com/platform/cts/+/f09eb74555a4c8d46fa908fa83099a26a28d80eb", "f09eb74555a4c8d46fa908fa83099a26a28d80eb")</f>
        <v>0</v>
      </c>
      <c r="D9242" t="s">
        <v>12036</v>
      </c>
      <c r="E9242" t="s">
        <v>12792</v>
      </c>
      <c r="F9242" t="s">
        <v>15997</v>
      </c>
      <c r="G9242" t="s">
        <v>18689</v>
      </c>
      <c r="H9242" t="s">
        <v>21020</v>
      </c>
      <c r="I9242" t="s">
        <v>1357</v>
      </c>
      <c r="J9242" t="s">
        <v>1357</v>
      </c>
      <c r="K9242" t="s">
        <v>1357</v>
      </c>
      <c r="L9242" t="s">
        <v>1357</v>
      </c>
    </row>
    <row r="9243" spans="1:12">
      <c r="A9243" t="s">
        <v>10230</v>
      </c>
      <c r="B9243">
        <f>HYPERLINK("https://android.googlesource.com/platform/cts/+/5b70b978e78d4731c66a0a4320984a69e4a88690", "5b70b978e78d4731c66a0a4320984a69e4a88690")</f>
        <v>0</v>
      </c>
      <c r="C9243">
        <f>HYPERLINK("https://android.googlesource.com/platform/cts/+/b7f71268276f56cd4b15ac51bffbb14e55480788", "b7f71268276f56cd4b15ac51bffbb14e55480788")</f>
        <v>0</v>
      </c>
      <c r="D9243" t="s">
        <v>12037</v>
      </c>
      <c r="E9243" t="s">
        <v>12793</v>
      </c>
      <c r="F9243" t="s">
        <v>15998</v>
      </c>
      <c r="G9243" t="s">
        <v>18690</v>
      </c>
      <c r="H9243" t="s">
        <v>21021</v>
      </c>
      <c r="I9243" t="s">
        <v>1357</v>
      </c>
      <c r="J9243" t="s">
        <v>1357</v>
      </c>
      <c r="K9243" t="s">
        <v>1357</v>
      </c>
      <c r="L9243" t="s">
        <v>1357</v>
      </c>
    </row>
    <row r="9244" spans="1:12">
      <c r="A9244" t="s">
        <v>10231</v>
      </c>
      <c r="B9244">
        <f>HYPERLINK("https://android.googlesource.com/platform/cts/+/c9bccc623c3d30d2fed4d2bbe321765598801545", "c9bccc623c3d30d2fed4d2bbe321765598801545")</f>
        <v>0</v>
      </c>
      <c r="C9244">
        <f>HYPERLINK("https://android.googlesource.com/platform/cts/+/76a03019d359f0d2a11862d49d3fc2b9e99c9167", "76a03019d359f0d2a11862d49d3fc2b9e99c9167")</f>
        <v>0</v>
      </c>
      <c r="D9244" t="s">
        <v>12025</v>
      </c>
      <c r="E9244" t="s">
        <v>12794</v>
      </c>
      <c r="F9244" t="s">
        <v>15999</v>
      </c>
      <c r="G9244" t="s">
        <v>18691</v>
      </c>
      <c r="H9244" t="s">
        <v>21022</v>
      </c>
      <c r="I9244" t="s">
        <v>1357</v>
      </c>
      <c r="J9244" t="s">
        <v>1357</v>
      </c>
      <c r="K9244" t="s">
        <v>1357</v>
      </c>
      <c r="L9244" t="s">
        <v>1357</v>
      </c>
    </row>
    <row r="9245" spans="1:12">
      <c r="A9245" t="s">
        <v>10232</v>
      </c>
      <c r="B9245">
        <f>HYPERLINK("https://android.googlesource.com/platform/cts/+/adabd173732bcfca0cae00e0f731099bf6a9a3f5", "adabd173732bcfca0cae00e0f731099bf6a9a3f5")</f>
        <v>0</v>
      </c>
      <c r="C9245">
        <f>HYPERLINK("https://android.googlesource.com/platform/cts/+/4c1012efc520064f0cf8318f8e245ce62b0fd843", "4c1012efc520064f0cf8318f8e245ce62b0fd843")</f>
        <v>0</v>
      </c>
      <c r="D9245" t="s">
        <v>12035</v>
      </c>
      <c r="E9245" t="s">
        <v>12790</v>
      </c>
      <c r="F9245" t="s">
        <v>15994</v>
      </c>
      <c r="G9245" t="s">
        <v>18686</v>
      </c>
      <c r="H9245" t="s">
        <v>21007</v>
      </c>
      <c r="I9245" t="s">
        <v>1357</v>
      </c>
      <c r="J9245" t="s">
        <v>1357</v>
      </c>
      <c r="K9245" t="s">
        <v>1357</v>
      </c>
      <c r="L9245" t="s">
        <v>1357</v>
      </c>
    </row>
    <row r="9246" spans="1:12">
      <c r="H9246" t="s">
        <v>21008</v>
      </c>
      <c r="I9246" t="s">
        <v>1357</v>
      </c>
      <c r="J9246" t="s">
        <v>1357</v>
      </c>
      <c r="K9246" t="s">
        <v>1357</v>
      </c>
      <c r="L9246" t="s">
        <v>1357</v>
      </c>
    </row>
    <row r="9247" spans="1:12">
      <c r="H9247" t="s">
        <v>21009</v>
      </c>
      <c r="I9247" t="s">
        <v>1357</v>
      </c>
      <c r="J9247" t="s">
        <v>1357</v>
      </c>
      <c r="K9247" t="s">
        <v>1357</v>
      </c>
      <c r="L9247" t="s">
        <v>1357</v>
      </c>
    </row>
    <row r="9248" spans="1:12">
      <c r="H9248" t="s">
        <v>21010</v>
      </c>
      <c r="I9248" t="s">
        <v>1357</v>
      </c>
      <c r="J9248" t="s">
        <v>1357</v>
      </c>
      <c r="K9248" t="s">
        <v>1357</v>
      </c>
      <c r="L9248" t="s">
        <v>1357</v>
      </c>
    </row>
    <row r="9249" spans="1:12">
      <c r="H9249" t="s">
        <v>21011</v>
      </c>
      <c r="I9249" t="s">
        <v>1357</v>
      </c>
      <c r="J9249" t="s">
        <v>1357</v>
      </c>
      <c r="K9249" t="s">
        <v>1357</v>
      </c>
      <c r="L9249" t="s">
        <v>1357</v>
      </c>
    </row>
    <row r="9250" spans="1:12">
      <c r="F9250" t="s">
        <v>15995</v>
      </c>
      <c r="G9250" t="s">
        <v>18687</v>
      </c>
      <c r="H9250" t="s">
        <v>21012</v>
      </c>
      <c r="I9250" t="s">
        <v>1357</v>
      </c>
      <c r="J9250" t="s">
        <v>1357</v>
      </c>
      <c r="K9250" t="s">
        <v>1357</v>
      </c>
      <c r="L9250" t="s">
        <v>1357</v>
      </c>
    </row>
    <row r="9251" spans="1:12">
      <c r="H9251" t="s">
        <v>21013</v>
      </c>
      <c r="I9251" t="s">
        <v>1357</v>
      </c>
      <c r="J9251" t="s">
        <v>1357</v>
      </c>
      <c r="K9251" t="s">
        <v>1357</v>
      </c>
      <c r="L9251" t="s">
        <v>1357</v>
      </c>
    </row>
    <row r="9252" spans="1:12">
      <c r="H9252" t="s">
        <v>21014</v>
      </c>
      <c r="I9252" t="s">
        <v>1357</v>
      </c>
      <c r="J9252" t="s">
        <v>1357</v>
      </c>
      <c r="K9252" t="s">
        <v>1357</v>
      </c>
      <c r="L9252" t="s">
        <v>1357</v>
      </c>
    </row>
    <row r="9253" spans="1:12">
      <c r="H9253" t="s">
        <v>21015</v>
      </c>
      <c r="I9253" t="s">
        <v>1357</v>
      </c>
      <c r="J9253" t="s">
        <v>1357</v>
      </c>
      <c r="K9253" t="s">
        <v>1357</v>
      </c>
      <c r="L9253" t="s">
        <v>1357</v>
      </c>
    </row>
    <row r="9254" spans="1:12">
      <c r="H9254" t="s">
        <v>21016</v>
      </c>
      <c r="I9254" t="s">
        <v>1357</v>
      </c>
      <c r="J9254" t="s">
        <v>1357</v>
      </c>
      <c r="K9254" t="s">
        <v>1357</v>
      </c>
      <c r="L9254" t="s">
        <v>1357</v>
      </c>
    </row>
    <row r="9255" spans="1:12">
      <c r="H9255" t="s">
        <v>21017</v>
      </c>
      <c r="I9255" t="s">
        <v>1357</v>
      </c>
      <c r="J9255" t="s">
        <v>1357</v>
      </c>
      <c r="K9255" t="s">
        <v>1357</v>
      </c>
      <c r="L9255" t="s">
        <v>1357</v>
      </c>
    </row>
    <row r="9256" spans="1:12">
      <c r="H9256" t="s">
        <v>21018</v>
      </c>
      <c r="I9256" t="s">
        <v>1357</v>
      </c>
      <c r="J9256" t="s">
        <v>1357</v>
      </c>
      <c r="K9256" t="s">
        <v>1357</v>
      </c>
      <c r="L9256" t="s">
        <v>1357</v>
      </c>
    </row>
    <row r="9257" spans="1:12">
      <c r="A9257" t="s">
        <v>10233</v>
      </c>
      <c r="B9257">
        <f>HYPERLINK("https://android.googlesource.com/platform/cts/+/c7d2f628194c794cac832a74fe415a04d76b0c25", "c7d2f628194c794cac832a74fe415a04d76b0c25")</f>
        <v>0</v>
      </c>
      <c r="C9257">
        <f>HYPERLINK("https://android.googlesource.com/platform/cts/+/e100b5fc27a7af6fe0e895b9c1a026602edaeda5", "e100b5fc27a7af6fe0e895b9c1a026602edaeda5")</f>
        <v>0</v>
      </c>
      <c r="D9257" t="s">
        <v>12038</v>
      </c>
      <c r="E9257" t="s">
        <v>12795</v>
      </c>
      <c r="F9257" t="s">
        <v>16000</v>
      </c>
      <c r="G9257" t="s">
        <v>18692</v>
      </c>
      <c r="H9257" t="s">
        <v>21023</v>
      </c>
      <c r="I9257" t="s">
        <v>1358</v>
      </c>
      <c r="J9257" t="s">
        <v>1358</v>
      </c>
      <c r="K9257" t="s">
        <v>1358</v>
      </c>
      <c r="L9257" t="s">
        <v>1358</v>
      </c>
    </row>
    <row r="9258" spans="1:12">
      <c r="A9258" t="s">
        <v>10234</v>
      </c>
      <c r="B9258">
        <f>HYPERLINK("https://android.googlesource.com/platform/cts/+/ffb1ee597d9fb627774c13e9b5c9c049d201aefd", "ffb1ee597d9fb627774c13e9b5c9c049d201aefd")</f>
        <v>0</v>
      </c>
      <c r="C9258">
        <f>HYPERLINK("https://android.googlesource.com/platform/cts/+/6e0ef8958e5d1ed0b880e8ec8004bcd40fc456dc", "6e0ef8958e5d1ed0b880e8ec8004bcd40fc456dc")</f>
        <v>0</v>
      </c>
      <c r="D9258" t="s">
        <v>12039</v>
      </c>
      <c r="E9258" t="s">
        <v>12796</v>
      </c>
      <c r="F9258" t="s">
        <v>15999</v>
      </c>
      <c r="G9258" t="s">
        <v>18691</v>
      </c>
      <c r="H9258" t="s">
        <v>21024</v>
      </c>
      <c r="I9258" t="s">
        <v>1357</v>
      </c>
      <c r="J9258" t="s">
        <v>1357</v>
      </c>
      <c r="K9258" t="s">
        <v>1357</v>
      </c>
      <c r="L9258" t="s">
        <v>1357</v>
      </c>
    </row>
    <row r="9259" spans="1:12">
      <c r="H9259" t="s">
        <v>21025</v>
      </c>
      <c r="I9259" t="s">
        <v>1357</v>
      </c>
      <c r="J9259" t="s">
        <v>1357</v>
      </c>
      <c r="K9259" t="s">
        <v>1357</v>
      </c>
      <c r="L9259" t="s">
        <v>1357</v>
      </c>
    </row>
    <row r="9260" spans="1:12">
      <c r="H9260" t="s">
        <v>21026</v>
      </c>
      <c r="I9260" t="s">
        <v>1357</v>
      </c>
      <c r="J9260" t="s">
        <v>1357</v>
      </c>
      <c r="K9260" t="s">
        <v>1357</v>
      </c>
      <c r="L9260" t="s">
        <v>1357</v>
      </c>
    </row>
    <row r="9261" spans="1:12">
      <c r="H9261" t="s">
        <v>21027</v>
      </c>
      <c r="I9261" t="s">
        <v>1357</v>
      </c>
      <c r="J9261" t="s">
        <v>1357</v>
      </c>
      <c r="K9261" t="s">
        <v>1357</v>
      </c>
      <c r="L9261" t="s">
        <v>1357</v>
      </c>
    </row>
    <row r="9262" spans="1:12">
      <c r="H9262" t="s">
        <v>21028</v>
      </c>
      <c r="I9262" t="s">
        <v>1357</v>
      </c>
      <c r="J9262" t="s">
        <v>1357</v>
      </c>
      <c r="K9262" t="s">
        <v>1357</v>
      </c>
      <c r="L9262" t="s">
        <v>1357</v>
      </c>
    </row>
    <row r="9263" spans="1:12">
      <c r="H9263" t="s">
        <v>21029</v>
      </c>
      <c r="I9263" t="s">
        <v>1357</v>
      </c>
      <c r="J9263" t="s">
        <v>1357</v>
      </c>
      <c r="K9263" t="s">
        <v>1357</v>
      </c>
      <c r="L9263" t="s">
        <v>1357</v>
      </c>
    </row>
    <row r="9264" spans="1:12">
      <c r="H9264" t="s">
        <v>21030</v>
      </c>
      <c r="I9264" t="s">
        <v>1357</v>
      </c>
      <c r="J9264" t="s">
        <v>1357</v>
      </c>
      <c r="K9264" t="s">
        <v>1357</v>
      </c>
      <c r="L9264" t="s">
        <v>1357</v>
      </c>
    </row>
    <row r="9265" spans="1:13">
      <c r="H9265" t="s">
        <v>21031</v>
      </c>
      <c r="I9265" t="s">
        <v>1359</v>
      </c>
      <c r="J9265" t="s">
        <v>1358</v>
      </c>
      <c r="K9265" t="s">
        <v>1358</v>
      </c>
      <c r="L9265" t="s">
        <v>1357</v>
      </c>
      <c r="M9265" t="s">
        <v>1365</v>
      </c>
    </row>
    <row r="9266" spans="1:13">
      <c r="A9266" t="s">
        <v>10235</v>
      </c>
      <c r="B9266">
        <f>HYPERLINK("https://android.googlesource.com/platform/cts/+/9de0160cc34cad014ad2b26f849c042b911e4680", "9de0160cc34cad014ad2b26f849c042b911e4680")</f>
        <v>0</v>
      </c>
      <c r="C9266">
        <f>HYPERLINK("https://android.googlesource.com/platform/cts/+/1ad2dfcc524463008a27bfc53f60a41a64620e27", "1ad2dfcc524463008a27bfc53f60a41a64620e27")</f>
        <v>0</v>
      </c>
      <c r="D9266" t="s">
        <v>12031</v>
      </c>
      <c r="E9266" t="s">
        <v>12797</v>
      </c>
      <c r="F9266" t="s">
        <v>16001</v>
      </c>
      <c r="G9266" t="s">
        <v>18693</v>
      </c>
      <c r="H9266" t="s">
        <v>21032</v>
      </c>
      <c r="I9266" t="s">
        <v>1357</v>
      </c>
      <c r="J9266" t="s">
        <v>1357</v>
      </c>
      <c r="K9266" t="s">
        <v>1357</v>
      </c>
      <c r="L9266" t="s">
        <v>1357</v>
      </c>
    </row>
    <row r="9267" spans="1:13">
      <c r="A9267" t="s">
        <v>10236</v>
      </c>
      <c r="B9267">
        <f>HYPERLINK("https://android.googlesource.com/platform/cts/+/24bcfcded83c94beb7f5c5dc7cf9df3c233aa8f3", "24bcfcded83c94beb7f5c5dc7cf9df3c233aa8f3")</f>
        <v>0</v>
      </c>
      <c r="C9267">
        <f>HYPERLINK("https://android.googlesource.com/platform/cts/+/94399746c7dfbd36c947b3c3b47de8e2a0a97c63", "94399746c7dfbd36c947b3c3b47de8e2a0a97c63")</f>
        <v>0</v>
      </c>
      <c r="D9267" t="s">
        <v>12025</v>
      </c>
      <c r="E9267" t="s">
        <v>12798</v>
      </c>
      <c r="F9267" t="s">
        <v>15999</v>
      </c>
      <c r="G9267" t="s">
        <v>18691</v>
      </c>
      <c r="H9267" t="s">
        <v>21033</v>
      </c>
      <c r="I9267" t="s">
        <v>1357</v>
      </c>
      <c r="J9267" t="s">
        <v>1357</v>
      </c>
      <c r="K9267" t="s">
        <v>1357</v>
      </c>
      <c r="L9267" t="s">
        <v>1357</v>
      </c>
    </row>
    <row r="9268" spans="1:13">
      <c r="A9268" t="s">
        <v>10237</v>
      </c>
      <c r="B9268">
        <f>HYPERLINK("https://android.googlesource.com/platform/cts/+/f18f2a212328ee84a1fe80767421888009a1f690", "f18f2a212328ee84a1fe80767421888009a1f690")</f>
        <v>0</v>
      </c>
      <c r="C9268">
        <f>HYPERLINK("https://android.googlesource.com/platform/cts/+/94399746c7dfbd36c947b3c3b47de8e2a0a97c63", "94399746c7dfbd36c947b3c3b47de8e2a0a97c63")</f>
        <v>0</v>
      </c>
      <c r="D9268" t="s">
        <v>12037</v>
      </c>
      <c r="E9268" t="s">
        <v>12799</v>
      </c>
      <c r="F9268" t="s">
        <v>15998</v>
      </c>
      <c r="G9268" t="s">
        <v>18690</v>
      </c>
      <c r="H9268" t="s">
        <v>21034</v>
      </c>
      <c r="I9268" t="s">
        <v>1357</v>
      </c>
      <c r="J9268" t="s">
        <v>1357</v>
      </c>
      <c r="K9268" t="s">
        <v>1357</v>
      </c>
      <c r="L9268" t="s">
        <v>1357</v>
      </c>
    </row>
    <row r="9269" spans="1:13">
      <c r="A9269" t="s">
        <v>10238</v>
      </c>
      <c r="B9269">
        <f>HYPERLINK("https://android.googlesource.com/platform/cts/+/a47c85a90f67b953ff4fffb408d17ce47b6440a1", "a47c85a90f67b953ff4fffb408d17ce47b6440a1")</f>
        <v>0</v>
      </c>
      <c r="C9269">
        <f>HYPERLINK("https://android.googlesource.com/platform/cts/+/bb24757ddf2be5d5858e2e24382b7342119d9a85", "bb24757ddf2be5d5858e2e24382b7342119d9a85")</f>
        <v>0</v>
      </c>
      <c r="D9269" t="s">
        <v>12040</v>
      </c>
      <c r="E9269" t="s">
        <v>12800</v>
      </c>
      <c r="F9269" t="s">
        <v>15999</v>
      </c>
      <c r="G9269" t="s">
        <v>18691</v>
      </c>
      <c r="H9269" t="s">
        <v>21035</v>
      </c>
      <c r="I9269" t="s">
        <v>1357</v>
      </c>
      <c r="J9269" t="s">
        <v>1357</v>
      </c>
      <c r="K9269" t="s">
        <v>1357</v>
      </c>
      <c r="L9269" t="s">
        <v>1357</v>
      </c>
    </row>
    <row r="9270" spans="1:13">
      <c r="A9270" t="s">
        <v>10239</v>
      </c>
      <c r="B9270">
        <f>HYPERLINK("https://android.googlesource.com/platform/cts/+/6e3dd2818f782221f2953d0aca445735c8dfdc6e", "6e3dd2818f782221f2953d0aca445735c8dfdc6e")</f>
        <v>0</v>
      </c>
      <c r="C9270">
        <f>HYPERLINK("https://android.googlesource.com/platform/cts/+/92b5677aa6248e59c327779a9585e724cb65e52a", "92b5677aa6248e59c327779a9585e724cb65e52a")</f>
        <v>0</v>
      </c>
      <c r="D9270" t="s">
        <v>12038</v>
      </c>
      <c r="E9270" t="s">
        <v>12801</v>
      </c>
      <c r="F9270" t="s">
        <v>16002</v>
      </c>
      <c r="G9270" t="s">
        <v>18694</v>
      </c>
      <c r="H9270" t="s">
        <v>21036</v>
      </c>
      <c r="I9270" t="s">
        <v>1358</v>
      </c>
      <c r="J9270" t="s">
        <v>1358</v>
      </c>
      <c r="K9270" t="s">
        <v>1358</v>
      </c>
      <c r="L9270" t="s">
        <v>1358</v>
      </c>
    </row>
    <row r="9271" spans="1:13">
      <c r="A9271" t="s">
        <v>10240</v>
      </c>
      <c r="B9271">
        <f>HYPERLINK("https://android.googlesource.com/platform/cts/+/887b66fa88701f8b5aac65efc1d24aed3610a53a", "887b66fa88701f8b5aac65efc1d24aed3610a53a")</f>
        <v>0</v>
      </c>
      <c r="C9271">
        <f>HYPERLINK("https://android.googlesource.com/platform/cts/+/8d829f61cd17f1f0f8c022e2a71447b366189df9", "8d829f61cd17f1f0f8c022e2a71447b366189df9")</f>
        <v>0</v>
      </c>
      <c r="D9271" t="s">
        <v>12025</v>
      </c>
      <c r="E9271" t="s">
        <v>12802</v>
      </c>
      <c r="F9271" t="s">
        <v>15999</v>
      </c>
      <c r="G9271" t="s">
        <v>18691</v>
      </c>
      <c r="H9271" t="s">
        <v>21037</v>
      </c>
      <c r="I9271" t="s">
        <v>1357</v>
      </c>
      <c r="J9271" t="s">
        <v>1357</v>
      </c>
      <c r="K9271" t="s">
        <v>1357</v>
      </c>
      <c r="L9271" t="s">
        <v>1357</v>
      </c>
    </row>
    <row r="9272" spans="1:13">
      <c r="A9272" t="s">
        <v>10241</v>
      </c>
      <c r="B9272">
        <f>HYPERLINK("https://android.googlesource.com/platform/cts/+/b3da24d0a95d74b18f7dea88d2aa11c493044bd4", "b3da24d0a95d74b18f7dea88d2aa11c493044bd4")</f>
        <v>0</v>
      </c>
      <c r="C9272">
        <f>HYPERLINK("https://android.googlesource.com/platform/cts/+/8386822c69457adddca52bc9b7146dde368fec9d", "8386822c69457adddca52bc9b7146dde368fec9d")</f>
        <v>0</v>
      </c>
      <c r="D9272" t="s">
        <v>12002</v>
      </c>
      <c r="E9272" t="s">
        <v>12803</v>
      </c>
      <c r="F9272" t="s">
        <v>16003</v>
      </c>
      <c r="G9272" t="s">
        <v>18695</v>
      </c>
      <c r="H9272" t="s">
        <v>21038</v>
      </c>
      <c r="I9272" t="s">
        <v>1357</v>
      </c>
      <c r="J9272" t="s">
        <v>1357</v>
      </c>
      <c r="K9272" t="s">
        <v>1357</v>
      </c>
      <c r="L9272" t="s">
        <v>1357</v>
      </c>
    </row>
    <row r="9273" spans="1:13">
      <c r="F9273" t="s">
        <v>16004</v>
      </c>
      <c r="G9273" t="s">
        <v>18696</v>
      </c>
      <c r="H9273" t="s">
        <v>21038</v>
      </c>
      <c r="I9273" t="s">
        <v>1357</v>
      </c>
      <c r="J9273" t="s">
        <v>1357</v>
      </c>
      <c r="K9273" t="s">
        <v>1357</v>
      </c>
      <c r="L9273" t="s">
        <v>1357</v>
      </c>
    </row>
    <row r="9274" spans="1:13">
      <c r="F9274" t="s">
        <v>16005</v>
      </c>
      <c r="G9274" t="s">
        <v>18697</v>
      </c>
      <c r="H9274" t="s">
        <v>21038</v>
      </c>
      <c r="I9274" t="s">
        <v>1357</v>
      </c>
      <c r="J9274" t="s">
        <v>1357</v>
      </c>
      <c r="K9274" t="s">
        <v>1357</v>
      </c>
      <c r="L9274" t="s">
        <v>1357</v>
      </c>
    </row>
    <row r="9275" spans="1:13">
      <c r="F9275" t="s">
        <v>16006</v>
      </c>
      <c r="G9275" t="s">
        <v>18698</v>
      </c>
      <c r="H9275" t="s">
        <v>21038</v>
      </c>
      <c r="I9275" t="s">
        <v>1357</v>
      </c>
      <c r="J9275" t="s">
        <v>1357</v>
      </c>
      <c r="K9275" t="s">
        <v>1357</v>
      </c>
      <c r="L9275" t="s">
        <v>1357</v>
      </c>
    </row>
    <row r="9276" spans="1:13">
      <c r="F9276" t="s">
        <v>14489</v>
      </c>
      <c r="G9276" t="s">
        <v>17335</v>
      </c>
      <c r="H9276" t="s">
        <v>21038</v>
      </c>
      <c r="I9276" t="s">
        <v>1357</v>
      </c>
      <c r="J9276" t="s">
        <v>1357</v>
      </c>
      <c r="K9276" t="s">
        <v>1357</v>
      </c>
      <c r="L9276" t="s">
        <v>1357</v>
      </c>
    </row>
    <row r="9277" spans="1:13">
      <c r="A9277" t="s">
        <v>10242</v>
      </c>
      <c r="B9277">
        <f>HYPERLINK("https://android.googlesource.com/platform/cts/+/e32c8ecba4fb2c7ec0ab8112cd8977e2f876cf98", "e32c8ecba4fb2c7ec0ab8112cd8977e2f876cf98")</f>
        <v>0</v>
      </c>
      <c r="C9277">
        <f>HYPERLINK("https://android.googlesource.com/platform/cts/+/8688ecffd952e610f1ed4ad4228d66fffdd6cb4b", "8688ecffd952e610f1ed4ad4228d66fffdd6cb4b")</f>
        <v>0</v>
      </c>
      <c r="D9277" t="s">
        <v>12041</v>
      </c>
      <c r="E9277" t="s">
        <v>12804</v>
      </c>
      <c r="F9277" t="s">
        <v>16007</v>
      </c>
      <c r="G9277" t="s">
        <v>18699</v>
      </c>
      <c r="H9277" t="s">
        <v>21039</v>
      </c>
      <c r="I9277" t="s">
        <v>1357</v>
      </c>
      <c r="J9277" t="s">
        <v>1357</v>
      </c>
      <c r="K9277" t="s">
        <v>1357</v>
      </c>
      <c r="L9277" t="s">
        <v>1357</v>
      </c>
    </row>
    <row r="9278" spans="1:13">
      <c r="H9278" t="s">
        <v>21040</v>
      </c>
      <c r="I9278" t="s">
        <v>1357</v>
      </c>
      <c r="J9278" t="s">
        <v>1357</v>
      </c>
      <c r="K9278" t="s">
        <v>1357</v>
      </c>
      <c r="L9278" t="s">
        <v>1357</v>
      </c>
    </row>
    <row r="9279" spans="1:13">
      <c r="H9279" t="s">
        <v>21041</v>
      </c>
      <c r="I9279" t="s">
        <v>1357</v>
      </c>
      <c r="J9279" t="s">
        <v>1357</v>
      </c>
      <c r="K9279" t="s">
        <v>1357</v>
      </c>
      <c r="L9279" t="s">
        <v>1357</v>
      </c>
    </row>
    <row r="9280" spans="1:13">
      <c r="H9280" t="s">
        <v>21042</v>
      </c>
      <c r="I9280" t="s">
        <v>1357</v>
      </c>
      <c r="J9280" t="s">
        <v>1357</v>
      </c>
      <c r="K9280" t="s">
        <v>1357</v>
      </c>
      <c r="L9280" t="s">
        <v>1357</v>
      </c>
    </row>
    <row r="9281" spans="8:12">
      <c r="H9281" t="s">
        <v>21043</v>
      </c>
      <c r="I9281" t="s">
        <v>1357</v>
      </c>
      <c r="J9281" t="s">
        <v>1357</v>
      </c>
      <c r="K9281" t="s">
        <v>1357</v>
      </c>
      <c r="L9281" t="s">
        <v>1357</v>
      </c>
    </row>
    <row r="9282" spans="8:12">
      <c r="H9282" t="s">
        <v>21044</v>
      </c>
      <c r="I9282" t="s">
        <v>1357</v>
      </c>
      <c r="J9282" t="s">
        <v>1357</v>
      </c>
      <c r="K9282" t="s">
        <v>1357</v>
      </c>
      <c r="L9282" t="s">
        <v>1357</v>
      </c>
    </row>
    <row r="9283" spans="8:12">
      <c r="H9283" t="s">
        <v>21045</v>
      </c>
      <c r="I9283" t="s">
        <v>1357</v>
      </c>
      <c r="J9283" t="s">
        <v>1357</v>
      </c>
      <c r="K9283" t="s">
        <v>1357</v>
      </c>
      <c r="L9283" t="s">
        <v>1357</v>
      </c>
    </row>
    <row r="9284" spans="8:12">
      <c r="H9284" t="s">
        <v>21046</v>
      </c>
      <c r="I9284" t="s">
        <v>1357</v>
      </c>
      <c r="J9284" t="s">
        <v>1357</v>
      </c>
      <c r="K9284" t="s">
        <v>1357</v>
      </c>
      <c r="L9284" t="s">
        <v>1357</v>
      </c>
    </row>
    <row r="9285" spans="8:12">
      <c r="H9285" t="s">
        <v>21047</v>
      </c>
      <c r="I9285" t="s">
        <v>1357</v>
      </c>
      <c r="J9285" t="s">
        <v>1357</v>
      </c>
      <c r="K9285" t="s">
        <v>1357</v>
      </c>
      <c r="L9285" t="s">
        <v>1357</v>
      </c>
    </row>
    <row r="9286" spans="8:12">
      <c r="H9286" t="s">
        <v>21048</v>
      </c>
      <c r="I9286" t="s">
        <v>1357</v>
      </c>
      <c r="J9286" t="s">
        <v>1357</v>
      </c>
      <c r="K9286" t="s">
        <v>1357</v>
      </c>
      <c r="L9286" t="s">
        <v>1357</v>
      </c>
    </row>
    <row r="9287" spans="8:12">
      <c r="H9287" t="s">
        <v>21049</v>
      </c>
      <c r="I9287" t="s">
        <v>1357</v>
      </c>
      <c r="J9287" t="s">
        <v>1357</v>
      </c>
      <c r="K9287" t="s">
        <v>1357</v>
      </c>
      <c r="L9287" t="s">
        <v>1357</v>
      </c>
    </row>
    <row r="9288" spans="8:12">
      <c r="H9288" t="s">
        <v>21050</v>
      </c>
      <c r="I9288" t="s">
        <v>1357</v>
      </c>
      <c r="J9288" t="s">
        <v>1357</v>
      </c>
      <c r="K9288" t="s">
        <v>1357</v>
      </c>
      <c r="L9288" t="s">
        <v>1357</v>
      </c>
    </row>
    <row r="9289" spans="8:12">
      <c r="H9289" t="s">
        <v>21051</v>
      </c>
      <c r="I9289" t="s">
        <v>1357</v>
      </c>
      <c r="J9289" t="s">
        <v>1357</v>
      </c>
      <c r="K9289" t="s">
        <v>1357</v>
      </c>
      <c r="L9289" t="s">
        <v>1357</v>
      </c>
    </row>
    <row r="9290" spans="8:12">
      <c r="H9290" t="s">
        <v>21052</v>
      </c>
      <c r="I9290" t="s">
        <v>1357</v>
      </c>
      <c r="J9290" t="s">
        <v>1357</v>
      </c>
      <c r="K9290" t="s">
        <v>1357</v>
      </c>
      <c r="L9290" t="s">
        <v>1357</v>
      </c>
    </row>
    <row r="9291" spans="8:12">
      <c r="H9291" t="s">
        <v>21053</v>
      </c>
      <c r="I9291" t="s">
        <v>1357</v>
      </c>
      <c r="J9291" t="s">
        <v>1357</v>
      </c>
      <c r="K9291" t="s">
        <v>1357</v>
      </c>
      <c r="L9291" t="s">
        <v>1357</v>
      </c>
    </row>
    <row r="9292" spans="8:12">
      <c r="H9292" t="s">
        <v>21054</v>
      </c>
      <c r="I9292" t="s">
        <v>1357</v>
      </c>
      <c r="J9292" t="s">
        <v>1357</v>
      </c>
      <c r="K9292" t="s">
        <v>1357</v>
      </c>
      <c r="L9292" t="s">
        <v>1357</v>
      </c>
    </row>
    <row r="9293" spans="8:12">
      <c r="H9293" t="s">
        <v>21055</v>
      </c>
      <c r="I9293" t="s">
        <v>1357</v>
      </c>
      <c r="J9293" t="s">
        <v>1357</v>
      </c>
      <c r="K9293" t="s">
        <v>1357</v>
      </c>
      <c r="L9293" t="s">
        <v>1357</v>
      </c>
    </row>
    <row r="9294" spans="8:12">
      <c r="H9294" t="s">
        <v>21056</v>
      </c>
      <c r="I9294" t="s">
        <v>1357</v>
      </c>
      <c r="J9294" t="s">
        <v>1357</v>
      </c>
      <c r="K9294" t="s">
        <v>1357</v>
      </c>
      <c r="L9294" t="s">
        <v>1357</v>
      </c>
    </row>
    <row r="9295" spans="8:12">
      <c r="H9295" t="s">
        <v>21057</v>
      </c>
      <c r="I9295" t="s">
        <v>1357</v>
      </c>
      <c r="J9295" t="s">
        <v>1357</v>
      </c>
      <c r="K9295" t="s">
        <v>1357</v>
      </c>
      <c r="L9295" t="s">
        <v>1357</v>
      </c>
    </row>
    <row r="9296" spans="8:12">
      <c r="H9296" t="s">
        <v>21058</v>
      </c>
      <c r="I9296" t="s">
        <v>1357</v>
      </c>
      <c r="J9296" t="s">
        <v>1357</v>
      </c>
      <c r="K9296" t="s">
        <v>1357</v>
      </c>
      <c r="L9296" t="s">
        <v>1357</v>
      </c>
    </row>
    <row r="9297" spans="1:13">
      <c r="H9297" t="s">
        <v>21059</v>
      </c>
      <c r="I9297" t="s">
        <v>1357</v>
      </c>
      <c r="J9297" t="s">
        <v>1357</v>
      </c>
      <c r="K9297" t="s">
        <v>1357</v>
      </c>
      <c r="L9297" t="s">
        <v>1357</v>
      </c>
    </row>
    <row r="9298" spans="1:13">
      <c r="H9298" t="s">
        <v>21060</v>
      </c>
      <c r="I9298" t="s">
        <v>1357</v>
      </c>
      <c r="J9298" t="s">
        <v>1357</v>
      </c>
      <c r="K9298" t="s">
        <v>1357</v>
      </c>
      <c r="L9298" t="s">
        <v>1357</v>
      </c>
    </row>
    <row r="9299" spans="1:13">
      <c r="H9299" t="s">
        <v>21061</v>
      </c>
      <c r="I9299" t="s">
        <v>1357</v>
      </c>
      <c r="J9299" t="s">
        <v>1357</v>
      </c>
      <c r="K9299" t="s">
        <v>1357</v>
      </c>
      <c r="L9299" t="s">
        <v>1357</v>
      </c>
    </row>
    <row r="9300" spans="1:13">
      <c r="H9300" t="s">
        <v>21062</v>
      </c>
      <c r="I9300" t="s">
        <v>1357</v>
      </c>
      <c r="J9300" t="s">
        <v>1357</v>
      </c>
      <c r="K9300" t="s">
        <v>1357</v>
      </c>
      <c r="L9300" t="s">
        <v>1357</v>
      </c>
    </row>
    <row r="9301" spans="1:13">
      <c r="A9301" t="s">
        <v>10243</v>
      </c>
      <c r="B9301">
        <f>HYPERLINK("https://android.googlesource.com/platform/cts/+/2a40eb9f66e54a22be7c0d045f04cc24db029e2a", "2a40eb9f66e54a22be7c0d045f04cc24db029e2a")</f>
        <v>0</v>
      </c>
      <c r="C9301">
        <f>HYPERLINK("https://android.googlesource.com/platform/cts/+/0eb98efc9081fec29cc91a5d137b9cec69072891", "0eb98efc9081fec29cc91a5d137b9cec69072891")</f>
        <v>0</v>
      </c>
      <c r="D9301" t="s">
        <v>12042</v>
      </c>
      <c r="E9301" t="s">
        <v>12805</v>
      </c>
      <c r="F9301" t="s">
        <v>16008</v>
      </c>
      <c r="G9301" t="s">
        <v>18700</v>
      </c>
      <c r="H9301" t="s">
        <v>21063</v>
      </c>
      <c r="I9301" t="s">
        <v>1357</v>
      </c>
      <c r="J9301" t="s">
        <v>1357</v>
      </c>
      <c r="K9301" t="s">
        <v>1357</v>
      </c>
      <c r="L9301" t="s">
        <v>1357</v>
      </c>
    </row>
    <row r="9302" spans="1:13">
      <c r="A9302" t="s">
        <v>10244</v>
      </c>
      <c r="B9302">
        <f>HYPERLINK("https://android.googlesource.com/platform/cts/+/6b6a5feab14ec08b7faecfcdbeb9d47689496dda", "6b6a5feab14ec08b7faecfcdbeb9d47689496dda")</f>
        <v>0</v>
      </c>
      <c r="C9302">
        <f>HYPERLINK("https://android.googlesource.com/platform/cts/+/2b83b8dbb354eb0ced02f257898ecfc40619b1ca", "2b83b8dbb354eb0ced02f257898ecfc40619b1ca")</f>
        <v>0</v>
      </c>
      <c r="D9302" t="s">
        <v>12043</v>
      </c>
      <c r="E9302" t="s">
        <v>12806</v>
      </c>
      <c r="F9302" t="s">
        <v>16009</v>
      </c>
      <c r="G9302" t="s">
        <v>18701</v>
      </c>
      <c r="H9302" t="s">
        <v>21064</v>
      </c>
      <c r="I9302" t="s">
        <v>1359</v>
      </c>
      <c r="J9302" t="s">
        <v>1358</v>
      </c>
      <c r="K9302" t="s">
        <v>1357</v>
      </c>
      <c r="L9302" t="s">
        <v>1358</v>
      </c>
    </row>
    <row r="9303" spans="1:13">
      <c r="H9303" t="s">
        <v>21065</v>
      </c>
      <c r="I9303" t="s">
        <v>1359</v>
      </c>
      <c r="J9303" t="s">
        <v>1358</v>
      </c>
      <c r="K9303" t="s">
        <v>1357</v>
      </c>
      <c r="L9303" t="s">
        <v>1358</v>
      </c>
    </row>
    <row r="9304" spans="1:13">
      <c r="A9304" t="s">
        <v>10245</v>
      </c>
      <c r="B9304">
        <f>HYPERLINK("https://android.googlesource.com/platform/cts/+/9530de4762034f40d9e6b23e506da38590c3559d", "9530de4762034f40d9e6b23e506da38590c3559d")</f>
        <v>0</v>
      </c>
      <c r="C9304">
        <f>HYPERLINK("https://android.googlesource.com/platform/cts/+/3a42b2c7400880a5e403b31ce05584c95fa95482", "3a42b2c7400880a5e403b31ce05584c95fa95482")</f>
        <v>0</v>
      </c>
      <c r="D9304" t="s">
        <v>12044</v>
      </c>
      <c r="E9304" t="s">
        <v>12807</v>
      </c>
      <c r="F9304" t="s">
        <v>15184</v>
      </c>
      <c r="G9304" t="s">
        <v>17886</v>
      </c>
      <c r="H9304" t="s">
        <v>21066</v>
      </c>
      <c r="I9304" t="s">
        <v>1357</v>
      </c>
      <c r="J9304" t="s">
        <v>1357</v>
      </c>
      <c r="K9304" t="s">
        <v>1357</v>
      </c>
      <c r="L9304" t="s">
        <v>1357</v>
      </c>
    </row>
    <row r="9305" spans="1:13">
      <c r="A9305" t="s">
        <v>10246</v>
      </c>
      <c r="B9305">
        <f>HYPERLINK("https://android.googlesource.com/platform/cts/+/62e961bdb11353f4ddec77525bb7a0cea7df3bb4", "62e961bdb11353f4ddec77525bb7a0cea7df3bb4")</f>
        <v>0</v>
      </c>
      <c r="C9305">
        <f>HYPERLINK("https://android.googlesource.com/platform/cts/+/16d4ceba244a857e1be11c849bb345fd06297c92", "16d4ceba244a857e1be11c849bb345fd06297c92")</f>
        <v>0</v>
      </c>
      <c r="D9305" t="s">
        <v>12042</v>
      </c>
      <c r="E9305" t="s">
        <v>12808</v>
      </c>
      <c r="F9305" t="s">
        <v>16010</v>
      </c>
      <c r="G9305" t="s">
        <v>18702</v>
      </c>
      <c r="H9305" t="s">
        <v>21067</v>
      </c>
      <c r="I9305" t="s">
        <v>1357</v>
      </c>
      <c r="J9305" t="s">
        <v>1357</v>
      </c>
      <c r="K9305" t="s">
        <v>1357</v>
      </c>
      <c r="L9305" t="s">
        <v>1357</v>
      </c>
    </row>
    <row r="9306" spans="1:13">
      <c r="A9306" t="s">
        <v>10247</v>
      </c>
      <c r="B9306">
        <f>HYPERLINK("https://android.googlesource.com/platform/cts/+/a45e9bbb2e9a6948e879c49cf0a521a022ec8f31", "a45e9bbb2e9a6948e879c49cf0a521a022ec8f31")</f>
        <v>0</v>
      </c>
      <c r="C9306">
        <f>HYPERLINK("https://android.googlesource.com/platform/cts/+/9e1c67acefa2f0e180218be2753ea2a353acc82a", "9e1c67acefa2f0e180218be2753ea2a353acc82a")</f>
        <v>0</v>
      </c>
      <c r="D9306" t="s">
        <v>11991</v>
      </c>
      <c r="E9306" t="s">
        <v>12809</v>
      </c>
      <c r="F9306" t="s">
        <v>16011</v>
      </c>
      <c r="G9306" t="s">
        <v>18703</v>
      </c>
      <c r="H9306" t="s">
        <v>21068</v>
      </c>
      <c r="I9306" t="s">
        <v>1357</v>
      </c>
      <c r="J9306" t="s">
        <v>1357</v>
      </c>
      <c r="K9306" t="s">
        <v>1357</v>
      </c>
      <c r="L9306" t="s">
        <v>1357</v>
      </c>
    </row>
    <row r="9307" spans="1:13">
      <c r="A9307" t="s">
        <v>10248</v>
      </c>
      <c r="B9307">
        <f>HYPERLINK("https://android.googlesource.com/platform/cts/+/c132d4188f17b2e408907e059ab58f5ae6c3f292", "c132d4188f17b2e408907e059ab58f5ae6c3f292")</f>
        <v>0</v>
      </c>
      <c r="C9307">
        <f>HYPERLINK("https://android.googlesource.com/platform/cts/+/cc9e0d5f8f03d01d34211699d1edc2a03f93ee62", "cc9e0d5f8f03d01d34211699d1edc2a03f93ee62")</f>
        <v>0</v>
      </c>
      <c r="D9307" t="s">
        <v>12045</v>
      </c>
      <c r="E9307" t="s">
        <v>12810</v>
      </c>
      <c r="F9307" t="s">
        <v>16012</v>
      </c>
      <c r="G9307" t="s">
        <v>18704</v>
      </c>
      <c r="H9307" t="s">
        <v>21069</v>
      </c>
      <c r="I9307" t="s">
        <v>1358</v>
      </c>
      <c r="J9307" t="s">
        <v>1358</v>
      </c>
      <c r="K9307" t="s">
        <v>1358</v>
      </c>
      <c r="L9307" t="s">
        <v>1358</v>
      </c>
    </row>
    <row r="9308" spans="1:13">
      <c r="H9308" t="s">
        <v>21070</v>
      </c>
      <c r="I9308" t="s">
        <v>1358</v>
      </c>
      <c r="J9308" t="s">
        <v>1358</v>
      </c>
      <c r="K9308" t="s">
        <v>1358</v>
      </c>
      <c r="L9308" t="s">
        <v>1358</v>
      </c>
    </row>
    <row r="9309" spans="1:13">
      <c r="H9309" t="s">
        <v>21071</v>
      </c>
      <c r="I9309" t="s">
        <v>1358</v>
      </c>
      <c r="J9309" t="s">
        <v>1358</v>
      </c>
      <c r="K9309" t="s">
        <v>1358</v>
      </c>
      <c r="L9309" t="s">
        <v>1358</v>
      </c>
    </row>
    <row r="9310" spans="1:13">
      <c r="H9310" t="s">
        <v>21072</v>
      </c>
      <c r="I9310" t="s">
        <v>1358</v>
      </c>
      <c r="J9310" t="s">
        <v>1358</v>
      </c>
      <c r="K9310" t="s">
        <v>1358</v>
      </c>
      <c r="L9310" t="s">
        <v>1358</v>
      </c>
    </row>
    <row r="9311" spans="1:13">
      <c r="H9311" t="s">
        <v>21073</v>
      </c>
      <c r="I9311" t="s">
        <v>1358</v>
      </c>
      <c r="J9311" t="s">
        <v>1358</v>
      </c>
      <c r="K9311" t="s">
        <v>1358</v>
      </c>
      <c r="L9311" t="s">
        <v>1358</v>
      </c>
    </row>
    <row r="9312" spans="1:13">
      <c r="A9312" t="s">
        <v>10249</v>
      </c>
      <c r="B9312">
        <f>HYPERLINK("https://android.googlesource.com/platform/cts/+/d00d9f1cc4efbfe5437f8ae6f10b9fff417d4cf0", "d00d9f1cc4efbfe5437f8ae6f10b9fff417d4cf0")</f>
        <v>0</v>
      </c>
      <c r="C9312">
        <f>HYPERLINK("https://android.googlesource.com/platform/cts/+/7674e9510329a83d8ca479c97b1a423e90d15b63", "7674e9510329a83d8ca479c97b1a423e90d15b63")</f>
        <v>0</v>
      </c>
      <c r="D9312" t="s">
        <v>12045</v>
      </c>
      <c r="E9312" t="s">
        <v>12811</v>
      </c>
      <c r="F9312" t="s">
        <v>16012</v>
      </c>
      <c r="G9312" t="s">
        <v>18704</v>
      </c>
      <c r="H9312" t="s">
        <v>21069</v>
      </c>
      <c r="I9312" t="s">
        <v>1358</v>
      </c>
      <c r="J9312" t="s">
        <v>1358</v>
      </c>
      <c r="K9312" t="s">
        <v>1358</v>
      </c>
      <c r="L9312" t="s">
        <v>1358</v>
      </c>
      <c r="M9312" t="s">
        <v>27476</v>
      </c>
    </row>
    <row r="9313" spans="1:12">
      <c r="H9313" t="s">
        <v>21070</v>
      </c>
      <c r="I9313" t="s">
        <v>1358</v>
      </c>
      <c r="J9313" t="s">
        <v>1358</v>
      </c>
      <c r="K9313" t="s">
        <v>1358</v>
      </c>
      <c r="L9313" t="s">
        <v>1358</v>
      </c>
    </row>
    <row r="9314" spans="1:12">
      <c r="H9314" t="s">
        <v>21071</v>
      </c>
      <c r="I9314" t="s">
        <v>1358</v>
      </c>
      <c r="J9314" t="s">
        <v>1358</v>
      </c>
      <c r="K9314" t="s">
        <v>1358</v>
      </c>
      <c r="L9314" t="s">
        <v>1358</v>
      </c>
    </row>
    <row r="9315" spans="1:12">
      <c r="H9315" t="s">
        <v>21072</v>
      </c>
      <c r="I9315" t="s">
        <v>1358</v>
      </c>
      <c r="J9315" t="s">
        <v>1358</v>
      </c>
      <c r="K9315" t="s">
        <v>1358</v>
      </c>
      <c r="L9315" t="s">
        <v>1358</v>
      </c>
    </row>
    <row r="9316" spans="1:12">
      <c r="H9316" t="s">
        <v>21073</v>
      </c>
      <c r="I9316" t="s">
        <v>1358</v>
      </c>
      <c r="J9316" t="s">
        <v>1358</v>
      </c>
      <c r="K9316" t="s">
        <v>1358</v>
      </c>
      <c r="L9316" t="s">
        <v>1358</v>
      </c>
    </row>
    <row r="9317" spans="1:12">
      <c r="A9317" t="s">
        <v>10250</v>
      </c>
      <c r="B9317">
        <f>HYPERLINK("https://android.googlesource.com/platform/cts/+/4d2d2509b4997e3d27de9ddfe1ad50774b4487c3", "4d2d2509b4997e3d27de9ddfe1ad50774b4487c3")</f>
        <v>0</v>
      </c>
      <c r="C9317">
        <f>HYPERLINK("https://android.googlesource.com/platform/cts/+/d4b40bae92e42c89744d6e1453927c3a5b0e89fd", "d4b40bae92e42c89744d6e1453927c3a5b0e89fd")</f>
        <v>0</v>
      </c>
      <c r="D9317" t="s">
        <v>11991</v>
      </c>
      <c r="E9317" t="s">
        <v>12812</v>
      </c>
      <c r="F9317" t="s">
        <v>16013</v>
      </c>
      <c r="G9317" t="s">
        <v>18705</v>
      </c>
      <c r="H9317" t="s">
        <v>21074</v>
      </c>
      <c r="I9317" t="s">
        <v>1357</v>
      </c>
      <c r="J9317" t="s">
        <v>1357</v>
      </c>
      <c r="K9317" t="s">
        <v>1357</v>
      </c>
      <c r="L9317" t="s">
        <v>1357</v>
      </c>
    </row>
    <row r="9318" spans="1:12">
      <c r="H9318" t="s">
        <v>21075</v>
      </c>
      <c r="I9318" t="s">
        <v>1357</v>
      </c>
      <c r="J9318" t="s">
        <v>1357</v>
      </c>
      <c r="K9318" t="s">
        <v>1357</v>
      </c>
      <c r="L9318" t="s">
        <v>1357</v>
      </c>
    </row>
    <row r="9319" spans="1:12">
      <c r="H9319" t="s">
        <v>21076</v>
      </c>
      <c r="I9319" t="s">
        <v>1357</v>
      </c>
      <c r="J9319" t="s">
        <v>1357</v>
      </c>
      <c r="K9319" t="s">
        <v>1357</v>
      </c>
      <c r="L9319" t="s">
        <v>1357</v>
      </c>
    </row>
    <row r="9320" spans="1:12">
      <c r="H9320" t="s">
        <v>21077</v>
      </c>
      <c r="I9320" t="s">
        <v>1357</v>
      </c>
      <c r="J9320" t="s">
        <v>1357</v>
      </c>
      <c r="K9320" t="s">
        <v>1357</v>
      </c>
      <c r="L9320" t="s">
        <v>1357</v>
      </c>
    </row>
    <row r="9321" spans="1:12">
      <c r="H9321" t="s">
        <v>21078</v>
      </c>
      <c r="I9321" t="s">
        <v>1357</v>
      </c>
      <c r="J9321" t="s">
        <v>1357</v>
      </c>
      <c r="K9321" t="s">
        <v>1357</v>
      </c>
      <c r="L9321" t="s">
        <v>1357</v>
      </c>
    </row>
    <row r="9322" spans="1:12">
      <c r="H9322" t="s">
        <v>21079</v>
      </c>
      <c r="I9322" t="s">
        <v>1357</v>
      </c>
      <c r="J9322" t="s">
        <v>1357</v>
      </c>
      <c r="K9322" t="s">
        <v>1357</v>
      </c>
      <c r="L9322" t="s">
        <v>1357</v>
      </c>
    </row>
    <row r="9323" spans="1:12">
      <c r="H9323" t="s">
        <v>21080</v>
      </c>
      <c r="I9323" t="s">
        <v>1357</v>
      </c>
      <c r="J9323" t="s">
        <v>1357</v>
      </c>
      <c r="K9323" t="s">
        <v>1357</v>
      </c>
      <c r="L9323" t="s">
        <v>1357</v>
      </c>
    </row>
    <row r="9324" spans="1:12">
      <c r="H9324" t="s">
        <v>21081</v>
      </c>
      <c r="I9324" t="s">
        <v>1357</v>
      </c>
      <c r="J9324" t="s">
        <v>1357</v>
      </c>
      <c r="K9324" t="s">
        <v>1357</v>
      </c>
      <c r="L9324" t="s">
        <v>1357</v>
      </c>
    </row>
    <row r="9325" spans="1:12">
      <c r="H9325" t="s">
        <v>21082</v>
      </c>
      <c r="I9325" t="s">
        <v>1357</v>
      </c>
      <c r="J9325" t="s">
        <v>1357</v>
      </c>
      <c r="K9325" t="s">
        <v>1357</v>
      </c>
      <c r="L9325" t="s">
        <v>1357</v>
      </c>
    </row>
    <row r="9326" spans="1:12">
      <c r="H9326" t="s">
        <v>21083</v>
      </c>
      <c r="I9326" t="s">
        <v>1357</v>
      </c>
      <c r="J9326" t="s">
        <v>1357</v>
      </c>
      <c r="K9326" t="s">
        <v>1357</v>
      </c>
      <c r="L9326" t="s">
        <v>1357</v>
      </c>
    </row>
    <row r="9327" spans="1:12">
      <c r="H9327" t="s">
        <v>21084</v>
      </c>
      <c r="I9327" t="s">
        <v>1357</v>
      </c>
      <c r="J9327" t="s">
        <v>1357</v>
      </c>
      <c r="K9327" t="s">
        <v>1357</v>
      </c>
      <c r="L9327" t="s">
        <v>1357</v>
      </c>
    </row>
    <row r="9328" spans="1:12">
      <c r="H9328" t="s">
        <v>21085</v>
      </c>
      <c r="I9328" t="s">
        <v>1357</v>
      </c>
      <c r="J9328" t="s">
        <v>1357</v>
      </c>
      <c r="K9328" t="s">
        <v>1357</v>
      </c>
      <c r="L9328" t="s">
        <v>1357</v>
      </c>
    </row>
    <row r="9329" spans="1:12">
      <c r="H9329" t="s">
        <v>21086</v>
      </c>
      <c r="I9329" t="s">
        <v>1357</v>
      </c>
      <c r="J9329" t="s">
        <v>1357</v>
      </c>
      <c r="K9329" t="s">
        <v>1357</v>
      </c>
      <c r="L9329" t="s">
        <v>1357</v>
      </c>
    </row>
    <row r="9330" spans="1:12">
      <c r="H9330" t="s">
        <v>21087</v>
      </c>
      <c r="I9330" t="s">
        <v>1357</v>
      </c>
      <c r="J9330" t="s">
        <v>1357</v>
      </c>
      <c r="K9330" t="s">
        <v>1357</v>
      </c>
      <c r="L9330" t="s">
        <v>1357</v>
      </c>
    </row>
    <row r="9331" spans="1:12">
      <c r="H9331" t="s">
        <v>21088</v>
      </c>
      <c r="I9331" t="s">
        <v>1357</v>
      </c>
      <c r="J9331" t="s">
        <v>1357</v>
      </c>
      <c r="K9331" t="s">
        <v>1357</v>
      </c>
      <c r="L9331" t="s">
        <v>1357</v>
      </c>
    </row>
    <row r="9332" spans="1:12">
      <c r="H9332" t="s">
        <v>21089</v>
      </c>
      <c r="I9332" t="s">
        <v>1357</v>
      </c>
      <c r="J9332" t="s">
        <v>1357</v>
      </c>
      <c r="K9332" t="s">
        <v>1357</v>
      </c>
      <c r="L9332" t="s">
        <v>1357</v>
      </c>
    </row>
    <row r="9333" spans="1:12">
      <c r="H9333" t="s">
        <v>21090</v>
      </c>
      <c r="I9333" t="s">
        <v>1357</v>
      </c>
      <c r="J9333" t="s">
        <v>1357</v>
      </c>
      <c r="K9333" t="s">
        <v>1357</v>
      </c>
      <c r="L9333" t="s">
        <v>1357</v>
      </c>
    </row>
    <row r="9334" spans="1:12">
      <c r="H9334" t="s">
        <v>21091</v>
      </c>
      <c r="I9334" t="s">
        <v>1357</v>
      </c>
      <c r="J9334" t="s">
        <v>1357</v>
      </c>
      <c r="K9334" t="s">
        <v>1357</v>
      </c>
      <c r="L9334" t="s">
        <v>1357</v>
      </c>
    </row>
    <row r="9335" spans="1:12">
      <c r="A9335" t="s">
        <v>10251</v>
      </c>
      <c r="B9335">
        <f>HYPERLINK("https://android.googlesource.com/platform/cts/+/f394f7a5e939fd9b503c52bb28e3989d1554e117", "f394f7a5e939fd9b503c52bb28e3989d1554e117")</f>
        <v>0</v>
      </c>
      <c r="C9335">
        <f>HYPERLINK("https://android.googlesource.com/platform/cts/+/247ecfc0ddb8cf1487a8a36f93ceb84d7abbbfe6", "247ecfc0ddb8cf1487a8a36f93ceb84d7abbbfe6")</f>
        <v>0</v>
      </c>
      <c r="D9335" t="s">
        <v>12046</v>
      </c>
      <c r="E9335" t="s">
        <v>12813</v>
      </c>
      <c r="F9335" t="s">
        <v>15999</v>
      </c>
      <c r="G9335" t="s">
        <v>18691</v>
      </c>
      <c r="H9335" t="s">
        <v>21092</v>
      </c>
      <c r="I9335" t="s">
        <v>1357</v>
      </c>
      <c r="J9335" t="s">
        <v>1357</v>
      </c>
      <c r="K9335" t="s">
        <v>1357</v>
      </c>
      <c r="L9335" t="s">
        <v>1357</v>
      </c>
    </row>
    <row r="9336" spans="1:12">
      <c r="A9336" t="s">
        <v>10252</v>
      </c>
      <c r="B9336">
        <f>HYPERLINK("https://android.googlesource.com/platform/cts/+/42fe88944b4ac0b78132744e389bdd44b4fa2ceb", "42fe88944b4ac0b78132744e389bdd44b4fa2ceb")</f>
        <v>0</v>
      </c>
      <c r="C9336">
        <f>HYPERLINK("https://android.googlesource.com/platform/cts/+/c2b441b9c6c793fc3db16f8179f6e84859ec4f57", "c2b441b9c6c793fc3db16f8179f6e84859ec4f57")</f>
        <v>0</v>
      </c>
      <c r="D9336" t="s">
        <v>12047</v>
      </c>
      <c r="E9336" t="s">
        <v>12814</v>
      </c>
      <c r="F9336" t="s">
        <v>16014</v>
      </c>
      <c r="G9336" t="s">
        <v>18706</v>
      </c>
      <c r="H9336" t="s">
        <v>21093</v>
      </c>
      <c r="I9336" t="s">
        <v>1357</v>
      </c>
      <c r="J9336" t="s">
        <v>1357</v>
      </c>
      <c r="K9336" t="s">
        <v>1357</v>
      </c>
      <c r="L9336" t="s">
        <v>1357</v>
      </c>
    </row>
    <row r="9337" spans="1:12">
      <c r="H9337" t="s">
        <v>21094</v>
      </c>
      <c r="I9337" t="s">
        <v>1357</v>
      </c>
      <c r="J9337" t="s">
        <v>1357</v>
      </c>
      <c r="K9337" t="s">
        <v>1357</v>
      </c>
      <c r="L9337" t="s">
        <v>1357</v>
      </c>
    </row>
    <row r="9338" spans="1:12">
      <c r="H9338" t="s">
        <v>21095</v>
      </c>
      <c r="I9338" t="s">
        <v>1357</v>
      </c>
      <c r="J9338" t="s">
        <v>1357</v>
      </c>
      <c r="K9338" t="s">
        <v>1357</v>
      </c>
      <c r="L9338" t="s">
        <v>1357</v>
      </c>
    </row>
    <row r="9339" spans="1:12">
      <c r="H9339" t="s">
        <v>21096</v>
      </c>
      <c r="I9339" t="s">
        <v>1357</v>
      </c>
      <c r="J9339" t="s">
        <v>1357</v>
      </c>
      <c r="K9339" t="s">
        <v>1357</v>
      </c>
      <c r="L9339" t="s">
        <v>1357</v>
      </c>
    </row>
    <row r="9340" spans="1:12">
      <c r="H9340" t="s">
        <v>21097</v>
      </c>
      <c r="I9340" t="s">
        <v>1357</v>
      </c>
      <c r="J9340" t="s">
        <v>1357</v>
      </c>
      <c r="K9340" t="s">
        <v>1357</v>
      </c>
      <c r="L9340" t="s">
        <v>1357</v>
      </c>
    </row>
    <row r="9341" spans="1:12">
      <c r="H9341" t="s">
        <v>21098</v>
      </c>
      <c r="I9341" t="s">
        <v>1357</v>
      </c>
      <c r="J9341" t="s">
        <v>1357</v>
      </c>
      <c r="K9341" t="s">
        <v>1357</v>
      </c>
      <c r="L9341" t="s">
        <v>1357</v>
      </c>
    </row>
    <row r="9342" spans="1:12">
      <c r="A9342" t="s">
        <v>10253</v>
      </c>
      <c r="B9342">
        <f>HYPERLINK("https://android.googlesource.com/platform/cts/+/bc2bee43698344db51b2ee8383c5fbd18d99fe43", "bc2bee43698344db51b2ee8383c5fbd18d99fe43")</f>
        <v>0</v>
      </c>
      <c r="C9342">
        <f>HYPERLINK("https://android.googlesource.com/platform/cts/+/ed017f02bfdb1d6a1cc86d76144724e45c9f1b4b", "ed017f02bfdb1d6a1cc86d76144724e45c9f1b4b")</f>
        <v>0</v>
      </c>
      <c r="D9342" t="s">
        <v>12048</v>
      </c>
      <c r="E9342" t="s">
        <v>12815</v>
      </c>
      <c r="F9342" t="s">
        <v>15193</v>
      </c>
      <c r="G9342" t="s">
        <v>17895</v>
      </c>
      <c r="H9342" t="s">
        <v>21099</v>
      </c>
      <c r="I9342" t="s">
        <v>1357</v>
      </c>
      <c r="J9342" t="s">
        <v>1357</v>
      </c>
      <c r="K9342" t="s">
        <v>1357</v>
      </c>
      <c r="L9342" t="s">
        <v>1357</v>
      </c>
    </row>
    <row r="9343" spans="1:12">
      <c r="H9343" t="s">
        <v>21100</v>
      </c>
      <c r="I9343" t="s">
        <v>1357</v>
      </c>
      <c r="J9343" t="s">
        <v>1357</v>
      </c>
      <c r="K9343" t="s">
        <v>1357</v>
      </c>
      <c r="L9343" t="s">
        <v>1357</v>
      </c>
    </row>
    <row r="9344" spans="1:12">
      <c r="H9344" t="s">
        <v>21101</v>
      </c>
      <c r="I9344" t="s">
        <v>1357</v>
      </c>
      <c r="J9344" t="s">
        <v>1357</v>
      </c>
      <c r="K9344" t="s">
        <v>1357</v>
      </c>
      <c r="L9344" t="s">
        <v>1357</v>
      </c>
    </row>
    <row r="9345" spans="1:12">
      <c r="H9345" t="s">
        <v>21102</v>
      </c>
      <c r="I9345" t="s">
        <v>1357</v>
      </c>
      <c r="J9345" t="s">
        <v>1357</v>
      </c>
      <c r="K9345" t="s">
        <v>1357</v>
      </c>
      <c r="L9345" t="s">
        <v>1357</v>
      </c>
    </row>
    <row r="9346" spans="1:12">
      <c r="A9346" t="s">
        <v>10254</v>
      </c>
      <c r="B9346">
        <f>HYPERLINK("https://android.googlesource.com/platform/cts/+/ae0e42d4d921f0cdc1aefd5a478c763ebfcad576", "ae0e42d4d921f0cdc1aefd5a478c763ebfcad576")</f>
        <v>0</v>
      </c>
      <c r="C9346">
        <f>HYPERLINK("https://android.googlesource.com/platform/cts/+/ed28817fbc2ce98ceba3e9997b375bff4492ae4b", "ed28817fbc2ce98ceba3e9997b375bff4492ae4b")</f>
        <v>0</v>
      </c>
      <c r="D9346" t="s">
        <v>12049</v>
      </c>
      <c r="E9346" t="s">
        <v>12816</v>
      </c>
      <c r="F9346" t="s">
        <v>15192</v>
      </c>
      <c r="G9346" t="s">
        <v>17894</v>
      </c>
      <c r="H9346" t="s">
        <v>21103</v>
      </c>
      <c r="I9346" t="s">
        <v>1357</v>
      </c>
      <c r="J9346" t="s">
        <v>1357</v>
      </c>
      <c r="K9346" t="s">
        <v>1357</v>
      </c>
      <c r="L9346" t="s">
        <v>1357</v>
      </c>
    </row>
    <row r="9347" spans="1:12">
      <c r="A9347" t="s">
        <v>10255</v>
      </c>
      <c r="B9347">
        <f>HYPERLINK("https://android.googlesource.com/platform/cts/+/ae1f018a3e15c2ed946fe99526c56712b25003f9", "ae1f018a3e15c2ed946fe99526c56712b25003f9")</f>
        <v>0</v>
      </c>
      <c r="C9347">
        <f>HYPERLINK("https://android.googlesource.com/platform/cts/+/cf2912d66443f9ca7dbd1c951ba3518bf3f51b5a", "cf2912d66443f9ca7dbd1c951ba3518bf3f51b5a")</f>
        <v>0</v>
      </c>
      <c r="D9347" t="s">
        <v>12050</v>
      </c>
      <c r="E9347" t="s">
        <v>12817</v>
      </c>
      <c r="F9347" t="s">
        <v>16015</v>
      </c>
      <c r="G9347" t="s">
        <v>18707</v>
      </c>
      <c r="H9347" t="s">
        <v>21104</v>
      </c>
      <c r="I9347" t="s">
        <v>1357</v>
      </c>
      <c r="J9347" t="s">
        <v>1357</v>
      </c>
      <c r="K9347" t="s">
        <v>1357</v>
      </c>
      <c r="L9347" t="s">
        <v>1357</v>
      </c>
    </row>
    <row r="9348" spans="1:12">
      <c r="A9348" t="s">
        <v>10256</v>
      </c>
      <c r="B9348">
        <f>HYPERLINK("https://android.googlesource.com/platform/cts/+/74236261a8f1205501845c5ed884e0d6f998a65f", "74236261a8f1205501845c5ed884e0d6f998a65f")</f>
        <v>0</v>
      </c>
      <c r="C9348">
        <f>HYPERLINK("https://android.googlesource.com/platform/cts/+/58bb90a9c0482b0cb89a809906cf44290acab91c", "58bb90a9c0482b0cb89a809906cf44290acab91c")</f>
        <v>0</v>
      </c>
      <c r="D9348" t="s">
        <v>11991</v>
      </c>
      <c r="E9348" t="s">
        <v>12818</v>
      </c>
      <c r="F9348" t="s">
        <v>15921</v>
      </c>
      <c r="G9348" t="s">
        <v>18613</v>
      </c>
      <c r="H9348" t="s">
        <v>21105</v>
      </c>
      <c r="I9348" t="s">
        <v>1357</v>
      </c>
      <c r="J9348" t="s">
        <v>1357</v>
      </c>
      <c r="K9348" t="s">
        <v>1357</v>
      </c>
      <c r="L9348" t="s">
        <v>1357</v>
      </c>
    </row>
    <row r="9349" spans="1:12">
      <c r="A9349" t="s">
        <v>10257</v>
      </c>
      <c r="B9349">
        <f>HYPERLINK("https://android.googlesource.com/platform/cts/+/53a0d6735b1296938b0db2b70c66e7ab75a66e76", "53a0d6735b1296938b0db2b70c66e7ab75a66e76")</f>
        <v>0</v>
      </c>
      <c r="C9349">
        <f>HYPERLINK("https://android.googlesource.com/platform/cts/+/ae1f018a3e15c2ed946fe99526c56712b25003f9", "ae1f018a3e15c2ed946fe99526c56712b25003f9")</f>
        <v>0</v>
      </c>
      <c r="D9349" t="s">
        <v>12050</v>
      </c>
      <c r="E9349" t="s">
        <v>12819</v>
      </c>
      <c r="F9349" t="s">
        <v>16016</v>
      </c>
      <c r="G9349" t="s">
        <v>18708</v>
      </c>
      <c r="H9349" t="s">
        <v>21106</v>
      </c>
      <c r="I9349" t="s">
        <v>1357</v>
      </c>
      <c r="J9349" t="s">
        <v>1357</v>
      </c>
      <c r="K9349" t="s">
        <v>1357</v>
      </c>
      <c r="L9349" t="s">
        <v>1357</v>
      </c>
    </row>
    <row r="9350" spans="1:12">
      <c r="F9350" t="s">
        <v>16017</v>
      </c>
      <c r="G9350" t="s">
        <v>18709</v>
      </c>
      <c r="H9350" t="s">
        <v>21107</v>
      </c>
      <c r="I9350" t="s">
        <v>1357</v>
      </c>
      <c r="J9350" t="s">
        <v>1357</v>
      </c>
      <c r="K9350" t="s">
        <v>1357</v>
      </c>
      <c r="L9350" t="s">
        <v>1357</v>
      </c>
    </row>
    <row r="9351" spans="1:12">
      <c r="H9351" t="s">
        <v>21108</v>
      </c>
      <c r="I9351" t="s">
        <v>1357</v>
      </c>
      <c r="J9351" t="s">
        <v>1357</v>
      </c>
      <c r="K9351" t="s">
        <v>1357</v>
      </c>
      <c r="L9351" t="s">
        <v>1357</v>
      </c>
    </row>
    <row r="9352" spans="1:12">
      <c r="H9352" t="s">
        <v>21109</v>
      </c>
      <c r="I9352" t="s">
        <v>1357</v>
      </c>
      <c r="J9352" t="s">
        <v>1357</v>
      </c>
      <c r="K9352" t="s">
        <v>1357</v>
      </c>
      <c r="L9352" t="s">
        <v>1357</v>
      </c>
    </row>
    <row r="9353" spans="1:12">
      <c r="F9353" t="s">
        <v>16018</v>
      </c>
      <c r="G9353" t="s">
        <v>18710</v>
      </c>
      <c r="H9353" t="s">
        <v>21110</v>
      </c>
      <c r="I9353" t="s">
        <v>1357</v>
      </c>
      <c r="J9353" t="s">
        <v>1357</v>
      </c>
      <c r="K9353" t="s">
        <v>1357</v>
      </c>
      <c r="L9353" t="s">
        <v>1357</v>
      </c>
    </row>
    <row r="9354" spans="1:12">
      <c r="H9354" t="s">
        <v>21111</v>
      </c>
      <c r="I9354" t="s">
        <v>1357</v>
      </c>
      <c r="J9354" t="s">
        <v>1357</v>
      </c>
      <c r="K9354" t="s">
        <v>1357</v>
      </c>
      <c r="L9354" t="s">
        <v>1357</v>
      </c>
    </row>
    <row r="9355" spans="1:12">
      <c r="H9355" t="s">
        <v>21112</v>
      </c>
      <c r="I9355" t="s">
        <v>1357</v>
      </c>
      <c r="J9355" t="s">
        <v>1357</v>
      </c>
      <c r="K9355" t="s">
        <v>1357</v>
      </c>
      <c r="L9355" t="s">
        <v>1357</v>
      </c>
    </row>
    <row r="9356" spans="1:12">
      <c r="H9356" t="s">
        <v>21113</v>
      </c>
      <c r="I9356" t="s">
        <v>1357</v>
      </c>
      <c r="J9356" t="s">
        <v>1357</v>
      </c>
      <c r="K9356" t="s">
        <v>1357</v>
      </c>
      <c r="L9356" t="s">
        <v>1357</v>
      </c>
    </row>
    <row r="9357" spans="1:12">
      <c r="H9357" t="s">
        <v>21114</v>
      </c>
      <c r="I9357" t="s">
        <v>1357</v>
      </c>
      <c r="J9357" t="s">
        <v>1357</v>
      </c>
      <c r="K9357" t="s">
        <v>1357</v>
      </c>
      <c r="L9357" t="s">
        <v>1357</v>
      </c>
    </row>
    <row r="9358" spans="1:12">
      <c r="H9358" t="s">
        <v>21115</v>
      </c>
      <c r="I9358" t="s">
        <v>1357</v>
      </c>
      <c r="J9358" t="s">
        <v>1357</v>
      </c>
      <c r="K9358" t="s">
        <v>1357</v>
      </c>
      <c r="L9358" t="s">
        <v>1357</v>
      </c>
    </row>
    <row r="9359" spans="1:12">
      <c r="H9359" t="s">
        <v>21116</v>
      </c>
      <c r="I9359" t="s">
        <v>1357</v>
      </c>
      <c r="J9359" t="s">
        <v>1357</v>
      </c>
      <c r="K9359" t="s">
        <v>1357</v>
      </c>
      <c r="L9359" t="s">
        <v>1357</v>
      </c>
    </row>
    <row r="9360" spans="1:12">
      <c r="H9360" t="s">
        <v>21117</v>
      </c>
      <c r="I9360" t="s">
        <v>1357</v>
      </c>
      <c r="J9360" t="s">
        <v>1357</v>
      </c>
      <c r="K9360" t="s">
        <v>1357</v>
      </c>
      <c r="L9360" t="s">
        <v>1357</v>
      </c>
    </row>
    <row r="9361" spans="6:12">
      <c r="H9361" t="s">
        <v>21118</v>
      </c>
      <c r="I9361" t="s">
        <v>1357</v>
      </c>
      <c r="J9361" t="s">
        <v>1357</v>
      </c>
      <c r="K9361" t="s">
        <v>1357</v>
      </c>
      <c r="L9361" t="s">
        <v>1357</v>
      </c>
    </row>
    <row r="9362" spans="6:12">
      <c r="H9362" t="s">
        <v>21119</v>
      </c>
      <c r="I9362" t="s">
        <v>1357</v>
      </c>
      <c r="J9362" t="s">
        <v>1357</v>
      </c>
      <c r="K9362" t="s">
        <v>1357</v>
      </c>
      <c r="L9362" t="s">
        <v>1357</v>
      </c>
    </row>
    <row r="9363" spans="6:12">
      <c r="F9363" t="s">
        <v>16019</v>
      </c>
      <c r="G9363" t="s">
        <v>17406</v>
      </c>
      <c r="H9363" t="s">
        <v>21120</v>
      </c>
      <c r="I9363" t="s">
        <v>1357</v>
      </c>
      <c r="J9363" t="s">
        <v>1357</v>
      </c>
      <c r="K9363" t="s">
        <v>1357</v>
      </c>
      <c r="L9363" t="s">
        <v>1357</v>
      </c>
    </row>
    <row r="9364" spans="6:12">
      <c r="H9364" t="s">
        <v>21119</v>
      </c>
      <c r="I9364" t="s">
        <v>1357</v>
      </c>
      <c r="J9364" t="s">
        <v>1357</v>
      </c>
      <c r="K9364" t="s">
        <v>1357</v>
      </c>
      <c r="L9364" t="s">
        <v>1357</v>
      </c>
    </row>
    <row r="9365" spans="6:12">
      <c r="H9365" t="s">
        <v>21111</v>
      </c>
      <c r="I9365" t="s">
        <v>1357</v>
      </c>
      <c r="J9365" t="s">
        <v>1357</v>
      </c>
      <c r="K9365" t="s">
        <v>1357</v>
      </c>
      <c r="L9365" t="s">
        <v>1357</v>
      </c>
    </row>
    <row r="9366" spans="6:12">
      <c r="H9366" t="s">
        <v>21121</v>
      </c>
      <c r="I9366" t="s">
        <v>1357</v>
      </c>
      <c r="J9366" t="s">
        <v>1357</v>
      </c>
      <c r="K9366" t="s">
        <v>1357</v>
      </c>
      <c r="L9366" t="s">
        <v>1357</v>
      </c>
    </row>
    <row r="9367" spans="6:12">
      <c r="H9367" t="s">
        <v>21110</v>
      </c>
      <c r="I9367" t="s">
        <v>1357</v>
      </c>
      <c r="J9367" t="s">
        <v>1357</v>
      </c>
      <c r="K9367" t="s">
        <v>1357</v>
      </c>
      <c r="L9367" t="s">
        <v>1357</v>
      </c>
    </row>
    <row r="9368" spans="6:12">
      <c r="F9368" t="s">
        <v>16020</v>
      </c>
      <c r="G9368" t="s">
        <v>18711</v>
      </c>
      <c r="H9368" t="s">
        <v>21122</v>
      </c>
      <c r="I9368" t="s">
        <v>1357</v>
      </c>
      <c r="J9368" t="s">
        <v>1357</v>
      </c>
      <c r="K9368" t="s">
        <v>1357</v>
      </c>
      <c r="L9368" t="s">
        <v>1357</v>
      </c>
    </row>
    <row r="9369" spans="6:12">
      <c r="H9369" t="s">
        <v>21123</v>
      </c>
      <c r="I9369" t="s">
        <v>1357</v>
      </c>
      <c r="J9369" t="s">
        <v>1357</v>
      </c>
      <c r="K9369" t="s">
        <v>1357</v>
      </c>
      <c r="L9369" t="s">
        <v>1357</v>
      </c>
    </row>
    <row r="9370" spans="6:12">
      <c r="H9370" t="s">
        <v>21124</v>
      </c>
      <c r="I9370" t="s">
        <v>1357</v>
      </c>
      <c r="J9370" t="s">
        <v>1357</v>
      </c>
      <c r="K9370" t="s">
        <v>1357</v>
      </c>
      <c r="L9370" t="s">
        <v>1357</v>
      </c>
    </row>
    <row r="9371" spans="6:12">
      <c r="H9371" t="s">
        <v>21125</v>
      </c>
      <c r="I9371" t="s">
        <v>1357</v>
      </c>
      <c r="J9371" t="s">
        <v>1357</v>
      </c>
      <c r="K9371" t="s">
        <v>1357</v>
      </c>
      <c r="L9371" t="s">
        <v>1357</v>
      </c>
    </row>
    <row r="9372" spans="6:12">
      <c r="F9372" t="s">
        <v>16021</v>
      </c>
      <c r="G9372" t="s">
        <v>18712</v>
      </c>
      <c r="H9372" t="s">
        <v>21126</v>
      </c>
      <c r="I9372" t="s">
        <v>1357</v>
      </c>
      <c r="J9372" t="s">
        <v>1357</v>
      </c>
      <c r="K9372" t="s">
        <v>1357</v>
      </c>
      <c r="L9372" t="s">
        <v>1357</v>
      </c>
    </row>
    <row r="9373" spans="6:12">
      <c r="H9373" t="s">
        <v>21127</v>
      </c>
      <c r="I9373" t="s">
        <v>1357</v>
      </c>
      <c r="J9373" t="s">
        <v>1357</v>
      </c>
      <c r="K9373" t="s">
        <v>1357</v>
      </c>
      <c r="L9373" t="s">
        <v>1357</v>
      </c>
    </row>
    <row r="9374" spans="6:12">
      <c r="F9374" t="s">
        <v>16022</v>
      </c>
      <c r="G9374" t="s">
        <v>18713</v>
      </c>
      <c r="H9374" t="s">
        <v>21128</v>
      </c>
      <c r="I9374" t="s">
        <v>1357</v>
      </c>
      <c r="J9374" t="s">
        <v>1357</v>
      </c>
      <c r="K9374" t="s">
        <v>1357</v>
      </c>
      <c r="L9374" t="s">
        <v>1357</v>
      </c>
    </row>
    <row r="9375" spans="6:12">
      <c r="H9375" t="s">
        <v>21129</v>
      </c>
      <c r="I9375" t="s">
        <v>1357</v>
      </c>
      <c r="J9375" t="s">
        <v>1357</v>
      </c>
      <c r="K9375" t="s">
        <v>1357</v>
      </c>
      <c r="L9375" t="s">
        <v>1357</v>
      </c>
    </row>
    <row r="9376" spans="6:12">
      <c r="H9376" t="s">
        <v>21130</v>
      </c>
      <c r="I9376" t="s">
        <v>1357</v>
      </c>
      <c r="J9376" t="s">
        <v>1357</v>
      </c>
      <c r="K9376" t="s">
        <v>1357</v>
      </c>
      <c r="L9376" t="s">
        <v>1357</v>
      </c>
    </row>
    <row r="9377" spans="6:12">
      <c r="F9377" t="s">
        <v>16023</v>
      </c>
      <c r="G9377" t="s">
        <v>18714</v>
      </c>
      <c r="H9377" t="s">
        <v>21131</v>
      </c>
      <c r="I9377" t="s">
        <v>1357</v>
      </c>
      <c r="J9377" t="s">
        <v>1357</v>
      </c>
      <c r="K9377" t="s">
        <v>1357</v>
      </c>
      <c r="L9377" t="s">
        <v>1357</v>
      </c>
    </row>
    <row r="9378" spans="6:12">
      <c r="H9378" t="s">
        <v>21132</v>
      </c>
      <c r="I9378" t="s">
        <v>1357</v>
      </c>
      <c r="J9378" t="s">
        <v>1357</v>
      </c>
      <c r="K9378" t="s">
        <v>1357</v>
      </c>
      <c r="L9378" t="s">
        <v>1357</v>
      </c>
    </row>
    <row r="9379" spans="6:12">
      <c r="H9379" t="s">
        <v>21133</v>
      </c>
      <c r="I9379" t="s">
        <v>1357</v>
      </c>
      <c r="J9379" t="s">
        <v>1357</v>
      </c>
      <c r="K9379" t="s">
        <v>1357</v>
      </c>
      <c r="L9379" t="s">
        <v>1357</v>
      </c>
    </row>
    <row r="9380" spans="6:12">
      <c r="F9380" t="s">
        <v>16024</v>
      </c>
      <c r="G9380" t="s">
        <v>18715</v>
      </c>
      <c r="H9380" t="s">
        <v>21134</v>
      </c>
      <c r="I9380" t="s">
        <v>1357</v>
      </c>
      <c r="J9380" t="s">
        <v>1357</v>
      </c>
      <c r="K9380" t="s">
        <v>1357</v>
      </c>
      <c r="L9380" t="s">
        <v>1357</v>
      </c>
    </row>
    <row r="9381" spans="6:12">
      <c r="H9381" t="s">
        <v>21135</v>
      </c>
      <c r="I9381" t="s">
        <v>1357</v>
      </c>
      <c r="J9381" t="s">
        <v>1357</v>
      </c>
      <c r="K9381" t="s">
        <v>1357</v>
      </c>
      <c r="L9381" t="s">
        <v>1357</v>
      </c>
    </row>
    <row r="9382" spans="6:12">
      <c r="H9382" t="s">
        <v>21136</v>
      </c>
      <c r="I9382" t="s">
        <v>1357</v>
      </c>
      <c r="J9382" t="s">
        <v>1357</v>
      </c>
      <c r="K9382" t="s">
        <v>1357</v>
      </c>
      <c r="L9382" t="s">
        <v>1357</v>
      </c>
    </row>
    <row r="9383" spans="6:12">
      <c r="H9383" t="s">
        <v>21137</v>
      </c>
      <c r="I9383" t="s">
        <v>1357</v>
      </c>
      <c r="J9383" t="s">
        <v>1357</v>
      </c>
      <c r="K9383" t="s">
        <v>1357</v>
      </c>
      <c r="L9383" t="s">
        <v>1357</v>
      </c>
    </row>
    <row r="9384" spans="6:12">
      <c r="H9384" t="s">
        <v>21138</v>
      </c>
      <c r="I9384" t="s">
        <v>1357</v>
      </c>
      <c r="J9384" t="s">
        <v>1357</v>
      </c>
      <c r="K9384" t="s">
        <v>1357</v>
      </c>
      <c r="L9384" t="s">
        <v>1357</v>
      </c>
    </row>
    <row r="9385" spans="6:12">
      <c r="F9385" t="s">
        <v>16025</v>
      </c>
      <c r="G9385" t="s">
        <v>18716</v>
      </c>
      <c r="H9385" t="s">
        <v>4690</v>
      </c>
      <c r="I9385" t="s">
        <v>1357</v>
      </c>
      <c r="J9385" t="s">
        <v>1357</v>
      </c>
      <c r="K9385" t="s">
        <v>1357</v>
      </c>
      <c r="L9385" t="s">
        <v>1357</v>
      </c>
    </row>
    <row r="9386" spans="6:12">
      <c r="F9386" t="s">
        <v>16026</v>
      </c>
      <c r="G9386" t="s">
        <v>18717</v>
      </c>
      <c r="H9386" t="s">
        <v>21139</v>
      </c>
      <c r="I9386" t="s">
        <v>1357</v>
      </c>
      <c r="J9386" t="s">
        <v>1357</v>
      </c>
      <c r="K9386" t="s">
        <v>1357</v>
      </c>
      <c r="L9386" t="s">
        <v>1357</v>
      </c>
    </row>
    <row r="9387" spans="6:12">
      <c r="H9387" t="s">
        <v>21140</v>
      </c>
      <c r="I9387" t="s">
        <v>1357</v>
      </c>
      <c r="J9387" t="s">
        <v>1357</v>
      </c>
      <c r="K9387" t="s">
        <v>1357</v>
      </c>
      <c r="L9387" t="s">
        <v>1357</v>
      </c>
    </row>
    <row r="9388" spans="6:12">
      <c r="F9388" t="s">
        <v>16027</v>
      </c>
      <c r="G9388" t="s">
        <v>18718</v>
      </c>
      <c r="H9388" t="s">
        <v>21141</v>
      </c>
      <c r="I9388" t="s">
        <v>1357</v>
      </c>
      <c r="J9388" t="s">
        <v>1357</v>
      </c>
      <c r="K9388" t="s">
        <v>1357</v>
      </c>
      <c r="L9388" t="s">
        <v>1357</v>
      </c>
    </row>
    <row r="9389" spans="6:12">
      <c r="H9389" t="s">
        <v>21142</v>
      </c>
      <c r="I9389" t="s">
        <v>1357</v>
      </c>
      <c r="J9389" t="s">
        <v>1357</v>
      </c>
      <c r="K9389" t="s">
        <v>1357</v>
      </c>
      <c r="L9389" t="s">
        <v>1357</v>
      </c>
    </row>
    <row r="9390" spans="6:12">
      <c r="H9390" t="s">
        <v>21143</v>
      </c>
      <c r="I9390" t="s">
        <v>1357</v>
      </c>
      <c r="J9390" t="s">
        <v>1357</v>
      </c>
      <c r="K9390" t="s">
        <v>1357</v>
      </c>
      <c r="L9390" t="s">
        <v>1357</v>
      </c>
    </row>
    <row r="9391" spans="6:12">
      <c r="H9391" t="s">
        <v>21144</v>
      </c>
      <c r="I9391" t="s">
        <v>1357</v>
      </c>
      <c r="J9391" t="s">
        <v>1357</v>
      </c>
      <c r="K9391" t="s">
        <v>1357</v>
      </c>
      <c r="L9391" t="s">
        <v>1357</v>
      </c>
    </row>
    <row r="9392" spans="6:12">
      <c r="H9392" t="s">
        <v>21145</v>
      </c>
      <c r="I9392" t="s">
        <v>1357</v>
      </c>
      <c r="J9392" t="s">
        <v>1357</v>
      </c>
      <c r="K9392" t="s">
        <v>1357</v>
      </c>
      <c r="L9392" t="s">
        <v>1357</v>
      </c>
    </row>
    <row r="9393" spans="1:12">
      <c r="F9393" t="s">
        <v>16028</v>
      </c>
      <c r="G9393" t="s">
        <v>18719</v>
      </c>
      <c r="H9393" t="s">
        <v>21146</v>
      </c>
      <c r="I9393" t="s">
        <v>1357</v>
      </c>
      <c r="J9393" t="s">
        <v>1357</v>
      </c>
      <c r="K9393" t="s">
        <v>1357</v>
      </c>
      <c r="L9393" t="s">
        <v>1357</v>
      </c>
    </row>
    <row r="9394" spans="1:12">
      <c r="H9394" t="s">
        <v>21147</v>
      </c>
      <c r="I9394" t="s">
        <v>1357</v>
      </c>
      <c r="J9394" t="s">
        <v>1357</v>
      </c>
      <c r="K9394" t="s">
        <v>1357</v>
      </c>
      <c r="L9394" t="s">
        <v>1357</v>
      </c>
    </row>
    <row r="9395" spans="1:12">
      <c r="H9395" t="s">
        <v>3843</v>
      </c>
      <c r="I9395" t="s">
        <v>1357</v>
      </c>
      <c r="J9395" t="s">
        <v>1357</v>
      </c>
      <c r="K9395" t="s">
        <v>1357</v>
      </c>
      <c r="L9395" t="s">
        <v>1357</v>
      </c>
    </row>
    <row r="9396" spans="1:12">
      <c r="H9396" t="s">
        <v>21148</v>
      </c>
      <c r="I9396" t="s">
        <v>1357</v>
      </c>
      <c r="J9396" t="s">
        <v>1357</v>
      </c>
      <c r="K9396" t="s">
        <v>1357</v>
      </c>
      <c r="L9396" t="s">
        <v>1357</v>
      </c>
    </row>
    <row r="9397" spans="1:12">
      <c r="H9397" t="s">
        <v>21149</v>
      </c>
      <c r="I9397" t="s">
        <v>1357</v>
      </c>
      <c r="J9397" t="s">
        <v>1357</v>
      </c>
      <c r="K9397" t="s">
        <v>1357</v>
      </c>
      <c r="L9397" t="s">
        <v>1357</v>
      </c>
    </row>
    <row r="9398" spans="1:12">
      <c r="H9398" t="s">
        <v>3799</v>
      </c>
      <c r="I9398" t="s">
        <v>1357</v>
      </c>
      <c r="J9398" t="s">
        <v>1357</v>
      </c>
      <c r="K9398" t="s">
        <v>1357</v>
      </c>
      <c r="L9398" t="s">
        <v>1357</v>
      </c>
    </row>
    <row r="9399" spans="1:12">
      <c r="A9399" t="s">
        <v>10258</v>
      </c>
      <c r="B9399">
        <f>HYPERLINK("https://android.googlesource.com/platform/cts/+/3986d5e3a1b71843a982ece781251f40ccdf840d", "3986d5e3a1b71843a982ece781251f40ccdf840d")</f>
        <v>0</v>
      </c>
      <c r="C9399">
        <f>HYPERLINK("https://android.googlesource.com/platform/cts/+/09eea44a5067f5eaa6233d771e607897c25823ca", "09eea44a5067f5eaa6233d771e607897c25823ca")</f>
        <v>0</v>
      </c>
      <c r="D9399" t="s">
        <v>12051</v>
      </c>
      <c r="E9399" t="s">
        <v>12820</v>
      </c>
      <c r="F9399" t="s">
        <v>16007</v>
      </c>
      <c r="G9399" t="s">
        <v>18699</v>
      </c>
      <c r="H9399" t="s">
        <v>21039</v>
      </c>
      <c r="I9399" t="s">
        <v>1357</v>
      </c>
      <c r="J9399" t="s">
        <v>1357</v>
      </c>
      <c r="K9399" t="s">
        <v>1357</v>
      </c>
      <c r="L9399" t="s">
        <v>1357</v>
      </c>
    </row>
    <row r="9400" spans="1:12">
      <c r="H9400" t="s">
        <v>21040</v>
      </c>
      <c r="I9400" t="s">
        <v>1357</v>
      </c>
      <c r="J9400" t="s">
        <v>1357</v>
      </c>
      <c r="K9400" t="s">
        <v>1357</v>
      </c>
      <c r="L9400" t="s">
        <v>1357</v>
      </c>
    </row>
    <row r="9401" spans="1:12">
      <c r="H9401" t="s">
        <v>21041</v>
      </c>
      <c r="I9401" t="s">
        <v>1357</v>
      </c>
      <c r="J9401" t="s">
        <v>1357</v>
      </c>
      <c r="K9401" t="s">
        <v>1357</v>
      </c>
      <c r="L9401" t="s">
        <v>1357</v>
      </c>
    </row>
    <row r="9402" spans="1:12">
      <c r="H9402" t="s">
        <v>21042</v>
      </c>
      <c r="I9402" t="s">
        <v>1357</v>
      </c>
      <c r="J9402" t="s">
        <v>1357</v>
      </c>
      <c r="K9402" t="s">
        <v>1357</v>
      </c>
      <c r="L9402" t="s">
        <v>1357</v>
      </c>
    </row>
    <row r="9403" spans="1:12">
      <c r="H9403" t="s">
        <v>21043</v>
      </c>
      <c r="I9403" t="s">
        <v>1357</v>
      </c>
      <c r="J9403" t="s">
        <v>1357</v>
      </c>
      <c r="K9403" t="s">
        <v>1357</v>
      </c>
      <c r="L9403" t="s">
        <v>1357</v>
      </c>
    </row>
    <row r="9404" spans="1:12">
      <c r="H9404" t="s">
        <v>21044</v>
      </c>
      <c r="I9404" t="s">
        <v>1357</v>
      </c>
      <c r="J9404" t="s">
        <v>1357</v>
      </c>
      <c r="K9404" t="s">
        <v>1357</v>
      </c>
      <c r="L9404" t="s">
        <v>1357</v>
      </c>
    </row>
    <row r="9405" spans="1:12">
      <c r="H9405" t="s">
        <v>21045</v>
      </c>
      <c r="I9405" t="s">
        <v>1357</v>
      </c>
      <c r="J9405" t="s">
        <v>1357</v>
      </c>
      <c r="K9405" t="s">
        <v>1357</v>
      </c>
      <c r="L9405" t="s">
        <v>1357</v>
      </c>
    </row>
    <row r="9406" spans="1:12">
      <c r="H9406" t="s">
        <v>21046</v>
      </c>
      <c r="I9406" t="s">
        <v>1357</v>
      </c>
      <c r="J9406" t="s">
        <v>1357</v>
      </c>
      <c r="K9406" t="s">
        <v>1357</v>
      </c>
      <c r="L9406" t="s">
        <v>1357</v>
      </c>
    </row>
    <row r="9407" spans="1:12">
      <c r="H9407" t="s">
        <v>21047</v>
      </c>
      <c r="I9407" t="s">
        <v>1357</v>
      </c>
      <c r="J9407" t="s">
        <v>1357</v>
      </c>
      <c r="K9407" t="s">
        <v>1357</v>
      </c>
      <c r="L9407" t="s">
        <v>1357</v>
      </c>
    </row>
    <row r="9408" spans="1:12">
      <c r="H9408" t="s">
        <v>21048</v>
      </c>
      <c r="I9408" t="s">
        <v>1357</v>
      </c>
      <c r="J9408" t="s">
        <v>1357</v>
      </c>
      <c r="K9408" t="s">
        <v>1357</v>
      </c>
      <c r="L9408" t="s">
        <v>1357</v>
      </c>
    </row>
    <row r="9409" spans="1:13">
      <c r="H9409" t="s">
        <v>21049</v>
      </c>
      <c r="I9409" t="s">
        <v>1357</v>
      </c>
      <c r="J9409" t="s">
        <v>1357</v>
      </c>
      <c r="K9409" t="s">
        <v>1357</v>
      </c>
      <c r="L9409" t="s">
        <v>1357</v>
      </c>
    </row>
    <row r="9410" spans="1:13">
      <c r="H9410" t="s">
        <v>21050</v>
      </c>
      <c r="I9410" t="s">
        <v>1357</v>
      </c>
      <c r="J9410" t="s">
        <v>1357</v>
      </c>
      <c r="K9410" t="s">
        <v>1357</v>
      </c>
      <c r="L9410" t="s">
        <v>1357</v>
      </c>
    </row>
    <row r="9411" spans="1:13">
      <c r="H9411" t="s">
        <v>21051</v>
      </c>
      <c r="I9411" t="s">
        <v>1357</v>
      </c>
      <c r="J9411" t="s">
        <v>1357</v>
      </c>
      <c r="K9411" t="s">
        <v>1357</v>
      </c>
      <c r="L9411" t="s">
        <v>1357</v>
      </c>
    </row>
    <row r="9412" spans="1:13">
      <c r="H9412" t="s">
        <v>21052</v>
      </c>
      <c r="I9412" t="s">
        <v>1357</v>
      </c>
      <c r="J9412" t="s">
        <v>1357</v>
      </c>
      <c r="K9412" t="s">
        <v>1357</v>
      </c>
      <c r="L9412" t="s">
        <v>1357</v>
      </c>
    </row>
    <row r="9413" spans="1:13">
      <c r="H9413" t="s">
        <v>21053</v>
      </c>
      <c r="I9413" t="s">
        <v>1357</v>
      </c>
      <c r="J9413" t="s">
        <v>1357</v>
      </c>
      <c r="K9413" t="s">
        <v>1357</v>
      </c>
      <c r="L9413" t="s">
        <v>1357</v>
      </c>
    </row>
    <row r="9414" spans="1:13">
      <c r="H9414" t="s">
        <v>21054</v>
      </c>
      <c r="I9414" t="s">
        <v>1357</v>
      </c>
      <c r="J9414" t="s">
        <v>1357</v>
      </c>
      <c r="K9414" t="s">
        <v>1357</v>
      </c>
      <c r="L9414" t="s">
        <v>1357</v>
      </c>
    </row>
    <row r="9415" spans="1:13">
      <c r="H9415" t="s">
        <v>21055</v>
      </c>
      <c r="I9415" t="s">
        <v>1357</v>
      </c>
      <c r="J9415" t="s">
        <v>1357</v>
      </c>
      <c r="K9415" t="s">
        <v>1357</v>
      </c>
      <c r="L9415" t="s">
        <v>1357</v>
      </c>
    </row>
    <row r="9416" spans="1:13">
      <c r="H9416" t="s">
        <v>21056</v>
      </c>
      <c r="I9416" t="s">
        <v>1357</v>
      </c>
      <c r="J9416" t="s">
        <v>1357</v>
      </c>
      <c r="K9416" t="s">
        <v>1357</v>
      </c>
      <c r="L9416" t="s">
        <v>1357</v>
      </c>
    </row>
    <row r="9417" spans="1:13">
      <c r="H9417" t="s">
        <v>21057</v>
      </c>
      <c r="I9417" t="s">
        <v>1357</v>
      </c>
      <c r="J9417" t="s">
        <v>1357</v>
      </c>
      <c r="K9417" t="s">
        <v>1357</v>
      </c>
      <c r="L9417" t="s">
        <v>1357</v>
      </c>
    </row>
    <row r="9418" spans="1:13">
      <c r="H9418" t="s">
        <v>21058</v>
      </c>
      <c r="I9418" t="s">
        <v>1357</v>
      </c>
      <c r="J9418" t="s">
        <v>1357</v>
      </c>
      <c r="K9418" t="s">
        <v>1357</v>
      </c>
      <c r="L9418" t="s">
        <v>1357</v>
      </c>
    </row>
    <row r="9419" spans="1:13">
      <c r="H9419" t="s">
        <v>21059</v>
      </c>
      <c r="I9419" t="s">
        <v>1357</v>
      </c>
      <c r="J9419" t="s">
        <v>1357</v>
      </c>
      <c r="K9419" t="s">
        <v>1357</v>
      </c>
      <c r="L9419" t="s">
        <v>1357</v>
      </c>
    </row>
    <row r="9420" spans="1:13">
      <c r="H9420" t="s">
        <v>21060</v>
      </c>
      <c r="I9420" t="s">
        <v>1357</v>
      </c>
      <c r="J9420" t="s">
        <v>1357</v>
      </c>
      <c r="K9420" t="s">
        <v>1357</v>
      </c>
      <c r="L9420" t="s">
        <v>1357</v>
      </c>
      <c r="M9420" t="s">
        <v>27476</v>
      </c>
    </row>
    <row r="9421" spans="1:13">
      <c r="H9421" t="s">
        <v>21061</v>
      </c>
      <c r="I9421" t="s">
        <v>1357</v>
      </c>
      <c r="J9421" t="s">
        <v>1357</v>
      </c>
      <c r="K9421" t="s">
        <v>1357</v>
      </c>
      <c r="L9421" t="s">
        <v>1357</v>
      </c>
    </row>
    <row r="9422" spans="1:13">
      <c r="H9422" t="s">
        <v>21062</v>
      </c>
      <c r="I9422" t="s">
        <v>1357</v>
      </c>
      <c r="J9422" t="s">
        <v>1357</v>
      </c>
      <c r="K9422" t="s">
        <v>1357</v>
      </c>
      <c r="L9422" t="s">
        <v>1357</v>
      </c>
    </row>
    <row r="9423" spans="1:13">
      <c r="A9423" t="s">
        <v>10259</v>
      </c>
      <c r="B9423">
        <f>HYPERLINK("https://android.googlesource.com/platform/cts/+/8bd84f742639deeac362f660f8d304a6d9cce34b", "8bd84f742639deeac362f660f8d304a6d9cce34b")</f>
        <v>0</v>
      </c>
      <c r="C9423">
        <f>HYPERLINK("https://android.googlesource.com/platform/cts/+/a97a16bee3277b96ba836a8f1b653d7d638a2b41", "a97a16bee3277b96ba836a8f1b653d7d638a2b41")</f>
        <v>0</v>
      </c>
      <c r="D9423" t="s">
        <v>12051</v>
      </c>
      <c r="E9423" t="s">
        <v>12821</v>
      </c>
      <c r="F9423" t="s">
        <v>16007</v>
      </c>
      <c r="G9423" t="s">
        <v>18699</v>
      </c>
      <c r="H9423" t="s">
        <v>21039</v>
      </c>
      <c r="I9423" t="s">
        <v>1357</v>
      </c>
      <c r="J9423" t="s">
        <v>1357</v>
      </c>
      <c r="K9423" t="s">
        <v>1357</v>
      </c>
      <c r="L9423" t="s">
        <v>1357</v>
      </c>
    </row>
    <row r="9424" spans="1:13">
      <c r="H9424" t="s">
        <v>21040</v>
      </c>
      <c r="I9424" t="s">
        <v>1357</v>
      </c>
      <c r="J9424" t="s">
        <v>1357</v>
      </c>
      <c r="K9424" t="s">
        <v>1357</v>
      </c>
      <c r="L9424" t="s">
        <v>1357</v>
      </c>
    </row>
    <row r="9425" spans="8:12">
      <c r="H9425" t="s">
        <v>21041</v>
      </c>
      <c r="I9425" t="s">
        <v>1357</v>
      </c>
      <c r="J9425" t="s">
        <v>1357</v>
      </c>
      <c r="K9425" t="s">
        <v>1357</v>
      </c>
      <c r="L9425" t="s">
        <v>1357</v>
      </c>
    </row>
    <row r="9426" spans="8:12">
      <c r="H9426" t="s">
        <v>21042</v>
      </c>
      <c r="I9426" t="s">
        <v>1357</v>
      </c>
      <c r="J9426" t="s">
        <v>1357</v>
      </c>
      <c r="K9426" t="s">
        <v>1357</v>
      </c>
      <c r="L9426" t="s">
        <v>1357</v>
      </c>
    </row>
    <row r="9427" spans="8:12">
      <c r="H9427" t="s">
        <v>21043</v>
      </c>
      <c r="I9427" t="s">
        <v>1357</v>
      </c>
      <c r="J9427" t="s">
        <v>1357</v>
      </c>
      <c r="K9427" t="s">
        <v>1357</v>
      </c>
      <c r="L9427" t="s">
        <v>1357</v>
      </c>
    </row>
    <row r="9428" spans="8:12">
      <c r="H9428" t="s">
        <v>21044</v>
      </c>
      <c r="I9428" t="s">
        <v>1357</v>
      </c>
      <c r="J9428" t="s">
        <v>1357</v>
      </c>
      <c r="K9428" t="s">
        <v>1357</v>
      </c>
      <c r="L9428" t="s">
        <v>1357</v>
      </c>
    </row>
    <row r="9429" spans="8:12">
      <c r="H9429" t="s">
        <v>21045</v>
      </c>
      <c r="I9429" t="s">
        <v>1357</v>
      </c>
      <c r="J9429" t="s">
        <v>1357</v>
      </c>
      <c r="K9429" t="s">
        <v>1357</v>
      </c>
      <c r="L9429" t="s">
        <v>1357</v>
      </c>
    </row>
    <row r="9430" spans="8:12">
      <c r="H9430" t="s">
        <v>21046</v>
      </c>
      <c r="I9430" t="s">
        <v>1357</v>
      </c>
      <c r="J9430" t="s">
        <v>1357</v>
      </c>
      <c r="K9430" t="s">
        <v>1357</v>
      </c>
      <c r="L9430" t="s">
        <v>1357</v>
      </c>
    </row>
    <row r="9431" spans="8:12">
      <c r="H9431" t="s">
        <v>21047</v>
      </c>
      <c r="I9431" t="s">
        <v>1357</v>
      </c>
      <c r="J9431" t="s">
        <v>1357</v>
      </c>
      <c r="K9431" t="s">
        <v>1357</v>
      </c>
      <c r="L9431" t="s">
        <v>1357</v>
      </c>
    </row>
    <row r="9432" spans="8:12">
      <c r="H9432" t="s">
        <v>21048</v>
      </c>
      <c r="I9432" t="s">
        <v>1357</v>
      </c>
      <c r="J9432" t="s">
        <v>1357</v>
      </c>
      <c r="K9432" t="s">
        <v>1357</v>
      </c>
      <c r="L9432" t="s">
        <v>1357</v>
      </c>
    </row>
    <row r="9433" spans="8:12">
      <c r="H9433" t="s">
        <v>21049</v>
      </c>
      <c r="I9433" t="s">
        <v>1357</v>
      </c>
      <c r="J9433" t="s">
        <v>1357</v>
      </c>
      <c r="K9433" t="s">
        <v>1357</v>
      </c>
      <c r="L9433" t="s">
        <v>1357</v>
      </c>
    </row>
    <row r="9434" spans="8:12">
      <c r="H9434" t="s">
        <v>21050</v>
      </c>
      <c r="I9434" t="s">
        <v>1357</v>
      </c>
      <c r="J9434" t="s">
        <v>1357</v>
      </c>
      <c r="K9434" t="s">
        <v>1357</v>
      </c>
      <c r="L9434" t="s">
        <v>1357</v>
      </c>
    </row>
    <row r="9435" spans="8:12">
      <c r="H9435" t="s">
        <v>21051</v>
      </c>
      <c r="I9435" t="s">
        <v>1357</v>
      </c>
      <c r="J9435" t="s">
        <v>1357</v>
      </c>
      <c r="K9435" t="s">
        <v>1357</v>
      </c>
      <c r="L9435" t="s">
        <v>1357</v>
      </c>
    </row>
    <row r="9436" spans="8:12">
      <c r="H9436" t="s">
        <v>21052</v>
      </c>
      <c r="I9436" t="s">
        <v>1357</v>
      </c>
      <c r="J9436" t="s">
        <v>1357</v>
      </c>
      <c r="K9436" t="s">
        <v>1357</v>
      </c>
      <c r="L9436" t="s">
        <v>1357</v>
      </c>
    </row>
    <row r="9437" spans="8:12">
      <c r="H9437" t="s">
        <v>21053</v>
      </c>
      <c r="I9437" t="s">
        <v>1357</v>
      </c>
      <c r="J9437" t="s">
        <v>1357</v>
      </c>
      <c r="K9437" t="s">
        <v>1357</v>
      </c>
      <c r="L9437" t="s">
        <v>1357</v>
      </c>
    </row>
    <row r="9438" spans="8:12">
      <c r="H9438" t="s">
        <v>21054</v>
      </c>
      <c r="I9438" t="s">
        <v>1357</v>
      </c>
      <c r="J9438" t="s">
        <v>1357</v>
      </c>
      <c r="K9438" t="s">
        <v>1357</v>
      </c>
      <c r="L9438" t="s">
        <v>1357</v>
      </c>
    </row>
    <row r="9439" spans="8:12">
      <c r="H9439" t="s">
        <v>21055</v>
      </c>
      <c r="I9439" t="s">
        <v>1357</v>
      </c>
      <c r="J9439" t="s">
        <v>1357</v>
      </c>
      <c r="K9439" t="s">
        <v>1357</v>
      </c>
      <c r="L9439" t="s">
        <v>1357</v>
      </c>
    </row>
    <row r="9440" spans="8:12">
      <c r="H9440" t="s">
        <v>21056</v>
      </c>
      <c r="I9440" t="s">
        <v>1357</v>
      </c>
      <c r="J9440" t="s">
        <v>1357</v>
      </c>
      <c r="K9440" t="s">
        <v>1357</v>
      </c>
      <c r="L9440" t="s">
        <v>1357</v>
      </c>
    </row>
    <row r="9441" spans="1:13">
      <c r="H9441" t="s">
        <v>21057</v>
      </c>
      <c r="I9441" t="s">
        <v>1357</v>
      </c>
      <c r="J9441" t="s">
        <v>1357</v>
      </c>
      <c r="K9441" t="s">
        <v>1357</v>
      </c>
      <c r="L9441" t="s">
        <v>1357</v>
      </c>
    </row>
    <row r="9442" spans="1:13">
      <c r="H9442" t="s">
        <v>21058</v>
      </c>
      <c r="I9442" t="s">
        <v>1357</v>
      </c>
      <c r="J9442" t="s">
        <v>1357</v>
      </c>
      <c r="K9442" t="s">
        <v>1357</v>
      </c>
      <c r="L9442" t="s">
        <v>1357</v>
      </c>
    </row>
    <row r="9443" spans="1:13">
      <c r="H9443" t="s">
        <v>21059</v>
      </c>
      <c r="I9443" t="s">
        <v>1357</v>
      </c>
      <c r="J9443" t="s">
        <v>1357</v>
      </c>
      <c r="K9443" t="s">
        <v>1357</v>
      </c>
      <c r="L9443" t="s">
        <v>1357</v>
      </c>
    </row>
    <row r="9444" spans="1:13">
      <c r="H9444" t="s">
        <v>21060</v>
      </c>
      <c r="I9444" t="s">
        <v>1357</v>
      </c>
      <c r="J9444" t="s">
        <v>1357</v>
      </c>
      <c r="K9444" t="s">
        <v>1357</v>
      </c>
      <c r="L9444" t="s">
        <v>1357</v>
      </c>
      <c r="M9444" t="s">
        <v>27476</v>
      </c>
    </row>
    <row r="9445" spans="1:13">
      <c r="H9445" t="s">
        <v>21061</v>
      </c>
      <c r="I9445" t="s">
        <v>1357</v>
      </c>
      <c r="J9445" t="s">
        <v>1357</v>
      </c>
      <c r="K9445" t="s">
        <v>1357</v>
      </c>
      <c r="L9445" t="s">
        <v>1357</v>
      </c>
    </row>
    <row r="9446" spans="1:13">
      <c r="H9446" t="s">
        <v>21062</v>
      </c>
      <c r="I9446" t="s">
        <v>1357</v>
      </c>
      <c r="J9446" t="s">
        <v>1357</v>
      </c>
      <c r="K9446" t="s">
        <v>1357</v>
      </c>
      <c r="L9446" t="s">
        <v>1357</v>
      </c>
    </row>
    <row r="9447" spans="1:13">
      <c r="A9447" t="s">
        <v>10260</v>
      </c>
      <c r="B9447">
        <f>HYPERLINK("https://android.googlesource.com/platform/cts/+/c8d1d101a6ea2e18576da17733e31a566a12d0e6", "c8d1d101a6ea2e18576da17733e31a566a12d0e6")</f>
        <v>0</v>
      </c>
      <c r="C9447">
        <f>HYPERLINK("https://android.googlesource.com/platform/cts/+/b014cf523a2b089b6f7082585d8bcae25a89af63", "b014cf523a2b089b6f7082585d8bcae25a89af63")</f>
        <v>0</v>
      </c>
      <c r="D9447" t="s">
        <v>12039</v>
      </c>
      <c r="E9447" t="s">
        <v>12822</v>
      </c>
      <c r="F9447" t="s">
        <v>15999</v>
      </c>
      <c r="G9447" t="s">
        <v>18691</v>
      </c>
      <c r="H9447" t="s">
        <v>21150</v>
      </c>
      <c r="I9447" t="s">
        <v>1357</v>
      </c>
      <c r="J9447" t="s">
        <v>1357</v>
      </c>
      <c r="K9447" t="s">
        <v>1357</v>
      </c>
      <c r="L9447" t="s">
        <v>1357</v>
      </c>
    </row>
    <row r="9448" spans="1:13">
      <c r="H9448" t="s">
        <v>21151</v>
      </c>
      <c r="I9448" t="s">
        <v>1357</v>
      </c>
      <c r="J9448" t="s">
        <v>1357</v>
      </c>
      <c r="K9448" t="s">
        <v>1357</v>
      </c>
      <c r="L9448" t="s">
        <v>1357</v>
      </c>
    </row>
    <row r="9449" spans="1:13">
      <c r="H9449" t="s">
        <v>21152</v>
      </c>
      <c r="I9449" t="s">
        <v>1357</v>
      </c>
      <c r="J9449" t="s">
        <v>1357</v>
      </c>
      <c r="K9449" t="s">
        <v>1357</v>
      </c>
      <c r="L9449" t="s">
        <v>1357</v>
      </c>
    </row>
    <row r="9450" spans="1:13">
      <c r="H9450" t="s">
        <v>21153</v>
      </c>
      <c r="I9450" t="s">
        <v>1357</v>
      </c>
      <c r="J9450" t="s">
        <v>1357</v>
      </c>
      <c r="K9450" t="s">
        <v>1357</v>
      </c>
      <c r="L9450" t="s">
        <v>1357</v>
      </c>
    </row>
    <row r="9451" spans="1:13">
      <c r="H9451" t="s">
        <v>21154</v>
      </c>
      <c r="I9451" t="s">
        <v>1357</v>
      </c>
      <c r="J9451" t="s">
        <v>1357</v>
      </c>
      <c r="K9451" t="s">
        <v>1357</v>
      </c>
      <c r="L9451" t="s">
        <v>1357</v>
      </c>
    </row>
    <row r="9452" spans="1:13">
      <c r="H9452" t="s">
        <v>21155</v>
      </c>
      <c r="I9452" t="s">
        <v>1357</v>
      </c>
      <c r="J9452" t="s">
        <v>1357</v>
      </c>
      <c r="K9452" t="s">
        <v>1357</v>
      </c>
      <c r="L9452" t="s">
        <v>1357</v>
      </c>
    </row>
    <row r="9453" spans="1:13">
      <c r="H9453" t="s">
        <v>21156</v>
      </c>
      <c r="I9453" t="s">
        <v>1357</v>
      </c>
      <c r="J9453" t="s">
        <v>1357</v>
      </c>
      <c r="K9453" t="s">
        <v>1357</v>
      </c>
      <c r="L9453" t="s">
        <v>1357</v>
      </c>
    </row>
    <row r="9454" spans="1:13">
      <c r="H9454" t="s">
        <v>21157</v>
      </c>
      <c r="I9454" t="s">
        <v>1357</v>
      </c>
      <c r="J9454" t="s">
        <v>1357</v>
      </c>
      <c r="K9454" t="s">
        <v>1357</v>
      </c>
      <c r="L9454" t="s">
        <v>1357</v>
      </c>
    </row>
    <row r="9455" spans="1:13">
      <c r="H9455" t="s">
        <v>21158</v>
      </c>
      <c r="I9455" t="s">
        <v>1357</v>
      </c>
      <c r="J9455" t="s">
        <v>1357</v>
      </c>
      <c r="K9455" t="s">
        <v>1357</v>
      </c>
      <c r="L9455" t="s">
        <v>1357</v>
      </c>
    </row>
    <row r="9456" spans="1:13">
      <c r="H9456" t="s">
        <v>21159</v>
      </c>
      <c r="I9456" t="s">
        <v>1357</v>
      </c>
      <c r="J9456" t="s">
        <v>1357</v>
      </c>
      <c r="K9456" t="s">
        <v>1357</v>
      </c>
      <c r="L9456" t="s">
        <v>1357</v>
      </c>
    </row>
    <row r="9457" spans="8:12">
      <c r="H9457" t="s">
        <v>21160</v>
      </c>
      <c r="I9457" t="s">
        <v>1357</v>
      </c>
      <c r="J9457" t="s">
        <v>1357</v>
      </c>
      <c r="K9457" t="s">
        <v>1357</v>
      </c>
      <c r="L9457" t="s">
        <v>1357</v>
      </c>
    </row>
    <row r="9458" spans="8:12">
      <c r="H9458" t="s">
        <v>21161</v>
      </c>
      <c r="I9458" t="s">
        <v>1357</v>
      </c>
      <c r="J9458" t="s">
        <v>1357</v>
      </c>
      <c r="K9458" t="s">
        <v>1357</v>
      </c>
      <c r="L9458" t="s">
        <v>1357</v>
      </c>
    </row>
    <row r="9459" spans="8:12">
      <c r="H9459" t="s">
        <v>21162</v>
      </c>
      <c r="I9459" t="s">
        <v>1357</v>
      </c>
      <c r="J9459" t="s">
        <v>1357</v>
      </c>
      <c r="K9459" t="s">
        <v>1357</v>
      </c>
      <c r="L9459" t="s">
        <v>1357</v>
      </c>
    </row>
    <row r="9460" spans="8:12">
      <c r="H9460" t="s">
        <v>21163</v>
      </c>
      <c r="I9460" t="s">
        <v>1357</v>
      </c>
      <c r="J9460" t="s">
        <v>1357</v>
      </c>
      <c r="K9460" t="s">
        <v>1357</v>
      </c>
      <c r="L9460" t="s">
        <v>1357</v>
      </c>
    </row>
    <row r="9461" spans="8:12">
      <c r="H9461" t="s">
        <v>21164</v>
      </c>
      <c r="I9461" t="s">
        <v>1357</v>
      </c>
      <c r="J9461" t="s">
        <v>1357</v>
      </c>
      <c r="K9461" t="s">
        <v>1357</v>
      </c>
      <c r="L9461" t="s">
        <v>1357</v>
      </c>
    </row>
    <row r="9462" spans="8:12">
      <c r="H9462" t="s">
        <v>21165</v>
      </c>
      <c r="I9462" t="s">
        <v>1357</v>
      </c>
      <c r="J9462" t="s">
        <v>1357</v>
      </c>
      <c r="K9462" t="s">
        <v>1357</v>
      </c>
      <c r="L9462" t="s">
        <v>1357</v>
      </c>
    </row>
    <row r="9463" spans="8:12">
      <c r="H9463" t="s">
        <v>21166</v>
      </c>
      <c r="I9463" t="s">
        <v>1357</v>
      </c>
      <c r="J9463" t="s">
        <v>1357</v>
      </c>
      <c r="K9463" t="s">
        <v>1357</v>
      </c>
      <c r="L9463" t="s">
        <v>1357</v>
      </c>
    </row>
    <row r="9464" spans="8:12">
      <c r="H9464" t="s">
        <v>21167</v>
      </c>
      <c r="I9464" t="s">
        <v>1357</v>
      </c>
      <c r="J9464" t="s">
        <v>1357</v>
      </c>
      <c r="K9464" t="s">
        <v>1357</v>
      </c>
      <c r="L9464" t="s">
        <v>1357</v>
      </c>
    </row>
    <row r="9465" spans="8:12">
      <c r="H9465" t="s">
        <v>21168</v>
      </c>
      <c r="I9465" t="s">
        <v>1357</v>
      </c>
      <c r="J9465" t="s">
        <v>1357</v>
      </c>
      <c r="K9465" t="s">
        <v>1357</v>
      </c>
      <c r="L9465" t="s">
        <v>1357</v>
      </c>
    </row>
    <row r="9466" spans="8:12">
      <c r="H9466" t="s">
        <v>21169</v>
      </c>
      <c r="I9466" t="s">
        <v>1357</v>
      </c>
      <c r="J9466" t="s">
        <v>1357</v>
      </c>
      <c r="K9466" t="s">
        <v>1357</v>
      </c>
      <c r="L9466" t="s">
        <v>1357</v>
      </c>
    </row>
    <row r="9467" spans="8:12">
      <c r="H9467" t="s">
        <v>21170</v>
      </c>
      <c r="I9467" t="s">
        <v>1357</v>
      </c>
      <c r="J9467" t="s">
        <v>1357</v>
      </c>
      <c r="K9467" t="s">
        <v>1357</v>
      </c>
      <c r="L9467" t="s">
        <v>1357</v>
      </c>
    </row>
    <row r="9468" spans="8:12">
      <c r="H9468" t="s">
        <v>21171</v>
      </c>
      <c r="I9468" t="s">
        <v>1357</v>
      </c>
      <c r="J9468" t="s">
        <v>1357</v>
      </c>
      <c r="K9468" t="s">
        <v>1357</v>
      </c>
      <c r="L9468" t="s">
        <v>1357</v>
      </c>
    </row>
    <row r="9469" spans="8:12">
      <c r="H9469" t="s">
        <v>21172</v>
      </c>
      <c r="I9469" t="s">
        <v>1357</v>
      </c>
      <c r="J9469" t="s">
        <v>1357</v>
      </c>
      <c r="K9469" t="s">
        <v>1357</v>
      </c>
      <c r="L9469" t="s">
        <v>1357</v>
      </c>
    </row>
    <row r="9470" spans="8:12">
      <c r="H9470" t="s">
        <v>21173</v>
      </c>
      <c r="I9470" t="s">
        <v>1357</v>
      </c>
      <c r="J9470" t="s">
        <v>1357</v>
      </c>
      <c r="K9470" t="s">
        <v>1357</v>
      </c>
      <c r="L9470" t="s">
        <v>1357</v>
      </c>
    </row>
    <row r="9471" spans="8:12">
      <c r="H9471" t="s">
        <v>21174</v>
      </c>
      <c r="I9471" t="s">
        <v>1357</v>
      </c>
      <c r="J9471" t="s">
        <v>1357</v>
      </c>
      <c r="K9471" t="s">
        <v>1357</v>
      </c>
      <c r="L9471" t="s">
        <v>1357</v>
      </c>
    </row>
    <row r="9472" spans="8:12">
      <c r="H9472" t="s">
        <v>21175</v>
      </c>
      <c r="I9472" t="s">
        <v>1357</v>
      </c>
      <c r="J9472" t="s">
        <v>1357</v>
      </c>
      <c r="K9472" t="s">
        <v>1357</v>
      </c>
      <c r="L9472" t="s">
        <v>1357</v>
      </c>
    </row>
    <row r="9473" spans="8:12">
      <c r="H9473" t="s">
        <v>21176</v>
      </c>
      <c r="I9473" t="s">
        <v>1357</v>
      </c>
      <c r="J9473" t="s">
        <v>1357</v>
      </c>
      <c r="K9473" t="s">
        <v>1357</v>
      </c>
      <c r="L9473" t="s">
        <v>1357</v>
      </c>
    </row>
    <row r="9474" spans="8:12">
      <c r="H9474" t="s">
        <v>21177</v>
      </c>
      <c r="I9474" t="s">
        <v>1357</v>
      </c>
      <c r="J9474" t="s">
        <v>1357</v>
      </c>
      <c r="K9474" t="s">
        <v>1357</v>
      </c>
      <c r="L9474" t="s">
        <v>1357</v>
      </c>
    </row>
    <row r="9475" spans="8:12">
      <c r="H9475" t="s">
        <v>21178</v>
      </c>
      <c r="I9475" t="s">
        <v>1357</v>
      </c>
      <c r="J9475" t="s">
        <v>1357</v>
      </c>
      <c r="K9475" t="s">
        <v>1357</v>
      </c>
      <c r="L9475" t="s">
        <v>1357</v>
      </c>
    </row>
    <row r="9476" spans="8:12">
      <c r="H9476" t="s">
        <v>21179</v>
      </c>
      <c r="I9476" t="s">
        <v>1357</v>
      </c>
      <c r="J9476" t="s">
        <v>1357</v>
      </c>
      <c r="K9476" t="s">
        <v>1357</v>
      </c>
      <c r="L9476" t="s">
        <v>1357</v>
      </c>
    </row>
    <row r="9477" spans="8:12">
      <c r="H9477" t="s">
        <v>21180</v>
      </c>
      <c r="I9477" t="s">
        <v>1357</v>
      </c>
      <c r="J9477" t="s">
        <v>1357</v>
      </c>
      <c r="K9477" t="s">
        <v>1357</v>
      </c>
      <c r="L9477" t="s">
        <v>1357</v>
      </c>
    </row>
    <row r="9478" spans="8:12">
      <c r="H9478" t="s">
        <v>21181</v>
      </c>
      <c r="I9478" t="s">
        <v>1357</v>
      </c>
      <c r="J9478" t="s">
        <v>1357</v>
      </c>
      <c r="K9478" t="s">
        <v>1357</v>
      </c>
      <c r="L9478" t="s">
        <v>1357</v>
      </c>
    </row>
    <row r="9479" spans="8:12">
      <c r="H9479" t="s">
        <v>21182</v>
      </c>
      <c r="I9479" t="s">
        <v>1357</v>
      </c>
      <c r="J9479" t="s">
        <v>1357</v>
      </c>
      <c r="K9479" t="s">
        <v>1357</v>
      </c>
      <c r="L9479" t="s">
        <v>1357</v>
      </c>
    </row>
    <row r="9480" spans="8:12">
      <c r="H9480" t="s">
        <v>21183</v>
      </c>
      <c r="I9480" t="s">
        <v>1357</v>
      </c>
      <c r="J9480" t="s">
        <v>1357</v>
      </c>
      <c r="K9480" t="s">
        <v>1357</v>
      </c>
      <c r="L9480" t="s">
        <v>1357</v>
      </c>
    </row>
    <row r="9481" spans="8:12">
      <c r="H9481" t="s">
        <v>21184</v>
      </c>
      <c r="I9481" t="s">
        <v>1357</v>
      </c>
      <c r="J9481" t="s">
        <v>1357</v>
      </c>
      <c r="K9481" t="s">
        <v>1357</v>
      </c>
      <c r="L9481" t="s">
        <v>1357</v>
      </c>
    </row>
    <row r="9482" spans="8:12">
      <c r="H9482" t="s">
        <v>21185</v>
      </c>
      <c r="I9482" t="s">
        <v>1357</v>
      </c>
      <c r="J9482" t="s">
        <v>1357</v>
      </c>
      <c r="K9482" t="s">
        <v>1357</v>
      </c>
      <c r="L9482" t="s">
        <v>1357</v>
      </c>
    </row>
    <row r="9483" spans="8:12">
      <c r="H9483" t="s">
        <v>21186</v>
      </c>
      <c r="I9483" t="s">
        <v>1357</v>
      </c>
      <c r="J9483" t="s">
        <v>1357</v>
      </c>
      <c r="K9483" t="s">
        <v>1357</v>
      </c>
      <c r="L9483" t="s">
        <v>1357</v>
      </c>
    </row>
    <row r="9484" spans="8:12">
      <c r="H9484" t="s">
        <v>21187</v>
      </c>
      <c r="I9484" t="s">
        <v>1357</v>
      </c>
      <c r="J9484" t="s">
        <v>1357</v>
      </c>
      <c r="K9484" t="s">
        <v>1357</v>
      </c>
      <c r="L9484" t="s">
        <v>1357</v>
      </c>
    </row>
    <row r="9485" spans="8:12">
      <c r="H9485" t="s">
        <v>21188</v>
      </c>
      <c r="I9485" t="s">
        <v>1357</v>
      </c>
      <c r="J9485" t="s">
        <v>1357</v>
      </c>
      <c r="K9485" t="s">
        <v>1357</v>
      </c>
      <c r="L9485" t="s">
        <v>1357</v>
      </c>
    </row>
    <row r="9486" spans="8:12">
      <c r="H9486" t="s">
        <v>21189</v>
      </c>
      <c r="I9486" t="s">
        <v>1357</v>
      </c>
      <c r="J9486" t="s">
        <v>1357</v>
      </c>
      <c r="K9486" t="s">
        <v>1357</v>
      </c>
      <c r="L9486" t="s">
        <v>1357</v>
      </c>
    </row>
    <row r="9487" spans="8:12">
      <c r="H9487" t="s">
        <v>21190</v>
      </c>
      <c r="I9487" t="s">
        <v>1357</v>
      </c>
      <c r="J9487" t="s">
        <v>1357</v>
      </c>
      <c r="K9487" t="s">
        <v>1357</v>
      </c>
      <c r="L9487" t="s">
        <v>1357</v>
      </c>
    </row>
    <row r="9488" spans="8:12">
      <c r="H9488" t="s">
        <v>21191</v>
      </c>
      <c r="I9488" t="s">
        <v>1357</v>
      </c>
      <c r="J9488" t="s">
        <v>1357</v>
      </c>
      <c r="K9488" t="s">
        <v>1357</v>
      </c>
      <c r="L9488" t="s">
        <v>1357</v>
      </c>
    </row>
    <row r="9489" spans="8:12">
      <c r="H9489" t="s">
        <v>21192</v>
      </c>
      <c r="I9489" t="s">
        <v>1357</v>
      </c>
      <c r="J9489" t="s">
        <v>1357</v>
      </c>
      <c r="K9489" t="s">
        <v>1357</v>
      </c>
      <c r="L9489" t="s">
        <v>1357</v>
      </c>
    </row>
    <row r="9490" spans="8:12">
      <c r="H9490" t="s">
        <v>21193</v>
      </c>
      <c r="I9490" t="s">
        <v>1357</v>
      </c>
      <c r="J9490" t="s">
        <v>1357</v>
      </c>
      <c r="K9490" t="s">
        <v>1357</v>
      </c>
      <c r="L9490" t="s">
        <v>1357</v>
      </c>
    </row>
    <row r="9491" spans="8:12">
      <c r="H9491" t="s">
        <v>21194</v>
      </c>
      <c r="I9491" t="s">
        <v>1357</v>
      </c>
      <c r="J9491" t="s">
        <v>1357</v>
      </c>
      <c r="K9491" t="s">
        <v>1357</v>
      </c>
      <c r="L9491" t="s">
        <v>1357</v>
      </c>
    </row>
    <row r="9492" spans="8:12">
      <c r="H9492" t="s">
        <v>21195</v>
      </c>
      <c r="I9492" t="s">
        <v>1357</v>
      </c>
      <c r="J9492" t="s">
        <v>1357</v>
      </c>
      <c r="K9492" t="s">
        <v>1357</v>
      </c>
      <c r="L9492" t="s">
        <v>1357</v>
      </c>
    </row>
    <row r="9493" spans="8:12">
      <c r="H9493" t="s">
        <v>21196</v>
      </c>
      <c r="I9493" t="s">
        <v>1357</v>
      </c>
      <c r="J9493" t="s">
        <v>1357</v>
      </c>
      <c r="K9493" t="s">
        <v>1357</v>
      </c>
      <c r="L9493" t="s">
        <v>1357</v>
      </c>
    </row>
    <row r="9494" spans="8:12">
      <c r="H9494" t="s">
        <v>21197</v>
      </c>
      <c r="I9494" t="s">
        <v>1357</v>
      </c>
      <c r="J9494" t="s">
        <v>1357</v>
      </c>
      <c r="K9494" t="s">
        <v>1357</v>
      </c>
      <c r="L9494" t="s">
        <v>1357</v>
      </c>
    </row>
    <row r="9495" spans="8:12">
      <c r="H9495" t="s">
        <v>21198</v>
      </c>
      <c r="I9495" t="s">
        <v>1357</v>
      </c>
      <c r="J9495" t="s">
        <v>1357</v>
      </c>
      <c r="K9495" t="s">
        <v>1357</v>
      </c>
      <c r="L9495" t="s">
        <v>1357</v>
      </c>
    </row>
    <row r="9496" spans="8:12">
      <c r="H9496" t="s">
        <v>21199</v>
      </c>
      <c r="I9496" t="s">
        <v>1357</v>
      </c>
      <c r="J9496" t="s">
        <v>1357</v>
      </c>
      <c r="K9496" t="s">
        <v>1357</v>
      </c>
      <c r="L9496" t="s">
        <v>1357</v>
      </c>
    </row>
    <row r="9497" spans="8:12">
      <c r="H9497" t="s">
        <v>21200</v>
      </c>
      <c r="I9497" t="s">
        <v>1357</v>
      </c>
      <c r="J9497" t="s">
        <v>1357</v>
      </c>
      <c r="K9497" t="s">
        <v>1357</v>
      </c>
      <c r="L9497" t="s">
        <v>1357</v>
      </c>
    </row>
    <row r="9498" spans="8:12">
      <c r="H9498" t="s">
        <v>21201</v>
      </c>
      <c r="I9498" t="s">
        <v>1357</v>
      </c>
      <c r="J9498" t="s">
        <v>1357</v>
      </c>
      <c r="K9498" t="s">
        <v>1357</v>
      </c>
      <c r="L9498" t="s">
        <v>1357</v>
      </c>
    </row>
    <row r="9499" spans="8:12">
      <c r="H9499" t="s">
        <v>21202</v>
      </c>
      <c r="I9499" t="s">
        <v>1357</v>
      </c>
      <c r="J9499" t="s">
        <v>1357</v>
      </c>
      <c r="K9499" t="s">
        <v>1357</v>
      </c>
      <c r="L9499" t="s">
        <v>1357</v>
      </c>
    </row>
    <row r="9500" spans="8:12">
      <c r="H9500" t="s">
        <v>21203</v>
      </c>
      <c r="I9500" t="s">
        <v>1357</v>
      </c>
      <c r="J9500" t="s">
        <v>1357</v>
      </c>
      <c r="K9500" t="s">
        <v>1357</v>
      </c>
      <c r="L9500" t="s">
        <v>1357</v>
      </c>
    </row>
    <row r="9501" spans="8:12">
      <c r="H9501" t="s">
        <v>21204</v>
      </c>
      <c r="I9501" t="s">
        <v>1357</v>
      </c>
      <c r="J9501" t="s">
        <v>1357</v>
      </c>
      <c r="K9501" t="s">
        <v>1357</v>
      </c>
      <c r="L9501" t="s">
        <v>1357</v>
      </c>
    </row>
    <row r="9502" spans="8:12">
      <c r="H9502" t="s">
        <v>21205</v>
      </c>
      <c r="I9502" t="s">
        <v>1357</v>
      </c>
      <c r="J9502" t="s">
        <v>1357</v>
      </c>
      <c r="K9502" t="s">
        <v>1357</v>
      </c>
      <c r="L9502" t="s">
        <v>1357</v>
      </c>
    </row>
    <row r="9503" spans="8:12">
      <c r="H9503" t="s">
        <v>21206</v>
      </c>
      <c r="I9503" t="s">
        <v>1357</v>
      </c>
      <c r="J9503" t="s">
        <v>1357</v>
      </c>
      <c r="K9503" t="s">
        <v>1357</v>
      </c>
      <c r="L9503" t="s">
        <v>1357</v>
      </c>
    </row>
    <row r="9504" spans="8:12">
      <c r="H9504" t="s">
        <v>21207</v>
      </c>
      <c r="I9504" t="s">
        <v>1357</v>
      </c>
      <c r="J9504" t="s">
        <v>1357</v>
      </c>
      <c r="K9504" t="s">
        <v>1357</v>
      </c>
      <c r="L9504" t="s">
        <v>1357</v>
      </c>
    </row>
    <row r="9505" spans="1:12">
      <c r="H9505" t="s">
        <v>21208</v>
      </c>
      <c r="I9505" t="s">
        <v>1357</v>
      </c>
      <c r="J9505" t="s">
        <v>1357</v>
      </c>
      <c r="K9505" t="s">
        <v>1357</v>
      </c>
      <c r="L9505" t="s">
        <v>1357</v>
      </c>
    </row>
    <row r="9506" spans="1:12">
      <c r="H9506" t="s">
        <v>21209</v>
      </c>
      <c r="I9506" t="s">
        <v>1357</v>
      </c>
      <c r="J9506" t="s">
        <v>1357</v>
      </c>
      <c r="K9506" t="s">
        <v>1357</v>
      </c>
      <c r="L9506" t="s">
        <v>1357</v>
      </c>
    </row>
    <row r="9507" spans="1:12">
      <c r="H9507" t="s">
        <v>21210</v>
      </c>
      <c r="I9507" t="s">
        <v>1357</v>
      </c>
      <c r="J9507" t="s">
        <v>1357</v>
      </c>
      <c r="K9507" t="s">
        <v>1357</v>
      </c>
      <c r="L9507" t="s">
        <v>1357</v>
      </c>
    </row>
    <row r="9508" spans="1:12">
      <c r="H9508" t="s">
        <v>21211</v>
      </c>
      <c r="I9508" t="s">
        <v>1357</v>
      </c>
      <c r="J9508" t="s">
        <v>1357</v>
      </c>
      <c r="K9508" t="s">
        <v>1357</v>
      </c>
      <c r="L9508" t="s">
        <v>1357</v>
      </c>
    </row>
    <row r="9509" spans="1:12">
      <c r="H9509" t="s">
        <v>21212</v>
      </c>
      <c r="I9509" t="s">
        <v>1357</v>
      </c>
      <c r="J9509" t="s">
        <v>1357</v>
      </c>
      <c r="K9509" t="s">
        <v>1357</v>
      </c>
      <c r="L9509" t="s">
        <v>1357</v>
      </c>
    </row>
    <row r="9510" spans="1:12">
      <c r="H9510" t="s">
        <v>21213</v>
      </c>
      <c r="I9510" t="s">
        <v>1357</v>
      </c>
      <c r="J9510" t="s">
        <v>1357</v>
      </c>
      <c r="K9510" t="s">
        <v>1357</v>
      </c>
      <c r="L9510" t="s">
        <v>1357</v>
      </c>
    </row>
    <row r="9511" spans="1:12">
      <c r="A9511" t="s">
        <v>10261</v>
      </c>
      <c r="B9511">
        <f>HYPERLINK("https://android.googlesource.com/platform/cts/+/42aaa5c186ad6d8d539ad4862dd900ff89e67eb3", "42aaa5c186ad6d8d539ad4862dd900ff89e67eb3")</f>
        <v>0</v>
      </c>
      <c r="C9511">
        <f>HYPERLINK("https://android.googlesource.com/platform/cts/+/0fe77eeeb920b3b4a8719f1fd7635979339cc32c", "0fe77eeeb920b3b4a8719f1fd7635979339cc32c")</f>
        <v>0</v>
      </c>
      <c r="D9511" t="s">
        <v>12051</v>
      </c>
      <c r="E9511" t="s">
        <v>12823</v>
      </c>
      <c r="F9511" t="s">
        <v>16007</v>
      </c>
      <c r="G9511" t="s">
        <v>18699</v>
      </c>
      <c r="H9511" t="s">
        <v>21039</v>
      </c>
      <c r="I9511" t="s">
        <v>1357</v>
      </c>
      <c r="J9511" t="s">
        <v>1357</v>
      </c>
      <c r="K9511" t="s">
        <v>1357</v>
      </c>
      <c r="L9511" t="s">
        <v>1357</v>
      </c>
    </row>
    <row r="9512" spans="1:12">
      <c r="H9512" t="s">
        <v>21040</v>
      </c>
      <c r="I9512" t="s">
        <v>1357</v>
      </c>
      <c r="J9512" t="s">
        <v>1357</v>
      </c>
      <c r="K9512" t="s">
        <v>1357</v>
      </c>
      <c r="L9512" t="s">
        <v>1357</v>
      </c>
    </row>
    <row r="9513" spans="1:12">
      <c r="H9513" t="s">
        <v>21041</v>
      </c>
      <c r="I9513" t="s">
        <v>1357</v>
      </c>
      <c r="J9513" t="s">
        <v>1357</v>
      </c>
      <c r="K9513" t="s">
        <v>1357</v>
      </c>
      <c r="L9513" t="s">
        <v>1357</v>
      </c>
    </row>
    <row r="9514" spans="1:12">
      <c r="H9514" t="s">
        <v>21042</v>
      </c>
      <c r="I9514" t="s">
        <v>1357</v>
      </c>
      <c r="J9514" t="s">
        <v>1357</v>
      </c>
      <c r="K9514" t="s">
        <v>1357</v>
      </c>
      <c r="L9514" t="s">
        <v>1357</v>
      </c>
    </row>
    <row r="9515" spans="1:12">
      <c r="H9515" t="s">
        <v>21043</v>
      </c>
      <c r="I9515" t="s">
        <v>1357</v>
      </c>
      <c r="J9515" t="s">
        <v>1357</v>
      </c>
      <c r="K9515" t="s">
        <v>1357</v>
      </c>
      <c r="L9515" t="s">
        <v>1357</v>
      </c>
    </row>
    <row r="9516" spans="1:12">
      <c r="H9516" t="s">
        <v>21044</v>
      </c>
      <c r="I9516" t="s">
        <v>1357</v>
      </c>
      <c r="J9516" t="s">
        <v>1357</v>
      </c>
      <c r="K9516" t="s">
        <v>1357</v>
      </c>
      <c r="L9516" t="s">
        <v>1357</v>
      </c>
    </row>
    <row r="9517" spans="1:12">
      <c r="H9517" t="s">
        <v>21045</v>
      </c>
      <c r="I9517" t="s">
        <v>1357</v>
      </c>
      <c r="J9517" t="s">
        <v>1357</v>
      </c>
      <c r="K9517" t="s">
        <v>1357</v>
      </c>
      <c r="L9517" t="s">
        <v>1357</v>
      </c>
    </row>
    <row r="9518" spans="1:12">
      <c r="H9518" t="s">
        <v>21046</v>
      </c>
      <c r="I9518" t="s">
        <v>1357</v>
      </c>
      <c r="J9518" t="s">
        <v>1357</v>
      </c>
      <c r="K9518" t="s">
        <v>1357</v>
      </c>
      <c r="L9518" t="s">
        <v>1357</v>
      </c>
    </row>
    <row r="9519" spans="1:12">
      <c r="H9519" t="s">
        <v>21047</v>
      </c>
      <c r="I9519" t="s">
        <v>1357</v>
      </c>
      <c r="J9519" t="s">
        <v>1357</v>
      </c>
      <c r="K9519" t="s">
        <v>1357</v>
      </c>
      <c r="L9519" t="s">
        <v>1357</v>
      </c>
    </row>
    <row r="9520" spans="1:12">
      <c r="H9520" t="s">
        <v>21048</v>
      </c>
      <c r="I9520" t="s">
        <v>1357</v>
      </c>
      <c r="J9520" t="s">
        <v>1357</v>
      </c>
      <c r="K9520" t="s">
        <v>1357</v>
      </c>
      <c r="L9520" t="s">
        <v>1357</v>
      </c>
    </row>
    <row r="9521" spans="1:13">
      <c r="H9521" t="s">
        <v>21049</v>
      </c>
      <c r="I9521" t="s">
        <v>1357</v>
      </c>
      <c r="J9521" t="s">
        <v>1357</v>
      </c>
      <c r="K9521" t="s">
        <v>1357</v>
      </c>
      <c r="L9521" t="s">
        <v>1357</v>
      </c>
    </row>
    <row r="9522" spans="1:13">
      <c r="H9522" t="s">
        <v>21050</v>
      </c>
      <c r="I9522" t="s">
        <v>1357</v>
      </c>
      <c r="J9522" t="s">
        <v>1357</v>
      </c>
      <c r="K9522" t="s">
        <v>1357</v>
      </c>
      <c r="L9522" t="s">
        <v>1357</v>
      </c>
    </row>
    <row r="9523" spans="1:13">
      <c r="H9523" t="s">
        <v>21051</v>
      </c>
      <c r="I9523" t="s">
        <v>1357</v>
      </c>
      <c r="J9523" t="s">
        <v>1357</v>
      </c>
      <c r="K9523" t="s">
        <v>1357</v>
      </c>
      <c r="L9523" t="s">
        <v>1357</v>
      </c>
    </row>
    <row r="9524" spans="1:13">
      <c r="H9524" t="s">
        <v>21052</v>
      </c>
      <c r="I9524" t="s">
        <v>1357</v>
      </c>
      <c r="J9524" t="s">
        <v>1357</v>
      </c>
      <c r="K9524" t="s">
        <v>1357</v>
      </c>
      <c r="L9524" t="s">
        <v>1357</v>
      </c>
    </row>
    <row r="9525" spans="1:13">
      <c r="H9525" t="s">
        <v>21053</v>
      </c>
      <c r="I9525" t="s">
        <v>1357</v>
      </c>
      <c r="J9525" t="s">
        <v>1357</v>
      </c>
      <c r="K9525" t="s">
        <v>1357</v>
      </c>
      <c r="L9525" t="s">
        <v>1357</v>
      </c>
    </row>
    <row r="9526" spans="1:13">
      <c r="H9526" t="s">
        <v>21054</v>
      </c>
      <c r="I9526" t="s">
        <v>1357</v>
      </c>
      <c r="J9526" t="s">
        <v>1357</v>
      </c>
      <c r="K9526" t="s">
        <v>1357</v>
      </c>
      <c r="L9526" t="s">
        <v>1357</v>
      </c>
    </row>
    <row r="9527" spans="1:13">
      <c r="H9527" t="s">
        <v>21055</v>
      </c>
      <c r="I9527" t="s">
        <v>1357</v>
      </c>
      <c r="J9527" t="s">
        <v>1357</v>
      </c>
      <c r="K9527" t="s">
        <v>1357</v>
      </c>
      <c r="L9527" t="s">
        <v>1357</v>
      </c>
    </row>
    <row r="9528" spans="1:13">
      <c r="H9528" t="s">
        <v>21056</v>
      </c>
      <c r="I9528" t="s">
        <v>1357</v>
      </c>
      <c r="J9528" t="s">
        <v>1357</v>
      </c>
      <c r="K9528" t="s">
        <v>1357</v>
      </c>
      <c r="L9528" t="s">
        <v>1357</v>
      </c>
    </row>
    <row r="9529" spans="1:13">
      <c r="H9529" t="s">
        <v>21057</v>
      </c>
      <c r="I9529" t="s">
        <v>1357</v>
      </c>
      <c r="J9529" t="s">
        <v>1357</v>
      </c>
      <c r="K9529" t="s">
        <v>1357</v>
      </c>
      <c r="L9529" t="s">
        <v>1357</v>
      </c>
    </row>
    <row r="9530" spans="1:13">
      <c r="H9530" t="s">
        <v>21058</v>
      </c>
      <c r="I9530" t="s">
        <v>1357</v>
      </c>
      <c r="J9530" t="s">
        <v>1357</v>
      </c>
      <c r="K9530" t="s">
        <v>1357</v>
      </c>
      <c r="L9530" t="s">
        <v>1357</v>
      </c>
    </row>
    <row r="9531" spans="1:13">
      <c r="H9531" t="s">
        <v>21059</v>
      </c>
      <c r="I9531" t="s">
        <v>1357</v>
      </c>
      <c r="J9531" t="s">
        <v>1357</v>
      </c>
      <c r="K9531" t="s">
        <v>1357</v>
      </c>
      <c r="L9531" t="s">
        <v>1357</v>
      </c>
    </row>
    <row r="9532" spans="1:13">
      <c r="H9532" t="s">
        <v>21060</v>
      </c>
      <c r="I9532" t="s">
        <v>1357</v>
      </c>
      <c r="J9532" t="s">
        <v>1357</v>
      </c>
      <c r="K9532" t="s">
        <v>1357</v>
      </c>
      <c r="L9532" t="s">
        <v>1357</v>
      </c>
      <c r="M9532" t="s">
        <v>27476</v>
      </c>
    </row>
    <row r="9533" spans="1:13">
      <c r="H9533" t="s">
        <v>21061</v>
      </c>
      <c r="I9533" t="s">
        <v>1357</v>
      </c>
      <c r="J9533" t="s">
        <v>1357</v>
      </c>
      <c r="K9533" t="s">
        <v>1357</v>
      </c>
      <c r="L9533" t="s">
        <v>1357</v>
      </c>
    </row>
    <row r="9534" spans="1:13">
      <c r="H9534" t="s">
        <v>21062</v>
      </c>
      <c r="I9534" t="s">
        <v>1357</v>
      </c>
      <c r="J9534" t="s">
        <v>1357</v>
      </c>
      <c r="K9534" t="s">
        <v>1357</v>
      </c>
      <c r="L9534" t="s">
        <v>1357</v>
      </c>
    </row>
    <row r="9535" spans="1:13">
      <c r="A9535" t="s">
        <v>10262</v>
      </c>
      <c r="B9535">
        <f>HYPERLINK("https://android.googlesource.com/platform/cts/+/aa2be984e409f2b4dc4ccf8602decd8000fe30d4", "aa2be984e409f2b4dc4ccf8602decd8000fe30d4")</f>
        <v>0</v>
      </c>
      <c r="C9535">
        <f>HYPERLINK("https://android.googlesource.com/platform/cts/+/7581090d38826db254d5b6c222ba79381e104365", "7581090d38826db254d5b6c222ba79381e104365")</f>
        <v>0</v>
      </c>
      <c r="D9535" t="s">
        <v>12052</v>
      </c>
      <c r="E9535" t="s">
        <v>12824</v>
      </c>
      <c r="F9535" t="s">
        <v>16029</v>
      </c>
      <c r="G9535" t="s">
        <v>18720</v>
      </c>
      <c r="H9535" t="s">
        <v>21214</v>
      </c>
      <c r="I9535" t="s">
        <v>1357</v>
      </c>
      <c r="J9535" t="s">
        <v>1357</v>
      </c>
      <c r="K9535" t="s">
        <v>1357</v>
      </c>
      <c r="L9535" t="s">
        <v>1357</v>
      </c>
    </row>
    <row r="9536" spans="1:13">
      <c r="A9536" t="s">
        <v>10263</v>
      </c>
      <c r="B9536">
        <f>HYPERLINK("https://android.googlesource.com/platform/cts/+/7e48d4c1959396d08a315a237a456442137d80a6", "7e48d4c1959396d08a315a237a456442137d80a6")</f>
        <v>0</v>
      </c>
      <c r="C9536">
        <f>HYPERLINK("https://android.googlesource.com/platform/cts/+/beb727c733565b48db1c3ee5ff3ca990b4682fc7", "beb727c733565b48db1c3ee5ff3ca990b4682fc7")</f>
        <v>0</v>
      </c>
      <c r="D9536" t="s">
        <v>11991</v>
      </c>
      <c r="E9536" t="s">
        <v>12825</v>
      </c>
      <c r="F9536" t="s">
        <v>16030</v>
      </c>
      <c r="G9536" t="s">
        <v>18721</v>
      </c>
      <c r="H9536" t="s">
        <v>21215</v>
      </c>
      <c r="I9536" t="s">
        <v>1357</v>
      </c>
      <c r="J9536" t="s">
        <v>1357</v>
      </c>
      <c r="K9536" t="s">
        <v>1357</v>
      </c>
      <c r="L9536" t="s">
        <v>1357</v>
      </c>
    </row>
    <row r="9537" spans="1:12">
      <c r="H9537" t="s">
        <v>21216</v>
      </c>
      <c r="I9537" t="s">
        <v>1357</v>
      </c>
      <c r="J9537" t="s">
        <v>1357</v>
      </c>
      <c r="K9537" t="s">
        <v>1357</v>
      </c>
      <c r="L9537" t="s">
        <v>1357</v>
      </c>
    </row>
    <row r="9538" spans="1:12">
      <c r="H9538" t="s">
        <v>21217</v>
      </c>
      <c r="I9538" t="s">
        <v>1357</v>
      </c>
      <c r="J9538" t="s">
        <v>1357</v>
      </c>
      <c r="K9538" t="s">
        <v>1357</v>
      </c>
      <c r="L9538" t="s">
        <v>1357</v>
      </c>
    </row>
    <row r="9539" spans="1:12">
      <c r="A9539" t="s">
        <v>10264</v>
      </c>
      <c r="B9539">
        <f>HYPERLINK("https://android.googlesource.com/platform/cts/+/e337f8e68faf3222f4d8493e031ca33e055d266f", "e337f8e68faf3222f4d8493e031ca33e055d266f")</f>
        <v>0</v>
      </c>
      <c r="C9539">
        <f>HYPERLINK("https://android.googlesource.com/platform/cts/+/9afe698a2605aa52b25454fd740848ac2d097bcd", "9afe698a2605aa52b25454fd740848ac2d097bcd")</f>
        <v>0</v>
      </c>
      <c r="D9539" t="s">
        <v>12005</v>
      </c>
      <c r="E9539" t="s">
        <v>12826</v>
      </c>
      <c r="F9539" t="s">
        <v>16031</v>
      </c>
      <c r="G9539" t="s">
        <v>18722</v>
      </c>
      <c r="H9539" t="s">
        <v>21218</v>
      </c>
      <c r="I9539" t="s">
        <v>1357</v>
      </c>
      <c r="J9539" t="s">
        <v>1357</v>
      </c>
      <c r="K9539" t="s">
        <v>1357</v>
      </c>
      <c r="L9539" t="s">
        <v>1357</v>
      </c>
    </row>
    <row r="9540" spans="1:12">
      <c r="H9540" t="s">
        <v>21219</v>
      </c>
      <c r="I9540" t="s">
        <v>1357</v>
      </c>
      <c r="J9540" t="s">
        <v>1357</v>
      </c>
      <c r="K9540" t="s">
        <v>1357</v>
      </c>
      <c r="L9540" t="s">
        <v>1357</v>
      </c>
    </row>
    <row r="9541" spans="1:12">
      <c r="A9541" t="s">
        <v>10265</v>
      </c>
      <c r="B9541">
        <f>HYPERLINK("https://android.googlesource.com/platform/cts/+/814b63f9b79f80195679e66fb40e256e3fec953a", "814b63f9b79f80195679e66fb40e256e3fec953a")</f>
        <v>0</v>
      </c>
      <c r="C9541">
        <f>HYPERLINK("https://android.googlesource.com/platform/cts/+/f69d80cb31c34c0de186f17de65b281a5b4298e3", "f69d80cb31c34c0de186f17de65b281a5b4298e3")</f>
        <v>0</v>
      </c>
      <c r="D9541" t="s">
        <v>12053</v>
      </c>
      <c r="E9541" t="s">
        <v>12827</v>
      </c>
      <c r="F9541" t="s">
        <v>16032</v>
      </c>
      <c r="G9541" t="s">
        <v>18723</v>
      </c>
      <c r="H9541" t="s">
        <v>21220</v>
      </c>
      <c r="I9541" t="s">
        <v>1357</v>
      </c>
      <c r="J9541" t="s">
        <v>1357</v>
      </c>
      <c r="K9541" t="s">
        <v>1357</v>
      </c>
      <c r="L9541" t="s">
        <v>1357</v>
      </c>
    </row>
    <row r="9542" spans="1:12">
      <c r="H9542" t="s">
        <v>21221</v>
      </c>
      <c r="I9542" t="s">
        <v>1357</v>
      </c>
      <c r="J9542" t="s">
        <v>1357</v>
      </c>
      <c r="K9542" t="s">
        <v>1357</v>
      </c>
      <c r="L9542" t="s">
        <v>1357</v>
      </c>
    </row>
    <row r="9543" spans="1:12">
      <c r="H9543" t="s">
        <v>21222</v>
      </c>
      <c r="I9543" t="s">
        <v>1357</v>
      </c>
      <c r="J9543" t="s">
        <v>1357</v>
      </c>
      <c r="K9543" t="s">
        <v>1357</v>
      </c>
      <c r="L9543" t="s">
        <v>1357</v>
      </c>
    </row>
    <row r="9544" spans="1:12">
      <c r="F9544" t="s">
        <v>16033</v>
      </c>
      <c r="G9544" t="s">
        <v>18724</v>
      </c>
      <c r="H9544" t="s">
        <v>21223</v>
      </c>
      <c r="I9544" t="s">
        <v>1357</v>
      </c>
      <c r="J9544" t="s">
        <v>1357</v>
      </c>
      <c r="K9544" t="s">
        <v>1357</v>
      </c>
      <c r="L9544" t="s">
        <v>1357</v>
      </c>
    </row>
    <row r="9545" spans="1:12">
      <c r="A9545" t="s">
        <v>10266</v>
      </c>
      <c r="B9545">
        <f>HYPERLINK("https://android.googlesource.com/platform/cts/+/8eb978837675fb5f785f51c357e83c8032c8cfb9", "8eb978837675fb5f785f51c357e83c8032c8cfb9")</f>
        <v>0</v>
      </c>
      <c r="C9545">
        <f>HYPERLINK("https://android.googlesource.com/platform/cts/+/f2071f60a465485ca9fcd6286a378975a35fd827", "f2071f60a465485ca9fcd6286a378975a35fd827")</f>
        <v>0</v>
      </c>
      <c r="D9545" t="s">
        <v>11991</v>
      </c>
      <c r="E9545" t="s">
        <v>12828</v>
      </c>
      <c r="F9545" t="s">
        <v>16034</v>
      </c>
      <c r="G9545" t="s">
        <v>18725</v>
      </c>
      <c r="H9545" t="s">
        <v>21224</v>
      </c>
      <c r="I9545" t="s">
        <v>1358</v>
      </c>
      <c r="J9545" t="s">
        <v>1358</v>
      </c>
      <c r="K9545" t="s">
        <v>1358</v>
      </c>
      <c r="L9545" t="s">
        <v>1358</v>
      </c>
    </row>
    <row r="9546" spans="1:12">
      <c r="A9546" t="s">
        <v>10267</v>
      </c>
      <c r="B9546">
        <f>HYPERLINK("https://android.googlesource.com/platform/cts/+/903ea27402939e0559c5be028b6dde2b64a8dae6", "903ea27402939e0559c5be028b6dde2b64a8dae6")</f>
        <v>0</v>
      </c>
      <c r="C9546">
        <f>HYPERLINK("https://android.googlesource.com/platform/cts/+/7dab75cc1d566395701cd3aa337600dbc2de9f15", "7dab75cc1d566395701cd3aa337600dbc2de9f15")</f>
        <v>0</v>
      </c>
      <c r="D9546" t="s">
        <v>12054</v>
      </c>
      <c r="E9546" t="s">
        <v>12829</v>
      </c>
      <c r="F9546" t="s">
        <v>16035</v>
      </c>
      <c r="G9546" t="s">
        <v>18726</v>
      </c>
      <c r="H9546" t="s">
        <v>21225</v>
      </c>
      <c r="I9546" t="s">
        <v>1357</v>
      </c>
      <c r="J9546" t="s">
        <v>1357</v>
      </c>
      <c r="K9546" t="s">
        <v>1357</v>
      </c>
      <c r="L9546" t="s">
        <v>1357</v>
      </c>
    </row>
    <row r="9547" spans="1:12">
      <c r="H9547" t="s">
        <v>21226</v>
      </c>
      <c r="I9547" t="s">
        <v>1357</v>
      </c>
      <c r="J9547" t="s">
        <v>1357</v>
      </c>
      <c r="K9547" t="s">
        <v>1357</v>
      </c>
      <c r="L9547" t="s">
        <v>1357</v>
      </c>
    </row>
    <row r="9548" spans="1:12">
      <c r="H9548" t="s">
        <v>21227</v>
      </c>
      <c r="I9548" t="s">
        <v>1357</v>
      </c>
      <c r="J9548" t="s">
        <v>1357</v>
      </c>
      <c r="K9548" t="s">
        <v>1357</v>
      </c>
      <c r="L9548" t="s">
        <v>1357</v>
      </c>
    </row>
    <row r="9549" spans="1:12">
      <c r="F9549" t="s">
        <v>16036</v>
      </c>
      <c r="G9549" t="s">
        <v>18727</v>
      </c>
      <c r="H9549" t="s">
        <v>21225</v>
      </c>
      <c r="I9549" t="s">
        <v>1357</v>
      </c>
      <c r="J9549" t="s">
        <v>1357</v>
      </c>
      <c r="K9549" t="s">
        <v>1357</v>
      </c>
      <c r="L9549" t="s">
        <v>1357</v>
      </c>
    </row>
    <row r="9550" spans="1:12">
      <c r="H9550" t="s">
        <v>21226</v>
      </c>
      <c r="I9550" t="s">
        <v>1357</v>
      </c>
      <c r="J9550" t="s">
        <v>1357</v>
      </c>
      <c r="K9550" t="s">
        <v>1357</v>
      </c>
      <c r="L9550" t="s">
        <v>1357</v>
      </c>
    </row>
    <row r="9551" spans="1:12">
      <c r="H9551" t="s">
        <v>21228</v>
      </c>
      <c r="I9551" t="s">
        <v>1357</v>
      </c>
      <c r="J9551" t="s">
        <v>1357</v>
      </c>
      <c r="K9551" t="s">
        <v>1357</v>
      </c>
      <c r="L9551" t="s">
        <v>1357</v>
      </c>
    </row>
    <row r="9552" spans="1:12">
      <c r="A9552" t="s">
        <v>10268</v>
      </c>
      <c r="B9552">
        <f>HYPERLINK("https://android.googlesource.com/platform/cts/+/60aa6c0d72bccf01cfc6752160decf5940c0d605", "60aa6c0d72bccf01cfc6752160decf5940c0d605")</f>
        <v>0</v>
      </c>
      <c r="C9552">
        <f>HYPERLINK("https://android.googlesource.com/platform/cts/+/594bce789f06a1499b54246b108c066cb2252d01", "594bce789f06a1499b54246b108c066cb2252d01")</f>
        <v>0</v>
      </c>
      <c r="D9552" t="s">
        <v>12055</v>
      </c>
      <c r="E9552" t="s">
        <v>12830</v>
      </c>
      <c r="F9552" t="s">
        <v>16029</v>
      </c>
      <c r="G9552" t="s">
        <v>18720</v>
      </c>
      <c r="H9552" t="s">
        <v>21229</v>
      </c>
      <c r="I9552" t="s">
        <v>1357</v>
      </c>
      <c r="J9552" t="s">
        <v>1357</v>
      </c>
      <c r="K9552" t="s">
        <v>1357</v>
      </c>
      <c r="L9552" t="s">
        <v>1357</v>
      </c>
    </row>
    <row r="9553" spans="8:12">
      <c r="H9553" t="s">
        <v>21230</v>
      </c>
      <c r="I9553" t="s">
        <v>1357</v>
      </c>
      <c r="J9553" t="s">
        <v>1357</v>
      </c>
      <c r="K9553" t="s">
        <v>1357</v>
      </c>
      <c r="L9553" t="s">
        <v>1357</v>
      </c>
    </row>
    <row r="9554" spans="8:12">
      <c r="H9554" t="s">
        <v>21231</v>
      </c>
      <c r="I9554" t="s">
        <v>1357</v>
      </c>
      <c r="J9554" t="s">
        <v>1357</v>
      </c>
      <c r="K9554" t="s">
        <v>1357</v>
      </c>
      <c r="L9554" t="s">
        <v>1357</v>
      </c>
    </row>
    <row r="9555" spans="8:12">
      <c r="H9555" t="s">
        <v>21232</v>
      </c>
      <c r="I9555" t="s">
        <v>1357</v>
      </c>
      <c r="J9555" t="s">
        <v>1357</v>
      </c>
      <c r="K9555" t="s">
        <v>1357</v>
      </c>
      <c r="L9555" t="s">
        <v>1357</v>
      </c>
    </row>
    <row r="9556" spans="8:12">
      <c r="H9556" t="s">
        <v>21233</v>
      </c>
      <c r="I9556" t="s">
        <v>1357</v>
      </c>
      <c r="J9556" t="s">
        <v>1357</v>
      </c>
      <c r="K9556" t="s">
        <v>1357</v>
      </c>
      <c r="L9556" t="s">
        <v>1357</v>
      </c>
    </row>
    <row r="9557" spans="8:12">
      <c r="H9557" t="s">
        <v>21234</v>
      </c>
      <c r="I9557" t="s">
        <v>1357</v>
      </c>
      <c r="J9557" t="s">
        <v>1357</v>
      </c>
      <c r="K9557" t="s">
        <v>1357</v>
      </c>
      <c r="L9557" t="s">
        <v>1357</v>
      </c>
    </row>
    <row r="9558" spans="8:12">
      <c r="H9558" t="s">
        <v>21235</v>
      </c>
      <c r="I9558" t="s">
        <v>1357</v>
      </c>
      <c r="J9558" t="s">
        <v>1357</v>
      </c>
      <c r="K9558" t="s">
        <v>1357</v>
      </c>
      <c r="L9558" t="s">
        <v>1357</v>
      </c>
    </row>
    <row r="9559" spans="8:12">
      <c r="H9559" t="s">
        <v>21236</v>
      </c>
      <c r="I9559" t="s">
        <v>1357</v>
      </c>
      <c r="J9559" t="s">
        <v>1357</v>
      </c>
      <c r="K9559" t="s">
        <v>1357</v>
      </c>
      <c r="L9559" t="s">
        <v>1357</v>
      </c>
    </row>
    <row r="9560" spans="8:12">
      <c r="H9560" t="s">
        <v>21237</v>
      </c>
      <c r="I9560" t="s">
        <v>1357</v>
      </c>
      <c r="J9560" t="s">
        <v>1357</v>
      </c>
      <c r="K9560" t="s">
        <v>1357</v>
      </c>
      <c r="L9560" t="s">
        <v>1357</v>
      </c>
    </row>
    <row r="9561" spans="8:12">
      <c r="H9561" t="s">
        <v>21238</v>
      </c>
      <c r="I9561" t="s">
        <v>1357</v>
      </c>
      <c r="J9561" t="s">
        <v>1357</v>
      </c>
      <c r="K9561" t="s">
        <v>1357</v>
      </c>
      <c r="L9561" t="s">
        <v>1357</v>
      </c>
    </row>
    <row r="9562" spans="8:12">
      <c r="H9562" t="s">
        <v>21239</v>
      </c>
      <c r="I9562" t="s">
        <v>1357</v>
      </c>
      <c r="J9562" t="s">
        <v>1357</v>
      </c>
      <c r="K9562" t="s">
        <v>1357</v>
      </c>
      <c r="L9562" t="s">
        <v>1357</v>
      </c>
    </row>
    <row r="9563" spans="8:12">
      <c r="H9563" t="s">
        <v>21240</v>
      </c>
      <c r="I9563" t="s">
        <v>1357</v>
      </c>
      <c r="J9563" t="s">
        <v>1357</v>
      </c>
      <c r="K9563" t="s">
        <v>1357</v>
      </c>
      <c r="L9563" t="s">
        <v>1357</v>
      </c>
    </row>
    <row r="9564" spans="8:12">
      <c r="H9564" t="s">
        <v>21241</v>
      </c>
      <c r="I9564" t="s">
        <v>1357</v>
      </c>
      <c r="J9564" t="s">
        <v>1357</v>
      </c>
      <c r="K9564" t="s">
        <v>1357</v>
      </c>
      <c r="L9564" t="s">
        <v>1357</v>
      </c>
    </row>
    <row r="9565" spans="8:12">
      <c r="H9565" t="s">
        <v>21242</v>
      </c>
      <c r="I9565" t="s">
        <v>1357</v>
      </c>
      <c r="J9565" t="s">
        <v>1357</v>
      </c>
      <c r="K9565" t="s">
        <v>1357</v>
      </c>
      <c r="L9565" t="s">
        <v>1357</v>
      </c>
    </row>
    <row r="9566" spans="8:12">
      <c r="H9566" t="s">
        <v>21243</v>
      </c>
      <c r="I9566" t="s">
        <v>1357</v>
      </c>
      <c r="J9566" t="s">
        <v>1357</v>
      </c>
      <c r="K9566" t="s">
        <v>1357</v>
      </c>
      <c r="L9566" t="s">
        <v>1357</v>
      </c>
    </row>
    <row r="9567" spans="8:12">
      <c r="H9567" t="s">
        <v>21244</v>
      </c>
      <c r="I9567" t="s">
        <v>1357</v>
      </c>
      <c r="J9567" t="s">
        <v>1357</v>
      </c>
      <c r="K9567" t="s">
        <v>1357</v>
      </c>
      <c r="L9567" t="s">
        <v>1357</v>
      </c>
    </row>
    <row r="9568" spans="8:12">
      <c r="H9568" t="s">
        <v>21245</v>
      </c>
      <c r="I9568" t="s">
        <v>1357</v>
      </c>
      <c r="J9568" t="s">
        <v>1357</v>
      </c>
      <c r="K9568" t="s">
        <v>1357</v>
      </c>
      <c r="L9568" t="s">
        <v>1357</v>
      </c>
    </row>
    <row r="9569" spans="1:13">
      <c r="H9569" t="s">
        <v>21246</v>
      </c>
      <c r="I9569" t="s">
        <v>1357</v>
      </c>
      <c r="J9569" t="s">
        <v>1357</v>
      </c>
      <c r="K9569" t="s">
        <v>1357</v>
      </c>
      <c r="L9569" t="s">
        <v>1357</v>
      </c>
    </row>
    <row r="9570" spans="1:13">
      <c r="H9570" t="s">
        <v>21247</v>
      </c>
      <c r="I9570" t="s">
        <v>1357</v>
      </c>
      <c r="J9570" t="s">
        <v>1357</v>
      </c>
      <c r="K9570" t="s">
        <v>1357</v>
      </c>
      <c r="L9570" t="s">
        <v>1357</v>
      </c>
    </row>
    <row r="9571" spans="1:13">
      <c r="H9571" t="s">
        <v>21248</v>
      </c>
      <c r="I9571" t="s">
        <v>1357</v>
      </c>
      <c r="J9571" t="s">
        <v>1357</v>
      </c>
      <c r="K9571" t="s">
        <v>1357</v>
      </c>
      <c r="L9571" t="s">
        <v>1357</v>
      </c>
    </row>
    <row r="9572" spans="1:13">
      <c r="A9572" t="s">
        <v>10269</v>
      </c>
      <c r="B9572">
        <f>HYPERLINK("https://android.googlesource.com/platform/cts/+/f797404407641c7105c863b7cb75cc93e5e6cb88", "f797404407641c7105c863b7cb75cc93e5e6cb88")</f>
        <v>0</v>
      </c>
      <c r="C9572">
        <f>HYPERLINK("https://android.googlesource.com/platform/cts/+/a0277538f0ef4eec3fc686c78fe99d8fac1a1f41", "a0277538f0ef4eec3fc686c78fe99d8fac1a1f41")</f>
        <v>0</v>
      </c>
      <c r="D9572" t="s">
        <v>12056</v>
      </c>
      <c r="E9572" t="s">
        <v>12831</v>
      </c>
      <c r="F9572" t="s">
        <v>16037</v>
      </c>
      <c r="G9572" t="s">
        <v>18728</v>
      </c>
      <c r="H9572" t="s">
        <v>21249</v>
      </c>
      <c r="I9572" t="s">
        <v>1357</v>
      </c>
      <c r="J9572" t="s">
        <v>1357</v>
      </c>
      <c r="K9572" t="s">
        <v>1357</v>
      </c>
      <c r="L9572" t="s">
        <v>1357</v>
      </c>
    </row>
    <row r="9573" spans="1:13">
      <c r="A9573" t="s">
        <v>10270</v>
      </c>
      <c r="B9573">
        <f>HYPERLINK("https://android.googlesource.com/platform/cts/+/31f5743c5522820b490404f8026b8051368dc106", "31f5743c5522820b490404f8026b8051368dc106")</f>
        <v>0</v>
      </c>
      <c r="C9573">
        <f>HYPERLINK("https://android.googlesource.com/platform/cts/+/ba8be2ffd90af05cbc882a52e54db6a7bf5acc7c", "ba8be2ffd90af05cbc882a52e54db6a7bf5acc7c")</f>
        <v>0</v>
      </c>
      <c r="D9573" t="s">
        <v>12027</v>
      </c>
      <c r="E9573" t="s">
        <v>12832</v>
      </c>
      <c r="F9573" t="s">
        <v>16038</v>
      </c>
      <c r="G9573" t="s">
        <v>18729</v>
      </c>
      <c r="H9573" t="s">
        <v>21250</v>
      </c>
      <c r="I9573" t="s">
        <v>1357</v>
      </c>
      <c r="J9573" t="s">
        <v>1357</v>
      </c>
      <c r="K9573" t="s">
        <v>1357</v>
      </c>
      <c r="L9573" t="s">
        <v>1357</v>
      </c>
    </row>
    <row r="9574" spans="1:13">
      <c r="A9574" t="s">
        <v>10271</v>
      </c>
      <c r="B9574">
        <f>HYPERLINK("https://android.googlesource.com/platform/cts/+/e9ec75e038faf78fbfa9a44fcac7b861c8473aa5", "e9ec75e038faf78fbfa9a44fcac7b861c8473aa5")</f>
        <v>0</v>
      </c>
      <c r="C9574">
        <f>HYPERLINK("https://android.googlesource.com/platform/cts/+/ba8be2ffd90af05cbc882a52e54db6a7bf5acc7c", "ba8be2ffd90af05cbc882a52e54db6a7bf5acc7c")</f>
        <v>0</v>
      </c>
      <c r="D9574" t="s">
        <v>12023</v>
      </c>
      <c r="E9574" t="s">
        <v>12833</v>
      </c>
      <c r="F9574" t="s">
        <v>16039</v>
      </c>
      <c r="G9574" t="s">
        <v>18730</v>
      </c>
      <c r="H9574" t="s">
        <v>21251</v>
      </c>
      <c r="I9574" t="s">
        <v>1357</v>
      </c>
      <c r="J9574" t="s">
        <v>1357</v>
      </c>
      <c r="K9574" t="s">
        <v>1357</v>
      </c>
      <c r="L9574" t="s">
        <v>1357</v>
      </c>
    </row>
    <row r="9575" spans="1:13">
      <c r="A9575" t="s">
        <v>10272</v>
      </c>
      <c r="B9575">
        <f>HYPERLINK("https://android.googlesource.com/platform/cts/+/17aafef6b643b07102d9a7284eca3d4c3296021f", "17aafef6b643b07102d9a7284eca3d4c3296021f")</f>
        <v>0</v>
      </c>
      <c r="C9575">
        <f>HYPERLINK("https://android.googlesource.com/platform/cts/+/a7fc8dbfef73bebd77d53f9083bb17daddcafc2a", "a7fc8dbfef73bebd77d53f9083bb17daddcafc2a")</f>
        <v>0</v>
      </c>
      <c r="D9575" t="s">
        <v>12049</v>
      </c>
      <c r="E9575" t="s">
        <v>12834</v>
      </c>
      <c r="F9575" t="s">
        <v>16040</v>
      </c>
      <c r="G9575" t="s">
        <v>18731</v>
      </c>
      <c r="H9575" t="s">
        <v>21252</v>
      </c>
      <c r="I9575" t="s">
        <v>1358</v>
      </c>
      <c r="J9575" t="s">
        <v>1358</v>
      </c>
      <c r="K9575" t="s">
        <v>1358</v>
      </c>
      <c r="L9575" t="s">
        <v>1358</v>
      </c>
    </row>
    <row r="9576" spans="1:13">
      <c r="A9576" t="s">
        <v>10273</v>
      </c>
      <c r="B9576">
        <f>HYPERLINK("https://android.googlesource.com/platform/cts/+/d1301be379b0090f9f39a25a69fd0e77c02ac944", "d1301be379b0090f9f39a25a69fd0e77c02ac944")</f>
        <v>0</v>
      </c>
      <c r="C9576">
        <f>HYPERLINK("https://android.googlesource.com/platform/cts/+/4aa17ebc9e4c4e2566500a5d5b33767abeaaf8aa", "4aa17ebc9e4c4e2566500a5d5b33767abeaaf8aa")</f>
        <v>0</v>
      </c>
      <c r="D9576" t="s">
        <v>12023</v>
      </c>
      <c r="E9576" t="s">
        <v>12835</v>
      </c>
      <c r="F9576" t="s">
        <v>16039</v>
      </c>
      <c r="G9576" t="s">
        <v>18730</v>
      </c>
      <c r="H9576" t="s">
        <v>21251</v>
      </c>
      <c r="I9576" t="s">
        <v>1357</v>
      </c>
      <c r="J9576" t="s">
        <v>1357</v>
      </c>
      <c r="K9576" t="s">
        <v>1357</v>
      </c>
      <c r="L9576" t="s">
        <v>1357</v>
      </c>
      <c r="M9576" t="s">
        <v>27476</v>
      </c>
    </row>
    <row r="9577" spans="1:13">
      <c r="A9577" t="s">
        <v>10274</v>
      </c>
      <c r="B9577">
        <f>HYPERLINK("https://android.googlesource.com/platform/cts/+/49a11da037dd2b7aa283b48039a1da1c82c260a1", "49a11da037dd2b7aa283b48039a1da1c82c260a1")</f>
        <v>0</v>
      </c>
      <c r="C9577">
        <f>HYPERLINK("https://android.googlesource.com/platform/cts/+/206fb1022448bdd1a6496d40c638732aa994c432", "206fb1022448bdd1a6496d40c638732aa994c432")</f>
        <v>0</v>
      </c>
      <c r="D9577" t="s">
        <v>12057</v>
      </c>
      <c r="E9577" t="s">
        <v>12836</v>
      </c>
      <c r="F9577" t="s">
        <v>16037</v>
      </c>
      <c r="G9577" t="s">
        <v>18728</v>
      </c>
      <c r="H9577" t="s">
        <v>21253</v>
      </c>
      <c r="I9577" t="s">
        <v>1357</v>
      </c>
      <c r="J9577" t="s">
        <v>1357</v>
      </c>
      <c r="K9577" t="s">
        <v>1357</v>
      </c>
      <c r="L9577" t="s">
        <v>1357</v>
      </c>
    </row>
    <row r="9578" spans="1:13">
      <c r="H9578" t="s">
        <v>21254</v>
      </c>
      <c r="I9578" t="s">
        <v>1357</v>
      </c>
      <c r="J9578" t="s">
        <v>1357</v>
      </c>
      <c r="K9578" t="s">
        <v>1357</v>
      </c>
      <c r="L9578" t="s">
        <v>1357</v>
      </c>
    </row>
    <row r="9579" spans="1:13">
      <c r="A9579" t="s">
        <v>10275</v>
      </c>
      <c r="B9579">
        <f>HYPERLINK("https://android.googlesource.com/platform/cts/+/a2a23157acd87e8618b7e7158e3644750a779905", "a2a23157acd87e8618b7e7158e3644750a779905")</f>
        <v>0</v>
      </c>
      <c r="C9579">
        <f>HYPERLINK("https://android.googlesource.com/platform/cts/+/c189d58d586eb7ff467f9ed1276462828ad21b8e", "c189d58d586eb7ff467f9ed1276462828ad21b8e")</f>
        <v>0</v>
      </c>
      <c r="D9579" t="s">
        <v>11991</v>
      </c>
      <c r="E9579" t="s">
        <v>12837</v>
      </c>
      <c r="F9579" t="s">
        <v>16041</v>
      </c>
      <c r="G9579" t="s">
        <v>18732</v>
      </c>
      <c r="H9579" t="s">
        <v>21255</v>
      </c>
      <c r="I9579" t="s">
        <v>1358</v>
      </c>
      <c r="J9579" t="s">
        <v>1358</v>
      </c>
      <c r="K9579" t="s">
        <v>1358</v>
      </c>
      <c r="L9579" t="s">
        <v>1358</v>
      </c>
    </row>
    <row r="9580" spans="1:13">
      <c r="A9580" t="s">
        <v>10276</v>
      </c>
      <c r="B9580">
        <f>HYPERLINK("https://android.googlesource.com/platform/cts/+/1e4bf6161c7e771c48540cd77d8e7ada69af8c95", "1e4bf6161c7e771c48540cd77d8e7ada69af8c95")</f>
        <v>0</v>
      </c>
      <c r="C9580">
        <f>HYPERLINK("https://android.googlesource.com/platform/cts/+/82d999a624995f3a52856493dab133ebf10d3d7e", "82d999a624995f3a52856493dab133ebf10d3d7e")</f>
        <v>0</v>
      </c>
      <c r="D9580" t="s">
        <v>12058</v>
      </c>
      <c r="E9580" t="s">
        <v>12838</v>
      </c>
      <c r="F9580" t="s">
        <v>16011</v>
      </c>
      <c r="G9580" t="s">
        <v>18703</v>
      </c>
      <c r="H9580" t="s">
        <v>21256</v>
      </c>
      <c r="I9580" t="s">
        <v>1357</v>
      </c>
      <c r="J9580" t="s">
        <v>1357</v>
      </c>
      <c r="K9580" t="s">
        <v>1357</v>
      </c>
      <c r="L9580" t="s">
        <v>1357</v>
      </c>
    </row>
    <row r="9581" spans="1:13">
      <c r="A9581" t="s">
        <v>10277</v>
      </c>
      <c r="B9581">
        <f>HYPERLINK("https://android.googlesource.com/platform/cts/+/7580bc92a5b669c79bf27f9766f24cfd5c1b2009", "7580bc92a5b669c79bf27f9766f24cfd5c1b2009")</f>
        <v>0</v>
      </c>
      <c r="C9581">
        <f>HYPERLINK("https://android.googlesource.com/platform/cts/+/f8989ca1dcf700426cd805d384aee89b9ed709ba", "f8989ca1dcf700426cd805d384aee89b9ed709ba")</f>
        <v>0</v>
      </c>
      <c r="D9581" t="s">
        <v>12058</v>
      </c>
      <c r="E9581" t="s">
        <v>12839</v>
      </c>
      <c r="F9581" t="s">
        <v>16011</v>
      </c>
      <c r="G9581" t="s">
        <v>18703</v>
      </c>
      <c r="H9581" t="s">
        <v>21256</v>
      </c>
      <c r="I9581" t="s">
        <v>1357</v>
      </c>
      <c r="J9581" t="s">
        <v>1357</v>
      </c>
      <c r="K9581" t="s">
        <v>1357</v>
      </c>
      <c r="L9581" t="s">
        <v>1357</v>
      </c>
    </row>
    <row r="9582" spans="1:13">
      <c r="A9582" t="s">
        <v>10278</v>
      </c>
      <c r="B9582">
        <f>HYPERLINK("https://android.googlesource.com/platform/cts/+/74486465410b6bc86beb8ac346ca3574c0a8790c", "74486465410b6bc86beb8ac346ca3574c0a8790c")</f>
        <v>0</v>
      </c>
      <c r="C9582">
        <f>HYPERLINK("https://android.googlesource.com/platform/cts/+/8c8aa2eae6198f3fea628806d65c7d3698746eab", "8c8aa2eae6198f3fea628806d65c7d3698746eab")</f>
        <v>0</v>
      </c>
      <c r="D9582" t="s">
        <v>12059</v>
      </c>
      <c r="E9582" t="s">
        <v>12840</v>
      </c>
      <c r="F9582" t="s">
        <v>15192</v>
      </c>
      <c r="G9582" t="s">
        <v>17894</v>
      </c>
      <c r="H9582" t="s">
        <v>21257</v>
      </c>
      <c r="I9582" t="s">
        <v>1357</v>
      </c>
      <c r="J9582" t="s">
        <v>1357</v>
      </c>
      <c r="K9582" t="s">
        <v>1357</v>
      </c>
      <c r="L9582" t="s">
        <v>1357</v>
      </c>
    </row>
    <row r="9583" spans="1:13">
      <c r="A9583" t="s">
        <v>10279</v>
      </c>
      <c r="B9583">
        <f>HYPERLINK("https://android.googlesource.com/platform/cts/+/76ea6326e7728a6f1c27e8f32db2e16efaaf0a98", "76ea6326e7728a6f1c27e8f32db2e16efaaf0a98")</f>
        <v>0</v>
      </c>
      <c r="C9583">
        <f>HYPERLINK("https://android.googlesource.com/platform/cts/+/b56fc59d78e60c9a89fc711f79ebc0c0884514dc", "b56fc59d78e60c9a89fc711f79ebc0c0884514dc")</f>
        <v>0</v>
      </c>
      <c r="D9583" t="s">
        <v>12044</v>
      </c>
      <c r="E9583" t="s">
        <v>12841</v>
      </c>
      <c r="F9583" t="s">
        <v>16042</v>
      </c>
      <c r="G9583" t="s">
        <v>18733</v>
      </c>
      <c r="H9583" t="s">
        <v>19976</v>
      </c>
      <c r="I9583" t="s">
        <v>1358</v>
      </c>
      <c r="J9583" t="s">
        <v>1358</v>
      </c>
      <c r="K9583" t="s">
        <v>1358</v>
      </c>
      <c r="L9583" t="s">
        <v>1358</v>
      </c>
    </row>
    <row r="9584" spans="1:13">
      <c r="H9584" t="s">
        <v>19977</v>
      </c>
      <c r="I9584" t="s">
        <v>1358</v>
      </c>
      <c r="J9584" t="s">
        <v>1358</v>
      </c>
      <c r="K9584" t="s">
        <v>1358</v>
      </c>
      <c r="L9584" t="s">
        <v>1358</v>
      </c>
    </row>
    <row r="9585" spans="1:13">
      <c r="A9585" t="s">
        <v>10280</v>
      </c>
      <c r="B9585">
        <f>HYPERLINK("https://android.googlesource.com/platform/cts/+/d8f368c35d1dcdba572de21888bfdac2ac7d408c", "d8f368c35d1dcdba572de21888bfdac2ac7d408c")</f>
        <v>0</v>
      </c>
      <c r="C9585">
        <f>HYPERLINK("https://android.googlesource.com/platform/cts/+/998968bb3045935d097d4b120759acda1e2fb772", "998968bb3045935d097d4b120759acda1e2fb772")</f>
        <v>0</v>
      </c>
      <c r="D9585" t="s">
        <v>12058</v>
      </c>
      <c r="E9585" t="s">
        <v>12842</v>
      </c>
      <c r="F9585" t="s">
        <v>16011</v>
      </c>
      <c r="G9585" t="s">
        <v>18703</v>
      </c>
      <c r="H9585" t="s">
        <v>21256</v>
      </c>
      <c r="I9585" t="s">
        <v>1357</v>
      </c>
      <c r="J9585" t="s">
        <v>1357</v>
      </c>
      <c r="K9585" t="s">
        <v>1357</v>
      </c>
      <c r="L9585" t="s">
        <v>1357</v>
      </c>
      <c r="M9585" t="s">
        <v>27476</v>
      </c>
    </row>
    <row r="9586" spans="1:13">
      <c r="A9586" t="s">
        <v>10281</v>
      </c>
      <c r="B9586">
        <f>HYPERLINK("https://android.googlesource.com/platform/cts/+/583d2d3f49ffacaff1e647e1d9ed59d459e7df3c", "583d2d3f49ffacaff1e647e1d9ed59d459e7df3c")</f>
        <v>0</v>
      </c>
      <c r="C9586">
        <f>HYPERLINK("https://android.googlesource.com/platform/cts/+/7b101b6bcf2ceb5469479fa4211074f463e039e7", "7b101b6bcf2ceb5469479fa4211074f463e039e7")</f>
        <v>0</v>
      </c>
      <c r="D9586" t="s">
        <v>12058</v>
      </c>
      <c r="E9586" t="s">
        <v>12843</v>
      </c>
      <c r="F9586" t="s">
        <v>16011</v>
      </c>
      <c r="G9586" t="s">
        <v>18703</v>
      </c>
      <c r="H9586" t="s">
        <v>21256</v>
      </c>
      <c r="I9586" t="s">
        <v>1357</v>
      </c>
      <c r="J9586" t="s">
        <v>1357</v>
      </c>
      <c r="K9586" t="s">
        <v>1357</v>
      </c>
      <c r="L9586" t="s">
        <v>1357</v>
      </c>
      <c r="M9586" t="s">
        <v>27476</v>
      </c>
    </row>
    <row r="9587" spans="1:13">
      <c r="A9587" t="s">
        <v>10282</v>
      </c>
      <c r="B9587">
        <f>HYPERLINK("https://android.googlesource.com/platform/cts/+/8e1f6e4a0868bb0bfce4341b068898ec615cd6b8", "8e1f6e4a0868bb0bfce4341b068898ec615cd6b8")</f>
        <v>0</v>
      </c>
      <c r="C9587">
        <f>HYPERLINK("https://android.googlesource.com/platform/cts/+/736f60e4ee34c9d9bf23f217c300545c67c3a065", "736f60e4ee34c9d9bf23f217c300545c67c3a065")</f>
        <v>0</v>
      </c>
      <c r="D9587" t="s">
        <v>12058</v>
      </c>
      <c r="E9587" t="s">
        <v>12844</v>
      </c>
      <c r="F9587" t="s">
        <v>16043</v>
      </c>
      <c r="G9587" t="s">
        <v>18734</v>
      </c>
      <c r="H9587" t="s">
        <v>21258</v>
      </c>
      <c r="I9587" t="s">
        <v>1359</v>
      </c>
      <c r="J9587" t="s">
        <v>1358</v>
      </c>
      <c r="K9587" t="s">
        <v>1357</v>
      </c>
      <c r="L9587" t="s">
        <v>1358</v>
      </c>
    </row>
    <row r="9588" spans="1:13">
      <c r="A9588" t="s">
        <v>10283</v>
      </c>
      <c r="B9588">
        <f>HYPERLINK("https://android.googlesource.com/platform/cts/+/6fe901d4fa1107d4f104d1722e4814031f8545f5", "6fe901d4fa1107d4f104d1722e4814031f8545f5")</f>
        <v>0</v>
      </c>
      <c r="C9588">
        <f>HYPERLINK("https://android.googlesource.com/platform/cts/+/9caf39821afcc9433e8c196a8ad42eb63cea4692", "9caf39821afcc9433e8c196a8ad42eb63cea4692")</f>
        <v>0</v>
      </c>
      <c r="D9588" t="s">
        <v>12060</v>
      </c>
      <c r="E9588" t="s">
        <v>12845</v>
      </c>
      <c r="F9588" t="s">
        <v>16029</v>
      </c>
      <c r="G9588" t="s">
        <v>18720</v>
      </c>
      <c r="H9588" t="s">
        <v>21230</v>
      </c>
      <c r="I9588" t="s">
        <v>1357</v>
      </c>
      <c r="J9588" t="s">
        <v>1357</v>
      </c>
      <c r="K9588" t="s">
        <v>1357</v>
      </c>
      <c r="L9588" t="s">
        <v>1357</v>
      </c>
    </row>
    <row r="9589" spans="1:13">
      <c r="H9589" t="s">
        <v>21231</v>
      </c>
      <c r="I9589" t="s">
        <v>1357</v>
      </c>
      <c r="J9589" t="s">
        <v>1357</v>
      </c>
      <c r="K9589" t="s">
        <v>1357</v>
      </c>
      <c r="L9589" t="s">
        <v>1357</v>
      </c>
    </row>
    <row r="9590" spans="1:13">
      <c r="H9590" t="s">
        <v>21232</v>
      </c>
      <c r="I9590" t="s">
        <v>1357</v>
      </c>
      <c r="J9590" t="s">
        <v>1357</v>
      </c>
      <c r="K9590" t="s">
        <v>1357</v>
      </c>
      <c r="L9590" t="s">
        <v>1357</v>
      </c>
    </row>
    <row r="9591" spans="1:13">
      <c r="A9591" t="s">
        <v>10284</v>
      </c>
      <c r="B9591">
        <f>HYPERLINK("https://android.googlesource.com/platform/cts/+/b34ae0b2998aa3ac14034b2a8e48b6d4e94f7605", "b34ae0b2998aa3ac14034b2a8e48b6d4e94f7605")</f>
        <v>0</v>
      </c>
      <c r="C9591">
        <f>HYPERLINK("https://android.googlesource.com/platform/cts/+/83a66c288f2665166724ab0b1a7fb3f89810fecb", "83a66c288f2665166724ab0b1a7fb3f89810fecb")</f>
        <v>0</v>
      </c>
      <c r="D9591" t="s">
        <v>12058</v>
      </c>
      <c r="E9591" t="s">
        <v>12844</v>
      </c>
      <c r="F9591" t="s">
        <v>16043</v>
      </c>
      <c r="G9591" t="s">
        <v>18734</v>
      </c>
      <c r="H9591" t="s">
        <v>21258</v>
      </c>
      <c r="I9591" t="s">
        <v>1359</v>
      </c>
      <c r="J9591" t="s">
        <v>1358</v>
      </c>
      <c r="K9591" t="s">
        <v>1357</v>
      </c>
      <c r="L9591" t="s">
        <v>1358</v>
      </c>
      <c r="M9591" t="s">
        <v>27476</v>
      </c>
    </row>
    <row r="9592" spans="1:13">
      <c r="A9592" t="s">
        <v>10285</v>
      </c>
      <c r="B9592">
        <f>HYPERLINK("https://android.googlesource.com/platform/cts/+/df1c6d45f64d6f7b33a84bc1b089754cdbeaa4d2", "df1c6d45f64d6f7b33a84bc1b089754cdbeaa4d2")</f>
        <v>0</v>
      </c>
      <c r="C9592">
        <f>HYPERLINK("https://android.googlesource.com/platform/cts/+/b732a7a8aad6a7c7dea47dee464a8fee183f851b", "b732a7a8aad6a7c7dea47dee464a8fee183f851b")</f>
        <v>0</v>
      </c>
      <c r="D9592" t="s">
        <v>12061</v>
      </c>
      <c r="E9592" t="s">
        <v>12846</v>
      </c>
      <c r="F9592" t="s">
        <v>16044</v>
      </c>
      <c r="G9592" t="s">
        <v>18735</v>
      </c>
      <c r="H9592" t="s">
        <v>21259</v>
      </c>
      <c r="I9592" t="s">
        <v>1357</v>
      </c>
      <c r="J9592" t="s">
        <v>1357</v>
      </c>
      <c r="K9592" t="s">
        <v>1357</v>
      </c>
      <c r="L9592" t="s">
        <v>1357</v>
      </c>
    </row>
    <row r="9593" spans="1:13">
      <c r="H9593" t="s">
        <v>21260</v>
      </c>
      <c r="I9593" t="s">
        <v>1357</v>
      </c>
      <c r="J9593" t="s">
        <v>1357</v>
      </c>
      <c r="K9593" t="s">
        <v>1357</v>
      </c>
      <c r="L9593" t="s">
        <v>1357</v>
      </c>
    </row>
    <row r="9594" spans="1:13">
      <c r="H9594" t="s">
        <v>21261</v>
      </c>
      <c r="I9594" t="s">
        <v>1357</v>
      </c>
      <c r="J9594" t="s">
        <v>1357</v>
      </c>
      <c r="K9594" t="s">
        <v>1357</v>
      </c>
      <c r="L9594" t="s">
        <v>1357</v>
      </c>
    </row>
    <row r="9595" spans="1:13">
      <c r="H9595" t="s">
        <v>21262</v>
      </c>
      <c r="I9595" t="s">
        <v>1357</v>
      </c>
      <c r="J9595" t="s">
        <v>1357</v>
      </c>
      <c r="K9595" t="s">
        <v>1357</v>
      </c>
      <c r="L9595" t="s">
        <v>1357</v>
      </c>
    </row>
    <row r="9596" spans="1:13">
      <c r="A9596" t="s">
        <v>10286</v>
      </c>
      <c r="B9596">
        <f>HYPERLINK("https://android.googlesource.com/platform/cts/+/247db5d542a79888b85915cbe72958bc30136d14", "247db5d542a79888b85915cbe72958bc30136d14")</f>
        <v>0</v>
      </c>
      <c r="C9596">
        <f>HYPERLINK("https://android.googlesource.com/platform/cts/+/3551f488f171a868ce2c1d18dc1086f6cae2158f", "3551f488f171a868ce2c1d18dc1086f6cae2158f")</f>
        <v>0</v>
      </c>
      <c r="D9596" t="s">
        <v>12058</v>
      </c>
      <c r="E9596" t="s">
        <v>12847</v>
      </c>
      <c r="F9596" t="s">
        <v>16045</v>
      </c>
      <c r="G9596" t="s">
        <v>18736</v>
      </c>
      <c r="H9596" t="s">
        <v>21263</v>
      </c>
      <c r="I9596" t="s">
        <v>1357</v>
      </c>
      <c r="J9596" t="s">
        <v>1357</v>
      </c>
      <c r="K9596" t="s">
        <v>1357</v>
      </c>
      <c r="L9596" t="s">
        <v>1357</v>
      </c>
    </row>
    <row r="9597" spans="1:13">
      <c r="A9597" t="s">
        <v>10287</v>
      </c>
      <c r="B9597">
        <f>HYPERLINK("https://android.googlesource.com/platform/cts/+/72cdd8ea759d0681042361faad31ed6a5ac3fbe7", "72cdd8ea759d0681042361faad31ed6a5ac3fbe7")</f>
        <v>0</v>
      </c>
      <c r="C9597">
        <f>HYPERLINK("https://android.googlesource.com/platform/cts/+/f102f2a4198651d876a8482fc683724b209e347a", "f102f2a4198651d876a8482fc683724b209e347a")</f>
        <v>0</v>
      </c>
      <c r="D9597" t="s">
        <v>12044</v>
      </c>
      <c r="E9597" t="s">
        <v>12848</v>
      </c>
      <c r="F9597" t="s">
        <v>16042</v>
      </c>
      <c r="G9597" t="s">
        <v>18733</v>
      </c>
      <c r="H9597" t="s">
        <v>21264</v>
      </c>
      <c r="I9597" t="s">
        <v>1357</v>
      </c>
      <c r="J9597" t="s">
        <v>1357</v>
      </c>
      <c r="K9597" t="s">
        <v>1357</v>
      </c>
      <c r="L9597" t="s">
        <v>1357</v>
      </c>
    </row>
    <row r="9598" spans="1:13">
      <c r="A9598" t="s">
        <v>10288</v>
      </c>
      <c r="B9598">
        <f>HYPERLINK("https://android.googlesource.com/platform/cts/+/e18732741b68c4bc2d92141a2fbe6e33d46dc19b", "e18732741b68c4bc2d92141a2fbe6e33d46dc19b")</f>
        <v>0</v>
      </c>
      <c r="C9598">
        <f>HYPERLINK("https://android.googlesource.com/platform/cts/+/dac4e3f459cb23b12b4d5180e17c00208acdbb23", "dac4e3f459cb23b12b4d5180e17c00208acdbb23")</f>
        <v>0</v>
      </c>
      <c r="D9598" t="s">
        <v>11991</v>
      </c>
      <c r="E9598" t="s">
        <v>12849</v>
      </c>
      <c r="F9598" t="s">
        <v>16046</v>
      </c>
      <c r="G9598" t="s">
        <v>18737</v>
      </c>
      <c r="H9598" t="s">
        <v>21265</v>
      </c>
      <c r="I9598" t="s">
        <v>1359</v>
      </c>
      <c r="J9598" t="s">
        <v>1358</v>
      </c>
      <c r="K9598" t="s">
        <v>1357</v>
      </c>
      <c r="L9598" t="s">
        <v>1358</v>
      </c>
    </row>
    <row r="9599" spans="1:13">
      <c r="A9599" t="s">
        <v>10289</v>
      </c>
      <c r="B9599">
        <f>HYPERLINK("https://android.googlesource.com/platform/cts/+/de851166ebacfe600884664c269c2d820563d3ff", "de851166ebacfe600884664c269c2d820563d3ff")</f>
        <v>0</v>
      </c>
      <c r="C9599">
        <f>HYPERLINK("https://android.googlesource.com/platform/cts/+/58236b6874c70063bba65dc79cc42268c6cfaa7a", "58236b6874c70063bba65dc79cc42268c6cfaa7a")</f>
        <v>0</v>
      </c>
      <c r="D9599" t="s">
        <v>12044</v>
      </c>
      <c r="E9599" t="s">
        <v>12850</v>
      </c>
      <c r="F9599" t="s">
        <v>16042</v>
      </c>
      <c r="G9599" t="s">
        <v>18733</v>
      </c>
      <c r="H9599" t="s">
        <v>21264</v>
      </c>
      <c r="I9599" t="s">
        <v>1357</v>
      </c>
      <c r="J9599" t="s">
        <v>1357</v>
      </c>
      <c r="K9599" t="s">
        <v>1357</v>
      </c>
      <c r="L9599" t="s">
        <v>1357</v>
      </c>
    </row>
    <row r="9600" spans="1:13">
      <c r="A9600" t="s">
        <v>10290</v>
      </c>
      <c r="B9600">
        <f>HYPERLINK("https://android.googlesource.com/platform/cts/+/75e210ce59f34d0caf3c1c07bce933cb9ad6e4c9", "75e210ce59f34d0caf3c1c07bce933cb9ad6e4c9")</f>
        <v>0</v>
      </c>
      <c r="C9600">
        <f>HYPERLINK("https://android.googlesource.com/platform/cts/+/122af17e0c46dc39bc9d468b6e2c10794c5968fd", "122af17e0c46dc39bc9d468b6e2c10794c5968fd")</f>
        <v>0</v>
      </c>
      <c r="D9600" t="s">
        <v>12062</v>
      </c>
      <c r="E9600" t="s">
        <v>12851</v>
      </c>
      <c r="F9600" t="s">
        <v>16047</v>
      </c>
      <c r="G9600" t="s">
        <v>18738</v>
      </c>
      <c r="H9600" t="s">
        <v>21266</v>
      </c>
      <c r="I9600" t="s">
        <v>1357</v>
      </c>
      <c r="J9600" t="s">
        <v>1357</v>
      </c>
      <c r="K9600" t="s">
        <v>1357</v>
      </c>
      <c r="L9600" t="s">
        <v>1357</v>
      </c>
    </row>
    <row r="9601" spans="1:13">
      <c r="H9601" t="s">
        <v>21267</v>
      </c>
      <c r="I9601" t="s">
        <v>1357</v>
      </c>
      <c r="J9601" t="s">
        <v>1357</v>
      </c>
      <c r="K9601" t="s">
        <v>1357</v>
      </c>
      <c r="L9601" t="s">
        <v>1357</v>
      </c>
    </row>
    <row r="9602" spans="1:13">
      <c r="H9602" t="s">
        <v>21268</v>
      </c>
      <c r="I9602" t="s">
        <v>1357</v>
      </c>
      <c r="J9602" t="s">
        <v>1357</v>
      </c>
      <c r="K9602" t="s">
        <v>1357</v>
      </c>
      <c r="L9602" t="s">
        <v>1357</v>
      </c>
    </row>
    <row r="9603" spans="1:13">
      <c r="H9603" t="s">
        <v>21269</v>
      </c>
      <c r="I9603" t="s">
        <v>1357</v>
      </c>
      <c r="J9603" t="s">
        <v>1357</v>
      </c>
      <c r="K9603" t="s">
        <v>1357</v>
      </c>
      <c r="L9603" t="s">
        <v>1357</v>
      </c>
    </row>
    <row r="9604" spans="1:13">
      <c r="H9604" t="s">
        <v>21270</v>
      </c>
      <c r="I9604" t="s">
        <v>1357</v>
      </c>
      <c r="J9604" t="s">
        <v>1357</v>
      </c>
      <c r="K9604" t="s">
        <v>1357</v>
      </c>
      <c r="L9604" t="s">
        <v>1357</v>
      </c>
    </row>
    <row r="9605" spans="1:13">
      <c r="H9605" t="s">
        <v>21271</v>
      </c>
      <c r="I9605" t="s">
        <v>1357</v>
      </c>
      <c r="J9605" t="s">
        <v>1357</v>
      </c>
      <c r="K9605" t="s">
        <v>1357</v>
      </c>
      <c r="L9605" t="s">
        <v>1357</v>
      </c>
    </row>
    <row r="9606" spans="1:13">
      <c r="F9606" t="s">
        <v>16048</v>
      </c>
      <c r="G9606" t="s">
        <v>18739</v>
      </c>
      <c r="H9606" t="s">
        <v>21272</v>
      </c>
      <c r="I9606" t="s">
        <v>1357</v>
      </c>
      <c r="J9606" t="s">
        <v>1357</v>
      </c>
      <c r="K9606" t="s">
        <v>1357</v>
      </c>
      <c r="L9606" t="s">
        <v>1357</v>
      </c>
    </row>
    <row r="9607" spans="1:13">
      <c r="A9607" t="s">
        <v>10291</v>
      </c>
      <c r="B9607">
        <f>HYPERLINK("https://android.googlesource.com/platform/cts/+/30044c619ab3fa1924f8909ed91a3f7c7ad0e896", "30044c619ab3fa1924f8909ed91a3f7c7ad0e896")</f>
        <v>0</v>
      </c>
      <c r="C9607">
        <f>HYPERLINK("https://android.googlesource.com/platform/cts/+/13eae907470271d41619140c16bc4be62379821f", "13eae907470271d41619140c16bc4be62379821f")</f>
        <v>0</v>
      </c>
      <c r="D9607" t="s">
        <v>12058</v>
      </c>
      <c r="E9607" t="s">
        <v>12852</v>
      </c>
      <c r="F9607" t="s">
        <v>16011</v>
      </c>
      <c r="G9607" t="s">
        <v>18703</v>
      </c>
      <c r="H9607" t="s">
        <v>21256</v>
      </c>
      <c r="I9607" t="s">
        <v>1357</v>
      </c>
      <c r="J9607" t="s">
        <v>1357</v>
      </c>
      <c r="K9607" t="s">
        <v>1357</v>
      </c>
      <c r="L9607" t="s">
        <v>1357</v>
      </c>
      <c r="M9607" t="s">
        <v>9957</v>
      </c>
    </row>
    <row r="9608" spans="1:13">
      <c r="A9608" t="s">
        <v>10292</v>
      </c>
      <c r="B9608">
        <f>HYPERLINK("https://android.googlesource.com/platform/cts/+/fb28897f87bf1da442ae589a198981a23b3b0a06", "fb28897f87bf1da442ae589a198981a23b3b0a06")</f>
        <v>0</v>
      </c>
      <c r="C9608">
        <f>HYPERLINK("https://android.googlesource.com/platform/cts/+/511af23079438ecdc02e245759defc9773d32172", "511af23079438ecdc02e245759defc9773d32172")</f>
        <v>0</v>
      </c>
      <c r="D9608" t="s">
        <v>12058</v>
      </c>
      <c r="E9608" t="s">
        <v>12853</v>
      </c>
      <c r="F9608" t="s">
        <v>16043</v>
      </c>
      <c r="G9608" t="s">
        <v>18734</v>
      </c>
      <c r="H9608" t="s">
        <v>21258</v>
      </c>
      <c r="I9608" t="s">
        <v>1357</v>
      </c>
      <c r="J9608" t="s">
        <v>1357</v>
      </c>
      <c r="K9608" t="s">
        <v>1357</v>
      </c>
      <c r="L9608" t="s">
        <v>1358</v>
      </c>
      <c r="M9608" t="s">
        <v>9957</v>
      </c>
    </row>
    <row r="9609" spans="1:13">
      <c r="A9609" t="s">
        <v>10293</v>
      </c>
      <c r="B9609">
        <f>HYPERLINK("https://android.googlesource.com/platform/cts/+/7e08ff86fd06d9fbe2cdbbf81672e2cf1a011304", "7e08ff86fd06d9fbe2cdbbf81672e2cf1a011304")</f>
        <v>0</v>
      </c>
      <c r="C9609">
        <f>HYPERLINK("https://android.googlesource.com/platform/cts/+/499109841b9f35e0d4f0a7f89c04266b4267819c", "499109841b9f35e0d4f0a7f89c04266b4267819c")</f>
        <v>0</v>
      </c>
      <c r="D9609" t="s">
        <v>12005</v>
      </c>
      <c r="E9609" t="s">
        <v>12854</v>
      </c>
      <c r="F9609" t="s">
        <v>16049</v>
      </c>
      <c r="G9609" t="s">
        <v>18740</v>
      </c>
      <c r="H9609" t="s">
        <v>21273</v>
      </c>
      <c r="I9609" t="s">
        <v>1357</v>
      </c>
      <c r="J9609" t="s">
        <v>1357</v>
      </c>
      <c r="K9609" t="s">
        <v>1357</v>
      </c>
      <c r="L9609" t="s">
        <v>1357</v>
      </c>
    </row>
    <row r="9610" spans="1:13">
      <c r="A9610" t="s">
        <v>10294</v>
      </c>
      <c r="B9610">
        <f>HYPERLINK("https://android.googlesource.com/platform/cts/+/a68a0e4b2e2ccf3272c434a11c3d4c085b094ed0", "a68a0e4b2e2ccf3272c434a11c3d4c085b094ed0")</f>
        <v>0</v>
      </c>
      <c r="C9610">
        <f>HYPERLINK("https://android.googlesource.com/platform/cts/+/f7c53bd0bc9162cf4d44126c3ce39219bab1fb23", "f7c53bd0bc9162cf4d44126c3ce39219bab1fb23")</f>
        <v>0</v>
      </c>
      <c r="D9610" t="s">
        <v>11991</v>
      </c>
      <c r="E9610" t="s">
        <v>12855</v>
      </c>
      <c r="F9610" t="s">
        <v>15180</v>
      </c>
      <c r="G9610" t="s">
        <v>17882</v>
      </c>
      <c r="H9610" t="s">
        <v>21274</v>
      </c>
      <c r="I9610" t="s">
        <v>1357</v>
      </c>
      <c r="J9610" t="s">
        <v>1357</v>
      </c>
      <c r="K9610" t="s">
        <v>1357</v>
      </c>
      <c r="L9610" t="s">
        <v>1357</v>
      </c>
    </row>
    <row r="9611" spans="1:13">
      <c r="H9611" t="s">
        <v>21275</v>
      </c>
      <c r="I9611" t="s">
        <v>1357</v>
      </c>
      <c r="J9611" t="s">
        <v>1357</v>
      </c>
      <c r="K9611" t="s">
        <v>1357</v>
      </c>
      <c r="L9611" t="s">
        <v>1357</v>
      </c>
    </row>
    <row r="9612" spans="1:13">
      <c r="A9612" t="s">
        <v>10295</v>
      </c>
      <c r="B9612">
        <f>HYPERLINK("https://android.googlesource.com/platform/cts/+/60fae26b58b0264669f6d03c3c91f0251d49b3d5", "60fae26b58b0264669f6d03c3c91f0251d49b3d5")</f>
        <v>0</v>
      </c>
      <c r="C9612">
        <f>HYPERLINK("https://android.googlesource.com/platform/cts/+/18bc3b8eef686e7c5d2ca984441b55be38679e0c", "18bc3b8eef686e7c5d2ca984441b55be38679e0c")</f>
        <v>0</v>
      </c>
      <c r="D9612" t="s">
        <v>12063</v>
      </c>
      <c r="E9612" t="s">
        <v>12856</v>
      </c>
      <c r="F9612" t="s">
        <v>15184</v>
      </c>
      <c r="G9612" t="s">
        <v>17886</v>
      </c>
      <c r="H9612" t="s">
        <v>21276</v>
      </c>
      <c r="I9612" t="s">
        <v>1357</v>
      </c>
      <c r="J9612" t="s">
        <v>1357</v>
      </c>
      <c r="K9612" t="s">
        <v>1357</v>
      </c>
      <c r="L9612" t="s">
        <v>1357</v>
      </c>
    </row>
    <row r="9613" spans="1:13">
      <c r="H9613" t="s">
        <v>21277</v>
      </c>
      <c r="I9613" t="s">
        <v>1359</v>
      </c>
      <c r="J9613" t="s">
        <v>1358</v>
      </c>
      <c r="K9613" t="s">
        <v>1358</v>
      </c>
      <c r="L9613" t="s">
        <v>1357</v>
      </c>
    </row>
    <row r="9614" spans="1:13">
      <c r="H9614" t="s">
        <v>21278</v>
      </c>
      <c r="I9614" t="s">
        <v>1358</v>
      </c>
      <c r="J9614" t="s">
        <v>1358</v>
      </c>
      <c r="K9614" t="s">
        <v>1358</v>
      </c>
      <c r="L9614" t="s">
        <v>1358</v>
      </c>
    </row>
    <row r="9615" spans="1:13">
      <c r="A9615" t="s">
        <v>10296</v>
      </c>
      <c r="B9615">
        <f>HYPERLINK("https://android.googlesource.com/platform/cts/+/411a105cc5363c33e795d25ebd7d5d37ab79a9e7", "411a105cc5363c33e795d25ebd7d5d37ab79a9e7")</f>
        <v>0</v>
      </c>
      <c r="C9615">
        <f>HYPERLINK("https://android.googlesource.com/platform/cts/+/2cd14b39dcac4f4e994fd05a4f035051a7abcf67", "2cd14b39dcac4f4e994fd05a4f035051a7abcf67")</f>
        <v>0</v>
      </c>
      <c r="D9615" t="s">
        <v>12064</v>
      </c>
      <c r="E9615" t="s">
        <v>12857</v>
      </c>
      <c r="F9615" t="s">
        <v>15184</v>
      </c>
      <c r="G9615" t="s">
        <v>17886</v>
      </c>
      <c r="H9615" t="s">
        <v>21279</v>
      </c>
      <c r="I9615" t="s">
        <v>1357</v>
      </c>
      <c r="J9615" t="s">
        <v>1357</v>
      </c>
      <c r="K9615" t="s">
        <v>1357</v>
      </c>
      <c r="L9615" t="s">
        <v>1357</v>
      </c>
    </row>
    <row r="9616" spans="1:13">
      <c r="A9616" t="s">
        <v>10297</v>
      </c>
      <c r="B9616">
        <f>HYPERLINK("https://android.googlesource.com/platform/cts/+/e2d58b18da97e826cb29fcff792227b3b1131b99", "e2d58b18da97e826cb29fcff792227b3b1131b99")</f>
        <v>0</v>
      </c>
      <c r="C9616">
        <f>HYPERLINK("https://android.googlesource.com/platform/cts/+/5a50430b5e5dbdca944faceab51ff95bfcc10f1f", "5a50430b5e5dbdca944faceab51ff95bfcc10f1f")</f>
        <v>0</v>
      </c>
      <c r="D9616" t="s">
        <v>12065</v>
      </c>
      <c r="E9616" t="s">
        <v>12858</v>
      </c>
      <c r="F9616" t="s">
        <v>16050</v>
      </c>
      <c r="G9616" t="s">
        <v>18741</v>
      </c>
      <c r="H9616" t="s">
        <v>21280</v>
      </c>
      <c r="I9616" t="s">
        <v>1357</v>
      </c>
      <c r="J9616" t="s">
        <v>1357</v>
      </c>
      <c r="K9616" t="s">
        <v>1357</v>
      </c>
      <c r="L9616" t="s">
        <v>1357</v>
      </c>
    </row>
    <row r="9617" spans="8:12">
      <c r="H9617" t="s">
        <v>21281</v>
      </c>
      <c r="I9617" t="s">
        <v>1357</v>
      </c>
      <c r="J9617" t="s">
        <v>1357</v>
      </c>
      <c r="K9617" t="s">
        <v>1357</v>
      </c>
      <c r="L9617" t="s">
        <v>1357</v>
      </c>
    </row>
    <row r="9618" spans="8:12">
      <c r="H9618" t="s">
        <v>21282</v>
      </c>
      <c r="I9618" t="s">
        <v>1357</v>
      </c>
      <c r="J9618" t="s">
        <v>1357</v>
      </c>
      <c r="K9618" t="s">
        <v>1357</v>
      </c>
      <c r="L9618" t="s">
        <v>1357</v>
      </c>
    </row>
    <row r="9619" spans="8:12">
      <c r="H9619" t="s">
        <v>21283</v>
      </c>
      <c r="I9619" t="s">
        <v>1357</v>
      </c>
      <c r="J9619" t="s">
        <v>1357</v>
      </c>
      <c r="K9619" t="s">
        <v>1357</v>
      </c>
      <c r="L9619" t="s">
        <v>1357</v>
      </c>
    </row>
    <row r="9620" spans="8:12">
      <c r="H9620" t="s">
        <v>21284</v>
      </c>
      <c r="I9620" t="s">
        <v>1357</v>
      </c>
      <c r="J9620" t="s">
        <v>1357</v>
      </c>
      <c r="K9620" t="s">
        <v>1357</v>
      </c>
      <c r="L9620" t="s">
        <v>1357</v>
      </c>
    </row>
    <row r="9621" spans="8:12">
      <c r="H9621" t="s">
        <v>21285</v>
      </c>
      <c r="I9621" t="s">
        <v>1357</v>
      </c>
      <c r="J9621" t="s">
        <v>1357</v>
      </c>
      <c r="K9621" t="s">
        <v>1357</v>
      </c>
      <c r="L9621" t="s">
        <v>1357</v>
      </c>
    </row>
    <row r="9622" spans="8:12">
      <c r="H9622" t="s">
        <v>21286</v>
      </c>
      <c r="I9622" t="s">
        <v>1357</v>
      </c>
      <c r="J9622" t="s">
        <v>1357</v>
      </c>
      <c r="K9622" t="s">
        <v>1357</v>
      </c>
      <c r="L9622" t="s">
        <v>1357</v>
      </c>
    </row>
    <row r="9623" spans="8:12">
      <c r="H9623" t="s">
        <v>21287</v>
      </c>
      <c r="I9623" t="s">
        <v>1357</v>
      </c>
      <c r="J9623" t="s">
        <v>1357</v>
      </c>
      <c r="K9623" t="s">
        <v>1357</v>
      </c>
      <c r="L9623" t="s">
        <v>1357</v>
      </c>
    </row>
    <row r="9624" spans="8:12">
      <c r="H9624" t="s">
        <v>21288</v>
      </c>
      <c r="I9624" t="s">
        <v>1357</v>
      </c>
      <c r="J9624" t="s">
        <v>1357</v>
      </c>
      <c r="K9624" t="s">
        <v>1357</v>
      </c>
      <c r="L9624" t="s">
        <v>1357</v>
      </c>
    </row>
    <row r="9625" spans="8:12">
      <c r="H9625" t="s">
        <v>21289</v>
      </c>
      <c r="I9625" t="s">
        <v>1357</v>
      </c>
      <c r="J9625" t="s">
        <v>1357</v>
      </c>
      <c r="K9625" t="s">
        <v>1357</v>
      </c>
      <c r="L9625" t="s">
        <v>1357</v>
      </c>
    </row>
    <row r="9626" spans="8:12">
      <c r="H9626" t="s">
        <v>21290</v>
      </c>
      <c r="I9626" t="s">
        <v>1357</v>
      </c>
      <c r="J9626" t="s">
        <v>1357</v>
      </c>
      <c r="K9626" t="s">
        <v>1357</v>
      </c>
      <c r="L9626" t="s">
        <v>1357</v>
      </c>
    </row>
    <row r="9627" spans="8:12">
      <c r="H9627" t="s">
        <v>21291</v>
      </c>
      <c r="I9627" t="s">
        <v>1357</v>
      </c>
      <c r="J9627" t="s">
        <v>1357</v>
      </c>
      <c r="K9627" t="s">
        <v>1357</v>
      </c>
      <c r="L9627" t="s">
        <v>1357</v>
      </c>
    </row>
    <row r="9628" spans="8:12">
      <c r="H9628" t="s">
        <v>21292</v>
      </c>
      <c r="I9628" t="s">
        <v>1357</v>
      </c>
      <c r="J9628" t="s">
        <v>1357</v>
      </c>
      <c r="K9628" t="s">
        <v>1357</v>
      </c>
      <c r="L9628" t="s">
        <v>1357</v>
      </c>
    </row>
    <row r="9629" spans="8:12">
      <c r="H9629" t="s">
        <v>21293</v>
      </c>
      <c r="I9629" t="s">
        <v>1357</v>
      </c>
      <c r="J9629" t="s">
        <v>1357</v>
      </c>
      <c r="K9629" t="s">
        <v>1357</v>
      </c>
      <c r="L9629" t="s">
        <v>1357</v>
      </c>
    </row>
    <row r="9630" spans="8:12">
      <c r="H9630" t="s">
        <v>21294</v>
      </c>
      <c r="I9630" t="s">
        <v>1357</v>
      </c>
      <c r="J9630" t="s">
        <v>1357</v>
      </c>
      <c r="K9630" t="s">
        <v>1357</v>
      </c>
      <c r="L9630" t="s">
        <v>1357</v>
      </c>
    </row>
    <row r="9631" spans="8:12">
      <c r="H9631" t="s">
        <v>21295</v>
      </c>
      <c r="I9631" t="s">
        <v>1357</v>
      </c>
      <c r="J9631" t="s">
        <v>1357</v>
      </c>
      <c r="K9631" t="s">
        <v>1357</v>
      </c>
      <c r="L9631" t="s">
        <v>1357</v>
      </c>
    </row>
    <row r="9632" spans="8:12">
      <c r="H9632" t="s">
        <v>21296</v>
      </c>
      <c r="I9632" t="s">
        <v>1357</v>
      </c>
      <c r="J9632" t="s">
        <v>1357</v>
      </c>
      <c r="K9632" t="s">
        <v>1357</v>
      </c>
      <c r="L9632" t="s">
        <v>1357</v>
      </c>
    </row>
    <row r="9633" spans="1:12">
      <c r="H9633" t="s">
        <v>21297</v>
      </c>
      <c r="I9633" t="s">
        <v>1357</v>
      </c>
      <c r="J9633" t="s">
        <v>1357</v>
      </c>
      <c r="K9633" t="s">
        <v>1357</v>
      </c>
      <c r="L9633" t="s">
        <v>1357</v>
      </c>
    </row>
    <row r="9634" spans="1:12">
      <c r="H9634" t="s">
        <v>21298</v>
      </c>
      <c r="I9634" t="s">
        <v>1357</v>
      </c>
      <c r="J9634" t="s">
        <v>1357</v>
      </c>
      <c r="K9634" t="s">
        <v>1357</v>
      </c>
      <c r="L9634" t="s">
        <v>1357</v>
      </c>
    </row>
    <row r="9635" spans="1:12">
      <c r="H9635" t="s">
        <v>21299</v>
      </c>
      <c r="I9635" t="s">
        <v>1357</v>
      </c>
      <c r="J9635" t="s">
        <v>1357</v>
      </c>
      <c r="K9635" t="s">
        <v>1357</v>
      </c>
      <c r="L9635" t="s">
        <v>1357</v>
      </c>
    </row>
    <row r="9636" spans="1:12">
      <c r="A9636" t="s">
        <v>10298</v>
      </c>
      <c r="B9636">
        <f>HYPERLINK("https://android.googlesource.com/platform/cts/+/5140c5ad600527a436d78317ae3f242ec54ba174", "5140c5ad600527a436d78317ae3f242ec54ba174")</f>
        <v>0</v>
      </c>
      <c r="C9636">
        <f>HYPERLINK("https://android.googlesource.com/platform/cts/+/e40052544128b76a63bded1c2353d16c23dee264", "e40052544128b76a63bded1c2353d16c23dee264")</f>
        <v>0</v>
      </c>
      <c r="D9636" t="s">
        <v>11991</v>
      </c>
      <c r="E9636" t="s">
        <v>12859</v>
      </c>
      <c r="F9636" t="s">
        <v>15185</v>
      </c>
      <c r="G9636" t="s">
        <v>17887</v>
      </c>
      <c r="H9636" t="s">
        <v>21300</v>
      </c>
      <c r="I9636" t="s">
        <v>1357</v>
      </c>
      <c r="J9636" t="s">
        <v>1357</v>
      </c>
      <c r="K9636" t="s">
        <v>1357</v>
      </c>
      <c r="L9636" t="s">
        <v>1357</v>
      </c>
    </row>
    <row r="9637" spans="1:12">
      <c r="H9637" t="s">
        <v>21301</v>
      </c>
      <c r="I9637" t="s">
        <v>1357</v>
      </c>
      <c r="J9637" t="s">
        <v>1357</v>
      </c>
      <c r="K9637" t="s">
        <v>1357</v>
      </c>
      <c r="L9637" t="s">
        <v>1357</v>
      </c>
    </row>
    <row r="9638" spans="1:12">
      <c r="A9638" t="s">
        <v>10299</v>
      </c>
      <c r="B9638">
        <f>HYPERLINK("https://android.googlesource.com/platform/cts/+/86d46afe064937dbec95d91e64e27baec141ae97", "86d46afe064937dbec95d91e64e27baec141ae97")</f>
        <v>0</v>
      </c>
      <c r="C9638">
        <f>HYPERLINK("https://android.googlesource.com/platform/cts/+/d6cc66a89811b7b9e843baf48860976a992c33f3", "d6cc66a89811b7b9e843baf48860976a992c33f3")</f>
        <v>0</v>
      </c>
      <c r="D9638" t="s">
        <v>11991</v>
      </c>
      <c r="E9638" t="s">
        <v>12860</v>
      </c>
      <c r="F9638" t="s">
        <v>16051</v>
      </c>
      <c r="G9638" t="s">
        <v>18742</v>
      </c>
      <c r="H9638" t="s">
        <v>21302</v>
      </c>
      <c r="I9638" t="s">
        <v>1357</v>
      </c>
      <c r="J9638" t="s">
        <v>1357</v>
      </c>
      <c r="K9638" t="s">
        <v>1357</v>
      </c>
      <c r="L9638" t="s">
        <v>1357</v>
      </c>
    </row>
    <row r="9639" spans="1:12">
      <c r="A9639" t="s">
        <v>10300</v>
      </c>
      <c r="B9639">
        <f>HYPERLINK("https://android.googlesource.com/platform/cts/+/8ea3666ae94ac8f4b9b9c4bdbbf0695561d978cb", "8ea3666ae94ac8f4b9b9c4bdbbf0695561d978cb")</f>
        <v>0</v>
      </c>
      <c r="C9639">
        <f>HYPERLINK("https://android.googlesource.com/platform/cts/+/bfe1405befe2138259d2fdcbd93a6011620b7a89", "bfe1405befe2138259d2fdcbd93a6011620b7a89")</f>
        <v>0</v>
      </c>
      <c r="D9639" t="s">
        <v>12066</v>
      </c>
      <c r="E9639" t="s">
        <v>12861</v>
      </c>
      <c r="F9639" t="s">
        <v>16052</v>
      </c>
      <c r="G9639" t="s">
        <v>18743</v>
      </c>
      <c r="H9639" t="s">
        <v>21303</v>
      </c>
      <c r="I9639" t="s">
        <v>1357</v>
      </c>
      <c r="J9639" t="s">
        <v>1357</v>
      </c>
      <c r="K9639" t="s">
        <v>1357</v>
      </c>
      <c r="L9639" t="s">
        <v>1357</v>
      </c>
    </row>
    <row r="9640" spans="1:12">
      <c r="H9640" t="s">
        <v>21304</v>
      </c>
      <c r="I9640" t="s">
        <v>1357</v>
      </c>
      <c r="J9640" t="s">
        <v>1357</v>
      </c>
      <c r="K9640" t="s">
        <v>1357</v>
      </c>
      <c r="L9640" t="s">
        <v>1357</v>
      </c>
    </row>
    <row r="9641" spans="1:12">
      <c r="H9641" t="s">
        <v>21305</v>
      </c>
      <c r="I9641" t="s">
        <v>1357</v>
      </c>
      <c r="J9641" t="s">
        <v>1357</v>
      </c>
      <c r="K9641" t="s">
        <v>1357</v>
      </c>
      <c r="L9641" t="s">
        <v>1357</v>
      </c>
    </row>
    <row r="9642" spans="1:12">
      <c r="H9642" t="s">
        <v>21306</v>
      </c>
      <c r="I9642" t="s">
        <v>1357</v>
      </c>
      <c r="J9642" t="s">
        <v>1357</v>
      </c>
      <c r="K9642" t="s">
        <v>1357</v>
      </c>
      <c r="L9642" t="s">
        <v>1357</v>
      </c>
    </row>
    <row r="9643" spans="1:12">
      <c r="H9643" t="s">
        <v>21307</v>
      </c>
      <c r="I9643" t="s">
        <v>1357</v>
      </c>
      <c r="J9643" t="s">
        <v>1357</v>
      </c>
      <c r="K9643" t="s">
        <v>1357</v>
      </c>
      <c r="L9643" t="s">
        <v>1357</v>
      </c>
    </row>
    <row r="9644" spans="1:12">
      <c r="A9644" t="s">
        <v>10301</v>
      </c>
      <c r="B9644">
        <f>HYPERLINK("https://android.googlesource.com/platform/cts/+/8ea2becef97509aef884c82cff8d794714ea9a25", "8ea2becef97509aef884c82cff8d794714ea9a25")</f>
        <v>0</v>
      </c>
      <c r="C9644">
        <f>HYPERLINK("https://android.googlesource.com/platform/cts/+/e64a5aa37a56a2bc67d48e0f0d3ca29567ebc0ac", "e64a5aa37a56a2bc67d48e0f0d3ca29567ebc0ac")</f>
        <v>0</v>
      </c>
      <c r="D9644" t="s">
        <v>12067</v>
      </c>
      <c r="E9644" t="s">
        <v>12862</v>
      </c>
      <c r="F9644" t="s">
        <v>16043</v>
      </c>
      <c r="G9644" t="s">
        <v>18734</v>
      </c>
      <c r="H9644" t="s">
        <v>21308</v>
      </c>
      <c r="I9644" t="s">
        <v>1357</v>
      </c>
      <c r="J9644" t="s">
        <v>1357</v>
      </c>
      <c r="K9644" t="s">
        <v>1357</v>
      </c>
      <c r="L9644" t="s">
        <v>1357</v>
      </c>
    </row>
    <row r="9645" spans="1:12">
      <c r="H9645" t="s">
        <v>21309</v>
      </c>
      <c r="I9645" t="s">
        <v>1357</v>
      </c>
      <c r="J9645" t="s">
        <v>1357</v>
      </c>
      <c r="K9645" t="s">
        <v>1357</v>
      </c>
      <c r="L9645" t="s">
        <v>1357</v>
      </c>
    </row>
    <row r="9646" spans="1:12">
      <c r="H9646" t="s">
        <v>21310</v>
      </c>
      <c r="I9646" t="s">
        <v>1357</v>
      </c>
      <c r="J9646" t="s">
        <v>1357</v>
      </c>
      <c r="K9646" t="s">
        <v>1357</v>
      </c>
      <c r="L9646" t="s">
        <v>1357</v>
      </c>
    </row>
    <row r="9647" spans="1:12">
      <c r="H9647" t="s">
        <v>21311</v>
      </c>
      <c r="I9647" t="s">
        <v>1357</v>
      </c>
      <c r="J9647" t="s">
        <v>1357</v>
      </c>
      <c r="K9647" t="s">
        <v>1357</v>
      </c>
      <c r="L9647" t="s">
        <v>1357</v>
      </c>
    </row>
    <row r="9648" spans="1:12">
      <c r="H9648" t="s">
        <v>21312</v>
      </c>
      <c r="I9648" t="s">
        <v>1357</v>
      </c>
      <c r="J9648" t="s">
        <v>1357</v>
      </c>
      <c r="K9648" t="s">
        <v>1357</v>
      </c>
      <c r="L9648" t="s">
        <v>1357</v>
      </c>
    </row>
    <row r="9649" spans="6:13">
      <c r="H9649" t="s">
        <v>21313</v>
      </c>
      <c r="I9649" t="s">
        <v>1357</v>
      </c>
      <c r="J9649" t="s">
        <v>1357</v>
      </c>
      <c r="K9649" t="s">
        <v>1357</v>
      </c>
      <c r="L9649" t="s">
        <v>1357</v>
      </c>
    </row>
    <row r="9650" spans="6:13">
      <c r="H9650" t="s">
        <v>21314</v>
      </c>
      <c r="I9650" t="s">
        <v>1357</v>
      </c>
      <c r="J9650" t="s">
        <v>1357</v>
      </c>
      <c r="K9650" t="s">
        <v>1357</v>
      </c>
      <c r="L9650" t="s">
        <v>1357</v>
      </c>
    </row>
    <row r="9651" spans="6:13">
      <c r="H9651" t="s">
        <v>21315</v>
      </c>
      <c r="I9651" t="s">
        <v>1357</v>
      </c>
      <c r="J9651" t="s">
        <v>1357</v>
      </c>
      <c r="K9651" t="s">
        <v>1357</v>
      </c>
      <c r="L9651" t="s">
        <v>1357</v>
      </c>
    </row>
    <row r="9652" spans="6:13">
      <c r="H9652" t="s">
        <v>21316</v>
      </c>
      <c r="I9652" t="s">
        <v>1357</v>
      </c>
      <c r="J9652" t="s">
        <v>1357</v>
      </c>
      <c r="K9652" t="s">
        <v>1357</v>
      </c>
      <c r="L9652" t="s">
        <v>1357</v>
      </c>
    </row>
    <row r="9653" spans="6:13">
      <c r="H9653" t="s">
        <v>21317</v>
      </c>
      <c r="I9653" t="s">
        <v>1357</v>
      </c>
      <c r="J9653" t="s">
        <v>1357</v>
      </c>
      <c r="K9653" t="s">
        <v>1357</v>
      </c>
      <c r="L9653" t="s">
        <v>1357</v>
      </c>
    </row>
    <row r="9654" spans="6:13">
      <c r="F9654" t="s">
        <v>16053</v>
      </c>
      <c r="G9654" t="s">
        <v>18744</v>
      </c>
      <c r="H9654" t="s">
        <v>21318</v>
      </c>
      <c r="I9654" t="s">
        <v>1357</v>
      </c>
      <c r="J9654" t="s">
        <v>1357</v>
      </c>
      <c r="K9654" t="s">
        <v>1357</v>
      </c>
      <c r="L9654" t="s">
        <v>1357</v>
      </c>
    </row>
    <row r="9655" spans="6:13">
      <c r="F9655" t="s">
        <v>16054</v>
      </c>
      <c r="G9655" t="s">
        <v>18745</v>
      </c>
      <c r="H9655" t="s">
        <v>21319</v>
      </c>
      <c r="I9655" t="s">
        <v>1357</v>
      </c>
      <c r="J9655" t="s">
        <v>1357</v>
      </c>
      <c r="K9655" t="s">
        <v>1357</v>
      </c>
      <c r="L9655" t="s">
        <v>1357</v>
      </c>
    </row>
    <row r="9656" spans="6:13">
      <c r="F9656" t="s">
        <v>16055</v>
      </c>
      <c r="G9656" t="s">
        <v>18746</v>
      </c>
      <c r="H9656" t="s">
        <v>21320</v>
      </c>
      <c r="I9656" t="s">
        <v>1357</v>
      </c>
      <c r="J9656" t="s">
        <v>1357</v>
      </c>
      <c r="K9656" t="s">
        <v>1357</v>
      </c>
      <c r="L9656" t="s">
        <v>1357</v>
      </c>
    </row>
    <row r="9657" spans="6:13">
      <c r="H9657" t="s">
        <v>21321</v>
      </c>
      <c r="I9657" t="s">
        <v>1357</v>
      </c>
      <c r="J9657" t="s">
        <v>1357</v>
      </c>
      <c r="K9657" t="s">
        <v>1357</v>
      </c>
      <c r="L9657" t="s">
        <v>1357</v>
      </c>
    </row>
    <row r="9658" spans="6:13">
      <c r="H9658" t="s">
        <v>21322</v>
      </c>
      <c r="I9658" t="s">
        <v>1357</v>
      </c>
      <c r="J9658" t="s">
        <v>1357</v>
      </c>
      <c r="K9658" t="s">
        <v>1357</v>
      </c>
      <c r="L9658" t="s">
        <v>1357</v>
      </c>
    </row>
    <row r="9659" spans="6:13">
      <c r="H9659" t="s">
        <v>21323</v>
      </c>
      <c r="I9659" t="s">
        <v>1357</v>
      </c>
      <c r="J9659" t="s">
        <v>1357</v>
      </c>
      <c r="K9659" t="s">
        <v>1357</v>
      </c>
      <c r="L9659" t="s">
        <v>1357</v>
      </c>
    </row>
    <row r="9660" spans="6:13">
      <c r="H9660" t="s">
        <v>21324</v>
      </c>
      <c r="I9660" t="s">
        <v>1357</v>
      </c>
      <c r="J9660" t="s">
        <v>1357</v>
      </c>
      <c r="K9660" t="s">
        <v>1357</v>
      </c>
      <c r="L9660" t="s">
        <v>1357</v>
      </c>
    </row>
    <row r="9661" spans="6:13">
      <c r="H9661" t="s">
        <v>21325</v>
      </c>
      <c r="I9661" t="s">
        <v>1357</v>
      </c>
      <c r="J9661" t="s">
        <v>1357</v>
      </c>
      <c r="K9661" t="s">
        <v>1357</v>
      </c>
      <c r="L9661" t="s">
        <v>1357</v>
      </c>
    </row>
    <row r="9662" spans="6:13">
      <c r="H9662" t="s">
        <v>21326</v>
      </c>
      <c r="I9662" t="s">
        <v>1357</v>
      </c>
      <c r="J9662" t="s">
        <v>1357</v>
      </c>
      <c r="K9662" t="s">
        <v>1357</v>
      </c>
      <c r="L9662" t="s">
        <v>1357</v>
      </c>
      <c r="M9662" t="s">
        <v>1365</v>
      </c>
    </row>
    <row r="9663" spans="6:13">
      <c r="H9663" t="s">
        <v>21327</v>
      </c>
      <c r="I9663" t="s">
        <v>1357</v>
      </c>
      <c r="J9663" t="s">
        <v>1357</v>
      </c>
      <c r="K9663" t="s">
        <v>1357</v>
      </c>
      <c r="L9663" t="s">
        <v>1357</v>
      </c>
    </row>
    <row r="9664" spans="6:13">
      <c r="F9664" t="s">
        <v>16056</v>
      </c>
      <c r="G9664" t="s">
        <v>18747</v>
      </c>
      <c r="H9664" t="s">
        <v>21328</v>
      </c>
      <c r="I9664" t="s">
        <v>1357</v>
      </c>
      <c r="J9664" t="s">
        <v>1357</v>
      </c>
      <c r="K9664" t="s">
        <v>1357</v>
      </c>
      <c r="L9664" t="s">
        <v>1357</v>
      </c>
    </row>
    <row r="9665" spans="1:12">
      <c r="F9665" t="s">
        <v>16057</v>
      </c>
      <c r="G9665" t="s">
        <v>18748</v>
      </c>
      <c r="H9665" t="s">
        <v>21329</v>
      </c>
      <c r="I9665" t="s">
        <v>1357</v>
      </c>
      <c r="J9665" t="s">
        <v>1357</v>
      </c>
      <c r="K9665" t="s">
        <v>1357</v>
      </c>
      <c r="L9665" t="s">
        <v>1357</v>
      </c>
    </row>
    <row r="9666" spans="1:12">
      <c r="H9666" t="s">
        <v>21330</v>
      </c>
      <c r="I9666" t="s">
        <v>1357</v>
      </c>
      <c r="J9666" t="s">
        <v>1357</v>
      </c>
      <c r="K9666" t="s">
        <v>1357</v>
      </c>
      <c r="L9666" t="s">
        <v>1357</v>
      </c>
    </row>
    <row r="9667" spans="1:12">
      <c r="F9667" t="s">
        <v>16058</v>
      </c>
      <c r="G9667" t="s">
        <v>18749</v>
      </c>
      <c r="H9667" t="s">
        <v>21331</v>
      </c>
      <c r="I9667" t="s">
        <v>1357</v>
      </c>
      <c r="J9667" t="s">
        <v>1357</v>
      </c>
      <c r="K9667" t="s">
        <v>1357</v>
      </c>
      <c r="L9667" t="s">
        <v>1357</v>
      </c>
    </row>
    <row r="9668" spans="1:12">
      <c r="F9668" t="s">
        <v>16011</v>
      </c>
      <c r="G9668" t="s">
        <v>18703</v>
      </c>
      <c r="H9668" t="s">
        <v>21332</v>
      </c>
      <c r="I9668" t="s">
        <v>1357</v>
      </c>
      <c r="J9668" t="s">
        <v>1357</v>
      </c>
      <c r="K9668" t="s">
        <v>1357</v>
      </c>
      <c r="L9668" t="s">
        <v>1357</v>
      </c>
    </row>
    <row r="9669" spans="1:12">
      <c r="A9669" t="s">
        <v>10302</v>
      </c>
      <c r="B9669">
        <f>HYPERLINK("https://android.googlesource.com/platform/cts/+/cc9af6e6ffb2bef2cd094795c738ae2b10624dea", "cc9af6e6ffb2bef2cd094795c738ae2b10624dea")</f>
        <v>0</v>
      </c>
      <c r="C9669">
        <f>HYPERLINK("https://android.googlesource.com/platform/cts/+/3dd9f1ec1a97905ea1901d9450cfddb48966a382", "3dd9f1ec1a97905ea1901d9450cfddb48966a382")</f>
        <v>0</v>
      </c>
      <c r="D9669" t="s">
        <v>12068</v>
      </c>
      <c r="E9669" t="s">
        <v>12863</v>
      </c>
      <c r="F9669" t="s">
        <v>16059</v>
      </c>
      <c r="G9669" t="s">
        <v>18750</v>
      </c>
      <c r="H9669" t="s">
        <v>21333</v>
      </c>
      <c r="I9669" t="s">
        <v>1357</v>
      </c>
      <c r="J9669" t="s">
        <v>1357</v>
      </c>
      <c r="K9669" t="s">
        <v>1357</v>
      </c>
      <c r="L9669" t="s">
        <v>1357</v>
      </c>
    </row>
    <row r="9670" spans="1:12">
      <c r="H9670" t="s">
        <v>21334</v>
      </c>
      <c r="I9670" t="s">
        <v>1357</v>
      </c>
      <c r="J9670" t="s">
        <v>1357</v>
      </c>
      <c r="K9670" t="s">
        <v>1357</v>
      </c>
      <c r="L9670" t="s">
        <v>1357</v>
      </c>
    </row>
    <row r="9671" spans="1:12">
      <c r="A9671" t="s">
        <v>10303</v>
      </c>
      <c r="B9671">
        <f>HYPERLINK("https://android.googlesource.com/platform/cts/+/4b7f7c01129b624947d9f9a84e9e851a2761fed7", "4b7f7c01129b624947d9f9a84e9e851a2761fed7")</f>
        <v>0</v>
      </c>
      <c r="C9671">
        <f>HYPERLINK("https://android.googlesource.com/platform/cts/+/9306115a474168ff12dd5312c5820e9c54134e9c", "9306115a474168ff12dd5312c5820e9c54134e9c")</f>
        <v>0</v>
      </c>
      <c r="D9671" t="s">
        <v>12031</v>
      </c>
      <c r="E9671" t="s">
        <v>12864</v>
      </c>
      <c r="F9671" t="s">
        <v>16060</v>
      </c>
      <c r="G9671" t="s">
        <v>18751</v>
      </c>
      <c r="H9671" t="s">
        <v>21335</v>
      </c>
      <c r="I9671" t="s">
        <v>1358</v>
      </c>
      <c r="J9671" t="s">
        <v>1358</v>
      </c>
      <c r="K9671" t="s">
        <v>1358</v>
      </c>
      <c r="L9671" t="s">
        <v>1358</v>
      </c>
    </row>
    <row r="9672" spans="1:12">
      <c r="A9672" t="s">
        <v>10304</v>
      </c>
      <c r="B9672">
        <f>HYPERLINK("https://android.googlesource.com/platform/cts/+/0408b17d15c515c251c3544104112f859168c9d3", "0408b17d15c515c251c3544104112f859168c9d3")</f>
        <v>0</v>
      </c>
      <c r="C9672">
        <f>HYPERLINK("https://android.googlesource.com/platform/cts/+/7082fb8c9cc97300f36b714efe4f6d99c344fd6d", "7082fb8c9cc97300f36b714efe4f6d99c344fd6d")</f>
        <v>0</v>
      </c>
      <c r="D9672" t="s">
        <v>12069</v>
      </c>
      <c r="E9672" t="s">
        <v>12865</v>
      </c>
      <c r="F9672" t="s">
        <v>16061</v>
      </c>
      <c r="G9672" t="s">
        <v>18752</v>
      </c>
      <c r="H9672" t="s">
        <v>21336</v>
      </c>
      <c r="I9672" t="s">
        <v>1357</v>
      </c>
      <c r="J9672" t="s">
        <v>1357</v>
      </c>
      <c r="K9672" t="s">
        <v>1357</v>
      </c>
      <c r="L9672" t="s">
        <v>1357</v>
      </c>
    </row>
    <row r="9673" spans="1:12">
      <c r="H9673" t="s">
        <v>21337</v>
      </c>
      <c r="I9673" t="s">
        <v>1357</v>
      </c>
      <c r="J9673" t="s">
        <v>1357</v>
      </c>
      <c r="K9673" t="s">
        <v>1357</v>
      </c>
      <c r="L9673" t="s">
        <v>1357</v>
      </c>
    </row>
    <row r="9674" spans="1:12">
      <c r="H9674" t="s">
        <v>21338</v>
      </c>
      <c r="I9674" t="s">
        <v>1357</v>
      </c>
      <c r="J9674" t="s">
        <v>1357</v>
      </c>
      <c r="K9674" t="s">
        <v>1357</v>
      </c>
      <c r="L9674" t="s">
        <v>1357</v>
      </c>
    </row>
    <row r="9675" spans="1:12">
      <c r="F9675" t="s">
        <v>16053</v>
      </c>
      <c r="G9675" t="s">
        <v>18744</v>
      </c>
      <c r="H9675" t="s">
        <v>21339</v>
      </c>
      <c r="I9675" t="s">
        <v>1357</v>
      </c>
      <c r="J9675" t="s">
        <v>1357</v>
      </c>
      <c r="K9675" t="s">
        <v>1357</v>
      </c>
      <c r="L9675" t="s">
        <v>1357</v>
      </c>
    </row>
    <row r="9676" spans="1:12">
      <c r="A9676" t="s">
        <v>10305</v>
      </c>
      <c r="B9676">
        <f>HYPERLINK("https://android.googlesource.com/platform/cts/+/ac8d674e13b3eaf97990cc3e6aa86de86155a6cd", "ac8d674e13b3eaf97990cc3e6aa86de86155a6cd")</f>
        <v>0</v>
      </c>
      <c r="C9676">
        <f>HYPERLINK("https://android.googlesource.com/platform/cts/+/82f583a8b9e5608f36d08d5add3880db2b8c512e", "82f583a8b9e5608f36d08d5add3880db2b8c512e")</f>
        <v>0</v>
      </c>
      <c r="D9676" t="s">
        <v>12021</v>
      </c>
      <c r="E9676" t="s">
        <v>12866</v>
      </c>
      <c r="F9676" t="s">
        <v>16062</v>
      </c>
      <c r="G9676" t="s">
        <v>18753</v>
      </c>
      <c r="H9676" t="s">
        <v>21340</v>
      </c>
      <c r="I9676" t="s">
        <v>1357</v>
      </c>
      <c r="J9676" t="s">
        <v>1357</v>
      </c>
      <c r="K9676" t="s">
        <v>1357</v>
      </c>
      <c r="L9676" t="s">
        <v>1357</v>
      </c>
    </row>
    <row r="9677" spans="1:12">
      <c r="H9677" t="s">
        <v>21341</v>
      </c>
      <c r="I9677" t="s">
        <v>1357</v>
      </c>
      <c r="J9677" t="s">
        <v>1357</v>
      </c>
      <c r="K9677" t="s">
        <v>1357</v>
      </c>
      <c r="L9677" t="s">
        <v>1357</v>
      </c>
    </row>
    <row r="9678" spans="1:12">
      <c r="H9678" t="s">
        <v>21342</v>
      </c>
      <c r="I9678" t="s">
        <v>1357</v>
      </c>
      <c r="J9678" t="s">
        <v>1357</v>
      </c>
      <c r="K9678" t="s">
        <v>1357</v>
      </c>
      <c r="L9678" t="s">
        <v>1357</v>
      </c>
    </row>
    <row r="9679" spans="1:12">
      <c r="F9679" t="s">
        <v>16063</v>
      </c>
      <c r="G9679" t="s">
        <v>18754</v>
      </c>
      <c r="H9679" t="s">
        <v>21343</v>
      </c>
      <c r="I9679" t="s">
        <v>1357</v>
      </c>
      <c r="J9679" t="s">
        <v>1357</v>
      </c>
      <c r="K9679" t="s">
        <v>1357</v>
      </c>
      <c r="L9679" t="s">
        <v>1357</v>
      </c>
    </row>
    <row r="9680" spans="1:12">
      <c r="H9680" t="s">
        <v>21344</v>
      </c>
      <c r="I9680" t="s">
        <v>1357</v>
      </c>
      <c r="J9680" t="s">
        <v>1357</v>
      </c>
      <c r="K9680" t="s">
        <v>1357</v>
      </c>
      <c r="L9680" t="s">
        <v>1357</v>
      </c>
    </row>
    <row r="9681" spans="1:13">
      <c r="H9681" t="s">
        <v>21345</v>
      </c>
      <c r="I9681" t="s">
        <v>1357</v>
      </c>
      <c r="J9681" t="s">
        <v>1357</v>
      </c>
      <c r="K9681" t="s">
        <v>1357</v>
      </c>
      <c r="L9681" t="s">
        <v>1357</v>
      </c>
    </row>
    <row r="9682" spans="1:13">
      <c r="F9682" t="s">
        <v>16064</v>
      </c>
      <c r="G9682" t="s">
        <v>18755</v>
      </c>
      <c r="H9682" t="s">
        <v>21346</v>
      </c>
      <c r="I9682" t="s">
        <v>1357</v>
      </c>
      <c r="J9682" t="s">
        <v>1357</v>
      </c>
      <c r="K9682" t="s">
        <v>1357</v>
      </c>
      <c r="L9682" t="s">
        <v>1357</v>
      </c>
    </row>
    <row r="9683" spans="1:13">
      <c r="H9683" t="s">
        <v>21347</v>
      </c>
      <c r="I9683" t="s">
        <v>1357</v>
      </c>
      <c r="J9683" t="s">
        <v>1357</v>
      </c>
      <c r="K9683" t="s">
        <v>1357</v>
      </c>
      <c r="L9683" t="s">
        <v>1357</v>
      </c>
    </row>
    <row r="9684" spans="1:13">
      <c r="H9684" t="s">
        <v>21348</v>
      </c>
      <c r="I9684" t="s">
        <v>1357</v>
      </c>
      <c r="J9684" t="s">
        <v>1357</v>
      </c>
      <c r="K9684" t="s">
        <v>1357</v>
      </c>
      <c r="L9684" t="s">
        <v>1357</v>
      </c>
    </row>
    <row r="9685" spans="1:13">
      <c r="H9685" t="s">
        <v>21349</v>
      </c>
      <c r="I9685" t="s">
        <v>1357</v>
      </c>
      <c r="J9685" t="s">
        <v>1357</v>
      </c>
      <c r="K9685" t="s">
        <v>1357</v>
      </c>
      <c r="L9685" t="s">
        <v>1357</v>
      </c>
    </row>
    <row r="9686" spans="1:13">
      <c r="H9686" t="s">
        <v>21350</v>
      </c>
      <c r="I9686" t="s">
        <v>1357</v>
      </c>
      <c r="J9686" t="s">
        <v>1357</v>
      </c>
      <c r="K9686" t="s">
        <v>1357</v>
      </c>
      <c r="L9686" t="s">
        <v>1357</v>
      </c>
    </row>
    <row r="9687" spans="1:13">
      <c r="H9687" t="s">
        <v>21351</v>
      </c>
      <c r="I9687" t="s">
        <v>1357</v>
      </c>
      <c r="J9687" t="s">
        <v>1357</v>
      </c>
      <c r="K9687" t="s">
        <v>1357</v>
      </c>
      <c r="L9687" t="s">
        <v>1357</v>
      </c>
    </row>
    <row r="9688" spans="1:13">
      <c r="A9688" t="s">
        <v>10306</v>
      </c>
      <c r="B9688">
        <f>HYPERLINK("https://android.googlesource.com/platform/cts/+/695af1faf3b540695a87ef2ae27c1a5081e1f010", "695af1faf3b540695a87ef2ae27c1a5081e1f010")</f>
        <v>0</v>
      </c>
      <c r="C9688">
        <f>HYPERLINK("https://android.googlesource.com/platform/cts/+/44204f68a59c6a0c9cd8544a9cafb120839a1bc1", "44204f68a59c6a0c9cd8544a9cafb120839a1bc1")</f>
        <v>0</v>
      </c>
      <c r="D9688" t="s">
        <v>12070</v>
      </c>
      <c r="E9688" t="s">
        <v>12867</v>
      </c>
      <c r="F9688" t="s">
        <v>16060</v>
      </c>
      <c r="G9688" t="s">
        <v>18751</v>
      </c>
      <c r="H9688" t="s">
        <v>21335</v>
      </c>
      <c r="I9688" t="s">
        <v>1358</v>
      </c>
      <c r="J9688" t="s">
        <v>1358</v>
      </c>
      <c r="K9688" t="s">
        <v>1358</v>
      </c>
      <c r="L9688" t="s">
        <v>1358</v>
      </c>
      <c r="M9688" t="s">
        <v>27476</v>
      </c>
    </row>
    <row r="9689" spans="1:13">
      <c r="A9689" t="s">
        <v>10307</v>
      </c>
      <c r="B9689">
        <f>HYPERLINK("https://android.googlesource.com/platform/cts/+/20815e69e7d5c7f62b190b7ef337a1dd6ec3df83", "20815e69e7d5c7f62b190b7ef337a1dd6ec3df83")</f>
        <v>0</v>
      </c>
      <c r="C9689">
        <f>HYPERLINK("https://android.googlesource.com/platform/cts/+/8e7fb5257401578e6eb5aac7194be991831bd619", "8e7fb5257401578e6eb5aac7194be991831bd619")</f>
        <v>0</v>
      </c>
      <c r="D9689" t="s">
        <v>12069</v>
      </c>
      <c r="E9689" t="s">
        <v>12868</v>
      </c>
      <c r="F9689" t="s">
        <v>16065</v>
      </c>
      <c r="G9689" t="s">
        <v>18756</v>
      </c>
      <c r="H9689" t="s">
        <v>21352</v>
      </c>
      <c r="I9689" t="s">
        <v>1358</v>
      </c>
      <c r="J9689" t="s">
        <v>1358</v>
      </c>
      <c r="K9689" t="s">
        <v>1358</v>
      </c>
      <c r="L9689" t="s">
        <v>1358</v>
      </c>
    </row>
    <row r="9690" spans="1:13">
      <c r="H9690" t="s">
        <v>21353</v>
      </c>
      <c r="I9690" t="s">
        <v>1358</v>
      </c>
      <c r="J9690" t="s">
        <v>1358</v>
      </c>
      <c r="K9690" t="s">
        <v>1358</v>
      </c>
      <c r="L9690" t="s">
        <v>1358</v>
      </c>
    </row>
    <row r="9691" spans="1:13">
      <c r="H9691" t="s">
        <v>21354</v>
      </c>
      <c r="I9691" t="s">
        <v>1358</v>
      </c>
      <c r="J9691" t="s">
        <v>1358</v>
      </c>
      <c r="K9691" t="s">
        <v>1358</v>
      </c>
      <c r="L9691" t="s">
        <v>1358</v>
      </c>
    </row>
    <row r="9692" spans="1:13">
      <c r="H9692" t="s">
        <v>21355</v>
      </c>
      <c r="I9692" t="s">
        <v>1358</v>
      </c>
      <c r="J9692" t="s">
        <v>1358</v>
      </c>
      <c r="K9692" t="s">
        <v>1358</v>
      </c>
      <c r="L9692" t="s">
        <v>1358</v>
      </c>
    </row>
    <row r="9693" spans="1:13">
      <c r="A9693" t="s">
        <v>10308</v>
      </c>
      <c r="B9693">
        <f>HYPERLINK("https://android.googlesource.com/platform/cts/+/bfe21539f8796fecab7ebc52e69fbad415466876", "bfe21539f8796fecab7ebc52e69fbad415466876")</f>
        <v>0</v>
      </c>
      <c r="C9693">
        <f>HYPERLINK("https://android.googlesource.com/platform/cts/+/d36d7bbfe4041684772d97a41e024d18034f0fb1", "d36d7bbfe4041684772d97a41e024d18034f0fb1")</f>
        <v>0</v>
      </c>
      <c r="D9693" t="s">
        <v>12071</v>
      </c>
      <c r="E9693" t="s">
        <v>12869</v>
      </c>
      <c r="F9693" t="s">
        <v>16066</v>
      </c>
      <c r="G9693" t="s">
        <v>18606</v>
      </c>
      <c r="H9693" t="s">
        <v>20535</v>
      </c>
      <c r="I9693" t="s">
        <v>1358</v>
      </c>
      <c r="J9693" t="s">
        <v>1358</v>
      </c>
      <c r="K9693" t="s">
        <v>1358</v>
      </c>
      <c r="L9693" t="s">
        <v>1358</v>
      </c>
    </row>
    <row r="9694" spans="1:13">
      <c r="H9694" t="s">
        <v>20536</v>
      </c>
      <c r="I9694" t="s">
        <v>1358</v>
      </c>
      <c r="J9694" t="s">
        <v>1358</v>
      </c>
      <c r="K9694" t="s">
        <v>1358</v>
      </c>
      <c r="L9694" t="s">
        <v>1358</v>
      </c>
    </row>
    <row r="9695" spans="1:13">
      <c r="A9695" t="s">
        <v>10309</v>
      </c>
      <c r="B9695">
        <f>HYPERLINK("https://android.googlesource.com/platform/cts/+/92b89af07ac9f528228d44b71ce6131e5d36dc13", "92b89af07ac9f528228d44b71ce6131e5d36dc13")</f>
        <v>0</v>
      </c>
      <c r="C9695">
        <f>HYPERLINK("https://android.googlesource.com/platform/cts/+/00d083abecc0d0671ff6e71bf3664fd4e825e52f", "00d083abecc0d0671ff6e71bf3664fd4e825e52f")</f>
        <v>0</v>
      </c>
      <c r="D9695" t="s">
        <v>12045</v>
      </c>
      <c r="E9695" t="s">
        <v>12870</v>
      </c>
      <c r="F9695" t="s">
        <v>16067</v>
      </c>
      <c r="G9695" t="s">
        <v>18757</v>
      </c>
      <c r="H9695" t="s">
        <v>21356</v>
      </c>
      <c r="I9695" t="s">
        <v>1358</v>
      </c>
      <c r="J9695" t="s">
        <v>1358</v>
      </c>
      <c r="K9695" t="s">
        <v>1358</v>
      </c>
      <c r="L9695" t="s">
        <v>1358</v>
      </c>
    </row>
    <row r="9696" spans="1:13">
      <c r="A9696" t="s">
        <v>10310</v>
      </c>
      <c r="B9696">
        <f>HYPERLINK("https://android.googlesource.com/platform/cts/+/e523556a72ecf97c782354c95b2c018981a31e62", "e523556a72ecf97c782354c95b2c018981a31e62")</f>
        <v>0</v>
      </c>
      <c r="C9696">
        <f>HYPERLINK("https://android.googlesource.com/platform/cts/+/769e48db74612b80c294b96d1a2286888d2da6b6", "769e48db74612b80c294b96d1a2286888d2da6b6")</f>
        <v>0</v>
      </c>
      <c r="D9696" t="s">
        <v>12071</v>
      </c>
      <c r="E9696" t="s">
        <v>12871</v>
      </c>
      <c r="F9696" t="s">
        <v>16066</v>
      </c>
      <c r="G9696" t="s">
        <v>18606</v>
      </c>
      <c r="H9696" t="s">
        <v>21357</v>
      </c>
      <c r="I9696" t="s">
        <v>1358</v>
      </c>
      <c r="J9696" t="s">
        <v>1358</v>
      </c>
      <c r="K9696" t="s">
        <v>1358</v>
      </c>
      <c r="L9696" t="s">
        <v>1358</v>
      </c>
    </row>
    <row r="9697" spans="1:13">
      <c r="H9697" t="s">
        <v>21358</v>
      </c>
      <c r="I9697" t="s">
        <v>1358</v>
      </c>
      <c r="J9697" t="s">
        <v>1358</v>
      </c>
      <c r="K9697" t="s">
        <v>1358</v>
      </c>
      <c r="L9697" t="s">
        <v>1358</v>
      </c>
    </row>
    <row r="9698" spans="1:13">
      <c r="H9698" t="s">
        <v>21359</v>
      </c>
      <c r="I9698" t="s">
        <v>1358</v>
      </c>
      <c r="J9698" t="s">
        <v>1358</v>
      </c>
      <c r="K9698" t="s">
        <v>1358</v>
      </c>
      <c r="L9698" t="s">
        <v>1358</v>
      </c>
    </row>
    <row r="9699" spans="1:13">
      <c r="H9699" t="s">
        <v>21360</v>
      </c>
      <c r="I9699" t="s">
        <v>1358</v>
      </c>
      <c r="J9699" t="s">
        <v>1358</v>
      </c>
      <c r="K9699" t="s">
        <v>1358</v>
      </c>
      <c r="L9699" t="s">
        <v>1358</v>
      </c>
    </row>
    <row r="9700" spans="1:13">
      <c r="A9700" t="s">
        <v>10311</v>
      </c>
      <c r="B9700">
        <f>HYPERLINK("https://android.googlesource.com/platform/cts/+/64c494af71f3907cac19d2101032420000a7e8d7", "64c494af71f3907cac19d2101032420000a7e8d7")</f>
        <v>0</v>
      </c>
      <c r="C9700">
        <f>HYPERLINK("https://android.googlesource.com/platform/cts/+/aefcae4de7db38bf091921a0827c8c44cbeb8d9b", "aefcae4de7db38bf091921a0827c8c44cbeb8d9b")</f>
        <v>0</v>
      </c>
      <c r="D9700" t="s">
        <v>12072</v>
      </c>
      <c r="E9700" t="s">
        <v>12872</v>
      </c>
      <c r="F9700" t="s">
        <v>16068</v>
      </c>
      <c r="G9700" t="s">
        <v>18758</v>
      </c>
      <c r="H9700" t="s">
        <v>21361</v>
      </c>
      <c r="I9700" t="s">
        <v>1357</v>
      </c>
      <c r="J9700" t="s">
        <v>1357</v>
      </c>
      <c r="K9700" t="s">
        <v>1357</v>
      </c>
      <c r="L9700" t="s">
        <v>1357</v>
      </c>
    </row>
    <row r="9701" spans="1:13">
      <c r="H9701" t="s">
        <v>21362</v>
      </c>
      <c r="I9701" t="s">
        <v>1357</v>
      </c>
      <c r="J9701" t="s">
        <v>1357</v>
      </c>
      <c r="K9701" t="s">
        <v>1357</v>
      </c>
      <c r="L9701" t="s">
        <v>1357</v>
      </c>
    </row>
    <row r="9702" spans="1:13">
      <c r="A9702" t="s">
        <v>10312</v>
      </c>
      <c r="B9702">
        <f>HYPERLINK("https://android.googlesource.com/platform/cts/+/e4b9293da1a463f1ab623db7f960a35c54e18ec1", "e4b9293da1a463f1ab623db7f960a35c54e18ec1")</f>
        <v>0</v>
      </c>
      <c r="C9702">
        <f>HYPERLINK("https://android.googlesource.com/platform/cts/+/6fd2a43158d2cb4fc0f662b7575baeae65286f64", "6fd2a43158d2cb4fc0f662b7575baeae65286f64")</f>
        <v>0</v>
      </c>
      <c r="D9702" t="s">
        <v>12069</v>
      </c>
      <c r="E9702" t="s">
        <v>12873</v>
      </c>
      <c r="F9702" t="s">
        <v>16065</v>
      </c>
      <c r="G9702" t="s">
        <v>18756</v>
      </c>
      <c r="H9702" t="s">
        <v>21363</v>
      </c>
      <c r="I9702" t="s">
        <v>1359</v>
      </c>
      <c r="J9702" t="s">
        <v>1358</v>
      </c>
      <c r="K9702" t="s">
        <v>1358</v>
      </c>
      <c r="L9702" t="s">
        <v>1357</v>
      </c>
    </row>
    <row r="9703" spans="1:13">
      <c r="H9703" t="s">
        <v>21364</v>
      </c>
      <c r="I9703" t="s">
        <v>1359</v>
      </c>
      <c r="J9703" t="s">
        <v>1358</v>
      </c>
      <c r="K9703" t="s">
        <v>1358</v>
      </c>
      <c r="L9703" t="s">
        <v>1357</v>
      </c>
    </row>
    <row r="9704" spans="1:13">
      <c r="H9704" t="s">
        <v>21365</v>
      </c>
      <c r="I9704" t="s">
        <v>1359</v>
      </c>
      <c r="J9704" t="s">
        <v>1358</v>
      </c>
      <c r="K9704" t="s">
        <v>1358</v>
      </c>
      <c r="L9704" t="s">
        <v>1357</v>
      </c>
      <c r="M9704" t="s">
        <v>27476</v>
      </c>
    </row>
    <row r="9705" spans="1:13">
      <c r="H9705" t="s">
        <v>21366</v>
      </c>
      <c r="I9705" t="s">
        <v>1359</v>
      </c>
      <c r="J9705" t="s">
        <v>1358</v>
      </c>
      <c r="K9705" t="s">
        <v>1358</v>
      </c>
      <c r="L9705" t="s">
        <v>1357</v>
      </c>
    </row>
    <row r="9706" spans="1:13">
      <c r="A9706" t="s">
        <v>10313</v>
      </c>
      <c r="B9706">
        <f>HYPERLINK("https://android.googlesource.com/platform/cts/+/faacd3e9325c6c32fceaf777a945a21007b59a16", "faacd3e9325c6c32fceaf777a945a21007b59a16")</f>
        <v>0</v>
      </c>
      <c r="C9706">
        <f>HYPERLINK("https://android.googlesource.com/platform/cts/+/0dccfe2f8ee2dc3197ca72a3f37d412dd491c99b", "0dccfe2f8ee2dc3197ca72a3f37d412dd491c99b")</f>
        <v>0</v>
      </c>
      <c r="D9706" t="s">
        <v>12073</v>
      </c>
      <c r="E9706" t="s">
        <v>12874</v>
      </c>
      <c r="F9706" t="s">
        <v>16069</v>
      </c>
      <c r="G9706" t="s">
        <v>18759</v>
      </c>
      <c r="H9706" t="s">
        <v>21367</v>
      </c>
      <c r="I9706" t="s">
        <v>1357</v>
      </c>
      <c r="J9706" t="s">
        <v>1357</v>
      </c>
      <c r="K9706" t="s">
        <v>1357</v>
      </c>
      <c r="L9706" t="s">
        <v>1357</v>
      </c>
    </row>
    <row r="9707" spans="1:13">
      <c r="H9707" t="s">
        <v>21368</v>
      </c>
      <c r="I9707" t="s">
        <v>1357</v>
      </c>
      <c r="J9707" t="s">
        <v>1357</v>
      </c>
      <c r="K9707" t="s">
        <v>1357</v>
      </c>
      <c r="L9707" t="s">
        <v>1357</v>
      </c>
    </row>
    <row r="9708" spans="1:13">
      <c r="H9708" t="s">
        <v>21369</v>
      </c>
      <c r="I9708" t="s">
        <v>1357</v>
      </c>
      <c r="J9708" t="s">
        <v>1357</v>
      </c>
      <c r="K9708" t="s">
        <v>1357</v>
      </c>
      <c r="L9708" t="s">
        <v>1357</v>
      </c>
    </row>
    <row r="9709" spans="1:13">
      <c r="A9709" t="s">
        <v>10314</v>
      </c>
      <c r="B9709">
        <f>HYPERLINK("https://android.googlesource.com/platform/cts/+/c30bdbc6e992b53a9f12d50c5659a776e2da5a02", "c30bdbc6e992b53a9f12d50c5659a776e2da5a02")</f>
        <v>0</v>
      </c>
      <c r="C9709">
        <f>HYPERLINK("https://android.googlesource.com/platform/cts/+/fd61f1805c374867db63678062fec3c17d0ab956", "fd61f1805c374867db63678062fec3c17d0ab956")</f>
        <v>0</v>
      </c>
      <c r="D9709" t="s">
        <v>12013</v>
      </c>
      <c r="E9709" t="s">
        <v>12875</v>
      </c>
      <c r="F9709" t="s">
        <v>16070</v>
      </c>
      <c r="G9709" t="s">
        <v>18760</v>
      </c>
      <c r="H9709" t="s">
        <v>21370</v>
      </c>
      <c r="I9709" t="s">
        <v>1357</v>
      </c>
      <c r="J9709" t="s">
        <v>1357</v>
      </c>
      <c r="K9709" t="s">
        <v>1357</v>
      </c>
      <c r="L9709" t="s">
        <v>1357</v>
      </c>
    </row>
    <row r="9710" spans="1:13">
      <c r="H9710" t="s">
        <v>21371</v>
      </c>
      <c r="I9710" t="s">
        <v>1357</v>
      </c>
      <c r="J9710" t="s">
        <v>1357</v>
      </c>
      <c r="K9710" t="s">
        <v>1357</v>
      </c>
      <c r="L9710" t="s">
        <v>1357</v>
      </c>
    </row>
    <row r="9711" spans="1:13">
      <c r="H9711" t="s">
        <v>21372</v>
      </c>
      <c r="I9711" t="s">
        <v>1357</v>
      </c>
      <c r="J9711" t="s">
        <v>1357</v>
      </c>
      <c r="K9711" t="s">
        <v>1357</v>
      </c>
      <c r="L9711" t="s">
        <v>1357</v>
      </c>
    </row>
    <row r="9712" spans="1:13">
      <c r="H9712" t="s">
        <v>21373</v>
      </c>
      <c r="I9712" t="s">
        <v>1357</v>
      </c>
      <c r="J9712" t="s">
        <v>1357</v>
      </c>
      <c r="K9712" t="s">
        <v>1357</v>
      </c>
      <c r="L9712" t="s">
        <v>1357</v>
      </c>
    </row>
    <row r="9713" spans="8:12">
      <c r="H9713" t="s">
        <v>21374</v>
      </c>
      <c r="I9713" t="s">
        <v>1357</v>
      </c>
      <c r="J9713" t="s">
        <v>1357</v>
      </c>
      <c r="K9713" t="s">
        <v>1357</v>
      </c>
      <c r="L9713" t="s">
        <v>1357</v>
      </c>
    </row>
    <row r="9714" spans="8:12">
      <c r="H9714" t="s">
        <v>21375</v>
      </c>
      <c r="I9714" t="s">
        <v>1357</v>
      </c>
      <c r="J9714" t="s">
        <v>1357</v>
      </c>
      <c r="K9714" t="s">
        <v>1357</v>
      </c>
      <c r="L9714" t="s">
        <v>1357</v>
      </c>
    </row>
    <row r="9715" spans="8:12">
      <c r="H9715" t="s">
        <v>21376</v>
      </c>
      <c r="I9715" t="s">
        <v>1357</v>
      </c>
      <c r="J9715" t="s">
        <v>1357</v>
      </c>
      <c r="K9715" t="s">
        <v>1357</v>
      </c>
      <c r="L9715" t="s">
        <v>1357</v>
      </c>
    </row>
    <row r="9716" spans="8:12">
      <c r="H9716" t="s">
        <v>21377</v>
      </c>
      <c r="I9716" t="s">
        <v>1357</v>
      </c>
      <c r="J9716" t="s">
        <v>1357</v>
      </c>
      <c r="K9716" t="s">
        <v>1357</v>
      </c>
      <c r="L9716" t="s">
        <v>1357</v>
      </c>
    </row>
    <row r="9717" spans="8:12">
      <c r="H9717" t="s">
        <v>21378</v>
      </c>
      <c r="I9717" t="s">
        <v>1357</v>
      </c>
      <c r="J9717" t="s">
        <v>1357</v>
      </c>
      <c r="K9717" t="s">
        <v>1357</v>
      </c>
      <c r="L9717" t="s">
        <v>1357</v>
      </c>
    </row>
    <row r="9718" spans="8:12">
      <c r="H9718" t="s">
        <v>21379</v>
      </c>
      <c r="I9718" t="s">
        <v>1357</v>
      </c>
      <c r="J9718" t="s">
        <v>1357</v>
      </c>
      <c r="K9718" t="s">
        <v>1357</v>
      </c>
      <c r="L9718" t="s">
        <v>1357</v>
      </c>
    </row>
    <row r="9719" spans="8:12">
      <c r="H9719" t="s">
        <v>21380</v>
      </c>
      <c r="I9719" t="s">
        <v>1357</v>
      </c>
      <c r="J9719" t="s">
        <v>1357</v>
      </c>
      <c r="K9719" t="s">
        <v>1357</v>
      </c>
      <c r="L9719" t="s">
        <v>1357</v>
      </c>
    </row>
    <row r="9720" spans="8:12">
      <c r="H9720" t="s">
        <v>21381</v>
      </c>
      <c r="I9720" t="s">
        <v>1357</v>
      </c>
      <c r="J9720" t="s">
        <v>1357</v>
      </c>
      <c r="K9720" t="s">
        <v>1357</v>
      </c>
      <c r="L9720" t="s">
        <v>1357</v>
      </c>
    </row>
    <row r="9721" spans="8:12">
      <c r="H9721" t="s">
        <v>21382</v>
      </c>
      <c r="I9721" t="s">
        <v>1357</v>
      </c>
      <c r="J9721" t="s">
        <v>1357</v>
      </c>
      <c r="K9721" t="s">
        <v>1357</v>
      </c>
      <c r="L9721" t="s">
        <v>1357</v>
      </c>
    </row>
    <row r="9722" spans="8:12">
      <c r="H9722" t="s">
        <v>21383</v>
      </c>
      <c r="I9722" t="s">
        <v>1357</v>
      </c>
      <c r="J9722" t="s">
        <v>1357</v>
      </c>
      <c r="K9722" t="s">
        <v>1357</v>
      </c>
      <c r="L9722" t="s">
        <v>1357</v>
      </c>
    </row>
    <row r="9723" spans="8:12">
      <c r="H9723" t="s">
        <v>21384</v>
      </c>
      <c r="I9723" t="s">
        <v>1357</v>
      </c>
      <c r="J9723" t="s">
        <v>1357</v>
      </c>
      <c r="K9723" t="s">
        <v>1357</v>
      </c>
      <c r="L9723" t="s">
        <v>1357</v>
      </c>
    </row>
    <row r="9724" spans="8:12">
      <c r="H9724" t="s">
        <v>21385</v>
      </c>
      <c r="I9724" t="s">
        <v>1357</v>
      </c>
      <c r="J9724" t="s">
        <v>1357</v>
      </c>
      <c r="K9724" t="s">
        <v>1357</v>
      </c>
      <c r="L9724" t="s">
        <v>1357</v>
      </c>
    </row>
    <row r="9725" spans="8:12">
      <c r="H9725" t="s">
        <v>21386</v>
      </c>
      <c r="I9725" t="s">
        <v>1357</v>
      </c>
      <c r="J9725" t="s">
        <v>1357</v>
      </c>
      <c r="K9725" t="s">
        <v>1357</v>
      </c>
      <c r="L9725" t="s">
        <v>1357</v>
      </c>
    </row>
    <row r="9726" spans="8:12">
      <c r="H9726" t="s">
        <v>21387</v>
      </c>
      <c r="I9726" t="s">
        <v>1357</v>
      </c>
      <c r="J9726" t="s">
        <v>1357</v>
      </c>
      <c r="K9726" t="s">
        <v>1357</v>
      </c>
      <c r="L9726" t="s">
        <v>1357</v>
      </c>
    </row>
    <row r="9727" spans="8:12">
      <c r="H9727" t="s">
        <v>21388</v>
      </c>
      <c r="I9727" t="s">
        <v>1357</v>
      </c>
      <c r="J9727" t="s">
        <v>1357</v>
      </c>
      <c r="K9727" t="s">
        <v>1357</v>
      </c>
      <c r="L9727" t="s">
        <v>1357</v>
      </c>
    </row>
    <row r="9728" spans="8:12">
      <c r="H9728" t="s">
        <v>21389</v>
      </c>
      <c r="I9728" t="s">
        <v>1357</v>
      </c>
      <c r="J9728" t="s">
        <v>1357</v>
      </c>
      <c r="K9728" t="s">
        <v>1357</v>
      </c>
      <c r="L9728" t="s">
        <v>1357</v>
      </c>
    </row>
    <row r="9729" spans="8:12">
      <c r="H9729" t="s">
        <v>21390</v>
      </c>
      <c r="I9729" t="s">
        <v>1357</v>
      </c>
      <c r="J9729" t="s">
        <v>1357</v>
      </c>
      <c r="K9729" t="s">
        <v>1357</v>
      </c>
      <c r="L9729" t="s">
        <v>1357</v>
      </c>
    </row>
    <row r="9730" spans="8:12">
      <c r="H9730" t="s">
        <v>21391</v>
      </c>
      <c r="I9730" t="s">
        <v>1357</v>
      </c>
      <c r="J9730" t="s">
        <v>1357</v>
      </c>
      <c r="K9730" t="s">
        <v>1357</v>
      </c>
      <c r="L9730" t="s">
        <v>1357</v>
      </c>
    </row>
    <row r="9731" spans="8:12">
      <c r="H9731" t="s">
        <v>21392</v>
      </c>
      <c r="I9731" t="s">
        <v>1357</v>
      </c>
      <c r="J9731" t="s">
        <v>1357</v>
      </c>
      <c r="K9731" t="s">
        <v>1357</v>
      </c>
      <c r="L9731" t="s">
        <v>1357</v>
      </c>
    </row>
    <row r="9732" spans="8:12">
      <c r="H9732" t="s">
        <v>21393</v>
      </c>
      <c r="I9732" t="s">
        <v>1357</v>
      </c>
      <c r="J9732" t="s">
        <v>1357</v>
      </c>
      <c r="K9732" t="s">
        <v>1357</v>
      </c>
      <c r="L9732" t="s">
        <v>1357</v>
      </c>
    </row>
    <row r="9733" spans="8:12">
      <c r="H9733" t="s">
        <v>21394</v>
      </c>
      <c r="I9733" t="s">
        <v>1357</v>
      </c>
      <c r="J9733" t="s">
        <v>1357</v>
      </c>
      <c r="K9733" t="s">
        <v>1357</v>
      </c>
      <c r="L9733" t="s">
        <v>1357</v>
      </c>
    </row>
    <row r="9734" spans="8:12">
      <c r="H9734" t="s">
        <v>21395</v>
      </c>
      <c r="I9734" t="s">
        <v>1357</v>
      </c>
      <c r="J9734" t="s">
        <v>1357</v>
      </c>
      <c r="K9734" t="s">
        <v>1357</v>
      </c>
      <c r="L9734" t="s">
        <v>1357</v>
      </c>
    </row>
    <row r="9735" spans="8:12">
      <c r="H9735" t="s">
        <v>21396</v>
      </c>
      <c r="I9735" t="s">
        <v>1357</v>
      </c>
      <c r="J9735" t="s">
        <v>1357</v>
      </c>
      <c r="K9735" t="s">
        <v>1357</v>
      </c>
      <c r="L9735" t="s">
        <v>1357</v>
      </c>
    </row>
    <row r="9736" spans="8:12">
      <c r="H9736" t="s">
        <v>21397</v>
      </c>
      <c r="I9736" t="s">
        <v>1357</v>
      </c>
      <c r="J9736" t="s">
        <v>1357</v>
      </c>
      <c r="K9736" t="s">
        <v>1357</v>
      </c>
      <c r="L9736" t="s">
        <v>1357</v>
      </c>
    </row>
    <row r="9737" spans="8:12">
      <c r="H9737" t="s">
        <v>21398</v>
      </c>
      <c r="I9737" t="s">
        <v>1357</v>
      </c>
      <c r="J9737" t="s">
        <v>1357</v>
      </c>
      <c r="K9737" t="s">
        <v>1357</v>
      </c>
      <c r="L9737" t="s">
        <v>1357</v>
      </c>
    </row>
    <row r="9738" spans="8:12">
      <c r="H9738" t="s">
        <v>21399</v>
      </c>
      <c r="I9738" t="s">
        <v>1357</v>
      </c>
      <c r="J9738" t="s">
        <v>1357</v>
      </c>
      <c r="K9738" t="s">
        <v>1357</v>
      </c>
      <c r="L9738" t="s">
        <v>1357</v>
      </c>
    </row>
    <row r="9739" spans="8:12">
      <c r="H9739" t="s">
        <v>21400</v>
      </c>
      <c r="I9739" t="s">
        <v>1357</v>
      </c>
      <c r="J9739" t="s">
        <v>1357</v>
      </c>
      <c r="K9739" t="s">
        <v>1357</v>
      </c>
      <c r="L9739" t="s">
        <v>1357</v>
      </c>
    </row>
    <row r="9740" spans="8:12">
      <c r="H9740" t="s">
        <v>21401</v>
      </c>
      <c r="I9740" t="s">
        <v>1357</v>
      </c>
      <c r="J9740" t="s">
        <v>1357</v>
      </c>
      <c r="K9740" t="s">
        <v>1357</v>
      </c>
      <c r="L9740" t="s">
        <v>1357</v>
      </c>
    </row>
    <row r="9741" spans="8:12">
      <c r="H9741" t="s">
        <v>21402</v>
      </c>
      <c r="I9741" t="s">
        <v>1357</v>
      </c>
      <c r="J9741" t="s">
        <v>1357</v>
      </c>
      <c r="K9741" t="s">
        <v>1357</v>
      </c>
      <c r="L9741" t="s">
        <v>1357</v>
      </c>
    </row>
    <row r="9742" spans="8:12">
      <c r="H9742" t="s">
        <v>21403</v>
      </c>
      <c r="I9742" t="s">
        <v>1357</v>
      </c>
      <c r="J9742" t="s">
        <v>1357</v>
      </c>
      <c r="K9742" t="s">
        <v>1357</v>
      </c>
      <c r="L9742" t="s">
        <v>1357</v>
      </c>
    </row>
    <row r="9743" spans="8:12">
      <c r="H9743" t="s">
        <v>21404</v>
      </c>
      <c r="I9743" t="s">
        <v>1357</v>
      </c>
      <c r="J9743" t="s">
        <v>1357</v>
      </c>
      <c r="K9743" t="s">
        <v>1357</v>
      </c>
      <c r="L9743" t="s">
        <v>1357</v>
      </c>
    </row>
    <row r="9744" spans="8:12">
      <c r="H9744" t="s">
        <v>21405</v>
      </c>
      <c r="I9744" t="s">
        <v>1357</v>
      </c>
      <c r="J9744" t="s">
        <v>1357</v>
      </c>
      <c r="K9744" t="s">
        <v>1357</v>
      </c>
      <c r="L9744" t="s">
        <v>1357</v>
      </c>
    </row>
    <row r="9745" spans="8:12">
      <c r="H9745" t="s">
        <v>21406</v>
      </c>
      <c r="I9745" t="s">
        <v>1357</v>
      </c>
      <c r="J9745" t="s">
        <v>1357</v>
      </c>
      <c r="K9745" t="s">
        <v>1357</v>
      </c>
      <c r="L9745" t="s">
        <v>1357</v>
      </c>
    </row>
    <row r="9746" spans="8:12">
      <c r="H9746" t="s">
        <v>21407</v>
      </c>
      <c r="I9746" t="s">
        <v>1357</v>
      </c>
      <c r="J9746" t="s">
        <v>1357</v>
      </c>
      <c r="K9746" t="s">
        <v>1357</v>
      </c>
      <c r="L9746" t="s">
        <v>1357</v>
      </c>
    </row>
    <row r="9747" spans="8:12">
      <c r="H9747" t="s">
        <v>21408</v>
      </c>
      <c r="I9747" t="s">
        <v>1357</v>
      </c>
      <c r="J9747" t="s">
        <v>1357</v>
      </c>
      <c r="K9747" t="s">
        <v>1357</v>
      </c>
      <c r="L9747" t="s">
        <v>1357</v>
      </c>
    </row>
    <row r="9748" spans="8:12">
      <c r="H9748" t="s">
        <v>21409</v>
      </c>
      <c r="I9748" t="s">
        <v>1357</v>
      </c>
      <c r="J9748" t="s">
        <v>1357</v>
      </c>
      <c r="K9748" t="s">
        <v>1357</v>
      </c>
      <c r="L9748" t="s">
        <v>1357</v>
      </c>
    </row>
    <row r="9749" spans="8:12">
      <c r="H9749" t="s">
        <v>21410</v>
      </c>
      <c r="I9749" t="s">
        <v>1357</v>
      </c>
      <c r="J9749" t="s">
        <v>1357</v>
      </c>
      <c r="K9749" t="s">
        <v>1357</v>
      </c>
      <c r="L9749" t="s">
        <v>1357</v>
      </c>
    </row>
    <row r="9750" spans="8:12">
      <c r="H9750" t="s">
        <v>21411</v>
      </c>
      <c r="I9750" t="s">
        <v>1357</v>
      </c>
      <c r="J9750" t="s">
        <v>1357</v>
      </c>
      <c r="K9750" t="s">
        <v>1357</v>
      </c>
      <c r="L9750" t="s">
        <v>1357</v>
      </c>
    </row>
    <row r="9751" spans="8:12">
      <c r="H9751" t="s">
        <v>21412</v>
      </c>
      <c r="I9751" t="s">
        <v>1357</v>
      </c>
      <c r="J9751" t="s">
        <v>1357</v>
      </c>
      <c r="K9751" t="s">
        <v>1357</v>
      </c>
      <c r="L9751" t="s">
        <v>1357</v>
      </c>
    </row>
    <row r="9752" spans="8:12">
      <c r="H9752" t="s">
        <v>21413</v>
      </c>
      <c r="I9752" t="s">
        <v>1357</v>
      </c>
      <c r="J9752" t="s">
        <v>1357</v>
      </c>
      <c r="K9752" t="s">
        <v>1357</v>
      </c>
      <c r="L9752" t="s">
        <v>1357</v>
      </c>
    </row>
    <row r="9753" spans="8:12">
      <c r="H9753" t="s">
        <v>21414</v>
      </c>
      <c r="I9753" t="s">
        <v>1357</v>
      </c>
      <c r="J9753" t="s">
        <v>1357</v>
      </c>
      <c r="K9753" t="s">
        <v>1357</v>
      </c>
      <c r="L9753" t="s">
        <v>1357</v>
      </c>
    </row>
    <row r="9754" spans="8:12">
      <c r="H9754" t="s">
        <v>21415</v>
      </c>
      <c r="I9754" t="s">
        <v>1357</v>
      </c>
      <c r="J9754" t="s">
        <v>1357</v>
      </c>
      <c r="K9754" t="s">
        <v>1357</v>
      </c>
      <c r="L9754" t="s">
        <v>1357</v>
      </c>
    </row>
    <row r="9755" spans="8:12">
      <c r="H9755" t="s">
        <v>21416</v>
      </c>
      <c r="I9755" t="s">
        <v>1357</v>
      </c>
      <c r="J9755" t="s">
        <v>1357</v>
      </c>
      <c r="K9755" t="s">
        <v>1357</v>
      </c>
      <c r="L9755" t="s">
        <v>1357</v>
      </c>
    </row>
    <row r="9756" spans="8:12">
      <c r="H9756" t="s">
        <v>21417</v>
      </c>
      <c r="I9756" t="s">
        <v>1357</v>
      </c>
      <c r="J9756" t="s">
        <v>1357</v>
      </c>
      <c r="K9756" t="s">
        <v>1357</v>
      </c>
      <c r="L9756" t="s">
        <v>1357</v>
      </c>
    </row>
    <row r="9757" spans="8:12">
      <c r="H9757" t="s">
        <v>21418</v>
      </c>
      <c r="I9757" t="s">
        <v>1357</v>
      </c>
      <c r="J9757" t="s">
        <v>1357</v>
      </c>
      <c r="K9757" t="s">
        <v>1357</v>
      </c>
      <c r="L9757" t="s">
        <v>1357</v>
      </c>
    </row>
    <row r="9758" spans="8:12">
      <c r="H9758" t="s">
        <v>21419</v>
      </c>
      <c r="I9758" t="s">
        <v>1357</v>
      </c>
      <c r="J9758" t="s">
        <v>1357</v>
      </c>
      <c r="K9758" t="s">
        <v>1357</v>
      </c>
      <c r="L9758" t="s">
        <v>1357</v>
      </c>
    </row>
    <row r="9759" spans="8:12">
      <c r="H9759" t="s">
        <v>21420</v>
      </c>
      <c r="I9759" t="s">
        <v>1357</v>
      </c>
      <c r="J9759" t="s">
        <v>1357</v>
      </c>
      <c r="K9759" t="s">
        <v>1357</v>
      </c>
      <c r="L9759" t="s">
        <v>1357</v>
      </c>
    </row>
    <row r="9760" spans="8:12">
      <c r="H9760" t="s">
        <v>21421</v>
      </c>
      <c r="I9760" t="s">
        <v>1357</v>
      </c>
      <c r="J9760" t="s">
        <v>1357</v>
      </c>
      <c r="K9760" t="s">
        <v>1357</v>
      </c>
      <c r="L9760" t="s">
        <v>1357</v>
      </c>
    </row>
    <row r="9761" spans="8:12">
      <c r="H9761" t="s">
        <v>21422</v>
      </c>
      <c r="I9761" t="s">
        <v>1357</v>
      </c>
      <c r="J9761" t="s">
        <v>1357</v>
      </c>
      <c r="K9761" t="s">
        <v>1357</v>
      </c>
      <c r="L9761" t="s">
        <v>1357</v>
      </c>
    </row>
    <row r="9762" spans="8:12">
      <c r="H9762" t="s">
        <v>21423</v>
      </c>
      <c r="I9762" t="s">
        <v>1357</v>
      </c>
      <c r="J9762" t="s">
        <v>1357</v>
      </c>
      <c r="K9762" t="s">
        <v>1357</v>
      </c>
      <c r="L9762" t="s">
        <v>1357</v>
      </c>
    </row>
    <row r="9763" spans="8:12">
      <c r="H9763" t="s">
        <v>21424</v>
      </c>
      <c r="I9763" t="s">
        <v>1357</v>
      </c>
      <c r="J9763" t="s">
        <v>1357</v>
      </c>
      <c r="K9763" t="s">
        <v>1357</v>
      </c>
      <c r="L9763" t="s">
        <v>1357</v>
      </c>
    </row>
    <row r="9764" spans="8:12">
      <c r="H9764" t="s">
        <v>21425</v>
      </c>
      <c r="I9764" t="s">
        <v>1357</v>
      </c>
      <c r="J9764" t="s">
        <v>1357</v>
      </c>
      <c r="K9764" t="s">
        <v>1357</v>
      </c>
      <c r="L9764" t="s">
        <v>1357</v>
      </c>
    </row>
    <row r="9765" spans="8:12">
      <c r="H9765" t="s">
        <v>21426</v>
      </c>
      <c r="I9765" t="s">
        <v>1357</v>
      </c>
      <c r="J9765" t="s">
        <v>1357</v>
      </c>
      <c r="K9765" t="s">
        <v>1357</v>
      </c>
      <c r="L9765" t="s">
        <v>1357</v>
      </c>
    </row>
    <row r="9766" spans="8:12">
      <c r="H9766" t="s">
        <v>21427</v>
      </c>
      <c r="I9766" t="s">
        <v>1357</v>
      </c>
      <c r="J9766" t="s">
        <v>1357</v>
      </c>
      <c r="K9766" t="s">
        <v>1357</v>
      </c>
      <c r="L9766" t="s">
        <v>1357</v>
      </c>
    </row>
    <row r="9767" spans="8:12">
      <c r="H9767" t="s">
        <v>21428</v>
      </c>
      <c r="I9767" t="s">
        <v>1357</v>
      </c>
      <c r="J9767" t="s">
        <v>1357</v>
      </c>
      <c r="K9767" t="s">
        <v>1357</v>
      </c>
      <c r="L9767" t="s">
        <v>1357</v>
      </c>
    </row>
    <row r="9768" spans="8:12">
      <c r="H9768" t="s">
        <v>21429</v>
      </c>
      <c r="I9768" t="s">
        <v>1357</v>
      </c>
      <c r="J9768" t="s">
        <v>1357</v>
      </c>
      <c r="K9768" t="s">
        <v>1357</v>
      </c>
      <c r="L9768" t="s">
        <v>1357</v>
      </c>
    </row>
    <row r="9769" spans="8:12">
      <c r="H9769" t="s">
        <v>21430</v>
      </c>
      <c r="I9769" t="s">
        <v>1357</v>
      </c>
      <c r="J9769" t="s">
        <v>1357</v>
      </c>
      <c r="K9769" t="s">
        <v>1357</v>
      </c>
      <c r="L9769" t="s">
        <v>1357</v>
      </c>
    </row>
    <row r="9770" spans="8:12">
      <c r="H9770" t="s">
        <v>21431</v>
      </c>
      <c r="I9770" t="s">
        <v>1357</v>
      </c>
      <c r="J9770" t="s">
        <v>1357</v>
      </c>
      <c r="K9770" t="s">
        <v>1357</v>
      </c>
      <c r="L9770" t="s">
        <v>1357</v>
      </c>
    </row>
    <row r="9771" spans="8:12">
      <c r="H9771" t="s">
        <v>21432</v>
      </c>
      <c r="I9771" t="s">
        <v>1357</v>
      </c>
      <c r="J9771" t="s">
        <v>1357</v>
      </c>
      <c r="K9771" t="s">
        <v>1357</v>
      </c>
      <c r="L9771" t="s">
        <v>1357</v>
      </c>
    </row>
    <row r="9772" spans="8:12">
      <c r="H9772" t="s">
        <v>21433</v>
      </c>
      <c r="I9772" t="s">
        <v>1357</v>
      </c>
      <c r="J9772" t="s">
        <v>1357</v>
      </c>
      <c r="K9772" t="s">
        <v>1357</v>
      </c>
      <c r="L9772" t="s">
        <v>1357</v>
      </c>
    </row>
    <row r="9773" spans="8:12">
      <c r="H9773" t="s">
        <v>21434</v>
      </c>
      <c r="I9773" t="s">
        <v>1357</v>
      </c>
      <c r="J9773" t="s">
        <v>1357</v>
      </c>
      <c r="K9773" t="s">
        <v>1357</v>
      </c>
      <c r="L9773" t="s">
        <v>1357</v>
      </c>
    </row>
    <row r="9774" spans="8:12">
      <c r="H9774" t="s">
        <v>21435</v>
      </c>
      <c r="I9774" t="s">
        <v>1357</v>
      </c>
      <c r="J9774" t="s">
        <v>1357</v>
      </c>
      <c r="K9774" t="s">
        <v>1357</v>
      </c>
      <c r="L9774" t="s">
        <v>1357</v>
      </c>
    </row>
    <row r="9775" spans="8:12">
      <c r="H9775" t="s">
        <v>21436</v>
      </c>
      <c r="I9775" t="s">
        <v>1357</v>
      </c>
      <c r="J9775" t="s">
        <v>1357</v>
      </c>
      <c r="K9775" t="s">
        <v>1357</v>
      </c>
      <c r="L9775" t="s">
        <v>1357</v>
      </c>
    </row>
    <row r="9776" spans="8:12">
      <c r="H9776" t="s">
        <v>21437</v>
      </c>
      <c r="I9776" t="s">
        <v>1357</v>
      </c>
      <c r="J9776" t="s">
        <v>1357</v>
      </c>
      <c r="K9776" t="s">
        <v>1357</v>
      </c>
      <c r="L9776" t="s">
        <v>1357</v>
      </c>
    </row>
    <row r="9777" spans="8:12">
      <c r="H9777" t="s">
        <v>21438</v>
      </c>
      <c r="I9777" t="s">
        <v>1357</v>
      </c>
      <c r="J9777" t="s">
        <v>1357</v>
      </c>
      <c r="K9777" t="s">
        <v>1357</v>
      </c>
      <c r="L9777" t="s">
        <v>1357</v>
      </c>
    </row>
    <row r="9778" spans="8:12">
      <c r="H9778" t="s">
        <v>21439</v>
      </c>
      <c r="I9778" t="s">
        <v>1357</v>
      </c>
      <c r="J9778" t="s">
        <v>1357</v>
      </c>
      <c r="K9778" t="s">
        <v>1357</v>
      </c>
      <c r="L9778" t="s">
        <v>1357</v>
      </c>
    </row>
    <row r="9779" spans="8:12">
      <c r="H9779" t="s">
        <v>21440</v>
      </c>
      <c r="I9779" t="s">
        <v>1357</v>
      </c>
      <c r="J9779" t="s">
        <v>1357</v>
      </c>
      <c r="K9779" t="s">
        <v>1357</v>
      </c>
      <c r="L9779" t="s">
        <v>1357</v>
      </c>
    </row>
    <row r="9780" spans="8:12">
      <c r="H9780" t="s">
        <v>21441</v>
      </c>
      <c r="I9780" t="s">
        <v>1357</v>
      </c>
      <c r="J9780" t="s">
        <v>1357</v>
      </c>
      <c r="K9780" t="s">
        <v>1357</v>
      </c>
      <c r="L9780" t="s">
        <v>1357</v>
      </c>
    </row>
    <row r="9781" spans="8:12">
      <c r="H9781" t="s">
        <v>21442</v>
      </c>
      <c r="I9781" t="s">
        <v>1357</v>
      </c>
      <c r="J9781" t="s">
        <v>1357</v>
      </c>
      <c r="K9781" t="s">
        <v>1357</v>
      </c>
      <c r="L9781" t="s">
        <v>1357</v>
      </c>
    </row>
    <row r="9782" spans="8:12">
      <c r="H9782" t="s">
        <v>21443</v>
      </c>
      <c r="I9782" t="s">
        <v>1357</v>
      </c>
      <c r="J9782" t="s">
        <v>1357</v>
      </c>
      <c r="K9782" t="s">
        <v>1357</v>
      </c>
      <c r="L9782" t="s">
        <v>1357</v>
      </c>
    </row>
    <row r="9783" spans="8:12">
      <c r="H9783" t="s">
        <v>21444</v>
      </c>
      <c r="I9783" t="s">
        <v>1357</v>
      </c>
      <c r="J9783" t="s">
        <v>1357</v>
      </c>
      <c r="K9783" t="s">
        <v>1357</v>
      </c>
      <c r="L9783" t="s">
        <v>1357</v>
      </c>
    </row>
    <row r="9784" spans="8:12">
      <c r="H9784" t="s">
        <v>21445</v>
      </c>
      <c r="I9784" t="s">
        <v>1357</v>
      </c>
      <c r="J9784" t="s">
        <v>1357</v>
      </c>
      <c r="K9784" t="s">
        <v>1357</v>
      </c>
      <c r="L9784" t="s">
        <v>1357</v>
      </c>
    </row>
    <row r="9785" spans="8:12">
      <c r="H9785" t="s">
        <v>21446</v>
      </c>
      <c r="I9785" t="s">
        <v>1357</v>
      </c>
      <c r="J9785" t="s">
        <v>1357</v>
      </c>
      <c r="K9785" t="s">
        <v>1357</v>
      </c>
      <c r="L9785" t="s">
        <v>1357</v>
      </c>
    </row>
    <row r="9786" spans="8:12">
      <c r="H9786" t="s">
        <v>21447</v>
      </c>
      <c r="I9786" t="s">
        <v>1357</v>
      </c>
      <c r="J9786" t="s">
        <v>1357</v>
      </c>
      <c r="K9786" t="s">
        <v>1357</v>
      </c>
      <c r="L9786" t="s">
        <v>1357</v>
      </c>
    </row>
    <row r="9787" spans="8:12">
      <c r="H9787" t="s">
        <v>21448</v>
      </c>
      <c r="I9787" t="s">
        <v>1357</v>
      </c>
      <c r="J9787" t="s">
        <v>1357</v>
      </c>
      <c r="K9787" t="s">
        <v>1357</v>
      </c>
      <c r="L9787" t="s">
        <v>1357</v>
      </c>
    </row>
    <row r="9788" spans="8:12">
      <c r="H9788" t="s">
        <v>21449</v>
      </c>
      <c r="I9788" t="s">
        <v>1357</v>
      </c>
      <c r="J9788" t="s">
        <v>1357</v>
      </c>
      <c r="K9788" t="s">
        <v>1357</v>
      </c>
      <c r="L9788" t="s">
        <v>1357</v>
      </c>
    </row>
    <row r="9789" spans="8:12">
      <c r="H9789" t="s">
        <v>21450</v>
      </c>
      <c r="I9789" t="s">
        <v>1357</v>
      </c>
      <c r="J9789" t="s">
        <v>1357</v>
      </c>
      <c r="K9789" t="s">
        <v>1357</v>
      </c>
      <c r="L9789" t="s">
        <v>1357</v>
      </c>
    </row>
    <row r="9790" spans="8:12">
      <c r="H9790" t="s">
        <v>21451</v>
      </c>
      <c r="I9790" t="s">
        <v>1357</v>
      </c>
      <c r="J9790" t="s">
        <v>1357</v>
      </c>
      <c r="K9790" t="s">
        <v>1357</v>
      </c>
      <c r="L9790" t="s">
        <v>1357</v>
      </c>
    </row>
    <row r="9791" spans="8:12">
      <c r="H9791" t="s">
        <v>21452</v>
      </c>
      <c r="I9791" t="s">
        <v>1357</v>
      </c>
      <c r="J9791" t="s">
        <v>1357</v>
      </c>
      <c r="K9791" t="s">
        <v>1357</v>
      </c>
      <c r="L9791" t="s">
        <v>1357</v>
      </c>
    </row>
    <row r="9792" spans="8:12">
      <c r="H9792" t="s">
        <v>21453</v>
      </c>
      <c r="I9792" t="s">
        <v>1357</v>
      </c>
      <c r="J9792" t="s">
        <v>1357</v>
      </c>
      <c r="K9792" t="s">
        <v>1357</v>
      </c>
      <c r="L9792" t="s">
        <v>1357</v>
      </c>
    </row>
    <row r="9793" spans="8:12">
      <c r="H9793" t="s">
        <v>21454</v>
      </c>
      <c r="I9793" t="s">
        <v>1357</v>
      </c>
      <c r="J9793" t="s">
        <v>1357</v>
      </c>
      <c r="K9793" t="s">
        <v>1357</v>
      </c>
      <c r="L9793" t="s">
        <v>1357</v>
      </c>
    </row>
    <row r="9794" spans="8:12">
      <c r="H9794" t="s">
        <v>21455</v>
      </c>
      <c r="I9794" t="s">
        <v>1357</v>
      </c>
      <c r="J9794" t="s">
        <v>1357</v>
      </c>
      <c r="K9794" t="s">
        <v>1357</v>
      </c>
      <c r="L9794" t="s">
        <v>1357</v>
      </c>
    </row>
    <row r="9795" spans="8:12">
      <c r="H9795" t="s">
        <v>21456</v>
      </c>
      <c r="I9795" t="s">
        <v>1357</v>
      </c>
      <c r="J9795" t="s">
        <v>1357</v>
      </c>
      <c r="K9795" t="s">
        <v>1357</v>
      </c>
      <c r="L9795" t="s">
        <v>1357</v>
      </c>
    </row>
    <row r="9796" spans="8:12">
      <c r="H9796" t="s">
        <v>21457</v>
      </c>
      <c r="I9796" t="s">
        <v>1357</v>
      </c>
      <c r="J9796" t="s">
        <v>1357</v>
      </c>
      <c r="K9796" t="s">
        <v>1357</v>
      </c>
      <c r="L9796" t="s">
        <v>1357</v>
      </c>
    </row>
    <row r="9797" spans="8:12">
      <c r="H9797" t="s">
        <v>21458</v>
      </c>
      <c r="I9797" t="s">
        <v>1357</v>
      </c>
      <c r="J9797" t="s">
        <v>1357</v>
      </c>
      <c r="K9797" t="s">
        <v>1357</v>
      </c>
      <c r="L9797" t="s">
        <v>1357</v>
      </c>
    </row>
    <row r="9798" spans="8:12">
      <c r="H9798" t="s">
        <v>21459</v>
      </c>
      <c r="I9798" t="s">
        <v>1357</v>
      </c>
      <c r="J9798" t="s">
        <v>1357</v>
      </c>
      <c r="K9798" t="s">
        <v>1357</v>
      </c>
      <c r="L9798" t="s">
        <v>1357</v>
      </c>
    </row>
    <row r="9799" spans="8:12">
      <c r="H9799" t="s">
        <v>21460</v>
      </c>
      <c r="I9799" t="s">
        <v>1357</v>
      </c>
      <c r="J9799" t="s">
        <v>1357</v>
      </c>
      <c r="K9799" t="s">
        <v>1357</v>
      </c>
      <c r="L9799" t="s">
        <v>1357</v>
      </c>
    </row>
    <row r="9800" spans="8:12">
      <c r="H9800" t="s">
        <v>21461</v>
      </c>
      <c r="I9800" t="s">
        <v>1357</v>
      </c>
      <c r="J9800" t="s">
        <v>1357</v>
      </c>
      <c r="K9800" t="s">
        <v>1357</v>
      </c>
      <c r="L9800" t="s">
        <v>1357</v>
      </c>
    </row>
    <row r="9801" spans="8:12">
      <c r="H9801" t="s">
        <v>21462</v>
      </c>
      <c r="I9801" t="s">
        <v>1357</v>
      </c>
      <c r="J9801" t="s">
        <v>1357</v>
      </c>
      <c r="K9801" t="s">
        <v>1357</v>
      </c>
      <c r="L9801" t="s">
        <v>1357</v>
      </c>
    </row>
    <row r="9802" spans="8:12">
      <c r="H9802" t="s">
        <v>21463</v>
      </c>
      <c r="I9802" t="s">
        <v>1357</v>
      </c>
      <c r="J9802" t="s">
        <v>1357</v>
      </c>
      <c r="K9802" t="s">
        <v>1357</v>
      </c>
      <c r="L9802" t="s">
        <v>1357</v>
      </c>
    </row>
    <row r="9803" spans="8:12">
      <c r="H9803" t="s">
        <v>21464</v>
      </c>
      <c r="I9803" t="s">
        <v>1357</v>
      </c>
      <c r="J9803" t="s">
        <v>1357</v>
      </c>
      <c r="K9803" t="s">
        <v>1357</v>
      </c>
      <c r="L9803" t="s">
        <v>1357</v>
      </c>
    </row>
    <row r="9804" spans="8:12">
      <c r="H9804" t="s">
        <v>21465</v>
      </c>
      <c r="I9804" t="s">
        <v>1357</v>
      </c>
      <c r="J9804" t="s">
        <v>1357</v>
      </c>
      <c r="K9804" t="s">
        <v>1357</v>
      </c>
      <c r="L9804" t="s">
        <v>1357</v>
      </c>
    </row>
    <row r="9805" spans="8:12">
      <c r="H9805" t="s">
        <v>21466</v>
      </c>
      <c r="I9805" t="s">
        <v>1357</v>
      </c>
      <c r="J9805" t="s">
        <v>1357</v>
      </c>
      <c r="K9805" t="s">
        <v>1357</v>
      </c>
      <c r="L9805" t="s">
        <v>1357</v>
      </c>
    </row>
    <row r="9806" spans="8:12">
      <c r="H9806" t="s">
        <v>21467</v>
      </c>
      <c r="I9806" t="s">
        <v>1357</v>
      </c>
      <c r="J9806" t="s">
        <v>1357</v>
      </c>
      <c r="K9806" t="s">
        <v>1357</v>
      </c>
      <c r="L9806" t="s">
        <v>1357</v>
      </c>
    </row>
    <row r="9807" spans="8:12">
      <c r="H9807" t="s">
        <v>21468</v>
      </c>
      <c r="I9807" t="s">
        <v>1357</v>
      </c>
      <c r="J9807" t="s">
        <v>1357</v>
      </c>
      <c r="K9807" t="s">
        <v>1357</v>
      </c>
      <c r="L9807" t="s">
        <v>1357</v>
      </c>
    </row>
    <row r="9808" spans="8:12">
      <c r="H9808" t="s">
        <v>21469</v>
      </c>
      <c r="I9808" t="s">
        <v>1357</v>
      </c>
      <c r="J9808" t="s">
        <v>1357</v>
      </c>
      <c r="K9808" t="s">
        <v>1357</v>
      </c>
      <c r="L9808" t="s">
        <v>1357</v>
      </c>
    </row>
    <row r="9809" spans="8:12">
      <c r="H9809" t="s">
        <v>21470</v>
      </c>
      <c r="I9809" t="s">
        <v>1357</v>
      </c>
      <c r="J9809" t="s">
        <v>1357</v>
      </c>
      <c r="K9809" t="s">
        <v>1357</v>
      </c>
      <c r="L9809" t="s">
        <v>1357</v>
      </c>
    </row>
    <row r="9810" spans="8:12">
      <c r="H9810" t="s">
        <v>21471</v>
      </c>
      <c r="I9810" t="s">
        <v>1357</v>
      </c>
      <c r="J9810" t="s">
        <v>1357</v>
      </c>
      <c r="K9810" t="s">
        <v>1357</v>
      </c>
      <c r="L9810" t="s">
        <v>1357</v>
      </c>
    </row>
    <row r="9811" spans="8:12">
      <c r="H9811" t="s">
        <v>21472</v>
      </c>
      <c r="I9811" t="s">
        <v>1357</v>
      </c>
      <c r="J9811" t="s">
        <v>1357</v>
      </c>
      <c r="K9811" t="s">
        <v>1357</v>
      </c>
      <c r="L9811" t="s">
        <v>1357</v>
      </c>
    </row>
    <row r="9812" spans="8:12">
      <c r="H9812" t="s">
        <v>21473</v>
      </c>
      <c r="I9812" t="s">
        <v>1357</v>
      </c>
      <c r="J9812" t="s">
        <v>1357</v>
      </c>
      <c r="K9812" t="s">
        <v>1357</v>
      </c>
      <c r="L9812" t="s">
        <v>1357</v>
      </c>
    </row>
    <row r="9813" spans="8:12">
      <c r="H9813" t="s">
        <v>21474</v>
      </c>
      <c r="I9813" t="s">
        <v>1357</v>
      </c>
      <c r="J9813" t="s">
        <v>1357</v>
      </c>
      <c r="K9813" t="s">
        <v>1357</v>
      </c>
      <c r="L9813" t="s">
        <v>1357</v>
      </c>
    </row>
    <row r="9814" spans="8:12">
      <c r="H9814" t="s">
        <v>21475</v>
      </c>
      <c r="I9814" t="s">
        <v>1357</v>
      </c>
      <c r="J9814" t="s">
        <v>1357</v>
      </c>
      <c r="K9814" t="s">
        <v>1357</v>
      </c>
      <c r="L9814" t="s">
        <v>1357</v>
      </c>
    </row>
    <row r="9815" spans="8:12">
      <c r="H9815" t="s">
        <v>21476</v>
      </c>
      <c r="I9815" t="s">
        <v>1357</v>
      </c>
      <c r="J9815" t="s">
        <v>1357</v>
      </c>
      <c r="K9815" t="s">
        <v>1357</v>
      </c>
      <c r="L9815" t="s">
        <v>1357</v>
      </c>
    </row>
    <row r="9816" spans="8:12">
      <c r="H9816" t="s">
        <v>21477</v>
      </c>
      <c r="I9816" t="s">
        <v>1357</v>
      </c>
      <c r="J9816" t="s">
        <v>1357</v>
      </c>
      <c r="K9816" t="s">
        <v>1357</v>
      </c>
      <c r="L9816" t="s">
        <v>1357</v>
      </c>
    </row>
    <row r="9817" spans="8:12">
      <c r="H9817" t="s">
        <v>21478</v>
      </c>
      <c r="I9817" t="s">
        <v>1357</v>
      </c>
      <c r="J9817" t="s">
        <v>1357</v>
      </c>
      <c r="K9817" t="s">
        <v>1357</v>
      </c>
      <c r="L9817" t="s">
        <v>1357</v>
      </c>
    </row>
    <row r="9818" spans="8:12">
      <c r="H9818" t="s">
        <v>21479</v>
      </c>
      <c r="I9818" t="s">
        <v>1357</v>
      </c>
      <c r="J9818" t="s">
        <v>1357</v>
      </c>
      <c r="K9818" t="s">
        <v>1357</v>
      </c>
      <c r="L9818" t="s">
        <v>1357</v>
      </c>
    </row>
    <row r="9819" spans="8:12">
      <c r="H9819" t="s">
        <v>21480</v>
      </c>
      <c r="I9819" t="s">
        <v>1357</v>
      </c>
      <c r="J9819" t="s">
        <v>1357</v>
      </c>
      <c r="K9819" t="s">
        <v>1357</v>
      </c>
      <c r="L9819" t="s">
        <v>1357</v>
      </c>
    </row>
    <row r="9820" spans="8:12">
      <c r="H9820" t="s">
        <v>21481</v>
      </c>
      <c r="I9820" t="s">
        <v>1357</v>
      </c>
      <c r="J9820" t="s">
        <v>1357</v>
      </c>
      <c r="K9820" t="s">
        <v>1357</v>
      </c>
      <c r="L9820" t="s">
        <v>1357</v>
      </c>
    </row>
    <row r="9821" spans="8:12">
      <c r="H9821" t="s">
        <v>21482</v>
      </c>
      <c r="I9821" t="s">
        <v>1357</v>
      </c>
      <c r="J9821" t="s">
        <v>1357</v>
      </c>
      <c r="K9821" t="s">
        <v>1357</v>
      </c>
      <c r="L9821" t="s">
        <v>1357</v>
      </c>
    </row>
    <row r="9822" spans="8:12">
      <c r="H9822" t="s">
        <v>21483</v>
      </c>
      <c r="I9822" t="s">
        <v>1357</v>
      </c>
      <c r="J9822" t="s">
        <v>1357</v>
      </c>
      <c r="K9822" t="s">
        <v>1357</v>
      </c>
      <c r="L9822" t="s">
        <v>1357</v>
      </c>
    </row>
    <row r="9823" spans="8:12">
      <c r="H9823" t="s">
        <v>21484</v>
      </c>
      <c r="I9823" t="s">
        <v>1357</v>
      </c>
      <c r="J9823" t="s">
        <v>1357</v>
      </c>
      <c r="K9823" t="s">
        <v>1357</v>
      </c>
      <c r="L9823" t="s">
        <v>1357</v>
      </c>
    </row>
    <row r="9824" spans="8:12">
      <c r="H9824" t="s">
        <v>21485</v>
      </c>
      <c r="I9824" t="s">
        <v>1357</v>
      </c>
      <c r="J9824" t="s">
        <v>1357</v>
      </c>
      <c r="K9824" t="s">
        <v>1357</v>
      </c>
      <c r="L9824" t="s">
        <v>1357</v>
      </c>
    </row>
    <row r="9825" spans="8:12">
      <c r="H9825" t="s">
        <v>21486</v>
      </c>
      <c r="I9825" t="s">
        <v>1357</v>
      </c>
      <c r="J9825" t="s">
        <v>1357</v>
      </c>
      <c r="K9825" t="s">
        <v>1357</v>
      </c>
      <c r="L9825" t="s">
        <v>1357</v>
      </c>
    </row>
    <row r="9826" spans="8:12">
      <c r="H9826" t="s">
        <v>21487</v>
      </c>
      <c r="I9826" t="s">
        <v>1357</v>
      </c>
      <c r="J9826" t="s">
        <v>1357</v>
      </c>
      <c r="K9826" t="s">
        <v>1357</v>
      </c>
      <c r="L9826" t="s">
        <v>1357</v>
      </c>
    </row>
    <row r="9827" spans="8:12">
      <c r="H9827" t="s">
        <v>21488</v>
      </c>
      <c r="I9827" t="s">
        <v>1357</v>
      </c>
      <c r="J9827" t="s">
        <v>1357</v>
      </c>
      <c r="K9827" t="s">
        <v>1357</v>
      </c>
      <c r="L9827" t="s">
        <v>1357</v>
      </c>
    </row>
    <row r="9828" spans="8:12">
      <c r="H9828" t="s">
        <v>21489</v>
      </c>
      <c r="I9828" t="s">
        <v>1357</v>
      </c>
      <c r="J9828" t="s">
        <v>1357</v>
      </c>
      <c r="K9828" t="s">
        <v>1357</v>
      </c>
      <c r="L9828" t="s">
        <v>1357</v>
      </c>
    </row>
    <row r="9829" spans="8:12">
      <c r="H9829" t="s">
        <v>21490</v>
      </c>
      <c r="I9829" t="s">
        <v>1357</v>
      </c>
      <c r="J9829" t="s">
        <v>1357</v>
      </c>
      <c r="K9829" t="s">
        <v>1357</v>
      </c>
      <c r="L9829" t="s">
        <v>1357</v>
      </c>
    </row>
    <row r="9830" spans="8:12">
      <c r="H9830" t="s">
        <v>21491</v>
      </c>
      <c r="I9830" t="s">
        <v>1357</v>
      </c>
      <c r="J9830" t="s">
        <v>1357</v>
      </c>
      <c r="K9830" t="s">
        <v>1357</v>
      </c>
      <c r="L9830" t="s">
        <v>1357</v>
      </c>
    </row>
    <row r="9831" spans="8:12">
      <c r="H9831" t="s">
        <v>21492</v>
      </c>
      <c r="I9831" t="s">
        <v>1357</v>
      </c>
      <c r="J9831" t="s">
        <v>1357</v>
      </c>
      <c r="K9831" t="s">
        <v>1357</v>
      </c>
      <c r="L9831" t="s">
        <v>1357</v>
      </c>
    </row>
    <row r="9832" spans="8:12">
      <c r="H9832" t="s">
        <v>21493</v>
      </c>
      <c r="I9832" t="s">
        <v>1357</v>
      </c>
      <c r="J9832" t="s">
        <v>1357</v>
      </c>
      <c r="K9832" t="s">
        <v>1357</v>
      </c>
      <c r="L9832" t="s">
        <v>1357</v>
      </c>
    </row>
    <row r="9833" spans="8:12">
      <c r="H9833" t="s">
        <v>21494</v>
      </c>
      <c r="I9833" t="s">
        <v>1357</v>
      </c>
      <c r="J9833" t="s">
        <v>1357</v>
      </c>
      <c r="K9833" t="s">
        <v>1357</v>
      </c>
      <c r="L9833" t="s">
        <v>1357</v>
      </c>
    </row>
    <row r="9834" spans="8:12">
      <c r="H9834" t="s">
        <v>21495</v>
      </c>
      <c r="I9834" t="s">
        <v>1357</v>
      </c>
      <c r="J9834" t="s">
        <v>1357</v>
      </c>
      <c r="K9834" t="s">
        <v>1357</v>
      </c>
      <c r="L9834" t="s">
        <v>1357</v>
      </c>
    </row>
    <row r="9835" spans="8:12">
      <c r="H9835" t="s">
        <v>21496</v>
      </c>
      <c r="I9835" t="s">
        <v>1357</v>
      </c>
      <c r="J9835" t="s">
        <v>1357</v>
      </c>
      <c r="K9835" t="s">
        <v>1357</v>
      </c>
      <c r="L9835" t="s">
        <v>1357</v>
      </c>
    </row>
    <row r="9836" spans="8:12">
      <c r="H9836" t="s">
        <v>21497</v>
      </c>
      <c r="I9836" t="s">
        <v>1357</v>
      </c>
      <c r="J9836" t="s">
        <v>1357</v>
      </c>
      <c r="K9836" t="s">
        <v>1357</v>
      </c>
      <c r="L9836" t="s">
        <v>1357</v>
      </c>
    </row>
    <row r="9837" spans="8:12">
      <c r="H9837" t="s">
        <v>21498</v>
      </c>
      <c r="I9837" t="s">
        <v>1357</v>
      </c>
      <c r="J9837" t="s">
        <v>1357</v>
      </c>
      <c r="K9837" t="s">
        <v>1357</v>
      </c>
      <c r="L9837" t="s">
        <v>1357</v>
      </c>
    </row>
    <row r="9838" spans="8:12">
      <c r="H9838" t="s">
        <v>21499</v>
      </c>
      <c r="I9838" t="s">
        <v>1357</v>
      </c>
      <c r="J9838" t="s">
        <v>1357</v>
      </c>
      <c r="K9838" t="s">
        <v>1357</v>
      </c>
      <c r="L9838" t="s">
        <v>1357</v>
      </c>
    </row>
    <row r="9839" spans="8:12">
      <c r="H9839" t="s">
        <v>21500</v>
      </c>
      <c r="I9839" t="s">
        <v>1357</v>
      </c>
      <c r="J9839" t="s">
        <v>1357</v>
      </c>
      <c r="K9839" t="s">
        <v>1357</v>
      </c>
      <c r="L9839" t="s">
        <v>1357</v>
      </c>
    </row>
    <row r="9840" spans="8:12">
      <c r="H9840" t="s">
        <v>21501</v>
      </c>
      <c r="I9840" t="s">
        <v>1357</v>
      </c>
      <c r="J9840" t="s">
        <v>1357</v>
      </c>
      <c r="K9840" t="s">
        <v>1357</v>
      </c>
      <c r="L9840" t="s">
        <v>1357</v>
      </c>
    </row>
    <row r="9841" spans="8:12">
      <c r="H9841" t="s">
        <v>21502</v>
      </c>
      <c r="I9841" t="s">
        <v>1357</v>
      </c>
      <c r="J9841" t="s">
        <v>1357</v>
      </c>
      <c r="K9841" t="s">
        <v>1357</v>
      </c>
      <c r="L9841" t="s">
        <v>1357</v>
      </c>
    </row>
    <row r="9842" spans="8:12">
      <c r="H9842" t="s">
        <v>21503</v>
      </c>
      <c r="I9842" t="s">
        <v>1357</v>
      </c>
      <c r="J9842" t="s">
        <v>1357</v>
      </c>
      <c r="K9842" t="s">
        <v>1357</v>
      </c>
      <c r="L9842" t="s">
        <v>1357</v>
      </c>
    </row>
    <row r="9843" spans="8:12">
      <c r="H9843" t="s">
        <v>21504</v>
      </c>
      <c r="I9843" t="s">
        <v>1357</v>
      </c>
      <c r="J9843" t="s">
        <v>1357</v>
      </c>
      <c r="K9843" t="s">
        <v>1357</v>
      </c>
      <c r="L9843" t="s">
        <v>1357</v>
      </c>
    </row>
    <row r="9844" spans="8:12">
      <c r="H9844" t="s">
        <v>21505</v>
      </c>
      <c r="I9844" t="s">
        <v>1357</v>
      </c>
      <c r="J9844" t="s">
        <v>1357</v>
      </c>
      <c r="K9844" t="s">
        <v>1357</v>
      </c>
      <c r="L9844" t="s">
        <v>1357</v>
      </c>
    </row>
    <row r="9845" spans="8:12">
      <c r="H9845" t="s">
        <v>21506</v>
      </c>
      <c r="I9845" t="s">
        <v>1357</v>
      </c>
      <c r="J9845" t="s">
        <v>1357</v>
      </c>
      <c r="K9845" t="s">
        <v>1357</v>
      </c>
      <c r="L9845" t="s">
        <v>1357</v>
      </c>
    </row>
    <row r="9846" spans="8:12">
      <c r="H9846" t="s">
        <v>21507</v>
      </c>
      <c r="I9846" t="s">
        <v>1357</v>
      </c>
      <c r="J9846" t="s">
        <v>1357</v>
      </c>
      <c r="K9846" t="s">
        <v>1357</v>
      </c>
      <c r="L9846" t="s">
        <v>1357</v>
      </c>
    </row>
    <row r="9847" spans="8:12">
      <c r="H9847" t="s">
        <v>21508</v>
      </c>
      <c r="I9847" t="s">
        <v>1357</v>
      </c>
      <c r="J9847" t="s">
        <v>1357</v>
      </c>
      <c r="K9847" t="s">
        <v>1357</v>
      </c>
      <c r="L9847" t="s">
        <v>1357</v>
      </c>
    </row>
    <row r="9848" spans="8:12">
      <c r="H9848" t="s">
        <v>21509</v>
      </c>
      <c r="I9848" t="s">
        <v>1357</v>
      </c>
      <c r="J9848" t="s">
        <v>1357</v>
      </c>
      <c r="K9848" t="s">
        <v>1357</v>
      </c>
      <c r="L9848" t="s">
        <v>1357</v>
      </c>
    </row>
    <row r="9849" spans="8:12">
      <c r="H9849" t="s">
        <v>21510</v>
      </c>
      <c r="I9849" t="s">
        <v>1357</v>
      </c>
      <c r="J9849" t="s">
        <v>1357</v>
      </c>
      <c r="K9849" t="s">
        <v>1357</v>
      </c>
      <c r="L9849" t="s">
        <v>1357</v>
      </c>
    </row>
    <row r="9850" spans="8:12">
      <c r="H9850" t="s">
        <v>21511</v>
      </c>
      <c r="I9850" t="s">
        <v>1357</v>
      </c>
      <c r="J9850" t="s">
        <v>1357</v>
      </c>
      <c r="K9850" t="s">
        <v>1357</v>
      </c>
      <c r="L9850" t="s">
        <v>1357</v>
      </c>
    </row>
    <row r="9851" spans="8:12">
      <c r="H9851" t="s">
        <v>21512</v>
      </c>
      <c r="I9851" t="s">
        <v>1357</v>
      </c>
      <c r="J9851" t="s">
        <v>1357</v>
      </c>
      <c r="K9851" t="s">
        <v>1357</v>
      </c>
      <c r="L9851" t="s">
        <v>1357</v>
      </c>
    </row>
    <row r="9852" spans="8:12">
      <c r="H9852" t="s">
        <v>21513</v>
      </c>
      <c r="I9852" t="s">
        <v>1357</v>
      </c>
      <c r="J9852" t="s">
        <v>1357</v>
      </c>
      <c r="K9852" t="s">
        <v>1357</v>
      </c>
      <c r="L9852" t="s">
        <v>1357</v>
      </c>
    </row>
    <row r="9853" spans="8:12">
      <c r="H9853" t="s">
        <v>21514</v>
      </c>
      <c r="I9853" t="s">
        <v>1357</v>
      </c>
      <c r="J9853" t="s">
        <v>1357</v>
      </c>
      <c r="K9853" t="s">
        <v>1357</v>
      </c>
      <c r="L9853" t="s">
        <v>1357</v>
      </c>
    </row>
    <row r="9854" spans="8:12">
      <c r="H9854" t="s">
        <v>21515</v>
      </c>
      <c r="I9854" t="s">
        <v>1357</v>
      </c>
      <c r="J9854" t="s">
        <v>1357</v>
      </c>
      <c r="K9854" t="s">
        <v>1357</v>
      </c>
      <c r="L9854" t="s">
        <v>1357</v>
      </c>
    </row>
    <row r="9855" spans="8:12">
      <c r="H9855" t="s">
        <v>21516</v>
      </c>
      <c r="I9855" t="s">
        <v>1357</v>
      </c>
      <c r="J9855" t="s">
        <v>1357</v>
      </c>
      <c r="K9855" t="s">
        <v>1357</v>
      </c>
      <c r="L9855" t="s">
        <v>1357</v>
      </c>
    </row>
    <row r="9856" spans="8:12">
      <c r="H9856" t="s">
        <v>21517</v>
      </c>
      <c r="I9856" t="s">
        <v>1357</v>
      </c>
      <c r="J9856" t="s">
        <v>1357</v>
      </c>
      <c r="K9856" t="s">
        <v>1357</v>
      </c>
      <c r="L9856" t="s">
        <v>1357</v>
      </c>
    </row>
    <row r="9857" spans="8:12">
      <c r="H9857" t="s">
        <v>21518</v>
      </c>
      <c r="I9857" t="s">
        <v>1357</v>
      </c>
      <c r="J9857" t="s">
        <v>1357</v>
      </c>
      <c r="K9857" t="s">
        <v>1357</v>
      </c>
      <c r="L9857" t="s">
        <v>1357</v>
      </c>
    </row>
    <row r="9858" spans="8:12">
      <c r="H9858" t="s">
        <v>21519</v>
      </c>
      <c r="I9858" t="s">
        <v>1357</v>
      </c>
      <c r="J9858" t="s">
        <v>1357</v>
      </c>
      <c r="K9858" t="s">
        <v>1357</v>
      </c>
      <c r="L9858" t="s">
        <v>1357</v>
      </c>
    </row>
    <row r="9859" spans="8:12">
      <c r="H9859" t="s">
        <v>21520</v>
      </c>
      <c r="I9859" t="s">
        <v>1357</v>
      </c>
      <c r="J9859" t="s">
        <v>1357</v>
      </c>
      <c r="K9859" t="s">
        <v>1357</v>
      </c>
      <c r="L9859" t="s">
        <v>1357</v>
      </c>
    </row>
    <row r="9860" spans="8:12">
      <c r="H9860" t="s">
        <v>21521</v>
      </c>
      <c r="I9860" t="s">
        <v>1357</v>
      </c>
      <c r="J9860" t="s">
        <v>1357</v>
      </c>
      <c r="K9860" t="s">
        <v>1357</v>
      </c>
      <c r="L9860" t="s">
        <v>1357</v>
      </c>
    </row>
    <row r="9861" spans="8:12">
      <c r="H9861" t="s">
        <v>21522</v>
      </c>
      <c r="I9861" t="s">
        <v>1357</v>
      </c>
      <c r="J9861" t="s">
        <v>1357</v>
      </c>
      <c r="K9861" t="s">
        <v>1357</v>
      </c>
      <c r="L9861" t="s">
        <v>1357</v>
      </c>
    </row>
    <row r="9862" spans="8:12">
      <c r="H9862" t="s">
        <v>21523</v>
      </c>
      <c r="I9862" t="s">
        <v>1357</v>
      </c>
      <c r="J9862" t="s">
        <v>1357</v>
      </c>
      <c r="K9862" t="s">
        <v>1357</v>
      </c>
      <c r="L9862" t="s">
        <v>1357</v>
      </c>
    </row>
    <row r="9863" spans="8:12">
      <c r="H9863" t="s">
        <v>21524</v>
      </c>
      <c r="I9863" t="s">
        <v>1357</v>
      </c>
      <c r="J9863" t="s">
        <v>1357</v>
      </c>
      <c r="K9863" t="s">
        <v>1357</v>
      </c>
      <c r="L9863" t="s">
        <v>1357</v>
      </c>
    </row>
    <row r="9864" spans="8:12">
      <c r="H9864" t="s">
        <v>21525</v>
      </c>
      <c r="I9864" t="s">
        <v>1357</v>
      </c>
      <c r="J9864" t="s">
        <v>1357</v>
      </c>
      <c r="K9864" t="s">
        <v>1357</v>
      </c>
      <c r="L9864" t="s">
        <v>1357</v>
      </c>
    </row>
    <row r="9865" spans="8:12">
      <c r="H9865" t="s">
        <v>21526</v>
      </c>
      <c r="I9865" t="s">
        <v>1357</v>
      </c>
      <c r="J9865" t="s">
        <v>1357</v>
      </c>
      <c r="K9865" t="s">
        <v>1357</v>
      </c>
      <c r="L9865" t="s">
        <v>1357</v>
      </c>
    </row>
    <row r="9866" spans="8:12">
      <c r="H9866" t="s">
        <v>21527</v>
      </c>
      <c r="I9866" t="s">
        <v>1357</v>
      </c>
      <c r="J9866" t="s">
        <v>1357</v>
      </c>
      <c r="K9866" t="s">
        <v>1357</v>
      </c>
      <c r="L9866" t="s">
        <v>1357</v>
      </c>
    </row>
    <row r="9867" spans="8:12">
      <c r="H9867" t="s">
        <v>21528</v>
      </c>
      <c r="I9867" t="s">
        <v>1357</v>
      </c>
      <c r="J9867" t="s">
        <v>1357</v>
      </c>
      <c r="K9867" t="s">
        <v>1357</v>
      </c>
      <c r="L9867" t="s">
        <v>1357</v>
      </c>
    </row>
    <row r="9868" spans="8:12">
      <c r="H9868" t="s">
        <v>21529</v>
      </c>
      <c r="I9868" t="s">
        <v>1357</v>
      </c>
      <c r="J9868" t="s">
        <v>1357</v>
      </c>
      <c r="K9868" t="s">
        <v>1357</v>
      </c>
      <c r="L9868" t="s">
        <v>1357</v>
      </c>
    </row>
    <row r="9869" spans="8:12">
      <c r="H9869" t="s">
        <v>21530</v>
      </c>
      <c r="I9869" t="s">
        <v>1357</v>
      </c>
      <c r="J9869" t="s">
        <v>1357</v>
      </c>
      <c r="K9869" t="s">
        <v>1357</v>
      </c>
      <c r="L9869" t="s">
        <v>1357</v>
      </c>
    </row>
    <row r="9870" spans="8:12">
      <c r="H9870" t="s">
        <v>21531</v>
      </c>
      <c r="I9870" t="s">
        <v>1357</v>
      </c>
      <c r="J9870" t="s">
        <v>1357</v>
      </c>
      <c r="K9870" t="s">
        <v>1357</v>
      </c>
      <c r="L9870" t="s">
        <v>1357</v>
      </c>
    </row>
    <row r="9871" spans="8:12">
      <c r="H9871" t="s">
        <v>21532</v>
      </c>
      <c r="I9871" t="s">
        <v>1357</v>
      </c>
      <c r="J9871" t="s">
        <v>1357</v>
      </c>
      <c r="K9871" t="s">
        <v>1357</v>
      </c>
      <c r="L9871" t="s">
        <v>1357</v>
      </c>
    </row>
    <row r="9872" spans="8:12">
      <c r="H9872" t="s">
        <v>21533</v>
      </c>
      <c r="I9872" t="s">
        <v>1357</v>
      </c>
      <c r="J9872" t="s">
        <v>1357</v>
      </c>
      <c r="K9872" t="s">
        <v>1357</v>
      </c>
      <c r="L9872" t="s">
        <v>1357</v>
      </c>
    </row>
    <row r="9873" spans="8:12">
      <c r="H9873" t="s">
        <v>21534</v>
      </c>
      <c r="I9873" t="s">
        <v>1357</v>
      </c>
      <c r="J9873" t="s">
        <v>1357</v>
      </c>
      <c r="K9873" t="s">
        <v>1357</v>
      </c>
      <c r="L9873" t="s">
        <v>1357</v>
      </c>
    </row>
    <row r="9874" spans="8:12">
      <c r="H9874" t="s">
        <v>21535</v>
      </c>
      <c r="I9874" t="s">
        <v>1357</v>
      </c>
      <c r="J9874" t="s">
        <v>1357</v>
      </c>
      <c r="K9874" t="s">
        <v>1357</v>
      </c>
      <c r="L9874" t="s">
        <v>1357</v>
      </c>
    </row>
    <row r="9875" spans="8:12">
      <c r="H9875" t="s">
        <v>21536</v>
      </c>
      <c r="I9875" t="s">
        <v>1357</v>
      </c>
      <c r="J9875" t="s">
        <v>1357</v>
      </c>
      <c r="K9875" t="s">
        <v>1357</v>
      </c>
      <c r="L9875" t="s">
        <v>1357</v>
      </c>
    </row>
    <row r="9876" spans="8:12">
      <c r="H9876" t="s">
        <v>21537</v>
      </c>
      <c r="I9876" t="s">
        <v>1357</v>
      </c>
      <c r="J9876" t="s">
        <v>1357</v>
      </c>
      <c r="K9876" t="s">
        <v>1357</v>
      </c>
      <c r="L9876" t="s">
        <v>1357</v>
      </c>
    </row>
    <row r="9877" spans="8:12">
      <c r="H9877" t="s">
        <v>21538</v>
      </c>
      <c r="I9877" t="s">
        <v>1357</v>
      </c>
      <c r="J9877" t="s">
        <v>1357</v>
      </c>
      <c r="K9877" t="s">
        <v>1357</v>
      </c>
      <c r="L9877" t="s">
        <v>1357</v>
      </c>
    </row>
    <row r="9878" spans="8:12">
      <c r="H9878" t="s">
        <v>21539</v>
      </c>
      <c r="I9878" t="s">
        <v>1357</v>
      </c>
      <c r="J9878" t="s">
        <v>1357</v>
      </c>
      <c r="K9878" t="s">
        <v>1357</v>
      </c>
      <c r="L9878" t="s">
        <v>1357</v>
      </c>
    </row>
    <row r="9879" spans="8:12">
      <c r="H9879" t="s">
        <v>21540</v>
      </c>
      <c r="I9879" t="s">
        <v>1357</v>
      </c>
      <c r="J9879" t="s">
        <v>1357</v>
      </c>
      <c r="K9879" t="s">
        <v>1357</v>
      </c>
      <c r="L9879" t="s">
        <v>1357</v>
      </c>
    </row>
    <row r="9880" spans="8:12">
      <c r="H9880" t="s">
        <v>21541</v>
      </c>
      <c r="I9880" t="s">
        <v>1357</v>
      </c>
      <c r="J9880" t="s">
        <v>1357</v>
      </c>
      <c r="K9880" t="s">
        <v>1357</v>
      </c>
      <c r="L9880" t="s">
        <v>1357</v>
      </c>
    </row>
    <row r="9881" spans="8:12">
      <c r="H9881" t="s">
        <v>21542</v>
      </c>
      <c r="I9881" t="s">
        <v>1357</v>
      </c>
      <c r="J9881" t="s">
        <v>1357</v>
      </c>
      <c r="K9881" t="s">
        <v>1357</v>
      </c>
      <c r="L9881" t="s">
        <v>1357</v>
      </c>
    </row>
    <row r="9882" spans="8:12">
      <c r="H9882" t="s">
        <v>21543</v>
      </c>
      <c r="I9882" t="s">
        <v>1357</v>
      </c>
      <c r="J9882" t="s">
        <v>1357</v>
      </c>
      <c r="K9882" t="s">
        <v>1357</v>
      </c>
      <c r="L9882" t="s">
        <v>1357</v>
      </c>
    </row>
    <row r="9883" spans="8:12">
      <c r="H9883" t="s">
        <v>21544</v>
      </c>
      <c r="I9883" t="s">
        <v>1357</v>
      </c>
      <c r="J9883" t="s">
        <v>1357</v>
      </c>
      <c r="K9883" t="s">
        <v>1357</v>
      </c>
      <c r="L9883" t="s">
        <v>1357</v>
      </c>
    </row>
    <row r="9884" spans="8:12">
      <c r="H9884" t="s">
        <v>21545</v>
      </c>
      <c r="I9884" t="s">
        <v>1357</v>
      </c>
      <c r="J9884" t="s">
        <v>1357</v>
      </c>
      <c r="K9884" t="s">
        <v>1357</v>
      </c>
      <c r="L9884" t="s">
        <v>1357</v>
      </c>
    </row>
    <row r="9885" spans="8:12">
      <c r="H9885" t="s">
        <v>21546</v>
      </c>
      <c r="I9885" t="s">
        <v>1357</v>
      </c>
      <c r="J9885" t="s">
        <v>1357</v>
      </c>
      <c r="K9885" t="s">
        <v>1357</v>
      </c>
      <c r="L9885" t="s">
        <v>1357</v>
      </c>
    </row>
    <row r="9886" spans="8:12">
      <c r="H9886" t="s">
        <v>21547</v>
      </c>
      <c r="I9886" t="s">
        <v>1357</v>
      </c>
      <c r="J9886" t="s">
        <v>1357</v>
      </c>
      <c r="K9886" t="s">
        <v>1357</v>
      </c>
      <c r="L9886" t="s">
        <v>1357</v>
      </c>
    </row>
    <row r="9887" spans="8:12">
      <c r="H9887" t="s">
        <v>21548</v>
      </c>
      <c r="I9887" t="s">
        <v>1357</v>
      </c>
      <c r="J9887" t="s">
        <v>1357</v>
      </c>
      <c r="K9887" t="s">
        <v>1357</v>
      </c>
      <c r="L9887" t="s">
        <v>1357</v>
      </c>
    </row>
    <row r="9888" spans="8:12">
      <c r="H9888" t="s">
        <v>21549</v>
      </c>
      <c r="I9888" t="s">
        <v>1357</v>
      </c>
      <c r="J9888" t="s">
        <v>1357</v>
      </c>
      <c r="K9888" t="s">
        <v>1357</v>
      </c>
      <c r="L9888" t="s">
        <v>1357</v>
      </c>
    </row>
    <row r="9889" spans="8:12">
      <c r="H9889" t="s">
        <v>21550</v>
      </c>
      <c r="I9889" t="s">
        <v>1357</v>
      </c>
      <c r="J9889" t="s">
        <v>1357</v>
      </c>
      <c r="K9889" t="s">
        <v>1357</v>
      </c>
      <c r="L9889" t="s">
        <v>1357</v>
      </c>
    </row>
    <row r="9890" spans="8:12">
      <c r="H9890" t="s">
        <v>21551</v>
      </c>
      <c r="I9890" t="s">
        <v>1357</v>
      </c>
      <c r="J9890" t="s">
        <v>1357</v>
      </c>
      <c r="K9890" t="s">
        <v>1357</v>
      </c>
      <c r="L9890" t="s">
        <v>1357</v>
      </c>
    </row>
    <row r="9891" spans="8:12">
      <c r="H9891" t="s">
        <v>21552</v>
      </c>
      <c r="I9891" t="s">
        <v>1357</v>
      </c>
      <c r="J9891" t="s">
        <v>1357</v>
      </c>
      <c r="K9891" t="s">
        <v>1357</v>
      </c>
      <c r="L9891" t="s">
        <v>1357</v>
      </c>
    </row>
    <row r="9892" spans="8:12">
      <c r="H9892" t="s">
        <v>21553</v>
      </c>
      <c r="I9892" t="s">
        <v>1357</v>
      </c>
      <c r="J9892" t="s">
        <v>1357</v>
      </c>
      <c r="K9892" t="s">
        <v>1357</v>
      </c>
      <c r="L9892" t="s">
        <v>1357</v>
      </c>
    </row>
    <row r="9893" spans="8:12">
      <c r="H9893" t="s">
        <v>21554</v>
      </c>
      <c r="I9893" t="s">
        <v>1357</v>
      </c>
      <c r="J9893" t="s">
        <v>1357</v>
      </c>
      <c r="K9893" t="s">
        <v>1357</v>
      </c>
      <c r="L9893" t="s">
        <v>1357</v>
      </c>
    </row>
    <row r="9894" spans="8:12">
      <c r="H9894" t="s">
        <v>21555</v>
      </c>
      <c r="I9894" t="s">
        <v>1357</v>
      </c>
      <c r="J9894" t="s">
        <v>1357</v>
      </c>
      <c r="K9894" t="s">
        <v>1357</v>
      </c>
      <c r="L9894" t="s">
        <v>1357</v>
      </c>
    </row>
    <row r="9895" spans="8:12">
      <c r="H9895" t="s">
        <v>21556</v>
      </c>
      <c r="I9895" t="s">
        <v>1357</v>
      </c>
      <c r="J9895" t="s">
        <v>1357</v>
      </c>
      <c r="K9895" t="s">
        <v>1357</v>
      </c>
      <c r="L9895" t="s">
        <v>1357</v>
      </c>
    </row>
    <row r="9896" spans="8:12">
      <c r="H9896" t="s">
        <v>21557</v>
      </c>
      <c r="I9896" t="s">
        <v>1357</v>
      </c>
      <c r="J9896" t="s">
        <v>1357</v>
      </c>
      <c r="K9896" t="s">
        <v>1357</v>
      </c>
      <c r="L9896" t="s">
        <v>1357</v>
      </c>
    </row>
    <row r="9897" spans="8:12">
      <c r="H9897" t="s">
        <v>21558</v>
      </c>
      <c r="I9897" t="s">
        <v>1357</v>
      </c>
      <c r="J9897" t="s">
        <v>1357</v>
      </c>
      <c r="K9897" t="s">
        <v>1357</v>
      </c>
      <c r="L9897" t="s">
        <v>1357</v>
      </c>
    </row>
    <row r="9898" spans="8:12">
      <c r="H9898" t="s">
        <v>21559</v>
      </c>
      <c r="I9898" t="s">
        <v>1357</v>
      </c>
      <c r="J9898" t="s">
        <v>1357</v>
      </c>
      <c r="K9898" t="s">
        <v>1357</v>
      </c>
      <c r="L9898" t="s">
        <v>1357</v>
      </c>
    </row>
    <row r="9899" spans="8:12">
      <c r="H9899" t="s">
        <v>21560</v>
      </c>
      <c r="I9899" t="s">
        <v>1357</v>
      </c>
      <c r="J9899" t="s">
        <v>1357</v>
      </c>
      <c r="K9899" t="s">
        <v>1357</v>
      </c>
      <c r="L9899" t="s">
        <v>1357</v>
      </c>
    </row>
    <row r="9900" spans="8:12">
      <c r="H9900" t="s">
        <v>21561</v>
      </c>
      <c r="I9900" t="s">
        <v>1357</v>
      </c>
      <c r="J9900" t="s">
        <v>1357</v>
      </c>
      <c r="K9900" t="s">
        <v>1357</v>
      </c>
      <c r="L9900" t="s">
        <v>1357</v>
      </c>
    </row>
    <row r="9901" spans="8:12">
      <c r="H9901" t="s">
        <v>21562</v>
      </c>
      <c r="I9901" t="s">
        <v>1357</v>
      </c>
      <c r="J9901" t="s">
        <v>1357</v>
      </c>
      <c r="K9901" t="s">
        <v>1357</v>
      </c>
      <c r="L9901" t="s">
        <v>1357</v>
      </c>
    </row>
    <row r="9902" spans="8:12">
      <c r="H9902" t="s">
        <v>21563</v>
      </c>
      <c r="I9902" t="s">
        <v>1357</v>
      </c>
      <c r="J9902" t="s">
        <v>1357</v>
      </c>
      <c r="K9902" t="s">
        <v>1357</v>
      </c>
      <c r="L9902" t="s">
        <v>1357</v>
      </c>
    </row>
    <row r="9903" spans="8:12">
      <c r="H9903" t="s">
        <v>21564</v>
      </c>
      <c r="I9903" t="s">
        <v>1357</v>
      </c>
      <c r="J9903" t="s">
        <v>1357</v>
      </c>
      <c r="K9903" t="s">
        <v>1357</v>
      </c>
      <c r="L9903" t="s">
        <v>1357</v>
      </c>
    </row>
    <row r="9904" spans="8:12">
      <c r="H9904" t="s">
        <v>21565</v>
      </c>
      <c r="I9904" t="s">
        <v>1357</v>
      </c>
      <c r="J9904" t="s">
        <v>1357</v>
      </c>
      <c r="K9904" t="s">
        <v>1357</v>
      </c>
      <c r="L9904" t="s">
        <v>1357</v>
      </c>
    </row>
    <row r="9905" spans="8:12">
      <c r="H9905" t="s">
        <v>21566</v>
      </c>
      <c r="I9905" t="s">
        <v>1357</v>
      </c>
      <c r="J9905" t="s">
        <v>1357</v>
      </c>
      <c r="K9905" t="s">
        <v>1357</v>
      </c>
      <c r="L9905" t="s">
        <v>1357</v>
      </c>
    </row>
    <row r="9906" spans="8:12">
      <c r="H9906" t="s">
        <v>21567</v>
      </c>
      <c r="I9906" t="s">
        <v>1357</v>
      </c>
      <c r="J9906" t="s">
        <v>1357</v>
      </c>
      <c r="K9906" t="s">
        <v>1357</v>
      </c>
      <c r="L9906" t="s">
        <v>1357</v>
      </c>
    </row>
    <row r="9907" spans="8:12">
      <c r="H9907" t="s">
        <v>21568</v>
      </c>
      <c r="I9907" t="s">
        <v>1357</v>
      </c>
      <c r="J9907" t="s">
        <v>1357</v>
      </c>
      <c r="K9907" t="s">
        <v>1357</v>
      </c>
      <c r="L9907" t="s">
        <v>1357</v>
      </c>
    </row>
    <row r="9908" spans="8:12">
      <c r="H9908" t="s">
        <v>21569</v>
      </c>
      <c r="I9908" t="s">
        <v>1357</v>
      </c>
      <c r="J9908" t="s">
        <v>1357</v>
      </c>
      <c r="K9908" t="s">
        <v>1357</v>
      </c>
      <c r="L9908" t="s">
        <v>1357</v>
      </c>
    </row>
    <row r="9909" spans="8:12">
      <c r="H9909" t="s">
        <v>21570</v>
      </c>
      <c r="I9909" t="s">
        <v>1357</v>
      </c>
      <c r="J9909" t="s">
        <v>1357</v>
      </c>
      <c r="K9909" t="s">
        <v>1357</v>
      </c>
      <c r="L9909" t="s">
        <v>1357</v>
      </c>
    </row>
    <row r="9910" spans="8:12">
      <c r="H9910" t="s">
        <v>21571</v>
      </c>
      <c r="I9910" t="s">
        <v>1357</v>
      </c>
      <c r="J9910" t="s">
        <v>1357</v>
      </c>
      <c r="K9910" t="s">
        <v>1357</v>
      </c>
      <c r="L9910" t="s">
        <v>1357</v>
      </c>
    </row>
    <row r="9911" spans="8:12">
      <c r="H9911" t="s">
        <v>21572</v>
      </c>
      <c r="I9911" t="s">
        <v>1357</v>
      </c>
      <c r="J9911" t="s">
        <v>1357</v>
      </c>
      <c r="K9911" t="s">
        <v>1357</v>
      </c>
      <c r="L9911" t="s">
        <v>1357</v>
      </c>
    </row>
    <row r="9912" spans="8:12">
      <c r="H9912" t="s">
        <v>21573</v>
      </c>
      <c r="I9912" t="s">
        <v>1357</v>
      </c>
      <c r="J9912" t="s">
        <v>1357</v>
      </c>
      <c r="K9912" t="s">
        <v>1357</v>
      </c>
      <c r="L9912" t="s">
        <v>1357</v>
      </c>
    </row>
    <row r="9913" spans="8:12">
      <c r="H9913" t="s">
        <v>21574</v>
      </c>
      <c r="I9913" t="s">
        <v>1357</v>
      </c>
      <c r="J9913" t="s">
        <v>1357</v>
      </c>
      <c r="K9913" t="s">
        <v>1357</v>
      </c>
      <c r="L9913" t="s">
        <v>1357</v>
      </c>
    </row>
    <row r="9914" spans="8:12">
      <c r="H9914" t="s">
        <v>21575</v>
      </c>
      <c r="I9914" t="s">
        <v>1357</v>
      </c>
      <c r="J9914" t="s">
        <v>1357</v>
      </c>
      <c r="K9914" t="s">
        <v>1357</v>
      </c>
      <c r="L9914" t="s">
        <v>1357</v>
      </c>
    </row>
    <row r="9915" spans="8:12">
      <c r="H9915" t="s">
        <v>21576</v>
      </c>
      <c r="I9915" t="s">
        <v>1357</v>
      </c>
      <c r="J9915" t="s">
        <v>1357</v>
      </c>
      <c r="K9915" t="s">
        <v>1357</v>
      </c>
      <c r="L9915" t="s">
        <v>1357</v>
      </c>
    </row>
    <row r="9916" spans="8:12">
      <c r="H9916" t="s">
        <v>21577</v>
      </c>
      <c r="I9916" t="s">
        <v>1357</v>
      </c>
      <c r="J9916" t="s">
        <v>1357</v>
      </c>
      <c r="K9916" t="s">
        <v>1357</v>
      </c>
      <c r="L9916" t="s">
        <v>1357</v>
      </c>
    </row>
    <row r="9917" spans="8:12">
      <c r="H9917" t="s">
        <v>21578</v>
      </c>
      <c r="I9917" t="s">
        <v>1357</v>
      </c>
      <c r="J9917" t="s">
        <v>1357</v>
      </c>
      <c r="K9917" t="s">
        <v>1357</v>
      </c>
      <c r="L9917" t="s">
        <v>1357</v>
      </c>
    </row>
    <row r="9918" spans="8:12">
      <c r="H9918" t="s">
        <v>21579</v>
      </c>
      <c r="I9918" t="s">
        <v>1357</v>
      </c>
      <c r="J9918" t="s">
        <v>1357</v>
      </c>
      <c r="K9918" t="s">
        <v>1357</v>
      </c>
      <c r="L9918" t="s">
        <v>1357</v>
      </c>
    </row>
    <row r="9919" spans="8:12">
      <c r="H9919" t="s">
        <v>21580</v>
      </c>
      <c r="I9919" t="s">
        <v>1357</v>
      </c>
      <c r="J9919" t="s">
        <v>1357</v>
      </c>
      <c r="K9919" t="s">
        <v>1357</v>
      </c>
      <c r="L9919" t="s">
        <v>1357</v>
      </c>
    </row>
    <row r="9920" spans="8:12">
      <c r="H9920" t="s">
        <v>21581</v>
      </c>
      <c r="I9920" t="s">
        <v>1357</v>
      </c>
      <c r="J9920" t="s">
        <v>1357</v>
      </c>
      <c r="K9920" t="s">
        <v>1357</v>
      </c>
      <c r="L9920" t="s">
        <v>1357</v>
      </c>
    </row>
    <row r="9921" spans="8:12">
      <c r="H9921" t="s">
        <v>21582</v>
      </c>
      <c r="I9921" t="s">
        <v>1357</v>
      </c>
      <c r="J9921" t="s">
        <v>1357</v>
      </c>
      <c r="K9921" t="s">
        <v>1357</v>
      </c>
      <c r="L9921" t="s">
        <v>1357</v>
      </c>
    </row>
    <row r="9922" spans="8:12">
      <c r="H9922" t="s">
        <v>21583</v>
      </c>
      <c r="I9922" t="s">
        <v>1357</v>
      </c>
      <c r="J9922" t="s">
        <v>1357</v>
      </c>
      <c r="K9922" t="s">
        <v>1357</v>
      </c>
      <c r="L9922" t="s">
        <v>1357</v>
      </c>
    </row>
    <row r="9923" spans="8:12">
      <c r="H9923" t="s">
        <v>21584</v>
      </c>
      <c r="I9923" t="s">
        <v>1357</v>
      </c>
      <c r="J9923" t="s">
        <v>1357</v>
      </c>
      <c r="K9923" t="s">
        <v>1357</v>
      </c>
      <c r="L9923" t="s">
        <v>1357</v>
      </c>
    </row>
    <row r="9924" spans="8:12">
      <c r="H9924" t="s">
        <v>21585</v>
      </c>
      <c r="I9924" t="s">
        <v>1357</v>
      </c>
      <c r="J9924" t="s">
        <v>1357</v>
      </c>
      <c r="K9924" t="s">
        <v>1357</v>
      </c>
      <c r="L9924" t="s">
        <v>1357</v>
      </c>
    </row>
    <row r="9925" spans="8:12">
      <c r="H9925" t="s">
        <v>21586</v>
      </c>
      <c r="I9925" t="s">
        <v>1357</v>
      </c>
      <c r="J9925" t="s">
        <v>1357</v>
      </c>
      <c r="K9925" t="s">
        <v>1357</v>
      </c>
      <c r="L9925" t="s">
        <v>1357</v>
      </c>
    </row>
    <row r="9926" spans="8:12">
      <c r="H9926" t="s">
        <v>21587</v>
      </c>
      <c r="I9926" t="s">
        <v>1357</v>
      </c>
      <c r="J9926" t="s">
        <v>1357</v>
      </c>
      <c r="K9926" t="s">
        <v>1357</v>
      </c>
      <c r="L9926" t="s">
        <v>1357</v>
      </c>
    </row>
    <row r="9927" spans="8:12">
      <c r="H9927" t="s">
        <v>21588</v>
      </c>
      <c r="I9927" t="s">
        <v>1357</v>
      </c>
      <c r="J9927" t="s">
        <v>1357</v>
      </c>
      <c r="K9927" t="s">
        <v>1357</v>
      </c>
      <c r="L9927" t="s">
        <v>1357</v>
      </c>
    </row>
    <row r="9928" spans="8:12">
      <c r="H9928" t="s">
        <v>21589</v>
      </c>
      <c r="I9928" t="s">
        <v>1357</v>
      </c>
      <c r="J9928" t="s">
        <v>1357</v>
      </c>
      <c r="K9928" t="s">
        <v>1357</v>
      </c>
      <c r="L9928" t="s">
        <v>1357</v>
      </c>
    </row>
    <row r="9929" spans="8:12">
      <c r="H9929" t="s">
        <v>21590</v>
      </c>
      <c r="I9929" t="s">
        <v>1357</v>
      </c>
      <c r="J9929" t="s">
        <v>1357</v>
      </c>
      <c r="K9929" t="s">
        <v>1357</v>
      </c>
      <c r="L9929" t="s">
        <v>1357</v>
      </c>
    </row>
    <row r="9930" spans="8:12">
      <c r="H9930" t="s">
        <v>21591</v>
      </c>
      <c r="I9930" t="s">
        <v>1357</v>
      </c>
      <c r="J9930" t="s">
        <v>1357</v>
      </c>
      <c r="K9930" t="s">
        <v>1357</v>
      </c>
      <c r="L9930" t="s">
        <v>1357</v>
      </c>
    </row>
    <row r="9931" spans="8:12">
      <c r="H9931" t="s">
        <v>21592</v>
      </c>
      <c r="I9931" t="s">
        <v>1357</v>
      </c>
      <c r="J9931" t="s">
        <v>1357</v>
      </c>
      <c r="K9931" t="s">
        <v>1357</v>
      </c>
      <c r="L9931" t="s">
        <v>1357</v>
      </c>
    </row>
    <row r="9932" spans="8:12">
      <c r="H9932" t="s">
        <v>21593</v>
      </c>
      <c r="I9932" t="s">
        <v>1357</v>
      </c>
      <c r="J9932" t="s">
        <v>1357</v>
      </c>
      <c r="K9932" t="s">
        <v>1357</v>
      </c>
      <c r="L9932" t="s">
        <v>1357</v>
      </c>
    </row>
    <row r="9933" spans="8:12">
      <c r="H9933" t="s">
        <v>21594</v>
      </c>
      <c r="I9933" t="s">
        <v>1357</v>
      </c>
      <c r="J9933" t="s">
        <v>1357</v>
      </c>
      <c r="K9933" t="s">
        <v>1357</v>
      </c>
      <c r="L9933" t="s">
        <v>1357</v>
      </c>
    </row>
    <row r="9934" spans="8:12">
      <c r="H9934" t="s">
        <v>21595</v>
      </c>
      <c r="I9934" t="s">
        <v>1357</v>
      </c>
      <c r="J9934" t="s">
        <v>1357</v>
      </c>
      <c r="K9934" t="s">
        <v>1357</v>
      </c>
      <c r="L9934" t="s">
        <v>1357</v>
      </c>
    </row>
    <row r="9935" spans="8:12">
      <c r="H9935" t="s">
        <v>21596</v>
      </c>
      <c r="I9935" t="s">
        <v>1357</v>
      </c>
      <c r="J9935" t="s">
        <v>1357</v>
      </c>
      <c r="K9935" t="s">
        <v>1357</v>
      </c>
      <c r="L9935" t="s">
        <v>1357</v>
      </c>
    </row>
    <row r="9936" spans="8:12">
      <c r="H9936" t="s">
        <v>21597</v>
      </c>
      <c r="I9936" t="s">
        <v>1357</v>
      </c>
      <c r="J9936" t="s">
        <v>1357</v>
      </c>
      <c r="K9936" t="s">
        <v>1357</v>
      </c>
      <c r="L9936" t="s">
        <v>1357</v>
      </c>
    </row>
    <row r="9937" spans="8:12">
      <c r="H9937" t="s">
        <v>21598</v>
      </c>
      <c r="I9937" t="s">
        <v>1357</v>
      </c>
      <c r="J9937" t="s">
        <v>1357</v>
      </c>
      <c r="K9937" t="s">
        <v>1357</v>
      </c>
      <c r="L9937" t="s">
        <v>1357</v>
      </c>
    </row>
    <row r="9938" spans="8:12">
      <c r="H9938" t="s">
        <v>21599</v>
      </c>
      <c r="I9938" t="s">
        <v>1357</v>
      </c>
      <c r="J9938" t="s">
        <v>1357</v>
      </c>
      <c r="K9938" t="s">
        <v>1357</v>
      </c>
      <c r="L9938" t="s">
        <v>1357</v>
      </c>
    </row>
    <row r="9939" spans="8:12">
      <c r="H9939" t="s">
        <v>21600</v>
      </c>
      <c r="I9939" t="s">
        <v>1357</v>
      </c>
      <c r="J9939" t="s">
        <v>1357</v>
      </c>
      <c r="K9939" t="s">
        <v>1357</v>
      </c>
      <c r="L9939" t="s">
        <v>1357</v>
      </c>
    </row>
    <row r="9940" spans="8:12">
      <c r="H9940" t="s">
        <v>21601</v>
      </c>
      <c r="I9940" t="s">
        <v>1357</v>
      </c>
      <c r="J9940" t="s">
        <v>1357</v>
      </c>
      <c r="K9940" t="s">
        <v>1357</v>
      </c>
      <c r="L9940" t="s">
        <v>1357</v>
      </c>
    </row>
    <row r="9941" spans="8:12">
      <c r="H9941" t="s">
        <v>21602</v>
      </c>
      <c r="I9941" t="s">
        <v>1357</v>
      </c>
      <c r="J9941" t="s">
        <v>1357</v>
      </c>
      <c r="K9941" t="s">
        <v>1357</v>
      </c>
      <c r="L9941" t="s">
        <v>1357</v>
      </c>
    </row>
    <row r="9942" spans="8:12">
      <c r="H9942" t="s">
        <v>21603</v>
      </c>
      <c r="I9942" t="s">
        <v>1357</v>
      </c>
      <c r="J9942" t="s">
        <v>1357</v>
      </c>
      <c r="K9942" t="s">
        <v>1357</v>
      </c>
      <c r="L9942" t="s">
        <v>1357</v>
      </c>
    </row>
    <row r="9943" spans="8:12">
      <c r="H9943" t="s">
        <v>21604</v>
      </c>
      <c r="I9943" t="s">
        <v>1357</v>
      </c>
      <c r="J9943" t="s">
        <v>1357</v>
      </c>
      <c r="K9943" t="s">
        <v>1357</v>
      </c>
      <c r="L9943" t="s">
        <v>1357</v>
      </c>
    </row>
    <row r="9944" spans="8:12">
      <c r="H9944" t="s">
        <v>21605</v>
      </c>
      <c r="I9944" t="s">
        <v>1357</v>
      </c>
      <c r="J9944" t="s">
        <v>1357</v>
      </c>
      <c r="K9944" t="s">
        <v>1357</v>
      </c>
      <c r="L9944" t="s">
        <v>1357</v>
      </c>
    </row>
    <row r="9945" spans="8:12">
      <c r="H9945" t="s">
        <v>21606</v>
      </c>
      <c r="I9945" t="s">
        <v>1357</v>
      </c>
      <c r="J9945" t="s">
        <v>1357</v>
      </c>
      <c r="K9945" t="s">
        <v>1357</v>
      </c>
      <c r="L9945" t="s">
        <v>1357</v>
      </c>
    </row>
    <row r="9946" spans="8:12">
      <c r="H9946" t="s">
        <v>21607</v>
      </c>
      <c r="I9946" t="s">
        <v>1357</v>
      </c>
      <c r="J9946" t="s">
        <v>1357</v>
      </c>
      <c r="K9946" t="s">
        <v>1357</v>
      </c>
      <c r="L9946" t="s">
        <v>1357</v>
      </c>
    </row>
    <row r="9947" spans="8:12">
      <c r="H9947" t="s">
        <v>21608</v>
      </c>
      <c r="I9947" t="s">
        <v>1357</v>
      </c>
      <c r="J9947" t="s">
        <v>1357</v>
      </c>
      <c r="K9947" t="s">
        <v>1357</v>
      </c>
      <c r="L9947" t="s">
        <v>1357</v>
      </c>
    </row>
    <row r="9948" spans="8:12">
      <c r="H9948" t="s">
        <v>21609</v>
      </c>
      <c r="I9948" t="s">
        <v>1357</v>
      </c>
      <c r="J9948" t="s">
        <v>1357</v>
      </c>
      <c r="K9948" t="s">
        <v>1357</v>
      </c>
      <c r="L9948" t="s">
        <v>1357</v>
      </c>
    </row>
    <row r="9949" spans="8:12">
      <c r="H9949" t="s">
        <v>21610</v>
      </c>
      <c r="I9949" t="s">
        <v>1357</v>
      </c>
      <c r="J9949" t="s">
        <v>1357</v>
      </c>
      <c r="K9949" t="s">
        <v>1357</v>
      </c>
      <c r="L9949" t="s">
        <v>1357</v>
      </c>
    </row>
    <row r="9950" spans="8:12">
      <c r="H9950" t="s">
        <v>21611</v>
      </c>
      <c r="I9950" t="s">
        <v>1357</v>
      </c>
      <c r="J9950" t="s">
        <v>1357</v>
      </c>
      <c r="K9950" t="s">
        <v>1357</v>
      </c>
      <c r="L9950" t="s">
        <v>1357</v>
      </c>
    </row>
    <row r="9951" spans="8:12">
      <c r="H9951" t="s">
        <v>21612</v>
      </c>
      <c r="I9951" t="s">
        <v>1357</v>
      </c>
      <c r="J9951" t="s">
        <v>1357</v>
      </c>
      <c r="K9951" t="s">
        <v>1357</v>
      </c>
      <c r="L9951" t="s">
        <v>1357</v>
      </c>
    </row>
    <row r="9952" spans="8:12">
      <c r="H9952" t="s">
        <v>21613</v>
      </c>
      <c r="I9952" t="s">
        <v>1357</v>
      </c>
      <c r="J9952" t="s">
        <v>1357</v>
      </c>
      <c r="K9952" t="s">
        <v>1357</v>
      </c>
      <c r="L9952" t="s">
        <v>1357</v>
      </c>
    </row>
    <row r="9953" spans="8:12">
      <c r="H9953" t="s">
        <v>21614</v>
      </c>
      <c r="I9953" t="s">
        <v>1357</v>
      </c>
      <c r="J9953" t="s">
        <v>1357</v>
      </c>
      <c r="K9953" t="s">
        <v>1357</v>
      </c>
      <c r="L9953" t="s">
        <v>1357</v>
      </c>
    </row>
    <row r="9954" spans="8:12">
      <c r="H9954" t="s">
        <v>21615</v>
      </c>
      <c r="I9954" t="s">
        <v>1357</v>
      </c>
      <c r="J9954" t="s">
        <v>1357</v>
      </c>
      <c r="K9954" t="s">
        <v>1357</v>
      </c>
      <c r="L9954" t="s">
        <v>1357</v>
      </c>
    </row>
    <row r="9955" spans="8:12">
      <c r="H9955" t="s">
        <v>21616</v>
      </c>
      <c r="I9955" t="s">
        <v>1357</v>
      </c>
      <c r="J9955" t="s">
        <v>1357</v>
      </c>
      <c r="K9955" t="s">
        <v>1357</v>
      </c>
      <c r="L9955" t="s">
        <v>1357</v>
      </c>
    </row>
    <row r="9956" spans="8:12">
      <c r="H9956" t="s">
        <v>21617</v>
      </c>
      <c r="I9956" t="s">
        <v>1357</v>
      </c>
      <c r="J9956" t="s">
        <v>1357</v>
      </c>
      <c r="K9956" t="s">
        <v>1357</v>
      </c>
      <c r="L9956" t="s">
        <v>1357</v>
      </c>
    </row>
    <row r="9957" spans="8:12">
      <c r="H9957" t="s">
        <v>21618</v>
      </c>
      <c r="I9957" t="s">
        <v>1357</v>
      </c>
      <c r="J9957" t="s">
        <v>1357</v>
      </c>
      <c r="K9957" t="s">
        <v>1357</v>
      </c>
      <c r="L9957" t="s">
        <v>1357</v>
      </c>
    </row>
    <row r="9958" spans="8:12">
      <c r="H9958" t="s">
        <v>21619</v>
      </c>
      <c r="I9958" t="s">
        <v>1357</v>
      </c>
      <c r="J9958" t="s">
        <v>1357</v>
      </c>
      <c r="K9958" t="s">
        <v>1357</v>
      </c>
      <c r="L9958" t="s">
        <v>1357</v>
      </c>
    </row>
    <row r="9959" spans="8:12">
      <c r="H9959" t="s">
        <v>21620</v>
      </c>
      <c r="I9959" t="s">
        <v>1357</v>
      </c>
      <c r="J9959" t="s">
        <v>1357</v>
      </c>
      <c r="K9959" t="s">
        <v>1357</v>
      </c>
      <c r="L9959" t="s">
        <v>1357</v>
      </c>
    </row>
    <row r="9960" spans="8:12">
      <c r="H9960" t="s">
        <v>21621</v>
      </c>
      <c r="I9960" t="s">
        <v>1357</v>
      </c>
      <c r="J9960" t="s">
        <v>1357</v>
      </c>
      <c r="K9960" t="s">
        <v>1357</v>
      </c>
      <c r="L9960" t="s">
        <v>1357</v>
      </c>
    </row>
    <row r="9961" spans="8:12">
      <c r="H9961" t="s">
        <v>21622</v>
      </c>
      <c r="I9961" t="s">
        <v>1357</v>
      </c>
      <c r="J9961" t="s">
        <v>1357</v>
      </c>
      <c r="K9961" t="s">
        <v>1357</v>
      </c>
      <c r="L9961" t="s">
        <v>1357</v>
      </c>
    </row>
    <row r="9962" spans="8:12">
      <c r="H9962" t="s">
        <v>21623</v>
      </c>
      <c r="I9962" t="s">
        <v>1357</v>
      </c>
      <c r="J9962" t="s">
        <v>1357</v>
      </c>
      <c r="K9962" t="s">
        <v>1357</v>
      </c>
      <c r="L9962" t="s">
        <v>1357</v>
      </c>
    </row>
    <row r="9963" spans="8:12">
      <c r="H9963" t="s">
        <v>21624</v>
      </c>
      <c r="I9963" t="s">
        <v>1357</v>
      </c>
      <c r="J9963" t="s">
        <v>1357</v>
      </c>
      <c r="K9963" t="s">
        <v>1357</v>
      </c>
      <c r="L9963" t="s">
        <v>1357</v>
      </c>
    </row>
    <row r="9964" spans="8:12">
      <c r="H9964" t="s">
        <v>21625</v>
      </c>
      <c r="I9964" t="s">
        <v>1357</v>
      </c>
      <c r="J9964" t="s">
        <v>1357</v>
      </c>
      <c r="K9964" t="s">
        <v>1357</v>
      </c>
      <c r="L9964" t="s">
        <v>1357</v>
      </c>
    </row>
    <row r="9965" spans="8:12">
      <c r="H9965" t="s">
        <v>21626</v>
      </c>
      <c r="I9965" t="s">
        <v>1357</v>
      </c>
      <c r="J9965" t="s">
        <v>1357</v>
      </c>
      <c r="K9965" t="s">
        <v>1357</v>
      </c>
      <c r="L9965" t="s">
        <v>1357</v>
      </c>
    </row>
    <row r="9966" spans="8:12">
      <c r="H9966" t="s">
        <v>21627</v>
      </c>
      <c r="I9966" t="s">
        <v>1357</v>
      </c>
      <c r="J9966" t="s">
        <v>1357</v>
      </c>
      <c r="K9966" t="s">
        <v>1357</v>
      </c>
      <c r="L9966" t="s">
        <v>1357</v>
      </c>
    </row>
    <row r="9967" spans="8:12">
      <c r="H9967" t="s">
        <v>21628</v>
      </c>
      <c r="I9967" t="s">
        <v>1357</v>
      </c>
      <c r="J9967" t="s">
        <v>1357</v>
      </c>
      <c r="K9967" t="s">
        <v>1357</v>
      </c>
      <c r="L9967" t="s">
        <v>1357</v>
      </c>
    </row>
    <row r="9968" spans="8:12">
      <c r="H9968" t="s">
        <v>21629</v>
      </c>
      <c r="I9968" t="s">
        <v>1357</v>
      </c>
      <c r="J9968" t="s">
        <v>1357</v>
      </c>
      <c r="K9968" t="s">
        <v>1357</v>
      </c>
      <c r="L9968" t="s">
        <v>1357</v>
      </c>
    </row>
    <row r="9969" spans="8:12">
      <c r="H9969" t="s">
        <v>21630</v>
      </c>
      <c r="I9969" t="s">
        <v>1357</v>
      </c>
      <c r="J9969" t="s">
        <v>1357</v>
      </c>
      <c r="K9969" t="s">
        <v>1357</v>
      </c>
      <c r="L9969" t="s">
        <v>1357</v>
      </c>
    </row>
    <row r="9970" spans="8:12">
      <c r="H9970" t="s">
        <v>21631</v>
      </c>
      <c r="I9970" t="s">
        <v>1357</v>
      </c>
      <c r="J9970" t="s">
        <v>1357</v>
      </c>
      <c r="K9970" t="s">
        <v>1357</v>
      </c>
      <c r="L9970" t="s">
        <v>1357</v>
      </c>
    </row>
    <row r="9971" spans="8:12">
      <c r="H9971" t="s">
        <v>21632</v>
      </c>
      <c r="I9971" t="s">
        <v>1357</v>
      </c>
      <c r="J9971" t="s">
        <v>1357</v>
      </c>
      <c r="K9971" t="s">
        <v>1357</v>
      </c>
      <c r="L9971" t="s">
        <v>1357</v>
      </c>
    </row>
    <row r="9972" spans="8:12">
      <c r="H9972" t="s">
        <v>21633</v>
      </c>
      <c r="I9972" t="s">
        <v>1357</v>
      </c>
      <c r="J9972" t="s">
        <v>1357</v>
      </c>
      <c r="K9972" t="s">
        <v>1357</v>
      </c>
      <c r="L9972" t="s">
        <v>1357</v>
      </c>
    </row>
    <row r="9973" spans="8:12">
      <c r="H9973" t="s">
        <v>21634</v>
      </c>
      <c r="I9973" t="s">
        <v>1357</v>
      </c>
      <c r="J9973" t="s">
        <v>1357</v>
      </c>
      <c r="K9973" t="s">
        <v>1357</v>
      </c>
      <c r="L9973" t="s">
        <v>1357</v>
      </c>
    </row>
    <row r="9974" spans="8:12">
      <c r="H9974" t="s">
        <v>21635</v>
      </c>
      <c r="I9974" t="s">
        <v>1357</v>
      </c>
      <c r="J9974" t="s">
        <v>1357</v>
      </c>
      <c r="K9974" t="s">
        <v>1357</v>
      </c>
      <c r="L9974" t="s">
        <v>1357</v>
      </c>
    </row>
    <row r="9975" spans="8:12">
      <c r="H9975" t="s">
        <v>21636</v>
      </c>
      <c r="I9975" t="s">
        <v>1357</v>
      </c>
      <c r="J9975" t="s">
        <v>1357</v>
      </c>
      <c r="K9975" t="s">
        <v>1357</v>
      </c>
      <c r="L9975" t="s">
        <v>1357</v>
      </c>
    </row>
    <row r="9976" spans="8:12">
      <c r="H9976" t="s">
        <v>21637</v>
      </c>
      <c r="I9976" t="s">
        <v>1357</v>
      </c>
      <c r="J9976" t="s">
        <v>1357</v>
      </c>
      <c r="K9976" t="s">
        <v>1357</v>
      </c>
      <c r="L9976" t="s">
        <v>1357</v>
      </c>
    </row>
    <row r="9977" spans="8:12">
      <c r="H9977" t="s">
        <v>21638</v>
      </c>
      <c r="I9977" t="s">
        <v>1357</v>
      </c>
      <c r="J9977" t="s">
        <v>1357</v>
      </c>
      <c r="K9977" t="s">
        <v>1357</v>
      </c>
      <c r="L9977" t="s">
        <v>1357</v>
      </c>
    </row>
    <row r="9978" spans="8:12">
      <c r="H9978" t="s">
        <v>21639</v>
      </c>
      <c r="I9978" t="s">
        <v>1357</v>
      </c>
      <c r="J9978" t="s">
        <v>1357</v>
      </c>
      <c r="K9978" t="s">
        <v>1357</v>
      </c>
      <c r="L9978" t="s">
        <v>1357</v>
      </c>
    </row>
    <row r="9979" spans="8:12">
      <c r="H9979" t="s">
        <v>21640</v>
      </c>
      <c r="I9979" t="s">
        <v>1357</v>
      </c>
      <c r="J9979" t="s">
        <v>1357</v>
      </c>
      <c r="K9979" t="s">
        <v>1357</v>
      </c>
      <c r="L9979" t="s">
        <v>1357</v>
      </c>
    </row>
    <row r="9980" spans="8:12">
      <c r="H9980" t="s">
        <v>21641</v>
      </c>
      <c r="I9980" t="s">
        <v>1357</v>
      </c>
      <c r="J9980" t="s">
        <v>1357</v>
      </c>
      <c r="K9980" t="s">
        <v>1357</v>
      </c>
      <c r="L9980" t="s">
        <v>1357</v>
      </c>
    </row>
    <row r="9981" spans="8:12">
      <c r="H9981" t="s">
        <v>21642</v>
      </c>
      <c r="I9981" t="s">
        <v>1357</v>
      </c>
      <c r="J9981" t="s">
        <v>1357</v>
      </c>
      <c r="K9981" t="s">
        <v>1357</v>
      </c>
      <c r="L9981" t="s">
        <v>1357</v>
      </c>
    </row>
    <row r="9982" spans="8:12">
      <c r="H9982" t="s">
        <v>21643</v>
      </c>
      <c r="I9982" t="s">
        <v>1357</v>
      </c>
      <c r="J9982" t="s">
        <v>1357</v>
      </c>
      <c r="K9982" t="s">
        <v>1357</v>
      </c>
      <c r="L9982" t="s">
        <v>1357</v>
      </c>
    </row>
    <row r="9983" spans="8:12">
      <c r="H9983" t="s">
        <v>21644</v>
      </c>
      <c r="I9983" t="s">
        <v>1357</v>
      </c>
      <c r="J9983" t="s">
        <v>1357</v>
      </c>
      <c r="K9983" t="s">
        <v>1357</v>
      </c>
      <c r="L9983" t="s">
        <v>1357</v>
      </c>
    </row>
    <row r="9984" spans="8:12">
      <c r="H9984" t="s">
        <v>21645</v>
      </c>
      <c r="I9984" t="s">
        <v>1357</v>
      </c>
      <c r="J9984" t="s">
        <v>1357</v>
      </c>
      <c r="K9984" t="s">
        <v>1357</v>
      </c>
      <c r="L9984" t="s">
        <v>1357</v>
      </c>
    </row>
    <row r="9985" spans="8:12">
      <c r="H9985" t="s">
        <v>21646</v>
      </c>
      <c r="I9985" t="s">
        <v>1357</v>
      </c>
      <c r="J9985" t="s">
        <v>1357</v>
      </c>
      <c r="K9985" t="s">
        <v>1357</v>
      </c>
      <c r="L9985" t="s">
        <v>1357</v>
      </c>
    </row>
    <row r="9986" spans="8:12">
      <c r="H9986" t="s">
        <v>21647</v>
      </c>
      <c r="I9986" t="s">
        <v>1357</v>
      </c>
      <c r="J9986" t="s">
        <v>1357</v>
      </c>
      <c r="K9986" t="s">
        <v>1357</v>
      </c>
      <c r="L9986" t="s">
        <v>1357</v>
      </c>
    </row>
    <row r="9987" spans="8:12">
      <c r="H9987" t="s">
        <v>21648</v>
      </c>
      <c r="I9987" t="s">
        <v>1357</v>
      </c>
      <c r="J9987" t="s">
        <v>1357</v>
      </c>
      <c r="K9987" t="s">
        <v>1357</v>
      </c>
      <c r="L9987" t="s">
        <v>1357</v>
      </c>
    </row>
    <row r="9988" spans="8:12">
      <c r="H9988" t="s">
        <v>21649</v>
      </c>
      <c r="I9988" t="s">
        <v>1357</v>
      </c>
      <c r="J9988" t="s">
        <v>1357</v>
      </c>
      <c r="K9988" t="s">
        <v>1357</v>
      </c>
      <c r="L9988" t="s">
        <v>1357</v>
      </c>
    </row>
    <row r="9989" spans="8:12">
      <c r="H9989" t="s">
        <v>21650</v>
      </c>
      <c r="I9989" t="s">
        <v>1357</v>
      </c>
      <c r="J9989" t="s">
        <v>1357</v>
      </c>
      <c r="K9989" t="s">
        <v>1357</v>
      </c>
      <c r="L9989" t="s">
        <v>1357</v>
      </c>
    </row>
    <row r="9990" spans="8:12">
      <c r="H9990" t="s">
        <v>21651</v>
      </c>
      <c r="I9990" t="s">
        <v>1357</v>
      </c>
      <c r="J9990" t="s">
        <v>1357</v>
      </c>
      <c r="K9990" t="s">
        <v>1357</v>
      </c>
      <c r="L9990" t="s">
        <v>1357</v>
      </c>
    </row>
    <row r="9991" spans="8:12">
      <c r="H9991" t="s">
        <v>21652</v>
      </c>
      <c r="I9991" t="s">
        <v>1357</v>
      </c>
      <c r="J9991" t="s">
        <v>1357</v>
      </c>
      <c r="K9991" t="s">
        <v>1357</v>
      </c>
      <c r="L9991" t="s">
        <v>1357</v>
      </c>
    </row>
    <row r="9992" spans="8:12">
      <c r="H9992" t="s">
        <v>21653</v>
      </c>
      <c r="I9992" t="s">
        <v>1357</v>
      </c>
      <c r="J9992" t="s">
        <v>1357</v>
      </c>
      <c r="K9992" t="s">
        <v>1357</v>
      </c>
      <c r="L9992" t="s">
        <v>1357</v>
      </c>
    </row>
    <row r="9993" spans="8:12">
      <c r="H9993" t="s">
        <v>21654</v>
      </c>
      <c r="I9993" t="s">
        <v>1357</v>
      </c>
      <c r="J9993" t="s">
        <v>1357</v>
      </c>
      <c r="K9993" t="s">
        <v>1357</v>
      </c>
      <c r="L9993" t="s">
        <v>1357</v>
      </c>
    </row>
    <row r="9994" spans="8:12">
      <c r="H9994" t="s">
        <v>21655</v>
      </c>
      <c r="I9994" t="s">
        <v>1357</v>
      </c>
      <c r="J9994" t="s">
        <v>1357</v>
      </c>
      <c r="K9994" t="s">
        <v>1357</v>
      </c>
      <c r="L9994" t="s">
        <v>1357</v>
      </c>
    </row>
    <row r="9995" spans="8:12">
      <c r="H9995" t="s">
        <v>21656</v>
      </c>
      <c r="I9995" t="s">
        <v>1357</v>
      </c>
      <c r="J9995" t="s">
        <v>1357</v>
      </c>
      <c r="K9995" t="s">
        <v>1357</v>
      </c>
      <c r="L9995" t="s">
        <v>1357</v>
      </c>
    </row>
    <row r="9996" spans="8:12">
      <c r="H9996" t="s">
        <v>21657</v>
      </c>
      <c r="I9996" t="s">
        <v>1357</v>
      </c>
      <c r="J9996" t="s">
        <v>1357</v>
      </c>
      <c r="K9996" t="s">
        <v>1357</v>
      </c>
      <c r="L9996" t="s">
        <v>1357</v>
      </c>
    </row>
    <row r="9997" spans="8:12">
      <c r="H9997" t="s">
        <v>21658</v>
      </c>
      <c r="I9997" t="s">
        <v>1357</v>
      </c>
      <c r="J9997" t="s">
        <v>1357</v>
      </c>
      <c r="K9997" t="s">
        <v>1357</v>
      </c>
      <c r="L9997" t="s">
        <v>1357</v>
      </c>
    </row>
    <row r="9998" spans="8:12">
      <c r="H9998" t="s">
        <v>21659</v>
      </c>
      <c r="I9998" t="s">
        <v>1357</v>
      </c>
      <c r="J9998" t="s">
        <v>1357</v>
      </c>
      <c r="K9998" t="s">
        <v>1357</v>
      </c>
      <c r="L9998" t="s">
        <v>1357</v>
      </c>
    </row>
    <row r="9999" spans="8:12">
      <c r="H9999" t="s">
        <v>21660</v>
      </c>
      <c r="I9999" t="s">
        <v>1357</v>
      </c>
      <c r="J9999" t="s">
        <v>1357</v>
      </c>
      <c r="K9999" t="s">
        <v>1357</v>
      </c>
      <c r="L9999" t="s">
        <v>1357</v>
      </c>
    </row>
    <row r="10000" spans="8:12">
      <c r="H10000" t="s">
        <v>21661</v>
      </c>
      <c r="I10000" t="s">
        <v>1357</v>
      </c>
      <c r="J10000" t="s">
        <v>1357</v>
      </c>
      <c r="K10000" t="s">
        <v>1357</v>
      </c>
      <c r="L10000" t="s">
        <v>1357</v>
      </c>
    </row>
    <row r="10001" spans="8:12">
      <c r="H10001" t="s">
        <v>21662</v>
      </c>
      <c r="I10001" t="s">
        <v>1357</v>
      </c>
      <c r="J10001" t="s">
        <v>1357</v>
      </c>
      <c r="K10001" t="s">
        <v>1357</v>
      </c>
      <c r="L10001" t="s">
        <v>1357</v>
      </c>
    </row>
    <row r="10002" spans="8:12">
      <c r="H10002" t="s">
        <v>21663</v>
      </c>
      <c r="I10002" t="s">
        <v>1357</v>
      </c>
      <c r="J10002" t="s">
        <v>1357</v>
      </c>
      <c r="K10002" t="s">
        <v>1357</v>
      </c>
      <c r="L10002" t="s">
        <v>1357</v>
      </c>
    </row>
    <row r="10003" spans="8:12">
      <c r="H10003" t="s">
        <v>21664</v>
      </c>
      <c r="I10003" t="s">
        <v>1357</v>
      </c>
      <c r="J10003" t="s">
        <v>1357</v>
      </c>
      <c r="K10003" t="s">
        <v>1357</v>
      </c>
      <c r="L10003" t="s">
        <v>1357</v>
      </c>
    </row>
    <row r="10004" spans="8:12">
      <c r="H10004" t="s">
        <v>21665</v>
      </c>
      <c r="I10004" t="s">
        <v>1357</v>
      </c>
      <c r="J10004" t="s">
        <v>1357</v>
      </c>
      <c r="K10004" t="s">
        <v>1357</v>
      </c>
      <c r="L10004" t="s">
        <v>1357</v>
      </c>
    </row>
    <row r="10005" spans="8:12">
      <c r="H10005" t="s">
        <v>21666</v>
      </c>
      <c r="I10005" t="s">
        <v>1357</v>
      </c>
      <c r="J10005" t="s">
        <v>1357</v>
      </c>
      <c r="K10005" t="s">
        <v>1357</v>
      </c>
      <c r="L10005" t="s">
        <v>1357</v>
      </c>
    </row>
    <row r="10006" spans="8:12">
      <c r="H10006" t="s">
        <v>21667</v>
      </c>
      <c r="I10006" t="s">
        <v>1357</v>
      </c>
      <c r="J10006" t="s">
        <v>1357</v>
      </c>
      <c r="K10006" t="s">
        <v>1357</v>
      </c>
      <c r="L10006" t="s">
        <v>1357</v>
      </c>
    </row>
    <row r="10007" spans="8:12">
      <c r="H10007" t="s">
        <v>21668</v>
      </c>
      <c r="I10007" t="s">
        <v>1357</v>
      </c>
      <c r="J10007" t="s">
        <v>1357</v>
      </c>
      <c r="K10007" t="s">
        <v>1357</v>
      </c>
      <c r="L10007" t="s">
        <v>1357</v>
      </c>
    </row>
    <row r="10008" spans="8:12">
      <c r="H10008" t="s">
        <v>21669</v>
      </c>
      <c r="I10008" t="s">
        <v>1357</v>
      </c>
      <c r="J10008" t="s">
        <v>1357</v>
      </c>
      <c r="K10008" t="s">
        <v>1357</v>
      </c>
      <c r="L10008" t="s">
        <v>1357</v>
      </c>
    </row>
    <row r="10009" spans="8:12">
      <c r="H10009" t="s">
        <v>21670</v>
      </c>
      <c r="I10009" t="s">
        <v>1357</v>
      </c>
      <c r="J10009" t="s">
        <v>1357</v>
      </c>
      <c r="K10009" t="s">
        <v>1357</v>
      </c>
      <c r="L10009" t="s">
        <v>1357</v>
      </c>
    </row>
    <row r="10010" spans="8:12">
      <c r="H10010" t="s">
        <v>21671</v>
      </c>
      <c r="I10010" t="s">
        <v>1357</v>
      </c>
      <c r="J10010" t="s">
        <v>1357</v>
      </c>
      <c r="K10010" t="s">
        <v>1357</v>
      </c>
      <c r="L10010" t="s">
        <v>1357</v>
      </c>
    </row>
    <row r="10011" spans="8:12">
      <c r="H10011" t="s">
        <v>21672</v>
      </c>
      <c r="I10011" t="s">
        <v>1357</v>
      </c>
      <c r="J10011" t="s">
        <v>1357</v>
      </c>
      <c r="K10011" t="s">
        <v>1357</v>
      </c>
      <c r="L10011" t="s">
        <v>1357</v>
      </c>
    </row>
    <row r="10012" spans="8:12">
      <c r="H10012" t="s">
        <v>21673</v>
      </c>
      <c r="I10012" t="s">
        <v>1357</v>
      </c>
      <c r="J10012" t="s">
        <v>1357</v>
      </c>
      <c r="K10012" t="s">
        <v>1357</v>
      </c>
      <c r="L10012" t="s">
        <v>1357</v>
      </c>
    </row>
    <row r="10013" spans="8:12">
      <c r="H10013" t="s">
        <v>21674</v>
      </c>
      <c r="I10013" t="s">
        <v>1357</v>
      </c>
      <c r="J10013" t="s">
        <v>1357</v>
      </c>
      <c r="K10013" t="s">
        <v>1357</v>
      </c>
      <c r="L10013" t="s">
        <v>1357</v>
      </c>
    </row>
    <row r="10014" spans="8:12">
      <c r="H10014" t="s">
        <v>21675</v>
      </c>
      <c r="I10014" t="s">
        <v>1357</v>
      </c>
      <c r="J10014" t="s">
        <v>1357</v>
      </c>
      <c r="K10014" t="s">
        <v>1357</v>
      </c>
      <c r="L10014" t="s">
        <v>1357</v>
      </c>
    </row>
    <row r="10015" spans="8:12">
      <c r="H10015" t="s">
        <v>21676</v>
      </c>
      <c r="I10015" t="s">
        <v>1357</v>
      </c>
      <c r="J10015" t="s">
        <v>1357</v>
      </c>
      <c r="K10015" t="s">
        <v>1357</v>
      </c>
      <c r="L10015" t="s">
        <v>1357</v>
      </c>
    </row>
    <row r="10016" spans="8:12">
      <c r="H10016" t="s">
        <v>21677</v>
      </c>
      <c r="I10016" t="s">
        <v>1357</v>
      </c>
      <c r="J10016" t="s">
        <v>1357</v>
      </c>
      <c r="K10016" t="s">
        <v>1357</v>
      </c>
      <c r="L10016" t="s">
        <v>1357</v>
      </c>
    </row>
    <row r="10017" spans="8:12">
      <c r="H10017" t="s">
        <v>21678</v>
      </c>
      <c r="I10017" t="s">
        <v>1357</v>
      </c>
      <c r="J10017" t="s">
        <v>1357</v>
      </c>
      <c r="K10017" t="s">
        <v>1357</v>
      </c>
      <c r="L10017" t="s">
        <v>1357</v>
      </c>
    </row>
    <row r="10018" spans="8:12">
      <c r="H10018" t="s">
        <v>21679</v>
      </c>
      <c r="I10018" t="s">
        <v>1357</v>
      </c>
      <c r="J10018" t="s">
        <v>1357</v>
      </c>
      <c r="K10018" t="s">
        <v>1357</v>
      </c>
      <c r="L10018" t="s">
        <v>1357</v>
      </c>
    </row>
    <row r="10019" spans="8:12">
      <c r="H10019" t="s">
        <v>21680</v>
      </c>
      <c r="I10019" t="s">
        <v>1357</v>
      </c>
      <c r="J10019" t="s">
        <v>1357</v>
      </c>
      <c r="K10019" t="s">
        <v>1357</v>
      </c>
      <c r="L10019" t="s">
        <v>1357</v>
      </c>
    </row>
    <row r="10020" spans="8:12">
      <c r="H10020" t="s">
        <v>21681</v>
      </c>
      <c r="I10020" t="s">
        <v>1357</v>
      </c>
      <c r="J10020" t="s">
        <v>1357</v>
      </c>
      <c r="K10020" t="s">
        <v>1357</v>
      </c>
      <c r="L10020" t="s">
        <v>1357</v>
      </c>
    </row>
    <row r="10021" spans="8:12">
      <c r="H10021" t="s">
        <v>21682</v>
      </c>
      <c r="I10021" t="s">
        <v>1357</v>
      </c>
      <c r="J10021" t="s">
        <v>1357</v>
      </c>
      <c r="K10021" t="s">
        <v>1357</v>
      </c>
      <c r="L10021" t="s">
        <v>1357</v>
      </c>
    </row>
    <row r="10022" spans="8:12">
      <c r="H10022" t="s">
        <v>21683</v>
      </c>
      <c r="I10022" t="s">
        <v>1357</v>
      </c>
      <c r="J10022" t="s">
        <v>1357</v>
      </c>
      <c r="K10022" t="s">
        <v>1357</v>
      </c>
      <c r="L10022" t="s">
        <v>1357</v>
      </c>
    </row>
    <row r="10023" spans="8:12">
      <c r="H10023" t="s">
        <v>21684</v>
      </c>
      <c r="I10023" t="s">
        <v>1357</v>
      </c>
      <c r="J10023" t="s">
        <v>1357</v>
      </c>
      <c r="K10023" t="s">
        <v>1357</v>
      </c>
      <c r="L10023" t="s">
        <v>1357</v>
      </c>
    </row>
    <row r="10024" spans="8:12">
      <c r="H10024" t="s">
        <v>21685</v>
      </c>
      <c r="I10024" t="s">
        <v>1357</v>
      </c>
      <c r="J10024" t="s">
        <v>1357</v>
      </c>
      <c r="K10024" t="s">
        <v>1357</v>
      </c>
      <c r="L10024" t="s">
        <v>1357</v>
      </c>
    </row>
    <row r="10025" spans="8:12">
      <c r="H10025" t="s">
        <v>21686</v>
      </c>
      <c r="I10025" t="s">
        <v>1357</v>
      </c>
      <c r="J10025" t="s">
        <v>1357</v>
      </c>
      <c r="K10025" t="s">
        <v>1357</v>
      </c>
      <c r="L10025" t="s">
        <v>1357</v>
      </c>
    </row>
    <row r="10026" spans="8:12">
      <c r="H10026" t="s">
        <v>21687</v>
      </c>
      <c r="I10026" t="s">
        <v>1357</v>
      </c>
      <c r="J10026" t="s">
        <v>1357</v>
      </c>
      <c r="K10026" t="s">
        <v>1357</v>
      </c>
      <c r="L10026" t="s">
        <v>1357</v>
      </c>
    </row>
    <row r="10027" spans="8:12">
      <c r="H10027" t="s">
        <v>21688</v>
      </c>
      <c r="I10027" t="s">
        <v>1357</v>
      </c>
      <c r="J10027" t="s">
        <v>1357</v>
      </c>
      <c r="K10027" t="s">
        <v>1357</v>
      </c>
      <c r="L10027" t="s">
        <v>1357</v>
      </c>
    </row>
    <row r="10028" spans="8:12">
      <c r="H10028" t="s">
        <v>21689</v>
      </c>
      <c r="I10028" t="s">
        <v>1357</v>
      </c>
      <c r="J10028" t="s">
        <v>1357</v>
      </c>
      <c r="K10028" t="s">
        <v>1357</v>
      </c>
      <c r="L10028" t="s">
        <v>1357</v>
      </c>
    </row>
    <row r="10029" spans="8:12">
      <c r="H10029" t="s">
        <v>21690</v>
      </c>
      <c r="I10029" t="s">
        <v>1357</v>
      </c>
      <c r="J10029" t="s">
        <v>1357</v>
      </c>
      <c r="K10029" t="s">
        <v>1357</v>
      </c>
      <c r="L10029" t="s">
        <v>1357</v>
      </c>
    </row>
    <row r="10030" spans="8:12">
      <c r="H10030" t="s">
        <v>21691</v>
      </c>
      <c r="I10030" t="s">
        <v>1357</v>
      </c>
      <c r="J10030" t="s">
        <v>1357</v>
      </c>
      <c r="K10030" t="s">
        <v>1357</v>
      </c>
      <c r="L10030" t="s">
        <v>1357</v>
      </c>
    </row>
    <row r="10031" spans="8:12">
      <c r="H10031" t="s">
        <v>21692</v>
      </c>
      <c r="I10031" t="s">
        <v>1357</v>
      </c>
      <c r="J10031" t="s">
        <v>1357</v>
      </c>
      <c r="K10031" t="s">
        <v>1357</v>
      </c>
      <c r="L10031" t="s">
        <v>1357</v>
      </c>
    </row>
    <row r="10032" spans="8:12">
      <c r="H10032" t="s">
        <v>21693</v>
      </c>
      <c r="I10032" t="s">
        <v>1357</v>
      </c>
      <c r="J10032" t="s">
        <v>1357</v>
      </c>
      <c r="K10032" t="s">
        <v>1357</v>
      </c>
      <c r="L10032" t="s">
        <v>1357</v>
      </c>
    </row>
    <row r="10033" spans="8:12">
      <c r="H10033" t="s">
        <v>21694</v>
      </c>
      <c r="I10033" t="s">
        <v>1357</v>
      </c>
      <c r="J10033" t="s">
        <v>1357</v>
      </c>
      <c r="K10033" t="s">
        <v>1357</v>
      </c>
      <c r="L10033" t="s">
        <v>1357</v>
      </c>
    </row>
    <row r="10034" spans="8:12">
      <c r="H10034" t="s">
        <v>21695</v>
      </c>
      <c r="I10034" t="s">
        <v>1357</v>
      </c>
      <c r="J10034" t="s">
        <v>1357</v>
      </c>
      <c r="K10034" t="s">
        <v>1357</v>
      </c>
      <c r="L10034" t="s">
        <v>1357</v>
      </c>
    </row>
    <row r="10035" spans="8:12">
      <c r="H10035" t="s">
        <v>21696</v>
      </c>
      <c r="I10035" t="s">
        <v>1357</v>
      </c>
      <c r="J10035" t="s">
        <v>1357</v>
      </c>
      <c r="K10035" t="s">
        <v>1357</v>
      </c>
      <c r="L10035" t="s">
        <v>1357</v>
      </c>
    </row>
    <row r="10036" spans="8:12">
      <c r="H10036" t="s">
        <v>21697</v>
      </c>
      <c r="I10036" t="s">
        <v>1357</v>
      </c>
      <c r="J10036" t="s">
        <v>1357</v>
      </c>
      <c r="K10036" t="s">
        <v>1357</v>
      </c>
      <c r="L10036" t="s">
        <v>1357</v>
      </c>
    </row>
    <row r="10037" spans="8:12">
      <c r="H10037" t="s">
        <v>21698</v>
      </c>
      <c r="I10037" t="s">
        <v>1357</v>
      </c>
      <c r="J10037" t="s">
        <v>1357</v>
      </c>
      <c r="K10037" t="s">
        <v>1357</v>
      </c>
      <c r="L10037" t="s">
        <v>1357</v>
      </c>
    </row>
    <row r="10038" spans="8:12">
      <c r="H10038" t="s">
        <v>21699</v>
      </c>
      <c r="I10038" t="s">
        <v>1357</v>
      </c>
      <c r="J10038" t="s">
        <v>1357</v>
      </c>
      <c r="K10038" t="s">
        <v>1357</v>
      </c>
      <c r="L10038" t="s">
        <v>1357</v>
      </c>
    </row>
    <row r="10039" spans="8:12">
      <c r="H10039" t="s">
        <v>21700</v>
      </c>
      <c r="I10039" t="s">
        <v>1357</v>
      </c>
      <c r="J10039" t="s">
        <v>1357</v>
      </c>
      <c r="K10039" t="s">
        <v>1357</v>
      </c>
      <c r="L10039" t="s">
        <v>1357</v>
      </c>
    </row>
    <row r="10040" spans="8:12">
      <c r="H10040" t="s">
        <v>21701</v>
      </c>
      <c r="I10040" t="s">
        <v>1357</v>
      </c>
      <c r="J10040" t="s">
        <v>1357</v>
      </c>
      <c r="K10040" t="s">
        <v>1357</v>
      </c>
      <c r="L10040" t="s">
        <v>1357</v>
      </c>
    </row>
    <row r="10041" spans="8:12">
      <c r="H10041" t="s">
        <v>21702</v>
      </c>
      <c r="I10041" t="s">
        <v>1357</v>
      </c>
      <c r="J10041" t="s">
        <v>1357</v>
      </c>
      <c r="K10041" t="s">
        <v>1357</v>
      </c>
      <c r="L10041" t="s">
        <v>1357</v>
      </c>
    </row>
    <row r="10042" spans="8:12">
      <c r="H10042" t="s">
        <v>21703</v>
      </c>
      <c r="I10042" t="s">
        <v>1357</v>
      </c>
      <c r="J10042" t="s">
        <v>1357</v>
      </c>
      <c r="K10042" t="s">
        <v>1357</v>
      </c>
      <c r="L10042" t="s">
        <v>1357</v>
      </c>
    </row>
    <row r="10043" spans="8:12">
      <c r="H10043" t="s">
        <v>21704</v>
      </c>
      <c r="I10043" t="s">
        <v>1357</v>
      </c>
      <c r="J10043" t="s">
        <v>1357</v>
      </c>
      <c r="K10043" t="s">
        <v>1357</v>
      </c>
      <c r="L10043" t="s">
        <v>1357</v>
      </c>
    </row>
    <row r="10044" spans="8:12">
      <c r="H10044" t="s">
        <v>21705</v>
      </c>
      <c r="I10044" t="s">
        <v>1357</v>
      </c>
      <c r="J10044" t="s">
        <v>1357</v>
      </c>
      <c r="K10044" t="s">
        <v>1357</v>
      </c>
      <c r="L10044" t="s">
        <v>1357</v>
      </c>
    </row>
    <row r="10045" spans="8:12">
      <c r="H10045" t="s">
        <v>21706</v>
      </c>
      <c r="I10045" t="s">
        <v>1357</v>
      </c>
      <c r="J10045" t="s">
        <v>1357</v>
      </c>
      <c r="K10045" t="s">
        <v>1357</v>
      </c>
      <c r="L10045" t="s">
        <v>1357</v>
      </c>
    </row>
    <row r="10046" spans="8:12">
      <c r="H10046" t="s">
        <v>21707</v>
      </c>
      <c r="I10046" t="s">
        <v>1357</v>
      </c>
      <c r="J10046" t="s">
        <v>1357</v>
      </c>
      <c r="K10046" t="s">
        <v>1357</v>
      </c>
      <c r="L10046" t="s">
        <v>1357</v>
      </c>
    </row>
    <row r="10047" spans="8:12">
      <c r="H10047" t="s">
        <v>21708</v>
      </c>
      <c r="I10047" t="s">
        <v>1357</v>
      </c>
      <c r="J10047" t="s">
        <v>1357</v>
      </c>
      <c r="K10047" t="s">
        <v>1357</v>
      </c>
      <c r="L10047" t="s">
        <v>1357</v>
      </c>
    </row>
    <row r="10048" spans="8:12">
      <c r="H10048" t="s">
        <v>21709</v>
      </c>
      <c r="I10048" t="s">
        <v>1357</v>
      </c>
      <c r="J10048" t="s">
        <v>1357</v>
      </c>
      <c r="K10048" t="s">
        <v>1357</v>
      </c>
      <c r="L10048" t="s">
        <v>1357</v>
      </c>
    </row>
    <row r="10049" spans="1:12">
      <c r="H10049" t="s">
        <v>21710</v>
      </c>
      <c r="I10049" t="s">
        <v>1357</v>
      </c>
      <c r="J10049" t="s">
        <v>1357</v>
      </c>
      <c r="K10049" t="s">
        <v>1357</v>
      </c>
      <c r="L10049" t="s">
        <v>1357</v>
      </c>
    </row>
    <row r="10050" spans="1:12">
      <c r="H10050" t="s">
        <v>21711</v>
      </c>
      <c r="I10050" t="s">
        <v>1357</v>
      </c>
      <c r="J10050" t="s">
        <v>1357</v>
      </c>
      <c r="K10050" t="s">
        <v>1357</v>
      </c>
      <c r="L10050" t="s">
        <v>1357</v>
      </c>
    </row>
    <row r="10051" spans="1:12">
      <c r="H10051" t="s">
        <v>21712</v>
      </c>
      <c r="I10051" t="s">
        <v>1357</v>
      </c>
      <c r="J10051" t="s">
        <v>1357</v>
      </c>
      <c r="K10051" t="s">
        <v>1357</v>
      </c>
      <c r="L10051" t="s">
        <v>1357</v>
      </c>
    </row>
    <row r="10052" spans="1:12">
      <c r="H10052" t="s">
        <v>21713</v>
      </c>
      <c r="I10052" t="s">
        <v>1357</v>
      </c>
      <c r="J10052" t="s">
        <v>1357</v>
      </c>
      <c r="K10052" t="s">
        <v>1357</v>
      </c>
      <c r="L10052" t="s">
        <v>1357</v>
      </c>
    </row>
    <row r="10053" spans="1:12">
      <c r="H10053" t="s">
        <v>21714</v>
      </c>
      <c r="I10053" t="s">
        <v>1357</v>
      </c>
      <c r="J10053" t="s">
        <v>1357</v>
      </c>
      <c r="K10053" t="s">
        <v>1357</v>
      </c>
      <c r="L10053" t="s">
        <v>1357</v>
      </c>
    </row>
    <row r="10054" spans="1:12">
      <c r="H10054" t="s">
        <v>21715</v>
      </c>
      <c r="I10054" t="s">
        <v>1357</v>
      </c>
      <c r="J10054" t="s">
        <v>1357</v>
      </c>
      <c r="K10054" t="s">
        <v>1357</v>
      </c>
      <c r="L10054" t="s">
        <v>1357</v>
      </c>
    </row>
    <row r="10055" spans="1:12">
      <c r="H10055" t="s">
        <v>21716</v>
      </c>
      <c r="I10055" t="s">
        <v>1357</v>
      </c>
      <c r="J10055" t="s">
        <v>1357</v>
      </c>
      <c r="K10055" t="s">
        <v>1357</v>
      </c>
      <c r="L10055" t="s">
        <v>1357</v>
      </c>
    </row>
    <row r="10056" spans="1:12">
      <c r="H10056" t="s">
        <v>21717</v>
      </c>
      <c r="I10056" t="s">
        <v>1357</v>
      </c>
      <c r="J10056" t="s">
        <v>1357</v>
      </c>
      <c r="K10056" t="s">
        <v>1357</v>
      </c>
      <c r="L10056" t="s">
        <v>1357</v>
      </c>
    </row>
    <row r="10057" spans="1:12">
      <c r="H10057" t="s">
        <v>21718</v>
      </c>
      <c r="I10057" t="s">
        <v>1357</v>
      </c>
      <c r="J10057" t="s">
        <v>1357</v>
      </c>
      <c r="K10057" t="s">
        <v>1357</v>
      </c>
      <c r="L10057" t="s">
        <v>1357</v>
      </c>
    </row>
    <row r="10058" spans="1:12">
      <c r="H10058" t="s">
        <v>21719</v>
      </c>
      <c r="I10058" t="s">
        <v>1357</v>
      </c>
      <c r="J10058" t="s">
        <v>1357</v>
      </c>
      <c r="K10058" t="s">
        <v>1357</v>
      </c>
      <c r="L10058" t="s">
        <v>1357</v>
      </c>
    </row>
    <row r="10059" spans="1:12">
      <c r="H10059" t="s">
        <v>21720</v>
      </c>
      <c r="I10059" t="s">
        <v>1357</v>
      </c>
      <c r="J10059" t="s">
        <v>1357</v>
      </c>
      <c r="K10059" t="s">
        <v>1357</v>
      </c>
      <c r="L10059" t="s">
        <v>1357</v>
      </c>
    </row>
    <row r="10060" spans="1:12">
      <c r="H10060" t="s">
        <v>21721</v>
      </c>
      <c r="I10060" t="s">
        <v>1357</v>
      </c>
      <c r="J10060" t="s">
        <v>1357</v>
      </c>
      <c r="K10060" t="s">
        <v>1357</v>
      </c>
      <c r="L10060" t="s">
        <v>1357</v>
      </c>
    </row>
    <row r="10061" spans="1:12">
      <c r="A10061" t="s">
        <v>10315</v>
      </c>
      <c r="B10061">
        <f>HYPERLINK("https://android.googlesource.com/platform/cts/+/91611e14f0e94c819be7490997c2ee15da62b609", "91611e14f0e94c819be7490997c2ee15da62b609")</f>
        <v>0</v>
      </c>
      <c r="C10061">
        <f>HYPERLINK("https://android.googlesource.com/platform/cts/+/6f810d464adad59709687428546b53a7784b92ec", "6f810d464adad59709687428546b53a7784b92ec")</f>
        <v>0</v>
      </c>
      <c r="D10061" t="s">
        <v>12074</v>
      </c>
      <c r="E10061" t="s">
        <v>12876</v>
      </c>
      <c r="F10061" t="s">
        <v>16048</v>
      </c>
      <c r="G10061" t="s">
        <v>18739</v>
      </c>
      <c r="H10061" t="s">
        <v>21722</v>
      </c>
      <c r="I10061" t="s">
        <v>1357</v>
      </c>
      <c r="J10061" t="s">
        <v>1357</v>
      </c>
      <c r="K10061" t="s">
        <v>1357</v>
      </c>
      <c r="L10061" t="s">
        <v>1357</v>
      </c>
    </row>
    <row r="10062" spans="1:12">
      <c r="A10062" t="s">
        <v>10316</v>
      </c>
      <c r="B10062">
        <f>HYPERLINK("https://android.googlesource.com/platform/cts/+/76f0d6d67fa01d4d0355fdab09429f7363c95c88", "76f0d6d67fa01d4d0355fdab09429f7363c95c88")</f>
        <v>0</v>
      </c>
      <c r="C10062">
        <f>HYPERLINK("https://android.googlesource.com/platform/cts/+/f1210482f999d58dc442d8d0717b3dfee4fcd386", "f1210482f999d58dc442d8d0717b3dfee4fcd386")</f>
        <v>0</v>
      </c>
      <c r="D10062" t="s">
        <v>12021</v>
      </c>
      <c r="E10062" t="s">
        <v>12877</v>
      </c>
      <c r="F10062" t="s">
        <v>16071</v>
      </c>
      <c r="G10062" t="s">
        <v>18761</v>
      </c>
      <c r="H10062" t="s">
        <v>21723</v>
      </c>
      <c r="I10062" t="s">
        <v>1358</v>
      </c>
      <c r="J10062" t="s">
        <v>1358</v>
      </c>
      <c r="K10062" t="s">
        <v>1358</v>
      </c>
      <c r="L10062" t="s">
        <v>1358</v>
      </c>
    </row>
    <row r="10063" spans="1:12">
      <c r="A10063" t="s">
        <v>10317</v>
      </c>
      <c r="B10063">
        <f>HYPERLINK("https://android.googlesource.com/platform/cts/+/fbdb8cba50e12f2c4a55ddde3dfb77262233b28d", "fbdb8cba50e12f2c4a55ddde3dfb77262233b28d")</f>
        <v>0</v>
      </c>
      <c r="C10063">
        <f>HYPERLINK("https://android.googlesource.com/platform/cts/+/3364cf1e0a6beaf89067a654ffc3745af31c6acd", "3364cf1e0a6beaf89067a654ffc3745af31c6acd")</f>
        <v>0</v>
      </c>
      <c r="D10063" t="s">
        <v>12037</v>
      </c>
      <c r="E10063" t="s">
        <v>12878</v>
      </c>
      <c r="F10063" t="s">
        <v>16072</v>
      </c>
      <c r="G10063" t="s">
        <v>18762</v>
      </c>
      <c r="H10063" t="s">
        <v>21724</v>
      </c>
      <c r="I10063" t="s">
        <v>1358</v>
      </c>
      <c r="J10063" t="s">
        <v>1358</v>
      </c>
      <c r="K10063" t="s">
        <v>1358</v>
      </c>
      <c r="L10063" t="s">
        <v>1358</v>
      </c>
    </row>
    <row r="10064" spans="1:12">
      <c r="A10064" t="s">
        <v>10318</v>
      </c>
      <c r="B10064">
        <f>HYPERLINK("https://android.googlesource.com/platform/cts/+/5ae19e157ee023aa6ed2af8bb88e3dafb30efd27", "5ae19e157ee023aa6ed2af8bb88e3dafb30efd27")</f>
        <v>0</v>
      </c>
      <c r="C10064">
        <f>HYPERLINK("https://android.googlesource.com/platform/cts/+/d4f6589de0cd5a2bf21bcfdbedd40ad90c2de41e", "d4f6589de0cd5a2bf21bcfdbedd40ad90c2de41e")</f>
        <v>0</v>
      </c>
      <c r="D10064" t="s">
        <v>12021</v>
      </c>
      <c r="E10064" t="s">
        <v>12879</v>
      </c>
      <c r="F10064" t="s">
        <v>16073</v>
      </c>
      <c r="G10064" t="s">
        <v>18763</v>
      </c>
      <c r="H10064" t="s">
        <v>21725</v>
      </c>
      <c r="I10064" t="s">
        <v>1357</v>
      </c>
      <c r="J10064" t="s">
        <v>1357</v>
      </c>
      <c r="K10064" t="s">
        <v>1357</v>
      </c>
      <c r="L10064" t="s">
        <v>1357</v>
      </c>
    </row>
    <row r="10065" spans="1:12">
      <c r="H10065" t="s">
        <v>21726</v>
      </c>
      <c r="I10065" t="s">
        <v>1357</v>
      </c>
      <c r="J10065" t="s">
        <v>1357</v>
      </c>
      <c r="K10065" t="s">
        <v>1357</v>
      </c>
      <c r="L10065" t="s">
        <v>1357</v>
      </c>
    </row>
    <row r="10066" spans="1:12">
      <c r="A10066" t="s">
        <v>10319</v>
      </c>
      <c r="B10066">
        <f>HYPERLINK("https://android.googlesource.com/platform/cts/+/0f50331cee4e3974ebfb3fafabe4a0ee545b5087", "0f50331cee4e3974ebfb3fafabe4a0ee545b5087")</f>
        <v>0</v>
      </c>
      <c r="C10066">
        <f>HYPERLINK("https://android.googlesource.com/platform/cts/+/9ec8a506b394d983d9b68bd2fb8c37e2abeb4a5c", "9ec8a506b394d983d9b68bd2fb8c37e2abeb4a5c")</f>
        <v>0</v>
      </c>
      <c r="D10066" t="s">
        <v>12075</v>
      </c>
      <c r="E10066" t="s">
        <v>12880</v>
      </c>
      <c r="F10066" t="s">
        <v>16029</v>
      </c>
      <c r="G10066" t="s">
        <v>18720</v>
      </c>
      <c r="H10066" t="s">
        <v>21727</v>
      </c>
      <c r="I10066" t="s">
        <v>1359</v>
      </c>
      <c r="J10066" t="s">
        <v>1358</v>
      </c>
      <c r="K10066" t="s">
        <v>1357</v>
      </c>
      <c r="L10066" t="s">
        <v>1358</v>
      </c>
    </row>
    <row r="10067" spans="1:12">
      <c r="A10067" t="s">
        <v>10320</v>
      </c>
      <c r="B10067">
        <f>HYPERLINK("https://android.googlesource.com/platform/cts/+/82396dfe4a8743748207c380ebf4a08cd9bebe29", "82396dfe4a8743748207c380ebf4a08cd9bebe29")</f>
        <v>0</v>
      </c>
      <c r="C10067">
        <f>HYPERLINK("https://android.googlesource.com/platform/cts/+/42d6f25df59b1790bcdae68ecb3b9ff90ff32c9e", "42d6f25df59b1790bcdae68ecb3b9ff90ff32c9e")</f>
        <v>0</v>
      </c>
      <c r="D10067" t="s">
        <v>12005</v>
      </c>
      <c r="E10067" t="s">
        <v>12881</v>
      </c>
      <c r="F10067" t="s">
        <v>16074</v>
      </c>
      <c r="G10067" t="s">
        <v>18764</v>
      </c>
      <c r="H10067" t="s">
        <v>21728</v>
      </c>
      <c r="I10067" t="s">
        <v>1357</v>
      </c>
      <c r="J10067" t="s">
        <v>1357</v>
      </c>
      <c r="K10067" t="s">
        <v>1357</v>
      </c>
      <c r="L10067" t="s">
        <v>1357</v>
      </c>
    </row>
    <row r="10068" spans="1:12">
      <c r="H10068" t="s">
        <v>21729</v>
      </c>
      <c r="I10068" t="s">
        <v>1357</v>
      </c>
      <c r="J10068" t="s">
        <v>1357</v>
      </c>
      <c r="K10068" t="s">
        <v>1357</v>
      </c>
      <c r="L10068" t="s">
        <v>1357</v>
      </c>
    </row>
    <row r="10069" spans="1:12">
      <c r="H10069" t="s">
        <v>21730</v>
      </c>
      <c r="I10069" t="s">
        <v>1357</v>
      </c>
      <c r="J10069" t="s">
        <v>1357</v>
      </c>
      <c r="K10069" t="s">
        <v>1357</v>
      </c>
      <c r="L10069" t="s">
        <v>1357</v>
      </c>
    </row>
    <row r="10070" spans="1:12">
      <c r="H10070" t="s">
        <v>21731</v>
      </c>
      <c r="I10070" t="s">
        <v>1357</v>
      </c>
      <c r="J10070" t="s">
        <v>1357</v>
      </c>
      <c r="K10070" t="s">
        <v>1357</v>
      </c>
      <c r="L10070" t="s">
        <v>1357</v>
      </c>
    </row>
    <row r="10071" spans="1:12">
      <c r="A10071" t="s">
        <v>10321</v>
      </c>
      <c r="B10071">
        <f>HYPERLINK("https://android.googlesource.com/platform/cts/+/0c456de8db8f4f357369a3bffae46cc259a20f7d", "0c456de8db8f4f357369a3bffae46cc259a20f7d")</f>
        <v>0</v>
      </c>
      <c r="C10071">
        <f>HYPERLINK("https://android.googlesource.com/platform/cts/+/605cfcf37b2f3e5572d491f72644741a7e2bd18d", "605cfcf37b2f3e5572d491f72644741a7e2bd18d")</f>
        <v>0</v>
      </c>
      <c r="D10071" t="s">
        <v>12076</v>
      </c>
      <c r="E10071" t="s">
        <v>12882</v>
      </c>
      <c r="F10071" t="s">
        <v>14519</v>
      </c>
      <c r="G10071" t="s">
        <v>17364</v>
      </c>
      <c r="H10071" t="s">
        <v>21732</v>
      </c>
      <c r="I10071" t="s">
        <v>1357</v>
      </c>
      <c r="J10071" t="s">
        <v>1357</v>
      </c>
      <c r="K10071" t="s">
        <v>1357</v>
      </c>
      <c r="L10071" t="s">
        <v>1357</v>
      </c>
    </row>
    <row r="10072" spans="1:12">
      <c r="A10072" t="s">
        <v>10322</v>
      </c>
      <c r="B10072">
        <f>HYPERLINK("https://android.googlesource.com/platform/cts/+/237718628c30e3ec499cecffe63fb9994afe8121", "237718628c30e3ec499cecffe63fb9994afe8121")</f>
        <v>0</v>
      </c>
      <c r="C10072">
        <f>HYPERLINK("https://android.googlesource.com/platform/cts/+/3870203c78f8c4f9c55ba0b675d52eea9880aceb", "3870203c78f8c4f9c55ba0b675d52eea9880aceb")</f>
        <v>0</v>
      </c>
      <c r="D10072" t="s">
        <v>12077</v>
      </c>
      <c r="E10072" t="s">
        <v>12883</v>
      </c>
      <c r="F10072" t="s">
        <v>16075</v>
      </c>
      <c r="G10072" t="s">
        <v>18765</v>
      </c>
      <c r="H10072" t="s">
        <v>21733</v>
      </c>
      <c r="I10072" t="s">
        <v>1357</v>
      </c>
      <c r="J10072" t="s">
        <v>1357</v>
      </c>
      <c r="K10072" t="s">
        <v>1357</v>
      </c>
      <c r="L10072" t="s">
        <v>1357</v>
      </c>
    </row>
    <row r="10073" spans="1:12">
      <c r="H10073" t="s">
        <v>21734</v>
      </c>
      <c r="I10073" t="s">
        <v>1357</v>
      </c>
      <c r="J10073" t="s">
        <v>1357</v>
      </c>
      <c r="K10073" t="s">
        <v>1357</v>
      </c>
      <c r="L10073" t="s">
        <v>1357</v>
      </c>
    </row>
    <row r="10074" spans="1:12">
      <c r="H10074" t="s">
        <v>21735</v>
      </c>
      <c r="I10074" t="s">
        <v>1357</v>
      </c>
      <c r="J10074" t="s">
        <v>1357</v>
      </c>
      <c r="K10074" t="s">
        <v>1357</v>
      </c>
      <c r="L10074" t="s">
        <v>1357</v>
      </c>
    </row>
    <row r="10075" spans="1:12">
      <c r="A10075" t="s">
        <v>10323</v>
      </c>
      <c r="B10075">
        <f>HYPERLINK("https://android.googlesource.com/platform/cts/+/4bd0ad8697cb789d227561b861c1176908de122d", "4bd0ad8697cb789d227561b861c1176908de122d")</f>
        <v>0</v>
      </c>
      <c r="C10075">
        <f>HYPERLINK("https://android.googlesource.com/platform/cts/+/d20715e02e83b45ecef83279de6a5ab321fad79b", "d20715e02e83b45ecef83279de6a5ab321fad79b")</f>
        <v>0</v>
      </c>
      <c r="D10075" t="s">
        <v>12005</v>
      </c>
      <c r="E10075" t="s">
        <v>12884</v>
      </c>
      <c r="F10075" t="s">
        <v>16076</v>
      </c>
      <c r="G10075" t="s">
        <v>18595</v>
      </c>
      <c r="H10075" t="s">
        <v>21736</v>
      </c>
      <c r="I10075" t="s">
        <v>1357</v>
      </c>
      <c r="J10075" t="s">
        <v>1357</v>
      </c>
      <c r="K10075" t="s">
        <v>1357</v>
      </c>
      <c r="L10075" t="s">
        <v>1357</v>
      </c>
    </row>
    <row r="10076" spans="1:12">
      <c r="H10076" t="s">
        <v>21737</v>
      </c>
      <c r="I10076" t="s">
        <v>1357</v>
      </c>
      <c r="J10076" t="s">
        <v>1357</v>
      </c>
      <c r="K10076" t="s">
        <v>1357</v>
      </c>
      <c r="L10076" t="s">
        <v>1357</v>
      </c>
    </row>
    <row r="10077" spans="1:12">
      <c r="H10077" t="s">
        <v>21738</v>
      </c>
      <c r="I10077" t="s">
        <v>1357</v>
      </c>
      <c r="J10077" t="s">
        <v>1357</v>
      </c>
      <c r="K10077" t="s">
        <v>1357</v>
      </c>
      <c r="L10077" t="s">
        <v>1357</v>
      </c>
    </row>
    <row r="10078" spans="1:12">
      <c r="H10078" t="s">
        <v>21739</v>
      </c>
      <c r="I10078" t="s">
        <v>1357</v>
      </c>
      <c r="J10078" t="s">
        <v>1357</v>
      </c>
      <c r="K10078" t="s">
        <v>1357</v>
      </c>
      <c r="L10078" t="s">
        <v>1357</v>
      </c>
    </row>
    <row r="10079" spans="1:12">
      <c r="H10079" t="s">
        <v>21740</v>
      </c>
      <c r="I10079" t="s">
        <v>1357</v>
      </c>
      <c r="J10079" t="s">
        <v>1357</v>
      </c>
      <c r="K10079" t="s">
        <v>1357</v>
      </c>
      <c r="L10079" t="s">
        <v>1357</v>
      </c>
    </row>
    <row r="10080" spans="1:12">
      <c r="H10080" t="s">
        <v>21741</v>
      </c>
      <c r="I10080" t="s">
        <v>1357</v>
      </c>
      <c r="J10080" t="s">
        <v>1357</v>
      </c>
      <c r="K10080" t="s">
        <v>1357</v>
      </c>
      <c r="L10080" t="s">
        <v>1357</v>
      </c>
    </row>
    <row r="10081" spans="1:13">
      <c r="H10081" t="s">
        <v>21742</v>
      </c>
      <c r="I10081" t="s">
        <v>1357</v>
      </c>
      <c r="J10081" t="s">
        <v>1357</v>
      </c>
      <c r="K10081" t="s">
        <v>1357</v>
      </c>
      <c r="L10081" t="s">
        <v>1357</v>
      </c>
      <c r="M10081" t="s">
        <v>1360</v>
      </c>
    </row>
    <row r="10082" spans="1:13">
      <c r="H10082" t="s">
        <v>21743</v>
      </c>
      <c r="I10082" t="s">
        <v>1357</v>
      </c>
      <c r="J10082" t="s">
        <v>1357</v>
      </c>
      <c r="K10082" t="s">
        <v>1357</v>
      </c>
      <c r="L10082" t="s">
        <v>1357</v>
      </c>
      <c r="M10082" t="s">
        <v>1360</v>
      </c>
    </row>
    <row r="10083" spans="1:13">
      <c r="H10083" t="s">
        <v>21744</v>
      </c>
      <c r="I10083" t="s">
        <v>1357</v>
      </c>
      <c r="J10083" t="s">
        <v>1357</v>
      </c>
      <c r="K10083" t="s">
        <v>1357</v>
      </c>
      <c r="L10083" t="s">
        <v>1357</v>
      </c>
    </row>
    <row r="10084" spans="1:13">
      <c r="H10084" t="s">
        <v>21745</v>
      </c>
      <c r="I10084" t="s">
        <v>1357</v>
      </c>
      <c r="J10084" t="s">
        <v>1357</v>
      </c>
      <c r="K10084" t="s">
        <v>1357</v>
      </c>
      <c r="L10084" t="s">
        <v>1357</v>
      </c>
    </row>
    <row r="10085" spans="1:13">
      <c r="A10085" t="s">
        <v>10324</v>
      </c>
      <c r="B10085">
        <f>HYPERLINK("https://android.googlesource.com/platform/cts/+/b568bfcab520d1129c314481aef2c1fb37d6ea10", "b568bfcab520d1129c314481aef2c1fb37d6ea10")</f>
        <v>0</v>
      </c>
      <c r="C10085">
        <f>HYPERLINK("https://android.googlesource.com/platform/cts/+/5f3dfe8a0fbffea5f935d0378daf3f55df1a5ade", "5f3dfe8a0fbffea5f935d0378daf3f55df1a5ade")</f>
        <v>0</v>
      </c>
      <c r="D10085" t="s">
        <v>12069</v>
      </c>
      <c r="E10085" t="s">
        <v>12885</v>
      </c>
      <c r="F10085" t="s">
        <v>16061</v>
      </c>
      <c r="G10085" t="s">
        <v>18752</v>
      </c>
      <c r="H10085" t="s">
        <v>21746</v>
      </c>
      <c r="I10085" t="s">
        <v>1358</v>
      </c>
      <c r="J10085" t="s">
        <v>1358</v>
      </c>
      <c r="K10085" t="s">
        <v>1358</v>
      </c>
      <c r="L10085" t="s">
        <v>1358</v>
      </c>
    </row>
    <row r="10086" spans="1:13">
      <c r="H10086" t="s">
        <v>21747</v>
      </c>
      <c r="I10086" t="s">
        <v>1358</v>
      </c>
      <c r="J10086" t="s">
        <v>1358</v>
      </c>
      <c r="K10086" t="s">
        <v>1358</v>
      </c>
      <c r="L10086" t="s">
        <v>1358</v>
      </c>
    </row>
    <row r="10087" spans="1:13">
      <c r="H10087" t="s">
        <v>21748</v>
      </c>
      <c r="I10087" t="s">
        <v>1358</v>
      </c>
      <c r="J10087" t="s">
        <v>1358</v>
      </c>
      <c r="K10087" t="s">
        <v>1358</v>
      </c>
      <c r="L10087" t="s">
        <v>1358</v>
      </c>
    </row>
    <row r="10088" spans="1:13">
      <c r="H10088" t="s">
        <v>21749</v>
      </c>
      <c r="I10088" t="s">
        <v>1358</v>
      </c>
      <c r="J10088" t="s">
        <v>1358</v>
      </c>
      <c r="K10088" t="s">
        <v>1358</v>
      </c>
      <c r="L10088" t="s">
        <v>1358</v>
      </c>
    </row>
    <row r="10089" spans="1:13">
      <c r="H10089" t="s">
        <v>21750</v>
      </c>
      <c r="I10089" t="s">
        <v>1358</v>
      </c>
      <c r="J10089" t="s">
        <v>1358</v>
      </c>
      <c r="K10089" t="s">
        <v>1358</v>
      </c>
      <c r="L10089" t="s">
        <v>1358</v>
      </c>
    </row>
    <row r="10090" spans="1:13">
      <c r="H10090" t="s">
        <v>21751</v>
      </c>
      <c r="I10090" t="s">
        <v>1358</v>
      </c>
      <c r="J10090" t="s">
        <v>1358</v>
      </c>
      <c r="K10090" t="s">
        <v>1358</v>
      </c>
      <c r="L10090" t="s">
        <v>1358</v>
      </c>
    </row>
    <row r="10091" spans="1:13">
      <c r="H10091" t="s">
        <v>21752</v>
      </c>
      <c r="I10091" t="s">
        <v>1358</v>
      </c>
      <c r="J10091" t="s">
        <v>1358</v>
      </c>
      <c r="K10091" t="s">
        <v>1358</v>
      </c>
      <c r="L10091" t="s">
        <v>1358</v>
      </c>
    </row>
    <row r="10092" spans="1:13">
      <c r="A10092" t="s">
        <v>10325</v>
      </c>
      <c r="B10092">
        <f>HYPERLINK("https://android.googlesource.com/platform/cts/+/032503cf437400f0371ebc5775104cec9e67ec15", "032503cf437400f0371ebc5775104cec9e67ec15")</f>
        <v>0</v>
      </c>
      <c r="C10092">
        <f>HYPERLINK("https://android.googlesource.com/platform/cts/+/5742d8c67eb1ec5ccdc06ff74d14ecd6ad173fd0", "5742d8c67eb1ec5ccdc06ff74d14ecd6ad173fd0")</f>
        <v>0</v>
      </c>
      <c r="D10092" t="s">
        <v>12063</v>
      </c>
      <c r="E10092" t="s">
        <v>12886</v>
      </c>
      <c r="F10092" t="s">
        <v>15184</v>
      </c>
      <c r="G10092" t="s">
        <v>17886</v>
      </c>
      <c r="H10092" t="s">
        <v>21753</v>
      </c>
      <c r="I10092" t="s">
        <v>1357</v>
      </c>
      <c r="J10092" t="s">
        <v>1357</v>
      </c>
      <c r="K10092" t="s">
        <v>1357</v>
      </c>
      <c r="L10092" t="s">
        <v>1357</v>
      </c>
    </row>
    <row r="10093" spans="1:13">
      <c r="A10093" t="s">
        <v>10326</v>
      </c>
      <c r="B10093">
        <f>HYPERLINK("https://android.googlesource.com/platform/cts/+/fedb39dc0f97de7f90a7925318e951e254d97afd", "fedb39dc0f97de7f90a7925318e951e254d97afd")</f>
        <v>0</v>
      </c>
      <c r="C10093">
        <f>HYPERLINK("https://android.googlesource.com/platform/cts/+/51e36fced5d4b82ab7a9cf4b36ac1896a1d0a4f5", "51e36fced5d4b82ab7a9cf4b36ac1896a1d0a4f5")</f>
        <v>0</v>
      </c>
      <c r="D10093" t="s">
        <v>12045</v>
      </c>
      <c r="E10093" t="s">
        <v>12887</v>
      </c>
      <c r="F10093" t="s">
        <v>16077</v>
      </c>
      <c r="G10093" t="s">
        <v>18766</v>
      </c>
      <c r="H10093" t="s">
        <v>21754</v>
      </c>
      <c r="I10093" t="s">
        <v>1359</v>
      </c>
      <c r="J10093" t="s">
        <v>1358</v>
      </c>
      <c r="K10093" t="s">
        <v>1358</v>
      </c>
      <c r="L10093" t="s">
        <v>1357</v>
      </c>
    </row>
    <row r="10094" spans="1:13">
      <c r="H10094" t="s">
        <v>21755</v>
      </c>
      <c r="I10094" t="s">
        <v>1359</v>
      </c>
      <c r="J10094" t="s">
        <v>1357</v>
      </c>
      <c r="K10094" t="s">
        <v>1358</v>
      </c>
      <c r="L10094" t="s">
        <v>1357</v>
      </c>
    </row>
    <row r="10095" spans="1:13">
      <c r="A10095" t="s">
        <v>10327</v>
      </c>
      <c r="B10095">
        <f>HYPERLINK("https://android.googlesource.com/platform/cts/+/7b113c86a64aeb7060ff35882a2f2def97cd0484", "7b113c86a64aeb7060ff35882a2f2def97cd0484")</f>
        <v>0</v>
      </c>
      <c r="C10095">
        <f>HYPERLINK("https://android.googlesource.com/platform/cts/+/a47d5d6948f50f3bbc8300b8656bb426edc2c746", "a47d5d6948f50f3bbc8300b8656bb426edc2c746")</f>
        <v>0</v>
      </c>
      <c r="D10095" t="s">
        <v>12069</v>
      </c>
      <c r="E10095" t="s">
        <v>12888</v>
      </c>
      <c r="F10095" t="s">
        <v>16078</v>
      </c>
      <c r="G10095" t="s">
        <v>18767</v>
      </c>
      <c r="H10095" t="s">
        <v>21756</v>
      </c>
      <c r="I10095" t="s">
        <v>1357</v>
      </c>
      <c r="J10095" t="s">
        <v>1357</v>
      </c>
      <c r="K10095" t="s">
        <v>1357</v>
      </c>
      <c r="L10095" t="s">
        <v>1357</v>
      </c>
    </row>
    <row r="10096" spans="1:13">
      <c r="H10096" t="s">
        <v>21757</v>
      </c>
      <c r="I10096" t="s">
        <v>1357</v>
      </c>
      <c r="J10096" t="s">
        <v>1357</v>
      </c>
      <c r="K10096" t="s">
        <v>1357</v>
      </c>
      <c r="L10096" t="s">
        <v>1357</v>
      </c>
    </row>
    <row r="10097" spans="1:12">
      <c r="H10097" t="s">
        <v>21758</v>
      </c>
      <c r="I10097" t="s">
        <v>1357</v>
      </c>
      <c r="J10097" t="s">
        <v>1357</v>
      </c>
      <c r="K10097" t="s">
        <v>1357</v>
      </c>
      <c r="L10097" t="s">
        <v>1357</v>
      </c>
    </row>
    <row r="10098" spans="1:12">
      <c r="H10098" t="s">
        <v>21759</v>
      </c>
      <c r="I10098" t="s">
        <v>1357</v>
      </c>
      <c r="J10098" t="s">
        <v>1357</v>
      </c>
      <c r="K10098" t="s">
        <v>1357</v>
      </c>
      <c r="L10098" t="s">
        <v>1357</v>
      </c>
    </row>
    <row r="10099" spans="1:12">
      <c r="A10099" t="s">
        <v>10328</v>
      </c>
      <c r="B10099">
        <f>HYPERLINK("https://android.googlesource.com/platform/cts/+/66476a95a70d3f73320b82edf33ea76a3f0df7ac", "66476a95a70d3f73320b82edf33ea76a3f0df7ac")</f>
        <v>0</v>
      </c>
      <c r="C10099">
        <f>HYPERLINK("https://android.googlesource.com/platform/cts/+/dea56337c8a5ee10af912938f8a625bd9c21306f", "dea56337c8a5ee10af912938f8a625bd9c21306f")</f>
        <v>0</v>
      </c>
      <c r="D10099" t="s">
        <v>12021</v>
      </c>
      <c r="E10099" t="s">
        <v>12889</v>
      </c>
      <c r="F10099" t="s">
        <v>16079</v>
      </c>
      <c r="G10099" t="s">
        <v>18768</v>
      </c>
      <c r="H10099" t="s">
        <v>21760</v>
      </c>
      <c r="I10099" t="s">
        <v>1357</v>
      </c>
      <c r="J10099" t="s">
        <v>1357</v>
      </c>
      <c r="K10099" t="s">
        <v>1357</v>
      </c>
      <c r="L10099" t="s">
        <v>1357</v>
      </c>
    </row>
    <row r="10100" spans="1:12">
      <c r="A10100" t="s">
        <v>10329</v>
      </c>
      <c r="B10100">
        <f>HYPERLINK("https://android.googlesource.com/platform/cts/+/cb59a502afba73e207420190fba0d9c8494a2763", "cb59a502afba73e207420190fba0d9c8494a2763")</f>
        <v>0</v>
      </c>
      <c r="C10100">
        <f>HYPERLINK("https://android.googlesource.com/platform/cts/+/85e7ffbf4b693bdea9403c116e17ce97e25795ec", "85e7ffbf4b693bdea9403c116e17ce97e25795ec")</f>
        <v>0</v>
      </c>
      <c r="D10100" t="s">
        <v>12005</v>
      </c>
      <c r="E10100" t="s">
        <v>12890</v>
      </c>
      <c r="F10100" t="s">
        <v>16080</v>
      </c>
      <c r="G10100" t="s">
        <v>18769</v>
      </c>
      <c r="H10100" t="s">
        <v>21761</v>
      </c>
      <c r="I10100" t="s">
        <v>1357</v>
      </c>
      <c r="J10100" t="s">
        <v>1357</v>
      </c>
      <c r="K10100" t="s">
        <v>1357</v>
      </c>
      <c r="L10100" t="s">
        <v>1357</v>
      </c>
    </row>
    <row r="10101" spans="1:12">
      <c r="H10101" t="s">
        <v>21762</v>
      </c>
      <c r="I10101" t="s">
        <v>1357</v>
      </c>
      <c r="J10101" t="s">
        <v>1357</v>
      </c>
      <c r="K10101" t="s">
        <v>1357</v>
      </c>
      <c r="L10101" t="s">
        <v>1357</v>
      </c>
    </row>
    <row r="10102" spans="1:12">
      <c r="H10102" t="s">
        <v>21763</v>
      </c>
      <c r="I10102" t="s">
        <v>1357</v>
      </c>
      <c r="J10102" t="s">
        <v>1357</v>
      </c>
      <c r="K10102" t="s">
        <v>1357</v>
      </c>
      <c r="L10102" t="s">
        <v>1357</v>
      </c>
    </row>
    <row r="10103" spans="1:12">
      <c r="H10103" t="s">
        <v>21764</v>
      </c>
      <c r="I10103" t="s">
        <v>1357</v>
      </c>
      <c r="J10103" t="s">
        <v>1357</v>
      </c>
      <c r="K10103" t="s">
        <v>1357</v>
      </c>
      <c r="L10103" t="s">
        <v>1357</v>
      </c>
    </row>
    <row r="10104" spans="1:12">
      <c r="F10104" t="s">
        <v>16081</v>
      </c>
      <c r="G10104" t="s">
        <v>18770</v>
      </c>
      <c r="H10104" t="s">
        <v>21765</v>
      </c>
      <c r="I10104" t="s">
        <v>1357</v>
      </c>
      <c r="J10104" t="s">
        <v>1357</v>
      </c>
      <c r="K10104" t="s">
        <v>1357</v>
      </c>
      <c r="L10104" t="s">
        <v>1357</v>
      </c>
    </row>
    <row r="10105" spans="1:12">
      <c r="H10105" t="s">
        <v>21766</v>
      </c>
      <c r="I10105" t="s">
        <v>1357</v>
      </c>
      <c r="J10105" t="s">
        <v>1357</v>
      </c>
      <c r="K10105" t="s">
        <v>1357</v>
      </c>
      <c r="L10105" t="s">
        <v>1357</v>
      </c>
    </row>
    <row r="10106" spans="1:12">
      <c r="A10106" t="s">
        <v>10330</v>
      </c>
      <c r="B10106">
        <f>HYPERLINK("https://android.googlesource.com/platform/cts/+/e195d6834e63268748583b0f198220b7bd9788ae", "e195d6834e63268748583b0f198220b7bd9788ae")</f>
        <v>0</v>
      </c>
      <c r="C10106">
        <f>HYPERLINK("https://android.googlesource.com/platform/cts/+/297d1d6bb7143dc0f78e472a6939275270d5f38b", "297d1d6bb7143dc0f78e472a6939275270d5f38b")</f>
        <v>0</v>
      </c>
      <c r="D10106" t="s">
        <v>12044</v>
      </c>
      <c r="E10106" t="s">
        <v>12891</v>
      </c>
      <c r="F10106" t="s">
        <v>16003</v>
      </c>
      <c r="G10106" t="s">
        <v>18695</v>
      </c>
      <c r="H10106" t="s">
        <v>21767</v>
      </c>
      <c r="I10106" t="s">
        <v>1357</v>
      </c>
      <c r="J10106" t="s">
        <v>1357</v>
      </c>
      <c r="K10106" t="s">
        <v>1357</v>
      </c>
      <c r="L10106" t="s">
        <v>1357</v>
      </c>
    </row>
    <row r="10107" spans="1:12">
      <c r="F10107" t="s">
        <v>16005</v>
      </c>
      <c r="G10107" t="s">
        <v>18697</v>
      </c>
      <c r="H10107" t="s">
        <v>21767</v>
      </c>
      <c r="I10107" t="s">
        <v>1357</v>
      </c>
      <c r="J10107" t="s">
        <v>1357</v>
      </c>
      <c r="K10107" t="s">
        <v>1357</v>
      </c>
      <c r="L10107" t="s">
        <v>1357</v>
      </c>
    </row>
    <row r="10108" spans="1:12">
      <c r="F10108" t="s">
        <v>14487</v>
      </c>
      <c r="G10108" t="s">
        <v>17333</v>
      </c>
      <c r="H10108" t="s">
        <v>21767</v>
      </c>
      <c r="I10108" t="s">
        <v>1357</v>
      </c>
      <c r="J10108" t="s">
        <v>1357</v>
      </c>
      <c r="K10108" t="s">
        <v>1357</v>
      </c>
      <c r="L10108" t="s">
        <v>1357</v>
      </c>
    </row>
    <row r="10109" spans="1:12">
      <c r="F10109" t="s">
        <v>14488</v>
      </c>
      <c r="G10109" t="s">
        <v>17334</v>
      </c>
      <c r="H10109" t="s">
        <v>21767</v>
      </c>
      <c r="I10109" t="s">
        <v>1357</v>
      </c>
      <c r="J10109" t="s">
        <v>1357</v>
      </c>
      <c r="K10109" t="s">
        <v>1357</v>
      </c>
      <c r="L10109" t="s">
        <v>1357</v>
      </c>
    </row>
    <row r="10110" spans="1:12">
      <c r="F10110" t="s">
        <v>16082</v>
      </c>
      <c r="G10110" t="s">
        <v>18771</v>
      </c>
      <c r="H10110" t="s">
        <v>21767</v>
      </c>
      <c r="I10110" t="s">
        <v>1357</v>
      </c>
      <c r="J10110" t="s">
        <v>1357</v>
      </c>
      <c r="K10110" t="s">
        <v>1357</v>
      </c>
      <c r="L10110" t="s">
        <v>1357</v>
      </c>
    </row>
    <row r="10111" spans="1:12">
      <c r="F10111" t="s">
        <v>16006</v>
      </c>
      <c r="G10111" t="s">
        <v>18698</v>
      </c>
      <c r="H10111" t="s">
        <v>21767</v>
      </c>
      <c r="I10111" t="s">
        <v>1357</v>
      </c>
      <c r="J10111" t="s">
        <v>1357</v>
      </c>
      <c r="K10111" t="s">
        <v>1357</v>
      </c>
      <c r="L10111" t="s">
        <v>1357</v>
      </c>
    </row>
    <row r="10112" spans="1:12">
      <c r="F10112" t="s">
        <v>14489</v>
      </c>
      <c r="G10112" t="s">
        <v>17335</v>
      </c>
      <c r="H10112" t="s">
        <v>21767</v>
      </c>
      <c r="I10112" t="s">
        <v>1357</v>
      </c>
      <c r="J10112" t="s">
        <v>1357</v>
      </c>
      <c r="K10112" t="s">
        <v>1357</v>
      </c>
      <c r="L10112" t="s">
        <v>1357</v>
      </c>
    </row>
    <row r="10113" spans="1:12">
      <c r="A10113" t="s">
        <v>10331</v>
      </c>
      <c r="B10113">
        <f>HYPERLINK("https://android.googlesource.com/platform/cts/+/f3b6b6771bfd40c4e27f5a48d1296da3b03008b6", "f3b6b6771bfd40c4e27f5a48d1296da3b03008b6")</f>
        <v>0</v>
      </c>
      <c r="C10113">
        <f>HYPERLINK("https://android.googlesource.com/platform/cts/+/8188149eacbc02670152d42d7417c116efff614f", "8188149eacbc02670152d42d7417c116efff614f")</f>
        <v>0</v>
      </c>
      <c r="D10113" t="s">
        <v>12078</v>
      </c>
      <c r="E10113" t="s">
        <v>12892</v>
      </c>
      <c r="F10113" t="s">
        <v>16083</v>
      </c>
      <c r="G10113" t="s">
        <v>18772</v>
      </c>
      <c r="H10113" t="s">
        <v>21768</v>
      </c>
      <c r="I10113" t="s">
        <v>1357</v>
      </c>
      <c r="J10113" t="s">
        <v>1357</v>
      </c>
      <c r="K10113" t="s">
        <v>1357</v>
      </c>
      <c r="L10113" t="s">
        <v>1357</v>
      </c>
    </row>
    <row r="10114" spans="1:12">
      <c r="A10114" t="s">
        <v>10332</v>
      </c>
      <c r="B10114">
        <f>HYPERLINK("https://android.googlesource.com/platform/cts/+/17f1800667e726853dd987b94c2cf36d11cf9369", "17f1800667e726853dd987b94c2cf36d11cf9369")</f>
        <v>0</v>
      </c>
      <c r="C10114">
        <f>HYPERLINK("https://android.googlesource.com/platform/cts/+/948eda6f30123df653c313b24677543c994ab490", "948eda6f30123df653c313b24677543c994ab490")</f>
        <v>0</v>
      </c>
      <c r="D10114" t="s">
        <v>12079</v>
      </c>
      <c r="E10114" t="s">
        <v>12893</v>
      </c>
      <c r="F10114" t="s">
        <v>16084</v>
      </c>
      <c r="G10114" t="s">
        <v>18773</v>
      </c>
      <c r="H10114" t="s">
        <v>21769</v>
      </c>
      <c r="I10114" t="s">
        <v>1357</v>
      </c>
      <c r="J10114" t="s">
        <v>1357</v>
      </c>
      <c r="K10114" t="s">
        <v>1357</v>
      </c>
      <c r="L10114" t="s">
        <v>1357</v>
      </c>
    </row>
    <row r="10115" spans="1:12">
      <c r="A10115" t="s">
        <v>10333</v>
      </c>
      <c r="B10115">
        <f>HYPERLINK("https://android.googlesource.com/platform/cts/+/4ed3b6c02b917394dfc68c4d421c4b935a3325c8", "4ed3b6c02b917394dfc68c4d421c4b935a3325c8")</f>
        <v>0</v>
      </c>
      <c r="C10115">
        <f>HYPERLINK("https://android.googlesource.com/platform/cts/+/95ee48203ed2c4dd64a5364fed26ae626a33c481", "95ee48203ed2c4dd64a5364fed26ae626a33c481")</f>
        <v>0</v>
      </c>
      <c r="D10115" t="s">
        <v>12063</v>
      </c>
      <c r="E10115" t="s">
        <v>12894</v>
      </c>
      <c r="F10115" t="s">
        <v>16085</v>
      </c>
      <c r="G10115" t="s">
        <v>18774</v>
      </c>
      <c r="H10115" t="s">
        <v>901</v>
      </c>
      <c r="I10115" t="s">
        <v>1357</v>
      </c>
      <c r="J10115" t="s">
        <v>1357</v>
      </c>
      <c r="K10115" t="s">
        <v>1357</v>
      </c>
      <c r="L10115" t="s">
        <v>1357</v>
      </c>
    </row>
    <row r="10116" spans="1:12">
      <c r="H10116" t="s">
        <v>19890</v>
      </c>
      <c r="I10116" t="s">
        <v>1357</v>
      </c>
      <c r="J10116" t="s">
        <v>1357</v>
      </c>
      <c r="K10116" t="s">
        <v>1357</v>
      </c>
      <c r="L10116" t="s">
        <v>1357</v>
      </c>
    </row>
    <row r="10117" spans="1:12">
      <c r="A10117" t="s">
        <v>10334</v>
      </c>
      <c r="B10117">
        <f>HYPERLINK("https://android.googlesource.com/platform/cts/+/1a073be447b96901937855af7fc944598f1f06bf", "1a073be447b96901937855af7fc944598f1f06bf")</f>
        <v>0</v>
      </c>
      <c r="C10117">
        <f>HYPERLINK("https://android.googlesource.com/platform/cts/+/fcc5aea0474bea66dc5b9d39498522a4128e01f3", "fcc5aea0474bea66dc5b9d39498522a4128e01f3")</f>
        <v>0</v>
      </c>
      <c r="D10117" t="s">
        <v>12080</v>
      </c>
      <c r="E10117" t="s">
        <v>12895</v>
      </c>
      <c r="F10117" t="s">
        <v>16086</v>
      </c>
      <c r="G10117" t="s">
        <v>18775</v>
      </c>
      <c r="H10117" t="s">
        <v>21770</v>
      </c>
      <c r="I10117" t="s">
        <v>1357</v>
      </c>
      <c r="J10117" t="s">
        <v>1357</v>
      </c>
      <c r="K10117" t="s">
        <v>1357</v>
      </c>
      <c r="L10117" t="s">
        <v>1357</v>
      </c>
    </row>
    <row r="10118" spans="1:12">
      <c r="H10118" t="s">
        <v>21771</v>
      </c>
      <c r="I10118" t="s">
        <v>1357</v>
      </c>
      <c r="J10118" t="s">
        <v>1357</v>
      </c>
      <c r="K10118" t="s">
        <v>1357</v>
      </c>
      <c r="L10118" t="s">
        <v>1357</v>
      </c>
    </row>
    <row r="10119" spans="1:12">
      <c r="H10119" t="s">
        <v>21772</v>
      </c>
      <c r="I10119" t="s">
        <v>1357</v>
      </c>
      <c r="J10119" t="s">
        <v>1357</v>
      </c>
      <c r="K10119" t="s">
        <v>1357</v>
      </c>
      <c r="L10119" t="s">
        <v>1357</v>
      </c>
    </row>
    <row r="10120" spans="1:12">
      <c r="H10120" t="s">
        <v>21773</v>
      </c>
      <c r="I10120" t="s">
        <v>1357</v>
      </c>
      <c r="J10120" t="s">
        <v>1357</v>
      </c>
      <c r="K10120" t="s">
        <v>1357</v>
      </c>
      <c r="L10120" t="s">
        <v>1357</v>
      </c>
    </row>
    <row r="10121" spans="1:12">
      <c r="H10121" t="s">
        <v>21774</v>
      </c>
      <c r="I10121" t="s">
        <v>1357</v>
      </c>
      <c r="J10121" t="s">
        <v>1357</v>
      </c>
      <c r="K10121" t="s">
        <v>1357</v>
      </c>
      <c r="L10121" t="s">
        <v>1357</v>
      </c>
    </row>
    <row r="10122" spans="1:12">
      <c r="H10122" t="s">
        <v>21775</v>
      </c>
      <c r="I10122" t="s">
        <v>1357</v>
      </c>
      <c r="J10122" t="s">
        <v>1357</v>
      </c>
      <c r="K10122" t="s">
        <v>1357</v>
      </c>
      <c r="L10122" t="s">
        <v>1357</v>
      </c>
    </row>
    <row r="10123" spans="1:12">
      <c r="H10123" t="s">
        <v>21776</v>
      </c>
      <c r="I10123" t="s">
        <v>1357</v>
      </c>
      <c r="J10123" t="s">
        <v>1357</v>
      </c>
      <c r="K10123" t="s">
        <v>1357</v>
      </c>
      <c r="L10123" t="s">
        <v>1357</v>
      </c>
    </row>
    <row r="10124" spans="1:12">
      <c r="H10124" t="s">
        <v>21777</v>
      </c>
      <c r="I10124" t="s">
        <v>1357</v>
      </c>
      <c r="J10124" t="s">
        <v>1357</v>
      </c>
      <c r="K10124" t="s">
        <v>1357</v>
      </c>
      <c r="L10124" t="s">
        <v>1357</v>
      </c>
    </row>
    <row r="10125" spans="1:12">
      <c r="A10125" t="s">
        <v>10335</v>
      </c>
      <c r="B10125">
        <f>HYPERLINK("https://android.googlesource.com/platform/cts/+/dd68739a3062ffff7159a2342a31d85557364f89", "dd68739a3062ffff7159a2342a31d85557364f89")</f>
        <v>0</v>
      </c>
      <c r="C10125">
        <f>HYPERLINK("https://android.googlesource.com/platform/cts/+/44657d4fcbc722bafa2129d76aa1e40de82c8361", "44657d4fcbc722bafa2129d76aa1e40de82c8361")</f>
        <v>0</v>
      </c>
      <c r="D10125" t="s">
        <v>12081</v>
      </c>
      <c r="E10125" t="s">
        <v>12896</v>
      </c>
      <c r="F10125" t="s">
        <v>16087</v>
      </c>
      <c r="G10125" t="s">
        <v>18776</v>
      </c>
      <c r="H10125" t="s">
        <v>21778</v>
      </c>
      <c r="I10125" t="s">
        <v>1357</v>
      </c>
      <c r="J10125" t="s">
        <v>1357</v>
      </c>
      <c r="K10125" t="s">
        <v>1357</v>
      </c>
      <c r="L10125" t="s">
        <v>1357</v>
      </c>
    </row>
    <row r="10126" spans="1:12">
      <c r="H10126" t="s">
        <v>21779</v>
      </c>
      <c r="I10126" t="s">
        <v>1357</v>
      </c>
      <c r="J10126" t="s">
        <v>1357</v>
      </c>
      <c r="K10126" t="s">
        <v>1357</v>
      </c>
      <c r="L10126" t="s">
        <v>1357</v>
      </c>
    </row>
    <row r="10127" spans="1:12">
      <c r="H10127" t="s">
        <v>21780</v>
      </c>
      <c r="I10127" t="s">
        <v>1357</v>
      </c>
      <c r="J10127" t="s">
        <v>1357</v>
      </c>
      <c r="K10127" t="s">
        <v>1357</v>
      </c>
      <c r="L10127" t="s">
        <v>1357</v>
      </c>
    </row>
    <row r="10128" spans="1:12">
      <c r="H10128" t="s">
        <v>21781</v>
      </c>
      <c r="I10128" t="s">
        <v>1357</v>
      </c>
      <c r="J10128" t="s">
        <v>1357</v>
      </c>
      <c r="K10128" t="s">
        <v>1357</v>
      </c>
      <c r="L10128" t="s">
        <v>1357</v>
      </c>
    </row>
    <row r="10129" spans="1:13">
      <c r="A10129" t="s">
        <v>10336</v>
      </c>
      <c r="B10129">
        <f>HYPERLINK("https://android.googlesource.com/platform/cts/+/8fabf134e6971e2d2e756dab2386a3ab752e0adb", "8fabf134e6971e2d2e756dab2386a3ab752e0adb")</f>
        <v>0</v>
      </c>
      <c r="C10129">
        <f>HYPERLINK("https://android.googlesource.com/platform/cts/+/f2812948ac52dd0fe854492e4201841abc61eaa1", "f2812948ac52dd0fe854492e4201841abc61eaa1")</f>
        <v>0</v>
      </c>
      <c r="D10129" t="s">
        <v>12044</v>
      </c>
      <c r="E10129" t="s">
        <v>12897</v>
      </c>
      <c r="F10129" t="s">
        <v>16088</v>
      </c>
      <c r="G10129" t="s">
        <v>18777</v>
      </c>
      <c r="H10129" t="s">
        <v>21782</v>
      </c>
      <c r="I10129" t="s">
        <v>1357</v>
      </c>
      <c r="J10129" t="s">
        <v>1357</v>
      </c>
      <c r="K10129" t="s">
        <v>1357</v>
      </c>
      <c r="L10129" t="s">
        <v>1357</v>
      </c>
    </row>
    <row r="10130" spans="1:13">
      <c r="H10130" t="s">
        <v>21783</v>
      </c>
      <c r="I10130" t="s">
        <v>1357</v>
      </c>
      <c r="J10130" t="s">
        <v>1357</v>
      </c>
      <c r="K10130" t="s">
        <v>1357</v>
      </c>
      <c r="L10130" t="s">
        <v>1357</v>
      </c>
    </row>
    <row r="10131" spans="1:13">
      <c r="A10131" t="s">
        <v>10337</v>
      </c>
      <c r="B10131">
        <f>HYPERLINK("https://android.googlesource.com/platform/cts/+/71862d1d0fe88bf924c0ed3263b5c109cb24fb9a", "71862d1d0fe88bf924c0ed3263b5c109cb24fb9a")</f>
        <v>0</v>
      </c>
      <c r="C10131">
        <f>HYPERLINK("https://android.googlesource.com/platform/cts/+/ecab77f1f4e09ca23d2b40e54a64b809513372c3", "ecab77f1f4e09ca23d2b40e54a64b809513372c3")</f>
        <v>0</v>
      </c>
      <c r="D10131" t="s">
        <v>12044</v>
      </c>
      <c r="E10131" t="s">
        <v>12898</v>
      </c>
      <c r="F10131" t="s">
        <v>14506</v>
      </c>
      <c r="G10131" t="s">
        <v>17352</v>
      </c>
      <c r="H10131" t="s">
        <v>21784</v>
      </c>
      <c r="I10131" t="s">
        <v>1357</v>
      </c>
      <c r="J10131" t="s">
        <v>1357</v>
      </c>
      <c r="K10131" t="s">
        <v>1357</v>
      </c>
      <c r="L10131" t="s">
        <v>1357</v>
      </c>
    </row>
    <row r="10132" spans="1:13">
      <c r="F10132" t="s">
        <v>16089</v>
      </c>
      <c r="G10132" t="s">
        <v>18778</v>
      </c>
      <c r="H10132" t="s">
        <v>21785</v>
      </c>
      <c r="I10132" t="s">
        <v>1357</v>
      </c>
      <c r="J10132" t="s">
        <v>1357</v>
      </c>
      <c r="K10132" t="s">
        <v>1357</v>
      </c>
      <c r="L10132" t="s">
        <v>1357</v>
      </c>
    </row>
    <row r="10133" spans="1:13">
      <c r="F10133" t="s">
        <v>16090</v>
      </c>
      <c r="G10133" t="s">
        <v>18779</v>
      </c>
      <c r="H10133" t="s">
        <v>21786</v>
      </c>
      <c r="I10133" t="s">
        <v>1357</v>
      </c>
      <c r="J10133" t="s">
        <v>1357</v>
      </c>
      <c r="K10133" t="s">
        <v>1357</v>
      </c>
      <c r="L10133" t="s">
        <v>1357</v>
      </c>
    </row>
    <row r="10134" spans="1:13">
      <c r="H10134" t="s">
        <v>21787</v>
      </c>
      <c r="I10134" t="s">
        <v>1357</v>
      </c>
      <c r="J10134" t="s">
        <v>1357</v>
      </c>
      <c r="K10134" t="s">
        <v>1357</v>
      </c>
      <c r="L10134" t="s">
        <v>1357</v>
      </c>
    </row>
    <row r="10135" spans="1:13">
      <c r="A10135" t="s">
        <v>10338</v>
      </c>
      <c r="B10135">
        <f>HYPERLINK("https://android.googlesource.com/platform/cts/+/94ff9acb48eed2d6f26a82dba135db26302119dc", "94ff9acb48eed2d6f26a82dba135db26302119dc")</f>
        <v>0</v>
      </c>
      <c r="C10135">
        <f>HYPERLINK("https://android.googlesource.com/platform/cts/+/e61750ede37975a61e9053f7139e36223d721c77", "e61750ede37975a61e9053f7139e36223d721c77")</f>
        <v>0</v>
      </c>
      <c r="D10135" t="s">
        <v>12044</v>
      </c>
      <c r="E10135" t="s">
        <v>12898</v>
      </c>
      <c r="F10135" t="s">
        <v>14506</v>
      </c>
      <c r="G10135" t="s">
        <v>17352</v>
      </c>
      <c r="H10135" t="s">
        <v>21784</v>
      </c>
      <c r="I10135" t="s">
        <v>1357</v>
      </c>
      <c r="J10135" t="s">
        <v>1357</v>
      </c>
      <c r="K10135" t="s">
        <v>1357</v>
      </c>
      <c r="L10135" t="s">
        <v>1357</v>
      </c>
      <c r="M10135" t="s">
        <v>27476</v>
      </c>
    </row>
    <row r="10136" spans="1:13">
      <c r="F10136" t="s">
        <v>16089</v>
      </c>
      <c r="G10136" t="s">
        <v>18778</v>
      </c>
      <c r="H10136" t="s">
        <v>21785</v>
      </c>
      <c r="I10136" t="s">
        <v>1357</v>
      </c>
      <c r="J10136" t="s">
        <v>1357</v>
      </c>
      <c r="K10136" t="s">
        <v>1357</v>
      </c>
      <c r="L10136" t="s">
        <v>1357</v>
      </c>
    </row>
    <row r="10137" spans="1:13">
      <c r="F10137" t="s">
        <v>16090</v>
      </c>
      <c r="G10137" t="s">
        <v>18779</v>
      </c>
      <c r="H10137" t="s">
        <v>21786</v>
      </c>
      <c r="I10137" t="s">
        <v>1357</v>
      </c>
      <c r="J10137" t="s">
        <v>1357</v>
      </c>
      <c r="K10137" t="s">
        <v>1357</v>
      </c>
      <c r="L10137" t="s">
        <v>1357</v>
      </c>
    </row>
    <row r="10138" spans="1:13">
      <c r="H10138" t="s">
        <v>21787</v>
      </c>
      <c r="I10138" t="s">
        <v>1357</v>
      </c>
      <c r="J10138" t="s">
        <v>1357</v>
      </c>
      <c r="K10138" t="s">
        <v>1357</v>
      </c>
      <c r="L10138" t="s">
        <v>1357</v>
      </c>
    </row>
    <row r="10139" spans="1:13">
      <c r="A10139" t="s">
        <v>10339</v>
      </c>
      <c r="B10139">
        <f>HYPERLINK("https://android.googlesource.com/platform/cts/+/b054026b4d0347f958de7c4b3eaa6a52ff3d20cd", "b054026b4d0347f958de7c4b3eaa6a52ff3d20cd")</f>
        <v>0</v>
      </c>
      <c r="C10139">
        <f>HYPERLINK("https://android.googlesource.com/platform/cts/+/329f4b93faf91fcd62f4cbfd93a29221c3768ebc", "329f4b93faf91fcd62f4cbfd93a29221c3768ebc")</f>
        <v>0</v>
      </c>
      <c r="D10139" t="s">
        <v>12021</v>
      </c>
      <c r="E10139" t="s">
        <v>12899</v>
      </c>
      <c r="F10139" t="s">
        <v>16091</v>
      </c>
      <c r="G10139" t="s">
        <v>18780</v>
      </c>
      <c r="H10139" t="s">
        <v>21788</v>
      </c>
      <c r="I10139" t="s">
        <v>1357</v>
      </c>
      <c r="J10139" t="s">
        <v>1357</v>
      </c>
      <c r="K10139" t="s">
        <v>1357</v>
      </c>
      <c r="L10139" t="s">
        <v>1357</v>
      </c>
      <c r="M10139" t="s">
        <v>1365</v>
      </c>
    </row>
    <row r="10140" spans="1:13">
      <c r="H10140" t="s">
        <v>3525</v>
      </c>
      <c r="I10140" t="s">
        <v>1358</v>
      </c>
      <c r="J10140" t="s">
        <v>1358</v>
      </c>
      <c r="K10140" t="s">
        <v>1358</v>
      </c>
      <c r="L10140" t="s">
        <v>1358</v>
      </c>
    </row>
    <row r="10141" spans="1:13">
      <c r="A10141" t="s">
        <v>10340</v>
      </c>
      <c r="B10141">
        <f>HYPERLINK("https://android.googlesource.com/platform/cts/+/992b459293c4dcae2a12cdf5923e3e26a476bd1a", "992b459293c4dcae2a12cdf5923e3e26a476bd1a")</f>
        <v>0</v>
      </c>
      <c r="C10141">
        <f>HYPERLINK("https://android.googlesource.com/platform/cts/+/b054026b4d0347f958de7c4b3eaa6a52ff3d20cd", "b054026b4d0347f958de7c4b3eaa6a52ff3d20cd")</f>
        <v>0</v>
      </c>
      <c r="D10141" t="s">
        <v>12082</v>
      </c>
      <c r="E10141" t="s">
        <v>12900</v>
      </c>
      <c r="F10141" t="s">
        <v>16092</v>
      </c>
      <c r="G10141" t="s">
        <v>18781</v>
      </c>
      <c r="H10141" t="s">
        <v>3525</v>
      </c>
      <c r="I10141" t="s">
        <v>1358</v>
      </c>
      <c r="J10141" t="s">
        <v>1358</v>
      </c>
      <c r="K10141" t="s">
        <v>1358</v>
      </c>
      <c r="L10141" t="s">
        <v>1358</v>
      </c>
      <c r="M10141" t="s">
        <v>9957</v>
      </c>
    </row>
    <row r="10142" spans="1:13">
      <c r="A10142" t="s">
        <v>10341</v>
      </c>
      <c r="B10142">
        <f>HYPERLINK("https://android.googlesource.com/platform/cts/+/92423df543c8e11070c57585a6450e7f4e9a1a42", "92423df543c8e11070c57585a6450e7f4e9a1a42")</f>
        <v>0</v>
      </c>
      <c r="C10142">
        <f>HYPERLINK("https://android.googlesource.com/platform/cts/+/1b545b6700621d46c4c85a83c39706e9f9a2b8af", "1b545b6700621d46c4c85a83c39706e9f9a2b8af")</f>
        <v>0</v>
      </c>
      <c r="D10142" t="s">
        <v>12021</v>
      </c>
      <c r="E10142" t="s">
        <v>12901</v>
      </c>
      <c r="F10142" t="s">
        <v>16091</v>
      </c>
      <c r="G10142" t="s">
        <v>18780</v>
      </c>
      <c r="H10142" t="s">
        <v>21788</v>
      </c>
      <c r="I10142" t="s">
        <v>1357</v>
      </c>
      <c r="J10142" t="s">
        <v>1357</v>
      </c>
      <c r="K10142" t="s">
        <v>1357</v>
      </c>
      <c r="L10142" t="s">
        <v>1357</v>
      </c>
      <c r="M10142" t="s">
        <v>1365</v>
      </c>
    </row>
    <row r="10143" spans="1:13">
      <c r="H10143" t="s">
        <v>3525</v>
      </c>
      <c r="I10143" t="s">
        <v>1358</v>
      </c>
      <c r="J10143" t="s">
        <v>1358</v>
      </c>
      <c r="K10143" t="s">
        <v>1358</v>
      </c>
      <c r="L10143" t="s">
        <v>1358</v>
      </c>
      <c r="M10143" t="s">
        <v>9957</v>
      </c>
    </row>
    <row r="10144" spans="1:13">
      <c r="A10144" t="s">
        <v>10342</v>
      </c>
      <c r="B10144">
        <f>HYPERLINK("https://android.googlesource.com/platform/cts/+/707b5430004bfc7e59cd418262196a88754f7114", "707b5430004bfc7e59cd418262196a88754f7114")</f>
        <v>0</v>
      </c>
      <c r="C10144">
        <f>HYPERLINK("https://android.googlesource.com/platform/cts/+/9a3e1c7df595c35c338c43511d2568c1209d965b", "9a3e1c7df595c35c338c43511d2568c1209d965b")</f>
        <v>0</v>
      </c>
      <c r="D10144" t="s">
        <v>12021</v>
      </c>
      <c r="E10144" t="s">
        <v>12902</v>
      </c>
      <c r="F10144" t="s">
        <v>16093</v>
      </c>
      <c r="G10144" t="s">
        <v>18782</v>
      </c>
      <c r="H10144" t="s">
        <v>21789</v>
      </c>
      <c r="I10144" t="s">
        <v>1357</v>
      </c>
      <c r="J10144" t="s">
        <v>1357</v>
      </c>
      <c r="K10144" t="s">
        <v>1357</v>
      </c>
      <c r="L10144" t="s">
        <v>1357</v>
      </c>
    </row>
    <row r="10145" spans="1:14">
      <c r="A10145" t="s">
        <v>10343</v>
      </c>
      <c r="B10145">
        <f>HYPERLINK("https://android.googlesource.com/platform/cts/+/ae663de2120beb9de33d57e2c0ebfa6662e1d9f8", "ae663de2120beb9de33d57e2c0ebfa6662e1d9f8")</f>
        <v>0</v>
      </c>
      <c r="C10145">
        <f>HYPERLINK("https://android.googlesource.com/platform/cts/+/84ed05f1db7927e492773055445cc180cf590f1c", "84ed05f1db7927e492773055445cc180cf590f1c")</f>
        <v>0</v>
      </c>
      <c r="D10145" t="s">
        <v>12044</v>
      </c>
      <c r="E10145" t="s">
        <v>12903</v>
      </c>
      <c r="F10145" t="s">
        <v>14504</v>
      </c>
      <c r="G10145" t="s">
        <v>17350</v>
      </c>
      <c r="H10145" t="s">
        <v>21790</v>
      </c>
      <c r="I10145" t="s">
        <v>1357</v>
      </c>
      <c r="J10145" t="s">
        <v>1357</v>
      </c>
      <c r="K10145" t="s">
        <v>1357</v>
      </c>
      <c r="L10145" t="s">
        <v>1357</v>
      </c>
    </row>
    <row r="10146" spans="1:14">
      <c r="A10146" t="s">
        <v>10344</v>
      </c>
      <c r="B10146">
        <f>HYPERLINK("https://android.googlesource.com/platform/cts/+/1743a5db4b49e43e3c52a768eef6ec2fa54eb940", "1743a5db4b49e43e3c52a768eef6ec2fa54eb940")</f>
        <v>0</v>
      </c>
      <c r="C10146">
        <f>HYPERLINK("https://android.googlesource.com/platform/cts/+/1674b99db40fdebf9faa2cbdc7f64152ab15537a", "1674b99db40fdebf9faa2cbdc7f64152ab15537a")</f>
        <v>0</v>
      </c>
      <c r="D10146" t="s">
        <v>12069</v>
      </c>
      <c r="E10146" t="s">
        <v>12904</v>
      </c>
      <c r="F10146" t="s">
        <v>16094</v>
      </c>
      <c r="G10146" t="s">
        <v>18783</v>
      </c>
      <c r="H10146" t="s">
        <v>21791</v>
      </c>
      <c r="I10146" t="s">
        <v>1358</v>
      </c>
      <c r="J10146" t="s">
        <v>1358</v>
      </c>
      <c r="K10146" t="s">
        <v>1358</v>
      </c>
      <c r="L10146" t="s">
        <v>1358</v>
      </c>
    </row>
    <row r="10147" spans="1:14">
      <c r="A10147" t="s">
        <v>10345</v>
      </c>
      <c r="B10147">
        <f>HYPERLINK("https://android.googlesource.com/platform/cts/+/555c73ad80728deb5c867d052423bb0c9f7d3235", "555c73ad80728deb5c867d052423bb0c9f7d3235")</f>
        <v>0</v>
      </c>
      <c r="C10147">
        <f>HYPERLINK("https://android.googlesource.com/platform/cts/+/0dc51bf02ef3fb6a152464888946493bffa92194", "0dc51bf02ef3fb6a152464888946493bffa92194")</f>
        <v>0</v>
      </c>
      <c r="D10147" t="s">
        <v>12080</v>
      </c>
      <c r="E10147" t="s">
        <v>12905</v>
      </c>
      <c r="F10147" t="s">
        <v>16086</v>
      </c>
      <c r="G10147" t="s">
        <v>18775</v>
      </c>
      <c r="H10147" t="s">
        <v>21770</v>
      </c>
      <c r="I10147" t="s">
        <v>1357</v>
      </c>
      <c r="J10147" t="s">
        <v>1357</v>
      </c>
      <c r="K10147" t="s">
        <v>1357</v>
      </c>
      <c r="L10147" t="s">
        <v>1357</v>
      </c>
    </row>
    <row r="10148" spans="1:14">
      <c r="H10148" t="s">
        <v>21774</v>
      </c>
      <c r="I10148" t="s">
        <v>1357</v>
      </c>
      <c r="J10148" t="s">
        <v>1357</v>
      </c>
      <c r="K10148" t="s">
        <v>1357</v>
      </c>
      <c r="L10148" t="s">
        <v>1357</v>
      </c>
    </row>
    <row r="10149" spans="1:14">
      <c r="A10149" t="s">
        <v>10346</v>
      </c>
      <c r="B10149">
        <f>HYPERLINK("https://android.googlesource.com/platform/cts/+/233c38d4c89fb6cb65a6e6bdd48847ae2f9f7a2b", "233c38d4c89fb6cb65a6e6bdd48847ae2f9f7a2b")</f>
        <v>0</v>
      </c>
      <c r="C10149">
        <f>HYPERLINK("https://android.googlesource.com/platform/cts/+/2f73496079817471850f1dc77320f7f0be7e34fa", "2f73496079817471850f1dc77320f7f0be7e34fa")</f>
        <v>0</v>
      </c>
      <c r="D10149" t="s">
        <v>12083</v>
      </c>
      <c r="E10149" t="s">
        <v>12906</v>
      </c>
      <c r="F10149" t="s">
        <v>16095</v>
      </c>
      <c r="G10149" t="s">
        <v>18784</v>
      </c>
      <c r="H10149" t="s">
        <v>21792</v>
      </c>
      <c r="I10149" t="s">
        <v>1357</v>
      </c>
      <c r="J10149" t="s">
        <v>1357</v>
      </c>
      <c r="K10149" t="s">
        <v>1357</v>
      </c>
      <c r="L10149" t="s">
        <v>1357</v>
      </c>
    </row>
    <row r="10150" spans="1:14">
      <c r="A10150" t="s">
        <v>10347</v>
      </c>
      <c r="B10150">
        <f>HYPERLINK("https://android.googlesource.com/platform/cts/+/3272ea6b27b39a78e3e1dd72b0486d48f21f3cb2", "3272ea6b27b39a78e3e1dd72b0486d48f21f3cb2")</f>
        <v>0</v>
      </c>
      <c r="C10150">
        <f>HYPERLINK("https://android.googlesource.com/platform/cts/+/27eff0c17a6733a3fdf8129b9c821b72025dcebb", "27eff0c17a6733a3fdf8129b9c821b72025dcebb")</f>
        <v>0</v>
      </c>
      <c r="D10150" t="s">
        <v>12021</v>
      </c>
      <c r="E10150" t="s">
        <v>12907</v>
      </c>
      <c r="F10150" t="s">
        <v>16096</v>
      </c>
      <c r="G10150" t="s">
        <v>18785</v>
      </c>
      <c r="H10150" t="s">
        <v>21793</v>
      </c>
      <c r="I10150" t="s">
        <v>1358</v>
      </c>
      <c r="J10150" t="s">
        <v>1358</v>
      </c>
      <c r="K10150" t="s">
        <v>1358</v>
      </c>
      <c r="L10150" t="s">
        <v>1358</v>
      </c>
    </row>
    <row r="10151" spans="1:14">
      <c r="F10151" t="s">
        <v>16097</v>
      </c>
      <c r="G10151" t="s">
        <v>18786</v>
      </c>
      <c r="H10151" t="s">
        <v>21794</v>
      </c>
      <c r="I10151" t="s">
        <v>1357</v>
      </c>
      <c r="J10151" t="s">
        <v>1357</v>
      </c>
      <c r="K10151" t="s">
        <v>1357</v>
      </c>
      <c r="L10151" t="s">
        <v>1357</v>
      </c>
    </row>
    <row r="10152" spans="1:14">
      <c r="H10152" t="s">
        <v>21795</v>
      </c>
      <c r="I10152" t="s">
        <v>1357</v>
      </c>
      <c r="J10152" t="s">
        <v>1357</v>
      </c>
      <c r="K10152" t="s">
        <v>1357</v>
      </c>
      <c r="L10152" t="s">
        <v>1357</v>
      </c>
    </row>
    <row r="10153" spans="1:14">
      <c r="H10153" t="s">
        <v>21796</v>
      </c>
      <c r="I10153" t="s">
        <v>1357</v>
      </c>
      <c r="J10153" t="s">
        <v>1357</v>
      </c>
      <c r="K10153" t="s">
        <v>1357</v>
      </c>
      <c r="L10153" t="s">
        <v>1357</v>
      </c>
    </row>
    <row r="10154" spans="1:14">
      <c r="H10154" t="s">
        <v>21797</v>
      </c>
      <c r="I10154" t="s">
        <v>1357</v>
      </c>
      <c r="J10154" t="s">
        <v>1357</v>
      </c>
      <c r="K10154" t="s">
        <v>1357</v>
      </c>
      <c r="L10154" t="s">
        <v>1357</v>
      </c>
    </row>
    <row r="10155" spans="1:14">
      <c r="H10155" t="s">
        <v>21798</v>
      </c>
      <c r="I10155" t="s">
        <v>1357</v>
      </c>
      <c r="J10155" t="s">
        <v>1357</v>
      </c>
      <c r="K10155" t="s">
        <v>1357</v>
      </c>
      <c r="L10155" t="s">
        <v>1357</v>
      </c>
      <c r="N10155" t="s">
        <v>27506</v>
      </c>
    </row>
    <row r="10156" spans="1:14">
      <c r="H10156" t="s">
        <v>21799</v>
      </c>
      <c r="I10156" t="s">
        <v>1357</v>
      </c>
      <c r="J10156" t="s">
        <v>1357</v>
      </c>
      <c r="K10156" t="s">
        <v>1357</v>
      </c>
      <c r="L10156" t="s">
        <v>1357</v>
      </c>
    </row>
    <row r="10157" spans="1:14">
      <c r="H10157" t="s">
        <v>21800</v>
      </c>
      <c r="I10157" t="s">
        <v>1357</v>
      </c>
      <c r="J10157" t="s">
        <v>1357</v>
      </c>
      <c r="K10157" t="s">
        <v>1357</v>
      </c>
      <c r="L10157" t="s">
        <v>1357</v>
      </c>
    </row>
    <row r="10158" spans="1:14">
      <c r="H10158" t="s">
        <v>21801</v>
      </c>
      <c r="I10158" t="s">
        <v>1357</v>
      </c>
      <c r="J10158" t="s">
        <v>1357</v>
      </c>
      <c r="K10158" t="s">
        <v>1357</v>
      </c>
      <c r="L10158" t="s">
        <v>1357</v>
      </c>
    </row>
    <row r="10159" spans="1:14">
      <c r="A10159" t="s">
        <v>10348</v>
      </c>
      <c r="B10159">
        <f>HYPERLINK("https://android.googlesource.com/platform/cts/+/ac45aaf8f6a9955af5dd17cded9b280b95449797", "ac45aaf8f6a9955af5dd17cded9b280b95449797")</f>
        <v>0</v>
      </c>
      <c r="C10159">
        <f>HYPERLINK("https://android.googlesource.com/platform/cts/+/322ac31215e70820d23deeda0eca7acd0d1aaf2d", "322ac31215e70820d23deeda0eca7acd0d1aaf2d")</f>
        <v>0</v>
      </c>
      <c r="D10159" t="s">
        <v>12084</v>
      </c>
      <c r="E10159" t="s">
        <v>12908</v>
      </c>
      <c r="F10159" t="s">
        <v>16098</v>
      </c>
      <c r="G10159" t="s">
        <v>18787</v>
      </c>
      <c r="H10159" t="s">
        <v>21802</v>
      </c>
      <c r="I10159" t="s">
        <v>1357</v>
      </c>
      <c r="J10159" t="s">
        <v>1357</v>
      </c>
      <c r="K10159" t="s">
        <v>1357</v>
      </c>
      <c r="L10159" t="s">
        <v>1357</v>
      </c>
      <c r="N10159" t="s">
        <v>1360</v>
      </c>
    </row>
    <row r="10160" spans="1:14">
      <c r="A10160" t="s">
        <v>10349</v>
      </c>
      <c r="B10160">
        <f>HYPERLINK("https://android.googlesource.com/platform/cts/+/f877c5a0f71713a6118f00af11744bed1540a802", "f877c5a0f71713a6118f00af11744bed1540a802")</f>
        <v>0</v>
      </c>
      <c r="C10160">
        <f>HYPERLINK("https://android.googlesource.com/platform/cts/+/5b5fb5e6be49bd395266ff003783ecfdf37cfb95", "5b5fb5e6be49bd395266ff003783ecfdf37cfb95")</f>
        <v>0</v>
      </c>
      <c r="D10160" t="s">
        <v>12084</v>
      </c>
      <c r="E10160" t="s">
        <v>12909</v>
      </c>
      <c r="F10160" t="s">
        <v>16099</v>
      </c>
      <c r="G10160" t="s">
        <v>18788</v>
      </c>
      <c r="H10160" t="s">
        <v>21803</v>
      </c>
      <c r="I10160" t="s">
        <v>1358</v>
      </c>
      <c r="J10160" t="s">
        <v>1358</v>
      </c>
      <c r="K10160" t="s">
        <v>1358</v>
      </c>
      <c r="L10160" t="s">
        <v>1358</v>
      </c>
    </row>
    <row r="10161" spans="1:13">
      <c r="A10161" t="s">
        <v>10350</v>
      </c>
      <c r="B10161">
        <f>HYPERLINK("https://android.googlesource.com/platform/cts/+/1db396d56ceb9ab23937d3c833c8678ff9e9628a", "1db396d56ceb9ab23937d3c833c8678ff9e9628a")</f>
        <v>0</v>
      </c>
      <c r="C10161">
        <f>HYPERLINK("https://android.googlesource.com/platform/cts/+/f877c5a0f71713a6118f00af11744bed1540a802", "f877c5a0f71713a6118f00af11744bed1540a802")</f>
        <v>0</v>
      </c>
      <c r="D10161" t="s">
        <v>12084</v>
      </c>
      <c r="E10161" t="s">
        <v>12910</v>
      </c>
      <c r="F10161" t="s">
        <v>16099</v>
      </c>
      <c r="G10161" t="s">
        <v>18788</v>
      </c>
      <c r="H10161" t="s">
        <v>21804</v>
      </c>
      <c r="I10161" t="s">
        <v>1358</v>
      </c>
      <c r="J10161" t="s">
        <v>1358</v>
      </c>
      <c r="K10161" t="s">
        <v>1358</v>
      </c>
      <c r="L10161" t="s">
        <v>1358</v>
      </c>
    </row>
    <row r="10162" spans="1:13">
      <c r="A10162" t="s">
        <v>10351</v>
      </c>
      <c r="B10162">
        <f>HYPERLINK("https://android.googlesource.com/platform/cts/+/e772d86ec7215f6976e8ff0418b70bc40f0dd327", "e772d86ec7215f6976e8ff0418b70bc40f0dd327")</f>
        <v>0</v>
      </c>
      <c r="C10162">
        <f>HYPERLINK("https://android.googlesource.com/platform/cts/+/1db396d56ceb9ab23937d3c833c8678ff9e9628a", "1db396d56ceb9ab23937d3c833c8678ff9e9628a")</f>
        <v>0</v>
      </c>
      <c r="D10162" t="s">
        <v>12084</v>
      </c>
      <c r="E10162" t="s">
        <v>12911</v>
      </c>
      <c r="F10162" t="s">
        <v>16099</v>
      </c>
      <c r="G10162" t="s">
        <v>18788</v>
      </c>
      <c r="H10162" t="s">
        <v>21805</v>
      </c>
      <c r="I10162" t="s">
        <v>1358</v>
      </c>
      <c r="J10162" t="s">
        <v>1358</v>
      </c>
      <c r="K10162" t="s">
        <v>1358</v>
      </c>
      <c r="L10162" t="s">
        <v>1358</v>
      </c>
    </row>
    <row r="10163" spans="1:13">
      <c r="A10163" t="s">
        <v>10352</v>
      </c>
      <c r="B10163">
        <f>HYPERLINK("https://android.googlesource.com/platform/cts/+/84d67ea320b2ca5458c020bf2d68833b44f01e6b", "84d67ea320b2ca5458c020bf2d68833b44f01e6b")</f>
        <v>0</v>
      </c>
      <c r="C10163">
        <f>HYPERLINK("https://android.googlesource.com/platform/cts/+/3016c3204e8434e461c85cb9a8e6fb6cf37c0dbf", "3016c3204e8434e461c85cb9a8e6fb6cf37c0dbf")</f>
        <v>0</v>
      </c>
      <c r="D10163" t="s">
        <v>12085</v>
      </c>
      <c r="E10163" t="s">
        <v>12912</v>
      </c>
      <c r="F10163" t="s">
        <v>16100</v>
      </c>
      <c r="G10163" t="s">
        <v>18789</v>
      </c>
      <c r="H10163" t="s">
        <v>21806</v>
      </c>
      <c r="I10163" t="s">
        <v>1357</v>
      </c>
      <c r="J10163" t="s">
        <v>1357</v>
      </c>
      <c r="K10163" t="s">
        <v>1357</v>
      </c>
      <c r="L10163" t="s">
        <v>1357</v>
      </c>
    </row>
    <row r="10164" spans="1:13">
      <c r="H10164" t="s">
        <v>21807</v>
      </c>
      <c r="I10164" t="s">
        <v>1357</v>
      </c>
      <c r="J10164" t="s">
        <v>1357</v>
      </c>
      <c r="K10164" t="s">
        <v>1357</v>
      </c>
      <c r="L10164" t="s">
        <v>1357</v>
      </c>
    </row>
    <row r="10165" spans="1:13">
      <c r="A10165" t="s">
        <v>10353</v>
      </c>
      <c r="B10165">
        <f>HYPERLINK("https://android.googlesource.com/platform/cts/+/682a07b9399f7fc80a025753884b6b621da96328", "682a07b9399f7fc80a025753884b6b621da96328")</f>
        <v>0</v>
      </c>
      <c r="C10165">
        <f>HYPERLINK("https://android.googlesource.com/platform/cts/+/e6b2323cee0957b36631473b3138de780b687e8a", "e6b2323cee0957b36631473b3138de780b687e8a")</f>
        <v>0</v>
      </c>
      <c r="D10165" t="s">
        <v>12086</v>
      </c>
      <c r="E10165" t="s">
        <v>12913</v>
      </c>
      <c r="F10165" t="s">
        <v>16101</v>
      </c>
      <c r="G10165" t="s">
        <v>18790</v>
      </c>
      <c r="H10165" t="s">
        <v>21808</v>
      </c>
      <c r="I10165" t="s">
        <v>1357</v>
      </c>
      <c r="J10165" t="s">
        <v>1357</v>
      </c>
      <c r="K10165" t="s">
        <v>1357</v>
      </c>
      <c r="L10165" t="s">
        <v>1357</v>
      </c>
    </row>
    <row r="10166" spans="1:13">
      <c r="A10166" t="s">
        <v>10354</v>
      </c>
      <c r="B10166">
        <f>HYPERLINK("https://android.googlesource.com/platform/cts/+/b9ee1f9683356a1edcd32bca59ac16f78f1927e5", "b9ee1f9683356a1edcd32bca59ac16f78f1927e5")</f>
        <v>0</v>
      </c>
      <c r="C10166">
        <f>HYPERLINK("https://android.googlesource.com/platform/cts/+/6ae0bcd2944168838f86df6279abaa8b1bbf734c", "6ae0bcd2944168838f86df6279abaa8b1bbf734c")</f>
        <v>0</v>
      </c>
      <c r="D10166" t="s">
        <v>12076</v>
      </c>
      <c r="E10166" t="s">
        <v>12914</v>
      </c>
      <c r="F10166" t="s">
        <v>16076</v>
      </c>
      <c r="G10166" t="s">
        <v>18595</v>
      </c>
      <c r="H10166" t="s">
        <v>21736</v>
      </c>
      <c r="I10166" t="s">
        <v>1357</v>
      </c>
      <c r="J10166" t="s">
        <v>1357</v>
      </c>
      <c r="K10166" t="s">
        <v>1357</v>
      </c>
      <c r="L10166" t="s">
        <v>1357</v>
      </c>
    </row>
    <row r="10167" spans="1:13">
      <c r="H10167" t="s">
        <v>21737</v>
      </c>
      <c r="I10167" t="s">
        <v>1357</v>
      </c>
      <c r="J10167" t="s">
        <v>1357</v>
      </c>
      <c r="K10167" t="s">
        <v>1357</v>
      </c>
      <c r="L10167" t="s">
        <v>1357</v>
      </c>
    </row>
    <row r="10168" spans="1:13">
      <c r="H10168" t="s">
        <v>21738</v>
      </c>
      <c r="I10168" t="s">
        <v>1357</v>
      </c>
      <c r="J10168" t="s">
        <v>1357</v>
      </c>
      <c r="K10168" t="s">
        <v>1357</v>
      </c>
      <c r="L10168" t="s">
        <v>1357</v>
      </c>
    </row>
    <row r="10169" spans="1:13">
      <c r="H10169" t="s">
        <v>21739</v>
      </c>
      <c r="I10169" t="s">
        <v>1357</v>
      </c>
      <c r="J10169" t="s">
        <v>1357</v>
      </c>
      <c r="K10169" t="s">
        <v>1357</v>
      </c>
      <c r="L10169" t="s">
        <v>1357</v>
      </c>
    </row>
    <row r="10170" spans="1:13">
      <c r="H10170" t="s">
        <v>21740</v>
      </c>
      <c r="I10170" t="s">
        <v>1357</v>
      </c>
      <c r="J10170" t="s">
        <v>1357</v>
      </c>
      <c r="K10170" t="s">
        <v>1357</v>
      </c>
      <c r="L10170" t="s">
        <v>1357</v>
      </c>
    </row>
    <row r="10171" spans="1:13">
      <c r="H10171" t="s">
        <v>21741</v>
      </c>
      <c r="I10171" t="s">
        <v>1357</v>
      </c>
      <c r="J10171" t="s">
        <v>1357</v>
      </c>
      <c r="K10171" t="s">
        <v>1357</v>
      </c>
      <c r="L10171" t="s">
        <v>1357</v>
      </c>
    </row>
    <row r="10172" spans="1:13">
      <c r="H10172" t="s">
        <v>21742</v>
      </c>
      <c r="I10172" t="s">
        <v>1357</v>
      </c>
      <c r="J10172" t="s">
        <v>1357</v>
      </c>
      <c r="K10172" t="s">
        <v>1357</v>
      </c>
      <c r="L10172" t="s">
        <v>1357</v>
      </c>
      <c r="M10172" t="s">
        <v>1360</v>
      </c>
    </row>
    <row r="10173" spans="1:13">
      <c r="H10173" t="s">
        <v>21743</v>
      </c>
      <c r="I10173" t="s">
        <v>1357</v>
      </c>
      <c r="J10173" t="s">
        <v>1357</v>
      </c>
      <c r="K10173" t="s">
        <v>1357</v>
      </c>
      <c r="L10173" t="s">
        <v>1357</v>
      </c>
      <c r="M10173" t="s">
        <v>1360</v>
      </c>
    </row>
    <row r="10174" spans="1:13">
      <c r="H10174" t="s">
        <v>21744</v>
      </c>
      <c r="I10174" t="s">
        <v>1357</v>
      </c>
      <c r="J10174" t="s">
        <v>1357</v>
      </c>
      <c r="K10174" t="s">
        <v>1357</v>
      </c>
      <c r="L10174" t="s">
        <v>1357</v>
      </c>
    </row>
    <row r="10175" spans="1:13">
      <c r="H10175" t="s">
        <v>21745</v>
      </c>
      <c r="I10175" t="s">
        <v>1357</v>
      </c>
      <c r="J10175" t="s">
        <v>1357</v>
      </c>
      <c r="K10175" t="s">
        <v>1357</v>
      </c>
      <c r="L10175" t="s">
        <v>1357</v>
      </c>
      <c r="M10175" t="s">
        <v>9957</v>
      </c>
    </row>
    <row r="10176" spans="1:13">
      <c r="A10176" t="s">
        <v>10355</v>
      </c>
      <c r="B10176">
        <f>HYPERLINK("https://android.googlesource.com/platform/cts/+/69f4ec4191166d198355a77e5622aeae6f50cb94", "69f4ec4191166d198355a77e5622aeae6f50cb94")</f>
        <v>0</v>
      </c>
      <c r="C10176">
        <f>HYPERLINK("https://android.googlesource.com/platform/cts/+/b32579835faa095c1e068132252596c8fb62c12a", "b32579835faa095c1e068132252596c8fb62c12a")</f>
        <v>0</v>
      </c>
      <c r="D10176" t="s">
        <v>12087</v>
      </c>
      <c r="E10176" t="s">
        <v>12915</v>
      </c>
      <c r="F10176" t="s">
        <v>16102</v>
      </c>
      <c r="G10176" t="s">
        <v>18791</v>
      </c>
      <c r="H10176" t="s">
        <v>21809</v>
      </c>
      <c r="I10176" t="s">
        <v>1358</v>
      </c>
      <c r="J10176" t="s">
        <v>1358</v>
      </c>
      <c r="K10176" t="s">
        <v>1358</v>
      </c>
      <c r="L10176" t="s">
        <v>1358</v>
      </c>
    </row>
    <row r="10177" spans="1:12">
      <c r="A10177" t="s">
        <v>10356</v>
      </c>
      <c r="B10177">
        <f>HYPERLINK("https://android.googlesource.com/platform/cts/+/7cac2e6a081e4b8c3d232291d69bfff1683b9a0c", "7cac2e6a081e4b8c3d232291d69bfff1683b9a0c")</f>
        <v>0</v>
      </c>
      <c r="C10177">
        <f>HYPERLINK("https://android.googlesource.com/platform/cts/+/16adf601b94734ce74deeadc0c9340e603f35726", "16adf601b94734ce74deeadc0c9340e603f35726")</f>
        <v>0</v>
      </c>
      <c r="D10177" t="s">
        <v>12045</v>
      </c>
      <c r="E10177" t="s">
        <v>12916</v>
      </c>
      <c r="F10177" t="s">
        <v>16103</v>
      </c>
      <c r="G10177" t="s">
        <v>18792</v>
      </c>
      <c r="H10177" t="s">
        <v>21810</v>
      </c>
      <c r="I10177" t="s">
        <v>1357</v>
      </c>
      <c r="J10177" t="s">
        <v>1357</v>
      </c>
      <c r="K10177" t="s">
        <v>1357</v>
      </c>
      <c r="L10177" t="s">
        <v>1357</v>
      </c>
    </row>
    <row r="10178" spans="1:12">
      <c r="H10178" t="s">
        <v>21811</v>
      </c>
      <c r="I10178" t="s">
        <v>1357</v>
      </c>
      <c r="J10178" t="s">
        <v>1357</v>
      </c>
      <c r="K10178" t="s">
        <v>1357</v>
      </c>
      <c r="L10178" t="s">
        <v>1357</v>
      </c>
    </row>
    <row r="10179" spans="1:12">
      <c r="F10179" t="s">
        <v>16104</v>
      </c>
      <c r="G10179" t="s">
        <v>18793</v>
      </c>
      <c r="H10179" t="s">
        <v>21812</v>
      </c>
      <c r="I10179" t="s">
        <v>1357</v>
      </c>
      <c r="J10179" t="s">
        <v>1357</v>
      </c>
      <c r="K10179" t="s">
        <v>1357</v>
      </c>
      <c r="L10179" t="s">
        <v>1357</v>
      </c>
    </row>
    <row r="10180" spans="1:12">
      <c r="H10180" t="s">
        <v>21813</v>
      </c>
      <c r="I10180" t="s">
        <v>1357</v>
      </c>
      <c r="J10180" t="s">
        <v>1357</v>
      </c>
      <c r="K10180" t="s">
        <v>1357</v>
      </c>
      <c r="L10180" t="s">
        <v>1357</v>
      </c>
    </row>
    <row r="10181" spans="1:12">
      <c r="H10181" t="s">
        <v>21814</v>
      </c>
      <c r="I10181" t="s">
        <v>1357</v>
      </c>
      <c r="J10181" t="s">
        <v>1357</v>
      </c>
      <c r="K10181" t="s">
        <v>1357</v>
      </c>
      <c r="L10181" t="s">
        <v>1357</v>
      </c>
    </row>
    <row r="10182" spans="1:12">
      <c r="H10182" t="s">
        <v>21815</v>
      </c>
      <c r="I10182" t="s">
        <v>1357</v>
      </c>
      <c r="J10182" t="s">
        <v>1357</v>
      </c>
      <c r="K10182" t="s">
        <v>1357</v>
      </c>
      <c r="L10182" t="s">
        <v>1357</v>
      </c>
    </row>
    <row r="10183" spans="1:12">
      <c r="H10183" t="s">
        <v>21816</v>
      </c>
      <c r="I10183" t="s">
        <v>1357</v>
      </c>
      <c r="J10183" t="s">
        <v>1357</v>
      </c>
      <c r="K10183" t="s">
        <v>1357</v>
      </c>
      <c r="L10183" t="s">
        <v>1357</v>
      </c>
    </row>
    <row r="10184" spans="1:12">
      <c r="H10184" t="s">
        <v>21817</v>
      </c>
      <c r="I10184" t="s">
        <v>1357</v>
      </c>
      <c r="J10184" t="s">
        <v>1357</v>
      </c>
      <c r="K10184" t="s">
        <v>1357</v>
      </c>
      <c r="L10184" t="s">
        <v>1357</v>
      </c>
    </row>
    <row r="10185" spans="1:12">
      <c r="H10185" t="s">
        <v>21818</v>
      </c>
      <c r="I10185" t="s">
        <v>1357</v>
      </c>
      <c r="J10185" t="s">
        <v>1357</v>
      </c>
      <c r="K10185" t="s">
        <v>1357</v>
      </c>
      <c r="L10185" t="s">
        <v>1357</v>
      </c>
    </row>
    <row r="10186" spans="1:12">
      <c r="H10186" t="s">
        <v>21819</v>
      </c>
      <c r="I10186" t="s">
        <v>1357</v>
      </c>
      <c r="J10186" t="s">
        <v>1357</v>
      </c>
      <c r="K10186" t="s">
        <v>1357</v>
      </c>
      <c r="L10186" t="s">
        <v>1357</v>
      </c>
    </row>
    <row r="10187" spans="1:12">
      <c r="H10187" t="s">
        <v>21820</v>
      </c>
      <c r="I10187" t="s">
        <v>1357</v>
      </c>
      <c r="J10187" t="s">
        <v>1357</v>
      </c>
      <c r="K10187" t="s">
        <v>1357</v>
      </c>
      <c r="L10187" t="s">
        <v>1357</v>
      </c>
    </row>
    <row r="10188" spans="1:12">
      <c r="H10188" t="s">
        <v>21821</v>
      </c>
      <c r="I10188" t="s">
        <v>1357</v>
      </c>
      <c r="J10188" t="s">
        <v>1357</v>
      </c>
      <c r="K10188" t="s">
        <v>1357</v>
      </c>
      <c r="L10188" t="s">
        <v>1357</v>
      </c>
    </row>
    <row r="10189" spans="1:12">
      <c r="H10189" t="s">
        <v>21822</v>
      </c>
      <c r="I10189" t="s">
        <v>1357</v>
      </c>
      <c r="J10189" t="s">
        <v>1357</v>
      </c>
      <c r="K10189" t="s">
        <v>1357</v>
      </c>
      <c r="L10189" t="s">
        <v>1357</v>
      </c>
    </row>
    <row r="10190" spans="1:12">
      <c r="H10190" t="s">
        <v>21823</v>
      </c>
      <c r="I10190" t="s">
        <v>1357</v>
      </c>
      <c r="J10190" t="s">
        <v>1357</v>
      </c>
      <c r="K10190" t="s">
        <v>1357</v>
      </c>
      <c r="L10190" t="s">
        <v>1357</v>
      </c>
    </row>
    <row r="10191" spans="1:12">
      <c r="H10191" t="s">
        <v>21824</v>
      </c>
      <c r="I10191" t="s">
        <v>1357</v>
      </c>
      <c r="J10191" t="s">
        <v>1357</v>
      </c>
      <c r="K10191" t="s">
        <v>1357</v>
      </c>
      <c r="L10191" t="s">
        <v>1357</v>
      </c>
    </row>
    <row r="10192" spans="1:12">
      <c r="H10192" t="s">
        <v>21825</v>
      </c>
      <c r="I10192" t="s">
        <v>1357</v>
      </c>
      <c r="J10192" t="s">
        <v>1357</v>
      </c>
      <c r="K10192" t="s">
        <v>1357</v>
      </c>
      <c r="L10192" t="s">
        <v>1357</v>
      </c>
    </row>
    <row r="10193" spans="6:12">
      <c r="H10193" t="s">
        <v>21826</v>
      </c>
      <c r="I10193" t="s">
        <v>1357</v>
      </c>
      <c r="J10193" t="s">
        <v>1357</v>
      </c>
      <c r="K10193" t="s">
        <v>1357</v>
      </c>
      <c r="L10193" t="s">
        <v>1357</v>
      </c>
    </row>
    <row r="10194" spans="6:12">
      <c r="H10194" t="s">
        <v>21827</v>
      </c>
      <c r="I10194" t="s">
        <v>1357</v>
      </c>
      <c r="J10194" t="s">
        <v>1357</v>
      </c>
      <c r="K10194" t="s">
        <v>1357</v>
      </c>
      <c r="L10194" t="s">
        <v>1357</v>
      </c>
    </row>
    <row r="10195" spans="6:12">
      <c r="H10195" t="s">
        <v>21828</v>
      </c>
      <c r="I10195" t="s">
        <v>1357</v>
      </c>
      <c r="J10195" t="s">
        <v>1357</v>
      </c>
      <c r="K10195" t="s">
        <v>1357</v>
      </c>
      <c r="L10195" t="s">
        <v>1357</v>
      </c>
    </row>
    <row r="10196" spans="6:12">
      <c r="H10196" t="s">
        <v>21829</v>
      </c>
      <c r="I10196" t="s">
        <v>1357</v>
      </c>
      <c r="J10196" t="s">
        <v>1357</v>
      </c>
      <c r="K10196" t="s">
        <v>1357</v>
      </c>
      <c r="L10196" t="s">
        <v>1357</v>
      </c>
    </row>
    <row r="10197" spans="6:12">
      <c r="H10197" t="s">
        <v>21830</v>
      </c>
      <c r="I10197" t="s">
        <v>1357</v>
      </c>
      <c r="J10197" t="s">
        <v>1357</v>
      </c>
      <c r="K10197" t="s">
        <v>1357</v>
      </c>
      <c r="L10197" t="s">
        <v>1357</v>
      </c>
    </row>
    <row r="10198" spans="6:12">
      <c r="F10198" t="s">
        <v>16105</v>
      </c>
      <c r="G10198" t="s">
        <v>18794</v>
      </c>
      <c r="H10198" t="s">
        <v>21831</v>
      </c>
      <c r="I10198" t="s">
        <v>1357</v>
      </c>
      <c r="J10198" t="s">
        <v>1357</v>
      </c>
      <c r="K10198" t="s">
        <v>1357</v>
      </c>
      <c r="L10198" t="s">
        <v>1357</v>
      </c>
    </row>
    <row r="10199" spans="6:12">
      <c r="H10199" t="s">
        <v>21832</v>
      </c>
      <c r="I10199" t="s">
        <v>1357</v>
      </c>
      <c r="J10199" t="s">
        <v>1357</v>
      </c>
      <c r="K10199" t="s">
        <v>1357</v>
      </c>
      <c r="L10199" t="s">
        <v>1357</v>
      </c>
    </row>
    <row r="10200" spans="6:12">
      <c r="H10200" t="s">
        <v>21833</v>
      </c>
      <c r="I10200" t="s">
        <v>1357</v>
      </c>
      <c r="J10200" t="s">
        <v>1357</v>
      </c>
      <c r="K10200" t="s">
        <v>1357</v>
      </c>
      <c r="L10200" t="s">
        <v>1357</v>
      </c>
    </row>
    <row r="10201" spans="6:12">
      <c r="H10201" t="s">
        <v>21834</v>
      </c>
      <c r="I10201" t="s">
        <v>1357</v>
      </c>
      <c r="J10201" t="s">
        <v>1357</v>
      </c>
      <c r="K10201" t="s">
        <v>1357</v>
      </c>
      <c r="L10201" t="s">
        <v>1357</v>
      </c>
    </row>
    <row r="10202" spans="6:12">
      <c r="F10202" t="s">
        <v>16106</v>
      </c>
      <c r="G10202" t="s">
        <v>18795</v>
      </c>
      <c r="H10202" t="s">
        <v>21835</v>
      </c>
      <c r="I10202" t="s">
        <v>1357</v>
      </c>
      <c r="J10202" t="s">
        <v>1357</v>
      </c>
      <c r="K10202" t="s">
        <v>1357</v>
      </c>
      <c r="L10202" t="s">
        <v>1357</v>
      </c>
    </row>
    <row r="10203" spans="6:12">
      <c r="H10203" t="s">
        <v>21836</v>
      </c>
      <c r="I10203" t="s">
        <v>1357</v>
      </c>
      <c r="J10203" t="s">
        <v>1357</v>
      </c>
      <c r="K10203" t="s">
        <v>1357</v>
      </c>
      <c r="L10203" t="s">
        <v>1357</v>
      </c>
    </row>
    <row r="10204" spans="6:12">
      <c r="H10204" t="s">
        <v>21837</v>
      </c>
      <c r="I10204" t="s">
        <v>1357</v>
      </c>
      <c r="J10204" t="s">
        <v>1357</v>
      </c>
      <c r="K10204" t="s">
        <v>1357</v>
      </c>
      <c r="L10204" t="s">
        <v>1357</v>
      </c>
    </row>
    <row r="10205" spans="6:12">
      <c r="H10205" t="s">
        <v>21838</v>
      </c>
      <c r="I10205" t="s">
        <v>1357</v>
      </c>
      <c r="J10205" t="s">
        <v>1357</v>
      </c>
      <c r="K10205" t="s">
        <v>1357</v>
      </c>
      <c r="L10205" t="s">
        <v>1357</v>
      </c>
    </row>
    <row r="10206" spans="6:12">
      <c r="H10206" t="s">
        <v>21839</v>
      </c>
      <c r="I10206" t="s">
        <v>1357</v>
      </c>
      <c r="J10206" t="s">
        <v>1357</v>
      </c>
      <c r="K10206" t="s">
        <v>1357</v>
      </c>
      <c r="L10206" t="s">
        <v>1357</v>
      </c>
    </row>
    <row r="10207" spans="6:12">
      <c r="H10207" t="s">
        <v>21840</v>
      </c>
      <c r="I10207" t="s">
        <v>1357</v>
      </c>
      <c r="J10207" t="s">
        <v>1357</v>
      </c>
      <c r="K10207" t="s">
        <v>1357</v>
      </c>
      <c r="L10207" t="s">
        <v>1357</v>
      </c>
    </row>
    <row r="10208" spans="6:12">
      <c r="H10208" t="s">
        <v>21841</v>
      </c>
      <c r="I10208" t="s">
        <v>1357</v>
      </c>
      <c r="J10208" t="s">
        <v>1357</v>
      </c>
      <c r="K10208" t="s">
        <v>1357</v>
      </c>
      <c r="L10208" t="s">
        <v>1357</v>
      </c>
    </row>
    <row r="10209" spans="8:12">
      <c r="H10209" t="s">
        <v>21842</v>
      </c>
      <c r="I10209" t="s">
        <v>1357</v>
      </c>
      <c r="J10209" t="s">
        <v>1357</v>
      </c>
      <c r="K10209" t="s">
        <v>1357</v>
      </c>
      <c r="L10209" t="s">
        <v>1357</v>
      </c>
    </row>
    <row r="10210" spans="8:12">
      <c r="H10210" t="s">
        <v>21843</v>
      </c>
      <c r="I10210" t="s">
        <v>1357</v>
      </c>
      <c r="J10210" t="s">
        <v>1357</v>
      </c>
      <c r="K10210" t="s">
        <v>1357</v>
      </c>
      <c r="L10210" t="s">
        <v>1357</v>
      </c>
    </row>
    <row r="10211" spans="8:12">
      <c r="H10211" t="s">
        <v>21844</v>
      </c>
      <c r="I10211" t="s">
        <v>1357</v>
      </c>
      <c r="J10211" t="s">
        <v>1357</v>
      </c>
      <c r="K10211" t="s">
        <v>1357</v>
      </c>
      <c r="L10211" t="s">
        <v>1357</v>
      </c>
    </row>
    <row r="10212" spans="8:12">
      <c r="H10212" t="s">
        <v>21845</v>
      </c>
      <c r="I10212" t="s">
        <v>1357</v>
      </c>
      <c r="J10212" t="s">
        <v>1357</v>
      </c>
      <c r="K10212" t="s">
        <v>1357</v>
      </c>
      <c r="L10212" t="s">
        <v>1357</v>
      </c>
    </row>
    <row r="10213" spans="8:12">
      <c r="H10213" t="s">
        <v>21846</v>
      </c>
      <c r="I10213" t="s">
        <v>1357</v>
      </c>
      <c r="J10213" t="s">
        <v>1357</v>
      </c>
      <c r="K10213" t="s">
        <v>1357</v>
      </c>
      <c r="L10213" t="s">
        <v>1357</v>
      </c>
    </row>
    <row r="10214" spans="8:12">
      <c r="H10214" t="s">
        <v>21847</v>
      </c>
      <c r="I10214" t="s">
        <v>1357</v>
      </c>
      <c r="J10214" t="s">
        <v>1357</v>
      </c>
      <c r="K10214" t="s">
        <v>1357</v>
      </c>
      <c r="L10214" t="s">
        <v>1357</v>
      </c>
    </row>
    <row r="10215" spans="8:12">
      <c r="H10215" t="s">
        <v>21848</v>
      </c>
      <c r="I10215" t="s">
        <v>1357</v>
      </c>
      <c r="J10215" t="s">
        <v>1357</v>
      </c>
      <c r="K10215" t="s">
        <v>1357</v>
      </c>
      <c r="L10215" t="s">
        <v>1357</v>
      </c>
    </row>
    <row r="10216" spans="8:12">
      <c r="H10216" t="s">
        <v>21849</v>
      </c>
      <c r="I10216" t="s">
        <v>1357</v>
      </c>
      <c r="J10216" t="s">
        <v>1357</v>
      </c>
      <c r="K10216" t="s">
        <v>1357</v>
      </c>
      <c r="L10216" t="s">
        <v>1357</v>
      </c>
    </row>
    <row r="10217" spans="8:12">
      <c r="H10217" t="s">
        <v>21850</v>
      </c>
      <c r="I10217" t="s">
        <v>1357</v>
      </c>
      <c r="J10217" t="s">
        <v>1357</v>
      </c>
      <c r="K10217" t="s">
        <v>1357</v>
      </c>
      <c r="L10217" t="s">
        <v>1357</v>
      </c>
    </row>
    <row r="10218" spans="8:12">
      <c r="H10218" t="s">
        <v>21851</v>
      </c>
      <c r="I10218" t="s">
        <v>1357</v>
      </c>
      <c r="J10218" t="s">
        <v>1357</v>
      </c>
      <c r="K10218" t="s">
        <v>1357</v>
      </c>
      <c r="L10218" t="s">
        <v>1357</v>
      </c>
    </row>
    <row r="10219" spans="8:12">
      <c r="H10219" t="s">
        <v>21852</v>
      </c>
      <c r="I10219" t="s">
        <v>1357</v>
      </c>
      <c r="J10219" t="s">
        <v>1357</v>
      </c>
      <c r="K10219" t="s">
        <v>1357</v>
      </c>
      <c r="L10219" t="s">
        <v>1357</v>
      </c>
    </row>
    <row r="10220" spans="8:12">
      <c r="H10220" t="s">
        <v>21853</v>
      </c>
      <c r="I10220" t="s">
        <v>1357</v>
      </c>
      <c r="J10220" t="s">
        <v>1357</v>
      </c>
      <c r="K10220" t="s">
        <v>1357</v>
      </c>
      <c r="L10220" t="s">
        <v>1357</v>
      </c>
    </row>
    <row r="10221" spans="8:12">
      <c r="H10221" t="s">
        <v>21854</v>
      </c>
      <c r="I10221" t="s">
        <v>1357</v>
      </c>
      <c r="J10221" t="s">
        <v>1357</v>
      </c>
      <c r="K10221" t="s">
        <v>1357</v>
      </c>
      <c r="L10221" t="s">
        <v>1357</v>
      </c>
    </row>
    <row r="10222" spans="8:12">
      <c r="H10222" t="s">
        <v>21855</v>
      </c>
      <c r="I10222" t="s">
        <v>1357</v>
      </c>
      <c r="J10222" t="s">
        <v>1357</v>
      </c>
      <c r="K10222" t="s">
        <v>1357</v>
      </c>
      <c r="L10222" t="s">
        <v>1357</v>
      </c>
    </row>
    <row r="10223" spans="8:12">
      <c r="H10223" t="s">
        <v>21856</v>
      </c>
      <c r="I10223" t="s">
        <v>1357</v>
      </c>
      <c r="J10223" t="s">
        <v>1357</v>
      </c>
      <c r="K10223" t="s">
        <v>1357</v>
      </c>
      <c r="L10223" t="s">
        <v>1357</v>
      </c>
    </row>
    <row r="10224" spans="8:12">
      <c r="H10224" t="s">
        <v>21857</v>
      </c>
      <c r="I10224" t="s">
        <v>1357</v>
      </c>
      <c r="J10224" t="s">
        <v>1357</v>
      </c>
      <c r="K10224" t="s">
        <v>1357</v>
      </c>
      <c r="L10224" t="s">
        <v>1357</v>
      </c>
    </row>
    <row r="10225" spans="6:12">
      <c r="H10225" t="s">
        <v>21858</v>
      </c>
      <c r="I10225" t="s">
        <v>1357</v>
      </c>
      <c r="J10225" t="s">
        <v>1357</v>
      </c>
      <c r="K10225" t="s">
        <v>1357</v>
      </c>
      <c r="L10225" t="s">
        <v>1357</v>
      </c>
    </row>
    <row r="10226" spans="6:12">
      <c r="F10226" t="s">
        <v>16107</v>
      </c>
      <c r="G10226" t="s">
        <v>18796</v>
      </c>
      <c r="H10226" t="s">
        <v>21859</v>
      </c>
      <c r="I10226" t="s">
        <v>1357</v>
      </c>
      <c r="J10226" t="s">
        <v>1357</v>
      </c>
      <c r="K10226" t="s">
        <v>1357</v>
      </c>
      <c r="L10226" t="s">
        <v>1357</v>
      </c>
    </row>
    <row r="10227" spans="6:12">
      <c r="H10227" t="s">
        <v>21860</v>
      </c>
      <c r="I10227" t="s">
        <v>1357</v>
      </c>
      <c r="J10227" t="s">
        <v>1357</v>
      </c>
      <c r="K10227" t="s">
        <v>1357</v>
      </c>
      <c r="L10227" t="s">
        <v>1357</v>
      </c>
    </row>
    <row r="10228" spans="6:12">
      <c r="H10228" t="s">
        <v>21861</v>
      </c>
      <c r="I10228" t="s">
        <v>1357</v>
      </c>
      <c r="J10228" t="s">
        <v>1357</v>
      </c>
      <c r="K10228" t="s">
        <v>1357</v>
      </c>
      <c r="L10228" t="s">
        <v>1357</v>
      </c>
    </row>
    <row r="10229" spans="6:12">
      <c r="H10229" t="s">
        <v>21862</v>
      </c>
      <c r="I10229" t="s">
        <v>1357</v>
      </c>
      <c r="J10229" t="s">
        <v>1357</v>
      </c>
      <c r="K10229" t="s">
        <v>1357</v>
      </c>
      <c r="L10229" t="s">
        <v>1357</v>
      </c>
    </row>
    <row r="10230" spans="6:12">
      <c r="H10230" t="s">
        <v>21863</v>
      </c>
      <c r="I10230" t="s">
        <v>1357</v>
      </c>
      <c r="J10230" t="s">
        <v>1357</v>
      </c>
      <c r="K10230" t="s">
        <v>1357</v>
      </c>
      <c r="L10230" t="s">
        <v>1357</v>
      </c>
    </row>
    <row r="10231" spans="6:12">
      <c r="H10231" t="s">
        <v>21864</v>
      </c>
      <c r="I10231" t="s">
        <v>1357</v>
      </c>
      <c r="J10231" t="s">
        <v>1357</v>
      </c>
      <c r="K10231" t="s">
        <v>1357</v>
      </c>
      <c r="L10231" t="s">
        <v>1357</v>
      </c>
    </row>
    <row r="10232" spans="6:12">
      <c r="H10232" t="s">
        <v>21865</v>
      </c>
      <c r="I10232" t="s">
        <v>1357</v>
      </c>
      <c r="J10232" t="s">
        <v>1357</v>
      </c>
      <c r="K10232" t="s">
        <v>1357</v>
      </c>
      <c r="L10232" t="s">
        <v>1357</v>
      </c>
    </row>
    <row r="10233" spans="6:12">
      <c r="H10233" t="s">
        <v>21866</v>
      </c>
      <c r="I10233" t="s">
        <v>1357</v>
      </c>
      <c r="J10233" t="s">
        <v>1357</v>
      </c>
      <c r="K10233" t="s">
        <v>1357</v>
      </c>
      <c r="L10233" t="s">
        <v>1357</v>
      </c>
    </row>
    <row r="10234" spans="6:12">
      <c r="H10234" t="s">
        <v>21867</v>
      </c>
      <c r="I10234" t="s">
        <v>1357</v>
      </c>
      <c r="J10234" t="s">
        <v>1357</v>
      </c>
      <c r="K10234" t="s">
        <v>1357</v>
      </c>
      <c r="L10234" t="s">
        <v>1357</v>
      </c>
    </row>
    <row r="10235" spans="6:12">
      <c r="H10235" t="s">
        <v>21868</v>
      </c>
      <c r="I10235" t="s">
        <v>1357</v>
      </c>
      <c r="J10235" t="s">
        <v>1357</v>
      </c>
      <c r="K10235" t="s">
        <v>1357</v>
      </c>
      <c r="L10235" t="s">
        <v>1357</v>
      </c>
    </row>
    <row r="10236" spans="6:12">
      <c r="H10236" t="s">
        <v>21869</v>
      </c>
      <c r="I10236" t="s">
        <v>1357</v>
      </c>
      <c r="J10236" t="s">
        <v>1357</v>
      </c>
      <c r="K10236" t="s">
        <v>1357</v>
      </c>
      <c r="L10236" t="s">
        <v>1357</v>
      </c>
    </row>
    <row r="10237" spans="6:12">
      <c r="H10237" t="s">
        <v>21870</v>
      </c>
      <c r="I10237" t="s">
        <v>1357</v>
      </c>
      <c r="J10237" t="s">
        <v>1357</v>
      </c>
      <c r="K10237" t="s">
        <v>1357</v>
      </c>
      <c r="L10237" t="s">
        <v>1357</v>
      </c>
    </row>
    <row r="10238" spans="6:12">
      <c r="H10238" t="s">
        <v>21871</v>
      </c>
      <c r="I10238" t="s">
        <v>1357</v>
      </c>
      <c r="J10238" t="s">
        <v>1357</v>
      </c>
      <c r="K10238" t="s">
        <v>1357</v>
      </c>
      <c r="L10238" t="s">
        <v>1357</v>
      </c>
    </row>
    <row r="10239" spans="6:12">
      <c r="H10239" t="s">
        <v>21872</v>
      </c>
      <c r="I10239" t="s">
        <v>1357</v>
      </c>
      <c r="J10239" t="s">
        <v>1357</v>
      </c>
      <c r="K10239" t="s">
        <v>1357</v>
      </c>
      <c r="L10239" t="s">
        <v>1357</v>
      </c>
    </row>
    <row r="10240" spans="6:12">
      <c r="H10240" t="s">
        <v>21873</v>
      </c>
      <c r="I10240" t="s">
        <v>1357</v>
      </c>
      <c r="J10240" t="s">
        <v>1357</v>
      </c>
      <c r="K10240" t="s">
        <v>1357</v>
      </c>
      <c r="L10240" t="s">
        <v>1357</v>
      </c>
    </row>
    <row r="10241" spans="8:12">
      <c r="H10241" t="s">
        <v>21874</v>
      </c>
      <c r="I10241" t="s">
        <v>1357</v>
      </c>
      <c r="J10241" t="s">
        <v>1357</v>
      </c>
      <c r="K10241" t="s">
        <v>1357</v>
      </c>
      <c r="L10241" t="s">
        <v>1357</v>
      </c>
    </row>
    <row r="10242" spans="8:12">
      <c r="H10242" t="s">
        <v>21875</v>
      </c>
      <c r="I10242" t="s">
        <v>1357</v>
      </c>
      <c r="J10242" t="s">
        <v>1357</v>
      </c>
      <c r="K10242" t="s">
        <v>1357</v>
      </c>
      <c r="L10242" t="s">
        <v>1357</v>
      </c>
    </row>
    <row r="10243" spans="8:12">
      <c r="H10243" t="s">
        <v>21876</v>
      </c>
      <c r="I10243" t="s">
        <v>1357</v>
      </c>
      <c r="J10243" t="s">
        <v>1357</v>
      </c>
      <c r="K10243" t="s">
        <v>1357</v>
      </c>
      <c r="L10243" t="s">
        <v>1357</v>
      </c>
    </row>
    <row r="10244" spans="8:12">
      <c r="H10244" t="s">
        <v>21877</v>
      </c>
      <c r="I10244" t="s">
        <v>1357</v>
      </c>
      <c r="J10244" t="s">
        <v>1357</v>
      </c>
      <c r="K10244" t="s">
        <v>1357</v>
      </c>
      <c r="L10244" t="s">
        <v>1357</v>
      </c>
    </row>
    <row r="10245" spans="8:12">
      <c r="H10245" t="s">
        <v>21878</v>
      </c>
      <c r="I10245" t="s">
        <v>1357</v>
      </c>
      <c r="J10245" t="s">
        <v>1357</v>
      </c>
      <c r="K10245" t="s">
        <v>1357</v>
      </c>
      <c r="L10245" t="s">
        <v>1357</v>
      </c>
    </row>
    <row r="10246" spans="8:12">
      <c r="H10246" t="s">
        <v>21879</v>
      </c>
      <c r="I10246" t="s">
        <v>1357</v>
      </c>
      <c r="J10246" t="s">
        <v>1357</v>
      </c>
      <c r="K10246" t="s">
        <v>1357</v>
      </c>
      <c r="L10246" t="s">
        <v>1357</v>
      </c>
    </row>
    <row r="10247" spans="8:12">
      <c r="H10247" t="s">
        <v>21880</v>
      </c>
      <c r="I10247" t="s">
        <v>1357</v>
      </c>
      <c r="J10247" t="s">
        <v>1357</v>
      </c>
      <c r="K10247" t="s">
        <v>1357</v>
      </c>
      <c r="L10247" t="s">
        <v>1357</v>
      </c>
    </row>
    <row r="10248" spans="8:12">
      <c r="H10248" t="s">
        <v>21881</v>
      </c>
      <c r="I10248" t="s">
        <v>1357</v>
      </c>
      <c r="J10248" t="s">
        <v>1357</v>
      </c>
      <c r="K10248" t="s">
        <v>1357</v>
      </c>
      <c r="L10248" t="s">
        <v>1357</v>
      </c>
    </row>
    <row r="10249" spans="8:12">
      <c r="H10249" t="s">
        <v>21882</v>
      </c>
      <c r="I10249" t="s">
        <v>1357</v>
      </c>
      <c r="J10249" t="s">
        <v>1357</v>
      </c>
      <c r="K10249" t="s">
        <v>1357</v>
      </c>
      <c r="L10249" t="s">
        <v>1357</v>
      </c>
    </row>
    <row r="10250" spans="8:12">
      <c r="H10250" t="s">
        <v>21883</v>
      </c>
      <c r="I10250" t="s">
        <v>1357</v>
      </c>
      <c r="J10250" t="s">
        <v>1357</v>
      </c>
      <c r="K10250" t="s">
        <v>1357</v>
      </c>
      <c r="L10250" t="s">
        <v>1357</v>
      </c>
    </row>
    <row r="10251" spans="8:12">
      <c r="H10251" t="s">
        <v>21884</v>
      </c>
      <c r="I10251" t="s">
        <v>1357</v>
      </c>
      <c r="J10251" t="s">
        <v>1357</v>
      </c>
      <c r="K10251" t="s">
        <v>1357</v>
      </c>
      <c r="L10251" t="s">
        <v>1357</v>
      </c>
    </row>
    <row r="10252" spans="8:12">
      <c r="H10252" t="s">
        <v>21885</v>
      </c>
      <c r="I10252" t="s">
        <v>1357</v>
      </c>
      <c r="J10252" t="s">
        <v>1357</v>
      </c>
      <c r="K10252" t="s">
        <v>1357</v>
      </c>
      <c r="L10252" t="s">
        <v>1357</v>
      </c>
    </row>
    <row r="10253" spans="8:12">
      <c r="H10253" t="s">
        <v>21886</v>
      </c>
      <c r="I10253" t="s">
        <v>1357</v>
      </c>
      <c r="J10253" t="s">
        <v>1357</v>
      </c>
      <c r="K10253" t="s">
        <v>1357</v>
      </c>
      <c r="L10253" t="s">
        <v>1357</v>
      </c>
    </row>
    <row r="10254" spans="8:12">
      <c r="H10254" t="s">
        <v>21887</v>
      </c>
      <c r="I10254" t="s">
        <v>1357</v>
      </c>
      <c r="J10254" t="s">
        <v>1357</v>
      </c>
      <c r="K10254" t="s">
        <v>1357</v>
      </c>
      <c r="L10254" t="s">
        <v>1357</v>
      </c>
    </row>
    <row r="10255" spans="8:12">
      <c r="H10255" t="s">
        <v>21888</v>
      </c>
      <c r="I10255" t="s">
        <v>1357</v>
      </c>
      <c r="J10255" t="s">
        <v>1357</v>
      </c>
      <c r="K10255" t="s">
        <v>1357</v>
      </c>
      <c r="L10255" t="s">
        <v>1357</v>
      </c>
    </row>
    <row r="10256" spans="8:12">
      <c r="H10256" t="s">
        <v>21889</v>
      </c>
      <c r="I10256" t="s">
        <v>1357</v>
      </c>
      <c r="J10256" t="s">
        <v>1357</v>
      </c>
      <c r="K10256" t="s">
        <v>1357</v>
      </c>
      <c r="L10256" t="s">
        <v>1357</v>
      </c>
    </row>
    <row r="10257" spans="6:12">
      <c r="H10257" t="s">
        <v>21890</v>
      </c>
      <c r="I10257" t="s">
        <v>1357</v>
      </c>
      <c r="J10257" t="s">
        <v>1357</v>
      </c>
      <c r="K10257" t="s">
        <v>1357</v>
      </c>
      <c r="L10257" t="s">
        <v>1357</v>
      </c>
    </row>
    <row r="10258" spans="6:12">
      <c r="H10258" t="s">
        <v>21891</v>
      </c>
      <c r="I10258" t="s">
        <v>1357</v>
      </c>
      <c r="J10258" t="s">
        <v>1357</v>
      </c>
      <c r="K10258" t="s">
        <v>1357</v>
      </c>
      <c r="L10258" t="s">
        <v>1357</v>
      </c>
    </row>
    <row r="10259" spans="6:12">
      <c r="F10259" t="s">
        <v>16108</v>
      </c>
      <c r="G10259" t="s">
        <v>18797</v>
      </c>
      <c r="H10259" t="s">
        <v>21892</v>
      </c>
      <c r="I10259" t="s">
        <v>1357</v>
      </c>
      <c r="J10259" t="s">
        <v>1357</v>
      </c>
      <c r="K10259" t="s">
        <v>1357</v>
      </c>
      <c r="L10259" t="s">
        <v>1357</v>
      </c>
    </row>
    <row r="10260" spans="6:12">
      <c r="H10260" t="s">
        <v>21893</v>
      </c>
      <c r="I10260" t="s">
        <v>1357</v>
      </c>
      <c r="J10260" t="s">
        <v>1357</v>
      </c>
      <c r="K10260" t="s">
        <v>1357</v>
      </c>
      <c r="L10260" t="s">
        <v>1357</v>
      </c>
    </row>
    <row r="10261" spans="6:12">
      <c r="H10261" t="s">
        <v>21894</v>
      </c>
      <c r="I10261" t="s">
        <v>1357</v>
      </c>
      <c r="J10261" t="s">
        <v>1357</v>
      </c>
      <c r="K10261" t="s">
        <v>1357</v>
      </c>
      <c r="L10261" t="s">
        <v>1357</v>
      </c>
    </row>
    <row r="10262" spans="6:12">
      <c r="H10262" t="s">
        <v>21895</v>
      </c>
      <c r="I10262" t="s">
        <v>1357</v>
      </c>
      <c r="J10262" t="s">
        <v>1357</v>
      </c>
      <c r="K10262" t="s">
        <v>1357</v>
      </c>
      <c r="L10262" t="s">
        <v>1357</v>
      </c>
    </row>
    <row r="10263" spans="6:12">
      <c r="F10263" t="s">
        <v>16109</v>
      </c>
      <c r="G10263" t="s">
        <v>18798</v>
      </c>
      <c r="H10263" t="s">
        <v>21896</v>
      </c>
      <c r="I10263" t="s">
        <v>1357</v>
      </c>
      <c r="J10263" t="s">
        <v>1357</v>
      </c>
      <c r="K10263" t="s">
        <v>1357</v>
      </c>
      <c r="L10263" t="s">
        <v>1357</v>
      </c>
    </row>
    <row r="10264" spans="6:12">
      <c r="H10264" t="s">
        <v>21897</v>
      </c>
      <c r="I10264" t="s">
        <v>1357</v>
      </c>
      <c r="J10264" t="s">
        <v>1357</v>
      </c>
      <c r="K10264" t="s">
        <v>1357</v>
      </c>
      <c r="L10264" t="s">
        <v>1357</v>
      </c>
    </row>
    <row r="10265" spans="6:12">
      <c r="H10265" t="s">
        <v>21898</v>
      </c>
      <c r="I10265" t="s">
        <v>1357</v>
      </c>
      <c r="J10265" t="s">
        <v>1357</v>
      </c>
      <c r="K10265" t="s">
        <v>1357</v>
      </c>
      <c r="L10265" t="s">
        <v>1357</v>
      </c>
    </row>
    <row r="10266" spans="6:12">
      <c r="F10266" t="s">
        <v>16110</v>
      </c>
      <c r="G10266" t="s">
        <v>18799</v>
      </c>
      <c r="H10266" t="s">
        <v>21899</v>
      </c>
      <c r="I10266" t="s">
        <v>1357</v>
      </c>
      <c r="J10266" t="s">
        <v>1357</v>
      </c>
      <c r="K10266" t="s">
        <v>1357</v>
      </c>
      <c r="L10266" t="s">
        <v>1357</v>
      </c>
    </row>
    <row r="10267" spans="6:12">
      <c r="H10267" t="s">
        <v>21900</v>
      </c>
      <c r="I10267" t="s">
        <v>1357</v>
      </c>
      <c r="J10267" t="s">
        <v>1357</v>
      </c>
      <c r="K10267" t="s">
        <v>1357</v>
      </c>
      <c r="L10267" t="s">
        <v>1357</v>
      </c>
    </row>
    <row r="10268" spans="6:12">
      <c r="H10268" t="s">
        <v>21901</v>
      </c>
      <c r="I10268" t="s">
        <v>1357</v>
      </c>
      <c r="J10268" t="s">
        <v>1357</v>
      </c>
      <c r="K10268" t="s">
        <v>1357</v>
      </c>
      <c r="L10268" t="s">
        <v>1357</v>
      </c>
    </row>
    <row r="10269" spans="6:12">
      <c r="H10269" t="s">
        <v>21902</v>
      </c>
      <c r="I10269" t="s">
        <v>1357</v>
      </c>
      <c r="J10269" t="s">
        <v>1357</v>
      </c>
      <c r="K10269" t="s">
        <v>1357</v>
      </c>
      <c r="L10269" t="s">
        <v>1357</v>
      </c>
    </row>
    <row r="10270" spans="6:12">
      <c r="H10270" t="s">
        <v>21903</v>
      </c>
      <c r="I10270" t="s">
        <v>1357</v>
      </c>
      <c r="J10270" t="s">
        <v>1357</v>
      </c>
      <c r="K10270" t="s">
        <v>1357</v>
      </c>
      <c r="L10270" t="s">
        <v>1357</v>
      </c>
    </row>
    <row r="10271" spans="6:12">
      <c r="F10271" t="s">
        <v>16111</v>
      </c>
      <c r="G10271" t="s">
        <v>18800</v>
      </c>
      <c r="H10271" t="s">
        <v>21904</v>
      </c>
      <c r="I10271" t="s">
        <v>1357</v>
      </c>
      <c r="J10271" t="s">
        <v>1357</v>
      </c>
      <c r="K10271" t="s">
        <v>1357</v>
      </c>
      <c r="L10271" t="s">
        <v>1357</v>
      </c>
    </row>
    <row r="10272" spans="6:12">
      <c r="H10272" t="s">
        <v>21905</v>
      </c>
      <c r="I10272" t="s">
        <v>1357</v>
      </c>
      <c r="J10272" t="s">
        <v>1357</v>
      </c>
      <c r="K10272" t="s">
        <v>1357</v>
      </c>
      <c r="L10272" t="s">
        <v>1357</v>
      </c>
    </row>
    <row r="10273" spans="1:12">
      <c r="H10273" t="s">
        <v>21906</v>
      </c>
      <c r="I10273" t="s">
        <v>1357</v>
      </c>
      <c r="J10273" t="s">
        <v>1357</v>
      </c>
      <c r="K10273" t="s">
        <v>1357</v>
      </c>
      <c r="L10273" t="s">
        <v>1357</v>
      </c>
    </row>
    <row r="10274" spans="1:12">
      <c r="H10274" t="s">
        <v>21907</v>
      </c>
      <c r="I10274" t="s">
        <v>1357</v>
      </c>
      <c r="J10274" t="s">
        <v>1357</v>
      </c>
      <c r="K10274" t="s">
        <v>1357</v>
      </c>
      <c r="L10274" t="s">
        <v>1357</v>
      </c>
    </row>
    <row r="10275" spans="1:12">
      <c r="H10275" t="s">
        <v>21908</v>
      </c>
      <c r="I10275" t="s">
        <v>1357</v>
      </c>
      <c r="J10275" t="s">
        <v>1357</v>
      </c>
      <c r="K10275" t="s">
        <v>1357</v>
      </c>
      <c r="L10275" t="s">
        <v>1357</v>
      </c>
    </row>
    <row r="10276" spans="1:12">
      <c r="H10276" t="s">
        <v>21909</v>
      </c>
      <c r="I10276" t="s">
        <v>1357</v>
      </c>
      <c r="J10276" t="s">
        <v>1357</v>
      </c>
      <c r="K10276" t="s">
        <v>1357</v>
      </c>
      <c r="L10276" t="s">
        <v>1357</v>
      </c>
    </row>
    <row r="10277" spans="1:12">
      <c r="H10277" t="s">
        <v>21910</v>
      </c>
      <c r="I10277" t="s">
        <v>1357</v>
      </c>
      <c r="J10277" t="s">
        <v>1357</v>
      </c>
      <c r="K10277" t="s">
        <v>1357</v>
      </c>
      <c r="L10277" t="s">
        <v>1357</v>
      </c>
    </row>
    <row r="10278" spans="1:12">
      <c r="H10278" t="s">
        <v>21911</v>
      </c>
      <c r="I10278" t="s">
        <v>1357</v>
      </c>
      <c r="J10278" t="s">
        <v>1357</v>
      </c>
      <c r="K10278" t="s">
        <v>1357</v>
      </c>
      <c r="L10278" t="s">
        <v>1357</v>
      </c>
    </row>
    <row r="10279" spans="1:12">
      <c r="F10279" t="s">
        <v>16112</v>
      </c>
      <c r="G10279" t="s">
        <v>18801</v>
      </c>
      <c r="H10279" t="s">
        <v>21912</v>
      </c>
      <c r="I10279" t="s">
        <v>1357</v>
      </c>
      <c r="J10279" t="s">
        <v>1357</v>
      </c>
      <c r="K10279" t="s">
        <v>1357</v>
      </c>
      <c r="L10279" t="s">
        <v>1357</v>
      </c>
    </row>
    <row r="10280" spans="1:12">
      <c r="H10280" t="s">
        <v>21900</v>
      </c>
      <c r="I10280" t="s">
        <v>1357</v>
      </c>
      <c r="J10280" t="s">
        <v>1357</v>
      </c>
      <c r="K10280" t="s">
        <v>1357</v>
      </c>
      <c r="L10280" t="s">
        <v>1357</v>
      </c>
    </row>
    <row r="10281" spans="1:12">
      <c r="F10281" t="s">
        <v>16113</v>
      </c>
      <c r="G10281" t="s">
        <v>18802</v>
      </c>
      <c r="H10281" t="s">
        <v>21913</v>
      </c>
      <c r="I10281" t="s">
        <v>1357</v>
      </c>
      <c r="J10281" t="s">
        <v>1357</v>
      </c>
      <c r="K10281" t="s">
        <v>1357</v>
      </c>
      <c r="L10281" t="s">
        <v>1357</v>
      </c>
    </row>
    <row r="10282" spans="1:12">
      <c r="F10282" t="s">
        <v>16114</v>
      </c>
      <c r="G10282" t="s">
        <v>18803</v>
      </c>
      <c r="H10282" t="s">
        <v>21914</v>
      </c>
      <c r="I10282" t="s">
        <v>1357</v>
      </c>
      <c r="J10282" t="s">
        <v>1357</v>
      </c>
      <c r="K10282" t="s">
        <v>1357</v>
      </c>
      <c r="L10282" t="s">
        <v>1357</v>
      </c>
    </row>
    <row r="10283" spans="1:12">
      <c r="H10283" t="s">
        <v>21915</v>
      </c>
      <c r="I10283" t="s">
        <v>1357</v>
      </c>
      <c r="J10283" t="s">
        <v>1357</v>
      </c>
      <c r="K10283" t="s">
        <v>1357</v>
      </c>
      <c r="L10283" t="s">
        <v>1357</v>
      </c>
    </row>
    <row r="10284" spans="1:12">
      <c r="H10284" t="s">
        <v>21916</v>
      </c>
      <c r="I10284" t="s">
        <v>1357</v>
      </c>
      <c r="J10284" t="s">
        <v>1357</v>
      </c>
      <c r="K10284" t="s">
        <v>1357</v>
      </c>
      <c r="L10284" t="s">
        <v>1357</v>
      </c>
    </row>
    <row r="10285" spans="1:12">
      <c r="H10285" t="s">
        <v>21917</v>
      </c>
      <c r="I10285" t="s">
        <v>1357</v>
      </c>
      <c r="J10285" t="s">
        <v>1357</v>
      </c>
      <c r="K10285" t="s">
        <v>1357</v>
      </c>
      <c r="L10285" t="s">
        <v>1357</v>
      </c>
    </row>
    <row r="10286" spans="1:12">
      <c r="H10286" t="s">
        <v>21918</v>
      </c>
      <c r="I10286" t="s">
        <v>1357</v>
      </c>
      <c r="J10286" t="s">
        <v>1357</v>
      </c>
      <c r="K10286" t="s">
        <v>1357</v>
      </c>
      <c r="L10286" t="s">
        <v>1357</v>
      </c>
    </row>
    <row r="10287" spans="1:12">
      <c r="F10287" t="s">
        <v>16115</v>
      </c>
      <c r="G10287" t="s">
        <v>18804</v>
      </c>
      <c r="H10287" t="s">
        <v>21918</v>
      </c>
      <c r="I10287" t="s">
        <v>1357</v>
      </c>
      <c r="J10287" t="s">
        <v>1357</v>
      </c>
      <c r="K10287" t="s">
        <v>1357</v>
      </c>
      <c r="L10287" t="s">
        <v>1357</v>
      </c>
    </row>
    <row r="10288" spans="1:12">
      <c r="A10288" t="s">
        <v>10357</v>
      </c>
      <c r="B10288">
        <f>HYPERLINK("https://android.googlesource.com/platform/cts/+/cdd549d382c1b8a27cfaf0daf048b493713ffe2e", "cdd549d382c1b8a27cfaf0daf048b493713ffe2e")</f>
        <v>0</v>
      </c>
      <c r="C10288">
        <f>HYPERLINK("https://android.googlesource.com/platform/cts/+/5eb0beea1659a29d1a0d8bff4e6ee2d583c860d3", "5eb0beea1659a29d1a0d8bff4e6ee2d583c860d3")</f>
        <v>0</v>
      </c>
      <c r="D10288" t="s">
        <v>12021</v>
      </c>
      <c r="E10288" t="s">
        <v>12917</v>
      </c>
      <c r="F10288" t="s">
        <v>16116</v>
      </c>
      <c r="G10288" t="s">
        <v>18805</v>
      </c>
      <c r="H10288" t="s">
        <v>4574</v>
      </c>
      <c r="I10288" t="s">
        <v>1358</v>
      </c>
      <c r="J10288" t="s">
        <v>1358</v>
      </c>
      <c r="K10288" t="s">
        <v>1358</v>
      </c>
      <c r="L10288" t="s">
        <v>1358</v>
      </c>
    </row>
    <row r="10289" spans="1:14">
      <c r="A10289" t="s">
        <v>10358</v>
      </c>
      <c r="B10289">
        <f>HYPERLINK("https://android.googlesource.com/platform/cts/+/0ce632b8a1c66dc41690aec328f086eeda429768", "0ce632b8a1c66dc41690aec328f086eeda429768")</f>
        <v>0</v>
      </c>
      <c r="C10289">
        <f>HYPERLINK("https://android.googlesource.com/platform/cts/+/1c28c69c33fd2e8b84b22b240ca96c1df105e2fd", "1c28c69c33fd2e8b84b22b240ca96c1df105e2fd")</f>
        <v>0</v>
      </c>
      <c r="D10289" t="s">
        <v>12021</v>
      </c>
      <c r="E10289" t="s">
        <v>12918</v>
      </c>
      <c r="F10289" t="s">
        <v>16116</v>
      </c>
      <c r="G10289" t="s">
        <v>18805</v>
      </c>
      <c r="H10289" t="s">
        <v>4574</v>
      </c>
      <c r="I10289" t="s">
        <v>1358</v>
      </c>
      <c r="J10289" t="s">
        <v>1358</v>
      </c>
      <c r="K10289" t="s">
        <v>1358</v>
      </c>
      <c r="L10289" t="s">
        <v>1358</v>
      </c>
      <c r="M10289" t="s">
        <v>27476</v>
      </c>
    </row>
    <row r="10290" spans="1:14">
      <c r="A10290" t="s">
        <v>10359</v>
      </c>
      <c r="B10290">
        <f>HYPERLINK("https://android.googlesource.com/platform/cts/+/e65428769e4a484882f1f5ad4c002f53f8fff984", "e65428769e4a484882f1f5ad4c002f53f8fff984")</f>
        <v>0</v>
      </c>
      <c r="C10290">
        <f>HYPERLINK("https://android.googlesource.com/platform/cts/+/58581c3d1286052a6552c8c9c180f0fff89c3dad", "58581c3d1286052a6552c8c9c180f0fff89c3dad")</f>
        <v>0</v>
      </c>
      <c r="D10290" t="s">
        <v>12088</v>
      </c>
      <c r="E10290" t="s">
        <v>12919</v>
      </c>
      <c r="F10290" t="s">
        <v>16117</v>
      </c>
      <c r="G10290" t="s">
        <v>18806</v>
      </c>
      <c r="H10290" t="s">
        <v>21919</v>
      </c>
      <c r="I10290" t="s">
        <v>1357</v>
      </c>
      <c r="J10290" t="s">
        <v>1357</v>
      </c>
      <c r="K10290" t="s">
        <v>1357</v>
      </c>
      <c r="L10290" t="s">
        <v>1357</v>
      </c>
    </row>
    <row r="10291" spans="1:14">
      <c r="H10291" t="s">
        <v>21920</v>
      </c>
      <c r="I10291" t="s">
        <v>1357</v>
      </c>
      <c r="J10291" t="s">
        <v>1357</v>
      </c>
      <c r="K10291" t="s">
        <v>1357</v>
      </c>
      <c r="L10291" t="s">
        <v>1357</v>
      </c>
    </row>
    <row r="10292" spans="1:14">
      <c r="A10292" t="s">
        <v>10360</v>
      </c>
      <c r="B10292">
        <f>HYPERLINK("https://android.googlesource.com/platform/cts/+/d8b2afae65d0b261d6ff3aaa77863a32adea6aa7", "d8b2afae65d0b261d6ff3aaa77863a32adea6aa7")</f>
        <v>0</v>
      </c>
      <c r="C10292">
        <f>HYPERLINK("https://android.googlesource.com/platform/cts/+/be10ebbd9d0fa1e05bbb1b654f4ee539b29e2869", "be10ebbd9d0fa1e05bbb1b654f4ee539b29e2869")</f>
        <v>0</v>
      </c>
      <c r="D10292" t="s">
        <v>12089</v>
      </c>
      <c r="E10292" t="s">
        <v>12920</v>
      </c>
      <c r="F10292" t="s">
        <v>16035</v>
      </c>
      <c r="G10292" t="s">
        <v>18726</v>
      </c>
      <c r="H10292" t="s">
        <v>21921</v>
      </c>
      <c r="I10292" t="s">
        <v>1357</v>
      </c>
      <c r="J10292" t="s">
        <v>1357</v>
      </c>
      <c r="K10292" t="s">
        <v>1357</v>
      </c>
      <c r="L10292" t="s">
        <v>1357</v>
      </c>
    </row>
    <row r="10293" spans="1:14">
      <c r="A10293" t="s">
        <v>10361</v>
      </c>
      <c r="B10293">
        <f>HYPERLINK("https://android.googlesource.com/platform/cts/+/a99ccd9b2069ad63a404c8fe6b613fa37fd908c8", "a99ccd9b2069ad63a404c8fe6b613fa37fd908c8")</f>
        <v>0</v>
      </c>
      <c r="C10293">
        <f>HYPERLINK("https://android.googlesource.com/platform/cts/+/0bad9e7cd049ef3379708d030a19ce355cc3472d", "0bad9e7cd049ef3379708d030a19ce355cc3472d")</f>
        <v>0</v>
      </c>
      <c r="D10293" t="s">
        <v>12090</v>
      </c>
      <c r="E10293" t="s">
        <v>12921</v>
      </c>
      <c r="F10293" t="s">
        <v>16118</v>
      </c>
      <c r="G10293" t="s">
        <v>18807</v>
      </c>
      <c r="H10293" t="s">
        <v>21922</v>
      </c>
      <c r="I10293" t="s">
        <v>1357</v>
      </c>
      <c r="J10293" t="s">
        <v>1357</v>
      </c>
      <c r="K10293" t="s">
        <v>1357</v>
      </c>
      <c r="L10293" t="s">
        <v>1357</v>
      </c>
    </row>
    <row r="10294" spans="1:14">
      <c r="F10294" t="s">
        <v>16119</v>
      </c>
      <c r="G10294" t="s">
        <v>18808</v>
      </c>
      <c r="H10294" t="s">
        <v>21923</v>
      </c>
      <c r="I10294" t="s">
        <v>1357</v>
      </c>
      <c r="J10294" t="s">
        <v>1357</v>
      </c>
      <c r="K10294" t="s">
        <v>1357</v>
      </c>
      <c r="L10294" t="s">
        <v>1357</v>
      </c>
    </row>
    <row r="10295" spans="1:14">
      <c r="H10295" t="s">
        <v>21924</v>
      </c>
      <c r="I10295" t="s">
        <v>1357</v>
      </c>
      <c r="J10295" t="s">
        <v>1357</v>
      </c>
      <c r="K10295" t="s">
        <v>1357</v>
      </c>
      <c r="L10295" t="s">
        <v>1357</v>
      </c>
    </row>
    <row r="10296" spans="1:14">
      <c r="A10296" t="s">
        <v>10362</v>
      </c>
      <c r="B10296">
        <f>HYPERLINK("https://android.googlesource.com/platform/cts/+/b36d21caa07701fab51142ee3880406402b3a9d2", "b36d21caa07701fab51142ee3880406402b3a9d2")</f>
        <v>0</v>
      </c>
      <c r="C10296">
        <f>HYPERLINK("https://android.googlesource.com/platform/cts/+/f5f73c32459a18fc8809c3f13603b86db7e3d2ea", "f5f73c32459a18fc8809c3f13603b86db7e3d2ea")</f>
        <v>0</v>
      </c>
      <c r="D10296" t="s">
        <v>12090</v>
      </c>
      <c r="E10296" t="s">
        <v>12922</v>
      </c>
      <c r="F10296" t="s">
        <v>16118</v>
      </c>
      <c r="G10296" t="s">
        <v>18807</v>
      </c>
      <c r="H10296" t="s">
        <v>21922</v>
      </c>
      <c r="I10296" t="s">
        <v>1357</v>
      </c>
      <c r="J10296" t="s">
        <v>1357</v>
      </c>
      <c r="K10296" t="s">
        <v>1357</v>
      </c>
      <c r="L10296" t="s">
        <v>1357</v>
      </c>
      <c r="M10296" t="s">
        <v>27476</v>
      </c>
    </row>
    <row r="10297" spans="1:14">
      <c r="F10297" t="s">
        <v>16119</v>
      </c>
      <c r="G10297" t="s">
        <v>18808</v>
      </c>
      <c r="H10297" t="s">
        <v>21923</v>
      </c>
      <c r="I10297" t="s">
        <v>1357</v>
      </c>
      <c r="J10297" t="s">
        <v>1357</v>
      </c>
      <c r="K10297" t="s">
        <v>1357</v>
      </c>
      <c r="L10297" t="s">
        <v>1357</v>
      </c>
    </row>
    <row r="10298" spans="1:14">
      <c r="H10298" t="s">
        <v>21924</v>
      </c>
      <c r="I10298" t="s">
        <v>1357</v>
      </c>
      <c r="J10298" t="s">
        <v>1357</v>
      </c>
      <c r="K10298" t="s">
        <v>1357</v>
      </c>
      <c r="L10298" t="s">
        <v>1357</v>
      </c>
    </row>
    <row r="10299" spans="1:14">
      <c r="A10299" t="s">
        <v>10363</v>
      </c>
      <c r="B10299">
        <f>HYPERLINK("https://android.googlesource.com/platform/cts/+/6085547eed5ccd4982a2ed0fa9ea69bbf620f435", "6085547eed5ccd4982a2ed0fa9ea69bbf620f435")</f>
        <v>0</v>
      </c>
      <c r="C10299">
        <f>HYPERLINK("https://android.googlesource.com/platform/cts/+/79ed2fbc34e4c1c740e5ceb8f9aaef164d8cbe7c", "79ed2fbc34e4c1c740e5ceb8f9aaef164d8cbe7c")</f>
        <v>0</v>
      </c>
      <c r="D10299" t="s">
        <v>12043</v>
      </c>
      <c r="E10299" t="s">
        <v>12923</v>
      </c>
      <c r="F10299" t="s">
        <v>16120</v>
      </c>
      <c r="G10299" t="s">
        <v>18809</v>
      </c>
      <c r="H10299" t="s">
        <v>21925</v>
      </c>
      <c r="I10299" t="s">
        <v>1357</v>
      </c>
      <c r="J10299" t="s">
        <v>1357</v>
      </c>
      <c r="K10299" t="s">
        <v>1357</v>
      </c>
      <c r="L10299" t="s">
        <v>1357</v>
      </c>
    </row>
    <row r="10300" spans="1:14">
      <c r="A10300" t="s">
        <v>10364</v>
      </c>
      <c r="B10300">
        <f>HYPERLINK("https://android.googlesource.com/platform/cts/+/6b345c6f97dcc722caa93454db51f79417bfa07f", "6b345c6f97dcc722caa93454db51f79417bfa07f")</f>
        <v>0</v>
      </c>
      <c r="C10300">
        <f>HYPERLINK("https://android.googlesource.com/platform/cts/+/0e9f6c97bd7c7b514c0ff491ea9b0b7700db9da8", "0e9f6c97bd7c7b514c0ff491ea9b0b7700db9da8")</f>
        <v>0</v>
      </c>
      <c r="D10300" t="s">
        <v>12091</v>
      </c>
      <c r="E10300" t="s">
        <v>12924</v>
      </c>
      <c r="F10300" t="s">
        <v>16121</v>
      </c>
      <c r="G10300" t="s">
        <v>18810</v>
      </c>
      <c r="H10300" t="s">
        <v>21926</v>
      </c>
      <c r="I10300" t="s">
        <v>1357</v>
      </c>
      <c r="J10300" t="s">
        <v>1357</v>
      </c>
      <c r="K10300" t="s">
        <v>1357</v>
      </c>
      <c r="L10300" t="s">
        <v>1357</v>
      </c>
    </row>
    <row r="10301" spans="1:14">
      <c r="H10301" t="s">
        <v>21927</v>
      </c>
      <c r="I10301" t="s">
        <v>1357</v>
      </c>
      <c r="J10301" t="s">
        <v>1357</v>
      </c>
      <c r="K10301" t="s">
        <v>1357</v>
      </c>
      <c r="L10301" t="s">
        <v>1357</v>
      </c>
    </row>
    <row r="10302" spans="1:14">
      <c r="A10302" t="s">
        <v>10365</v>
      </c>
      <c r="B10302">
        <f>HYPERLINK("https://android.googlesource.com/platform/cts/+/7f70ff05c578db6bf7ef6d51563a440d9afe6a91", "7f70ff05c578db6bf7ef6d51563a440d9afe6a91")</f>
        <v>0</v>
      </c>
      <c r="C10302">
        <f>HYPERLINK("https://android.googlesource.com/platform/cts/+/88137b334ea55a358860a470da58b0b8989acc3a", "88137b334ea55a358860a470da58b0b8989acc3a")</f>
        <v>0</v>
      </c>
      <c r="D10302" t="s">
        <v>12092</v>
      </c>
      <c r="E10302" t="s">
        <v>12925</v>
      </c>
      <c r="F10302" t="s">
        <v>16122</v>
      </c>
      <c r="G10302" t="s">
        <v>18811</v>
      </c>
      <c r="H10302" t="s">
        <v>21928</v>
      </c>
      <c r="I10302" t="s">
        <v>1358</v>
      </c>
      <c r="J10302" t="s">
        <v>1358</v>
      </c>
      <c r="K10302" t="s">
        <v>1358</v>
      </c>
      <c r="L10302" t="s">
        <v>1358</v>
      </c>
      <c r="M10302" t="s">
        <v>27484</v>
      </c>
      <c r="N10302" t="s">
        <v>27507</v>
      </c>
    </row>
    <row r="10303" spans="1:14">
      <c r="A10303" t="s">
        <v>10366</v>
      </c>
      <c r="B10303">
        <f>HYPERLINK("https://android.googlesource.com/platform/cts/+/cdff076b35898bc9649f3fe4fcafc265022b4acb", "cdff076b35898bc9649f3fe4fcafc265022b4acb")</f>
        <v>0</v>
      </c>
      <c r="C10303">
        <f>HYPERLINK("https://android.googlesource.com/platform/cts/+/c87c845e78c253d88ce4fbac03d9bc62b6bd056d", "c87c845e78c253d88ce4fbac03d9bc62b6bd056d")</f>
        <v>0</v>
      </c>
      <c r="D10303" t="s">
        <v>12093</v>
      </c>
      <c r="E10303" t="s">
        <v>12926</v>
      </c>
      <c r="F10303" t="s">
        <v>16123</v>
      </c>
      <c r="G10303" t="s">
        <v>18812</v>
      </c>
      <c r="H10303" t="s">
        <v>21929</v>
      </c>
      <c r="I10303" t="s">
        <v>1357</v>
      </c>
      <c r="J10303" t="s">
        <v>1357</v>
      </c>
      <c r="K10303" t="s">
        <v>1357</v>
      </c>
      <c r="L10303" t="s">
        <v>1357</v>
      </c>
    </row>
    <row r="10304" spans="1:14">
      <c r="F10304" t="s">
        <v>16124</v>
      </c>
      <c r="G10304" t="s">
        <v>18812</v>
      </c>
      <c r="H10304" t="s">
        <v>21929</v>
      </c>
      <c r="I10304" t="s">
        <v>1357</v>
      </c>
      <c r="J10304" t="s">
        <v>1357</v>
      </c>
      <c r="K10304" t="s">
        <v>1357</v>
      </c>
      <c r="L10304" t="s">
        <v>1357</v>
      </c>
    </row>
    <row r="10305" spans="1:14">
      <c r="F10305" t="s">
        <v>16125</v>
      </c>
      <c r="G10305" t="s">
        <v>18812</v>
      </c>
      <c r="H10305" t="s">
        <v>21929</v>
      </c>
      <c r="I10305" t="s">
        <v>1357</v>
      </c>
      <c r="J10305" t="s">
        <v>1357</v>
      </c>
      <c r="K10305" t="s">
        <v>1357</v>
      </c>
      <c r="L10305" t="s">
        <v>1357</v>
      </c>
    </row>
    <row r="10306" spans="1:14">
      <c r="F10306" t="s">
        <v>16126</v>
      </c>
      <c r="G10306" t="s">
        <v>18812</v>
      </c>
      <c r="H10306" t="s">
        <v>21929</v>
      </c>
      <c r="I10306" t="s">
        <v>1357</v>
      </c>
      <c r="J10306" t="s">
        <v>1357</v>
      </c>
      <c r="K10306" t="s">
        <v>1357</v>
      </c>
      <c r="L10306" t="s">
        <v>1357</v>
      </c>
    </row>
    <row r="10307" spans="1:14">
      <c r="F10307" t="s">
        <v>16127</v>
      </c>
      <c r="G10307" t="s">
        <v>18812</v>
      </c>
      <c r="H10307" t="s">
        <v>21929</v>
      </c>
      <c r="I10307" t="s">
        <v>1357</v>
      </c>
      <c r="J10307" t="s">
        <v>1357</v>
      </c>
      <c r="K10307" t="s">
        <v>1357</v>
      </c>
      <c r="L10307" t="s">
        <v>1357</v>
      </c>
    </row>
    <row r="10308" spans="1:14">
      <c r="A10308" t="s">
        <v>10367</v>
      </c>
      <c r="B10308">
        <f>HYPERLINK("https://android.googlesource.com/platform/cts/+/bf2b39b52934c754024d426b069ace1719d4f7ce", "bf2b39b52934c754024d426b069ace1719d4f7ce")</f>
        <v>0</v>
      </c>
      <c r="C10308">
        <f>HYPERLINK("https://android.googlesource.com/platform/cts/+/a36acb55ca5a134b3bbae31d74b524ce0272dbdf", "a36acb55ca5a134b3bbae31d74b524ce0272dbdf")</f>
        <v>0</v>
      </c>
      <c r="D10308" t="s">
        <v>12093</v>
      </c>
      <c r="E10308" t="s">
        <v>12927</v>
      </c>
      <c r="F10308" t="s">
        <v>16128</v>
      </c>
      <c r="G10308" t="s">
        <v>18813</v>
      </c>
      <c r="H10308" t="s">
        <v>21930</v>
      </c>
      <c r="I10308" t="s">
        <v>1357</v>
      </c>
      <c r="J10308" t="s">
        <v>1357</v>
      </c>
      <c r="K10308" t="s">
        <v>1357</v>
      </c>
      <c r="L10308" t="s">
        <v>1357</v>
      </c>
    </row>
    <row r="10309" spans="1:14">
      <c r="H10309" t="s">
        <v>21931</v>
      </c>
      <c r="I10309" t="s">
        <v>1357</v>
      </c>
      <c r="J10309" t="s">
        <v>1357</v>
      </c>
      <c r="K10309" t="s">
        <v>1357</v>
      </c>
      <c r="L10309" t="s">
        <v>1357</v>
      </c>
    </row>
    <row r="10310" spans="1:14">
      <c r="H10310" t="s">
        <v>21932</v>
      </c>
      <c r="I10310" t="s">
        <v>1357</v>
      </c>
      <c r="J10310" t="s">
        <v>1357</v>
      </c>
      <c r="K10310" t="s">
        <v>1357</v>
      </c>
      <c r="L10310" t="s">
        <v>1357</v>
      </c>
    </row>
    <row r="10311" spans="1:14">
      <c r="H10311" t="s">
        <v>21933</v>
      </c>
      <c r="I10311" t="s">
        <v>1357</v>
      </c>
      <c r="J10311" t="s">
        <v>1357</v>
      </c>
      <c r="K10311" t="s">
        <v>1357</v>
      </c>
      <c r="L10311" t="s">
        <v>1357</v>
      </c>
    </row>
    <row r="10312" spans="1:14">
      <c r="A10312" t="s">
        <v>10368</v>
      </c>
      <c r="B10312">
        <f>HYPERLINK("https://android.googlesource.com/platform/cts/+/a41d49723a200eec6af9c9504a961cb2df306295", "a41d49723a200eec6af9c9504a961cb2df306295")</f>
        <v>0</v>
      </c>
      <c r="C10312">
        <f>HYPERLINK("https://android.googlesource.com/platform/cts/+/b54aa51c35a40855fd6fae092a831a7807f39ea2", "b54aa51c35a40855fd6fae092a831a7807f39ea2")</f>
        <v>0</v>
      </c>
      <c r="D10312" t="s">
        <v>12070</v>
      </c>
      <c r="E10312" t="s">
        <v>12928</v>
      </c>
      <c r="F10312" t="s">
        <v>16117</v>
      </c>
      <c r="G10312" t="s">
        <v>18806</v>
      </c>
      <c r="H10312" t="s">
        <v>21919</v>
      </c>
      <c r="I10312" t="s">
        <v>1357</v>
      </c>
      <c r="J10312" t="s">
        <v>1357</v>
      </c>
      <c r="K10312" t="s">
        <v>1357</v>
      </c>
      <c r="L10312" t="s">
        <v>1357</v>
      </c>
    </row>
    <row r="10313" spans="1:14">
      <c r="H10313" t="s">
        <v>21920</v>
      </c>
      <c r="I10313" t="s">
        <v>1357</v>
      </c>
      <c r="J10313" t="s">
        <v>1357</v>
      </c>
      <c r="K10313" t="s">
        <v>1357</v>
      </c>
      <c r="L10313" t="s">
        <v>1357</v>
      </c>
    </row>
    <row r="10314" spans="1:14">
      <c r="F10314" t="s">
        <v>16120</v>
      </c>
      <c r="G10314" t="s">
        <v>18809</v>
      </c>
      <c r="H10314" t="s">
        <v>21925</v>
      </c>
      <c r="I10314" t="s">
        <v>1357</v>
      </c>
      <c r="J10314" t="s">
        <v>1357</v>
      </c>
      <c r="K10314" t="s">
        <v>1357</v>
      </c>
      <c r="L10314" t="s">
        <v>1357</v>
      </c>
    </row>
    <row r="10315" spans="1:14">
      <c r="A10315" t="s">
        <v>10369</v>
      </c>
      <c r="B10315">
        <f>HYPERLINK("https://android.googlesource.com/platform/cts/+/c12f929f29d662edf9cdaf54fc692c117c891e06", "c12f929f29d662edf9cdaf54fc692c117c891e06")</f>
        <v>0</v>
      </c>
      <c r="C10315">
        <f>HYPERLINK("https://android.googlesource.com/platform/cts/+/0689c24229072071cfe5c4fa89e27b815e506523", "0689c24229072071cfe5c4fa89e27b815e506523")</f>
        <v>0</v>
      </c>
      <c r="D10315" t="s">
        <v>12021</v>
      </c>
      <c r="E10315" t="s">
        <v>12929</v>
      </c>
      <c r="F10315" t="s">
        <v>16096</v>
      </c>
      <c r="G10315" t="s">
        <v>18785</v>
      </c>
      <c r="H10315" t="s">
        <v>21934</v>
      </c>
      <c r="I10315" t="s">
        <v>1357</v>
      </c>
      <c r="J10315" t="s">
        <v>1357</v>
      </c>
      <c r="K10315" t="s">
        <v>1357</v>
      </c>
      <c r="L10315" t="s">
        <v>1357</v>
      </c>
      <c r="N10315" t="s">
        <v>1360</v>
      </c>
    </row>
    <row r="10316" spans="1:14">
      <c r="H10316" t="s">
        <v>21935</v>
      </c>
      <c r="I10316" t="s">
        <v>1357</v>
      </c>
      <c r="J10316" t="s">
        <v>1357</v>
      </c>
      <c r="K10316" t="s">
        <v>1357</v>
      </c>
      <c r="L10316" t="s">
        <v>1357</v>
      </c>
      <c r="M10316" t="s">
        <v>27485</v>
      </c>
      <c r="N10316" t="s">
        <v>1360</v>
      </c>
    </row>
    <row r="10317" spans="1:14">
      <c r="H10317" t="s">
        <v>21936</v>
      </c>
      <c r="I10317" t="s">
        <v>1357</v>
      </c>
      <c r="J10317" t="s">
        <v>1357</v>
      </c>
      <c r="K10317" t="s">
        <v>1357</v>
      </c>
      <c r="L10317" t="s">
        <v>1357</v>
      </c>
      <c r="M10317" t="s">
        <v>27485</v>
      </c>
      <c r="N10317" t="s">
        <v>1360</v>
      </c>
    </row>
    <row r="10318" spans="1:14">
      <c r="H10318" t="s">
        <v>20544</v>
      </c>
      <c r="I10318" t="s">
        <v>1357</v>
      </c>
      <c r="J10318" t="s">
        <v>1357</v>
      </c>
      <c r="K10318" t="s">
        <v>1357</v>
      </c>
      <c r="L10318" t="s">
        <v>1357</v>
      </c>
      <c r="M10318" t="s">
        <v>27485</v>
      </c>
      <c r="N10318" t="s">
        <v>1360</v>
      </c>
    </row>
    <row r="10319" spans="1:14">
      <c r="H10319" t="s">
        <v>3701</v>
      </c>
      <c r="I10319" t="s">
        <v>1357</v>
      </c>
      <c r="J10319" t="s">
        <v>1357</v>
      </c>
      <c r="K10319" t="s">
        <v>1357</v>
      </c>
      <c r="L10319" t="s">
        <v>1357</v>
      </c>
      <c r="M10319" t="s">
        <v>27485</v>
      </c>
      <c r="N10319" t="s">
        <v>1360</v>
      </c>
    </row>
    <row r="10320" spans="1:14">
      <c r="H10320" t="s">
        <v>21937</v>
      </c>
      <c r="I10320" t="s">
        <v>1357</v>
      </c>
      <c r="J10320" t="s">
        <v>1357</v>
      </c>
      <c r="K10320" t="s">
        <v>1357</v>
      </c>
      <c r="L10320" t="s">
        <v>1357</v>
      </c>
      <c r="M10320" t="s">
        <v>27485</v>
      </c>
      <c r="N10320" t="s">
        <v>1360</v>
      </c>
    </row>
    <row r="10321" spans="1:14">
      <c r="H10321" t="s">
        <v>21938</v>
      </c>
      <c r="I10321" t="s">
        <v>1357</v>
      </c>
      <c r="J10321" t="s">
        <v>1357</v>
      </c>
      <c r="K10321" t="s">
        <v>1357</v>
      </c>
      <c r="L10321" t="s">
        <v>1357</v>
      </c>
      <c r="M10321" t="s">
        <v>27485</v>
      </c>
      <c r="N10321" t="s">
        <v>1360</v>
      </c>
    </row>
    <row r="10322" spans="1:14">
      <c r="H10322" t="s">
        <v>21939</v>
      </c>
      <c r="I10322" t="s">
        <v>1357</v>
      </c>
      <c r="J10322" t="s">
        <v>1357</v>
      </c>
      <c r="K10322" t="s">
        <v>1357</v>
      </c>
      <c r="L10322" t="s">
        <v>1357</v>
      </c>
      <c r="M10322" t="s">
        <v>27485</v>
      </c>
      <c r="N10322" t="s">
        <v>1360</v>
      </c>
    </row>
    <row r="10323" spans="1:14">
      <c r="H10323" t="s">
        <v>21940</v>
      </c>
      <c r="I10323" t="s">
        <v>1357</v>
      </c>
      <c r="J10323" t="s">
        <v>1357</v>
      </c>
      <c r="K10323" t="s">
        <v>1357</v>
      </c>
      <c r="L10323" t="s">
        <v>1357</v>
      </c>
      <c r="M10323" t="s">
        <v>27485</v>
      </c>
      <c r="N10323" t="s">
        <v>1360</v>
      </c>
    </row>
    <row r="10324" spans="1:14">
      <c r="H10324" t="s">
        <v>21941</v>
      </c>
      <c r="I10324" t="s">
        <v>1357</v>
      </c>
      <c r="J10324" t="s">
        <v>1357</v>
      </c>
      <c r="K10324" t="s">
        <v>1357</v>
      </c>
      <c r="L10324" t="s">
        <v>1357</v>
      </c>
      <c r="M10324" t="s">
        <v>27485</v>
      </c>
      <c r="N10324" t="s">
        <v>1360</v>
      </c>
    </row>
    <row r="10325" spans="1:14">
      <c r="H10325" t="s">
        <v>3645</v>
      </c>
      <c r="I10325" t="s">
        <v>1357</v>
      </c>
      <c r="J10325" t="s">
        <v>1357</v>
      </c>
      <c r="K10325" t="s">
        <v>1357</v>
      </c>
      <c r="L10325" t="s">
        <v>1357</v>
      </c>
      <c r="M10325" t="s">
        <v>27485</v>
      </c>
      <c r="N10325" t="s">
        <v>1360</v>
      </c>
    </row>
    <row r="10326" spans="1:14">
      <c r="A10326" t="s">
        <v>10370</v>
      </c>
      <c r="B10326">
        <f>HYPERLINK("https://android.googlesource.com/platform/cts/+/afa94ea2a9c9e1bd2db4e9c3536821eee79dee6c", "afa94ea2a9c9e1bd2db4e9c3536821eee79dee6c")</f>
        <v>0</v>
      </c>
      <c r="C10326">
        <f>HYPERLINK("https://android.googlesource.com/platform/cts/+/eefc845878e8586207a84257a72e37e4ef4e295f", "eefc845878e8586207a84257a72e37e4ef4e295f")</f>
        <v>0</v>
      </c>
      <c r="D10326" t="s">
        <v>12021</v>
      </c>
      <c r="E10326" t="s">
        <v>12930</v>
      </c>
      <c r="F10326" t="s">
        <v>16129</v>
      </c>
      <c r="G10326" t="s">
        <v>18814</v>
      </c>
      <c r="H10326" t="s">
        <v>21942</v>
      </c>
      <c r="I10326" t="s">
        <v>1357</v>
      </c>
      <c r="J10326" t="s">
        <v>1357</v>
      </c>
      <c r="K10326" t="s">
        <v>1357</v>
      </c>
      <c r="L10326" t="s">
        <v>1357</v>
      </c>
    </row>
    <row r="10327" spans="1:14">
      <c r="A10327" t="s">
        <v>10371</v>
      </c>
      <c r="B10327">
        <f>HYPERLINK("https://android.googlesource.com/platform/cts/+/e989c0c16d0ff19ee509c994d0099181117ae3db", "e989c0c16d0ff19ee509c994d0099181117ae3db")</f>
        <v>0</v>
      </c>
      <c r="C10327">
        <f>HYPERLINK("https://android.googlesource.com/platform/cts/+/d8972ff406ad5af7c281ba88c184690aaf6e43c6", "d8972ff406ad5af7c281ba88c184690aaf6e43c6")</f>
        <v>0</v>
      </c>
      <c r="D10327" t="s">
        <v>12093</v>
      </c>
      <c r="E10327" t="s">
        <v>12931</v>
      </c>
      <c r="F10327" t="s">
        <v>16130</v>
      </c>
      <c r="G10327" t="s">
        <v>18815</v>
      </c>
      <c r="H10327" t="s">
        <v>21943</v>
      </c>
      <c r="I10327" t="s">
        <v>1357</v>
      </c>
      <c r="J10327" t="s">
        <v>1357</v>
      </c>
      <c r="K10327" t="s">
        <v>1357</v>
      </c>
      <c r="L10327" t="s">
        <v>1357</v>
      </c>
    </row>
    <row r="10328" spans="1:14">
      <c r="H10328" t="s">
        <v>21944</v>
      </c>
      <c r="I10328" t="s">
        <v>1357</v>
      </c>
      <c r="J10328" t="s">
        <v>1357</v>
      </c>
      <c r="K10328" t="s">
        <v>1357</v>
      </c>
      <c r="L10328" t="s">
        <v>1357</v>
      </c>
    </row>
    <row r="10329" spans="1:14">
      <c r="H10329" t="s">
        <v>21945</v>
      </c>
      <c r="I10329" t="s">
        <v>1357</v>
      </c>
      <c r="J10329" t="s">
        <v>1357</v>
      </c>
      <c r="K10329" t="s">
        <v>1357</v>
      </c>
      <c r="L10329" t="s">
        <v>1357</v>
      </c>
    </row>
    <row r="10330" spans="1:14">
      <c r="H10330" t="s">
        <v>21946</v>
      </c>
      <c r="I10330" t="s">
        <v>1357</v>
      </c>
      <c r="J10330" t="s">
        <v>1357</v>
      </c>
      <c r="K10330" t="s">
        <v>1357</v>
      </c>
      <c r="L10330" t="s">
        <v>1357</v>
      </c>
    </row>
    <row r="10331" spans="1:14">
      <c r="H10331" t="s">
        <v>21929</v>
      </c>
      <c r="I10331" t="s">
        <v>1357</v>
      </c>
      <c r="J10331" t="s">
        <v>1357</v>
      </c>
      <c r="K10331" t="s">
        <v>1357</v>
      </c>
      <c r="L10331" t="s">
        <v>1357</v>
      </c>
    </row>
    <row r="10332" spans="1:14">
      <c r="H10332" t="s">
        <v>21947</v>
      </c>
      <c r="I10332" t="s">
        <v>1357</v>
      </c>
      <c r="J10332" t="s">
        <v>1357</v>
      </c>
      <c r="K10332" t="s">
        <v>1357</v>
      </c>
      <c r="L10332" t="s">
        <v>1357</v>
      </c>
    </row>
    <row r="10333" spans="1:14">
      <c r="H10333" t="s">
        <v>21948</v>
      </c>
      <c r="I10333" t="s">
        <v>1357</v>
      </c>
      <c r="J10333" t="s">
        <v>1357</v>
      </c>
      <c r="K10333" t="s">
        <v>1357</v>
      </c>
      <c r="L10333" t="s">
        <v>1357</v>
      </c>
    </row>
    <row r="10334" spans="1:14">
      <c r="H10334" t="s">
        <v>21949</v>
      </c>
      <c r="I10334" t="s">
        <v>1357</v>
      </c>
      <c r="J10334" t="s">
        <v>1357</v>
      </c>
      <c r="K10334" t="s">
        <v>1357</v>
      </c>
      <c r="L10334" t="s">
        <v>1357</v>
      </c>
    </row>
    <row r="10335" spans="1:14">
      <c r="H10335" t="s">
        <v>21950</v>
      </c>
      <c r="I10335" t="s">
        <v>1357</v>
      </c>
      <c r="J10335" t="s">
        <v>1357</v>
      </c>
      <c r="K10335" t="s">
        <v>1357</v>
      </c>
      <c r="L10335" t="s">
        <v>1357</v>
      </c>
    </row>
    <row r="10336" spans="1:14">
      <c r="H10336" t="s">
        <v>21951</v>
      </c>
      <c r="I10336" t="s">
        <v>1357</v>
      </c>
      <c r="J10336" t="s">
        <v>1357</v>
      </c>
      <c r="K10336" t="s">
        <v>1357</v>
      </c>
      <c r="L10336" t="s">
        <v>1357</v>
      </c>
    </row>
    <row r="10337" spans="1:13">
      <c r="H10337" t="s">
        <v>21952</v>
      </c>
      <c r="I10337" t="s">
        <v>1357</v>
      </c>
      <c r="J10337" t="s">
        <v>1357</v>
      </c>
      <c r="K10337" t="s">
        <v>1357</v>
      </c>
      <c r="L10337" t="s">
        <v>1357</v>
      </c>
    </row>
    <row r="10338" spans="1:13">
      <c r="H10338" t="s">
        <v>21953</v>
      </c>
      <c r="I10338" t="s">
        <v>1357</v>
      </c>
      <c r="J10338" t="s">
        <v>1357</v>
      </c>
      <c r="K10338" t="s">
        <v>1357</v>
      </c>
      <c r="L10338" t="s">
        <v>1357</v>
      </c>
    </row>
    <row r="10339" spans="1:13">
      <c r="H10339" t="s">
        <v>21954</v>
      </c>
      <c r="I10339" t="s">
        <v>1357</v>
      </c>
      <c r="J10339" t="s">
        <v>1357</v>
      </c>
      <c r="K10339" t="s">
        <v>1357</v>
      </c>
      <c r="L10339" t="s">
        <v>1357</v>
      </c>
    </row>
    <row r="10340" spans="1:13">
      <c r="A10340" t="s">
        <v>10372</v>
      </c>
      <c r="B10340">
        <f>HYPERLINK("https://android.googlesource.com/platform/cts/+/92eba402188adeefdcc42c0c0724b359cb8a3f52", "92eba402188adeefdcc42c0c0724b359cb8a3f52")</f>
        <v>0</v>
      </c>
      <c r="C10340">
        <f>HYPERLINK("https://android.googlesource.com/platform/cts/+/b9ac18d7a2bb7775816d265ee33eef636b79a99a", "b9ac18d7a2bb7775816d265ee33eef636b79a99a")</f>
        <v>0</v>
      </c>
      <c r="D10340" t="s">
        <v>12070</v>
      </c>
      <c r="E10340" t="s">
        <v>12932</v>
      </c>
      <c r="F10340" t="s">
        <v>16131</v>
      </c>
      <c r="G10340" t="s">
        <v>18812</v>
      </c>
      <c r="H10340" t="s">
        <v>21955</v>
      </c>
      <c r="I10340" t="s">
        <v>1357</v>
      </c>
      <c r="J10340" t="s">
        <v>1357</v>
      </c>
      <c r="K10340" t="s">
        <v>1357</v>
      </c>
      <c r="L10340" t="s">
        <v>1357</v>
      </c>
    </row>
    <row r="10341" spans="1:13">
      <c r="H10341" t="s">
        <v>21956</v>
      </c>
      <c r="I10341" t="s">
        <v>1357</v>
      </c>
      <c r="J10341" t="s">
        <v>1357</v>
      </c>
      <c r="K10341" t="s">
        <v>1357</v>
      </c>
      <c r="L10341" t="s">
        <v>1357</v>
      </c>
    </row>
    <row r="10342" spans="1:13">
      <c r="A10342" t="s">
        <v>10373</v>
      </c>
      <c r="B10342">
        <f>HYPERLINK("https://android.googlesource.com/platform/cts/+/be782e94eed4d3892f3b74446a2b4d16a92ec2e6", "be782e94eed4d3892f3b74446a2b4d16a92ec2e6")</f>
        <v>0</v>
      </c>
      <c r="C10342">
        <f>HYPERLINK("https://android.googlesource.com/platform/cts/+/d9efe7ad69a351621f1e0e8282bc182d4b789ca2", "d9efe7ad69a351621f1e0e8282bc182d4b789ca2")</f>
        <v>0</v>
      </c>
      <c r="D10342" t="s">
        <v>12005</v>
      </c>
      <c r="E10342" t="s">
        <v>12933</v>
      </c>
      <c r="F10342" t="s">
        <v>16132</v>
      </c>
      <c r="G10342" t="s">
        <v>18816</v>
      </c>
      <c r="H10342" t="s">
        <v>21957</v>
      </c>
      <c r="I10342" t="s">
        <v>1358</v>
      </c>
      <c r="J10342" t="s">
        <v>1358</v>
      </c>
      <c r="K10342" t="s">
        <v>1358</v>
      </c>
      <c r="L10342" t="s">
        <v>1358</v>
      </c>
    </row>
    <row r="10343" spans="1:13">
      <c r="A10343" t="s">
        <v>10374</v>
      </c>
      <c r="B10343">
        <f>HYPERLINK("https://android.googlesource.com/platform/cts/+/b0c1112c5cbcb837943e0b060f2c8a0400b2158a", "b0c1112c5cbcb837943e0b060f2c8a0400b2158a")</f>
        <v>0</v>
      </c>
      <c r="C10343">
        <f>HYPERLINK("https://android.googlesource.com/platform/cts/+/13c1585464a6ba445180e4d0d7d20aaaa418fcee", "13c1585464a6ba445180e4d0d7d20aaaa418fcee")</f>
        <v>0</v>
      </c>
      <c r="D10343" t="s">
        <v>12094</v>
      </c>
      <c r="E10343" t="s">
        <v>12934</v>
      </c>
      <c r="F10343" t="s">
        <v>16133</v>
      </c>
      <c r="G10343" t="s">
        <v>18817</v>
      </c>
      <c r="H10343" t="s">
        <v>21958</v>
      </c>
      <c r="I10343" t="s">
        <v>1357</v>
      </c>
      <c r="J10343" t="s">
        <v>1357</v>
      </c>
      <c r="K10343" t="s">
        <v>1357</v>
      </c>
      <c r="L10343" t="s">
        <v>1357</v>
      </c>
    </row>
    <row r="10344" spans="1:13">
      <c r="A10344" t="s">
        <v>10375</v>
      </c>
      <c r="B10344">
        <f>HYPERLINK("https://android.googlesource.com/platform/cts/+/326bd0aad9db82b8d867364ad45d09a3968ea635", "326bd0aad9db82b8d867364ad45d09a3968ea635")</f>
        <v>0</v>
      </c>
      <c r="C10344">
        <f>HYPERLINK("https://android.googlesource.com/platform/cts/+/209cd9857903dfd589e1870e37d16917983476eb", "209cd9857903dfd589e1870e37d16917983476eb")</f>
        <v>0</v>
      </c>
      <c r="D10344" t="s">
        <v>12095</v>
      </c>
      <c r="E10344" t="s">
        <v>12935</v>
      </c>
      <c r="F10344" t="s">
        <v>16134</v>
      </c>
      <c r="G10344" t="s">
        <v>18818</v>
      </c>
      <c r="H10344" t="s">
        <v>21959</v>
      </c>
      <c r="I10344" t="s">
        <v>1357</v>
      </c>
      <c r="J10344" t="s">
        <v>1357</v>
      </c>
      <c r="K10344" t="s">
        <v>1357</v>
      </c>
      <c r="L10344" t="s">
        <v>1357</v>
      </c>
    </row>
    <row r="10345" spans="1:13">
      <c r="H10345" t="s">
        <v>21960</v>
      </c>
      <c r="I10345" t="s">
        <v>1357</v>
      </c>
      <c r="J10345" t="s">
        <v>1357</v>
      </c>
      <c r="K10345" t="s">
        <v>1357</v>
      </c>
      <c r="L10345" t="s">
        <v>1357</v>
      </c>
    </row>
    <row r="10346" spans="1:13">
      <c r="H10346" t="s">
        <v>21961</v>
      </c>
      <c r="I10346" t="s">
        <v>1357</v>
      </c>
      <c r="J10346" t="s">
        <v>1357</v>
      </c>
      <c r="K10346" t="s">
        <v>1357</v>
      </c>
      <c r="L10346" t="s">
        <v>1357</v>
      </c>
    </row>
    <row r="10347" spans="1:13">
      <c r="H10347" t="s">
        <v>21962</v>
      </c>
      <c r="I10347" t="s">
        <v>1357</v>
      </c>
      <c r="J10347" t="s">
        <v>1357</v>
      </c>
      <c r="K10347" t="s">
        <v>1357</v>
      </c>
      <c r="L10347" t="s">
        <v>1357</v>
      </c>
    </row>
    <row r="10348" spans="1:13">
      <c r="H10348" t="s">
        <v>21963</v>
      </c>
      <c r="I10348" t="s">
        <v>1357</v>
      </c>
      <c r="J10348" t="s">
        <v>1357</v>
      </c>
      <c r="K10348" t="s">
        <v>1357</v>
      </c>
      <c r="L10348" t="s">
        <v>1357</v>
      </c>
    </row>
    <row r="10349" spans="1:13">
      <c r="H10349" t="s">
        <v>21964</v>
      </c>
      <c r="I10349" t="s">
        <v>1357</v>
      </c>
      <c r="J10349" t="s">
        <v>1357</v>
      </c>
      <c r="K10349" t="s">
        <v>1357</v>
      </c>
      <c r="L10349" t="s">
        <v>1357</v>
      </c>
    </row>
    <row r="10350" spans="1:13">
      <c r="A10350" t="s">
        <v>10376</v>
      </c>
      <c r="B10350">
        <f>HYPERLINK("https://android.googlesource.com/platform/cts/+/227bf2637d48c121b44836d9d10971c05430d804", "227bf2637d48c121b44836d9d10971c05430d804")</f>
        <v>0</v>
      </c>
      <c r="C10350">
        <f>HYPERLINK("https://android.googlesource.com/platform/cts/+/25893824f1793f56c5856807f9f0d5837b5d42bf", "25893824f1793f56c5856807f9f0d5837b5d42bf")</f>
        <v>0</v>
      </c>
      <c r="D10350" t="s">
        <v>12063</v>
      </c>
      <c r="E10350" t="s">
        <v>12936</v>
      </c>
      <c r="F10350" t="s">
        <v>15184</v>
      </c>
      <c r="G10350" t="s">
        <v>17886</v>
      </c>
      <c r="H10350" t="s">
        <v>21965</v>
      </c>
      <c r="I10350" t="s">
        <v>1359</v>
      </c>
      <c r="J10350" t="s">
        <v>1358</v>
      </c>
      <c r="K10350" t="s">
        <v>1357</v>
      </c>
      <c r="L10350" t="s">
        <v>1358</v>
      </c>
    </row>
    <row r="10351" spans="1:13">
      <c r="A10351" t="s">
        <v>10377</v>
      </c>
      <c r="B10351">
        <f>HYPERLINK("https://android.googlesource.com/platform/cts/+/12b468097bd98b8bfb2760e5260372bccd59d906", "12b468097bd98b8bfb2760e5260372bccd59d906")</f>
        <v>0</v>
      </c>
      <c r="C10351">
        <f>HYPERLINK("https://android.googlesource.com/platform/cts/+/11078b5bc1c37844626df23b1ab221923779d9af", "11078b5bc1c37844626df23b1ab221923779d9af")</f>
        <v>0</v>
      </c>
      <c r="D10351" t="s">
        <v>12063</v>
      </c>
      <c r="E10351" t="s">
        <v>12936</v>
      </c>
      <c r="F10351" t="s">
        <v>15184</v>
      </c>
      <c r="G10351" t="s">
        <v>17886</v>
      </c>
      <c r="H10351" t="s">
        <v>21965</v>
      </c>
      <c r="I10351" t="s">
        <v>1359</v>
      </c>
      <c r="J10351" t="s">
        <v>1358</v>
      </c>
      <c r="K10351" t="s">
        <v>1357</v>
      </c>
      <c r="L10351" t="s">
        <v>1358</v>
      </c>
      <c r="M10351" t="s">
        <v>27476</v>
      </c>
    </row>
    <row r="10352" spans="1:13">
      <c r="A10352" t="s">
        <v>10378</v>
      </c>
      <c r="B10352">
        <f>HYPERLINK("https://android.googlesource.com/platform/cts/+/55c7c7f2cea318c56ebe3194708909fbde20e3e6", "55c7c7f2cea318c56ebe3194708909fbde20e3e6")</f>
        <v>0</v>
      </c>
      <c r="C10352">
        <f>HYPERLINK("https://android.googlesource.com/platform/cts/+/75a542318ed766f6d2b651306f4a1d041fa85ee1", "75a542318ed766f6d2b651306f4a1d041fa85ee1")</f>
        <v>0</v>
      </c>
      <c r="D10352" t="s">
        <v>12031</v>
      </c>
      <c r="E10352" t="s">
        <v>12937</v>
      </c>
      <c r="F10352" t="s">
        <v>16135</v>
      </c>
      <c r="G10352" t="s">
        <v>18819</v>
      </c>
      <c r="H10352" t="s">
        <v>21966</v>
      </c>
      <c r="I10352" t="s">
        <v>1357</v>
      </c>
      <c r="J10352" t="s">
        <v>1357</v>
      </c>
      <c r="K10352" t="s">
        <v>1357</v>
      </c>
      <c r="L10352" t="s">
        <v>1357</v>
      </c>
    </row>
    <row r="10353" spans="1:13">
      <c r="F10353" t="s">
        <v>16136</v>
      </c>
      <c r="G10353" t="s">
        <v>18820</v>
      </c>
      <c r="H10353" t="s">
        <v>21966</v>
      </c>
      <c r="I10353" t="s">
        <v>1357</v>
      </c>
      <c r="J10353" t="s">
        <v>1357</v>
      </c>
      <c r="K10353" t="s">
        <v>1357</v>
      </c>
      <c r="L10353" t="s">
        <v>1357</v>
      </c>
    </row>
    <row r="10354" spans="1:13">
      <c r="A10354" t="s">
        <v>10379</v>
      </c>
      <c r="B10354">
        <f>HYPERLINK("https://android.googlesource.com/platform/cts/+/fca666e9af8d4d98e63cb4d391f27c362bd454a8", "fca666e9af8d4d98e63cb4d391f27c362bd454a8")</f>
        <v>0</v>
      </c>
      <c r="C10354">
        <f>HYPERLINK("https://android.googlesource.com/platform/cts/+/d711e3d97912467a49915fea4ca0d1a44e9b2b0c", "d711e3d97912467a49915fea4ca0d1a44e9b2b0c")</f>
        <v>0</v>
      </c>
      <c r="D10354" t="s">
        <v>12031</v>
      </c>
      <c r="E10354" t="s">
        <v>12938</v>
      </c>
      <c r="F10354" t="s">
        <v>16135</v>
      </c>
      <c r="G10354" t="s">
        <v>18819</v>
      </c>
      <c r="H10354" t="s">
        <v>21967</v>
      </c>
      <c r="I10354" t="s">
        <v>1357</v>
      </c>
      <c r="J10354" t="s">
        <v>1357</v>
      </c>
      <c r="K10354" t="s">
        <v>1357</v>
      </c>
      <c r="L10354" t="s">
        <v>1357</v>
      </c>
      <c r="M10354" t="s">
        <v>27476</v>
      </c>
    </row>
    <row r="10355" spans="1:13">
      <c r="F10355" t="s">
        <v>16136</v>
      </c>
      <c r="G10355" t="s">
        <v>18820</v>
      </c>
      <c r="H10355" t="s">
        <v>21967</v>
      </c>
      <c r="I10355" t="s">
        <v>1357</v>
      </c>
      <c r="J10355" t="s">
        <v>1357</v>
      </c>
      <c r="K10355" t="s">
        <v>1357</v>
      </c>
      <c r="L10355" t="s">
        <v>1357</v>
      </c>
    </row>
    <row r="10356" spans="1:13">
      <c r="A10356" t="s">
        <v>10380</v>
      </c>
      <c r="B10356">
        <f>HYPERLINK("https://android.googlesource.com/platform/cts/+/0e4f87371722474b2f74854c2cee1b8359dec6c0", "0e4f87371722474b2f74854c2cee1b8359dec6c0")</f>
        <v>0</v>
      </c>
      <c r="C10356">
        <f>HYPERLINK("https://android.googlesource.com/platform/cts/+/2ea6404f987026d4ded8eedc948ed40a010bc614", "2ea6404f987026d4ded8eedc948ed40a010bc614")</f>
        <v>0</v>
      </c>
      <c r="D10356" t="s">
        <v>12084</v>
      </c>
      <c r="E10356" t="s">
        <v>12939</v>
      </c>
      <c r="F10356" t="s">
        <v>16137</v>
      </c>
      <c r="G10356" t="s">
        <v>18821</v>
      </c>
      <c r="H10356" t="s">
        <v>21968</v>
      </c>
      <c r="I10356" t="s">
        <v>1357</v>
      </c>
      <c r="J10356" t="s">
        <v>1357</v>
      </c>
      <c r="K10356" t="s">
        <v>1357</v>
      </c>
      <c r="L10356" t="s">
        <v>1357</v>
      </c>
      <c r="M10356" t="s">
        <v>1365</v>
      </c>
    </row>
    <row r="10357" spans="1:13">
      <c r="F10357" t="s">
        <v>16138</v>
      </c>
      <c r="G10357" t="s">
        <v>18822</v>
      </c>
      <c r="H10357" t="s">
        <v>21969</v>
      </c>
      <c r="I10357" t="s">
        <v>1358</v>
      </c>
      <c r="J10357" t="s">
        <v>1358</v>
      </c>
      <c r="K10357" t="s">
        <v>1358</v>
      </c>
      <c r="L10357" t="s">
        <v>1358</v>
      </c>
    </row>
    <row r="10358" spans="1:13">
      <c r="A10358" t="s">
        <v>10381</v>
      </c>
      <c r="B10358">
        <f>HYPERLINK("https://android.googlesource.com/platform/cts/+/4dff480ff7b745c6e39da6559b5ab95f26e01ebb", "4dff480ff7b745c6e39da6559b5ab95f26e01ebb")</f>
        <v>0</v>
      </c>
      <c r="C10358">
        <f>HYPERLINK("https://android.googlesource.com/platform/cts/+/529bf964a2c298ba89a4342aaa28cd276fbe10be", "529bf964a2c298ba89a4342aaa28cd276fbe10be")</f>
        <v>0</v>
      </c>
      <c r="D10358" t="s">
        <v>12044</v>
      </c>
      <c r="E10358" t="s">
        <v>12940</v>
      </c>
      <c r="F10358" t="s">
        <v>16139</v>
      </c>
      <c r="G10358" t="s">
        <v>18823</v>
      </c>
      <c r="H10358" t="s">
        <v>8753</v>
      </c>
      <c r="I10358" t="s">
        <v>1357</v>
      </c>
      <c r="J10358" t="s">
        <v>1357</v>
      </c>
      <c r="K10358" t="s">
        <v>1357</v>
      </c>
      <c r="L10358" t="s">
        <v>1357</v>
      </c>
      <c r="M10358" t="s">
        <v>1360</v>
      </c>
    </row>
    <row r="10359" spans="1:13">
      <c r="A10359" t="s">
        <v>10382</v>
      </c>
      <c r="B10359">
        <f>HYPERLINK("https://android.googlesource.com/platform/cts/+/745b4d9fbe962ba5a7d3b4e289773ab133723498", "745b4d9fbe962ba5a7d3b4e289773ab133723498")</f>
        <v>0</v>
      </c>
      <c r="C10359">
        <f>HYPERLINK("https://android.googlesource.com/platform/cts/+/e6572c08c3bf2061cd81a333bb78f189e2db4a6b", "e6572c08c3bf2061cd81a333bb78f189e2db4a6b")</f>
        <v>0</v>
      </c>
      <c r="D10359" t="s">
        <v>12096</v>
      </c>
      <c r="E10359" t="s">
        <v>12941</v>
      </c>
      <c r="F10359" t="s">
        <v>16083</v>
      </c>
      <c r="G10359" t="s">
        <v>18772</v>
      </c>
      <c r="H10359" t="s">
        <v>21970</v>
      </c>
      <c r="I10359" t="s">
        <v>1357</v>
      </c>
      <c r="J10359" t="s">
        <v>1357</v>
      </c>
      <c r="K10359" t="s">
        <v>1357</v>
      </c>
      <c r="L10359" t="s">
        <v>1357</v>
      </c>
    </row>
    <row r="10360" spans="1:13">
      <c r="H10360" t="s">
        <v>21971</v>
      </c>
      <c r="I10360" t="s">
        <v>1357</v>
      </c>
      <c r="J10360" t="s">
        <v>1357</v>
      </c>
      <c r="K10360" t="s">
        <v>1357</v>
      </c>
      <c r="L10360" t="s">
        <v>1357</v>
      </c>
    </row>
    <row r="10361" spans="1:13">
      <c r="H10361" t="s">
        <v>21972</v>
      </c>
      <c r="I10361" t="s">
        <v>1357</v>
      </c>
      <c r="J10361" t="s">
        <v>1357</v>
      </c>
      <c r="K10361" t="s">
        <v>1357</v>
      </c>
      <c r="L10361" t="s">
        <v>1357</v>
      </c>
    </row>
    <row r="10362" spans="1:13">
      <c r="H10362" t="s">
        <v>21973</v>
      </c>
      <c r="I10362" t="s">
        <v>1357</v>
      </c>
      <c r="J10362" t="s">
        <v>1357</v>
      </c>
      <c r="K10362" t="s">
        <v>1357</v>
      </c>
      <c r="L10362" t="s">
        <v>1357</v>
      </c>
    </row>
    <row r="10363" spans="1:13">
      <c r="H10363" t="s">
        <v>21974</v>
      </c>
      <c r="I10363" t="s">
        <v>1357</v>
      </c>
      <c r="J10363" t="s">
        <v>1357</v>
      </c>
      <c r="K10363" t="s">
        <v>1357</v>
      </c>
      <c r="L10363" t="s">
        <v>1357</v>
      </c>
    </row>
    <row r="10364" spans="1:13">
      <c r="H10364" t="s">
        <v>21975</v>
      </c>
      <c r="I10364" t="s">
        <v>1357</v>
      </c>
      <c r="J10364" t="s">
        <v>1357</v>
      </c>
      <c r="K10364" t="s">
        <v>1357</v>
      </c>
      <c r="L10364" t="s">
        <v>1357</v>
      </c>
    </row>
    <row r="10365" spans="1:13">
      <c r="H10365" t="s">
        <v>21976</v>
      </c>
      <c r="I10365" t="s">
        <v>1357</v>
      </c>
      <c r="J10365" t="s">
        <v>1357</v>
      </c>
      <c r="K10365" t="s">
        <v>1357</v>
      </c>
      <c r="L10365" t="s">
        <v>1357</v>
      </c>
    </row>
    <row r="10366" spans="1:13">
      <c r="H10366" t="s">
        <v>21977</v>
      </c>
      <c r="I10366" t="s">
        <v>1357</v>
      </c>
      <c r="J10366" t="s">
        <v>1357</v>
      </c>
      <c r="K10366" t="s">
        <v>1357</v>
      </c>
      <c r="L10366" t="s">
        <v>1357</v>
      </c>
    </row>
    <row r="10367" spans="1:13">
      <c r="H10367" t="s">
        <v>21978</v>
      </c>
      <c r="I10367" t="s">
        <v>1357</v>
      </c>
      <c r="J10367" t="s">
        <v>1357</v>
      </c>
      <c r="K10367" t="s">
        <v>1357</v>
      </c>
      <c r="L10367" t="s">
        <v>1357</v>
      </c>
    </row>
    <row r="10368" spans="1:13">
      <c r="H10368" t="s">
        <v>21979</v>
      </c>
      <c r="I10368" t="s">
        <v>1357</v>
      </c>
      <c r="J10368" t="s">
        <v>1357</v>
      </c>
      <c r="K10368" t="s">
        <v>1357</v>
      </c>
      <c r="L10368" t="s">
        <v>1357</v>
      </c>
    </row>
    <row r="10369" spans="1:12">
      <c r="H10369" t="s">
        <v>21980</v>
      </c>
      <c r="I10369" t="s">
        <v>1357</v>
      </c>
      <c r="J10369" t="s">
        <v>1357</v>
      </c>
      <c r="K10369" t="s">
        <v>1357</v>
      </c>
      <c r="L10369" t="s">
        <v>1357</v>
      </c>
    </row>
    <row r="10370" spans="1:12">
      <c r="H10370" t="s">
        <v>21981</v>
      </c>
      <c r="I10370" t="s">
        <v>1357</v>
      </c>
      <c r="J10370" t="s">
        <v>1357</v>
      </c>
      <c r="K10370" t="s">
        <v>1357</v>
      </c>
      <c r="L10370" t="s">
        <v>1357</v>
      </c>
    </row>
    <row r="10371" spans="1:12">
      <c r="H10371" t="s">
        <v>21982</v>
      </c>
      <c r="I10371" t="s">
        <v>1357</v>
      </c>
      <c r="J10371" t="s">
        <v>1357</v>
      </c>
      <c r="K10371" t="s">
        <v>1357</v>
      </c>
      <c r="L10371" t="s">
        <v>1357</v>
      </c>
    </row>
    <row r="10372" spans="1:12">
      <c r="A10372" t="s">
        <v>10383</v>
      </c>
      <c r="B10372">
        <f>HYPERLINK("https://android.googlesource.com/platform/cts/+/afed489c8b5d045e533efee015a9030b49a30c75", "afed489c8b5d045e533efee015a9030b49a30c75")</f>
        <v>0</v>
      </c>
      <c r="C10372">
        <f>HYPERLINK("https://android.googlesource.com/platform/cts/+/6f8eea9229412914ecd90f8840da2d8eb06634cc", "6f8eea9229412914ecd90f8840da2d8eb06634cc")</f>
        <v>0</v>
      </c>
      <c r="D10372" t="s">
        <v>12096</v>
      </c>
      <c r="E10372" t="s">
        <v>12942</v>
      </c>
      <c r="F10372" t="s">
        <v>16083</v>
      </c>
      <c r="G10372" t="s">
        <v>18772</v>
      </c>
      <c r="H10372" t="s">
        <v>21983</v>
      </c>
      <c r="I10372" t="s">
        <v>1357</v>
      </c>
      <c r="J10372" t="s">
        <v>1357</v>
      </c>
      <c r="K10372" t="s">
        <v>1357</v>
      </c>
      <c r="L10372" t="s">
        <v>1357</v>
      </c>
    </row>
    <row r="10373" spans="1:12">
      <c r="H10373" t="s">
        <v>21984</v>
      </c>
      <c r="I10373" t="s">
        <v>1357</v>
      </c>
      <c r="J10373" t="s">
        <v>1357</v>
      </c>
      <c r="K10373" t="s">
        <v>1357</v>
      </c>
      <c r="L10373" t="s">
        <v>1357</v>
      </c>
    </row>
    <row r="10374" spans="1:12">
      <c r="H10374" t="s">
        <v>21985</v>
      </c>
      <c r="I10374" t="s">
        <v>1357</v>
      </c>
      <c r="J10374" t="s">
        <v>1357</v>
      </c>
      <c r="K10374" t="s">
        <v>1357</v>
      </c>
      <c r="L10374" t="s">
        <v>1357</v>
      </c>
    </row>
    <row r="10375" spans="1:12">
      <c r="H10375" t="s">
        <v>21986</v>
      </c>
      <c r="I10375" t="s">
        <v>1357</v>
      </c>
      <c r="J10375" t="s">
        <v>1357</v>
      </c>
      <c r="K10375" t="s">
        <v>1357</v>
      </c>
      <c r="L10375" t="s">
        <v>1357</v>
      </c>
    </row>
    <row r="10376" spans="1:12">
      <c r="H10376" t="s">
        <v>21987</v>
      </c>
      <c r="I10376" t="s">
        <v>1357</v>
      </c>
      <c r="J10376" t="s">
        <v>1357</v>
      </c>
      <c r="K10376" t="s">
        <v>1357</v>
      </c>
      <c r="L10376" t="s">
        <v>1357</v>
      </c>
    </row>
    <row r="10377" spans="1:12">
      <c r="H10377" t="s">
        <v>21988</v>
      </c>
      <c r="I10377" t="s">
        <v>1357</v>
      </c>
      <c r="J10377" t="s">
        <v>1357</v>
      </c>
      <c r="K10377" t="s">
        <v>1357</v>
      </c>
      <c r="L10377" t="s">
        <v>1357</v>
      </c>
    </row>
    <row r="10378" spans="1:12">
      <c r="A10378" t="s">
        <v>10384</v>
      </c>
      <c r="B10378">
        <f>HYPERLINK("https://android.googlesource.com/platform/cts/+/41db3385f518722e12a9b95a470f629b5715a902", "41db3385f518722e12a9b95a470f629b5715a902")</f>
        <v>0</v>
      </c>
      <c r="C10378">
        <f>HYPERLINK("https://android.googlesource.com/platform/cts/+/13e033da3568e4897c6df9c41225e92e85e8fde3", "13e033da3568e4897c6df9c41225e92e85e8fde3")</f>
        <v>0</v>
      </c>
      <c r="D10378" t="s">
        <v>12096</v>
      </c>
      <c r="E10378" t="s">
        <v>12943</v>
      </c>
      <c r="F10378" t="s">
        <v>16083</v>
      </c>
      <c r="G10378" t="s">
        <v>18772</v>
      </c>
      <c r="H10378" t="s">
        <v>21989</v>
      </c>
      <c r="I10378" t="s">
        <v>1357</v>
      </c>
      <c r="J10378" t="s">
        <v>1357</v>
      </c>
      <c r="K10378" t="s">
        <v>1357</v>
      </c>
      <c r="L10378" t="s">
        <v>1357</v>
      </c>
    </row>
    <row r="10379" spans="1:12">
      <c r="H10379" t="s">
        <v>21990</v>
      </c>
      <c r="I10379" t="s">
        <v>1357</v>
      </c>
      <c r="J10379" t="s">
        <v>1357</v>
      </c>
      <c r="K10379" t="s">
        <v>1357</v>
      </c>
      <c r="L10379" t="s">
        <v>1357</v>
      </c>
    </row>
    <row r="10380" spans="1:12">
      <c r="H10380" t="s">
        <v>21991</v>
      </c>
      <c r="I10380" t="s">
        <v>1357</v>
      </c>
      <c r="J10380" t="s">
        <v>1357</v>
      </c>
      <c r="K10380" t="s">
        <v>1357</v>
      </c>
      <c r="L10380" t="s">
        <v>1357</v>
      </c>
    </row>
    <row r="10381" spans="1:12">
      <c r="H10381" t="s">
        <v>21992</v>
      </c>
      <c r="I10381" t="s">
        <v>1357</v>
      </c>
      <c r="J10381" t="s">
        <v>1357</v>
      </c>
      <c r="K10381" t="s">
        <v>1357</v>
      </c>
      <c r="L10381" t="s">
        <v>1357</v>
      </c>
    </row>
    <row r="10382" spans="1:12">
      <c r="H10382" t="s">
        <v>21993</v>
      </c>
      <c r="I10382" t="s">
        <v>1357</v>
      </c>
      <c r="J10382" t="s">
        <v>1357</v>
      </c>
      <c r="K10382" t="s">
        <v>1357</v>
      </c>
      <c r="L10382" t="s">
        <v>1357</v>
      </c>
    </row>
    <row r="10383" spans="1:12">
      <c r="H10383" t="s">
        <v>21994</v>
      </c>
      <c r="I10383" t="s">
        <v>1357</v>
      </c>
      <c r="J10383" t="s">
        <v>1357</v>
      </c>
      <c r="K10383" t="s">
        <v>1357</v>
      </c>
      <c r="L10383" t="s">
        <v>1357</v>
      </c>
    </row>
    <row r="10384" spans="1:12">
      <c r="A10384" t="s">
        <v>10385</v>
      </c>
      <c r="B10384">
        <f>HYPERLINK("https://android.googlesource.com/platform/cts/+/3f51455dc25c8e5582bb6981a0f6737d1f058c1a", "3f51455dc25c8e5582bb6981a0f6737d1f058c1a")</f>
        <v>0</v>
      </c>
      <c r="C10384">
        <f>HYPERLINK("https://android.googlesource.com/platform/cts/+/4fa953d62f751214b5f7563c83414a017ab67d27", "4fa953d62f751214b5f7563c83414a017ab67d27")</f>
        <v>0</v>
      </c>
      <c r="D10384" t="s">
        <v>12070</v>
      </c>
      <c r="E10384" t="s">
        <v>12944</v>
      </c>
      <c r="F10384" t="s">
        <v>16118</v>
      </c>
      <c r="G10384" t="s">
        <v>18807</v>
      </c>
      <c r="H10384" t="s">
        <v>21922</v>
      </c>
      <c r="I10384" t="s">
        <v>1357</v>
      </c>
      <c r="J10384" t="s">
        <v>1357</v>
      </c>
      <c r="K10384" t="s">
        <v>1357</v>
      </c>
      <c r="L10384" t="s">
        <v>1357</v>
      </c>
    </row>
    <row r="10385" spans="1:12">
      <c r="A10385" t="s">
        <v>10386</v>
      </c>
      <c r="B10385">
        <f>HYPERLINK("https://android.googlesource.com/platform/cts/+/20bf624c17e25d1d98af47e26905bc288587ff1f", "20bf624c17e25d1d98af47e26905bc288587ff1f")</f>
        <v>0</v>
      </c>
      <c r="C10385">
        <f>HYPERLINK("https://android.googlesource.com/platform/cts/+/91f61b6cb1ebfeda88b506e55188681f582a88d7", "91f61b6cb1ebfeda88b506e55188681f582a88d7")</f>
        <v>0</v>
      </c>
      <c r="D10385" t="s">
        <v>12097</v>
      </c>
      <c r="E10385" t="s">
        <v>12945</v>
      </c>
      <c r="F10385" t="s">
        <v>14496</v>
      </c>
      <c r="G10385" t="s">
        <v>17342</v>
      </c>
      <c r="H10385" t="s">
        <v>21995</v>
      </c>
      <c r="I10385" t="s">
        <v>1357</v>
      </c>
      <c r="J10385" t="s">
        <v>1357</v>
      </c>
      <c r="K10385" t="s">
        <v>1357</v>
      </c>
      <c r="L10385" t="s">
        <v>1357</v>
      </c>
    </row>
    <row r="10386" spans="1:12">
      <c r="H10386" t="s">
        <v>21996</v>
      </c>
      <c r="I10386" t="s">
        <v>1357</v>
      </c>
      <c r="J10386" t="s">
        <v>1357</v>
      </c>
      <c r="K10386" t="s">
        <v>1357</v>
      </c>
      <c r="L10386" t="s">
        <v>1357</v>
      </c>
    </row>
    <row r="10387" spans="1:12">
      <c r="H10387" t="s">
        <v>21997</v>
      </c>
      <c r="I10387" t="s">
        <v>1357</v>
      </c>
      <c r="J10387" t="s">
        <v>1357</v>
      </c>
      <c r="K10387" t="s">
        <v>1357</v>
      </c>
      <c r="L10387" t="s">
        <v>1357</v>
      </c>
    </row>
    <row r="10388" spans="1:12">
      <c r="H10388" t="s">
        <v>21998</v>
      </c>
      <c r="I10388" t="s">
        <v>1357</v>
      </c>
      <c r="J10388" t="s">
        <v>1357</v>
      </c>
      <c r="K10388" t="s">
        <v>1357</v>
      </c>
      <c r="L10388" t="s">
        <v>1357</v>
      </c>
    </row>
    <row r="10389" spans="1:12">
      <c r="H10389" t="s">
        <v>21999</v>
      </c>
      <c r="I10389" t="s">
        <v>1357</v>
      </c>
      <c r="J10389" t="s">
        <v>1357</v>
      </c>
      <c r="K10389" t="s">
        <v>1357</v>
      </c>
      <c r="L10389" t="s">
        <v>1357</v>
      </c>
    </row>
    <row r="10390" spans="1:12">
      <c r="H10390" t="s">
        <v>22000</v>
      </c>
      <c r="I10390" t="s">
        <v>1357</v>
      </c>
      <c r="J10390" t="s">
        <v>1357</v>
      </c>
      <c r="K10390" t="s">
        <v>1357</v>
      </c>
      <c r="L10390" t="s">
        <v>1357</v>
      </c>
    </row>
    <row r="10391" spans="1:12">
      <c r="A10391" t="s">
        <v>10387</v>
      </c>
      <c r="B10391">
        <f>HYPERLINK("https://android.googlesource.com/platform/cts/+/91a42b6b6329b2e65886bb99f0731a56ce947b2d", "91a42b6b6329b2e65886bb99f0731a56ce947b2d")</f>
        <v>0</v>
      </c>
      <c r="C10391">
        <f>HYPERLINK("https://android.googlesource.com/platform/cts/+/3feb77eaae0e114f6ae67578997ac741512cbf77", "3feb77eaae0e114f6ae67578997ac741512cbf77")</f>
        <v>0</v>
      </c>
      <c r="D10391" t="s">
        <v>12098</v>
      </c>
      <c r="E10391" t="s">
        <v>12946</v>
      </c>
      <c r="F10391" t="s">
        <v>16140</v>
      </c>
      <c r="G10391" t="s">
        <v>18824</v>
      </c>
      <c r="H10391" t="s">
        <v>22001</v>
      </c>
      <c r="I10391" t="s">
        <v>1357</v>
      </c>
      <c r="J10391" t="s">
        <v>1357</v>
      </c>
      <c r="K10391" t="s">
        <v>1357</v>
      </c>
      <c r="L10391" t="s">
        <v>1357</v>
      </c>
    </row>
    <row r="10392" spans="1:12">
      <c r="A10392" t="s">
        <v>10388</v>
      </c>
      <c r="B10392">
        <f>HYPERLINK("https://android.googlesource.com/platform/cts/+/cb76377cef1653c62955555aff1f13f5c30c7480", "cb76377cef1653c62955555aff1f13f5c30c7480")</f>
        <v>0</v>
      </c>
      <c r="C10392">
        <f>HYPERLINK("https://android.googlesource.com/platform/cts/+/952879d26caf5afe9bc56d87608fc4f88d253347", "952879d26caf5afe9bc56d87608fc4f88d253347")</f>
        <v>0</v>
      </c>
      <c r="D10392" t="s">
        <v>12099</v>
      </c>
      <c r="E10392" t="s">
        <v>12947</v>
      </c>
      <c r="F10392" t="s">
        <v>16141</v>
      </c>
      <c r="G10392" t="s">
        <v>18825</v>
      </c>
      <c r="H10392" t="s">
        <v>22002</v>
      </c>
      <c r="I10392" t="s">
        <v>1357</v>
      </c>
      <c r="J10392" t="s">
        <v>1357</v>
      </c>
      <c r="K10392" t="s">
        <v>1357</v>
      </c>
      <c r="L10392" t="s">
        <v>1357</v>
      </c>
    </row>
    <row r="10393" spans="1:12">
      <c r="H10393" t="s">
        <v>22003</v>
      </c>
      <c r="I10393" t="s">
        <v>1357</v>
      </c>
      <c r="J10393" t="s">
        <v>1357</v>
      </c>
      <c r="K10393" t="s">
        <v>1357</v>
      </c>
      <c r="L10393" t="s">
        <v>1357</v>
      </c>
    </row>
    <row r="10394" spans="1:12">
      <c r="H10394" t="s">
        <v>22004</v>
      </c>
      <c r="I10394" t="s">
        <v>1357</v>
      </c>
      <c r="J10394" t="s">
        <v>1357</v>
      </c>
      <c r="K10394" t="s">
        <v>1357</v>
      </c>
      <c r="L10394" t="s">
        <v>1357</v>
      </c>
    </row>
    <row r="10395" spans="1:12">
      <c r="F10395" t="s">
        <v>16142</v>
      </c>
      <c r="G10395" t="s">
        <v>18826</v>
      </c>
      <c r="H10395" t="s">
        <v>22005</v>
      </c>
      <c r="I10395" t="s">
        <v>1357</v>
      </c>
      <c r="J10395" t="s">
        <v>1357</v>
      </c>
      <c r="K10395" t="s">
        <v>1357</v>
      </c>
      <c r="L10395" t="s">
        <v>1357</v>
      </c>
    </row>
    <row r="10396" spans="1:12">
      <c r="H10396" t="s">
        <v>22006</v>
      </c>
      <c r="I10396" t="s">
        <v>1357</v>
      </c>
      <c r="J10396" t="s">
        <v>1357</v>
      </c>
      <c r="K10396" t="s">
        <v>1357</v>
      </c>
      <c r="L10396" t="s">
        <v>1357</v>
      </c>
    </row>
    <row r="10397" spans="1:12">
      <c r="H10397" t="s">
        <v>22007</v>
      </c>
      <c r="I10397" t="s">
        <v>1357</v>
      </c>
      <c r="J10397" t="s">
        <v>1357</v>
      </c>
      <c r="K10397" t="s">
        <v>1357</v>
      </c>
      <c r="L10397" t="s">
        <v>1357</v>
      </c>
    </row>
    <row r="10398" spans="1:12">
      <c r="H10398" t="s">
        <v>22008</v>
      </c>
      <c r="I10398" t="s">
        <v>1357</v>
      </c>
      <c r="J10398" t="s">
        <v>1357</v>
      </c>
      <c r="K10398" t="s">
        <v>1357</v>
      </c>
      <c r="L10398" t="s">
        <v>1357</v>
      </c>
    </row>
    <row r="10399" spans="1:12">
      <c r="H10399" t="s">
        <v>22009</v>
      </c>
      <c r="I10399" t="s">
        <v>1357</v>
      </c>
      <c r="J10399" t="s">
        <v>1357</v>
      </c>
      <c r="K10399" t="s">
        <v>1357</v>
      </c>
      <c r="L10399" t="s">
        <v>1357</v>
      </c>
    </row>
    <row r="10400" spans="1:12">
      <c r="H10400" t="s">
        <v>22004</v>
      </c>
      <c r="I10400" t="s">
        <v>1357</v>
      </c>
      <c r="J10400" t="s">
        <v>1357</v>
      </c>
      <c r="K10400" t="s">
        <v>1357</v>
      </c>
      <c r="L10400" t="s">
        <v>1357</v>
      </c>
    </row>
    <row r="10401" spans="1:13">
      <c r="H10401" t="s">
        <v>22010</v>
      </c>
      <c r="I10401" t="s">
        <v>1357</v>
      </c>
      <c r="J10401" t="s">
        <v>1357</v>
      </c>
      <c r="K10401" t="s">
        <v>1357</v>
      </c>
      <c r="L10401" t="s">
        <v>1357</v>
      </c>
    </row>
    <row r="10402" spans="1:13">
      <c r="H10402" t="s">
        <v>22011</v>
      </c>
      <c r="I10402" t="s">
        <v>1357</v>
      </c>
      <c r="J10402" t="s">
        <v>1357</v>
      </c>
      <c r="K10402" t="s">
        <v>1357</v>
      </c>
      <c r="L10402" t="s">
        <v>1357</v>
      </c>
    </row>
    <row r="10403" spans="1:13">
      <c r="A10403" t="s">
        <v>10389</v>
      </c>
      <c r="B10403">
        <f>HYPERLINK("https://android.googlesource.com/platform/cts/+/dc7e6f841006bd45e17fd3e9a0321e89e1849dbd", "dc7e6f841006bd45e17fd3e9a0321e89e1849dbd")</f>
        <v>0</v>
      </c>
      <c r="C10403">
        <f>HYPERLINK("https://android.googlesource.com/platform/cts/+/9c8a63587008c75a494531b6a747c76cf5cbbc33", "9c8a63587008c75a494531b6a747c76cf5cbbc33")</f>
        <v>0</v>
      </c>
      <c r="D10403" t="s">
        <v>12058</v>
      </c>
      <c r="E10403" t="s">
        <v>12948</v>
      </c>
      <c r="F10403" t="s">
        <v>16121</v>
      </c>
      <c r="G10403" t="s">
        <v>18810</v>
      </c>
      <c r="H10403" t="s">
        <v>21926</v>
      </c>
      <c r="I10403" t="s">
        <v>1357</v>
      </c>
      <c r="J10403" t="s">
        <v>1357</v>
      </c>
      <c r="K10403" t="s">
        <v>1357</v>
      </c>
      <c r="L10403" t="s">
        <v>1357</v>
      </c>
    </row>
    <row r="10404" spans="1:13">
      <c r="H10404" t="s">
        <v>21927</v>
      </c>
      <c r="I10404" t="s">
        <v>1357</v>
      </c>
      <c r="J10404" t="s">
        <v>1357</v>
      </c>
      <c r="K10404" t="s">
        <v>1357</v>
      </c>
      <c r="L10404" t="s">
        <v>1357</v>
      </c>
    </row>
    <row r="10405" spans="1:13">
      <c r="A10405" t="s">
        <v>10390</v>
      </c>
      <c r="B10405">
        <f>HYPERLINK("https://android.googlesource.com/platform/cts/+/663bd12dc4f64ca00b26dd1d72f3a2f0b34b84d4", "663bd12dc4f64ca00b26dd1d72f3a2f0b34b84d4")</f>
        <v>0</v>
      </c>
      <c r="C10405">
        <f>HYPERLINK("https://android.googlesource.com/platform/cts/+/dc7e6f841006bd45e17fd3e9a0321e89e1849dbd", "dc7e6f841006bd45e17fd3e9a0321e89e1849dbd")</f>
        <v>0</v>
      </c>
      <c r="D10405" t="s">
        <v>12058</v>
      </c>
      <c r="E10405" t="s">
        <v>12949</v>
      </c>
      <c r="F10405" t="s">
        <v>16143</v>
      </c>
      <c r="G10405" t="s">
        <v>18827</v>
      </c>
      <c r="H10405" t="s">
        <v>22012</v>
      </c>
      <c r="I10405" t="s">
        <v>1357</v>
      </c>
      <c r="J10405" t="s">
        <v>1357</v>
      </c>
      <c r="K10405" t="s">
        <v>1357</v>
      </c>
      <c r="L10405" t="s">
        <v>1357</v>
      </c>
    </row>
    <row r="10406" spans="1:13">
      <c r="A10406" t="s">
        <v>10391</v>
      </c>
      <c r="B10406">
        <f>HYPERLINK("https://android.googlesource.com/platform/cts/+/0fc33180d15abf5efff5e1327a696f1a2d748247", "0fc33180d15abf5efff5e1327a696f1a2d748247")</f>
        <v>0</v>
      </c>
      <c r="C10406">
        <f>HYPERLINK("https://android.googlesource.com/platform/cts/+/1784dee4390648dce2e5603e6576dd4e5db2ff32", "1784dee4390648dce2e5603e6576dd4e5db2ff32")</f>
        <v>0</v>
      </c>
      <c r="D10406" t="s">
        <v>12100</v>
      </c>
      <c r="E10406" t="s">
        <v>12950</v>
      </c>
      <c r="F10406" t="s">
        <v>16144</v>
      </c>
      <c r="G10406" t="s">
        <v>18828</v>
      </c>
      <c r="H10406" t="s">
        <v>22013</v>
      </c>
      <c r="I10406" t="s">
        <v>1359</v>
      </c>
      <c r="J10406" t="s">
        <v>1357</v>
      </c>
      <c r="K10406" t="s">
        <v>1358</v>
      </c>
      <c r="L10406" t="s">
        <v>1357</v>
      </c>
    </row>
    <row r="10407" spans="1:13">
      <c r="A10407" t="s">
        <v>10392</v>
      </c>
      <c r="B10407">
        <f>HYPERLINK("https://android.googlesource.com/platform/cts/+/d012d2f8b50f9c336c3dd9b1be4e3acb01fa1fe8", "d012d2f8b50f9c336c3dd9b1be4e3acb01fa1fe8")</f>
        <v>0</v>
      </c>
      <c r="C10407">
        <f>HYPERLINK("https://android.googlesource.com/platform/cts/+/f15cf53fd0180c60b538e56a47f30ef12db91ca6", "f15cf53fd0180c60b538e56a47f30ef12db91ca6")</f>
        <v>0</v>
      </c>
      <c r="D10407" t="s">
        <v>12101</v>
      </c>
      <c r="E10407" t="s">
        <v>12951</v>
      </c>
      <c r="F10407" t="s">
        <v>16145</v>
      </c>
      <c r="G10407" t="s">
        <v>18829</v>
      </c>
      <c r="H10407" t="s">
        <v>22014</v>
      </c>
      <c r="I10407" t="s">
        <v>1357</v>
      </c>
      <c r="J10407" t="s">
        <v>1357</v>
      </c>
      <c r="K10407" t="s">
        <v>1357</v>
      </c>
      <c r="L10407" t="s">
        <v>1357</v>
      </c>
    </row>
    <row r="10408" spans="1:13">
      <c r="H10408" t="s">
        <v>22015</v>
      </c>
      <c r="I10408" t="s">
        <v>1357</v>
      </c>
      <c r="J10408" t="s">
        <v>1357</v>
      </c>
      <c r="K10408" t="s">
        <v>1357</v>
      </c>
      <c r="L10408" t="s">
        <v>1357</v>
      </c>
    </row>
    <row r="10409" spans="1:13">
      <c r="A10409" t="s">
        <v>10393</v>
      </c>
      <c r="B10409">
        <f>HYPERLINK("https://android.googlesource.com/platform/cts/+/3732f6692eab24553b62b81b762e45e1e187061b", "3732f6692eab24553b62b81b762e45e1e187061b")</f>
        <v>0</v>
      </c>
      <c r="C10409">
        <f>HYPERLINK("https://android.googlesource.com/platform/cts/+/4a4ac91534edc4304a0eb6bdabcfba60fa7ec652", "4a4ac91534edc4304a0eb6bdabcfba60fa7ec652")</f>
        <v>0</v>
      </c>
      <c r="D10409" t="s">
        <v>12100</v>
      </c>
      <c r="E10409" t="s">
        <v>12952</v>
      </c>
      <c r="F10409" t="s">
        <v>16146</v>
      </c>
      <c r="G10409" t="s">
        <v>18830</v>
      </c>
      <c r="H10409" t="s">
        <v>22016</v>
      </c>
      <c r="I10409" t="s">
        <v>1358</v>
      </c>
      <c r="J10409" t="s">
        <v>1358</v>
      </c>
      <c r="K10409" t="s">
        <v>1358</v>
      </c>
      <c r="L10409" t="s">
        <v>1358</v>
      </c>
    </row>
    <row r="10410" spans="1:13">
      <c r="F10410" t="s">
        <v>16147</v>
      </c>
      <c r="G10410" t="s">
        <v>17894</v>
      </c>
      <c r="H10410" t="s">
        <v>22017</v>
      </c>
      <c r="I10410" t="s">
        <v>1358</v>
      </c>
      <c r="J10410" t="s">
        <v>1358</v>
      </c>
      <c r="K10410" t="s">
        <v>1358</v>
      </c>
      <c r="L10410" t="s">
        <v>1358</v>
      </c>
    </row>
    <row r="10411" spans="1:13">
      <c r="H10411" t="s">
        <v>22018</v>
      </c>
      <c r="I10411" t="s">
        <v>1358</v>
      </c>
      <c r="J10411" t="s">
        <v>1358</v>
      </c>
      <c r="K10411" t="s">
        <v>1358</v>
      </c>
      <c r="L10411" t="s">
        <v>1358</v>
      </c>
    </row>
    <row r="10412" spans="1:13">
      <c r="A10412" t="s">
        <v>10394</v>
      </c>
      <c r="B10412">
        <f>HYPERLINK("https://android.googlesource.com/platform/cts/+/daffcecfeebd53e06e4e43dfe6905a84742a16e7", "daffcecfeebd53e06e4e43dfe6905a84742a16e7")</f>
        <v>0</v>
      </c>
      <c r="C10412">
        <f>HYPERLINK("https://android.googlesource.com/platform/cts/+/a3f94678cb10cbb9b1ad997591c98c22c7e71358", "a3f94678cb10cbb9b1ad997591c98c22c7e71358")</f>
        <v>0</v>
      </c>
      <c r="D10412" t="s">
        <v>12102</v>
      </c>
      <c r="E10412" t="s">
        <v>12953</v>
      </c>
      <c r="F10412" t="s">
        <v>16148</v>
      </c>
      <c r="G10412" t="s">
        <v>18831</v>
      </c>
      <c r="H10412" t="s">
        <v>22019</v>
      </c>
      <c r="I10412" t="s">
        <v>1357</v>
      </c>
      <c r="J10412" t="s">
        <v>1357</v>
      </c>
      <c r="K10412" t="s">
        <v>1357</v>
      </c>
      <c r="L10412" t="s">
        <v>1357</v>
      </c>
    </row>
    <row r="10413" spans="1:13">
      <c r="A10413" t="s">
        <v>10395</v>
      </c>
      <c r="B10413">
        <f>HYPERLINK("https://android.googlesource.com/platform/cts/+/19dd977c92c89d3b2702ecabfd9d2d48c5bdd070", "19dd977c92c89d3b2702ecabfd9d2d48c5bdd070")</f>
        <v>0</v>
      </c>
      <c r="C10413">
        <f>HYPERLINK("https://android.googlesource.com/platform/cts/+/b1b723186902c71913b16ca2d6daae77b700bf36", "b1b723186902c71913b16ca2d6daae77b700bf36")</f>
        <v>0</v>
      </c>
      <c r="D10413" t="s">
        <v>12103</v>
      </c>
      <c r="E10413" t="s">
        <v>12954</v>
      </c>
      <c r="F10413" t="s">
        <v>16149</v>
      </c>
      <c r="G10413" t="s">
        <v>18778</v>
      </c>
      <c r="H10413" t="s">
        <v>22020</v>
      </c>
      <c r="I10413" t="s">
        <v>1357</v>
      </c>
      <c r="J10413" t="s">
        <v>1357</v>
      </c>
      <c r="K10413" t="s">
        <v>1357</v>
      </c>
      <c r="L10413" t="s">
        <v>1357</v>
      </c>
    </row>
    <row r="10414" spans="1:13">
      <c r="A10414" t="s">
        <v>10396</v>
      </c>
      <c r="B10414">
        <f>HYPERLINK("https://android.googlesource.com/platform/cts/+/50a0db7e76e2380940e5ec1cf7fafd9592a062f5", "50a0db7e76e2380940e5ec1cf7fafd9592a062f5")</f>
        <v>0</v>
      </c>
      <c r="C10414">
        <f>HYPERLINK("https://android.googlesource.com/platform/cts/+/98c5cb02cc2f63cb403e83c38afb37736780a897", "98c5cb02cc2f63cb403e83c38afb37736780a897")</f>
        <v>0</v>
      </c>
      <c r="D10414" t="s">
        <v>12058</v>
      </c>
      <c r="E10414" t="s">
        <v>12955</v>
      </c>
      <c r="F10414" t="s">
        <v>16011</v>
      </c>
      <c r="G10414" t="s">
        <v>18703</v>
      </c>
      <c r="H10414" t="s">
        <v>21317</v>
      </c>
      <c r="I10414" t="s">
        <v>1357</v>
      </c>
      <c r="J10414" t="s">
        <v>1357</v>
      </c>
      <c r="K10414" t="s">
        <v>1357</v>
      </c>
      <c r="L10414" t="s">
        <v>1357</v>
      </c>
    </row>
    <row r="10415" spans="1:13">
      <c r="A10415" t="s">
        <v>10397</v>
      </c>
      <c r="B10415">
        <f>HYPERLINK("https://android.googlesource.com/platform/cts/+/ae4a5536526101acf98eea60db85536d1819b203", "ae4a5536526101acf98eea60db85536d1819b203")</f>
        <v>0</v>
      </c>
      <c r="C10415">
        <f>HYPERLINK("https://android.googlesource.com/platform/cts/+/e4ba0dcedf949349880eb547b90ca878c66a375e", "e4ba0dcedf949349880eb547b90ca878c66a375e")</f>
        <v>0</v>
      </c>
      <c r="D10415" t="s">
        <v>12058</v>
      </c>
      <c r="E10415" t="s">
        <v>12956</v>
      </c>
      <c r="F10415" t="s">
        <v>16011</v>
      </c>
      <c r="G10415" t="s">
        <v>18703</v>
      </c>
      <c r="H10415" t="s">
        <v>21317</v>
      </c>
      <c r="I10415" t="s">
        <v>1357</v>
      </c>
      <c r="J10415" t="s">
        <v>1357</v>
      </c>
      <c r="K10415" t="s">
        <v>1357</v>
      </c>
      <c r="L10415" t="s">
        <v>1357</v>
      </c>
      <c r="M10415" t="s">
        <v>27476</v>
      </c>
    </row>
    <row r="10416" spans="1:13">
      <c r="A10416" t="s">
        <v>10398</v>
      </c>
      <c r="B10416">
        <f>HYPERLINK("https://android.googlesource.com/platform/cts/+/286f6fcd85c64eac9bb778303d114f5eb8bc46d1", "286f6fcd85c64eac9bb778303d114f5eb8bc46d1")</f>
        <v>0</v>
      </c>
      <c r="C10416">
        <f>HYPERLINK("https://android.googlesource.com/platform/cts/+/7c1d6150506403cb33e0f0f7d593789acfdaa628", "7c1d6150506403cb33e0f0f7d593789acfdaa628")</f>
        <v>0</v>
      </c>
      <c r="D10416" t="s">
        <v>12102</v>
      </c>
      <c r="E10416" t="s">
        <v>12957</v>
      </c>
      <c r="F10416" t="s">
        <v>16150</v>
      </c>
      <c r="G10416" t="s">
        <v>17367</v>
      </c>
      <c r="H10416" t="s">
        <v>22021</v>
      </c>
      <c r="I10416" t="s">
        <v>1357</v>
      </c>
      <c r="J10416" t="s">
        <v>1357</v>
      </c>
      <c r="K10416" t="s">
        <v>1357</v>
      </c>
      <c r="L10416" t="s">
        <v>1357</v>
      </c>
    </row>
    <row r="10417" spans="1:14">
      <c r="H10417" t="s">
        <v>22022</v>
      </c>
      <c r="I10417" t="s">
        <v>1357</v>
      </c>
      <c r="J10417" t="s">
        <v>1357</v>
      </c>
      <c r="K10417" t="s">
        <v>1357</v>
      </c>
      <c r="L10417" t="s">
        <v>1357</v>
      </c>
      <c r="M10417" t="s">
        <v>1365</v>
      </c>
    </row>
    <row r="10418" spans="1:14">
      <c r="A10418" t="s">
        <v>10399</v>
      </c>
      <c r="B10418">
        <f>HYPERLINK("https://android.googlesource.com/platform/cts/+/71a1a7085bb98d48ea9f10347d0c7f714a7c6e0c", "71a1a7085bb98d48ea9f10347d0c7f714a7c6e0c")</f>
        <v>0</v>
      </c>
      <c r="C10418">
        <f>HYPERLINK("https://android.googlesource.com/platform/cts/+/180f7fd154eada6fa82bf13b36bd392f349a6c61", "180f7fd154eada6fa82bf13b36bd392f349a6c61")</f>
        <v>0</v>
      </c>
      <c r="D10418" t="s">
        <v>12104</v>
      </c>
      <c r="E10418" t="s">
        <v>12958</v>
      </c>
      <c r="F10418" t="s">
        <v>16147</v>
      </c>
      <c r="G10418" t="s">
        <v>17894</v>
      </c>
      <c r="H10418" t="s">
        <v>22023</v>
      </c>
      <c r="I10418" t="s">
        <v>1357</v>
      </c>
      <c r="J10418" t="s">
        <v>1357</v>
      </c>
      <c r="K10418" t="s">
        <v>1357</v>
      </c>
      <c r="L10418" t="s">
        <v>1357</v>
      </c>
    </row>
    <row r="10419" spans="1:14">
      <c r="H10419" t="s">
        <v>22024</v>
      </c>
      <c r="I10419" t="s">
        <v>1357</v>
      </c>
      <c r="J10419" t="s">
        <v>1357</v>
      </c>
      <c r="K10419" t="s">
        <v>1357</v>
      </c>
      <c r="L10419" t="s">
        <v>1357</v>
      </c>
    </row>
    <row r="10420" spans="1:14">
      <c r="A10420" t="s">
        <v>10400</v>
      </c>
      <c r="B10420">
        <f>HYPERLINK("https://android.googlesource.com/platform/cts/+/4fd3ca36abd6437ff8bf4d4ff24ffe1321413d0a", "4fd3ca36abd6437ff8bf4d4ff24ffe1321413d0a")</f>
        <v>0</v>
      </c>
      <c r="C10420">
        <f>HYPERLINK("https://android.googlesource.com/platform/cts/+/dc7d94929e909289731a833df59e39a5d5daab1f", "dc7d94929e909289731a833df59e39a5d5daab1f")</f>
        <v>0</v>
      </c>
      <c r="D10420" t="s">
        <v>12100</v>
      </c>
      <c r="E10420" t="s">
        <v>12959</v>
      </c>
      <c r="F10420" t="s">
        <v>16151</v>
      </c>
      <c r="G10420" t="s">
        <v>18832</v>
      </c>
      <c r="H10420" t="s">
        <v>22025</v>
      </c>
      <c r="I10420" t="s">
        <v>1357</v>
      </c>
      <c r="J10420" t="s">
        <v>1357</v>
      </c>
      <c r="K10420" t="s">
        <v>1357</v>
      </c>
      <c r="L10420" t="s">
        <v>1357</v>
      </c>
      <c r="M10420" t="s">
        <v>1360</v>
      </c>
    </row>
    <row r="10421" spans="1:14">
      <c r="H10421" t="s">
        <v>22026</v>
      </c>
      <c r="I10421" t="s">
        <v>1357</v>
      </c>
      <c r="J10421" t="s">
        <v>1357</v>
      </c>
      <c r="K10421" t="s">
        <v>1357</v>
      </c>
      <c r="L10421" t="s">
        <v>1357</v>
      </c>
      <c r="M10421" t="s">
        <v>1360</v>
      </c>
    </row>
    <row r="10422" spans="1:14">
      <c r="A10422" t="s">
        <v>10401</v>
      </c>
      <c r="B10422">
        <f>HYPERLINK("https://android.googlesource.com/platform/cts/+/987019298727695c2b202081153a2bd67de1b063", "987019298727695c2b202081153a2bd67de1b063")</f>
        <v>0</v>
      </c>
      <c r="C10422">
        <f>HYPERLINK("https://android.googlesource.com/platform/cts/+/f480e061734cc4f08aa141a18b0985fbcc2e4f5b", "f480e061734cc4f08aa141a18b0985fbcc2e4f5b")</f>
        <v>0</v>
      </c>
      <c r="D10422" t="s">
        <v>12066</v>
      </c>
      <c r="E10422" t="s">
        <v>12960</v>
      </c>
      <c r="F10422" t="s">
        <v>16152</v>
      </c>
      <c r="G10422" t="s">
        <v>18833</v>
      </c>
      <c r="H10422" t="s">
        <v>22027</v>
      </c>
      <c r="I10422" t="s">
        <v>1357</v>
      </c>
      <c r="J10422" t="s">
        <v>1357</v>
      </c>
      <c r="K10422" t="s">
        <v>1357</v>
      </c>
      <c r="L10422" t="s">
        <v>1357</v>
      </c>
    </row>
    <row r="10423" spans="1:14">
      <c r="A10423" t="s">
        <v>10402</v>
      </c>
      <c r="B10423">
        <f>HYPERLINK("https://android.googlesource.com/platform/cts/+/0f095ca986d7558f9f5260c71a12cef4474d9da3", "0f095ca986d7558f9f5260c71a12cef4474d9da3")</f>
        <v>0</v>
      </c>
      <c r="C10423">
        <f>HYPERLINK("https://android.googlesource.com/platform/cts/+/d8232b1acfa2fafb2329f4ac70015d2411fa862f", "d8232b1acfa2fafb2329f4ac70015d2411fa862f")</f>
        <v>0</v>
      </c>
      <c r="D10423" t="s">
        <v>12105</v>
      </c>
      <c r="E10423" t="s">
        <v>12961</v>
      </c>
      <c r="F10423" t="s">
        <v>15184</v>
      </c>
      <c r="G10423" t="s">
        <v>17886</v>
      </c>
      <c r="H10423" t="s">
        <v>22028</v>
      </c>
      <c r="I10423" t="s">
        <v>1359</v>
      </c>
      <c r="J10423" t="s">
        <v>1358</v>
      </c>
      <c r="K10423" t="s">
        <v>1357</v>
      </c>
      <c r="L10423" t="s">
        <v>1358</v>
      </c>
    </row>
    <row r="10424" spans="1:14">
      <c r="A10424" t="s">
        <v>10403</v>
      </c>
      <c r="B10424">
        <f>HYPERLINK("https://android.googlesource.com/platform/cts/+/219c1171cf01c735ee805132084e79add5c5aa7e", "219c1171cf01c735ee805132084e79add5c5aa7e")</f>
        <v>0</v>
      </c>
      <c r="C10424">
        <f>HYPERLINK("https://android.googlesource.com/platform/cts/+/931d2695337f70f1abf31253c42e3bdf6eb338e2", "931d2695337f70f1abf31253c42e3bdf6eb338e2")</f>
        <v>0</v>
      </c>
      <c r="D10424" t="s">
        <v>12091</v>
      </c>
      <c r="E10424" t="s">
        <v>12962</v>
      </c>
      <c r="F10424" t="s">
        <v>16121</v>
      </c>
      <c r="G10424" t="s">
        <v>18810</v>
      </c>
      <c r="H10424" t="s">
        <v>21926</v>
      </c>
      <c r="I10424" t="s">
        <v>1357</v>
      </c>
      <c r="J10424" t="s">
        <v>1357</v>
      </c>
      <c r="K10424" t="s">
        <v>1357</v>
      </c>
      <c r="L10424" t="s">
        <v>1357</v>
      </c>
    </row>
    <row r="10425" spans="1:14">
      <c r="H10425" t="s">
        <v>21927</v>
      </c>
      <c r="I10425" t="s">
        <v>1357</v>
      </c>
      <c r="J10425" t="s">
        <v>1357</v>
      </c>
      <c r="K10425" t="s">
        <v>1357</v>
      </c>
      <c r="L10425" t="s">
        <v>1357</v>
      </c>
    </row>
    <row r="10426" spans="1:14">
      <c r="A10426" t="s">
        <v>10404</v>
      </c>
      <c r="B10426">
        <f>HYPERLINK("https://android.googlesource.com/platform/cts/+/e5955cd84c0af809e11d232b1d1139cbfc3b4e6e", "e5955cd84c0af809e11d232b1d1139cbfc3b4e6e")</f>
        <v>0</v>
      </c>
      <c r="C10426">
        <f>HYPERLINK("https://android.googlesource.com/platform/cts/+/dbdf5086ddaa5bdc6d4793a930bc05f9fdba3609", "dbdf5086ddaa5bdc6d4793a930bc05f9fdba3609")</f>
        <v>0</v>
      </c>
      <c r="D10426" t="s">
        <v>12038</v>
      </c>
      <c r="E10426" t="s">
        <v>12963</v>
      </c>
      <c r="F10426" t="s">
        <v>16153</v>
      </c>
      <c r="G10426" t="s">
        <v>18834</v>
      </c>
      <c r="H10426" t="s">
        <v>22029</v>
      </c>
      <c r="I10426" t="s">
        <v>1357</v>
      </c>
      <c r="J10426" t="s">
        <v>1357</v>
      </c>
      <c r="K10426" t="s">
        <v>1357</v>
      </c>
      <c r="L10426" t="s">
        <v>1357</v>
      </c>
    </row>
    <row r="10427" spans="1:14">
      <c r="A10427" t="s">
        <v>10405</v>
      </c>
      <c r="B10427">
        <f>HYPERLINK("https://android.googlesource.com/platform/cts/+/4767e57cc2cd10c648ef9c6cdab8d72c17410021", "4767e57cc2cd10c648ef9c6cdab8d72c17410021")</f>
        <v>0</v>
      </c>
      <c r="C10427">
        <f>HYPERLINK("https://android.googlesource.com/platform/cts/+/f0fd1a60a6f389bed1eaf2959d581506de8d84dc", "f0fd1a60a6f389bed1eaf2959d581506de8d84dc")</f>
        <v>0</v>
      </c>
      <c r="D10427" t="s">
        <v>12008</v>
      </c>
      <c r="E10427" t="s">
        <v>12964</v>
      </c>
      <c r="F10427" t="s">
        <v>16154</v>
      </c>
      <c r="G10427" t="s">
        <v>18835</v>
      </c>
      <c r="H10427" t="s">
        <v>22030</v>
      </c>
      <c r="I10427" t="s">
        <v>1357</v>
      </c>
      <c r="J10427" t="s">
        <v>1357</v>
      </c>
      <c r="K10427" t="s">
        <v>1357</v>
      </c>
      <c r="L10427" t="s">
        <v>1357</v>
      </c>
    </row>
    <row r="10428" spans="1:14">
      <c r="H10428" t="s">
        <v>4954</v>
      </c>
      <c r="I10428" t="s">
        <v>1357</v>
      </c>
      <c r="J10428" t="s">
        <v>1357</v>
      </c>
      <c r="K10428" t="s">
        <v>1357</v>
      </c>
      <c r="L10428" t="s">
        <v>1357</v>
      </c>
    </row>
    <row r="10429" spans="1:14">
      <c r="A10429" t="s">
        <v>10406</v>
      </c>
      <c r="B10429">
        <f>HYPERLINK("https://android.googlesource.com/platform/cts/+/c65fc930b0d82ed2836c3c869a8c8123299ad877", "c65fc930b0d82ed2836c3c869a8c8123299ad877")</f>
        <v>0</v>
      </c>
      <c r="C10429">
        <f>HYPERLINK("https://android.googlesource.com/platform/cts/+/0e478bc1c528df4d395557d077c4f3a7e0291105", "0e478bc1c528df4d395557d077c4f3a7e0291105")</f>
        <v>0</v>
      </c>
      <c r="D10429" t="s">
        <v>12106</v>
      </c>
      <c r="E10429" t="s">
        <v>12965</v>
      </c>
      <c r="F10429" t="s">
        <v>16155</v>
      </c>
      <c r="G10429" t="s">
        <v>18836</v>
      </c>
      <c r="H10429" t="s">
        <v>22031</v>
      </c>
      <c r="I10429" t="s">
        <v>1358</v>
      </c>
      <c r="J10429" t="s">
        <v>1358</v>
      </c>
      <c r="K10429" t="s">
        <v>1358</v>
      </c>
      <c r="L10429" t="s">
        <v>1358</v>
      </c>
    </row>
    <row r="10430" spans="1:14">
      <c r="F10430" t="s">
        <v>16156</v>
      </c>
      <c r="G10430" t="s">
        <v>18837</v>
      </c>
      <c r="H10430" t="s">
        <v>22031</v>
      </c>
      <c r="I10430" t="s">
        <v>1358</v>
      </c>
      <c r="J10430" t="s">
        <v>1358</v>
      </c>
      <c r="K10430" t="s">
        <v>1358</v>
      </c>
      <c r="L10430" t="s">
        <v>1358</v>
      </c>
    </row>
    <row r="10431" spans="1:14">
      <c r="A10431" t="s">
        <v>10407</v>
      </c>
      <c r="B10431">
        <f>HYPERLINK("https://android.googlesource.com/platform/cts/+/5da72853ae42b0443c57bad37d543d5f02d40f81", "5da72853ae42b0443c57bad37d543d5f02d40f81")</f>
        <v>0</v>
      </c>
      <c r="C10431">
        <f>HYPERLINK("https://android.googlesource.com/platform/cts/+/3b62e6a7073fae56b662ba813cfe04dab6bd2c51", "3b62e6a7073fae56b662ba813cfe04dab6bd2c51")</f>
        <v>0</v>
      </c>
      <c r="D10431" t="s">
        <v>12044</v>
      </c>
      <c r="E10431" t="s">
        <v>12966</v>
      </c>
      <c r="F10431" t="s">
        <v>14488</v>
      </c>
      <c r="G10431" t="s">
        <v>17334</v>
      </c>
      <c r="H10431" t="s">
        <v>22032</v>
      </c>
      <c r="I10431" t="s">
        <v>1358</v>
      </c>
      <c r="J10431" t="s">
        <v>1358</v>
      </c>
      <c r="K10431" t="s">
        <v>1358</v>
      </c>
      <c r="L10431" t="s">
        <v>1358</v>
      </c>
      <c r="N10431" t="s">
        <v>27508</v>
      </c>
    </row>
    <row r="10432" spans="1:14">
      <c r="H10432" t="s">
        <v>22033</v>
      </c>
      <c r="I10432" t="s">
        <v>1357</v>
      </c>
      <c r="J10432" t="s">
        <v>1357</v>
      </c>
      <c r="K10432" t="s">
        <v>1357</v>
      </c>
      <c r="L10432" t="s">
        <v>1357</v>
      </c>
      <c r="M10432" t="s">
        <v>1360</v>
      </c>
    </row>
    <row r="10433" spans="1:14">
      <c r="A10433" t="s">
        <v>10408</v>
      </c>
      <c r="B10433">
        <f>HYPERLINK("https://android.googlesource.com/platform/cts/+/62a8f5963039a89980f1d24374f514872cc5bf43", "62a8f5963039a89980f1d24374f514872cc5bf43")</f>
        <v>0</v>
      </c>
      <c r="C10433">
        <f>HYPERLINK("https://android.googlesource.com/platform/cts/+/3b62e6a7073fae56b662ba813cfe04dab6bd2c51", "3b62e6a7073fae56b662ba813cfe04dab6bd2c51")</f>
        <v>0</v>
      </c>
      <c r="D10433" t="s">
        <v>12044</v>
      </c>
      <c r="E10433" t="s">
        <v>12967</v>
      </c>
      <c r="F10433" t="s">
        <v>14487</v>
      </c>
      <c r="G10433" t="s">
        <v>17333</v>
      </c>
      <c r="H10433" t="s">
        <v>22034</v>
      </c>
      <c r="I10433" t="s">
        <v>1358</v>
      </c>
      <c r="J10433" t="s">
        <v>1358</v>
      </c>
      <c r="K10433" t="s">
        <v>1358</v>
      </c>
      <c r="L10433" t="s">
        <v>1358</v>
      </c>
    </row>
    <row r="10434" spans="1:14">
      <c r="A10434" t="s">
        <v>10409</v>
      </c>
      <c r="B10434">
        <f>HYPERLINK("https://android.googlesource.com/platform/cts/+/7ac81e5517486a0b57a0882e5fbbc30d26c5cd34", "7ac81e5517486a0b57a0882e5fbbc30d26c5cd34")</f>
        <v>0</v>
      </c>
      <c r="C10434">
        <f>HYPERLINK("https://android.googlesource.com/platform/cts/+/a8c33dfd623fc76e9f568e91f8d39549aae95222", "a8c33dfd623fc76e9f568e91f8d39549aae95222")</f>
        <v>0</v>
      </c>
      <c r="D10434" t="s">
        <v>12107</v>
      </c>
      <c r="E10434" t="s">
        <v>12968</v>
      </c>
      <c r="F10434" t="s">
        <v>16157</v>
      </c>
      <c r="G10434" t="s">
        <v>18838</v>
      </c>
      <c r="H10434" t="s">
        <v>22035</v>
      </c>
      <c r="I10434" t="s">
        <v>1357</v>
      </c>
      <c r="J10434" t="s">
        <v>1357</v>
      </c>
      <c r="K10434" t="s">
        <v>1357</v>
      </c>
      <c r="L10434" t="s">
        <v>1357</v>
      </c>
    </row>
    <row r="10435" spans="1:14">
      <c r="F10435" t="s">
        <v>16158</v>
      </c>
      <c r="G10435" t="s">
        <v>18839</v>
      </c>
      <c r="H10435" t="s">
        <v>20014</v>
      </c>
      <c r="I10435" t="s">
        <v>1357</v>
      </c>
      <c r="J10435" t="s">
        <v>1357</v>
      </c>
      <c r="K10435" t="s">
        <v>1357</v>
      </c>
      <c r="L10435" t="s">
        <v>1357</v>
      </c>
    </row>
    <row r="10436" spans="1:14">
      <c r="H10436" t="s">
        <v>3380</v>
      </c>
      <c r="I10436" t="s">
        <v>1357</v>
      </c>
      <c r="J10436" t="s">
        <v>1357</v>
      </c>
      <c r="K10436" t="s">
        <v>1357</v>
      </c>
      <c r="L10436" t="s">
        <v>1357</v>
      </c>
    </row>
    <row r="10437" spans="1:14">
      <c r="F10437" t="s">
        <v>16159</v>
      </c>
      <c r="G10437" t="s">
        <v>18840</v>
      </c>
      <c r="H10437" t="s">
        <v>22036</v>
      </c>
      <c r="I10437" t="s">
        <v>1357</v>
      </c>
      <c r="J10437" t="s">
        <v>1357</v>
      </c>
      <c r="K10437" t="s">
        <v>1357</v>
      </c>
      <c r="L10437" t="s">
        <v>1357</v>
      </c>
    </row>
    <row r="10438" spans="1:14">
      <c r="A10438" t="s">
        <v>10410</v>
      </c>
      <c r="B10438">
        <f>HYPERLINK("https://android.googlesource.com/platform/cts/+/ffe206d0fa6f5aab66da6af8d74714b2ea6fbca8", "ffe206d0fa6f5aab66da6af8d74714b2ea6fbca8")</f>
        <v>0</v>
      </c>
      <c r="C10438">
        <f>HYPERLINK("https://android.googlesource.com/platform/cts/+/79d03fac83c57fb659ba628a6375a8a8c3b28f07", "79d03fac83c57fb659ba628a6375a8a8c3b28f07")</f>
        <v>0</v>
      </c>
      <c r="D10438" t="s">
        <v>12044</v>
      </c>
      <c r="E10438" t="s">
        <v>12969</v>
      </c>
      <c r="F10438" t="s">
        <v>16160</v>
      </c>
      <c r="G10438" t="s">
        <v>18841</v>
      </c>
      <c r="H10438" t="s">
        <v>22037</v>
      </c>
      <c r="I10438" t="s">
        <v>1357</v>
      </c>
      <c r="J10438" t="s">
        <v>1357</v>
      </c>
      <c r="K10438" t="s">
        <v>1357</v>
      </c>
      <c r="L10438" t="s">
        <v>1357</v>
      </c>
      <c r="M10438" t="s">
        <v>1360</v>
      </c>
      <c r="N10438" t="s">
        <v>1360</v>
      </c>
    </row>
    <row r="10439" spans="1:14">
      <c r="F10439" t="s">
        <v>16161</v>
      </c>
      <c r="G10439" t="s">
        <v>18842</v>
      </c>
      <c r="H10439" t="s">
        <v>22037</v>
      </c>
      <c r="I10439" t="s">
        <v>1357</v>
      </c>
      <c r="J10439" t="s">
        <v>1357</v>
      </c>
      <c r="K10439" t="s">
        <v>1357</v>
      </c>
      <c r="L10439" t="s">
        <v>1357</v>
      </c>
      <c r="M10439" t="s">
        <v>1360</v>
      </c>
    </row>
    <row r="10440" spans="1:14">
      <c r="A10440" t="s">
        <v>10411</v>
      </c>
      <c r="B10440">
        <f>HYPERLINK("https://android.googlesource.com/platform/cts/+/dc7920db557edae6f3ce67918995d2216efb6942", "dc7920db557edae6f3ce67918995d2216efb6942")</f>
        <v>0</v>
      </c>
      <c r="C10440">
        <f>HYPERLINK("https://android.googlesource.com/platform/cts/+/ceceb252dd6a5102144373bd5aebef6fcb962b20", "ceceb252dd6a5102144373bd5aebef6fcb962b20")</f>
        <v>0</v>
      </c>
      <c r="D10440" t="s">
        <v>12108</v>
      </c>
      <c r="E10440" t="s">
        <v>12970</v>
      </c>
      <c r="F10440" t="s">
        <v>16162</v>
      </c>
      <c r="G10440" t="s">
        <v>18843</v>
      </c>
      <c r="H10440" t="s">
        <v>22038</v>
      </c>
      <c r="I10440" t="s">
        <v>1357</v>
      </c>
      <c r="J10440" t="s">
        <v>1357</v>
      </c>
      <c r="K10440" t="s">
        <v>1357</v>
      </c>
      <c r="L10440" t="s">
        <v>1357</v>
      </c>
    </row>
    <row r="10441" spans="1:14">
      <c r="H10441" t="s">
        <v>22039</v>
      </c>
      <c r="I10441" t="s">
        <v>1357</v>
      </c>
      <c r="J10441" t="s">
        <v>1357</v>
      </c>
      <c r="K10441" t="s">
        <v>1357</v>
      </c>
      <c r="L10441" t="s">
        <v>1357</v>
      </c>
    </row>
    <row r="10442" spans="1:14">
      <c r="F10442" t="s">
        <v>16163</v>
      </c>
      <c r="G10442" t="s">
        <v>18844</v>
      </c>
      <c r="H10442" t="s">
        <v>22040</v>
      </c>
      <c r="I10442" t="s">
        <v>1357</v>
      </c>
      <c r="J10442" t="s">
        <v>1357</v>
      </c>
      <c r="K10442" t="s">
        <v>1357</v>
      </c>
      <c r="L10442" t="s">
        <v>1357</v>
      </c>
    </row>
    <row r="10443" spans="1:14">
      <c r="H10443" t="s">
        <v>22039</v>
      </c>
      <c r="I10443" t="s">
        <v>1357</v>
      </c>
      <c r="J10443" t="s">
        <v>1357</v>
      </c>
      <c r="K10443" t="s">
        <v>1357</v>
      </c>
      <c r="L10443" t="s">
        <v>1357</v>
      </c>
    </row>
    <row r="10444" spans="1:14">
      <c r="A10444" t="s">
        <v>10412</v>
      </c>
      <c r="B10444">
        <f>HYPERLINK("https://android.googlesource.com/platform/cts/+/88e3b22925216a9916d38e9ec67a2911699fd207", "88e3b22925216a9916d38e9ec67a2911699fd207")</f>
        <v>0</v>
      </c>
      <c r="C10444">
        <f>HYPERLINK("https://android.googlesource.com/platform/cts/+/ceceb252dd6a5102144373bd5aebef6fcb962b20", "ceceb252dd6a5102144373bd5aebef6fcb962b20")</f>
        <v>0</v>
      </c>
      <c r="D10444" t="s">
        <v>12109</v>
      </c>
      <c r="E10444" t="s">
        <v>12971</v>
      </c>
      <c r="F10444" t="s">
        <v>16164</v>
      </c>
      <c r="G10444" t="s">
        <v>18845</v>
      </c>
      <c r="H10444" t="s">
        <v>22041</v>
      </c>
      <c r="I10444" t="s">
        <v>1357</v>
      </c>
      <c r="J10444" t="s">
        <v>1357</v>
      </c>
      <c r="K10444" t="s">
        <v>1357</v>
      </c>
      <c r="L10444" t="s">
        <v>1357</v>
      </c>
    </row>
    <row r="10445" spans="1:14">
      <c r="A10445" t="s">
        <v>10413</v>
      </c>
      <c r="B10445">
        <f>HYPERLINK("https://android.googlesource.com/platform/cts/+/db006ec1c828f532a84c5015e45dd9313324bc80", "db006ec1c828f532a84c5015e45dd9313324bc80")</f>
        <v>0</v>
      </c>
      <c r="C10445">
        <f>HYPERLINK("https://android.googlesource.com/platform/cts/+/b12e1a10acae150e4d9c4fe8083fe2c069a0f96d", "b12e1a10acae150e4d9c4fe8083fe2c069a0f96d")</f>
        <v>0</v>
      </c>
      <c r="D10445" t="s">
        <v>12044</v>
      </c>
      <c r="E10445" t="s">
        <v>12972</v>
      </c>
      <c r="F10445" t="s">
        <v>16165</v>
      </c>
      <c r="G10445" t="s">
        <v>18846</v>
      </c>
      <c r="H10445" t="s">
        <v>22042</v>
      </c>
      <c r="I10445" t="s">
        <v>1358</v>
      </c>
      <c r="J10445" t="s">
        <v>1358</v>
      </c>
      <c r="K10445" t="s">
        <v>1358</v>
      </c>
      <c r="L10445" t="s">
        <v>1358</v>
      </c>
    </row>
    <row r="10446" spans="1:14">
      <c r="A10446" t="s">
        <v>10414</v>
      </c>
      <c r="B10446">
        <f>HYPERLINK("https://android.googlesource.com/platform/cts/+/adca35a2393600069563826b6f7fc23fe2be929d", "adca35a2393600069563826b6f7fc23fe2be929d")</f>
        <v>0</v>
      </c>
      <c r="C10446">
        <f>HYPERLINK("https://android.googlesource.com/platform/cts/+/427501f4c2964b0b6e1d84a2ccf450830c3b8d9a", "427501f4c2964b0b6e1d84a2ccf450830c3b8d9a")</f>
        <v>0</v>
      </c>
      <c r="D10446" t="s">
        <v>12110</v>
      </c>
      <c r="E10446" t="s">
        <v>12973</v>
      </c>
      <c r="F10446" t="s">
        <v>16166</v>
      </c>
      <c r="G10446" t="s">
        <v>18847</v>
      </c>
      <c r="H10446" t="s">
        <v>22043</v>
      </c>
      <c r="I10446" t="s">
        <v>1358</v>
      </c>
      <c r="J10446" t="s">
        <v>1358</v>
      </c>
      <c r="K10446" t="s">
        <v>1358</v>
      </c>
      <c r="L10446" t="s">
        <v>1358</v>
      </c>
    </row>
    <row r="10447" spans="1:14">
      <c r="A10447" t="s">
        <v>10415</v>
      </c>
      <c r="B10447">
        <f>HYPERLINK("https://android.googlesource.com/platform/cts/+/5bd64517bf00af002c4c5febb6cdce7fb62a5b16", "5bd64517bf00af002c4c5febb6cdce7fb62a5b16")</f>
        <v>0</v>
      </c>
      <c r="C10447">
        <f>HYPERLINK("https://android.googlesource.com/platform/cts/+/3ccbf12472866c72a393ea42838213c292db37d1", "3ccbf12472866c72a393ea42838213c292db37d1")</f>
        <v>0</v>
      </c>
      <c r="D10447" t="s">
        <v>12111</v>
      </c>
      <c r="E10447" t="s">
        <v>12974</v>
      </c>
      <c r="F10447" t="s">
        <v>16167</v>
      </c>
      <c r="G10447" t="s">
        <v>18848</v>
      </c>
      <c r="H10447" t="s">
        <v>22044</v>
      </c>
      <c r="I10447" t="s">
        <v>1357</v>
      </c>
      <c r="J10447" t="s">
        <v>1357</v>
      </c>
      <c r="K10447" t="s">
        <v>1357</v>
      </c>
      <c r="L10447" t="s">
        <v>1357</v>
      </c>
      <c r="N10447" t="s">
        <v>1379</v>
      </c>
    </row>
    <row r="10448" spans="1:14">
      <c r="H10448" t="s">
        <v>22045</v>
      </c>
      <c r="I10448" t="s">
        <v>1357</v>
      </c>
      <c r="J10448" t="s">
        <v>1357</v>
      </c>
      <c r="K10448" t="s">
        <v>1357</v>
      </c>
      <c r="L10448" t="s">
        <v>1357</v>
      </c>
    </row>
    <row r="10449" spans="8:12">
      <c r="H10449" t="s">
        <v>22046</v>
      </c>
      <c r="I10449" t="s">
        <v>1357</v>
      </c>
      <c r="J10449" t="s">
        <v>1357</v>
      </c>
      <c r="K10449" t="s">
        <v>1357</v>
      </c>
      <c r="L10449" t="s">
        <v>1357</v>
      </c>
    </row>
    <row r="10450" spans="8:12">
      <c r="H10450" t="s">
        <v>22047</v>
      </c>
      <c r="I10450" t="s">
        <v>1357</v>
      </c>
      <c r="J10450" t="s">
        <v>1357</v>
      </c>
      <c r="K10450" t="s">
        <v>1357</v>
      </c>
      <c r="L10450" t="s">
        <v>1357</v>
      </c>
    </row>
    <row r="10451" spans="8:12">
      <c r="H10451" t="s">
        <v>22048</v>
      </c>
      <c r="I10451" t="s">
        <v>1357</v>
      </c>
      <c r="J10451" t="s">
        <v>1357</v>
      </c>
      <c r="K10451" t="s">
        <v>1357</v>
      </c>
      <c r="L10451" t="s">
        <v>1357</v>
      </c>
    </row>
    <row r="10452" spans="8:12">
      <c r="H10452" t="s">
        <v>22049</v>
      </c>
      <c r="I10452" t="s">
        <v>1357</v>
      </c>
      <c r="J10452" t="s">
        <v>1357</v>
      </c>
      <c r="K10452" t="s">
        <v>1357</v>
      </c>
      <c r="L10452" t="s">
        <v>1357</v>
      </c>
    </row>
    <row r="10453" spans="8:12">
      <c r="H10453" t="s">
        <v>22050</v>
      </c>
      <c r="I10453" t="s">
        <v>1357</v>
      </c>
      <c r="J10453" t="s">
        <v>1357</v>
      </c>
      <c r="K10453" t="s">
        <v>1357</v>
      </c>
      <c r="L10453" t="s">
        <v>1357</v>
      </c>
    </row>
    <row r="10454" spans="8:12">
      <c r="H10454" t="s">
        <v>22051</v>
      </c>
      <c r="I10454" t="s">
        <v>1357</v>
      </c>
      <c r="J10454" t="s">
        <v>1357</v>
      </c>
      <c r="K10454" t="s">
        <v>1357</v>
      </c>
      <c r="L10454" t="s">
        <v>1357</v>
      </c>
    </row>
    <row r="10455" spans="8:12">
      <c r="H10455" t="s">
        <v>22052</v>
      </c>
      <c r="I10455" t="s">
        <v>1357</v>
      </c>
      <c r="J10455" t="s">
        <v>1357</v>
      </c>
      <c r="K10455" t="s">
        <v>1357</v>
      </c>
      <c r="L10455" t="s">
        <v>1357</v>
      </c>
    </row>
    <row r="10456" spans="8:12">
      <c r="H10456" t="s">
        <v>22053</v>
      </c>
      <c r="I10456" t="s">
        <v>1357</v>
      </c>
      <c r="J10456" t="s">
        <v>1357</v>
      </c>
      <c r="K10456" t="s">
        <v>1357</v>
      </c>
      <c r="L10456" t="s">
        <v>1357</v>
      </c>
    </row>
    <row r="10457" spans="8:12">
      <c r="H10457" t="s">
        <v>22054</v>
      </c>
      <c r="I10457" t="s">
        <v>1357</v>
      </c>
      <c r="J10457" t="s">
        <v>1357</v>
      </c>
      <c r="K10457" t="s">
        <v>1357</v>
      </c>
      <c r="L10457" t="s">
        <v>1357</v>
      </c>
    </row>
    <row r="10458" spans="8:12">
      <c r="H10458" t="s">
        <v>22055</v>
      </c>
      <c r="I10458" t="s">
        <v>1357</v>
      </c>
      <c r="J10458" t="s">
        <v>1357</v>
      </c>
      <c r="K10458" t="s">
        <v>1357</v>
      </c>
      <c r="L10458" t="s">
        <v>1357</v>
      </c>
    </row>
    <row r="10459" spans="8:12">
      <c r="H10459" t="s">
        <v>22056</v>
      </c>
      <c r="I10459" t="s">
        <v>1357</v>
      </c>
      <c r="J10459" t="s">
        <v>1357</v>
      </c>
      <c r="K10459" t="s">
        <v>1357</v>
      </c>
      <c r="L10459" t="s">
        <v>1357</v>
      </c>
    </row>
    <row r="10460" spans="8:12">
      <c r="H10460" t="s">
        <v>22057</v>
      </c>
      <c r="I10460" t="s">
        <v>1357</v>
      </c>
      <c r="J10460" t="s">
        <v>1357</v>
      </c>
      <c r="K10460" t="s">
        <v>1357</v>
      </c>
      <c r="L10460" t="s">
        <v>1357</v>
      </c>
    </row>
    <row r="10461" spans="8:12">
      <c r="H10461" t="s">
        <v>22058</v>
      </c>
      <c r="I10461" t="s">
        <v>1357</v>
      </c>
      <c r="J10461" t="s">
        <v>1357</v>
      </c>
      <c r="K10461" t="s">
        <v>1357</v>
      </c>
      <c r="L10461" t="s">
        <v>1357</v>
      </c>
    </row>
    <row r="10462" spans="8:12">
      <c r="H10462" t="s">
        <v>22059</v>
      </c>
      <c r="I10462" t="s">
        <v>1357</v>
      </c>
      <c r="J10462" t="s">
        <v>1357</v>
      </c>
      <c r="K10462" t="s">
        <v>1357</v>
      </c>
      <c r="L10462" t="s">
        <v>1357</v>
      </c>
    </row>
    <row r="10463" spans="8:12">
      <c r="H10463" t="s">
        <v>22060</v>
      </c>
      <c r="I10463" t="s">
        <v>1357</v>
      </c>
      <c r="J10463" t="s">
        <v>1357</v>
      </c>
      <c r="K10463" t="s">
        <v>1357</v>
      </c>
      <c r="L10463" t="s">
        <v>1357</v>
      </c>
    </row>
    <row r="10464" spans="8:12">
      <c r="H10464" t="s">
        <v>22061</v>
      </c>
      <c r="I10464" t="s">
        <v>1357</v>
      </c>
      <c r="J10464" t="s">
        <v>1357</v>
      </c>
      <c r="K10464" t="s">
        <v>1357</v>
      </c>
      <c r="L10464" t="s">
        <v>1357</v>
      </c>
    </row>
    <row r="10465" spans="1:12">
      <c r="A10465" t="s">
        <v>10416</v>
      </c>
      <c r="B10465">
        <f>HYPERLINK("https://android.googlesource.com/platform/cts/+/7b6cd266cc67dc7b6972c9fd1e3586071648bcdb", "7b6cd266cc67dc7b6972c9fd1e3586071648bcdb")</f>
        <v>0</v>
      </c>
      <c r="C10465">
        <f>HYPERLINK("https://android.googlesource.com/platform/cts/+/e38e6229bfe5502698b5d51f5beff3a1b179b4e8", "e38e6229bfe5502698b5d51f5beff3a1b179b4e8")</f>
        <v>0</v>
      </c>
      <c r="D10465" t="s">
        <v>12112</v>
      </c>
      <c r="E10465" t="s">
        <v>12975</v>
      </c>
      <c r="F10465" t="s">
        <v>16168</v>
      </c>
      <c r="G10465" t="s">
        <v>18849</v>
      </c>
      <c r="H10465" t="s">
        <v>22062</v>
      </c>
      <c r="I10465" t="s">
        <v>1357</v>
      </c>
      <c r="J10465" t="s">
        <v>1357</v>
      </c>
      <c r="K10465" t="s">
        <v>1357</v>
      </c>
      <c r="L10465" t="s">
        <v>1357</v>
      </c>
    </row>
    <row r="10466" spans="1:12">
      <c r="A10466" t="s">
        <v>10417</v>
      </c>
      <c r="B10466">
        <f>HYPERLINK("https://android.googlesource.com/platform/cts/+/b94e0ec10073287283b579424cc2a2de80295984", "b94e0ec10073287283b579424cc2a2de80295984")</f>
        <v>0</v>
      </c>
      <c r="C10466">
        <f>HYPERLINK("https://android.googlesource.com/platform/cts/+/ceceb252dd6a5102144373bd5aebef6fcb962b20", "ceceb252dd6a5102144373bd5aebef6fcb962b20")</f>
        <v>0</v>
      </c>
      <c r="D10466" t="s">
        <v>12109</v>
      </c>
      <c r="E10466" t="s">
        <v>12976</v>
      </c>
      <c r="F10466" t="s">
        <v>16164</v>
      </c>
      <c r="G10466" t="s">
        <v>18845</v>
      </c>
      <c r="H10466" t="s">
        <v>22041</v>
      </c>
      <c r="I10466" t="s">
        <v>1357</v>
      </c>
      <c r="J10466" t="s">
        <v>1357</v>
      </c>
      <c r="K10466" t="s">
        <v>1357</v>
      </c>
      <c r="L10466" t="s">
        <v>1357</v>
      </c>
    </row>
    <row r="10467" spans="1:12">
      <c r="A10467" t="s">
        <v>10418</v>
      </c>
      <c r="B10467">
        <f>HYPERLINK("https://android.googlesource.com/platform/cts/+/2330f4564c94283c21eaf5461baa987cc68556c8", "2330f4564c94283c21eaf5461baa987cc68556c8")</f>
        <v>0</v>
      </c>
      <c r="C10467">
        <f>HYPERLINK("https://android.googlesource.com/platform/cts/+/75b1984a8a84243bc3b3aa2ccdf563fa33200af2", "75b1984a8a84243bc3b3aa2ccdf563fa33200af2")</f>
        <v>0</v>
      </c>
      <c r="D10467" t="s">
        <v>12103</v>
      </c>
      <c r="E10467" t="s">
        <v>12977</v>
      </c>
      <c r="F10467" t="s">
        <v>14558</v>
      </c>
      <c r="G10467" t="s">
        <v>17402</v>
      </c>
      <c r="H10467" t="s">
        <v>22063</v>
      </c>
      <c r="I10467" t="s">
        <v>1357</v>
      </c>
      <c r="J10467" t="s">
        <v>1357</v>
      </c>
      <c r="K10467" t="s">
        <v>1357</v>
      </c>
      <c r="L10467" t="s">
        <v>1357</v>
      </c>
    </row>
    <row r="10468" spans="1:12">
      <c r="A10468" t="s">
        <v>10419</v>
      </c>
      <c r="B10468">
        <f>HYPERLINK("https://android.googlesource.com/platform/cts/+/2a855feb22706cf2e757938e19bd9cf9f4c749c2", "2a855feb22706cf2e757938e19bd9cf9f4c749c2")</f>
        <v>0</v>
      </c>
      <c r="C10468">
        <f>HYPERLINK("https://android.googlesource.com/platform/cts/+/2cae0e6925eb37e78c3697b0b8fa9a3c0d30992b", "2cae0e6925eb37e78c3697b0b8fa9a3c0d30992b")</f>
        <v>0</v>
      </c>
      <c r="D10468" t="s">
        <v>12102</v>
      </c>
      <c r="E10468" t="s">
        <v>12978</v>
      </c>
      <c r="F10468" t="s">
        <v>16169</v>
      </c>
      <c r="G10468" t="s">
        <v>18850</v>
      </c>
      <c r="H10468" t="s">
        <v>22064</v>
      </c>
      <c r="I10468" t="s">
        <v>1358</v>
      </c>
      <c r="J10468" t="s">
        <v>1358</v>
      </c>
      <c r="K10468" t="s">
        <v>1358</v>
      </c>
      <c r="L10468" t="s">
        <v>1358</v>
      </c>
    </row>
    <row r="10469" spans="1:12">
      <c r="H10469" t="s">
        <v>22065</v>
      </c>
      <c r="I10469" t="s">
        <v>1358</v>
      </c>
      <c r="J10469" t="s">
        <v>1358</v>
      </c>
      <c r="K10469" t="s">
        <v>1358</v>
      </c>
      <c r="L10469" t="s">
        <v>1358</v>
      </c>
    </row>
    <row r="10470" spans="1:12">
      <c r="H10470" t="s">
        <v>22066</v>
      </c>
      <c r="I10470" t="s">
        <v>1358</v>
      </c>
      <c r="J10470" t="s">
        <v>1358</v>
      </c>
      <c r="K10470" t="s">
        <v>1358</v>
      </c>
      <c r="L10470" t="s">
        <v>1358</v>
      </c>
    </row>
    <row r="10471" spans="1:12">
      <c r="H10471" t="s">
        <v>22067</v>
      </c>
      <c r="I10471" t="s">
        <v>1358</v>
      </c>
      <c r="J10471" t="s">
        <v>1358</v>
      </c>
      <c r="K10471" t="s">
        <v>1358</v>
      </c>
      <c r="L10471" t="s">
        <v>1358</v>
      </c>
    </row>
    <row r="10472" spans="1:12">
      <c r="H10472" t="s">
        <v>22068</v>
      </c>
      <c r="I10472" t="s">
        <v>1358</v>
      </c>
      <c r="J10472" t="s">
        <v>1358</v>
      </c>
      <c r="K10472" t="s">
        <v>1358</v>
      </c>
      <c r="L10472" t="s">
        <v>1358</v>
      </c>
    </row>
    <row r="10473" spans="1:12">
      <c r="A10473" t="s">
        <v>10420</v>
      </c>
      <c r="B10473">
        <f>HYPERLINK("https://android.googlesource.com/platform/cts/+/8f9c5318b57196ac7d2df256f8ecc757ca87733f", "8f9c5318b57196ac7d2df256f8ecc757ca87733f")</f>
        <v>0</v>
      </c>
      <c r="C10473">
        <f>HYPERLINK("https://android.googlesource.com/platform/cts/+/b8d88313e62b5ea6036e34a77e603c6505fea4a5", "b8d88313e62b5ea6036e34a77e603c6505fea4a5")</f>
        <v>0</v>
      </c>
      <c r="D10473" t="s">
        <v>12113</v>
      </c>
      <c r="E10473" t="s">
        <v>12979</v>
      </c>
      <c r="F10473" t="s">
        <v>16170</v>
      </c>
      <c r="G10473" t="s">
        <v>18851</v>
      </c>
      <c r="H10473" t="s">
        <v>22069</v>
      </c>
      <c r="I10473" t="s">
        <v>1357</v>
      </c>
      <c r="J10473" t="s">
        <v>1357</v>
      </c>
      <c r="K10473" t="s">
        <v>1357</v>
      </c>
      <c r="L10473" t="s">
        <v>1357</v>
      </c>
    </row>
    <row r="10474" spans="1:12">
      <c r="A10474" t="s">
        <v>10421</v>
      </c>
      <c r="B10474">
        <f>HYPERLINK("https://android.googlesource.com/platform/cts/+/545a9d771dc758bac9863a06db922e3f0356c230", "545a9d771dc758bac9863a06db922e3f0356c230")</f>
        <v>0</v>
      </c>
      <c r="C10474">
        <f>HYPERLINK("https://android.googlesource.com/platform/cts/+/aa8ed1d506635768dc1f45b4e95f636341844d75", "aa8ed1d506635768dc1f45b4e95f636341844d75")</f>
        <v>0</v>
      </c>
      <c r="D10474" t="s">
        <v>12114</v>
      </c>
      <c r="E10474" t="s">
        <v>12980</v>
      </c>
      <c r="F10474" t="s">
        <v>16121</v>
      </c>
      <c r="G10474" t="s">
        <v>18810</v>
      </c>
      <c r="H10474" t="s">
        <v>21926</v>
      </c>
      <c r="I10474" t="s">
        <v>1357</v>
      </c>
      <c r="J10474" t="s">
        <v>1357</v>
      </c>
      <c r="K10474" t="s">
        <v>1357</v>
      </c>
      <c r="L10474" t="s">
        <v>1357</v>
      </c>
    </row>
    <row r="10475" spans="1:12">
      <c r="H10475" t="s">
        <v>21927</v>
      </c>
      <c r="I10475" t="s">
        <v>1357</v>
      </c>
      <c r="J10475" t="s">
        <v>1357</v>
      </c>
      <c r="K10475" t="s">
        <v>1357</v>
      </c>
      <c r="L10475" t="s">
        <v>1357</v>
      </c>
    </row>
    <row r="10476" spans="1:12">
      <c r="A10476" t="s">
        <v>10422</v>
      </c>
      <c r="B10476">
        <f>HYPERLINK("https://android.googlesource.com/platform/cts/+/2d82709451bda4243a2b542e69f61c09423ec248", "2d82709451bda4243a2b542e69f61c09423ec248")</f>
        <v>0</v>
      </c>
      <c r="C10476">
        <f>HYPERLINK("https://android.googlesource.com/platform/cts/+/0f31c5a7aaf741612ec159d58e8246a611bf6f2f", "0f31c5a7aaf741612ec159d58e8246a611bf6f2f")</f>
        <v>0</v>
      </c>
      <c r="D10476" t="s">
        <v>11991</v>
      </c>
      <c r="E10476" t="s">
        <v>12981</v>
      </c>
      <c r="F10476" t="s">
        <v>16171</v>
      </c>
      <c r="G10476" t="s">
        <v>18734</v>
      </c>
      <c r="H10476" t="s">
        <v>22070</v>
      </c>
      <c r="I10476" t="s">
        <v>1357</v>
      </c>
      <c r="J10476" t="s">
        <v>1357</v>
      </c>
      <c r="K10476" t="s">
        <v>1357</v>
      </c>
      <c r="L10476" t="s">
        <v>1357</v>
      </c>
    </row>
    <row r="10477" spans="1:12">
      <c r="A10477" t="s">
        <v>10423</v>
      </c>
      <c r="B10477">
        <f>HYPERLINK("https://android.googlesource.com/platform/cts/+/bbcc0f185fd3b2cd6faeea1b4a8bbb885628d9b5", "bbcc0f185fd3b2cd6faeea1b4a8bbb885628d9b5")</f>
        <v>0</v>
      </c>
      <c r="C10477">
        <f>HYPERLINK("https://android.googlesource.com/platform/cts/+/c9acf324cd32f7bc7668b428927f21c67ad1c765", "c9acf324cd32f7bc7668b428927f21c67ad1c765")</f>
        <v>0</v>
      </c>
      <c r="D10477" t="s">
        <v>12110</v>
      </c>
      <c r="E10477" t="s">
        <v>12982</v>
      </c>
      <c r="F10477" t="s">
        <v>15179</v>
      </c>
      <c r="G10477" t="s">
        <v>17881</v>
      </c>
      <c r="H10477" t="s">
        <v>22071</v>
      </c>
      <c r="I10477" t="s">
        <v>1358</v>
      </c>
      <c r="J10477" t="s">
        <v>1358</v>
      </c>
      <c r="K10477" t="s">
        <v>1358</v>
      </c>
      <c r="L10477" t="s">
        <v>1358</v>
      </c>
    </row>
    <row r="10478" spans="1:12">
      <c r="H10478" t="s">
        <v>3843</v>
      </c>
      <c r="I10478" t="s">
        <v>1358</v>
      </c>
      <c r="J10478" t="s">
        <v>1358</v>
      </c>
      <c r="K10478" t="s">
        <v>1358</v>
      </c>
      <c r="L10478" t="s">
        <v>1358</v>
      </c>
    </row>
    <row r="10479" spans="1:12">
      <c r="H10479" t="s">
        <v>22072</v>
      </c>
      <c r="I10479" t="s">
        <v>1358</v>
      </c>
      <c r="J10479" t="s">
        <v>1358</v>
      </c>
      <c r="K10479" t="s">
        <v>1358</v>
      </c>
      <c r="L10479" t="s">
        <v>1358</v>
      </c>
    </row>
    <row r="10480" spans="1:12">
      <c r="A10480" t="s">
        <v>10424</v>
      </c>
      <c r="B10480">
        <f>HYPERLINK("https://android.googlesource.com/platform/cts/+/a42b7b4142cda75ed37ef6cc5f3e84f5aa07797c", "a42b7b4142cda75ed37ef6cc5f3e84f5aa07797c")</f>
        <v>0</v>
      </c>
      <c r="C10480">
        <f>HYPERLINK("https://android.googlesource.com/platform/cts/+/2a445cb1df8840f90ec49b1d08b8c1a2661250b9", "2a445cb1df8840f90ec49b1d08b8c1a2661250b9")</f>
        <v>0</v>
      </c>
      <c r="D10480" t="s">
        <v>12114</v>
      </c>
      <c r="E10480" t="s">
        <v>12983</v>
      </c>
      <c r="F10480" t="s">
        <v>16143</v>
      </c>
      <c r="G10480" t="s">
        <v>18827</v>
      </c>
      <c r="H10480" t="s">
        <v>22012</v>
      </c>
      <c r="I10480" t="s">
        <v>1357</v>
      </c>
      <c r="J10480" t="s">
        <v>1357</v>
      </c>
      <c r="K10480" t="s">
        <v>1357</v>
      </c>
      <c r="L10480" t="s">
        <v>1357</v>
      </c>
    </row>
    <row r="10481" spans="1:12">
      <c r="A10481" t="s">
        <v>10425</v>
      </c>
      <c r="B10481">
        <f>HYPERLINK("https://android.googlesource.com/platform/cts/+/d31f7df59f21c51b7bf2abaeb415292ace61fb76", "d31f7df59f21c51b7bf2abaeb415292ace61fb76")</f>
        <v>0</v>
      </c>
      <c r="C10481">
        <f>HYPERLINK("https://android.googlesource.com/platform/cts/+/b5daad8c1685e65d4af2197a496a2cd39fe1872e", "b5daad8c1685e65d4af2197a496a2cd39fe1872e")</f>
        <v>0</v>
      </c>
      <c r="D10481" t="s">
        <v>12105</v>
      </c>
      <c r="E10481" t="s">
        <v>12984</v>
      </c>
      <c r="F10481" t="s">
        <v>15184</v>
      </c>
      <c r="G10481" t="s">
        <v>17886</v>
      </c>
      <c r="H10481" t="s">
        <v>22073</v>
      </c>
      <c r="I10481" t="s">
        <v>1357</v>
      </c>
      <c r="J10481" t="s">
        <v>1357</v>
      </c>
      <c r="K10481" t="s">
        <v>1357</v>
      </c>
      <c r="L10481" t="s">
        <v>1357</v>
      </c>
    </row>
    <row r="10482" spans="1:12">
      <c r="H10482" t="s">
        <v>22074</v>
      </c>
      <c r="I10482" t="s">
        <v>1357</v>
      </c>
      <c r="J10482" t="s">
        <v>1357</v>
      </c>
      <c r="K10482" t="s">
        <v>1357</v>
      </c>
      <c r="L10482" t="s">
        <v>1357</v>
      </c>
    </row>
    <row r="10483" spans="1:12">
      <c r="H10483" t="s">
        <v>22075</v>
      </c>
      <c r="I10483" t="s">
        <v>1357</v>
      </c>
      <c r="J10483" t="s">
        <v>1357</v>
      </c>
      <c r="K10483" t="s">
        <v>1357</v>
      </c>
      <c r="L10483" t="s">
        <v>1357</v>
      </c>
    </row>
    <row r="10484" spans="1:12">
      <c r="A10484" t="s">
        <v>10426</v>
      </c>
      <c r="B10484">
        <f>HYPERLINK("https://android.googlesource.com/platform/cts/+/6c4b47cd022d9d2fdadbca2716fea168245bdff2", "6c4b47cd022d9d2fdadbca2716fea168245bdff2")</f>
        <v>0</v>
      </c>
      <c r="C10484">
        <f>HYPERLINK("https://android.googlesource.com/platform/cts/+/f986270bdc2fc78fec95a8f9e6e886d829846433", "f986270bdc2fc78fec95a8f9e6e886d829846433")</f>
        <v>0</v>
      </c>
      <c r="D10484" t="s">
        <v>12115</v>
      </c>
      <c r="E10484" t="s">
        <v>12985</v>
      </c>
      <c r="F10484" t="s">
        <v>16172</v>
      </c>
      <c r="G10484" t="s">
        <v>18852</v>
      </c>
      <c r="H10484" t="s">
        <v>22076</v>
      </c>
      <c r="I10484" t="s">
        <v>1357</v>
      </c>
      <c r="J10484" t="s">
        <v>1357</v>
      </c>
      <c r="K10484" t="s">
        <v>1357</v>
      </c>
      <c r="L10484" t="s">
        <v>1357</v>
      </c>
    </row>
    <row r="10485" spans="1:12">
      <c r="H10485" t="s">
        <v>22077</v>
      </c>
      <c r="I10485" t="s">
        <v>1357</v>
      </c>
      <c r="J10485" t="s">
        <v>1357</v>
      </c>
      <c r="K10485" t="s">
        <v>1357</v>
      </c>
      <c r="L10485" t="s">
        <v>1357</v>
      </c>
    </row>
    <row r="10486" spans="1:12">
      <c r="H10486" t="s">
        <v>22078</v>
      </c>
      <c r="I10486" t="s">
        <v>1357</v>
      </c>
      <c r="J10486" t="s">
        <v>1357</v>
      </c>
      <c r="K10486" t="s">
        <v>1357</v>
      </c>
      <c r="L10486" t="s">
        <v>1357</v>
      </c>
    </row>
    <row r="10487" spans="1:12">
      <c r="H10487" t="s">
        <v>22079</v>
      </c>
      <c r="I10487" t="s">
        <v>1357</v>
      </c>
      <c r="J10487" t="s">
        <v>1357</v>
      </c>
      <c r="K10487" t="s">
        <v>1357</v>
      </c>
      <c r="L10487" t="s">
        <v>1357</v>
      </c>
    </row>
    <row r="10488" spans="1:12">
      <c r="H10488" t="s">
        <v>22080</v>
      </c>
      <c r="I10488" t="s">
        <v>1357</v>
      </c>
      <c r="J10488" t="s">
        <v>1357</v>
      </c>
      <c r="K10488" t="s">
        <v>1357</v>
      </c>
      <c r="L10488" t="s">
        <v>1357</v>
      </c>
    </row>
    <row r="10489" spans="1:12">
      <c r="H10489" t="s">
        <v>22081</v>
      </c>
      <c r="I10489" t="s">
        <v>1357</v>
      </c>
      <c r="J10489" t="s">
        <v>1357</v>
      </c>
      <c r="K10489" t="s">
        <v>1357</v>
      </c>
      <c r="L10489" t="s">
        <v>1357</v>
      </c>
    </row>
    <row r="10490" spans="1:12">
      <c r="H10490" t="s">
        <v>22082</v>
      </c>
      <c r="I10490" t="s">
        <v>1357</v>
      </c>
      <c r="J10490" t="s">
        <v>1357</v>
      </c>
      <c r="K10490" t="s">
        <v>1357</v>
      </c>
      <c r="L10490" t="s">
        <v>1357</v>
      </c>
    </row>
    <row r="10491" spans="1:12">
      <c r="H10491" t="s">
        <v>22083</v>
      </c>
      <c r="I10491" t="s">
        <v>1357</v>
      </c>
      <c r="J10491" t="s">
        <v>1357</v>
      </c>
      <c r="K10491" t="s">
        <v>1357</v>
      </c>
      <c r="L10491" t="s">
        <v>1357</v>
      </c>
    </row>
    <row r="10492" spans="1:12">
      <c r="H10492" t="s">
        <v>22084</v>
      </c>
      <c r="I10492" t="s">
        <v>1357</v>
      </c>
      <c r="J10492" t="s">
        <v>1357</v>
      </c>
      <c r="K10492" t="s">
        <v>1357</v>
      </c>
      <c r="L10492" t="s">
        <v>1357</v>
      </c>
    </row>
    <row r="10493" spans="1:12">
      <c r="H10493" t="s">
        <v>22085</v>
      </c>
      <c r="I10493" t="s">
        <v>1357</v>
      </c>
      <c r="J10493" t="s">
        <v>1357</v>
      </c>
      <c r="K10493" t="s">
        <v>1357</v>
      </c>
      <c r="L10493" t="s">
        <v>1357</v>
      </c>
    </row>
    <row r="10494" spans="1:12">
      <c r="H10494" t="s">
        <v>22086</v>
      </c>
      <c r="I10494" t="s">
        <v>1357</v>
      </c>
      <c r="J10494" t="s">
        <v>1357</v>
      </c>
      <c r="K10494" t="s">
        <v>1357</v>
      </c>
      <c r="L10494" t="s">
        <v>1357</v>
      </c>
    </row>
    <row r="10495" spans="1:12">
      <c r="H10495" t="s">
        <v>22087</v>
      </c>
      <c r="I10495" t="s">
        <v>1357</v>
      </c>
      <c r="J10495" t="s">
        <v>1357</v>
      </c>
      <c r="K10495" t="s">
        <v>1357</v>
      </c>
      <c r="L10495" t="s">
        <v>1357</v>
      </c>
    </row>
    <row r="10496" spans="1:12">
      <c r="H10496" t="s">
        <v>22088</v>
      </c>
      <c r="I10496" t="s">
        <v>1357</v>
      </c>
      <c r="J10496" t="s">
        <v>1357</v>
      </c>
      <c r="K10496" t="s">
        <v>1357</v>
      </c>
      <c r="L10496" t="s">
        <v>1357</v>
      </c>
    </row>
    <row r="10497" spans="8:12">
      <c r="H10497" t="s">
        <v>22089</v>
      </c>
      <c r="I10497" t="s">
        <v>1357</v>
      </c>
      <c r="J10497" t="s">
        <v>1357</v>
      </c>
      <c r="K10497" t="s">
        <v>1357</v>
      </c>
      <c r="L10497" t="s">
        <v>1357</v>
      </c>
    </row>
    <row r="10498" spans="8:12">
      <c r="H10498" t="s">
        <v>22090</v>
      </c>
      <c r="I10498" t="s">
        <v>1357</v>
      </c>
      <c r="J10498" t="s">
        <v>1357</v>
      </c>
      <c r="K10498" t="s">
        <v>1357</v>
      </c>
      <c r="L10498" t="s">
        <v>1357</v>
      </c>
    </row>
    <row r="10499" spans="8:12">
      <c r="H10499" t="s">
        <v>22091</v>
      </c>
      <c r="I10499" t="s">
        <v>1357</v>
      </c>
      <c r="J10499" t="s">
        <v>1357</v>
      </c>
      <c r="K10499" t="s">
        <v>1357</v>
      </c>
      <c r="L10499" t="s">
        <v>1357</v>
      </c>
    </row>
    <row r="10500" spans="8:12">
      <c r="H10500" t="s">
        <v>22092</v>
      </c>
      <c r="I10500" t="s">
        <v>1357</v>
      </c>
      <c r="J10500" t="s">
        <v>1357</v>
      </c>
      <c r="K10500" t="s">
        <v>1357</v>
      </c>
      <c r="L10500" t="s">
        <v>1357</v>
      </c>
    </row>
    <row r="10501" spans="8:12">
      <c r="H10501" t="s">
        <v>22093</v>
      </c>
      <c r="I10501" t="s">
        <v>1357</v>
      </c>
      <c r="J10501" t="s">
        <v>1357</v>
      </c>
      <c r="K10501" t="s">
        <v>1357</v>
      </c>
      <c r="L10501" t="s">
        <v>1357</v>
      </c>
    </row>
    <row r="10502" spans="8:12">
      <c r="H10502" t="s">
        <v>22094</v>
      </c>
      <c r="I10502" t="s">
        <v>1357</v>
      </c>
      <c r="J10502" t="s">
        <v>1357</v>
      </c>
      <c r="K10502" t="s">
        <v>1357</v>
      </c>
      <c r="L10502" t="s">
        <v>1357</v>
      </c>
    </row>
    <row r="10503" spans="8:12">
      <c r="H10503" t="s">
        <v>22095</v>
      </c>
      <c r="I10503" t="s">
        <v>1357</v>
      </c>
      <c r="J10503" t="s">
        <v>1357</v>
      </c>
      <c r="K10503" t="s">
        <v>1357</v>
      </c>
      <c r="L10503" t="s">
        <v>1357</v>
      </c>
    </row>
    <row r="10504" spans="8:12">
      <c r="H10504" t="s">
        <v>22096</v>
      </c>
      <c r="I10504" t="s">
        <v>1357</v>
      </c>
      <c r="J10504" t="s">
        <v>1357</v>
      </c>
      <c r="K10504" t="s">
        <v>1357</v>
      </c>
      <c r="L10504" t="s">
        <v>1357</v>
      </c>
    </row>
    <row r="10505" spans="8:12">
      <c r="H10505" t="s">
        <v>22097</v>
      </c>
      <c r="I10505" t="s">
        <v>1357</v>
      </c>
      <c r="J10505" t="s">
        <v>1357</v>
      </c>
      <c r="K10505" t="s">
        <v>1357</v>
      </c>
      <c r="L10505" t="s">
        <v>1357</v>
      </c>
    </row>
    <row r="10506" spans="8:12">
      <c r="H10506" t="s">
        <v>22098</v>
      </c>
      <c r="I10506" t="s">
        <v>1357</v>
      </c>
      <c r="J10506" t="s">
        <v>1357</v>
      </c>
      <c r="K10506" t="s">
        <v>1357</v>
      </c>
      <c r="L10506" t="s">
        <v>1357</v>
      </c>
    </row>
    <row r="10507" spans="8:12">
      <c r="H10507" t="s">
        <v>22099</v>
      </c>
      <c r="I10507" t="s">
        <v>1357</v>
      </c>
      <c r="J10507" t="s">
        <v>1357</v>
      </c>
      <c r="K10507" t="s">
        <v>1357</v>
      </c>
      <c r="L10507" t="s">
        <v>1357</v>
      </c>
    </row>
    <row r="10508" spans="8:12">
      <c r="H10508" t="s">
        <v>22100</v>
      </c>
      <c r="I10508" t="s">
        <v>1357</v>
      </c>
      <c r="J10508" t="s">
        <v>1357</v>
      </c>
      <c r="K10508" t="s">
        <v>1357</v>
      </c>
      <c r="L10508" t="s">
        <v>1357</v>
      </c>
    </row>
    <row r="10509" spans="8:12">
      <c r="H10509" t="s">
        <v>22101</v>
      </c>
      <c r="I10509" t="s">
        <v>1357</v>
      </c>
      <c r="J10509" t="s">
        <v>1357</v>
      </c>
      <c r="K10509" t="s">
        <v>1357</v>
      </c>
      <c r="L10509" t="s">
        <v>1357</v>
      </c>
    </row>
    <row r="10510" spans="8:12">
      <c r="H10510" t="s">
        <v>22102</v>
      </c>
      <c r="I10510" t="s">
        <v>1357</v>
      </c>
      <c r="J10510" t="s">
        <v>1357</v>
      </c>
      <c r="K10510" t="s">
        <v>1357</v>
      </c>
      <c r="L10510" t="s">
        <v>1357</v>
      </c>
    </row>
    <row r="10511" spans="8:12">
      <c r="H10511" t="s">
        <v>22103</v>
      </c>
      <c r="I10511" t="s">
        <v>1357</v>
      </c>
      <c r="J10511" t="s">
        <v>1357</v>
      </c>
      <c r="K10511" t="s">
        <v>1357</v>
      </c>
      <c r="L10511" t="s">
        <v>1357</v>
      </c>
    </row>
    <row r="10512" spans="8:12">
      <c r="H10512" t="s">
        <v>22104</v>
      </c>
      <c r="I10512" t="s">
        <v>1357</v>
      </c>
      <c r="J10512" t="s">
        <v>1357</v>
      </c>
      <c r="K10512" t="s">
        <v>1357</v>
      </c>
      <c r="L10512" t="s">
        <v>1357</v>
      </c>
    </row>
    <row r="10513" spans="1:12">
      <c r="H10513" t="s">
        <v>22105</v>
      </c>
      <c r="I10513" t="s">
        <v>1357</v>
      </c>
      <c r="J10513" t="s">
        <v>1357</v>
      </c>
      <c r="K10513" t="s">
        <v>1357</v>
      </c>
      <c r="L10513" t="s">
        <v>1357</v>
      </c>
    </row>
    <row r="10514" spans="1:12">
      <c r="H10514" t="s">
        <v>22106</v>
      </c>
      <c r="I10514" t="s">
        <v>1357</v>
      </c>
      <c r="J10514" t="s">
        <v>1357</v>
      </c>
      <c r="K10514" t="s">
        <v>1357</v>
      </c>
      <c r="L10514" t="s">
        <v>1357</v>
      </c>
    </row>
    <row r="10515" spans="1:12">
      <c r="H10515" t="s">
        <v>22107</v>
      </c>
      <c r="I10515" t="s">
        <v>1357</v>
      </c>
      <c r="J10515" t="s">
        <v>1357</v>
      </c>
      <c r="K10515" t="s">
        <v>1357</v>
      </c>
      <c r="L10515" t="s">
        <v>1357</v>
      </c>
    </row>
    <row r="10516" spans="1:12">
      <c r="H10516" t="s">
        <v>22108</v>
      </c>
      <c r="I10516" t="s">
        <v>1357</v>
      </c>
      <c r="J10516" t="s">
        <v>1357</v>
      </c>
      <c r="K10516" t="s">
        <v>1357</v>
      </c>
      <c r="L10516" t="s">
        <v>1357</v>
      </c>
    </row>
    <row r="10517" spans="1:12">
      <c r="H10517" t="s">
        <v>22109</v>
      </c>
      <c r="I10517" t="s">
        <v>1357</v>
      </c>
      <c r="J10517" t="s">
        <v>1357</v>
      </c>
      <c r="K10517" t="s">
        <v>1357</v>
      </c>
      <c r="L10517" t="s">
        <v>1357</v>
      </c>
    </row>
    <row r="10518" spans="1:12">
      <c r="H10518" t="s">
        <v>22110</v>
      </c>
      <c r="I10518" t="s">
        <v>1357</v>
      </c>
      <c r="J10518" t="s">
        <v>1357</v>
      </c>
      <c r="K10518" t="s">
        <v>1357</v>
      </c>
      <c r="L10518" t="s">
        <v>1357</v>
      </c>
    </row>
    <row r="10519" spans="1:12">
      <c r="H10519" t="s">
        <v>22111</v>
      </c>
      <c r="I10519" t="s">
        <v>1357</v>
      </c>
      <c r="J10519" t="s">
        <v>1357</v>
      </c>
      <c r="K10519" t="s">
        <v>1357</v>
      </c>
      <c r="L10519" t="s">
        <v>1357</v>
      </c>
    </row>
    <row r="10520" spans="1:12">
      <c r="H10520" t="s">
        <v>22112</v>
      </c>
      <c r="I10520" t="s">
        <v>1357</v>
      </c>
      <c r="J10520" t="s">
        <v>1357</v>
      </c>
      <c r="K10520" t="s">
        <v>1357</v>
      </c>
      <c r="L10520" t="s">
        <v>1357</v>
      </c>
    </row>
    <row r="10521" spans="1:12">
      <c r="H10521" t="s">
        <v>22113</v>
      </c>
      <c r="I10521" t="s">
        <v>1357</v>
      </c>
      <c r="J10521" t="s">
        <v>1357</v>
      </c>
      <c r="K10521" t="s">
        <v>1357</v>
      </c>
      <c r="L10521" t="s">
        <v>1357</v>
      </c>
    </row>
    <row r="10522" spans="1:12">
      <c r="H10522" t="s">
        <v>22114</v>
      </c>
      <c r="I10522" t="s">
        <v>1357</v>
      </c>
      <c r="J10522" t="s">
        <v>1357</v>
      </c>
      <c r="K10522" t="s">
        <v>1357</v>
      </c>
      <c r="L10522" t="s">
        <v>1357</v>
      </c>
    </row>
    <row r="10523" spans="1:12">
      <c r="H10523" t="s">
        <v>22115</v>
      </c>
      <c r="I10523" t="s">
        <v>1357</v>
      </c>
      <c r="J10523" t="s">
        <v>1357</v>
      </c>
      <c r="K10523" t="s">
        <v>1357</v>
      </c>
      <c r="L10523" t="s">
        <v>1357</v>
      </c>
    </row>
    <row r="10524" spans="1:12">
      <c r="A10524" t="s">
        <v>10427</v>
      </c>
      <c r="B10524">
        <f>HYPERLINK("https://android.googlesource.com/platform/cts/+/a23bb8c6b9ce153e5be73168fd153dc1b3004ea9", "a23bb8c6b9ce153e5be73168fd153dc1b3004ea9")</f>
        <v>0</v>
      </c>
      <c r="C10524">
        <f>HYPERLINK("https://android.googlesource.com/platform/cts/+/bab3e3b57d481b40f5e602a6b5ebfabdbeffc27d", "bab3e3b57d481b40f5e602a6b5ebfabdbeffc27d")</f>
        <v>0</v>
      </c>
      <c r="D10524" t="s">
        <v>12111</v>
      </c>
      <c r="E10524" t="s">
        <v>12986</v>
      </c>
      <c r="F10524" t="s">
        <v>16173</v>
      </c>
      <c r="G10524" t="s">
        <v>18853</v>
      </c>
      <c r="H10524" t="s">
        <v>22116</v>
      </c>
      <c r="I10524" t="s">
        <v>1358</v>
      </c>
      <c r="J10524" t="s">
        <v>1358</v>
      </c>
      <c r="K10524" t="s">
        <v>1358</v>
      </c>
      <c r="L10524" t="s">
        <v>1358</v>
      </c>
    </row>
    <row r="10525" spans="1:12">
      <c r="A10525" t="s">
        <v>10428</v>
      </c>
      <c r="B10525">
        <f>HYPERLINK("https://android.googlesource.com/platform/cts/+/2037e79742e618fd3e35163165398ac8c57fe012", "2037e79742e618fd3e35163165398ac8c57fe012")</f>
        <v>0</v>
      </c>
      <c r="C10525">
        <f>HYPERLINK("https://android.googlesource.com/platform/cts/+/1e33d3d5406db08edc3fa43c62d8b4a77a541732", "1e33d3d5406db08edc3fa43c62d8b4a77a541732")</f>
        <v>0</v>
      </c>
      <c r="D10525" t="s">
        <v>12058</v>
      </c>
      <c r="E10525" t="s">
        <v>12987</v>
      </c>
      <c r="F10525" t="s">
        <v>16174</v>
      </c>
      <c r="G10525" t="s">
        <v>18854</v>
      </c>
      <c r="H10525" t="s">
        <v>22117</v>
      </c>
      <c r="I10525" t="s">
        <v>1357</v>
      </c>
      <c r="J10525" t="s">
        <v>1357</v>
      </c>
      <c r="K10525" t="s">
        <v>1357</v>
      </c>
      <c r="L10525" t="s">
        <v>1357</v>
      </c>
    </row>
    <row r="10526" spans="1:12">
      <c r="F10526" t="s">
        <v>16175</v>
      </c>
      <c r="G10526" t="s">
        <v>18855</v>
      </c>
      <c r="H10526" t="s">
        <v>22118</v>
      </c>
      <c r="I10526" t="s">
        <v>1357</v>
      </c>
      <c r="J10526" t="s">
        <v>1357</v>
      </c>
      <c r="K10526" t="s">
        <v>1357</v>
      </c>
      <c r="L10526" t="s">
        <v>1357</v>
      </c>
    </row>
    <row r="10527" spans="1:12">
      <c r="H10527" t="s">
        <v>22119</v>
      </c>
      <c r="I10527" t="s">
        <v>1357</v>
      </c>
      <c r="J10527" t="s">
        <v>1357</v>
      </c>
      <c r="K10527" t="s">
        <v>1357</v>
      </c>
      <c r="L10527" t="s">
        <v>1357</v>
      </c>
    </row>
    <row r="10528" spans="1:12">
      <c r="H10528" t="s">
        <v>22120</v>
      </c>
      <c r="I10528" t="s">
        <v>1357</v>
      </c>
      <c r="J10528" t="s">
        <v>1357</v>
      </c>
      <c r="K10528" t="s">
        <v>1357</v>
      </c>
      <c r="L10528" t="s">
        <v>1357</v>
      </c>
    </row>
    <row r="10529" spans="1:12">
      <c r="H10529" t="s">
        <v>22121</v>
      </c>
      <c r="I10529" t="s">
        <v>1357</v>
      </c>
      <c r="J10529" t="s">
        <v>1357</v>
      </c>
      <c r="K10529" t="s">
        <v>1357</v>
      </c>
      <c r="L10529" t="s">
        <v>1357</v>
      </c>
    </row>
    <row r="10530" spans="1:12">
      <c r="H10530" t="s">
        <v>22122</v>
      </c>
      <c r="I10530" t="s">
        <v>1357</v>
      </c>
      <c r="J10530" t="s">
        <v>1357</v>
      </c>
      <c r="K10530" t="s">
        <v>1357</v>
      </c>
      <c r="L10530" t="s">
        <v>1357</v>
      </c>
    </row>
    <row r="10531" spans="1:12">
      <c r="H10531" t="s">
        <v>22123</v>
      </c>
      <c r="I10531" t="s">
        <v>1357</v>
      </c>
      <c r="J10531" t="s">
        <v>1357</v>
      </c>
      <c r="K10531" t="s">
        <v>1357</v>
      </c>
      <c r="L10531" t="s">
        <v>1357</v>
      </c>
    </row>
    <row r="10532" spans="1:12">
      <c r="F10532" t="s">
        <v>16118</v>
      </c>
      <c r="G10532" t="s">
        <v>18807</v>
      </c>
      <c r="H10532" t="s">
        <v>22124</v>
      </c>
      <c r="I10532" t="s">
        <v>1357</v>
      </c>
      <c r="J10532" t="s">
        <v>1357</v>
      </c>
      <c r="K10532" t="s">
        <v>1357</v>
      </c>
      <c r="L10532" t="s">
        <v>1357</v>
      </c>
    </row>
    <row r="10533" spans="1:12">
      <c r="H10533" t="s">
        <v>22125</v>
      </c>
      <c r="I10533" t="s">
        <v>1357</v>
      </c>
      <c r="J10533" t="s">
        <v>1357</v>
      </c>
      <c r="K10533" t="s">
        <v>1357</v>
      </c>
      <c r="L10533" t="s">
        <v>1357</v>
      </c>
    </row>
    <row r="10534" spans="1:12">
      <c r="H10534" t="s">
        <v>22126</v>
      </c>
      <c r="I10534" t="s">
        <v>1357</v>
      </c>
      <c r="J10534" t="s">
        <v>1357</v>
      </c>
      <c r="K10534" t="s">
        <v>1357</v>
      </c>
      <c r="L10534" t="s">
        <v>1357</v>
      </c>
    </row>
    <row r="10535" spans="1:12">
      <c r="H10535" t="s">
        <v>22127</v>
      </c>
      <c r="I10535" t="s">
        <v>1357</v>
      </c>
      <c r="J10535" t="s">
        <v>1357</v>
      </c>
      <c r="K10535" t="s">
        <v>1357</v>
      </c>
      <c r="L10535" t="s">
        <v>1357</v>
      </c>
    </row>
    <row r="10536" spans="1:12">
      <c r="H10536" t="s">
        <v>21922</v>
      </c>
      <c r="I10536" t="s">
        <v>1357</v>
      </c>
      <c r="J10536" t="s">
        <v>1357</v>
      </c>
      <c r="K10536" t="s">
        <v>1357</v>
      </c>
      <c r="L10536" t="s">
        <v>1357</v>
      </c>
    </row>
    <row r="10537" spans="1:12">
      <c r="H10537" t="s">
        <v>22128</v>
      </c>
      <c r="I10537" t="s">
        <v>1357</v>
      </c>
      <c r="J10537" t="s">
        <v>1357</v>
      </c>
      <c r="K10537" t="s">
        <v>1357</v>
      </c>
      <c r="L10537" t="s">
        <v>1357</v>
      </c>
    </row>
    <row r="10538" spans="1:12">
      <c r="F10538" t="s">
        <v>16176</v>
      </c>
      <c r="G10538" t="s">
        <v>18856</v>
      </c>
      <c r="H10538" t="s">
        <v>22129</v>
      </c>
      <c r="I10538" t="s">
        <v>1357</v>
      </c>
      <c r="J10538" t="s">
        <v>1357</v>
      </c>
      <c r="K10538" t="s">
        <v>1357</v>
      </c>
      <c r="L10538" t="s">
        <v>1357</v>
      </c>
    </row>
    <row r="10539" spans="1:12">
      <c r="H10539" t="s">
        <v>22130</v>
      </c>
      <c r="I10539" t="s">
        <v>1357</v>
      </c>
      <c r="J10539" t="s">
        <v>1357</v>
      </c>
      <c r="K10539" t="s">
        <v>1357</v>
      </c>
      <c r="L10539" t="s">
        <v>1357</v>
      </c>
    </row>
    <row r="10540" spans="1:12">
      <c r="F10540" t="s">
        <v>16177</v>
      </c>
      <c r="G10540" t="s">
        <v>18857</v>
      </c>
      <c r="H10540" t="s">
        <v>22131</v>
      </c>
      <c r="I10540" t="s">
        <v>1357</v>
      </c>
      <c r="J10540" t="s">
        <v>1357</v>
      </c>
      <c r="K10540" t="s">
        <v>1357</v>
      </c>
      <c r="L10540" t="s">
        <v>1357</v>
      </c>
    </row>
    <row r="10541" spans="1:12">
      <c r="F10541" t="s">
        <v>16119</v>
      </c>
      <c r="G10541" t="s">
        <v>18808</v>
      </c>
      <c r="H10541" t="s">
        <v>21923</v>
      </c>
      <c r="I10541" t="s">
        <v>1357</v>
      </c>
      <c r="J10541" t="s">
        <v>1357</v>
      </c>
      <c r="K10541" t="s">
        <v>1357</v>
      </c>
      <c r="L10541" t="s">
        <v>1357</v>
      </c>
    </row>
    <row r="10542" spans="1:12">
      <c r="H10542" t="s">
        <v>21924</v>
      </c>
      <c r="I10542" t="s">
        <v>1357</v>
      </c>
      <c r="J10542" t="s">
        <v>1357</v>
      </c>
      <c r="K10542" t="s">
        <v>1357</v>
      </c>
      <c r="L10542" t="s">
        <v>1357</v>
      </c>
    </row>
    <row r="10543" spans="1:12">
      <c r="A10543" t="s">
        <v>10429</v>
      </c>
      <c r="B10543">
        <f>HYPERLINK("https://android.googlesource.com/platform/cts/+/ee2588bbc0bdb2cf2f755327fcd3acffe0473206", "ee2588bbc0bdb2cf2f755327fcd3acffe0473206")</f>
        <v>0</v>
      </c>
      <c r="C10543">
        <f>HYPERLINK("https://android.googlesource.com/platform/cts/+/c2f9d8f3db67f3802ed9a2cd0e91575674b12d58", "c2f9d8f3db67f3802ed9a2cd0e91575674b12d58")</f>
        <v>0</v>
      </c>
      <c r="D10543" t="s">
        <v>12109</v>
      </c>
      <c r="E10543" t="s">
        <v>12988</v>
      </c>
      <c r="F10543" t="s">
        <v>16178</v>
      </c>
      <c r="G10543" t="s">
        <v>18858</v>
      </c>
      <c r="H10543" t="s">
        <v>19948</v>
      </c>
      <c r="I10543" t="s">
        <v>1357</v>
      </c>
      <c r="J10543" t="s">
        <v>1357</v>
      </c>
      <c r="K10543" t="s">
        <v>1357</v>
      </c>
      <c r="L10543" t="s">
        <v>1357</v>
      </c>
    </row>
    <row r="10544" spans="1:12">
      <c r="H10544" t="s">
        <v>19890</v>
      </c>
      <c r="I10544" t="s">
        <v>1357</v>
      </c>
      <c r="J10544" t="s">
        <v>1357</v>
      </c>
      <c r="K10544" t="s">
        <v>1357</v>
      </c>
      <c r="L10544" t="s">
        <v>1357</v>
      </c>
    </row>
    <row r="10545" spans="1:14">
      <c r="A10545" t="s">
        <v>10430</v>
      </c>
      <c r="B10545">
        <f>HYPERLINK("https://android.googlesource.com/platform/cts/+/05b3b03b4d262d3868cde3cf4b8260405506734a", "05b3b03b4d262d3868cde3cf4b8260405506734a")</f>
        <v>0</v>
      </c>
      <c r="C10545">
        <f>HYPERLINK("https://android.googlesource.com/platform/cts/+/9ab4d52013d3e426eb61631db3dcc4775524b3f8", "9ab4d52013d3e426eb61631db3dcc4775524b3f8")</f>
        <v>0</v>
      </c>
      <c r="D10545" t="s">
        <v>12116</v>
      </c>
      <c r="E10545" t="s">
        <v>12989</v>
      </c>
      <c r="F10545" t="s">
        <v>16175</v>
      </c>
      <c r="G10545" t="s">
        <v>18855</v>
      </c>
      <c r="H10545" t="s">
        <v>22121</v>
      </c>
      <c r="I10545" t="s">
        <v>1357</v>
      </c>
      <c r="J10545" t="s">
        <v>1357</v>
      </c>
      <c r="K10545" t="s">
        <v>1357</v>
      </c>
      <c r="L10545" t="s">
        <v>1357</v>
      </c>
    </row>
    <row r="10546" spans="1:14">
      <c r="A10546" t="s">
        <v>10431</v>
      </c>
      <c r="B10546">
        <f>HYPERLINK("https://android.googlesource.com/platform/cts/+/4f6c30d1fb50043bcbc4ee94799ebe8dbeabf334", "4f6c30d1fb50043bcbc4ee94799ebe8dbeabf334")</f>
        <v>0</v>
      </c>
      <c r="C10546">
        <f>HYPERLINK("https://android.googlesource.com/platform/cts/+/dccba47f570a23f7b49f3515b8e1b432a686bfa5", "dccba47f570a23f7b49f3515b8e1b432a686bfa5")</f>
        <v>0</v>
      </c>
      <c r="D10546" t="s">
        <v>12114</v>
      </c>
      <c r="E10546" t="s">
        <v>12990</v>
      </c>
      <c r="F10546" t="s">
        <v>16011</v>
      </c>
      <c r="G10546" t="s">
        <v>18703</v>
      </c>
      <c r="H10546" t="s">
        <v>22132</v>
      </c>
      <c r="I10546" t="s">
        <v>1357</v>
      </c>
      <c r="J10546" t="s">
        <v>1357</v>
      </c>
      <c r="K10546" t="s">
        <v>1357</v>
      </c>
      <c r="L10546" t="s">
        <v>1357</v>
      </c>
    </row>
    <row r="10547" spans="1:14">
      <c r="H10547" t="s">
        <v>22133</v>
      </c>
      <c r="I10547" t="s">
        <v>1357</v>
      </c>
      <c r="J10547" t="s">
        <v>1357</v>
      </c>
      <c r="K10547" t="s">
        <v>1357</v>
      </c>
      <c r="L10547" t="s">
        <v>1357</v>
      </c>
    </row>
    <row r="10548" spans="1:14">
      <c r="H10548" t="s">
        <v>22134</v>
      </c>
      <c r="I10548" t="s">
        <v>1357</v>
      </c>
      <c r="J10548" t="s">
        <v>1357</v>
      </c>
      <c r="K10548" t="s">
        <v>1357</v>
      </c>
      <c r="L10548" t="s">
        <v>1357</v>
      </c>
    </row>
    <row r="10549" spans="1:14">
      <c r="H10549" t="s">
        <v>22135</v>
      </c>
      <c r="I10549" t="s">
        <v>1357</v>
      </c>
      <c r="J10549" t="s">
        <v>1357</v>
      </c>
      <c r="K10549" t="s">
        <v>1357</v>
      </c>
      <c r="L10549" t="s">
        <v>1357</v>
      </c>
    </row>
    <row r="10550" spans="1:14">
      <c r="H10550" t="s">
        <v>22136</v>
      </c>
      <c r="I10550" t="s">
        <v>1357</v>
      </c>
      <c r="J10550" t="s">
        <v>1357</v>
      </c>
      <c r="K10550" t="s">
        <v>1357</v>
      </c>
      <c r="L10550" t="s">
        <v>1357</v>
      </c>
    </row>
    <row r="10551" spans="1:14">
      <c r="A10551" t="s">
        <v>10432</v>
      </c>
      <c r="B10551">
        <f>HYPERLINK("https://android.googlesource.com/platform/cts/+/551c7913ec661fcd4d883dbf1259b275f4a200b7", "551c7913ec661fcd4d883dbf1259b275f4a200b7")</f>
        <v>0</v>
      </c>
      <c r="C10551">
        <f>HYPERLINK("https://android.googlesource.com/platform/cts/+/33caf82ccf75749eabf9461064a90c9c7e9ffd1d", "33caf82ccf75749eabf9461064a90c9c7e9ffd1d")</f>
        <v>0</v>
      </c>
      <c r="D10551" t="s">
        <v>12110</v>
      </c>
      <c r="E10551" t="s">
        <v>12991</v>
      </c>
      <c r="F10551" t="s">
        <v>14505</v>
      </c>
      <c r="G10551" t="s">
        <v>17351</v>
      </c>
      <c r="H10551" t="s">
        <v>22137</v>
      </c>
      <c r="I10551" t="s">
        <v>1357</v>
      </c>
      <c r="J10551" t="s">
        <v>1357</v>
      </c>
      <c r="K10551" t="s">
        <v>1357</v>
      </c>
      <c r="L10551" t="s">
        <v>1357</v>
      </c>
      <c r="M10551" t="s">
        <v>1360</v>
      </c>
      <c r="N10551" t="s">
        <v>1360</v>
      </c>
    </row>
    <row r="10552" spans="1:14">
      <c r="H10552" t="s">
        <v>22138</v>
      </c>
      <c r="I10552" t="s">
        <v>1357</v>
      </c>
      <c r="J10552" t="s">
        <v>1357</v>
      </c>
      <c r="K10552" t="s">
        <v>1357</v>
      </c>
      <c r="L10552" t="s">
        <v>1357</v>
      </c>
      <c r="M10552" t="s">
        <v>1360</v>
      </c>
      <c r="N10552" t="s">
        <v>1360</v>
      </c>
    </row>
    <row r="10553" spans="1:14">
      <c r="H10553" t="s">
        <v>19910</v>
      </c>
      <c r="I10553" t="s">
        <v>1357</v>
      </c>
      <c r="J10553" t="s">
        <v>1357</v>
      </c>
      <c r="K10553" t="s">
        <v>1357</v>
      </c>
      <c r="L10553" t="s">
        <v>1357</v>
      </c>
      <c r="M10553" t="s">
        <v>1360</v>
      </c>
      <c r="N10553" t="s">
        <v>1360</v>
      </c>
    </row>
    <row r="10554" spans="1:14">
      <c r="H10554" t="s">
        <v>22139</v>
      </c>
      <c r="I10554" t="s">
        <v>1357</v>
      </c>
      <c r="J10554" t="s">
        <v>1357</v>
      </c>
      <c r="K10554" t="s">
        <v>1357</v>
      </c>
      <c r="L10554" t="s">
        <v>1357</v>
      </c>
      <c r="M10554" t="s">
        <v>1360</v>
      </c>
      <c r="N10554" t="s">
        <v>1360</v>
      </c>
    </row>
    <row r="10555" spans="1:14">
      <c r="A10555" t="s">
        <v>10433</v>
      </c>
      <c r="B10555">
        <f>HYPERLINK("https://android.googlesource.com/platform/cts/+/a4ad1a40e3fb65d8eb21816009b08fd2129c6aed", "a4ad1a40e3fb65d8eb21816009b08fd2129c6aed")</f>
        <v>0</v>
      </c>
      <c r="C10555">
        <f>HYPERLINK("https://android.googlesource.com/platform/cts/+/ee869092e862e5ade5a519e8cc702b53ba2d8649", "ee869092e862e5ade5a519e8cc702b53ba2d8649")</f>
        <v>0</v>
      </c>
      <c r="D10555" t="s">
        <v>12110</v>
      </c>
      <c r="E10555" t="s">
        <v>12992</v>
      </c>
      <c r="F10555" t="s">
        <v>16179</v>
      </c>
      <c r="G10555" t="s">
        <v>18859</v>
      </c>
      <c r="H10555" t="s">
        <v>22140</v>
      </c>
      <c r="I10555" t="s">
        <v>1357</v>
      </c>
      <c r="J10555" t="s">
        <v>1357</v>
      </c>
      <c r="K10555" t="s">
        <v>1357</v>
      </c>
      <c r="L10555" t="s">
        <v>1357</v>
      </c>
      <c r="M10555" t="s">
        <v>1360</v>
      </c>
      <c r="N10555" t="s">
        <v>27509</v>
      </c>
    </row>
    <row r="10556" spans="1:14">
      <c r="A10556" t="s">
        <v>10434</v>
      </c>
      <c r="B10556">
        <f>HYPERLINK("https://android.googlesource.com/platform/cts/+/93f3f6838de0c518413a677fe7b72facbcb8183d", "93f3f6838de0c518413a677fe7b72facbcb8183d")</f>
        <v>0</v>
      </c>
      <c r="C10556">
        <f>HYPERLINK("https://android.googlesource.com/platform/cts/+/ee9cfbc0b46a07d24a6caec5c98c3652c3b77f84", "ee9cfbc0b46a07d24a6caec5c98c3652c3b77f84")</f>
        <v>0</v>
      </c>
      <c r="D10556" t="s">
        <v>12105</v>
      </c>
      <c r="E10556" t="s">
        <v>12993</v>
      </c>
      <c r="F10556" t="s">
        <v>16180</v>
      </c>
      <c r="G10556" t="s">
        <v>18860</v>
      </c>
      <c r="H10556" t="s">
        <v>22141</v>
      </c>
      <c r="I10556" t="s">
        <v>1357</v>
      </c>
      <c r="J10556" t="s">
        <v>1357</v>
      </c>
      <c r="K10556" t="s">
        <v>1357</v>
      </c>
      <c r="L10556" t="s">
        <v>1357</v>
      </c>
    </row>
    <row r="10557" spans="1:14">
      <c r="A10557" t="s">
        <v>10435</v>
      </c>
      <c r="B10557">
        <f>HYPERLINK("https://android.googlesource.com/platform/cts/+/dc782f228cd376fe8e20e7762402bc859164a6e1", "dc782f228cd376fe8e20e7762402bc859164a6e1")</f>
        <v>0</v>
      </c>
      <c r="C10557">
        <f>HYPERLINK("https://android.googlesource.com/platform/cts/+/5a1cbf9b51eaa72e7269fc0354b9eb7b13b15cc4", "5a1cbf9b51eaa72e7269fc0354b9eb7b13b15cc4")</f>
        <v>0</v>
      </c>
      <c r="D10557" t="s">
        <v>12117</v>
      </c>
      <c r="E10557" t="s">
        <v>12994</v>
      </c>
      <c r="F10557" t="s">
        <v>16181</v>
      </c>
      <c r="G10557" t="s">
        <v>18861</v>
      </c>
      <c r="H10557" t="s">
        <v>22142</v>
      </c>
      <c r="I10557" t="s">
        <v>1358</v>
      </c>
      <c r="J10557" t="s">
        <v>1358</v>
      </c>
      <c r="K10557" t="s">
        <v>1358</v>
      </c>
      <c r="L10557" t="s">
        <v>1358</v>
      </c>
    </row>
    <row r="10558" spans="1:14">
      <c r="A10558" t="s">
        <v>10436</v>
      </c>
      <c r="B10558">
        <f>HYPERLINK("https://android.googlesource.com/platform/cts/+/b112f44e5dde4e2c37968c0d4b45b86e28e5fb84", "b112f44e5dde4e2c37968c0d4b45b86e28e5fb84")</f>
        <v>0</v>
      </c>
      <c r="C10558">
        <f>HYPERLINK("https://android.googlesource.com/platform/cts/+/baafc246e58bf2ca31f58af51efc9564db45fa80", "baafc246e58bf2ca31f58af51efc9564db45fa80")</f>
        <v>0</v>
      </c>
      <c r="D10558" t="s">
        <v>12118</v>
      </c>
      <c r="E10558" t="s">
        <v>12995</v>
      </c>
      <c r="F10558" t="s">
        <v>16084</v>
      </c>
      <c r="G10558" t="s">
        <v>18773</v>
      </c>
      <c r="H10558" t="s">
        <v>22143</v>
      </c>
      <c r="I10558" t="s">
        <v>1357</v>
      </c>
      <c r="J10558" t="s">
        <v>1357</v>
      </c>
      <c r="K10558" t="s">
        <v>1357</v>
      </c>
      <c r="L10558" t="s">
        <v>1357</v>
      </c>
    </row>
    <row r="10559" spans="1:14">
      <c r="H10559" t="s">
        <v>22144</v>
      </c>
      <c r="I10559" t="s">
        <v>1357</v>
      </c>
      <c r="J10559" t="s">
        <v>1357</v>
      </c>
      <c r="K10559" t="s">
        <v>1357</v>
      </c>
      <c r="L10559" t="s">
        <v>1357</v>
      </c>
    </row>
    <row r="10560" spans="1:14">
      <c r="H10560" t="s">
        <v>22145</v>
      </c>
      <c r="I10560" t="s">
        <v>1357</v>
      </c>
      <c r="J10560" t="s">
        <v>1357</v>
      </c>
      <c r="K10560" t="s">
        <v>1357</v>
      </c>
      <c r="L10560" t="s">
        <v>1357</v>
      </c>
    </row>
    <row r="10561" spans="6:12">
      <c r="H10561" t="s">
        <v>22146</v>
      </c>
      <c r="I10561" t="s">
        <v>1357</v>
      </c>
      <c r="J10561" t="s">
        <v>1357</v>
      </c>
      <c r="K10561" t="s">
        <v>1357</v>
      </c>
      <c r="L10561" t="s">
        <v>1357</v>
      </c>
    </row>
    <row r="10562" spans="6:12">
      <c r="H10562" t="s">
        <v>22147</v>
      </c>
      <c r="I10562" t="s">
        <v>1357</v>
      </c>
      <c r="J10562" t="s">
        <v>1357</v>
      </c>
      <c r="K10562" t="s">
        <v>1357</v>
      </c>
      <c r="L10562" t="s">
        <v>1357</v>
      </c>
    </row>
    <row r="10563" spans="6:12">
      <c r="H10563" t="s">
        <v>22148</v>
      </c>
      <c r="I10563" t="s">
        <v>1357</v>
      </c>
      <c r="J10563" t="s">
        <v>1357</v>
      </c>
      <c r="K10563" t="s">
        <v>1357</v>
      </c>
      <c r="L10563" t="s">
        <v>1357</v>
      </c>
    </row>
    <row r="10564" spans="6:12">
      <c r="F10564" t="s">
        <v>16182</v>
      </c>
      <c r="G10564" t="s">
        <v>18862</v>
      </c>
      <c r="H10564" t="s">
        <v>22149</v>
      </c>
      <c r="I10564" t="s">
        <v>1357</v>
      </c>
      <c r="J10564" t="s">
        <v>1357</v>
      </c>
      <c r="K10564" t="s">
        <v>1357</v>
      </c>
      <c r="L10564" t="s">
        <v>1357</v>
      </c>
    </row>
    <row r="10565" spans="6:12">
      <c r="H10565" t="s">
        <v>22150</v>
      </c>
      <c r="I10565" t="s">
        <v>1357</v>
      </c>
      <c r="J10565" t="s">
        <v>1357</v>
      </c>
      <c r="K10565" t="s">
        <v>1357</v>
      </c>
      <c r="L10565" t="s">
        <v>1357</v>
      </c>
    </row>
    <row r="10566" spans="6:12">
      <c r="H10566" t="s">
        <v>22151</v>
      </c>
      <c r="I10566" t="s">
        <v>1357</v>
      </c>
      <c r="J10566" t="s">
        <v>1357</v>
      </c>
      <c r="K10566" t="s">
        <v>1357</v>
      </c>
      <c r="L10566" t="s">
        <v>1357</v>
      </c>
    </row>
    <row r="10567" spans="6:12">
      <c r="H10567" t="s">
        <v>22152</v>
      </c>
      <c r="I10567" t="s">
        <v>1357</v>
      </c>
      <c r="J10567" t="s">
        <v>1357</v>
      </c>
      <c r="K10567" t="s">
        <v>1357</v>
      </c>
      <c r="L10567" t="s">
        <v>1357</v>
      </c>
    </row>
    <row r="10568" spans="6:12">
      <c r="F10568" t="s">
        <v>16183</v>
      </c>
      <c r="G10568" t="s">
        <v>18723</v>
      </c>
      <c r="H10568" t="s">
        <v>22153</v>
      </c>
      <c r="I10568" t="s">
        <v>1357</v>
      </c>
      <c r="J10568" t="s">
        <v>1357</v>
      </c>
      <c r="K10568" t="s">
        <v>1357</v>
      </c>
      <c r="L10568" t="s">
        <v>1357</v>
      </c>
    </row>
    <row r="10569" spans="6:12">
      <c r="H10569" t="s">
        <v>22154</v>
      </c>
      <c r="I10569" t="s">
        <v>1357</v>
      </c>
      <c r="J10569" t="s">
        <v>1357</v>
      </c>
      <c r="K10569" t="s">
        <v>1357</v>
      </c>
      <c r="L10569" t="s">
        <v>1357</v>
      </c>
    </row>
    <row r="10570" spans="6:12">
      <c r="H10570" t="s">
        <v>22155</v>
      </c>
      <c r="I10570" t="s">
        <v>1357</v>
      </c>
      <c r="J10570" t="s">
        <v>1357</v>
      </c>
      <c r="K10570" t="s">
        <v>1357</v>
      </c>
      <c r="L10570" t="s">
        <v>1357</v>
      </c>
    </row>
    <row r="10571" spans="6:12">
      <c r="H10571" t="s">
        <v>22156</v>
      </c>
      <c r="I10571" t="s">
        <v>1357</v>
      </c>
      <c r="J10571" t="s">
        <v>1357</v>
      </c>
      <c r="K10571" t="s">
        <v>1357</v>
      </c>
      <c r="L10571" t="s">
        <v>1357</v>
      </c>
    </row>
    <row r="10572" spans="6:12">
      <c r="H10572" t="s">
        <v>22157</v>
      </c>
      <c r="I10572" t="s">
        <v>1357</v>
      </c>
      <c r="J10572" t="s">
        <v>1357</v>
      </c>
      <c r="K10572" t="s">
        <v>1357</v>
      </c>
      <c r="L10572" t="s">
        <v>1357</v>
      </c>
    </row>
    <row r="10573" spans="6:12">
      <c r="F10573" t="s">
        <v>16184</v>
      </c>
      <c r="G10573" t="s">
        <v>18863</v>
      </c>
      <c r="H10573" t="s">
        <v>22158</v>
      </c>
      <c r="I10573" t="s">
        <v>1357</v>
      </c>
      <c r="J10573" t="s">
        <v>1357</v>
      </c>
      <c r="K10573" t="s">
        <v>1357</v>
      </c>
      <c r="L10573" t="s">
        <v>1357</v>
      </c>
    </row>
    <row r="10574" spans="6:12">
      <c r="H10574" t="s">
        <v>22159</v>
      </c>
      <c r="I10574" t="s">
        <v>1357</v>
      </c>
      <c r="J10574" t="s">
        <v>1357</v>
      </c>
      <c r="K10574" t="s">
        <v>1357</v>
      </c>
      <c r="L10574" t="s">
        <v>1357</v>
      </c>
    </row>
    <row r="10575" spans="6:12">
      <c r="F10575" t="s">
        <v>16185</v>
      </c>
      <c r="G10575" t="s">
        <v>18864</v>
      </c>
      <c r="H10575" t="s">
        <v>22160</v>
      </c>
      <c r="I10575" t="s">
        <v>1357</v>
      </c>
      <c r="J10575" t="s">
        <v>1357</v>
      </c>
      <c r="K10575" t="s">
        <v>1357</v>
      </c>
      <c r="L10575" t="s">
        <v>1357</v>
      </c>
    </row>
    <row r="10576" spans="6:12">
      <c r="F10576" t="s">
        <v>16186</v>
      </c>
      <c r="G10576" t="s">
        <v>18865</v>
      </c>
      <c r="H10576" t="s">
        <v>22161</v>
      </c>
      <c r="I10576" t="s">
        <v>1357</v>
      </c>
      <c r="J10576" t="s">
        <v>1357</v>
      </c>
      <c r="K10576" t="s">
        <v>1357</v>
      </c>
      <c r="L10576" t="s">
        <v>1357</v>
      </c>
    </row>
    <row r="10577" spans="1:14">
      <c r="H10577" t="s">
        <v>22162</v>
      </c>
      <c r="I10577" t="s">
        <v>1357</v>
      </c>
      <c r="J10577" t="s">
        <v>1357</v>
      </c>
      <c r="K10577" t="s">
        <v>1357</v>
      </c>
      <c r="L10577" t="s">
        <v>1357</v>
      </c>
    </row>
    <row r="10578" spans="1:14">
      <c r="H10578" t="s">
        <v>22163</v>
      </c>
      <c r="I10578" t="s">
        <v>1357</v>
      </c>
      <c r="J10578" t="s">
        <v>1357</v>
      </c>
      <c r="K10578" t="s">
        <v>1357</v>
      </c>
      <c r="L10578" t="s">
        <v>1357</v>
      </c>
    </row>
    <row r="10579" spans="1:14">
      <c r="A10579" t="s">
        <v>10437</v>
      </c>
      <c r="B10579">
        <f>HYPERLINK("https://android.googlesource.com/platform/cts/+/fe9883f2e9025d8f86982749e631bbef14b10361", "fe9883f2e9025d8f86982749e631bbef14b10361")</f>
        <v>0</v>
      </c>
      <c r="C10579">
        <f>HYPERLINK("https://android.googlesource.com/platform/cts/+/9adcd0087f4103298af0f3d9031353bca92d6b22", "9adcd0087f4103298af0f3d9031353bca92d6b22")</f>
        <v>0</v>
      </c>
      <c r="D10579" t="s">
        <v>12119</v>
      </c>
      <c r="E10579" t="s">
        <v>12996</v>
      </c>
      <c r="F10579" t="s">
        <v>16187</v>
      </c>
      <c r="G10579" t="s">
        <v>18866</v>
      </c>
      <c r="H10579" t="s">
        <v>22164</v>
      </c>
      <c r="I10579" t="s">
        <v>1358</v>
      </c>
      <c r="J10579" t="s">
        <v>1358</v>
      </c>
      <c r="K10579" t="s">
        <v>1358</v>
      </c>
      <c r="L10579" t="s">
        <v>1358</v>
      </c>
    </row>
    <row r="10580" spans="1:14">
      <c r="A10580" t="s">
        <v>10438</v>
      </c>
      <c r="B10580">
        <f>HYPERLINK("https://android.googlesource.com/platform/cts/+/ca3e9d13bfb15a8b94584549da8a4e23132e719f", "ca3e9d13bfb15a8b94584549da8a4e23132e719f")</f>
        <v>0</v>
      </c>
      <c r="C10580">
        <f>HYPERLINK("https://android.googlesource.com/platform/cts/+/248e1c8c79560e9344cf6efaf7f4a0e328b06b0d", "248e1c8c79560e9344cf6efaf7f4a0e328b06b0d")</f>
        <v>0</v>
      </c>
      <c r="D10580" t="s">
        <v>12110</v>
      </c>
      <c r="E10580" t="s">
        <v>12997</v>
      </c>
      <c r="F10580" t="s">
        <v>16188</v>
      </c>
      <c r="G10580" t="s">
        <v>18867</v>
      </c>
      <c r="H10580" t="s">
        <v>22165</v>
      </c>
      <c r="I10580" t="s">
        <v>1358</v>
      </c>
      <c r="J10580" t="s">
        <v>1358</v>
      </c>
      <c r="K10580" t="s">
        <v>1358</v>
      </c>
      <c r="L10580" t="s">
        <v>1358</v>
      </c>
    </row>
    <row r="10581" spans="1:14">
      <c r="A10581" t="s">
        <v>10439</v>
      </c>
      <c r="B10581">
        <f>HYPERLINK("https://android.googlesource.com/platform/cts/+/5c7da2012ca43a5a4e7b6936c8edd034729922bb", "5c7da2012ca43a5a4e7b6936c8edd034729922bb")</f>
        <v>0</v>
      </c>
      <c r="C10581">
        <f>HYPERLINK("https://android.googlesource.com/platform/cts/+/248e1c8c79560e9344cf6efaf7f4a0e328b06b0d", "248e1c8c79560e9344cf6efaf7f4a0e328b06b0d")</f>
        <v>0</v>
      </c>
      <c r="D10581" t="s">
        <v>12110</v>
      </c>
      <c r="E10581" t="s">
        <v>12998</v>
      </c>
      <c r="F10581" t="s">
        <v>16189</v>
      </c>
      <c r="G10581" t="s">
        <v>18868</v>
      </c>
      <c r="H10581" t="s">
        <v>20393</v>
      </c>
      <c r="I10581" t="s">
        <v>1357</v>
      </c>
      <c r="J10581" t="s">
        <v>1357</v>
      </c>
      <c r="K10581" t="s">
        <v>1357</v>
      </c>
      <c r="L10581" t="s">
        <v>1357</v>
      </c>
      <c r="M10581" t="s">
        <v>1360</v>
      </c>
      <c r="N10581" t="s">
        <v>1360</v>
      </c>
    </row>
    <row r="10582" spans="1:14">
      <c r="A10582" t="s">
        <v>10440</v>
      </c>
      <c r="B10582">
        <f>HYPERLINK("https://android.googlesource.com/platform/cts/+/d024365293b05aaa94b9015a27702b7d1ce7a0c6", "d024365293b05aaa94b9015a27702b7d1ce7a0c6")</f>
        <v>0</v>
      </c>
      <c r="C10582">
        <f>HYPERLINK("https://android.googlesource.com/platform/cts/+/8de4a1468f121bf1befe0eb9ac695499ba0243d7", "8de4a1468f121bf1befe0eb9ac695499ba0243d7")</f>
        <v>0</v>
      </c>
      <c r="D10582" t="s">
        <v>12120</v>
      </c>
      <c r="E10582" t="s">
        <v>12999</v>
      </c>
      <c r="F10582" t="s">
        <v>16190</v>
      </c>
      <c r="G10582" t="s">
        <v>18869</v>
      </c>
      <c r="H10582" t="s">
        <v>22166</v>
      </c>
      <c r="I10582" t="s">
        <v>1357</v>
      </c>
      <c r="J10582" t="s">
        <v>1357</v>
      </c>
      <c r="K10582" t="s">
        <v>1357</v>
      </c>
      <c r="L10582" t="s">
        <v>1357</v>
      </c>
    </row>
    <row r="10583" spans="1:14">
      <c r="F10583" t="s">
        <v>16099</v>
      </c>
      <c r="G10583" t="s">
        <v>18788</v>
      </c>
      <c r="H10583" t="s">
        <v>22167</v>
      </c>
      <c r="I10583" t="s">
        <v>1357</v>
      </c>
      <c r="J10583" t="s">
        <v>1357</v>
      </c>
      <c r="K10583" t="s">
        <v>1357</v>
      </c>
      <c r="L10583" t="s">
        <v>1357</v>
      </c>
    </row>
    <row r="10584" spans="1:14">
      <c r="A10584" t="s">
        <v>10441</v>
      </c>
      <c r="B10584">
        <f>HYPERLINK("https://android.googlesource.com/platform/cts/+/c4fa4dbd5a83c10d33021d9c8dfaa56c82248087", "c4fa4dbd5a83c10d33021d9c8dfaa56c82248087")</f>
        <v>0</v>
      </c>
      <c r="C10584">
        <f>HYPERLINK("https://android.googlesource.com/platform/cts/+/9a70fff3358270d42595c2f0106cedd777213b33", "9a70fff3358270d42595c2f0106cedd777213b33")</f>
        <v>0</v>
      </c>
      <c r="D10584" t="s">
        <v>12110</v>
      </c>
      <c r="E10584" t="s">
        <v>13000</v>
      </c>
      <c r="F10584" t="s">
        <v>16191</v>
      </c>
      <c r="G10584" t="s">
        <v>18870</v>
      </c>
      <c r="H10584" t="s">
        <v>22168</v>
      </c>
      <c r="I10584" t="s">
        <v>1357</v>
      </c>
      <c r="J10584" t="s">
        <v>1357</v>
      </c>
      <c r="K10584" t="s">
        <v>1357</v>
      </c>
      <c r="L10584" t="s">
        <v>1357</v>
      </c>
      <c r="M10584" t="s">
        <v>1360</v>
      </c>
      <c r="N10584" t="s">
        <v>1360</v>
      </c>
    </row>
    <row r="10585" spans="1:14">
      <c r="H10585" t="s">
        <v>22169</v>
      </c>
      <c r="I10585" t="s">
        <v>1357</v>
      </c>
      <c r="J10585" t="s">
        <v>1357</v>
      </c>
      <c r="K10585" t="s">
        <v>1357</v>
      </c>
      <c r="L10585" t="s">
        <v>1357</v>
      </c>
      <c r="M10585" t="s">
        <v>1360</v>
      </c>
      <c r="N10585" t="s">
        <v>1360</v>
      </c>
    </row>
    <row r="10586" spans="1:14">
      <c r="A10586" t="s">
        <v>10442</v>
      </c>
      <c r="B10586">
        <f>HYPERLINK("https://android.googlesource.com/platform/cts/+/acccd2a2f455e6216e14f5730e1d35f399bb9a11", "acccd2a2f455e6216e14f5730e1d35f399bb9a11")</f>
        <v>0</v>
      </c>
      <c r="C10586">
        <f>HYPERLINK("https://android.googlesource.com/platform/cts/+/f3ade32f6f48ce3ae5bff75a42b18ef40173441d", "f3ade32f6f48ce3ae5bff75a42b18ef40173441d")</f>
        <v>0</v>
      </c>
      <c r="D10586" t="s">
        <v>12121</v>
      </c>
      <c r="E10586" t="s">
        <v>13001</v>
      </c>
      <c r="F10586" t="s">
        <v>16093</v>
      </c>
      <c r="G10586" t="s">
        <v>18782</v>
      </c>
      <c r="H10586" t="s">
        <v>22170</v>
      </c>
      <c r="I10586" t="s">
        <v>1357</v>
      </c>
      <c r="J10586" t="s">
        <v>1357</v>
      </c>
      <c r="K10586" t="s">
        <v>1357</v>
      </c>
      <c r="L10586" t="s">
        <v>1357</v>
      </c>
    </row>
    <row r="10587" spans="1:14">
      <c r="A10587" t="s">
        <v>10443</v>
      </c>
      <c r="B10587">
        <f>HYPERLINK("https://android.googlesource.com/platform/cts/+/9209cad77e695d57dfff4cce26d8b8d9c1b614cc", "9209cad77e695d57dfff4cce26d8b8d9c1b614cc")</f>
        <v>0</v>
      </c>
      <c r="C10587">
        <f>HYPERLINK("https://android.googlesource.com/platform/cts/+/054bec79abb50148dc59ef558e86686c153e3a50", "054bec79abb50148dc59ef558e86686c153e3a50")</f>
        <v>0</v>
      </c>
      <c r="D10587" t="s">
        <v>12122</v>
      </c>
      <c r="E10587" t="s">
        <v>13002</v>
      </c>
      <c r="F10587" t="s">
        <v>16192</v>
      </c>
      <c r="G10587" t="s">
        <v>18871</v>
      </c>
      <c r="H10587" t="s">
        <v>22171</v>
      </c>
      <c r="I10587" t="s">
        <v>1357</v>
      </c>
      <c r="J10587" t="s">
        <v>1357</v>
      </c>
      <c r="K10587" t="s">
        <v>1357</v>
      </c>
      <c r="L10587" t="s">
        <v>1357</v>
      </c>
    </row>
    <row r="10588" spans="1:14">
      <c r="A10588" t="s">
        <v>10444</v>
      </c>
      <c r="B10588">
        <f>HYPERLINK("https://android.googlesource.com/platform/cts/+/1a761d37d96c42714a2f758f5194c3da836e4619", "1a761d37d96c42714a2f758f5194c3da836e4619")</f>
        <v>0</v>
      </c>
      <c r="C10588">
        <f>HYPERLINK("https://android.googlesource.com/platform/cts/+/dc5f5356758fe292c570e7d25c01cf65111c71d8", "dc5f5356758fe292c570e7d25c01cf65111c71d8")</f>
        <v>0</v>
      </c>
      <c r="D10588" t="s">
        <v>12005</v>
      </c>
      <c r="E10588" t="s">
        <v>13003</v>
      </c>
      <c r="F10588" t="s">
        <v>16193</v>
      </c>
      <c r="G10588" t="s">
        <v>18872</v>
      </c>
      <c r="H10588" t="s">
        <v>22172</v>
      </c>
      <c r="I10588" t="s">
        <v>1358</v>
      </c>
      <c r="J10588" t="s">
        <v>1358</v>
      </c>
      <c r="K10588" t="s">
        <v>1358</v>
      </c>
      <c r="L10588" t="s">
        <v>1358</v>
      </c>
    </row>
    <row r="10589" spans="1:14">
      <c r="H10589" t="s">
        <v>22173</v>
      </c>
      <c r="I10589" t="s">
        <v>1358</v>
      </c>
      <c r="J10589" t="s">
        <v>1358</v>
      </c>
      <c r="K10589" t="s">
        <v>1358</v>
      </c>
      <c r="L10589" t="s">
        <v>1358</v>
      </c>
    </row>
    <row r="10590" spans="1:14">
      <c r="H10590" t="s">
        <v>22174</v>
      </c>
      <c r="I10590" t="s">
        <v>1358</v>
      </c>
      <c r="J10590" t="s">
        <v>1358</v>
      </c>
      <c r="K10590" t="s">
        <v>1358</v>
      </c>
      <c r="L10590" t="s">
        <v>1358</v>
      </c>
    </row>
    <row r="10591" spans="1:14">
      <c r="A10591" t="s">
        <v>10445</v>
      </c>
      <c r="B10591">
        <f>HYPERLINK("https://android.googlesource.com/platform/cts/+/b9baf3c299f438a2a5124c71cde23c6a53e2f519", "b9baf3c299f438a2a5124c71cde23c6a53e2f519")</f>
        <v>0</v>
      </c>
      <c r="C10591">
        <f>HYPERLINK("https://android.googlesource.com/platform/cts/+/fa6888bc1d53d2f041be010b0fbba089a9966226", "fa6888bc1d53d2f041be010b0fbba089a9966226")</f>
        <v>0</v>
      </c>
      <c r="D10591" t="s">
        <v>12079</v>
      </c>
      <c r="E10591" t="s">
        <v>13004</v>
      </c>
      <c r="F10591" t="s">
        <v>16194</v>
      </c>
      <c r="G10591" t="s">
        <v>18873</v>
      </c>
      <c r="H10591" t="s">
        <v>22175</v>
      </c>
      <c r="I10591" t="s">
        <v>1357</v>
      </c>
      <c r="J10591" t="s">
        <v>1357</v>
      </c>
      <c r="K10591" t="s">
        <v>1357</v>
      </c>
      <c r="L10591" t="s">
        <v>1357</v>
      </c>
    </row>
    <row r="10592" spans="1:14">
      <c r="A10592" t="s">
        <v>10446</v>
      </c>
      <c r="B10592">
        <f>HYPERLINK("https://android.googlesource.com/platform/cts/+/68de967aa4b55a550db4e20401d30c48e671b597", "68de967aa4b55a550db4e20401d30c48e671b597")</f>
        <v>0</v>
      </c>
      <c r="C10592">
        <f>HYPERLINK("https://android.googlesource.com/platform/cts/+/be5bc373a6117cfcc2efd691d7ed08f4e10290d2", "be5bc373a6117cfcc2efd691d7ed08f4e10290d2")</f>
        <v>0</v>
      </c>
      <c r="D10592" t="s">
        <v>12079</v>
      </c>
      <c r="E10592" t="s">
        <v>13005</v>
      </c>
      <c r="F10592" t="s">
        <v>16195</v>
      </c>
      <c r="G10592" t="s">
        <v>18874</v>
      </c>
      <c r="H10592" t="s">
        <v>22176</v>
      </c>
      <c r="I10592" t="s">
        <v>1357</v>
      </c>
      <c r="J10592" t="s">
        <v>1357</v>
      </c>
      <c r="K10592" t="s">
        <v>1357</v>
      </c>
      <c r="L10592" t="s">
        <v>1357</v>
      </c>
    </row>
    <row r="10593" spans="1:12">
      <c r="H10593" t="s">
        <v>22177</v>
      </c>
      <c r="I10593" t="s">
        <v>1357</v>
      </c>
      <c r="J10593" t="s">
        <v>1357</v>
      </c>
      <c r="K10593" t="s">
        <v>1357</v>
      </c>
      <c r="L10593" t="s">
        <v>1357</v>
      </c>
    </row>
    <row r="10594" spans="1:12">
      <c r="A10594" t="s">
        <v>10447</v>
      </c>
      <c r="B10594">
        <f>HYPERLINK("https://android.googlesource.com/platform/cts/+/728765e79f277f54b4ec152ae407434477e8f1f8", "728765e79f277f54b4ec152ae407434477e8f1f8")</f>
        <v>0</v>
      </c>
      <c r="C10594">
        <f>HYPERLINK("https://android.googlesource.com/platform/cts/+/fe6dc2b966686da65dae3e0766e56bf25844500c", "fe6dc2b966686da65dae3e0766e56bf25844500c")</f>
        <v>0</v>
      </c>
      <c r="D10594" t="s">
        <v>12079</v>
      </c>
      <c r="E10594" t="s">
        <v>13004</v>
      </c>
      <c r="F10594" t="s">
        <v>16194</v>
      </c>
      <c r="G10594" t="s">
        <v>18873</v>
      </c>
      <c r="H10594" t="s">
        <v>22175</v>
      </c>
      <c r="I10594" t="s">
        <v>1357</v>
      </c>
      <c r="J10594" t="s">
        <v>1357</v>
      </c>
      <c r="K10594" t="s">
        <v>1357</v>
      </c>
      <c r="L10594" t="s">
        <v>1357</v>
      </c>
    </row>
    <row r="10595" spans="1:12">
      <c r="A10595" t="s">
        <v>10448</v>
      </c>
      <c r="B10595">
        <f>HYPERLINK("https://android.googlesource.com/platform/cts/+/b0ab4e1de182aa6dcc7f07c561b378f18a70f0dd", "b0ab4e1de182aa6dcc7f07c561b378f18a70f0dd")</f>
        <v>0</v>
      </c>
      <c r="C10595">
        <f>HYPERLINK("https://android.googlesource.com/platform/cts/+/fe6dc2b966686da65dae3e0766e56bf25844500c", "fe6dc2b966686da65dae3e0766e56bf25844500c")</f>
        <v>0</v>
      </c>
      <c r="D10595" t="s">
        <v>12079</v>
      </c>
      <c r="E10595" t="s">
        <v>13005</v>
      </c>
      <c r="F10595" t="s">
        <v>16195</v>
      </c>
      <c r="G10595" t="s">
        <v>18874</v>
      </c>
      <c r="H10595" t="s">
        <v>22176</v>
      </c>
      <c r="I10595" t="s">
        <v>1357</v>
      </c>
      <c r="J10595" t="s">
        <v>1357</v>
      </c>
      <c r="K10595" t="s">
        <v>1357</v>
      </c>
      <c r="L10595" t="s">
        <v>1357</v>
      </c>
    </row>
    <row r="10596" spans="1:12">
      <c r="H10596" t="s">
        <v>22177</v>
      </c>
      <c r="I10596" t="s">
        <v>1357</v>
      </c>
      <c r="J10596" t="s">
        <v>1357</v>
      </c>
      <c r="K10596" t="s">
        <v>1357</v>
      </c>
      <c r="L10596" t="s">
        <v>1357</v>
      </c>
    </row>
    <row r="10597" spans="1:12">
      <c r="A10597" t="s">
        <v>10449</v>
      </c>
      <c r="B10597">
        <f>HYPERLINK("https://android.googlesource.com/platform/cts/+/e91f1a61e8f1cede1cc994c9e9477f4700a3c1c4", "e91f1a61e8f1cede1cc994c9e9477f4700a3c1c4")</f>
        <v>0</v>
      </c>
      <c r="C10597">
        <f>HYPERLINK("https://android.googlesource.com/platform/cts/+/ceeb146d581f8c81d46a964c1909adc345ada9df", "ceeb146d581f8c81d46a964c1909adc345ada9df")</f>
        <v>0</v>
      </c>
      <c r="D10597" t="s">
        <v>12123</v>
      </c>
      <c r="E10597" t="s">
        <v>13006</v>
      </c>
      <c r="F10597" t="s">
        <v>16196</v>
      </c>
      <c r="G10597" t="s">
        <v>18875</v>
      </c>
      <c r="H10597" t="s">
        <v>22178</v>
      </c>
      <c r="I10597" t="s">
        <v>1357</v>
      </c>
      <c r="J10597" t="s">
        <v>1357</v>
      </c>
      <c r="K10597" t="s">
        <v>1357</v>
      </c>
      <c r="L10597" t="s">
        <v>1357</v>
      </c>
    </row>
    <row r="10598" spans="1:12">
      <c r="A10598" t="s">
        <v>10450</v>
      </c>
      <c r="B10598">
        <f>HYPERLINK("https://android.googlesource.com/platform/cts/+/5e051e4ecce662083562475ce77272a15a01b88c", "5e051e4ecce662083562475ce77272a15a01b88c")</f>
        <v>0</v>
      </c>
      <c r="C10598">
        <f>HYPERLINK("https://android.googlesource.com/platform/cts/+/cdb30f18e44f14b32cfe76c572af22f82a816a00", "cdb30f18e44f14b32cfe76c572af22f82a816a00")</f>
        <v>0</v>
      </c>
      <c r="D10598" t="s">
        <v>12005</v>
      </c>
      <c r="E10598" t="s">
        <v>13007</v>
      </c>
      <c r="F10598" t="s">
        <v>16197</v>
      </c>
      <c r="G10598" t="s">
        <v>18876</v>
      </c>
      <c r="H10598" t="s">
        <v>22179</v>
      </c>
      <c r="I10598" t="s">
        <v>1357</v>
      </c>
      <c r="J10598" t="s">
        <v>1357</v>
      </c>
      <c r="K10598" t="s">
        <v>1357</v>
      </c>
      <c r="L10598" t="s">
        <v>1357</v>
      </c>
    </row>
    <row r="10599" spans="1:12">
      <c r="A10599" t="s">
        <v>10451</v>
      </c>
      <c r="B10599">
        <f>HYPERLINK("https://android.googlesource.com/platform/cts/+/de50080008f733baf2c87b4384ac823731ea11f3", "de50080008f733baf2c87b4384ac823731ea11f3")</f>
        <v>0</v>
      </c>
      <c r="C10599">
        <f>HYPERLINK("https://android.googlesource.com/platform/cts/+/b621e74e87636961f61bc2366f65a2626cb0f40c", "b621e74e87636961f61bc2366f65a2626cb0f40c")</f>
        <v>0</v>
      </c>
      <c r="D10599" t="s">
        <v>12016</v>
      </c>
      <c r="E10599" t="s">
        <v>13008</v>
      </c>
      <c r="F10599" t="s">
        <v>16198</v>
      </c>
      <c r="G10599" t="s">
        <v>18599</v>
      </c>
      <c r="H10599" t="s">
        <v>20496</v>
      </c>
      <c r="I10599" t="s">
        <v>1357</v>
      </c>
      <c r="J10599" t="s">
        <v>1357</v>
      </c>
      <c r="K10599" t="s">
        <v>1357</v>
      </c>
      <c r="L10599" t="s">
        <v>1357</v>
      </c>
    </row>
    <row r="10600" spans="1:12">
      <c r="A10600" t="s">
        <v>10452</v>
      </c>
      <c r="B10600">
        <f>HYPERLINK("https://android.googlesource.com/platform/cts/+/93b72fd0a567552f45575ea066a7ed04d65b24f1", "93b72fd0a567552f45575ea066a7ed04d65b24f1")</f>
        <v>0</v>
      </c>
      <c r="C10600">
        <f>HYPERLINK("https://android.googlesource.com/platform/cts/+/4880a1efe0e27bb369be7749edec6de06637517d", "4880a1efe0e27bb369be7749edec6de06637517d")</f>
        <v>0</v>
      </c>
      <c r="D10600" t="s">
        <v>12100</v>
      </c>
      <c r="E10600" t="s">
        <v>13009</v>
      </c>
      <c r="F10600" t="s">
        <v>16199</v>
      </c>
      <c r="G10600" t="s">
        <v>18877</v>
      </c>
      <c r="H10600" t="s">
        <v>22180</v>
      </c>
      <c r="I10600" t="s">
        <v>1357</v>
      </c>
      <c r="J10600" t="s">
        <v>1357</v>
      </c>
      <c r="K10600" t="s">
        <v>1357</v>
      </c>
      <c r="L10600" t="s">
        <v>1357</v>
      </c>
    </row>
    <row r="10601" spans="1:12">
      <c r="F10601" t="s">
        <v>16200</v>
      </c>
      <c r="G10601" t="s">
        <v>18878</v>
      </c>
      <c r="H10601" t="s">
        <v>22181</v>
      </c>
      <c r="I10601" t="s">
        <v>1357</v>
      </c>
      <c r="J10601" t="s">
        <v>1357</v>
      </c>
      <c r="K10601" t="s">
        <v>1357</v>
      </c>
      <c r="L10601" t="s">
        <v>1357</v>
      </c>
    </row>
    <row r="10602" spans="1:12">
      <c r="H10602" t="s">
        <v>22182</v>
      </c>
      <c r="I10602" t="s">
        <v>1357</v>
      </c>
      <c r="J10602" t="s">
        <v>1357</v>
      </c>
      <c r="K10602" t="s">
        <v>1357</v>
      </c>
      <c r="L10602" t="s">
        <v>1357</v>
      </c>
    </row>
    <row r="10603" spans="1:12">
      <c r="H10603" t="s">
        <v>22183</v>
      </c>
      <c r="I10603" t="s">
        <v>1357</v>
      </c>
      <c r="J10603" t="s">
        <v>1357</v>
      </c>
      <c r="K10603" t="s">
        <v>1357</v>
      </c>
      <c r="L10603" t="s">
        <v>1357</v>
      </c>
    </row>
    <row r="10604" spans="1:12">
      <c r="F10604" t="s">
        <v>16201</v>
      </c>
      <c r="G10604" t="s">
        <v>18879</v>
      </c>
      <c r="H10604" t="s">
        <v>22184</v>
      </c>
      <c r="I10604" t="s">
        <v>1357</v>
      </c>
      <c r="J10604" t="s">
        <v>1357</v>
      </c>
      <c r="K10604" t="s">
        <v>1357</v>
      </c>
      <c r="L10604" t="s">
        <v>1357</v>
      </c>
    </row>
    <row r="10605" spans="1:12">
      <c r="H10605" t="s">
        <v>22185</v>
      </c>
      <c r="I10605" t="s">
        <v>1357</v>
      </c>
      <c r="J10605" t="s">
        <v>1357</v>
      </c>
      <c r="K10605" t="s">
        <v>1357</v>
      </c>
      <c r="L10605" t="s">
        <v>1357</v>
      </c>
    </row>
    <row r="10606" spans="1:12">
      <c r="F10606" t="s">
        <v>16202</v>
      </c>
      <c r="G10606" t="s">
        <v>18880</v>
      </c>
      <c r="H10606" t="s">
        <v>22186</v>
      </c>
      <c r="I10606" t="s">
        <v>1357</v>
      </c>
      <c r="J10606" t="s">
        <v>1357</v>
      </c>
      <c r="K10606" t="s">
        <v>1357</v>
      </c>
      <c r="L10606" t="s">
        <v>1357</v>
      </c>
    </row>
    <row r="10607" spans="1:12">
      <c r="H10607" t="s">
        <v>22187</v>
      </c>
      <c r="I10607" t="s">
        <v>1357</v>
      </c>
      <c r="J10607" t="s">
        <v>1357</v>
      </c>
      <c r="K10607" t="s">
        <v>1357</v>
      </c>
      <c r="L10607" t="s">
        <v>1357</v>
      </c>
    </row>
    <row r="10608" spans="1:12">
      <c r="H10608" t="s">
        <v>22188</v>
      </c>
      <c r="I10608" t="s">
        <v>1357</v>
      </c>
      <c r="J10608" t="s">
        <v>1357</v>
      </c>
      <c r="K10608" t="s">
        <v>1357</v>
      </c>
      <c r="L10608" t="s">
        <v>1357</v>
      </c>
    </row>
    <row r="10609" spans="1:13">
      <c r="H10609" t="s">
        <v>22189</v>
      </c>
      <c r="I10609" t="s">
        <v>1357</v>
      </c>
      <c r="J10609" t="s">
        <v>1357</v>
      </c>
      <c r="K10609" t="s">
        <v>1357</v>
      </c>
      <c r="L10609" t="s">
        <v>1357</v>
      </c>
    </row>
    <row r="10610" spans="1:13">
      <c r="A10610" t="s">
        <v>10453</v>
      </c>
      <c r="B10610">
        <f>HYPERLINK("https://android.googlesource.com/platform/cts/+/b835b21675bf4a6a0ef67f9c2817ce22c6b4a0c8", "b835b21675bf4a6a0ef67f9c2817ce22c6b4a0c8")</f>
        <v>0</v>
      </c>
      <c r="C10610">
        <f>HYPERLINK("https://android.googlesource.com/platform/cts/+/41f5c3808f443bd507c1c018805a0dc57ec3e08d", "41f5c3808f443bd507c1c018805a0dc57ec3e08d")</f>
        <v>0</v>
      </c>
      <c r="D10610" t="s">
        <v>12124</v>
      </c>
      <c r="E10610" t="s">
        <v>13010</v>
      </c>
      <c r="F10610" t="s">
        <v>16203</v>
      </c>
      <c r="G10610" t="s">
        <v>18881</v>
      </c>
      <c r="H10610" t="s">
        <v>22190</v>
      </c>
      <c r="I10610" t="s">
        <v>1358</v>
      </c>
      <c r="J10610" t="s">
        <v>1358</v>
      </c>
      <c r="K10610" t="s">
        <v>1358</v>
      </c>
      <c r="L10610" t="s">
        <v>1358</v>
      </c>
    </row>
    <row r="10611" spans="1:13">
      <c r="A10611" t="s">
        <v>10454</v>
      </c>
      <c r="B10611">
        <f>HYPERLINK("https://android.googlesource.com/platform/cts/+/34c10c16614ff6d4a5e2b50aeb86ed1d1fc603ec", "34c10c16614ff6d4a5e2b50aeb86ed1d1fc603ec")</f>
        <v>0</v>
      </c>
      <c r="C10611">
        <f>HYPERLINK("https://android.googlesource.com/platform/cts/+/e249caf4b8025d42dc5b8430b5930076c69c5d9e", "e249caf4b8025d42dc5b8430b5930076c69c5d9e")</f>
        <v>0</v>
      </c>
      <c r="D10611" t="s">
        <v>12125</v>
      </c>
      <c r="E10611" t="s">
        <v>13011</v>
      </c>
      <c r="F10611" t="s">
        <v>16204</v>
      </c>
      <c r="G10611" t="s">
        <v>18882</v>
      </c>
      <c r="H10611" t="s">
        <v>22191</v>
      </c>
      <c r="I10611" t="s">
        <v>1357</v>
      </c>
      <c r="J10611" t="s">
        <v>1357</v>
      </c>
      <c r="K10611" t="s">
        <v>1357</v>
      </c>
      <c r="L10611" t="s">
        <v>1357</v>
      </c>
    </row>
    <row r="10612" spans="1:13">
      <c r="H10612" t="s">
        <v>22192</v>
      </c>
      <c r="I10612" t="s">
        <v>1357</v>
      </c>
      <c r="J10612" t="s">
        <v>1357</v>
      </c>
      <c r="K10612" t="s">
        <v>1357</v>
      </c>
      <c r="L10612" t="s">
        <v>1357</v>
      </c>
    </row>
    <row r="10613" spans="1:13">
      <c r="A10613" t="s">
        <v>10455</v>
      </c>
      <c r="B10613">
        <f>HYPERLINK("https://android.googlesource.com/platform/cts/+/d2273c475c9b659c8545de4ae5742bf18309d3d8", "d2273c475c9b659c8545de4ae5742bf18309d3d8")</f>
        <v>0</v>
      </c>
      <c r="C10613">
        <f>HYPERLINK("https://android.googlesource.com/platform/cts/+/af7b2bd63d5e169e8a7630f36190c4c91b9eedcb", "af7b2bd63d5e169e8a7630f36190c4c91b9eedcb")</f>
        <v>0</v>
      </c>
      <c r="D10613" t="s">
        <v>12125</v>
      </c>
      <c r="E10613" t="s">
        <v>13012</v>
      </c>
      <c r="F10613" t="s">
        <v>16204</v>
      </c>
      <c r="G10613" t="s">
        <v>18882</v>
      </c>
      <c r="H10613" t="s">
        <v>22191</v>
      </c>
      <c r="I10613" t="s">
        <v>1357</v>
      </c>
      <c r="J10613" t="s">
        <v>1357</v>
      </c>
      <c r="K10613" t="s">
        <v>1357</v>
      </c>
      <c r="L10613" t="s">
        <v>1357</v>
      </c>
    </row>
    <row r="10614" spans="1:13">
      <c r="H10614" t="s">
        <v>22192</v>
      </c>
      <c r="I10614" t="s">
        <v>1357</v>
      </c>
      <c r="J10614" t="s">
        <v>1357</v>
      </c>
      <c r="K10614" t="s">
        <v>1357</v>
      </c>
      <c r="L10614" t="s">
        <v>1357</v>
      </c>
    </row>
    <row r="10615" spans="1:13">
      <c r="A10615" t="s">
        <v>10456</v>
      </c>
      <c r="B10615">
        <f>HYPERLINK("https://android.googlesource.com/platform/cts/+/75a5fda08f732fc68c9b5faba82c13a589cc5193", "75a5fda08f732fc68c9b5faba82c13a589cc5193")</f>
        <v>0</v>
      </c>
      <c r="C10615">
        <f>HYPERLINK("https://android.googlesource.com/platform/cts/+/5e4ff5b38f61908a1a7c52fddb5b1115b378c9bc", "5e4ff5b38f61908a1a7c52fddb5b1115b378c9bc")</f>
        <v>0</v>
      </c>
      <c r="D10615" t="s">
        <v>12125</v>
      </c>
      <c r="E10615" t="s">
        <v>13013</v>
      </c>
      <c r="F10615" t="s">
        <v>16204</v>
      </c>
      <c r="G10615" t="s">
        <v>18882</v>
      </c>
      <c r="H10615" t="s">
        <v>22191</v>
      </c>
      <c r="I10615" t="s">
        <v>1357</v>
      </c>
      <c r="J10615" t="s">
        <v>1357</v>
      </c>
      <c r="K10615" t="s">
        <v>1357</v>
      </c>
      <c r="L10615" t="s">
        <v>1357</v>
      </c>
    </row>
    <row r="10616" spans="1:13">
      <c r="H10616" t="s">
        <v>22192</v>
      </c>
      <c r="I10616" t="s">
        <v>1357</v>
      </c>
      <c r="J10616" t="s">
        <v>1357</v>
      </c>
      <c r="K10616" t="s">
        <v>1357</v>
      </c>
      <c r="L10616" t="s">
        <v>1357</v>
      </c>
    </row>
    <row r="10617" spans="1:13">
      <c r="A10617" t="s">
        <v>10457</v>
      </c>
      <c r="B10617">
        <f>HYPERLINK("https://android.googlesource.com/platform/cts/+/d65fda34d9ddff1f5c660f4a2a2064ca07f6aade", "d65fda34d9ddff1f5c660f4a2a2064ca07f6aade")</f>
        <v>0</v>
      </c>
      <c r="C10617">
        <f>HYPERLINK("https://android.googlesource.com/platform/cts/+/41f5c3808f443bd507c1c018805a0dc57ec3e08d", "41f5c3808f443bd507c1c018805a0dc57ec3e08d")</f>
        <v>0</v>
      </c>
      <c r="D10617" t="s">
        <v>12126</v>
      </c>
      <c r="E10617" t="s">
        <v>13014</v>
      </c>
      <c r="F10617" t="s">
        <v>16205</v>
      </c>
      <c r="G10617" t="s">
        <v>18883</v>
      </c>
      <c r="H10617" t="s">
        <v>22193</v>
      </c>
      <c r="I10617" t="s">
        <v>1357</v>
      </c>
      <c r="J10617" t="s">
        <v>1357</v>
      </c>
      <c r="K10617" t="s">
        <v>1357</v>
      </c>
      <c r="L10617" t="s">
        <v>1357</v>
      </c>
    </row>
    <row r="10618" spans="1:13">
      <c r="H10618" t="s">
        <v>22194</v>
      </c>
      <c r="I10618" t="s">
        <v>1357</v>
      </c>
      <c r="J10618" t="s">
        <v>1357</v>
      </c>
      <c r="K10618" t="s">
        <v>1357</v>
      </c>
      <c r="L10618" t="s">
        <v>1357</v>
      </c>
    </row>
    <row r="10619" spans="1:13">
      <c r="H10619" t="s">
        <v>22195</v>
      </c>
      <c r="I10619" t="s">
        <v>1357</v>
      </c>
      <c r="J10619" t="s">
        <v>1357</v>
      </c>
      <c r="K10619" t="s">
        <v>1357</v>
      </c>
      <c r="L10619" t="s">
        <v>1357</v>
      </c>
    </row>
    <row r="10620" spans="1:13">
      <c r="H10620" t="s">
        <v>22196</v>
      </c>
      <c r="I10620" t="s">
        <v>1357</v>
      </c>
      <c r="J10620" t="s">
        <v>1357</v>
      </c>
      <c r="K10620" t="s">
        <v>1357</v>
      </c>
      <c r="L10620" t="s">
        <v>1357</v>
      </c>
    </row>
    <row r="10621" spans="1:13">
      <c r="H10621" t="s">
        <v>22197</v>
      </c>
      <c r="I10621" t="s">
        <v>1357</v>
      </c>
      <c r="J10621" t="s">
        <v>1357</v>
      </c>
      <c r="K10621" t="s">
        <v>1357</v>
      </c>
      <c r="L10621" t="s">
        <v>1357</v>
      </c>
    </row>
    <row r="10622" spans="1:13">
      <c r="H10622" t="s">
        <v>22198</v>
      </c>
      <c r="I10622" t="s">
        <v>1357</v>
      </c>
      <c r="J10622" t="s">
        <v>1357</v>
      </c>
      <c r="K10622" t="s">
        <v>1357</v>
      </c>
      <c r="L10622" t="s">
        <v>1357</v>
      </c>
    </row>
    <row r="10623" spans="1:13">
      <c r="A10623" t="s">
        <v>10458</v>
      </c>
      <c r="B10623">
        <f>HYPERLINK("https://android.googlesource.com/platform/cts/+/9bcd39d84ee7e9c9194125b0402feb761a3bfb54", "9bcd39d84ee7e9c9194125b0402feb761a3bfb54")</f>
        <v>0</v>
      </c>
      <c r="C10623">
        <f>HYPERLINK("https://android.googlesource.com/platform/cts/+/51759978839bab562fe92594562814c82a33013a", "51759978839bab562fe92594562814c82a33013a")</f>
        <v>0</v>
      </c>
      <c r="D10623" t="s">
        <v>12127</v>
      </c>
      <c r="E10623" t="s">
        <v>13015</v>
      </c>
      <c r="F10623" t="s">
        <v>14521</v>
      </c>
      <c r="G10623" t="s">
        <v>17366</v>
      </c>
      <c r="H10623" t="s">
        <v>22199</v>
      </c>
      <c r="I10623" t="s">
        <v>1357</v>
      </c>
      <c r="J10623" t="s">
        <v>1357</v>
      </c>
      <c r="K10623" t="s">
        <v>1357</v>
      </c>
      <c r="L10623" t="s">
        <v>1357</v>
      </c>
    </row>
    <row r="10624" spans="1:13">
      <c r="A10624" t="s">
        <v>10459</v>
      </c>
      <c r="B10624">
        <f>HYPERLINK("https://android.googlesource.com/platform/cts/+/22f4e0e92c6192f633c2829ca175f5730440fc98", "22f4e0e92c6192f633c2829ca175f5730440fc98")</f>
        <v>0</v>
      </c>
      <c r="C10624">
        <f>HYPERLINK("https://android.googlesource.com/platform/cts/+/cea90b5de4bd499d7c25e34c5377d36870f8f2bf", "cea90b5de4bd499d7c25e34c5377d36870f8f2bf")</f>
        <v>0</v>
      </c>
      <c r="D10624" t="s">
        <v>12031</v>
      </c>
      <c r="E10624" t="s">
        <v>13016</v>
      </c>
      <c r="F10624" t="s">
        <v>16206</v>
      </c>
      <c r="G10624" t="s">
        <v>18884</v>
      </c>
      <c r="H10624" t="s">
        <v>22200</v>
      </c>
      <c r="I10624" t="s">
        <v>1357</v>
      </c>
      <c r="J10624" t="s">
        <v>1357</v>
      </c>
      <c r="K10624" t="s">
        <v>1357</v>
      </c>
      <c r="L10624" t="s">
        <v>1357</v>
      </c>
      <c r="M10624" t="s">
        <v>1360</v>
      </c>
    </row>
    <row r="10625" spans="1:14">
      <c r="H10625" t="s">
        <v>22201</v>
      </c>
      <c r="I10625" t="s">
        <v>1357</v>
      </c>
      <c r="J10625" t="s">
        <v>1357</v>
      </c>
      <c r="K10625" t="s">
        <v>1357</v>
      </c>
      <c r="L10625" t="s">
        <v>1357</v>
      </c>
      <c r="M10625" t="s">
        <v>1360</v>
      </c>
    </row>
    <row r="10626" spans="1:14">
      <c r="A10626" t="s">
        <v>10460</v>
      </c>
      <c r="B10626">
        <f>HYPERLINK("https://android.googlesource.com/platform/cts/+/b95d14358ff33f73d5bfc7e2a232af3a38a6abe6", "b95d14358ff33f73d5bfc7e2a232af3a38a6abe6")</f>
        <v>0</v>
      </c>
      <c r="C10626">
        <f>HYPERLINK("https://android.googlesource.com/platform/cts/+/cea90b5de4bd499d7c25e34c5377d36870f8f2bf", "cea90b5de4bd499d7c25e34c5377d36870f8f2bf")</f>
        <v>0</v>
      </c>
      <c r="D10626" t="s">
        <v>12031</v>
      </c>
      <c r="E10626" t="s">
        <v>13017</v>
      </c>
      <c r="F10626" t="s">
        <v>16207</v>
      </c>
      <c r="G10626" t="s">
        <v>18885</v>
      </c>
      <c r="H10626" t="s">
        <v>22202</v>
      </c>
      <c r="I10626" t="s">
        <v>1357</v>
      </c>
      <c r="J10626" t="s">
        <v>1357</v>
      </c>
      <c r="K10626" t="s">
        <v>1357</v>
      </c>
      <c r="L10626" t="s">
        <v>1357</v>
      </c>
      <c r="M10626" t="s">
        <v>1360</v>
      </c>
      <c r="N10626" t="s">
        <v>1360</v>
      </c>
    </row>
    <row r="10627" spans="1:14">
      <c r="A10627" t="s">
        <v>10461</v>
      </c>
      <c r="B10627">
        <f>HYPERLINK("https://android.googlesource.com/platform/cts/+/1d9207f4426374749088757954df80562efbb254", "1d9207f4426374749088757954df80562efbb254")</f>
        <v>0</v>
      </c>
      <c r="C10627">
        <f>HYPERLINK("https://android.googlesource.com/platform/cts/+/24e4936458d92528733f6692df9233e74e254e0c", "24e4936458d92528733f6692df9233e74e254e0c")</f>
        <v>0</v>
      </c>
      <c r="D10627" t="s">
        <v>12128</v>
      </c>
      <c r="E10627" t="s">
        <v>13018</v>
      </c>
      <c r="F10627" t="s">
        <v>16208</v>
      </c>
      <c r="G10627" t="s">
        <v>18886</v>
      </c>
      <c r="H10627" t="s">
        <v>22203</v>
      </c>
      <c r="I10627" t="s">
        <v>1357</v>
      </c>
      <c r="J10627" t="s">
        <v>1357</v>
      </c>
      <c r="K10627" t="s">
        <v>1357</v>
      </c>
      <c r="L10627" t="s">
        <v>1357</v>
      </c>
    </row>
    <row r="10628" spans="1:14">
      <c r="A10628" t="s">
        <v>10462</v>
      </c>
      <c r="B10628">
        <f>HYPERLINK("https://android.googlesource.com/platform/cts/+/2349d88103b1f0b8dc515dd3dc0b981226215336", "2349d88103b1f0b8dc515dd3dc0b981226215336")</f>
        <v>0</v>
      </c>
      <c r="C10628">
        <f>HYPERLINK("https://android.googlesource.com/platform/cts/+/39181956664b201d22dc935c9c2c4c57db9233cf", "39181956664b201d22dc935c9c2c4c57db9233cf")</f>
        <v>0</v>
      </c>
      <c r="D10628" t="s">
        <v>12100</v>
      </c>
      <c r="E10628" t="s">
        <v>13019</v>
      </c>
      <c r="F10628" t="s">
        <v>16138</v>
      </c>
      <c r="G10628" t="s">
        <v>18822</v>
      </c>
      <c r="H10628" t="s">
        <v>22026</v>
      </c>
      <c r="I10628" t="s">
        <v>1357</v>
      </c>
      <c r="J10628" t="s">
        <v>1357</v>
      </c>
      <c r="K10628" t="s">
        <v>1357</v>
      </c>
      <c r="L10628" t="s">
        <v>1357</v>
      </c>
    </row>
    <row r="10629" spans="1:14">
      <c r="A10629" t="s">
        <v>10463</v>
      </c>
      <c r="B10629">
        <f>HYPERLINK("https://android.googlesource.com/platform/cts/+/30ce86edf0015c61799bfc43e8fdf1a3993e1f72", "30ce86edf0015c61799bfc43e8fdf1a3993e1f72")</f>
        <v>0</v>
      </c>
      <c r="C10629">
        <f>HYPERLINK("https://android.googlesource.com/platform/cts/+/59a1301f9e2b824fa0a8c93cee08b835f975263b", "59a1301f9e2b824fa0a8c93cee08b835f975263b")</f>
        <v>0</v>
      </c>
      <c r="D10629" t="s">
        <v>12024</v>
      </c>
      <c r="E10629" t="s">
        <v>13019</v>
      </c>
      <c r="F10629" t="s">
        <v>16138</v>
      </c>
      <c r="G10629" t="s">
        <v>18822</v>
      </c>
      <c r="H10629" t="s">
        <v>22026</v>
      </c>
      <c r="I10629" t="s">
        <v>1357</v>
      </c>
      <c r="J10629" t="s">
        <v>1357</v>
      </c>
      <c r="K10629" t="s">
        <v>1357</v>
      </c>
      <c r="L10629" t="s">
        <v>1357</v>
      </c>
      <c r="M10629" t="s">
        <v>9957</v>
      </c>
    </row>
    <row r="10630" spans="1:14">
      <c r="A10630" t="s">
        <v>10464</v>
      </c>
      <c r="B10630">
        <f>HYPERLINK("https://android.googlesource.com/platform/cts/+/62ce8e98ee142432879185a1ba9052bf4aa9aa05", "62ce8e98ee142432879185a1ba9052bf4aa9aa05")</f>
        <v>0</v>
      </c>
      <c r="C10630">
        <f>HYPERLINK("https://android.googlesource.com/platform/cts/+/cf4047f982062307852cbec418e937c11473e29f", "cf4047f982062307852cbec418e937c11473e29f")</f>
        <v>0</v>
      </c>
      <c r="D10630" t="s">
        <v>12129</v>
      </c>
      <c r="E10630" t="s">
        <v>13020</v>
      </c>
      <c r="F10630" t="s">
        <v>16209</v>
      </c>
      <c r="G10630" t="s">
        <v>18887</v>
      </c>
      <c r="H10630" t="s">
        <v>22204</v>
      </c>
      <c r="I10630" t="s">
        <v>1357</v>
      </c>
      <c r="J10630" t="s">
        <v>1357</v>
      </c>
      <c r="K10630" t="s">
        <v>1357</v>
      </c>
      <c r="L10630" t="s">
        <v>1357</v>
      </c>
    </row>
    <row r="10631" spans="1:14">
      <c r="A10631" t="s">
        <v>10465</v>
      </c>
      <c r="B10631">
        <f>HYPERLINK("https://android.googlesource.com/platform/cts/+/052d6b3abf977c965adda4cab23e96e702f1fb30", "052d6b3abf977c965adda4cab23e96e702f1fb30")</f>
        <v>0</v>
      </c>
      <c r="C10631">
        <f>HYPERLINK("https://android.googlesource.com/platform/cts/+/ee02528887017f098597d109bed9ba8f037f39fb", "ee02528887017f098597d109bed9ba8f037f39fb")</f>
        <v>0</v>
      </c>
      <c r="D10631" t="s">
        <v>12024</v>
      </c>
      <c r="E10631" t="s">
        <v>13015</v>
      </c>
      <c r="F10631" t="s">
        <v>14521</v>
      </c>
      <c r="G10631" t="s">
        <v>17366</v>
      </c>
      <c r="H10631" t="s">
        <v>22199</v>
      </c>
      <c r="I10631" t="s">
        <v>1357</v>
      </c>
      <c r="J10631" t="s">
        <v>1357</v>
      </c>
      <c r="K10631" t="s">
        <v>1357</v>
      </c>
      <c r="L10631" t="s">
        <v>1357</v>
      </c>
    </row>
    <row r="10632" spans="1:14">
      <c r="A10632" t="s">
        <v>10466</v>
      </c>
      <c r="B10632">
        <f>HYPERLINK("https://android.googlesource.com/platform/cts/+/4ace7a6f4e116f801c9b8691952a860fe2f193fe", "4ace7a6f4e116f801c9b8691952a860fe2f193fe")</f>
        <v>0</v>
      </c>
      <c r="C10632">
        <f>HYPERLINK("https://android.googlesource.com/platform/cts/+/50a0214fbe219f12405c01fcf8bf7f213996d39e", "50a0214fbe219f12405c01fcf8bf7f213996d39e")</f>
        <v>0</v>
      </c>
      <c r="D10632" t="s">
        <v>12130</v>
      </c>
      <c r="E10632" t="s">
        <v>13021</v>
      </c>
      <c r="F10632" t="s">
        <v>16209</v>
      </c>
      <c r="G10632" t="s">
        <v>18887</v>
      </c>
      <c r="H10632" t="s">
        <v>22204</v>
      </c>
      <c r="I10632" t="s">
        <v>1357</v>
      </c>
      <c r="J10632" t="s">
        <v>1357</v>
      </c>
      <c r="K10632" t="s">
        <v>1357</v>
      </c>
      <c r="L10632" t="s">
        <v>1357</v>
      </c>
    </row>
    <row r="10633" spans="1:14">
      <c r="A10633" t="s">
        <v>10467</v>
      </c>
      <c r="B10633">
        <f>HYPERLINK("https://android.googlesource.com/platform/cts/+/c84c2fbc89b2208775b9cadba2f6e8f0153a47af", "c84c2fbc89b2208775b9cadba2f6e8f0153a47af")</f>
        <v>0</v>
      </c>
      <c r="C10633">
        <f>HYPERLINK("https://android.googlesource.com/platform/cts/+/c0850410102620f5961facaebc7440ba4499aa4d", "c0850410102620f5961facaebc7440ba4499aa4d")</f>
        <v>0</v>
      </c>
      <c r="D10633" t="s">
        <v>12100</v>
      </c>
      <c r="E10633" t="s">
        <v>13022</v>
      </c>
      <c r="F10633" t="s">
        <v>16210</v>
      </c>
      <c r="G10633" t="s">
        <v>18888</v>
      </c>
      <c r="H10633" t="s">
        <v>22205</v>
      </c>
      <c r="I10633" t="s">
        <v>1357</v>
      </c>
      <c r="J10633" t="s">
        <v>1357</v>
      </c>
      <c r="K10633" t="s">
        <v>1357</v>
      </c>
      <c r="L10633" t="s">
        <v>1357</v>
      </c>
    </row>
    <row r="10634" spans="1:14">
      <c r="H10634" t="s">
        <v>22206</v>
      </c>
      <c r="I10634" t="s">
        <v>1357</v>
      </c>
      <c r="J10634" t="s">
        <v>1357</v>
      </c>
      <c r="K10634" t="s">
        <v>1357</v>
      </c>
      <c r="L10634" t="s">
        <v>1357</v>
      </c>
    </row>
    <row r="10635" spans="1:14">
      <c r="H10635" t="s">
        <v>22207</v>
      </c>
      <c r="I10635" t="s">
        <v>1357</v>
      </c>
      <c r="J10635" t="s">
        <v>1357</v>
      </c>
      <c r="K10635" t="s">
        <v>1357</v>
      </c>
      <c r="L10635" t="s">
        <v>1357</v>
      </c>
    </row>
    <row r="10636" spans="1:14">
      <c r="H10636" t="s">
        <v>22208</v>
      </c>
      <c r="I10636" t="s">
        <v>1357</v>
      </c>
      <c r="J10636" t="s">
        <v>1357</v>
      </c>
      <c r="K10636" t="s">
        <v>1357</v>
      </c>
      <c r="L10636" t="s">
        <v>1357</v>
      </c>
    </row>
    <row r="10637" spans="1:14">
      <c r="H10637" t="s">
        <v>22209</v>
      </c>
      <c r="I10637" t="s">
        <v>1357</v>
      </c>
      <c r="J10637" t="s">
        <v>1357</v>
      </c>
      <c r="K10637" t="s">
        <v>1357</v>
      </c>
      <c r="L10637" t="s">
        <v>1357</v>
      </c>
    </row>
    <row r="10638" spans="1:14">
      <c r="H10638" t="s">
        <v>22210</v>
      </c>
      <c r="I10638" t="s">
        <v>1357</v>
      </c>
      <c r="J10638" t="s">
        <v>1357</v>
      </c>
      <c r="K10638" t="s">
        <v>1357</v>
      </c>
      <c r="L10638" t="s">
        <v>1357</v>
      </c>
    </row>
    <row r="10639" spans="1:14">
      <c r="A10639" t="s">
        <v>10468</v>
      </c>
      <c r="B10639">
        <f>HYPERLINK("https://android.googlesource.com/platform/cts/+/89ab1d4a7a140736aaa8f53ac211ebd8b0a3b4b9", "89ab1d4a7a140736aaa8f53ac211ebd8b0a3b4b9")</f>
        <v>0</v>
      </c>
      <c r="C10639">
        <f>HYPERLINK("https://android.googlesource.com/platform/cts/+/e7114fdc88400aad8480d376a6d95bc1924cd1fc", "e7114fdc88400aad8480d376a6d95bc1924cd1fc")</f>
        <v>0</v>
      </c>
      <c r="D10639" t="s">
        <v>12016</v>
      </c>
      <c r="E10639" t="s">
        <v>13023</v>
      </c>
      <c r="F10639" t="s">
        <v>16211</v>
      </c>
      <c r="G10639" t="s">
        <v>18889</v>
      </c>
      <c r="H10639" t="s">
        <v>22211</v>
      </c>
      <c r="I10639" t="s">
        <v>1357</v>
      </c>
      <c r="J10639" t="s">
        <v>1357</v>
      </c>
      <c r="K10639" t="s">
        <v>1357</v>
      </c>
      <c r="L10639" t="s">
        <v>1357</v>
      </c>
    </row>
    <row r="10640" spans="1:14">
      <c r="A10640" t="s">
        <v>10469</v>
      </c>
      <c r="B10640">
        <f>HYPERLINK("https://android.googlesource.com/platform/cts/+/9d3de9076844ce66be815cb335026233b6fa4f8b", "9d3de9076844ce66be815cb335026233b6fa4f8b")</f>
        <v>0</v>
      </c>
      <c r="C10640">
        <f>HYPERLINK("https://android.googlesource.com/platform/cts/+/bf1667dd5bd7f6fb01c3a1baec8058cdb1f24f2b", "bf1667dd5bd7f6fb01c3a1baec8058cdb1f24f2b")</f>
        <v>0</v>
      </c>
      <c r="D10640" t="s">
        <v>12124</v>
      </c>
      <c r="E10640" t="s">
        <v>13024</v>
      </c>
      <c r="F10640" t="s">
        <v>16212</v>
      </c>
      <c r="G10640" t="s">
        <v>18890</v>
      </c>
      <c r="H10640" t="s">
        <v>22212</v>
      </c>
      <c r="I10640" t="s">
        <v>1358</v>
      </c>
      <c r="J10640" t="s">
        <v>1358</v>
      </c>
      <c r="K10640" t="s">
        <v>1358</v>
      </c>
      <c r="L10640" t="s">
        <v>1358</v>
      </c>
    </row>
    <row r="10641" spans="1:12">
      <c r="H10641" t="s">
        <v>22213</v>
      </c>
      <c r="I10641" t="s">
        <v>1358</v>
      </c>
      <c r="J10641" t="s">
        <v>1358</v>
      </c>
      <c r="K10641" t="s">
        <v>1358</v>
      </c>
      <c r="L10641" t="s">
        <v>1358</v>
      </c>
    </row>
    <row r="10642" spans="1:12">
      <c r="H10642" t="s">
        <v>22214</v>
      </c>
      <c r="I10642" t="s">
        <v>1358</v>
      </c>
      <c r="J10642" t="s">
        <v>1358</v>
      </c>
      <c r="K10642" t="s">
        <v>1358</v>
      </c>
      <c r="L10642" t="s">
        <v>1358</v>
      </c>
    </row>
    <row r="10643" spans="1:12">
      <c r="A10643" t="s">
        <v>10470</v>
      </c>
      <c r="B10643">
        <f>HYPERLINK("https://android.googlesource.com/platform/cts/+/f13cf4947850b3aad778ac8ea4b81477e23d352a", "f13cf4947850b3aad778ac8ea4b81477e23d352a")</f>
        <v>0</v>
      </c>
      <c r="C10643">
        <f>HYPERLINK("https://android.googlesource.com/platform/cts/+/890e3e23c801bdca308698f83b6cf6d50d0b3088", "890e3e23c801bdca308698f83b6cf6d50d0b3088")</f>
        <v>0</v>
      </c>
      <c r="D10643" t="s">
        <v>12104</v>
      </c>
      <c r="E10643" t="s">
        <v>13025</v>
      </c>
      <c r="F10643" t="s">
        <v>16099</v>
      </c>
      <c r="G10643" t="s">
        <v>18788</v>
      </c>
      <c r="H10643" t="s">
        <v>22205</v>
      </c>
      <c r="I10643" t="s">
        <v>1357</v>
      </c>
      <c r="J10643" t="s">
        <v>1357</v>
      </c>
      <c r="K10643" t="s">
        <v>1357</v>
      </c>
      <c r="L10643" t="s">
        <v>1357</v>
      </c>
    </row>
    <row r="10644" spans="1:12">
      <c r="H10644" t="s">
        <v>22215</v>
      </c>
      <c r="I10644" t="s">
        <v>1357</v>
      </c>
      <c r="J10644" t="s">
        <v>1357</v>
      </c>
      <c r="K10644" t="s">
        <v>1357</v>
      </c>
      <c r="L10644" t="s">
        <v>1357</v>
      </c>
    </row>
    <row r="10645" spans="1:12">
      <c r="H10645" t="s">
        <v>22207</v>
      </c>
      <c r="I10645" t="s">
        <v>1357</v>
      </c>
      <c r="J10645" t="s">
        <v>1357</v>
      </c>
      <c r="K10645" t="s">
        <v>1357</v>
      </c>
      <c r="L10645" t="s">
        <v>1357</v>
      </c>
    </row>
    <row r="10646" spans="1:12">
      <c r="H10646" t="s">
        <v>22208</v>
      </c>
      <c r="I10646" t="s">
        <v>1357</v>
      </c>
      <c r="J10646" t="s">
        <v>1357</v>
      </c>
      <c r="K10646" t="s">
        <v>1357</v>
      </c>
      <c r="L10646" t="s">
        <v>1357</v>
      </c>
    </row>
    <row r="10647" spans="1:12">
      <c r="H10647" t="s">
        <v>22209</v>
      </c>
      <c r="I10647" t="s">
        <v>1357</v>
      </c>
      <c r="J10647" t="s">
        <v>1357</v>
      </c>
      <c r="K10647" t="s">
        <v>1357</v>
      </c>
      <c r="L10647" t="s">
        <v>1357</v>
      </c>
    </row>
    <row r="10648" spans="1:12">
      <c r="H10648" t="s">
        <v>22210</v>
      </c>
      <c r="I10648" t="s">
        <v>1357</v>
      </c>
      <c r="J10648" t="s">
        <v>1357</v>
      </c>
      <c r="K10648" t="s">
        <v>1357</v>
      </c>
      <c r="L10648" t="s">
        <v>1357</v>
      </c>
    </row>
    <row r="10649" spans="1:12">
      <c r="A10649" t="s">
        <v>10471</v>
      </c>
      <c r="B10649">
        <f>HYPERLINK("https://android.googlesource.com/platform/cts/+/a909221fee3cf9192c7a9a656d736a64932ca150", "a909221fee3cf9192c7a9a656d736a64932ca150")</f>
        <v>0</v>
      </c>
      <c r="C10649">
        <f>HYPERLINK("https://android.googlesource.com/platform/cts/+/57b8deb9d49b902da3e69dd3b2fed9943ebe7e2c", "57b8deb9d49b902da3e69dd3b2fed9943ebe7e2c")</f>
        <v>0</v>
      </c>
      <c r="D10649" t="s">
        <v>12131</v>
      </c>
      <c r="E10649" t="s">
        <v>13026</v>
      </c>
      <c r="F10649" t="s">
        <v>16213</v>
      </c>
      <c r="G10649" t="s">
        <v>18891</v>
      </c>
      <c r="H10649" t="s">
        <v>22216</v>
      </c>
      <c r="I10649" t="s">
        <v>1357</v>
      </c>
      <c r="J10649" t="s">
        <v>1357</v>
      </c>
      <c r="K10649" t="s">
        <v>1357</v>
      </c>
      <c r="L10649" t="s">
        <v>1357</v>
      </c>
    </row>
    <row r="10650" spans="1:12">
      <c r="H10650" t="s">
        <v>20018</v>
      </c>
      <c r="I10650" t="s">
        <v>1357</v>
      </c>
      <c r="J10650" t="s">
        <v>1357</v>
      </c>
      <c r="K10650" t="s">
        <v>1357</v>
      </c>
      <c r="L10650" t="s">
        <v>1357</v>
      </c>
    </row>
    <row r="10651" spans="1:12">
      <c r="H10651" t="s">
        <v>22217</v>
      </c>
      <c r="I10651" t="s">
        <v>1357</v>
      </c>
      <c r="J10651" t="s">
        <v>1357</v>
      </c>
      <c r="K10651" t="s">
        <v>1357</v>
      </c>
      <c r="L10651" t="s">
        <v>1357</v>
      </c>
    </row>
    <row r="10652" spans="1:12">
      <c r="H10652" t="s">
        <v>22218</v>
      </c>
      <c r="I10652" t="s">
        <v>1357</v>
      </c>
      <c r="J10652" t="s">
        <v>1357</v>
      </c>
      <c r="K10652" t="s">
        <v>1357</v>
      </c>
      <c r="L10652" t="s">
        <v>1357</v>
      </c>
    </row>
    <row r="10653" spans="1:12">
      <c r="H10653" t="s">
        <v>22219</v>
      </c>
      <c r="I10653" t="s">
        <v>1357</v>
      </c>
      <c r="J10653" t="s">
        <v>1357</v>
      </c>
      <c r="K10653" t="s">
        <v>1357</v>
      </c>
      <c r="L10653" t="s">
        <v>1357</v>
      </c>
    </row>
    <row r="10654" spans="1:12">
      <c r="H10654" t="s">
        <v>22220</v>
      </c>
      <c r="I10654" t="s">
        <v>1357</v>
      </c>
      <c r="J10654" t="s">
        <v>1357</v>
      </c>
      <c r="K10654" t="s">
        <v>1357</v>
      </c>
      <c r="L10654" t="s">
        <v>1357</v>
      </c>
    </row>
    <row r="10655" spans="1:12">
      <c r="H10655" t="s">
        <v>22221</v>
      </c>
      <c r="I10655" t="s">
        <v>1357</v>
      </c>
      <c r="J10655" t="s">
        <v>1357</v>
      </c>
      <c r="K10655" t="s">
        <v>1357</v>
      </c>
      <c r="L10655" t="s">
        <v>1357</v>
      </c>
    </row>
    <row r="10656" spans="1:12">
      <c r="H10656" t="s">
        <v>22222</v>
      </c>
      <c r="I10656" t="s">
        <v>1357</v>
      </c>
      <c r="J10656" t="s">
        <v>1357</v>
      </c>
      <c r="K10656" t="s">
        <v>1357</v>
      </c>
      <c r="L10656" t="s">
        <v>1357</v>
      </c>
    </row>
    <row r="10657" spans="1:12">
      <c r="H10657" t="s">
        <v>22223</v>
      </c>
      <c r="I10657" t="s">
        <v>1357</v>
      </c>
      <c r="J10657" t="s">
        <v>1357</v>
      </c>
      <c r="K10657" t="s">
        <v>1357</v>
      </c>
      <c r="L10657" t="s">
        <v>1357</v>
      </c>
    </row>
    <row r="10658" spans="1:12">
      <c r="H10658" t="s">
        <v>22224</v>
      </c>
      <c r="I10658" t="s">
        <v>1357</v>
      </c>
      <c r="J10658" t="s">
        <v>1357</v>
      </c>
      <c r="K10658" t="s">
        <v>1357</v>
      </c>
      <c r="L10658" t="s">
        <v>1357</v>
      </c>
    </row>
    <row r="10659" spans="1:12">
      <c r="H10659" t="s">
        <v>22225</v>
      </c>
      <c r="I10659" t="s">
        <v>1357</v>
      </c>
      <c r="J10659" t="s">
        <v>1357</v>
      </c>
      <c r="K10659" t="s">
        <v>1357</v>
      </c>
      <c r="L10659" t="s">
        <v>1357</v>
      </c>
    </row>
    <row r="10660" spans="1:12">
      <c r="H10660" t="s">
        <v>22226</v>
      </c>
      <c r="I10660" t="s">
        <v>1357</v>
      </c>
      <c r="J10660" t="s">
        <v>1357</v>
      </c>
      <c r="K10660" t="s">
        <v>1357</v>
      </c>
      <c r="L10660" t="s">
        <v>1357</v>
      </c>
    </row>
    <row r="10661" spans="1:12">
      <c r="H10661" t="s">
        <v>22227</v>
      </c>
      <c r="I10661" t="s">
        <v>1357</v>
      </c>
      <c r="J10661" t="s">
        <v>1357</v>
      </c>
      <c r="K10661" t="s">
        <v>1357</v>
      </c>
      <c r="L10661" t="s">
        <v>1357</v>
      </c>
    </row>
    <row r="10662" spans="1:12">
      <c r="H10662" t="s">
        <v>22228</v>
      </c>
      <c r="I10662" t="s">
        <v>1357</v>
      </c>
      <c r="J10662" t="s">
        <v>1357</v>
      </c>
      <c r="K10662" t="s">
        <v>1357</v>
      </c>
      <c r="L10662" t="s">
        <v>1357</v>
      </c>
    </row>
    <row r="10663" spans="1:12">
      <c r="H10663" t="s">
        <v>22229</v>
      </c>
      <c r="I10663" t="s">
        <v>1357</v>
      </c>
      <c r="J10663" t="s">
        <v>1357</v>
      </c>
      <c r="K10663" t="s">
        <v>1357</v>
      </c>
      <c r="L10663" t="s">
        <v>1357</v>
      </c>
    </row>
    <row r="10664" spans="1:12">
      <c r="A10664" t="s">
        <v>10472</v>
      </c>
      <c r="B10664">
        <f>HYPERLINK("https://android.googlesource.com/platform/cts/+/d105427337086371c08b7f89f3e88c7a8f425dd5", "d105427337086371c08b7f89f3e88c7a8f425dd5")</f>
        <v>0</v>
      </c>
      <c r="C10664">
        <f>HYPERLINK("https://android.googlesource.com/platform/cts/+/023a728b2d838e61fb49c255f251b7e0b57eeb26", "023a728b2d838e61fb49c255f251b7e0b57eeb26")</f>
        <v>0</v>
      </c>
      <c r="D10664" t="s">
        <v>12132</v>
      </c>
      <c r="E10664" t="s">
        <v>13027</v>
      </c>
      <c r="F10664" t="s">
        <v>16054</v>
      </c>
      <c r="G10664" t="s">
        <v>18745</v>
      </c>
      <c r="H10664" t="s">
        <v>22230</v>
      </c>
      <c r="I10664" t="s">
        <v>1358</v>
      </c>
      <c r="J10664" t="s">
        <v>1358</v>
      </c>
      <c r="K10664" t="s">
        <v>1358</v>
      </c>
      <c r="L10664" t="s">
        <v>1358</v>
      </c>
    </row>
    <row r="10665" spans="1:12">
      <c r="A10665" t="s">
        <v>10473</v>
      </c>
      <c r="B10665">
        <f>HYPERLINK("https://android.googlesource.com/platform/cts/+/4d1c7f14f1ca857c554bcb2eb94823af7765a43f", "4d1c7f14f1ca857c554bcb2eb94823af7765a43f")</f>
        <v>0</v>
      </c>
      <c r="C10665">
        <f>HYPERLINK("https://android.googlesource.com/platform/cts/+/21464c8370f1f19ea935bb9046414f05706fbd0c", "21464c8370f1f19ea935bb9046414f05706fbd0c")</f>
        <v>0</v>
      </c>
      <c r="D10665" t="s">
        <v>12127</v>
      </c>
      <c r="E10665" t="s">
        <v>13028</v>
      </c>
      <c r="F10665" t="s">
        <v>14521</v>
      </c>
      <c r="G10665" t="s">
        <v>17366</v>
      </c>
      <c r="H10665" t="s">
        <v>22199</v>
      </c>
      <c r="I10665" t="s">
        <v>1357</v>
      </c>
      <c r="J10665" t="s">
        <v>1357</v>
      </c>
      <c r="K10665" t="s">
        <v>1357</v>
      </c>
      <c r="L10665" t="s">
        <v>1357</v>
      </c>
    </row>
    <row r="10666" spans="1:12">
      <c r="A10666" t="s">
        <v>10474</v>
      </c>
      <c r="B10666">
        <f>HYPERLINK("https://android.googlesource.com/platform/cts/+/8cf1a0f0257c2528c54c002ef4733d5e1362d549", "8cf1a0f0257c2528c54c002ef4733d5e1362d549")</f>
        <v>0</v>
      </c>
      <c r="C10666">
        <f>HYPERLINK("https://android.googlesource.com/platform/cts/+/44c8e95cf7ee3c4ea8c4b6b60bf14ce27bad75df", "44c8e95cf7ee3c4ea8c4b6b60bf14ce27bad75df")</f>
        <v>0</v>
      </c>
      <c r="D10666" t="s">
        <v>12133</v>
      </c>
      <c r="E10666" t="s">
        <v>13029</v>
      </c>
      <c r="F10666" t="s">
        <v>16214</v>
      </c>
      <c r="G10666" t="s">
        <v>18892</v>
      </c>
      <c r="H10666" t="s">
        <v>22231</v>
      </c>
      <c r="I10666" t="s">
        <v>1357</v>
      </c>
      <c r="J10666" t="s">
        <v>1357</v>
      </c>
      <c r="K10666" t="s">
        <v>1357</v>
      </c>
      <c r="L10666" t="s">
        <v>1357</v>
      </c>
    </row>
    <row r="10667" spans="1:12">
      <c r="A10667" t="s">
        <v>10475</v>
      </c>
      <c r="B10667">
        <f>HYPERLINK("https://android.googlesource.com/platform/cts/+/86394041978113e596212eae6da62642dfc91c71", "86394041978113e596212eae6da62642dfc91c71")</f>
        <v>0</v>
      </c>
      <c r="C10667">
        <f>HYPERLINK("https://android.googlesource.com/platform/cts/+/8cd88929b2a726ea27eaae32d9baab545c626143", "8cd88929b2a726ea27eaae32d9baab545c626143")</f>
        <v>0</v>
      </c>
      <c r="D10667" t="s">
        <v>12093</v>
      </c>
      <c r="E10667" t="s">
        <v>13030</v>
      </c>
      <c r="F10667" t="s">
        <v>16096</v>
      </c>
      <c r="G10667" t="s">
        <v>18785</v>
      </c>
      <c r="H10667" t="s">
        <v>22232</v>
      </c>
      <c r="I10667" t="s">
        <v>1357</v>
      </c>
      <c r="J10667" t="s">
        <v>1357</v>
      </c>
      <c r="K10667" t="s">
        <v>1357</v>
      </c>
      <c r="L10667" t="s">
        <v>1357</v>
      </c>
    </row>
    <row r="10668" spans="1:12">
      <c r="A10668" t="s">
        <v>10476</v>
      </c>
      <c r="B10668">
        <f>HYPERLINK("https://android.googlesource.com/platform/cts/+/cfd9f2f6ae34f7cd2f4a4ee91afc67b558c75efa", "cfd9f2f6ae34f7cd2f4a4ee91afc67b558c75efa")</f>
        <v>0</v>
      </c>
      <c r="C10668">
        <f>HYPERLINK("https://android.googlesource.com/platform/cts/+/c80ea7b46c845c8ea41b5bf186d7c42b7fb32851", "c80ea7b46c845c8ea41b5bf186d7c42b7fb32851")</f>
        <v>0</v>
      </c>
      <c r="D10668" t="s">
        <v>12134</v>
      </c>
      <c r="E10668" t="s">
        <v>13031</v>
      </c>
      <c r="F10668" t="s">
        <v>16215</v>
      </c>
      <c r="G10668" t="s">
        <v>18893</v>
      </c>
      <c r="H10668" t="s">
        <v>22233</v>
      </c>
      <c r="I10668" t="s">
        <v>1357</v>
      </c>
      <c r="J10668" t="s">
        <v>1357</v>
      </c>
      <c r="K10668" t="s">
        <v>1357</v>
      </c>
      <c r="L10668" t="s">
        <v>1357</v>
      </c>
    </row>
    <row r="10669" spans="1:12">
      <c r="A10669" t="s">
        <v>10477</v>
      </c>
      <c r="B10669">
        <f>HYPERLINK("https://android.googlesource.com/platform/cts/+/4d48fa2917d59a56c65d54e1931e6b90545dd4a1", "4d48fa2917d59a56c65d54e1931e6b90545dd4a1")</f>
        <v>0</v>
      </c>
      <c r="C10669">
        <f>HYPERLINK("https://android.googlesource.com/platform/cts/+/10f180031a50c7cfe09fdb6460705ce303d97211", "10f180031a50c7cfe09fdb6460705ce303d97211")</f>
        <v>0</v>
      </c>
      <c r="D10669" t="s">
        <v>12061</v>
      </c>
      <c r="E10669" t="s">
        <v>13032</v>
      </c>
      <c r="F10669" t="s">
        <v>16216</v>
      </c>
      <c r="G10669" t="s">
        <v>18894</v>
      </c>
      <c r="H10669" t="s">
        <v>22234</v>
      </c>
      <c r="I10669" t="s">
        <v>1358</v>
      </c>
      <c r="J10669" t="s">
        <v>1358</v>
      </c>
      <c r="K10669" t="s">
        <v>1358</v>
      </c>
      <c r="L10669" t="s">
        <v>1358</v>
      </c>
    </row>
    <row r="10670" spans="1:12">
      <c r="H10670" t="s">
        <v>22235</v>
      </c>
      <c r="I10670" t="s">
        <v>1358</v>
      </c>
      <c r="J10670" t="s">
        <v>1358</v>
      </c>
      <c r="K10670" t="s">
        <v>1358</v>
      </c>
      <c r="L10670" t="s">
        <v>1358</v>
      </c>
    </row>
    <row r="10671" spans="1:12">
      <c r="H10671" t="s">
        <v>22236</v>
      </c>
      <c r="I10671" t="s">
        <v>1358</v>
      </c>
      <c r="J10671" t="s">
        <v>1358</v>
      </c>
      <c r="K10671" t="s">
        <v>1358</v>
      </c>
      <c r="L10671" t="s">
        <v>1358</v>
      </c>
    </row>
    <row r="10672" spans="1:12">
      <c r="H10672" t="s">
        <v>22237</v>
      </c>
      <c r="I10672" t="s">
        <v>1358</v>
      </c>
      <c r="J10672" t="s">
        <v>1358</v>
      </c>
      <c r="K10672" t="s">
        <v>1358</v>
      </c>
      <c r="L10672" t="s">
        <v>1358</v>
      </c>
    </row>
    <row r="10673" spans="8:12">
      <c r="H10673" t="s">
        <v>22238</v>
      </c>
      <c r="I10673" t="s">
        <v>1358</v>
      </c>
      <c r="J10673" t="s">
        <v>1358</v>
      </c>
      <c r="K10673" t="s">
        <v>1358</v>
      </c>
      <c r="L10673" t="s">
        <v>1358</v>
      </c>
    </row>
    <row r="10674" spans="8:12">
      <c r="H10674" t="s">
        <v>22239</v>
      </c>
      <c r="I10674" t="s">
        <v>1358</v>
      </c>
      <c r="J10674" t="s">
        <v>1358</v>
      </c>
      <c r="K10674" t="s">
        <v>1358</v>
      </c>
      <c r="L10674" t="s">
        <v>1358</v>
      </c>
    </row>
    <row r="10675" spans="8:12">
      <c r="H10675" t="s">
        <v>22240</v>
      </c>
      <c r="I10675" t="s">
        <v>1358</v>
      </c>
      <c r="J10675" t="s">
        <v>1358</v>
      </c>
      <c r="K10675" t="s">
        <v>1358</v>
      </c>
      <c r="L10675" t="s">
        <v>1358</v>
      </c>
    </row>
    <row r="10676" spans="8:12">
      <c r="H10676" t="s">
        <v>22241</v>
      </c>
      <c r="I10676" t="s">
        <v>1358</v>
      </c>
      <c r="J10676" t="s">
        <v>1358</v>
      </c>
      <c r="K10676" t="s">
        <v>1358</v>
      </c>
      <c r="L10676" t="s">
        <v>1358</v>
      </c>
    </row>
    <row r="10677" spans="8:12">
      <c r="H10677" t="s">
        <v>22242</v>
      </c>
      <c r="I10677" t="s">
        <v>1358</v>
      </c>
      <c r="J10677" t="s">
        <v>1358</v>
      </c>
      <c r="K10677" t="s">
        <v>1358</v>
      </c>
      <c r="L10677" t="s">
        <v>1358</v>
      </c>
    </row>
    <row r="10678" spans="8:12">
      <c r="H10678" t="s">
        <v>22243</v>
      </c>
      <c r="I10678" t="s">
        <v>1358</v>
      </c>
      <c r="J10678" t="s">
        <v>1358</v>
      </c>
      <c r="K10678" t="s">
        <v>1358</v>
      </c>
      <c r="L10678" t="s">
        <v>1358</v>
      </c>
    </row>
    <row r="10679" spans="8:12">
      <c r="H10679" t="s">
        <v>22244</v>
      </c>
      <c r="I10679" t="s">
        <v>1358</v>
      </c>
      <c r="J10679" t="s">
        <v>1358</v>
      </c>
      <c r="K10679" t="s">
        <v>1358</v>
      </c>
      <c r="L10679" t="s">
        <v>1358</v>
      </c>
    </row>
    <row r="10680" spans="8:12">
      <c r="H10680" t="s">
        <v>22245</v>
      </c>
      <c r="I10680" t="s">
        <v>1358</v>
      </c>
      <c r="J10680" t="s">
        <v>1358</v>
      </c>
      <c r="K10680" t="s">
        <v>1358</v>
      </c>
      <c r="L10680" t="s">
        <v>1358</v>
      </c>
    </row>
    <row r="10681" spans="8:12">
      <c r="H10681" t="s">
        <v>22246</v>
      </c>
      <c r="I10681" t="s">
        <v>1358</v>
      </c>
      <c r="J10681" t="s">
        <v>1358</v>
      </c>
      <c r="K10681" t="s">
        <v>1358</v>
      </c>
      <c r="L10681" t="s">
        <v>1358</v>
      </c>
    </row>
    <row r="10682" spans="8:12">
      <c r="H10682" t="s">
        <v>22247</v>
      </c>
      <c r="I10682" t="s">
        <v>1358</v>
      </c>
      <c r="J10682" t="s">
        <v>1358</v>
      </c>
      <c r="K10682" t="s">
        <v>1358</v>
      </c>
      <c r="L10682" t="s">
        <v>1358</v>
      </c>
    </row>
    <row r="10683" spans="8:12">
      <c r="H10683" t="s">
        <v>22248</v>
      </c>
      <c r="I10683" t="s">
        <v>1358</v>
      </c>
      <c r="J10683" t="s">
        <v>1358</v>
      </c>
      <c r="K10683" t="s">
        <v>1358</v>
      </c>
      <c r="L10683" t="s">
        <v>1358</v>
      </c>
    </row>
    <row r="10684" spans="8:12">
      <c r="H10684" t="s">
        <v>22249</v>
      </c>
      <c r="I10684" t="s">
        <v>1358</v>
      </c>
      <c r="J10684" t="s">
        <v>1358</v>
      </c>
      <c r="K10684" t="s">
        <v>1358</v>
      </c>
      <c r="L10684" t="s">
        <v>1358</v>
      </c>
    </row>
    <row r="10685" spans="8:12">
      <c r="H10685" t="s">
        <v>22250</v>
      </c>
      <c r="I10685" t="s">
        <v>1358</v>
      </c>
      <c r="J10685" t="s">
        <v>1358</v>
      </c>
      <c r="K10685" t="s">
        <v>1358</v>
      </c>
      <c r="L10685" t="s">
        <v>1358</v>
      </c>
    </row>
    <row r="10686" spans="8:12">
      <c r="H10686" t="s">
        <v>22251</v>
      </c>
      <c r="I10686" t="s">
        <v>1358</v>
      </c>
      <c r="J10686" t="s">
        <v>1358</v>
      </c>
      <c r="K10686" t="s">
        <v>1358</v>
      </c>
      <c r="L10686" t="s">
        <v>1358</v>
      </c>
    </row>
    <row r="10687" spans="8:12">
      <c r="H10687" t="s">
        <v>22252</v>
      </c>
      <c r="I10687" t="s">
        <v>1358</v>
      </c>
      <c r="J10687" t="s">
        <v>1358</v>
      </c>
      <c r="K10687" t="s">
        <v>1358</v>
      </c>
      <c r="L10687" t="s">
        <v>1358</v>
      </c>
    </row>
    <row r="10688" spans="8:12">
      <c r="H10688" t="s">
        <v>22253</v>
      </c>
      <c r="I10688" t="s">
        <v>1358</v>
      </c>
      <c r="J10688" t="s">
        <v>1358</v>
      </c>
      <c r="K10688" t="s">
        <v>1358</v>
      </c>
      <c r="L10688" t="s">
        <v>1358</v>
      </c>
    </row>
    <row r="10689" spans="8:12">
      <c r="H10689" t="s">
        <v>22254</v>
      </c>
      <c r="I10689" t="s">
        <v>1358</v>
      </c>
      <c r="J10689" t="s">
        <v>1358</v>
      </c>
      <c r="K10689" t="s">
        <v>1358</v>
      </c>
      <c r="L10689" t="s">
        <v>1358</v>
      </c>
    </row>
    <row r="10690" spans="8:12">
      <c r="H10690" t="s">
        <v>22255</v>
      </c>
      <c r="I10690" t="s">
        <v>1358</v>
      </c>
      <c r="J10690" t="s">
        <v>1358</v>
      </c>
      <c r="K10690" t="s">
        <v>1358</v>
      </c>
      <c r="L10690" t="s">
        <v>1358</v>
      </c>
    </row>
    <row r="10691" spans="8:12">
      <c r="H10691" t="s">
        <v>22256</v>
      </c>
      <c r="I10691" t="s">
        <v>1358</v>
      </c>
      <c r="J10691" t="s">
        <v>1358</v>
      </c>
      <c r="K10691" t="s">
        <v>1358</v>
      </c>
      <c r="L10691" t="s">
        <v>1358</v>
      </c>
    </row>
    <row r="10692" spans="8:12">
      <c r="H10692" t="s">
        <v>22257</v>
      </c>
      <c r="I10692" t="s">
        <v>1358</v>
      </c>
      <c r="J10692" t="s">
        <v>1358</v>
      </c>
      <c r="K10692" t="s">
        <v>1358</v>
      </c>
      <c r="L10692" t="s">
        <v>1358</v>
      </c>
    </row>
    <row r="10693" spans="8:12">
      <c r="H10693" t="s">
        <v>22258</v>
      </c>
      <c r="I10693" t="s">
        <v>1358</v>
      </c>
      <c r="J10693" t="s">
        <v>1358</v>
      </c>
      <c r="K10693" t="s">
        <v>1358</v>
      </c>
      <c r="L10693" t="s">
        <v>1358</v>
      </c>
    </row>
    <row r="10694" spans="8:12">
      <c r="H10694" t="s">
        <v>22259</v>
      </c>
      <c r="I10694" t="s">
        <v>1358</v>
      </c>
      <c r="J10694" t="s">
        <v>1358</v>
      </c>
      <c r="K10694" t="s">
        <v>1358</v>
      </c>
      <c r="L10694" t="s">
        <v>1358</v>
      </c>
    </row>
    <row r="10695" spans="8:12">
      <c r="H10695" t="s">
        <v>22260</v>
      </c>
      <c r="I10695" t="s">
        <v>1358</v>
      </c>
      <c r="J10695" t="s">
        <v>1358</v>
      </c>
      <c r="K10695" t="s">
        <v>1358</v>
      </c>
      <c r="L10695" t="s">
        <v>1358</v>
      </c>
    </row>
    <row r="10696" spans="8:12">
      <c r="H10696" t="s">
        <v>22261</v>
      </c>
      <c r="I10696" t="s">
        <v>1358</v>
      </c>
      <c r="J10696" t="s">
        <v>1358</v>
      </c>
      <c r="K10696" t="s">
        <v>1358</v>
      </c>
      <c r="L10696" t="s">
        <v>1358</v>
      </c>
    </row>
    <row r="10697" spans="8:12">
      <c r="H10697" t="s">
        <v>22262</v>
      </c>
      <c r="I10697" t="s">
        <v>1358</v>
      </c>
      <c r="J10697" t="s">
        <v>1358</v>
      </c>
      <c r="K10697" t="s">
        <v>1358</v>
      </c>
      <c r="L10697" t="s">
        <v>1358</v>
      </c>
    </row>
    <row r="10698" spans="8:12">
      <c r="H10698" t="s">
        <v>22263</v>
      </c>
      <c r="I10698" t="s">
        <v>1358</v>
      </c>
      <c r="J10698" t="s">
        <v>1358</v>
      </c>
      <c r="K10698" t="s">
        <v>1358</v>
      </c>
      <c r="L10698" t="s">
        <v>1358</v>
      </c>
    </row>
    <row r="10699" spans="8:12">
      <c r="H10699" t="s">
        <v>22264</v>
      </c>
      <c r="I10699" t="s">
        <v>1358</v>
      </c>
      <c r="J10699" t="s">
        <v>1358</v>
      </c>
      <c r="K10699" t="s">
        <v>1358</v>
      </c>
      <c r="L10699" t="s">
        <v>1358</v>
      </c>
    </row>
    <row r="10700" spans="8:12">
      <c r="H10700" t="s">
        <v>22265</v>
      </c>
      <c r="I10700" t="s">
        <v>1358</v>
      </c>
      <c r="J10700" t="s">
        <v>1358</v>
      </c>
      <c r="K10700" t="s">
        <v>1358</v>
      </c>
      <c r="L10700" t="s">
        <v>1358</v>
      </c>
    </row>
    <row r="10701" spans="8:12">
      <c r="H10701" t="s">
        <v>22266</v>
      </c>
      <c r="I10701" t="s">
        <v>1358</v>
      </c>
      <c r="J10701" t="s">
        <v>1358</v>
      </c>
      <c r="K10701" t="s">
        <v>1358</v>
      </c>
      <c r="L10701" t="s">
        <v>1358</v>
      </c>
    </row>
    <row r="10702" spans="8:12">
      <c r="H10702" t="s">
        <v>22267</v>
      </c>
      <c r="I10702" t="s">
        <v>1358</v>
      </c>
      <c r="J10702" t="s">
        <v>1358</v>
      </c>
      <c r="K10702" t="s">
        <v>1358</v>
      </c>
      <c r="L10702" t="s">
        <v>1358</v>
      </c>
    </row>
    <row r="10703" spans="8:12">
      <c r="H10703" t="s">
        <v>22268</v>
      </c>
      <c r="I10703" t="s">
        <v>1358</v>
      </c>
      <c r="J10703" t="s">
        <v>1358</v>
      </c>
      <c r="K10703" t="s">
        <v>1358</v>
      </c>
      <c r="L10703" t="s">
        <v>1358</v>
      </c>
    </row>
    <row r="10704" spans="8:12">
      <c r="H10704" t="s">
        <v>22269</v>
      </c>
      <c r="I10704" t="s">
        <v>1358</v>
      </c>
      <c r="J10704" t="s">
        <v>1358</v>
      </c>
      <c r="K10704" t="s">
        <v>1358</v>
      </c>
      <c r="L10704" t="s">
        <v>1358</v>
      </c>
    </row>
    <row r="10705" spans="6:12">
      <c r="H10705" t="s">
        <v>22270</v>
      </c>
      <c r="I10705" t="s">
        <v>1358</v>
      </c>
      <c r="J10705" t="s">
        <v>1358</v>
      </c>
      <c r="K10705" t="s">
        <v>1358</v>
      </c>
      <c r="L10705" t="s">
        <v>1358</v>
      </c>
    </row>
    <row r="10706" spans="6:12">
      <c r="H10706" t="s">
        <v>22271</v>
      </c>
      <c r="I10706" t="s">
        <v>1358</v>
      </c>
      <c r="J10706" t="s">
        <v>1358</v>
      </c>
      <c r="K10706" t="s">
        <v>1358</v>
      </c>
      <c r="L10706" t="s">
        <v>1358</v>
      </c>
    </row>
    <row r="10707" spans="6:12">
      <c r="H10707" t="s">
        <v>22272</v>
      </c>
      <c r="I10707" t="s">
        <v>1358</v>
      </c>
      <c r="J10707" t="s">
        <v>1358</v>
      </c>
      <c r="K10707" t="s">
        <v>1358</v>
      </c>
      <c r="L10707" t="s">
        <v>1358</v>
      </c>
    </row>
    <row r="10708" spans="6:12">
      <c r="H10708" t="s">
        <v>22273</v>
      </c>
      <c r="I10708" t="s">
        <v>1358</v>
      </c>
      <c r="J10708" t="s">
        <v>1358</v>
      </c>
      <c r="K10708" t="s">
        <v>1358</v>
      </c>
      <c r="L10708" t="s">
        <v>1358</v>
      </c>
    </row>
    <row r="10709" spans="6:12">
      <c r="H10709" t="s">
        <v>22274</v>
      </c>
      <c r="I10709" t="s">
        <v>1358</v>
      </c>
      <c r="J10709" t="s">
        <v>1358</v>
      </c>
      <c r="K10709" t="s">
        <v>1358</v>
      </c>
      <c r="L10709" t="s">
        <v>1358</v>
      </c>
    </row>
    <row r="10710" spans="6:12">
      <c r="H10710" t="s">
        <v>22275</v>
      </c>
      <c r="I10710" t="s">
        <v>1358</v>
      </c>
      <c r="J10710" t="s">
        <v>1358</v>
      </c>
      <c r="K10710" t="s">
        <v>1358</v>
      </c>
      <c r="L10710" t="s">
        <v>1358</v>
      </c>
    </row>
    <row r="10711" spans="6:12">
      <c r="H10711" t="s">
        <v>22276</v>
      </c>
      <c r="I10711" t="s">
        <v>1358</v>
      </c>
      <c r="J10711" t="s">
        <v>1358</v>
      </c>
      <c r="K10711" t="s">
        <v>1358</v>
      </c>
      <c r="L10711" t="s">
        <v>1358</v>
      </c>
    </row>
    <row r="10712" spans="6:12">
      <c r="H10712" t="s">
        <v>22277</v>
      </c>
      <c r="I10712" t="s">
        <v>1358</v>
      </c>
      <c r="J10712" t="s">
        <v>1358</v>
      </c>
      <c r="K10712" t="s">
        <v>1358</v>
      </c>
      <c r="L10712" t="s">
        <v>1358</v>
      </c>
    </row>
    <row r="10713" spans="6:12">
      <c r="H10713" t="s">
        <v>22278</v>
      </c>
      <c r="I10713" t="s">
        <v>1358</v>
      </c>
      <c r="J10713" t="s">
        <v>1358</v>
      </c>
      <c r="K10713" t="s">
        <v>1358</v>
      </c>
      <c r="L10713" t="s">
        <v>1358</v>
      </c>
    </row>
    <row r="10714" spans="6:12">
      <c r="H10714" t="s">
        <v>22279</v>
      </c>
      <c r="I10714" t="s">
        <v>1358</v>
      </c>
      <c r="J10714" t="s">
        <v>1358</v>
      </c>
      <c r="K10714" t="s">
        <v>1358</v>
      </c>
      <c r="L10714" t="s">
        <v>1358</v>
      </c>
    </row>
    <row r="10715" spans="6:12">
      <c r="F10715" t="s">
        <v>16217</v>
      </c>
      <c r="G10715" t="s">
        <v>18606</v>
      </c>
      <c r="H10715" t="s">
        <v>20535</v>
      </c>
      <c r="I10715" t="s">
        <v>1358</v>
      </c>
      <c r="J10715" t="s">
        <v>1358</v>
      </c>
      <c r="K10715" t="s">
        <v>1358</v>
      </c>
      <c r="L10715" t="s">
        <v>1358</v>
      </c>
    </row>
    <row r="10716" spans="6:12">
      <c r="H10716" t="s">
        <v>20536</v>
      </c>
      <c r="I10716" t="s">
        <v>1358</v>
      </c>
      <c r="J10716" t="s">
        <v>1358</v>
      </c>
      <c r="K10716" t="s">
        <v>1358</v>
      </c>
      <c r="L10716" t="s">
        <v>1358</v>
      </c>
    </row>
    <row r="10717" spans="6:12">
      <c r="H10717" t="s">
        <v>20537</v>
      </c>
      <c r="I10717" t="s">
        <v>1358</v>
      </c>
      <c r="J10717" t="s">
        <v>1358</v>
      </c>
      <c r="K10717" t="s">
        <v>1358</v>
      </c>
      <c r="L10717" t="s">
        <v>1358</v>
      </c>
    </row>
    <row r="10718" spans="6:12">
      <c r="H10718" t="s">
        <v>20538</v>
      </c>
      <c r="I10718" t="s">
        <v>1358</v>
      </c>
      <c r="J10718" t="s">
        <v>1358</v>
      </c>
      <c r="K10718" t="s">
        <v>1358</v>
      </c>
      <c r="L10718" t="s">
        <v>1358</v>
      </c>
    </row>
    <row r="10719" spans="6:12">
      <c r="H10719" t="s">
        <v>20539</v>
      </c>
      <c r="I10719" t="s">
        <v>1358</v>
      </c>
      <c r="J10719" t="s">
        <v>1358</v>
      </c>
      <c r="K10719" t="s">
        <v>1358</v>
      </c>
      <c r="L10719" t="s">
        <v>1358</v>
      </c>
    </row>
    <row r="10720" spans="6:12">
      <c r="H10720" t="s">
        <v>22280</v>
      </c>
      <c r="I10720" t="s">
        <v>1358</v>
      </c>
      <c r="J10720" t="s">
        <v>1358</v>
      </c>
      <c r="K10720" t="s">
        <v>1358</v>
      </c>
      <c r="L10720" t="s">
        <v>1358</v>
      </c>
    </row>
    <row r="10721" spans="8:12">
      <c r="H10721" t="s">
        <v>22281</v>
      </c>
      <c r="I10721" t="s">
        <v>1358</v>
      </c>
      <c r="J10721" t="s">
        <v>1358</v>
      </c>
      <c r="K10721" t="s">
        <v>1358</v>
      </c>
      <c r="L10721" t="s">
        <v>1358</v>
      </c>
    </row>
    <row r="10722" spans="8:12">
      <c r="H10722" t="s">
        <v>22282</v>
      </c>
      <c r="I10722" t="s">
        <v>1358</v>
      </c>
      <c r="J10722" t="s">
        <v>1358</v>
      </c>
      <c r="K10722" t="s">
        <v>1358</v>
      </c>
      <c r="L10722" t="s">
        <v>1358</v>
      </c>
    </row>
    <row r="10723" spans="8:12">
      <c r="H10723" t="s">
        <v>22283</v>
      </c>
      <c r="I10723" t="s">
        <v>1358</v>
      </c>
      <c r="J10723" t="s">
        <v>1358</v>
      </c>
      <c r="K10723" t="s">
        <v>1358</v>
      </c>
      <c r="L10723" t="s">
        <v>1358</v>
      </c>
    </row>
    <row r="10724" spans="8:12">
      <c r="H10724" t="s">
        <v>22284</v>
      </c>
      <c r="I10724" t="s">
        <v>1358</v>
      </c>
      <c r="J10724" t="s">
        <v>1358</v>
      </c>
      <c r="K10724" t="s">
        <v>1358</v>
      </c>
      <c r="L10724" t="s">
        <v>1358</v>
      </c>
    </row>
    <row r="10725" spans="8:12">
      <c r="H10725" t="s">
        <v>22285</v>
      </c>
      <c r="I10725" t="s">
        <v>1358</v>
      </c>
      <c r="J10725" t="s">
        <v>1358</v>
      </c>
      <c r="K10725" t="s">
        <v>1358</v>
      </c>
      <c r="L10725" t="s">
        <v>1358</v>
      </c>
    </row>
    <row r="10726" spans="8:12">
      <c r="H10726" t="s">
        <v>22286</v>
      </c>
      <c r="I10726" t="s">
        <v>1358</v>
      </c>
      <c r="J10726" t="s">
        <v>1358</v>
      </c>
      <c r="K10726" t="s">
        <v>1358</v>
      </c>
      <c r="L10726" t="s">
        <v>1358</v>
      </c>
    </row>
    <row r="10727" spans="8:12">
      <c r="H10727" t="s">
        <v>22287</v>
      </c>
      <c r="I10727" t="s">
        <v>1358</v>
      </c>
      <c r="J10727" t="s">
        <v>1358</v>
      </c>
      <c r="K10727" t="s">
        <v>1358</v>
      </c>
      <c r="L10727" t="s">
        <v>1358</v>
      </c>
    </row>
    <row r="10728" spans="8:12">
      <c r="H10728" t="s">
        <v>22288</v>
      </c>
      <c r="I10728" t="s">
        <v>1358</v>
      </c>
      <c r="J10728" t="s">
        <v>1358</v>
      </c>
      <c r="K10728" t="s">
        <v>1358</v>
      </c>
      <c r="L10728" t="s">
        <v>1358</v>
      </c>
    </row>
    <row r="10729" spans="8:12">
      <c r="H10729" t="s">
        <v>22289</v>
      </c>
      <c r="I10729" t="s">
        <v>1358</v>
      </c>
      <c r="J10729" t="s">
        <v>1358</v>
      </c>
      <c r="K10729" t="s">
        <v>1358</v>
      </c>
      <c r="L10729" t="s">
        <v>1358</v>
      </c>
    </row>
    <row r="10730" spans="8:12">
      <c r="H10730" t="s">
        <v>22290</v>
      </c>
      <c r="I10730" t="s">
        <v>1358</v>
      </c>
      <c r="J10730" t="s">
        <v>1358</v>
      </c>
      <c r="K10730" t="s">
        <v>1358</v>
      </c>
      <c r="L10730" t="s">
        <v>1358</v>
      </c>
    </row>
    <row r="10731" spans="8:12">
      <c r="H10731" t="s">
        <v>22291</v>
      </c>
      <c r="I10731" t="s">
        <v>1358</v>
      </c>
      <c r="J10731" t="s">
        <v>1358</v>
      </c>
      <c r="K10731" t="s">
        <v>1358</v>
      </c>
      <c r="L10731" t="s">
        <v>1358</v>
      </c>
    </row>
    <row r="10732" spans="8:12">
      <c r="H10732" t="s">
        <v>22292</v>
      </c>
      <c r="I10732" t="s">
        <v>1358</v>
      </c>
      <c r="J10732" t="s">
        <v>1358</v>
      </c>
      <c r="K10732" t="s">
        <v>1358</v>
      </c>
      <c r="L10732" t="s">
        <v>1358</v>
      </c>
    </row>
    <row r="10733" spans="8:12">
      <c r="H10733" t="s">
        <v>22293</v>
      </c>
      <c r="I10733" t="s">
        <v>1358</v>
      </c>
      <c r="J10733" t="s">
        <v>1358</v>
      </c>
      <c r="K10733" t="s">
        <v>1358</v>
      </c>
      <c r="L10733" t="s">
        <v>1358</v>
      </c>
    </row>
    <row r="10734" spans="8:12">
      <c r="H10734" t="s">
        <v>22294</v>
      </c>
      <c r="I10734" t="s">
        <v>1358</v>
      </c>
      <c r="J10734" t="s">
        <v>1358</v>
      </c>
      <c r="K10734" t="s">
        <v>1358</v>
      </c>
      <c r="L10734" t="s">
        <v>1358</v>
      </c>
    </row>
    <row r="10735" spans="8:12">
      <c r="H10735" t="s">
        <v>22295</v>
      </c>
      <c r="I10735" t="s">
        <v>1358</v>
      </c>
      <c r="J10735" t="s">
        <v>1358</v>
      </c>
      <c r="K10735" t="s">
        <v>1358</v>
      </c>
      <c r="L10735" t="s">
        <v>1358</v>
      </c>
    </row>
    <row r="10736" spans="8:12">
      <c r="H10736" t="s">
        <v>22270</v>
      </c>
      <c r="I10736" t="s">
        <v>1358</v>
      </c>
      <c r="J10736" t="s">
        <v>1358</v>
      </c>
      <c r="K10736" t="s">
        <v>1358</v>
      </c>
      <c r="L10736" t="s">
        <v>1358</v>
      </c>
    </row>
    <row r="10737" spans="8:12">
      <c r="H10737" t="s">
        <v>22271</v>
      </c>
      <c r="I10737" t="s">
        <v>1358</v>
      </c>
      <c r="J10737" t="s">
        <v>1358</v>
      </c>
      <c r="K10737" t="s">
        <v>1358</v>
      </c>
      <c r="L10737" t="s">
        <v>1358</v>
      </c>
    </row>
    <row r="10738" spans="8:12">
      <c r="H10738" t="s">
        <v>22272</v>
      </c>
      <c r="I10738" t="s">
        <v>1358</v>
      </c>
      <c r="J10738" t="s">
        <v>1358</v>
      </c>
      <c r="K10738" t="s">
        <v>1358</v>
      </c>
      <c r="L10738" t="s">
        <v>1358</v>
      </c>
    </row>
    <row r="10739" spans="8:12">
      <c r="H10739" t="s">
        <v>22273</v>
      </c>
      <c r="I10739" t="s">
        <v>1358</v>
      </c>
      <c r="J10739" t="s">
        <v>1358</v>
      </c>
      <c r="K10739" t="s">
        <v>1358</v>
      </c>
      <c r="L10739" t="s">
        <v>1358</v>
      </c>
    </row>
    <row r="10740" spans="8:12">
      <c r="H10740" t="s">
        <v>22296</v>
      </c>
      <c r="I10740" t="s">
        <v>1358</v>
      </c>
      <c r="J10740" t="s">
        <v>1358</v>
      </c>
      <c r="K10740" t="s">
        <v>1358</v>
      </c>
      <c r="L10740" t="s">
        <v>1358</v>
      </c>
    </row>
    <row r="10741" spans="8:12">
      <c r="H10741" t="s">
        <v>22297</v>
      </c>
      <c r="I10741" t="s">
        <v>1358</v>
      </c>
      <c r="J10741" t="s">
        <v>1358</v>
      </c>
      <c r="K10741" t="s">
        <v>1358</v>
      </c>
      <c r="L10741" t="s">
        <v>1358</v>
      </c>
    </row>
    <row r="10742" spans="8:12">
      <c r="H10742" t="s">
        <v>22298</v>
      </c>
      <c r="I10742" t="s">
        <v>1358</v>
      </c>
      <c r="J10742" t="s">
        <v>1358</v>
      </c>
      <c r="K10742" t="s">
        <v>1358</v>
      </c>
      <c r="L10742" t="s">
        <v>1358</v>
      </c>
    </row>
    <row r="10743" spans="8:12">
      <c r="H10743" t="s">
        <v>22299</v>
      </c>
      <c r="I10743" t="s">
        <v>1358</v>
      </c>
      <c r="J10743" t="s">
        <v>1358</v>
      </c>
      <c r="K10743" t="s">
        <v>1358</v>
      </c>
      <c r="L10743" t="s">
        <v>1358</v>
      </c>
    </row>
    <row r="10744" spans="8:12">
      <c r="H10744" t="s">
        <v>22300</v>
      </c>
      <c r="I10744" t="s">
        <v>1358</v>
      </c>
      <c r="J10744" t="s">
        <v>1358</v>
      </c>
      <c r="K10744" t="s">
        <v>1358</v>
      </c>
      <c r="L10744" t="s">
        <v>1358</v>
      </c>
    </row>
    <row r="10745" spans="8:12">
      <c r="H10745" t="s">
        <v>22301</v>
      </c>
      <c r="I10745" t="s">
        <v>1358</v>
      </c>
      <c r="J10745" t="s">
        <v>1358</v>
      </c>
      <c r="K10745" t="s">
        <v>1358</v>
      </c>
      <c r="L10745" t="s">
        <v>1358</v>
      </c>
    </row>
    <row r="10746" spans="8:12">
      <c r="H10746" t="s">
        <v>22302</v>
      </c>
      <c r="I10746" t="s">
        <v>1358</v>
      </c>
      <c r="J10746" t="s">
        <v>1358</v>
      </c>
      <c r="K10746" t="s">
        <v>1358</v>
      </c>
      <c r="L10746" t="s">
        <v>1358</v>
      </c>
    </row>
    <row r="10747" spans="8:12">
      <c r="H10747" t="s">
        <v>22303</v>
      </c>
      <c r="I10747" t="s">
        <v>1358</v>
      </c>
      <c r="J10747" t="s">
        <v>1358</v>
      </c>
      <c r="K10747" t="s">
        <v>1358</v>
      </c>
      <c r="L10747" t="s">
        <v>1358</v>
      </c>
    </row>
    <row r="10748" spans="8:12">
      <c r="H10748" t="s">
        <v>22304</v>
      </c>
      <c r="I10748" t="s">
        <v>1358</v>
      </c>
      <c r="J10748" t="s">
        <v>1358</v>
      </c>
      <c r="K10748" t="s">
        <v>1358</v>
      </c>
      <c r="L10748" t="s">
        <v>1358</v>
      </c>
    </row>
    <row r="10749" spans="8:12">
      <c r="H10749" t="s">
        <v>22305</v>
      </c>
      <c r="I10749" t="s">
        <v>1358</v>
      </c>
      <c r="J10749" t="s">
        <v>1358</v>
      </c>
      <c r="K10749" t="s">
        <v>1358</v>
      </c>
      <c r="L10749" t="s">
        <v>1358</v>
      </c>
    </row>
    <row r="10750" spans="8:12">
      <c r="H10750" t="s">
        <v>22306</v>
      </c>
      <c r="I10750" t="s">
        <v>1358</v>
      </c>
      <c r="J10750" t="s">
        <v>1358</v>
      </c>
      <c r="K10750" t="s">
        <v>1358</v>
      </c>
      <c r="L10750" t="s">
        <v>1358</v>
      </c>
    </row>
    <row r="10751" spans="8:12">
      <c r="H10751" t="s">
        <v>22307</v>
      </c>
      <c r="I10751" t="s">
        <v>1358</v>
      </c>
      <c r="J10751" t="s">
        <v>1358</v>
      </c>
      <c r="K10751" t="s">
        <v>1358</v>
      </c>
      <c r="L10751" t="s">
        <v>1358</v>
      </c>
    </row>
    <row r="10752" spans="8:12">
      <c r="H10752" t="s">
        <v>22308</v>
      </c>
      <c r="I10752" t="s">
        <v>1358</v>
      </c>
      <c r="J10752" t="s">
        <v>1358</v>
      </c>
      <c r="K10752" t="s">
        <v>1358</v>
      </c>
      <c r="L10752" t="s">
        <v>1358</v>
      </c>
    </row>
    <row r="10753" spans="1:14">
      <c r="H10753" t="s">
        <v>22309</v>
      </c>
      <c r="I10753" t="s">
        <v>1358</v>
      </c>
      <c r="J10753" t="s">
        <v>1358</v>
      </c>
      <c r="K10753" t="s">
        <v>1358</v>
      </c>
      <c r="L10753" t="s">
        <v>1358</v>
      </c>
    </row>
    <row r="10754" spans="1:14">
      <c r="H10754" t="s">
        <v>22310</v>
      </c>
      <c r="I10754" t="s">
        <v>1358</v>
      </c>
      <c r="J10754" t="s">
        <v>1358</v>
      </c>
      <c r="K10754" t="s">
        <v>1358</v>
      </c>
      <c r="L10754" t="s">
        <v>1358</v>
      </c>
    </row>
    <row r="10755" spans="1:14">
      <c r="H10755" t="s">
        <v>22311</v>
      </c>
      <c r="I10755" t="s">
        <v>1358</v>
      </c>
      <c r="J10755" t="s">
        <v>1358</v>
      </c>
      <c r="K10755" t="s">
        <v>1358</v>
      </c>
      <c r="L10755" t="s">
        <v>1358</v>
      </c>
    </row>
    <row r="10756" spans="1:14">
      <c r="H10756" t="s">
        <v>22312</v>
      </c>
      <c r="I10756" t="s">
        <v>1358</v>
      </c>
      <c r="J10756" t="s">
        <v>1358</v>
      </c>
      <c r="K10756" t="s">
        <v>1358</v>
      </c>
      <c r="L10756" t="s">
        <v>1358</v>
      </c>
    </row>
    <row r="10757" spans="1:14">
      <c r="H10757" t="s">
        <v>22313</v>
      </c>
      <c r="I10757" t="s">
        <v>1358</v>
      </c>
      <c r="J10757" t="s">
        <v>1358</v>
      </c>
      <c r="K10757" t="s">
        <v>1358</v>
      </c>
      <c r="L10757" t="s">
        <v>1358</v>
      </c>
    </row>
    <row r="10758" spans="1:14">
      <c r="A10758" t="s">
        <v>10478</v>
      </c>
      <c r="B10758">
        <f>HYPERLINK("https://android.googlesource.com/platform/cts/+/354a3744faf4006b2d997ca71ffedef1da823c5e", "354a3744faf4006b2d997ca71ffedef1da823c5e")</f>
        <v>0</v>
      </c>
      <c r="C10758">
        <f>HYPERLINK("https://android.googlesource.com/platform/cts/+/a8d728bc7aca7aa34b192e0cbe10b96a38e8217c", "a8d728bc7aca7aa34b192e0cbe10b96a38e8217c")</f>
        <v>0</v>
      </c>
      <c r="D10758" t="s">
        <v>12110</v>
      </c>
      <c r="E10758" t="s">
        <v>13033</v>
      </c>
      <c r="F10758" t="s">
        <v>15184</v>
      </c>
      <c r="G10758" t="s">
        <v>17886</v>
      </c>
      <c r="H10758" t="s">
        <v>22314</v>
      </c>
      <c r="I10758" t="s">
        <v>1358</v>
      </c>
      <c r="J10758" t="s">
        <v>1358</v>
      </c>
      <c r="K10758" t="s">
        <v>1358</v>
      </c>
      <c r="L10758" t="s">
        <v>1358</v>
      </c>
    </row>
    <row r="10759" spans="1:14">
      <c r="A10759" t="s">
        <v>10479</v>
      </c>
      <c r="B10759">
        <f>HYPERLINK("https://android.googlesource.com/platform/cts/+/f520f93dc4f0fb9e78e2d0af54c1fb9d1d16b8e1", "f520f93dc4f0fb9e78e2d0af54c1fb9d1d16b8e1")</f>
        <v>0</v>
      </c>
      <c r="C10759">
        <f>HYPERLINK("https://android.googlesource.com/platform/cts/+/46e06084c56019021aa7d6559596f5fab65b9a4d", "46e06084c56019021aa7d6559596f5fab65b9a4d")</f>
        <v>0</v>
      </c>
      <c r="D10759" t="s">
        <v>12081</v>
      </c>
      <c r="E10759" t="s">
        <v>13034</v>
      </c>
      <c r="F10759" t="s">
        <v>16099</v>
      </c>
      <c r="G10759" t="s">
        <v>18788</v>
      </c>
      <c r="H10759" t="s">
        <v>22315</v>
      </c>
      <c r="I10759" t="s">
        <v>1358</v>
      </c>
      <c r="J10759" t="s">
        <v>1358</v>
      </c>
      <c r="K10759" t="s">
        <v>1358</v>
      </c>
      <c r="L10759" t="s">
        <v>1358</v>
      </c>
    </row>
    <row r="10760" spans="1:14">
      <c r="A10760" t="s">
        <v>10480</v>
      </c>
      <c r="B10760">
        <f>HYPERLINK("https://android.googlesource.com/platform/cts/+/e2784be7dd616af44b2058b76e701e74ed41961b", "e2784be7dd616af44b2058b76e701e74ed41961b")</f>
        <v>0</v>
      </c>
      <c r="C10760">
        <f>HYPERLINK("https://android.googlesource.com/platform/cts/+/dec771a026285784ff5c82ad975de3964bd50f91", "dec771a026285784ff5c82ad975de3964bd50f91")</f>
        <v>0</v>
      </c>
      <c r="D10760" t="s">
        <v>12018</v>
      </c>
      <c r="E10760" t="s">
        <v>13035</v>
      </c>
      <c r="F10760" t="s">
        <v>14484</v>
      </c>
      <c r="G10760" t="s">
        <v>17330</v>
      </c>
      <c r="H10760" t="s">
        <v>22316</v>
      </c>
      <c r="I10760" t="s">
        <v>1357</v>
      </c>
      <c r="J10760" t="s">
        <v>1357</v>
      </c>
      <c r="K10760" t="s">
        <v>1357</v>
      </c>
      <c r="L10760" t="s">
        <v>1357</v>
      </c>
      <c r="M10760" t="s">
        <v>1360</v>
      </c>
      <c r="N10760" t="s">
        <v>1360</v>
      </c>
    </row>
    <row r="10761" spans="1:14">
      <c r="H10761" t="s">
        <v>22317</v>
      </c>
      <c r="I10761" t="s">
        <v>1357</v>
      </c>
      <c r="J10761" t="s">
        <v>1357</v>
      </c>
      <c r="K10761" t="s">
        <v>1357</v>
      </c>
      <c r="L10761" t="s">
        <v>1357</v>
      </c>
      <c r="M10761" t="s">
        <v>1360</v>
      </c>
      <c r="N10761" t="s">
        <v>1360</v>
      </c>
    </row>
    <row r="10762" spans="1:14">
      <c r="H10762" t="s">
        <v>22318</v>
      </c>
      <c r="I10762" t="s">
        <v>1357</v>
      </c>
      <c r="J10762" t="s">
        <v>1357</v>
      </c>
      <c r="K10762" t="s">
        <v>1357</v>
      </c>
      <c r="L10762" t="s">
        <v>1357</v>
      </c>
      <c r="M10762" t="s">
        <v>1360</v>
      </c>
      <c r="N10762" t="s">
        <v>1360</v>
      </c>
    </row>
    <row r="10763" spans="1:14">
      <c r="A10763" t="s">
        <v>10481</v>
      </c>
      <c r="B10763">
        <f>HYPERLINK("https://android.googlesource.com/platform/cts/+/0a304b0786021b6bba39b170e3193f56f0d0d244", "0a304b0786021b6bba39b170e3193f56f0d0d244")</f>
        <v>0</v>
      </c>
      <c r="C10763">
        <f>HYPERLINK("https://android.googlesource.com/platform/cts/+/dec771a026285784ff5c82ad975de3964bd50f91", "dec771a026285784ff5c82ad975de3964bd50f91")</f>
        <v>0</v>
      </c>
      <c r="D10763" t="s">
        <v>12018</v>
      </c>
      <c r="E10763" t="s">
        <v>13036</v>
      </c>
      <c r="F10763" t="s">
        <v>16218</v>
      </c>
      <c r="G10763" t="s">
        <v>18895</v>
      </c>
      <c r="H10763" t="s">
        <v>22319</v>
      </c>
      <c r="I10763" t="s">
        <v>1358</v>
      </c>
      <c r="J10763" t="s">
        <v>1358</v>
      </c>
      <c r="K10763" t="s">
        <v>1358</v>
      </c>
      <c r="L10763" t="s">
        <v>1358</v>
      </c>
    </row>
    <row r="10764" spans="1:14">
      <c r="A10764" t="s">
        <v>10482</v>
      </c>
      <c r="B10764">
        <f>HYPERLINK("https://android.googlesource.com/platform/cts/+/f92fb0b81547e780896b00e3c2198a1e133f36e7", "f92fb0b81547e780896b00e3c2198a1e133f36e7")</f>
        <v>0</v>
      </c>
      <c r="C10764">
        <f>HYPERLINK("https://android.googlesource.com/platform/cts/+/68e28793a646128d60b0d0976ee07e0fe82ab943", "68e28793a646128d60b0d0976ee07e0fe82ab943")</f>
        <v>0</v>
      </c>
      <c r="D10764" t="s">
        <v>12016</v>
      </c>
      <c r="E10764" t="s">
        <v>13037</v>
      </c>
      <c r="F10764" t="s">
        <v>16219</v>
      </c>
      <c r="G10764" t="s">
        <v>18599</v>
      </c>
      <c r="H10764" t="s">
        <v>20496</v>
      </c>
      <c r="I10764" t="s">
        <v>1357</v>
      </c>
      <c r="J10764" t="s">
        <v>1357</v>
      </c>
      <c r="K10764" t="s">
        <v>1357</v>
      </c>
      <c r="L10764" t="s">
        <v>1357</v>
      </c>
    </row>
    <row r="10765" spans="1:14">
      <c r="A10765" t="s">
        <v>10483</v>
      </c>
      <c r="B10765">
        <f>HYPERLINK("https://android.googlesource.com/platform/cts/+/d7e1292ea59b3e9e783b637b2d2a5ea7f05eff2d", "d7e1292ea59b3e9e783b637b2d2a5ea7f05eff2d")</f>
        <v>0</v>
      </c>
      <c r="C10765">
        <f>HYPERLINK("https://android.googlesource.com/platform/cts/+/f563004303232d068794d5126a48da0d183c9227", "f563004303232d068794d5126a48da0d183c9227")</f>
        <v>0</v>
      </c>
      <c r="D10765" t="s">
        <v>12135</v>
      </c>
      <c r="E10765" t="s">
        <v>13038</v>
      </c>
      <c r="F10765" t="s">
        <v>16220</v>
      </c>
      <c r="G10765" t="s">
        <v>18896</v>
      </c>
      <c r="H10765" t="s">
        <v>22320</v>
      </c>
      <c r="I10765" t="s">
        <v>1358</v>
      </c>
      <c r="J10765" t="s">
        <v>1358</v>
      </c>
      <c r="K10765" t="s">
        <v>1358</v>
      </c>
      <c r="L10765" t="s">
        <v>1358</v>
      </c>
    </row>
    <row r="10766" spans="1:14">
      <c r="A10766" t="s">
        <v>10484</v>
      </c>
      <c r="B10766">
        <f>HYPERLINK("https://android.googlesource.com/platform/cts/+/6a7d70f520117b679dc0e8af433e4241b47fe8b6", "6a7d70f520117b679dc0e8af433e4241b47fe8b6")</f>
        <v>0</v>
      </c>
      <c r="C10766">
        <f>HYPERLINK("https://android.googlesource.com/platform/cts/+/10c23a76924810fc364c9f0f8a9898a546d856c7", "10c23a76924810fc364c9f0f8a9898a546d856c7")</f>
        <v>0</v>
      </c>
      <c r="D10766" t="s">
        <v>12105</v>
      </c>
      <c r="E10766" t="s">
        <v>13039</v>
      </c>
      <c r="F10766" t="s">
        <v>15184</v>
      </c>
      <c r="G10766" t="s">
        <v>17886</v>
      </c>
      <c r="H10766" t="s">
        <v>22321</v>
      </c>
      <c r="I10766" t="s">
        <v>1358</v>
      </c>
      <c r="J10766" t="s">
        <v>1358</v>
      </c>
      <c r="K10766" t="s">
        <v>1358</v>
      </c>
      <c r="L10766" t="s">
        <v>1358</v>
      </c>
    </row>
    <row r="10767" spans="1:14">
      <c r="A10767" t="s">
        <v>10485</v>
      </c>
      <c r="B10767">
        <f>HYPERLINK("https://android.googlesource.com/platform/cts/+/5cf8f7dbe912ca3d4b88fe4e599e4268668c43c3", "5cf8f7dbe912ca3d4b88fe4e599e4268668c43c3")</f>
        <v>0</v>
      </c>
      <c r="C10767">
        <f>HYPERLINK("https://android.googlesource.com/platform/cts/+/d34c9a36230e6ae4136e8c2cdeb57842d955141d", "d34c9a36230e6ae4136e8c2cdeb57842d955141d")</f>
        <v>0</v>
      </c>
      <c r="D10767" t="s">
        <v>12121</v>
      </c>
      <c r="E10767" t="s">
        <v>13040</v>
      </c>
      <c r="F10767" t="s">
        <v>16221</v>
      </c>
      <c r="G10767" t="s">
        <v>18897</v>
      </c>
      <c r="H10767" t="s">
        <v>22322</v>
      </c>
      <c r="I10767" t="s">
        <v>1357</v>
      </c>
      <c r="J10767" t="s">
        <v>1357</v>
      </c>
      <c r="K10767" t="s">
        <v>1357</v>
      </c>
      <c r="L10767" t="s">
        <v>1357</v>
      </c>
    </row>
    <row r="10768" spans="1:14">
      <c r="A10768" t="s">
        <v>10486</v>
      </c>
      <c r="B10768">
        <f>HYPERLINK("https://android.googlesource.com/platform/cts/+/2ecc93edcf13ec84e8504e6359fd1865e6d6f312", "2ecc93edcf13ec84e8504e6359fd1865e6d6f312")</f>
        <v>0</v>
      </c>
      <c r="C10768">
        <f>HYPERLINK("https://android.googlesource.com/platform/cts/+/909228941c074db41bb99328ed815db60b5b344a", "909228941c074db41bb99328ed815db60b5b344a")</f>
        <v>0</v>
      </c>
      <c r="D10768" t="s">
        <v>12044</v>
      </c>
      <c r="E10768" t="s">
        <v>13041</v>
      </c>
      <c r="F10768" t="s">
        <v>16222</v>
      </c>
      <c r="G10768" t="s">
        <v>18898</v>
      </c>
      <c r="H10768" t="s">
        <v>22323</v>
      </c>
      <c r="I10768" t="s">
        <v>1358</v>
      </c>
      <c r="J10768" t="s">
        <v>1358</v>
      </c>
      <c r="K10768" t="s">
        <v>1358</v>
      </c>
      <c r="L10768" t="s">
        <v>1358</v>
      </c>
    </row>
    <row r="10769" spans="1:14">
      <c r="A10769" t="s">
        <v>10487</v>
      </c>
      <c r="B10769">
        <f>HYPERLINK("https://android.googlesource.com/platform/cts/+/91048540b3ac76f1ca6f2fd2b541a49b530bea05", "91048540b3ac76f1ca6f2fd2b541a49b530bea05")</f>
        <v>0</v>
      </c>
      <c r="C10769">
        <f>HYPERLINK("https://android.googlesource.com/platform/cts/+/76ccc07da0da845affc45b5569837aba65cae8df", "76ccc07da0da845affc45b5569837aba65cae8df")</f>
        <v>0</v>
      </c>
      <c r="D10769" t="s">
        <v>12110</v>
      </c>
      <c r="E10769" t="s">
        <v>13042</v>
      </c>
      <c r="F10769" t="s">
        <v>14548</v>
      </c>
      <c r="G10769" t="s">
        <v>17393</v>
      </c>
      <c r="H10769" t="s">
        <v>8753</v>
      </c>
      <c r="I10769" t="s">
        <v>1357</v>
      </c>
      <c r="J10769" t="s">
        <v>1357</v>
      </c>
      <c r="K10769" t="s">
        <v>1357</v>
      </c>
      <c r="L10769" t="s">
        <v>1357</v>
      </c>
      <c r="M10769" t="s">
        <v>1360</v>
      </c>
      <c r="N10769" t="s">
        <v>1360</v>
      </c>
    </row>
    <row r="10770" spans="1:14">
      <c r="A10770" t="s">
        <v>10488</v>
      </c>
      <c r="B10770">
        <f>HYPERLINK("https://android.googlesource.com/platform/cts/+/3e171ee627440299c8b1f7a544e00ceefc3330be", "3e171ee627440299c8b1f7a544e00ceefc3330be")</f>
        <v>0</v>
      </c>
      <c r="C10770">
        <f>HYPERLINK("https://android.googlesource.com/platform/cts/+/18781f81bd0eed56e97abb7c49bed1caf1278720", "18781f81bd0eed56e97abb7c49bed1caf1278720")</f>
        <v>0</v>
      </c>
      <c r="D10770" t="s">
        <v>12095</v>
      </c>
      <c r="E10770" t="s">
        <v>13043</v>
      </c>
      <c r="F10770" t="s">
        <v>16223</v>
      </c>
      <c r="G10770" t="s">
        <v>18899</v>
      </c>
      <c r="H10770" t="s">
        <v>22324</v>
      </c>
      <c r="I10770" t="s">
        <v>1357</v>
      </c>
      <c r="J10770" t="s">
        <v>1357</v>
      </c>
      <c r="K10770" t="s">
        <v>1357</v>
      </c>
      <c r="L10770" t="s">
        <v>1357</v>
      </c>
    </row>
    <row r="10771" spans="1:14">
      <c r="A10771" t="s">
        <v>10489</v>
      </c>
      <c r="B10771">
        <f>HYPERLINK("https://android.googlesource.com/platform/cts/+/8cb17c4476640323883be925aca42adf0d721b7f", "8cb17c4476640323883be925aca42adf0d721b7f")</f>
        <v>0</v>
      </c>
      <c r="C10771">
        <f>HYPERLINK("https://android.googlesource.com/platform/cts/+/064188951c3adcd8a3e777660b74a32a4ff8f238", "064188951c3adcd8a3e777660b74a32a4ff8f238")</f>
        <v>0</v>
      </c>
      <c r="D10771" t="s">
        <v>12110</v>
      </c>
      <c r="E10771" t="s">
        <v>13044</v>
      </c>
      <c r="F10771" t="s">
        <v>14477</v>
      </c>
      <c r="G10771" t="s">
        <v>17324</v>
      </c>
      <c r="H10771" t="s">
        <v>8753</v>
      </c>
      <c r="I10771" t="s">
        <v>1357</v>
      </c>
      <c r="J10771" t="s">
        <v>1357</v>
      </c>
      <c r="K10771" t="s">
        <v>1357</v>
      </c>
      <c r="L10771" t="s">
        <v>1357</v>
      </c>
      <c r="M10771" t="s">
        <v>1360</v>
      </c>
      <c r="N10771" t="s">
        <v>1360</v>
      </c>
    </row>
    <row r="10772" spans="1:14">
      <c r="A10772" t="s">
        <v>10490</v>
      </c>
      <c r="B10772">
        <f>HYPERLINK("https://android.googlesource.com/platform/cts/+/e493cde8b5f861930a1aaa2f93908cd5ea2d68bf", "e493cde8b5f861930a1aaa2f93908cd5ea2d68bf")</f>
        <v>0</v>
      </c>
      <c r="C10772">
        <f>HYPERLINK("https://android.googlesource.com/platform/cts/+/064188951c3adcd8a3e777660b74a32a4ff8f238", "064188951c3adcd8a3e777660b74a32a4ff8f238")</f>
        <v>0</v>
      </c>
      <c r="D10772" t="s">
        <v>12110</v>
      </c>
      <c r="E10772" t="s">
        <v>13045</v>
      </c>
      <c r="F10772" t="s">
        <v>16224</v>
      </c>
      <c r="G10772" t="s">
        <v>18900</v>
      </c>
      <c r="H10772" t="s">
        <v>22325</v>
      </c>
      <c r="I10772" t="s">
        <v>1357</v>
      </c>
      <c r="J10772" t="s">
        <v>1357</v>
      </c>
      <c r="K10772" t="s">
        <v>1357</v>
      </c>
      <c r="L10772" t="s">
        <v>1357</v>
      </c>
      <c r="M10772" t="s">
        <v>1360</v>
      </c>
    </row>
    <row r="10773" spans="1:14">
      <c r="A10773" t="s">
        <v>10491</v>
      </c>
      <c r="B10773">
        <f>HYPERLINK("https://android.googlesource.com/platform/cts/+/38d1340b0dfd57ba0448257682f1c2eadfec08dd", "38d1340b0dfd57ba0448257682f1c2eadfec08dd")</f>
        <v>0</v>
      </c>
      <c r="C10773">
        <f>HYPERLINK("https://android.googlesource.com/platform/cts/+/0a0f260eccdcfffd07ad0bed93dd6986051c6756", "0a0f260eccdcfffd07ad0bed93dd6986051c6756")</f>
        <v>0</v>
      </c>
      <c r="D10773" t="s">
        <v>12110</v>
      </c>
      <c r="E10773" t="s">
        <v>13046</v>
      </c>
      <c r="F10773" t="s">
        <v>14548</v>
      </c>
      <c r="G10773" t="s">
        <v>17393</v>
      </c>
      <c r="H10773" t="s">
        <v>795</v>
      </c>
      <c r="I10773" t="s">
        <v>1357</v>
      </c>
      <c r="J10773" t="s">
        <v>1357</v>
      </c>
      <c r="K10773" t="s">
        <v>1357</v>
      </c>
      <c r="L10773" t="s">
        <v>1357</v>
      </c>
      <c r="M10773" t="s">
        <v>1360</v>
      </c>
    </row>
    <row r="10774" spans="1:14">
      <c r="H10774" t="s">
        <v>19931</v>
      </c>
      <c r="I10774" t="s">
        <v>1357</v>
      </c>
      <c r="J10774" t="s">
        <v>1357</v>
      </c>
      <c r="K10774" t="s">
        <v>1357</v>
      </c>
      <c r="L10774" t="s">
        <v>1357</v>
      </c>
    </row>
    <row r="10775" spans="1:14">
      <c r="H10775" t="s">
        <v>22326</v>
      </c>
      <c r="I10775" t="s">
        <v>1357</v>
      </c>
      <c r="J10775" t="s">
        <v>1357</v>
      </c>
      <c r="K10775" t="s">
        <v>1357</v>
      </c>
      <c r="L10775" t="s">
        <v>1357</v>
      </c>
      <c r="M10775" t="s">
        <v>1360</v>
      </c>
    </row>
    <row r="10776" spans="1:14">
      <c r="A10776" t="s">
        <v>10492</v>
      </c>
      <c r="B10776">
        <f>HYPERLINK("https://android.googlesource.com/platform/cts/+/62277f51d453e7dd38828d01ff7146055296418e", "62277f51d453e7dd38828d01ff7146055296418e")</f>
        <v>0</v>
      </c>
      <c r="C10776">
        <f>HYPERLINK("https://android.googlesource.com/platform/cts/+/741a685f14117f040c5afad35014f630e926ff40", "741a685f14117f040c5afad35014f630e926ff40")</f>
        <v>0</v>
      </c>
      <c r="D10776" t="s">
        <v>12110</v>
      </c>
      <c r="E10776" t="s">
        <v>13047</v>
      </c>
      <c r="F10776" t="s">
        <v>16225</v>
      </c>
      <c r="G10776" t="s">
        <v>18901</v>
      </c>
      <c r="H10776" t="s">
        <v>22327</v>
      </c>
      <c r="I10776" t="s">
        <v>1357</v>
      </c>
      <c r="J10776" t="s">
        <v>1357</v>
      </c>
      <c r="K10776" t="s">
        <v>1357</v>
      </c>
      <c r="L10776" t="s">
        <v>1357</v>
      </c>
    </row>
    <row r="10777" spans="1:14">
      <c r="H10777" t="s">
        <v>19960</v>
      </c>
      <c r="I10777" t="s">
        <v>1357</v>
      </c>
      <c r="J10777" t="s">
        <v>1357</v>
      </c>
      <c r="K10777" t="s">
        <v>1357</v>
      </c>
      <c r="L10777" t="s">
        <v>1357</v>
      </c>
      <c r="M10777" t="s">
        <v>1360</v>
      </c>
    </row>
    <row r="10778" spans="1:14">
      <c r="F10778" t="s">
        <v>16226</v>
      </c>
      <c r="G10778" t="s">
        <v>18902</v>
      </c>
      <c r="H10778" t="s">
        <v>19960</v>
      </c>
      <c r="I10778" t="s">
        <v>1357</v>
      </c>
      <c r="J10778" t="s">
        <v>1357</v>
      </c>
      <c r="K10778" t="s">
        <v>1357</v>
      </c>
      <c r="L10778" t="s">
        <v>1357</v>
      </c>
      <c r="M10778" t="s">
        <v>1360</v>
      </c>
    </row>
    <row r="10779" spans="1:14">
      <c r="H10779" t="s">
        <v>22140</v>
      </c>
      <c r="I10779" t="s">
        <v>1357</v>
      </c>
      <c r="J10779" t="s">
        <v>1357</v>
      </c>
      <c r="K10779" t="s">
        <v>1357</v>
      </c>
      <c r="L10779" t="s">
        <v>1357</v>
      </c>
      <c r="M10779" t="s">
        <v>1360</v>
      </c>
    </row>
    <row r="10780" spans="1:14">
      <c r="F10780" t="s">
        <v>16227</v>
      </c>
      <c r="G10780" t="s">
        <v>18903</v>
      </c>
      <c r="H10780" t="s">
        <v>22328</v>
      </c>
      <c r="I10780" t="s">
        <v>1358</v>
      </c>
      <c r="J10780" t="s">
        <v>1358</v>
      </c>
      <c r="K10780" t="s">
        <v>1358</v>
      </c>
      <c r="L10780" t="s">
        <v>1358</v>
      </c>
    </row>
    <row r="10781" spans="1:14">
      <c r="H10781" t="s">
        <v>22140</v>
      </c>
      <c r="I10781" t="s">
        <v>1357</v>
      </c>
      <c r="J10781" t="s">
        <v>1357</v>
      </c>
      <c r="K10781" t="s">
        <v>1357</v>
      </c>
      <c r="L10781" t="s">
        <v>1357</v>
      </c>
      <c r="M10781" t="s">
        <v>1360</v>
      </c>
    </row>
    <row r="10782" spans="1:14">
      <c r="F10782" t="s">
        <v>16228</v>
      </c>
      <c r="G10782" t="s">
        <v>18904</v>
      </c>
      <c r="H10782" t="s">
        <v>19960</v>
      </c>
      <c r="I10782" t="s">
        <v>1357</v>
      </c>
      <c r="J10782" t="s">
        <v>1357</v>
      </c>
      <c r="K10782" t="s">
        <v>1357</v>
      </c>
      <c r="L10782" t="s">
        <v>1357</v>
      </c>
      <c r="M10782" t="s">
        <v>1360</v>
      </c>
    </row>
    <row r="10783" spans="1:14">
      <c r="H10783" t="s">
        <v>22329</v>
      </c>
      <c r="I10783" t="s">
        <v>1357</v>
      </c>
      <c r="J10783" t="s">
        <v>1357</v>
      </c>
      <c r="K10783" t="s">
        <v>1357</v>
      </c>
      <c r="L10783" t="s">
        <v>1357</v>
      </c>
      <c r="M10783" t="s">
        <v>1360</v>
      </c>
    </row>
    <row r="10784" spans="1:14">
      <c r="H10784" t="s">
        <v>22168</v>
      </c>
      <c r="I10784" t="s">
        <v>1357</v>
      </c>
      <c r="J10784" t="s">
        <v>1357</v>
      </c>
      <c r="K10784" t="s">
        <v>1357</v>
      </c>
      <c r="L10784" t="s">
        <v>1357</v>
      </c>
    </row>
    <row r="10785" spans="1:13">
      <c r="H10785" t="s">
        <v>19910</v>
      </c>
      <c r="I10785" t="s">
        <v>1357</v>
      </c>
      <c r="J10785" t="s">
        <v>1357</v>
      </c>
      <c r="K10785" t="s">
        <v>1357</v>
      </c>
      <c r="L10785" t="s">
        <v>1357</v>
      </c>
      <c r="M10785" t="s">
        <v>1360</v>
      </c>
    </row>
    <row r="10786" spans="1:13">
      <c r="H10786" t="s">
        <v>22137</v>
      </c>
      <c r="I10786" t="s">
        <v>1357</v>
      </c>
      <c r="J10786" t="s">
        <v>1357</v>
      </c>
      <c r="K10786" t="s">
        <v>1357</v>
      </c>
      <c r="L10786" t="s">
        <v>1357</v>
      </c>
      <c r="M10786" t="s">
        <v>1360</v>
      </c>
    </row>
    <row r="10787" spans="1:13">
      <c r="F10787" t="s">
        <v>16229</v>
      </c>
      <c r="G10787" t="s">
        <v>18905</v>
      </c>
      <c r="H10787" t="s">
        <v>22330</v>
      </c>
      <c r="I10787" t="s">
        <v>1358</v>
      </c>
      <c r="J10787" t="s">
        <v>1358</v>
      </c>
      <c r="K10787" t="s">
        <v>1358</v>
      </c>
      <c r="L10787" t="s">
        <v>1358</v>
      </c>
    </row>
    <row r="10788" spans="1:13">
      <c r="A10788" t="s">
        <v>10493</v>
      </c>
      <c r="B10788">
        <f>HYPERLINK("https://android.googlesource.com/platform/cts/+/09e7fe030a1d5f72a4e593017be9943c0b73651e", "09e7fe030a1d5f72a4e593017be9943c0b73651e")</f>
        <v>0</v>
      </c>
      <c r="C10788">
        <f>HYPERLINK("https://android.googlesource.com/platform/cts/+/36951ce4bd1b58915031daf98ec1921a7f01e072", "36951ce4bd1b58915031daf98ec1921a7f01e072")</f>
        <v>0</v>
      </c>
      <c r="D10788" t="s">
        <v>12100</v>
      </c>
      <c r="E10788" t="s">
        <v>13048</v>
      </c>
      <c r="F10788" t="s">
        <v>16199</v>
      </c>
      <c r="G10788" t="s">
        <v>18877</v>
      </c>
      <c r="H10788" t="s">
        <v>22180</v>
      </c>
      <c r="I10788" t="s">
        <v>1358</v>
      </c>
      <c r="J10788" t="s">
        <v>1358</v>
      </c>
      <c r="K10788" t="s">
        <v>1358</v>
      </c>
      <c r="L10788" t="s">
        <v>1358</v>
      </c>
    </row>
    <row r="10789" spans="1:13">
      <c r="A10789" t="s">
        <v>10494</v>
      </c>
      <c r="B10789">
        <f>HYPERLINK("https://android.googlesource.com/platform/cts/+/ab716dca257f9d22dd5ed844ff33f0e94eceebfd", "ab716dca257f9d22dd5ed844ff33f0e94eceebfd")</f>
        <v>0</v>
      </c>
      <c r="C10789">
        <f>HYPERLINK("https://android.googlesource.com/platform/cts/+/26dd268476311f024bdd2ff1f15464b76c0854a0", "26dd268476311f024bdd2ff1f15464b76c0854a0")</f>
        <v>0</v>
      </c>
      <c r="D10789" t="s">
        <v>12110</v>
      </c>
      <c r="E10789" t="s">
        <v>13049</v>
      </c>
      <c r="F10789" t="s">
        <v>14504</v>
      </c>
      <c r="G10789" t="s">
        <v>17350</v>
      </c>
      <c r="H10789" t="s">
        <v>22331</v>
      </c>
      <c r="I10789" t="s">
        <v>1357</v>
      </c>
      <c r="J10789" t="s">
        <v>1357</v>
      </c>
      <c r="K10789" t="s">
        <v>1357</v>
      </c>
      <c r="L10789" t="s">
        <v>1357</v>
      </c>
      <c r="M10789" t="s">
        <v>1360</v>
      </c>
    </row>
    <row r="10790" spans="1:13">
      <c r="H10790" t="s">
        <v>8753</v>
      </c>
      <c r="I10790" t="s">
        <v>1357</v>
      </c>
      <c r="J10790" t="s">
        <v>1357</v>
      </c>
      <c r="K10790" t="s">
        <v>1357</v>
      </c>
      <c r="L10790" t="s">
        <v>1357</v>
      </c>
      <c r="M10790" t="s">
        <v>1360</v>
      </c>
    </row>
    <row r="10791" spans="1:13">
      <c r="H10791" t="s">
        <v>22332</v>
      </c>
      <c r="I10791" t="s">
        <v>1357</v>
      </c>
      <c r="J10791" t="s">
        <v>1357</v>
      </c>
      <c r="K10791" t="s">
        <v>1357</v>
      </c>
      <c r="L10791" t="s">
        <v>1357</v>
      </c>
      <c r="M10791" t="s">
        <v>1360</v>
      </c>
    </row>
    <row r="10792" spans="1:13">
      <c r="H10792" t="s">
        <v>22333</v>
      </c>
      <c r="I10792" t="s">
        <v>1357</v>
      </c>
      <c r="J10792" t="s">
        <v>1357</v>
      </c>
      <c r="K10792" t="s">
        <v>1357</v>
      </c>
      <c r="L10792" t="s">
        <v>1357</v>
      </c>
      <c r="M10792" t="s">
        <v>1360</v>
      </c>
    </row>
    <row r="10793" spans="1:13">
      <c r="F10793" t="s">
        <v>14544</v>
      </c>
      <c r="G10793" t="s">
        <v>17389</v>
      </c>
      <c r="H10793" t="s">
        <v>19960</v>
      </c>
      <c r="I10793" t="s">
        <v>1357</v>
      </c>
      <c r="J10793" t="s">
        <v>1357</v>
      </c>
      <c r="K10793" t="s">
        <v>1357</v>
      </c>
      <c r="L10793" t="s">
        <v>1357</v>
      </c>
      <c r="M10793" t="s">
        <v>1360</v>
      </c>
    </row>
    <row r="10794" spans="1:13">
      <c r="A10794" t="s">
        <v>10495</v>
      </c>
      <c r="B10794">
        <f>HYPERLINK("https://android.googlesource.com/platform/cts/+/5fae2c3104aa04ab14e2273cca8398c991ff34cd", "5fae2c3104aa04ab14e2273cca8398c991ff34cd")</f>
        <v>0</v>
      </c>
      <c r="C10794">
        <f>HYPERLINK("https://android.googlesource.com/platform/cts/+/c5d853c1932eb4cd202824983c69f94f8691cab6", "c5d853c1932eb4cd202824983c69f94f8691cab6")</f>
        <v>0</v>
      </c>
      <c r="D10794" t="s">
        <v>12110</v>
      </c>
      <c r="E10794" t="s">
        <v>13050</v>
      </c>
      <c r="F10794" t="s">
        <v>16230</v>
      </c>
      <c r="G10794" t="s">
        <v>18906</v>
      </c>
      <c r="H10794" t="s">
        <v>22334</v>
      </c>
      <c r="I10794" t="s">
        <v>1357</v>
      </c>
      <c r="J10794" t="s">
        <v>1357</v>
      </c>
      <c r="K10794" t="s">
        <v>1357</v>
      </c>
      <c r="L10794" t="s">
        <v>1357</v>
      </c>
      <c r="M10794" t="s">
        <v>1360</v>
      </c>
    </row>
    <row r="10795" spans="1:13">
      <c r="H10795" t="s">
        <v>22335</v>
      </c>
      <c r="I10795" t="s">
        <v>1357</v>
      </c>
      <c r="J10795" t="s">
        <v>1357</v>
      </c>
      <c r="K10795" t="s">
        <v>1357</v>
      </c>
      <c r="L10795" t="s">
        <v>1357</v>
      </c>
      <c r="M10795" t="s">
        <v>1360</v>
      </c>
    </row>
    <row r="10796" spans="1:13">
      <c r="F10796" t="s">
        <v>16231</v>
      </c>
      <c r="G10796" t="s">
        <v>18907</v>
      </c>
      <c r="H10796" t="s">
        <v>22336</v>
      </c>
      <c r="I10796" t="s">
        <v>1358</v>
      </c>
      <c r="J10796" t="s">
        <v>1358</v>
      </c>
      <c r="K10796" t="s">
        <v>1358</v>
      </c>
      <c r="L10796" t="s">
        <v>1358</v>
      </c>
    </row>
    <row r="10797" spans="1:13">
      <c r="F10797" t="s">
        <v>16232</v>
      </c>
      <c r="G10797" t="s">
        <v>18908</v>
      </c>
      <c r="H10797" t="s">
        <v>22337</v>
      </c>
      <c r="I10797" t="s">
        <v>1357</v>
      </c>
      <c r="J10797" t="s">
        <v>1357</v>
      </c>
      <c r="K10797" t="s">
        <v>1357</v>
      </c>
      <c r="L10797" t="s">
        <v>1357</v>
      </c>
      <c r="M10797" t="s">
        <v>1360</v>
      </c>
    </row>
    <row r="10798" spans="1:13">
      <c r="H10798" t="s">
        <v>22140</v>
      </c>
      <c r="I10798" t="s">
        <v>1357</v>
      </c>
      <c r="J10798" t="s">
        <v>1357</v>
      </c>
      <c r="K10798" t="s">
        <v>1357</v>
      </c>
      <c r="L10798" t="s">
        <v>1357</v>
      </c>
      <c r="M10798" t="s">
        <v>1360</v>
      </c>
    </row>
    <row r="10799" spans="1:13">
      <c r="H10799" t="s">
        <v>19960</v>
      </c>
      <c r="I10799" t="s">
        <v>1357</v>
      </c>
      <c r="J10799" t="s">
        <v>1357</v>
      </c>
      <c r="K10799" t="s">
        <v>1357</v>
      </c>
      <c r="L10799" t="s">
        <v>1357</v>
      </c>
      <c r="M10799" t="s">
        <v>1360</v>
      </c>
    </row>
    <row r="10800" spans="1:13">
      <c r="H10800" t="s">
        <v>22329</v>
      </c>
      <c r="I10800" t="s">
        <v>1357</v>
      </c>
      <c r="J10800" t="s">
        <v>1357</v>
      </c>
      <c r="K10800" t="s">
        <v>1357</v>
      </c>
      <c r="L10800" t="s">
        <v>1357</v>
      </c>
      <c r="M10800" t="s">
        <v>1360</v>
      </c>
    </row>
    <row r="10801" spans="1:14">
      <c r="A10801" t="s">
        <v>10496</v>
      </c>
      <c r="B10801">
        <f>HYPERLINK("https://android.googlesource.com/platform/cts/+/499c3d43f20d3ea1044c7bfc992df9833bb375d8", "499c3d43f20d3ea1044c7bfc992df9833bb375d8")</f>
        <v>0</v>
      </c>
      <c r="C10801">
        <f>HYPERLINK("https://android.googlesource.com/platform/cts/+/6c7f090fea84d2d3ec33bd45c6f9c11e0a70f07a", "6c7f090fea84d2d3ec33bd45c6f9c11e0a70f07a")</f>
        <v>0</v>
      </c>
      <c r="D10801" t="s">
        <v>12110</v>
      </c>
      <c r="E10801" t="s">
        <v>13051</v>
      </c>
      <c r="F10801" t="s">
        <v>16233</v>
      </c>
      <c r="G10801" t="s">
        <v>18909</v>
      </c>
      <c r="H10801" t="s">
        <v>22140</v>
      </c>
      <c r="I10801" t="s">
        <v>1357</v>
      </c>
      <c r="J10801" t="s">
        <v>1357</v>
      </c>
      <c r="K10801" t="s">
        <v>1357</v>
      </c>
      <c r="L10801" t="s">
        <v>1357</v>
      </c>
      <c r="M10801" t="s">
        <v>1360</v>
      </c>
      <c r="N10801" t="s">
        <v>1360</v>
      </c>
    </row>
    <row r="10802" spans="1:14">
      <c r="H10802" t="s">
        <v>19960</v>
      </c>
      <c r="I10802" t="s">
        <v>1357</v>
      </c>
      <c r="J10802" t="s">
        <v>1357</v>
      </c>
      <c r="K10802" t="s">
        <v>1357</v>
      </c>
      <c r="L10802" t="s">
        <v>1357</v>
      </c>
    </row>
    <row r="10803" spans="1:14">
      <c r="H10803" t="s">
        <v>22338</v>
      </c>
      <c r="I10803" t="s">
        <v>1357</v>
      </c>
      <c r="J10803" t="s">
        <v>1357</v>
      </c>
      <c r="K10803" t="s">
        <v>1357</v>
      </c>
      <c r="L10803" t="s">
        <v>1357</v>
      </c>
      <c r="M10803" t="s">
        <v>1360</v>
      </c>
      <c r="N10803" t="s">
        <v>1360</v>
      </c>
    </row>
    <row r="10804" spans="1:14">
      <c r="H10804" t="s">
        <v>22339</v>
      </c>
      <c r="I10804" t="s">
        <v>1357</v>
      </c>
      <c r="J10804" t="s">
        <v>1357</v>
      </c>
      <c r="K10804" t="s">
        <v>1357</v>
      </c>
      <c r="L10804" t="s">
        <v>1357</v>
      </c>
      <c r="M10804" t="s">
        <v>1360</v>
      </c>
      <c r="N10804" t="s">
        <v>1360</v>
      </c>
    </row>
    <row r="10805" spans="1:14">
      <c r="H10805" t="s">
        <v>22329</v>
      </c>
      <c r="I10805" t="s">
        <v>1357</v>
      </c>
      <c r="J10805" t="s">
        <v>1357</v>
      </c>
      <c r="K10805" t="s">
        <v>1357</v>
      </c>
      <c r="L10805" t="s">
        <v>1357</v>
      </c>
      <c r="M10805" t="s">
        <v>1360</v>
      </c>
      <c r="N10805" t="s">
        <v>1360</v>
      </c>
    </row>
    <row r="10806" spans="1:14">
      <c r="H10806" t="s">
        <v>20084</v>
      </c>
      <c r="I10806" t="s">
        <v>1357</v>
      </c>
      <c r="J10806" t="s">
        <v>1357</v>
      </c>
      <c r="K10806" t="s">
        <v>1357</v>
      </c>
      <c r="L10806" t="s">
        <v>1357</v>
      </c>
      <c r="M10806" t="s">
        <v>1360</v>
      </c>
      <c r="N10806" t="s">
        <v>1360</v>
      </c>
    </row>
    <row r="10807" spans="1:14">
      <c r="H10807" t="s">
        <v>22340</v>
      </c>
      <c r="I10807" t="s">
        <v>1357</v>
      </c>
      <c r="J10807" t="s">
        <v>1357</v>
      </c>
      <c r="K10807" t="s">
        <v>1357</v>
      </c>
      <c r="L10807" t="s">
        <v>1357</v>
      </c>
      <c r="M10807" t="s">
        <v>1360</v>
      </c>
      <c r="N10807" t="s">
        <v>1360</v>
      </c>
    </row>
    <row r="10808" spans="1:14">
      <c r="H10808" t="s">
        <v>20083</v>
      </c>
      <c r="I10808" t="s">
        <v>1357</v>
      </c>
      <c r="J10808" t="s">
        <v>1357</v>
      </c>
      <c r="K10808" t="s">
        <v>1357</v>
      </c>
      <c r="L10808" t="s">
        <v>1357</v>
      </c>
      <c r="M10808" t="s">
        <v>1360</v>
      </c>
      <c r="N10808" t="s">
        <v>1360</v>
      </c>
    </row>
    <row r="10809" spans="1:14">
      <c r="A10809" t="s">
        <v>10497</v>
      </c>
      <c r="B10809">
        <f>HYPERLINK("https://android.googlesource.com/platform/cts/+/070bd2c60ecb566ee1ff1097bd22c743ff25f39c", "070bd2c60ecb566ee1ff1097bd22c743ff25f39c")</f>
        <v>0</v>
      </c>
      <c r="C10809">
        <f>HYPERLINK("https://android.googlesource.com/platform/cts/+/8997149778741c16c35e386a62379dfb86ec5c19", "8997149778741c16c35e386a62379dfb86ec5c19")</f>
        <v>0</v>
      </c>
      <c r="D10809" t="s">
        <v>12110</v>
      </c>
      <c r="E10809" t="s">
        <v>13052</v>
      </c>
      <c r="F10809" t="s">
        <v>14550</v>
      </c>
      <c r="G10809" t="s">
        <v>17395</v>
      </c>
      <c r="H10809" t="s">
        <v>22168</v>
      </c>
      <c r="I10809" t="s">
        <v>1357</v>
      </c>
      <c r="J10809" t="s">
        <v>1357</v>
      </c>
      <c r="K10809" t="s">
        <v>1357</v>
      </c>
      <c r="L10809" t="s">
        <v>1357</v>
      </c>
      <c r="M10809" t="s">
        <v>1360</v>
      </c>
    </row>
    <row r="10810" spans="1:14">
      <c r="H10810" t="s">
        <v>19960</v>
      </c>
      <c r="I10810" t="s">
        <v>1357</v>
      </c>
      <c r="J10810" t="s">
        <v>1357</v>
      </c>
      <c r="K10810" t="s">
        <v>1357</v>
      </c>
      <c r="L10810" t="s">
        <v>1357</v>
      </c>
      <c r="M10810" t="s">
        <v>1360</v>
      </c>
    </row>
    <row r="10811" spans="1:14">
      <c r="H10811" t="s">
        <v>22341</v>
      </c>
      <c r="I10811" t="s">
        <v>1357</v>
      </c>
      <c r="J10811" t="s">
        <v>1357</v>
      </c>
      <c r="K10811" t="s">
        <v>1357</v>
      </c>
      <c r="L10811" t="s">
        <v>1357</v>
      </c>
      <c r="M10811" t="s">
        <v>1360</v>
      </c>
    </row>
    <row r="10812" spans="1:14">
      <c r="H10812" t="s">
        <v>22337</v>
      </c>
      <c r="I10812" t="s">
        <v>1357</v>
      </c>
      <c r="J10812" t="s">
        <v>1357</v>
      </c>
      <c r="K10812" t="s">
        <v>1357</v>
      </c>
      <c r="L10812" t="s">
        <v>1357</v>
      </c>
      <c r="M10812" t="s">
        <v>1360</v>
      </c>
    </row>
    <row r="10813" spans="1:14">
      <c r="A10813" t="s">
        <v>10498</v>
      </c>
      <c r="B10813">
        <f>HYPERLINK("https://android.googlesource.com/platform/cts/+/7c00e3017424ff1c3eeb22236fea3607ee8a3843", "7c00e3017424ff1c3eeb22236fea3607ee8a3843")</f>
        <v>0</v>
      </c>
      <c r="C10813">
        <f>HYPERLINK("https://android.googlesource.com/platform/cts/+/8997149778741c16c35e386a62379dfb86ec5c19", "8997149778741c16c35e386a62379dfb86ec5c19")</f>
        <v>0</v>
      </c>
      <c r="D10813" t="s">
        <v>12110</v>
      </c>
      <c r="E10813" t="s">
        <v>13053</v>
      </c>
      <c r="F10813" t="s">
        <v>16234</v>
      </c>
      <c r="G10813" t="s">
        <v>18910</v>
      </c>
      <c r="H10813" t="s">
        <v>19960</v>
      </c>
      <c r="I10813" t="s">
        <v>1357</v>
      </c>
      <c r="J10813" t="s">
        <v>1357</v>
      </c>
      <c r="K10813" t="s">
        <v>1357</v>
      </c>
      <c r="L10813" t="s">
        <v>1357</v>
      </c>
      <c r="M10813" t="s">
        <v>1360</v>
      </c>
    </row>
    <row r="10814" spans="1:14">
      <c r="H10814" t="s">
        <v>22140</v>
      </c>
      <c r="I10814" t="s">
        <v>1357</v>
      </c>
      <c r="J10814" t="s">
        <v>1357</v>
      </c>
      <c r="K10814" t="s">
        <v>1357</v>
      </c>
      <c r="L10814" t="s">
        <v>1357</v>
      </c>
      <c r="M10814" t="s">
        <v>1360</v>
      </c>
    </row>
    <row r="10815" spans="1:14">
      <c r="F10815" t="s">
        <v>16235</v>
      </c>
      <c r="G10815" t="s">
        <v>18911</v>
      </c>
      <c r="H10815" t="s">
        <v>22140</v>
      </c>
      <c r="I10815" t="s">
        <v>1357</v>
      </c>
      <c r="J10815" t="s">
        <v>1357</v>
      </c>
      <c r="K10815" t="s">
        <v>1357</v>
      </c>
      <c r="L10815" t="s">
        <v>1357</v>
      </c>
      <c r="M10815" t="s">
        <v>1360</v>
      </c>
    </row>
    <row r="10816" spans="1:14">
      <c r="H10816" t="s">
        <v>19960</v>
      </c>
      <c r="I10816" t="s">
        <v>1357</v>
      </c>
      <c r="J10816" t="s">
        <v>1357</v>
      </c>
      <c r="K10816" t="s">
        <v>1357</v>
      </c>
      <c r="L10816" t="s">
        <v>1357</v>
      </c>
      <c r="M10816" t="s">
        <v>1360</v>
      </c>
    </row>
    <row r="10817" spans="1:13">
      <c r="H10817" t="s">
        <v>22338</v>
      </c>
      <c r="I10817" t="s">
        <v>1357</v>
      </c>
      <c r="J10817" t="s">
        <v>1357</v>
      </c>
      <c r="K10817" t="s">
        <v>1357</v>
      </c>
      <c r="L10817" t="s">
        <v>1357</v>
      </c>
      <c r="M10817" t="s">
        <v>1360</v>
      </c>
    </row>
    <row r="10818" spans="1:13">
      <c r="H10818" t="s">
        <v>22339</v>
      </c>
      <c r="I10818" t="s">
        <v>1357</v>
      </c>
      <c r="J10818" t="s">
        <v>1357</v>
      </c>
      <c r="K10818" t="s">
        <v>1357</v>
      </c>
      <c r="L10818" t="s">
        <v>1357</v>
      </c>
      <c r="M10818" t="s">
        <v>1360</v>
      </c>
    </row>
    <row r="10819" spans="1:13">
      <c r="H10819" t="s">
        <v>22329</v>
      </c>
      <c r="I10819" t="s">
        <v>1357</v>
      </c>
      <c r="J10819" t="s">
        <v>1357</v>
      </c>
      <c r="K10819" t="s">
        <v>1357</v>
      </c>
      <c r="L10819" t="s">
        <v>1357</v>
      </c>
      <c r="M10819" t="s">
        <v>1360</v>
      </c>
    </row>
    <row r="10820" spans="1:13">
      <c r="H10820" t="s">
        <v>20084</v>
      </c>
      <c r="I10820" t="s">
        <v>1357</v>
      </c>
      <c r="J10820" t="s">
        <v>1357</v>
      </c>
      <c r="K10820" t="s">
        <v>1357</v>
      </c>
      <c r="L10820" t="s">
        <v>1357</v>
      </c>
      <c r="M10820" t="s">
        <v>1360</v>
      </c>
    </row>
    <row r="10821" spans="1:13">
      <c r="H10821" t="s">
        <v>22340</v>
      </c>
      <c r="I10821" t="s">
        <v>1357</v>
      </c>
      <c r="J10821" t="s">
        <v>1357</v>
      </c>
      <c r="K10821" t="s">
        <v>1357</v>
      </c>
      <c r="L10821" t="s">
        <v>1357</v>
      </c>
      <c r="M10821" t="s">
        <v>1360</v>
      </c>
    </row>
    <row r="10822" spans="1:13">
      <c r="H10822" t="s">
        <v>20083</v>
      </c>
      <c r="I10822" t="s">
        <v>1357</v>
      </c>
      <c r="J10822" t="s">
        <v>1357</v>
      </c>
      <c r="K10822" t="s">
        <v>1357</v>
      </c>
      <c r="L10822" t="s">
        <v>1357</v>
      </c>
      <c r="M10822" t="s">
        <v>1360</v>
      </c>
    </row>
    <row r="10823" spans="1:13">
      <c r="A10823" t="s">
        <v>10499</v>
      </c>
      <c r="B10823">
        <f>HYPERLINK("https://android.googlesource.com/platform/cts/+/748ef71cd450ae0e4bdefa5e311c49fd7801589b", "748ef71cd450ae0e4bdefa5e311c49fd7801589b")</f>
        <v>0</v>
      </c>
      <c r="C10823">
        <f>HYPERLINK("https://android.googlesource.com/platform/cts/+/6229ca67116093f61b98099d1f3b28718d05b62c", "6229ca67116093f61b98099d1f3b28718d05b62c")</f>
        <v>0</v>
      </c>
      <c r="D10823" t="s">
        <v>12136</v>
      </c>
      <c r="E10823" t="s">
        <v>13054</v>
      </c>
      <c r="F10823" t="s">
        <v>16236</v>
      </c>
      <c r="G10823" t="s">
        <v>18912</v>
      </c>
      <c r="H10823" t="s">
        <v>22342</v>
      </c>
      <c r="I10823" t="s">
        <v>1357</v>
      </c>
      <c r="J10823" t="s">
        <v>1357</v>
      </c>
      <c r="K10823" t="s">
        <v>1357</v>
      </c>
      <c r="L10823" t="s">
        <v>1357</v>
      </c>
    </row>
    <row r="10824" spans="1:13">
      <c r="A10824" t="s">
        <v>10500</v>
      </c>
      <c r="B10824">
        <f>HYPERLINK("https://android.googlesource.com/platform/cts/+/068461843e9fef9d9559f4ebdc59d5ca6edaec3c", "068461843e9fef9d9559f4ebdc59d5ca6edaec3c")</f>
        <v>0</v>
      </c>
      <c r="C10824">
        <f>HYPERLINK("https://android.googlesource.com/platform/cts/+/8997149778741c16c35e386a62379dfb86ec5c19", "8997149778741c16c35e386a62379dfb86ec5c19")</f>
        <v>0</v>
      </c>
      <c r="D10824" t="s">
        <v>12110</v>
      </c>
      <c r="E10824" t="s">
        <v>13055</v>
      </c>
      <c r="F10824" t="s">
        <v>16237</v>
      </c>
      <c r="G10824" t="s">
        <v>18913</v>
      </c>
      <c r="H10824" t="s">
        <v>22140</v>
      </c>
      <c r="I10824" t="s">
        <v>1357</v>
      </c>
      <c r="J10824" t="s">
        <v>1357</v>
      </c>
      <c r="K10824" t="s">
        <v>1357</v>
      </c>
      <c r="L10824" t="s">
        <v>1357</v>
      </c>
      <c r="M10824" t="s">
        <v>1360</v>
      </c>
    </row>
    <row r="10825" spans="1:13">
      <c r="H10825" t="s">
        <v>19960</v>
      </c>
      <c r="I10825" t="s">
        <v>1357</v>
      </c>
      <c r="J10825" t="s">
        <v>1357</v>
      </c>
      <c r="K10825" t="s">
        <v>1357</v>
      </c>
      <c r="L10825" t="s">
        <v>1357</v>
      </c>
      <c r="M10825" t="s">
        <v>1360</v>
      </c>
    </row>
    <row r="10826" spans="1:13">
      <c r="H10826" t="s">
        <v>22334</v>
      </c>
      <c r="I10826" t="s">
        <v>1357</v>
      </c>
      <c r="J10826" t="s">
        <v>1357</v>
      </c>
      <c r="K10826" t="s">
        <v>1357</v>
      </c>
      <c r="L10826" t="s">
        <v>1357</v>
      </c>
      <c r="M10826" t="s">
        <v>1360</v>
      </c>
    </row>
    <row r="10827" spans="1:13">
      <c r="H10827" t="s">
        <v>19959</v>
      </c>
      <c r="I10827" t="s">
        <v>1357</v>
      </c>
      <c r="J10827" t="s">
        <v>1357</v>
      </c>
      <c r="K10827" t="s">
        <v>1357</v>
      </c>
      <c r="L10827" t="s">
        <v>1357</v>
      </c>
      <c r="M10827" t="s">
        <v>1360</v>
      </c>
    </row>
    <row r="10828" spans="1:13">
      <c r="H10828" t="s">
        <v>22340</v>
      </c>
      <c r="I10828" t="s">
        <v>1357</v>
      </c>
      <c r="J10828" t="s">
        <v>1357</v>
      </c>
      <c r="K10828" t="s">
        <v>1357</v>
      </c>
      <c r="L10828" t="s">
        <v>1357</v>
      </c>
      <c r="M10828" t="s">
        <v>1360</v>
      </c>
    </row>
    <row r="10829" spans="1:13">
      <c r="H10829" t="s">
        <v>20083</v>
      </c>
      <c r="I10829" t="s">
        <v>1357</v>
      </c>
      <c r="J10829" t="s">
        <v>1357</v>
      </c>
      <c r="K10829" t="s">
        <v>1357</v>
      </c>
      <c r="L10829" t="s">
        <v>1357</v>
      </c>
      <c r="M10829" t="s">
        <v>1360</v>
      </c>
    </row>
    <row r="10830" spans="1:13">
      <c r="F10830" t="s">
        <v>16238</v>
      </c>
      <c r="G10830" t="s">
        <v>18914</v>
      </c>
      <c r="H10830" t="s">
        <v>22343</v>
      </c>
      <c r="I10830" t="s">
        <v>1357</v>
      </c>
      <c r="J10830" t="s">
        <v>1357</v>
      </c>
      <c r="K10830" t="s">
        <v>1357</v>
      </c>
      <c r="L10830" t="s">
        <v>1357</v>
      </c>
      <c r="M10830" t="s">
        <v>1360</v>
      </c>
    </row>
    <row r="10831" spans="1:13">
      <c r="H10831" t="s">
        <v>20084</v>
      </c>
      <c r="I10831" t="s">
        <v>1357</v>
      </c>
      <c r="J10831" t="s">
        <v>1357</v>
      </c>
      <c r="K10831" t="s">
        <v>1357</v>
      </c>
      <c r="L10831" t="s">
        <v>1357</v>
      </c>
      <c r="M10831" t="s">
        <v>1360</v>
      </c>
    </row>
    <row r="10832" spans="1:13">
      <c r="H10832" t="s">
        <v>22344</v>
      </c>
      <c r="I10832" t="s">
        <v>1357</v>
      </c>
      <c r="J10832" t="s">
        <v>1357</v>
      </c>
      <c r="K10832" t="s">
        <v>1357</v>
      </c>
      <c r="L10832" t="s">
        <v>1357</v>
      </c>
      <c r="M10832" t="s">
        <v>1360</v>
      </c>
    </row>
    <row r="10833" spans="1:13">
      <c r="H10833" t="s">
        <v>22345</v>
      </c>
      <c r="I10833" t="s">
        <v>1357</v>
      </c>
      <c r="J10833" t="s">
        <v>1357</v>
      </c>
      <c r="K10833" t="s">
        <v>1357</v>
      </c>
      <c r="L10833" t="s">
        <v>1357</v>
      </c>
      <c r="M10833" t="s">
        <v>1360</v>
      </c>
    </row>
    <row r="10834" spans="1:13">
      <c r="A10834" t="s">
        <v>10501</v>
      </c>
      <c r="B10834">
        <f>HYPERLINK("https://android.googlesource.com/platform/cts/+/a75fb03266b58562af9ed30eff91f2a67d177adc", "a75fb03266b58562af9ed30eff91f2a67d177adc")</f>
        <v>0</v>
      </c>
      <c r="C10834">
        <f>HYPERLINK("https://android.googlesource.com/platform/cts/+/1debc5ae7441f649b5b0f89bfc7353b75e285455", "1debc5ae7441f649b5b0f89bfc7353b75e285455")</f>
        <v>0</v>
      </c>
      <c r="D10834" t="s">
        <v>12110</v>
      </c>
      <c r="E10834" t="s">
        <v>13056</v>
      </c>
      <c r="F10834" t="s">
        <v>16239</v>
      </c>
      <c r="G10834" t="s">
        <v>18915</v>
      </c>
      <c r="H10834" t="s">
        <v>19959</v>
      </c>
      <c r="I10834" t="s">
        <v>1357</v>
      </c>
      <c r="J10834" t="s">
        <v>1357</v>
      </c>
      <c r="K10834" t="s">
        <v>1357</v>
      </c>
      <c r="L10834" t="s">
        <v>1357</v>
      </c>
      <c r="M10834" t="s">
        <v>1360</v>
      </c>
    </row>
    <row r="10835" spans="1:13">
      <c r="H10835" t="s">
        <v>22346</v>
      </c>
      <c r="I10835" t="s">
        <v>1357</v>
      </c>
      <c r="J10835" t="s">
        <v>1357</v>
      </c>
      <c r="K10835" t="s">
        <v>1357</v>
      </c>
      <c r="L10835" t="s">
        <v>1357</v>
      </c>
      <c r="M10835" t="s">
        <v>1360</v>
      </c>
    </row>
    <row r="10836" spans="1:13">
      <c r="H10836" t="s">
        <v>22329</v>
      </c>
      <c r="I10836" t="s">
        <v>1357</v>
      </c>
      <c r="J10836" t="s">
        <v>1357</v>
      </c>
      <c r="K10836" t="s">
        <v>1357</v>
      </c>
      <c r="L10836" t="s">
        <v>1357</v>
      </c>
      <c r="M10836" t="s">
        <v>1360</v>
      </c>
    </row>
    <row r="10837" spans="1:13">
      <c r="F10837" t="s">
        <v>15184</v>
      </c>
      <c r="G10837" t="s">
        <v>17886</v>
      </c>
      <c r="H10837" t="s">
        <v>22347</v>
      </c>
      <c r="I10837" t="s">
        <v>1357</v>
      </c>
      <c r="J10837" t="s">
        <v>1357</v>
      </c>
      <c r="K10837" t="s">
        <v>1357</v>
      </c>
      <c r="L10837" t="s">
        <v>1357</v>
      </c>
      <c r="M10837" t="s">
        <v>1360</v>
      </c>
    </row>
    <row r="10838" spans="1:13">
      <c r="H10838" t="s">
        <v>19962</v>
      </c>
      <c r="I10838" t="s">
        <v>1357</v>
      </c>
      <c r="J10838" t="s">
        <v>1357</v>
      </c>
      <c r="K10838" t="s">
        <v>1357</v>
      </c>
      <c r="L10838" t="s">
        <v>1357</v>
      </c>
      <c r="M10838" t="s">
        <v>1360</v>
      </c>
    </row>
    <row r="10839" spans="1:13">
      <c r="H10839" t="s">
        <v>20083</v>
      </c>
      <c r="I10839" t="s">
        <v>1357</v>
      </c>
      <c r="J10839" t="s">
        <v>1357</v>
      </c>
      <c r="K10839" t="s">
        <v>1357</v>
      </c>
      <c r="L10839" t="s">
        <v>1357</v>
      </c>
      <c r="M10839" t="s">
        <v>1360</v>
      </c>
    </row>
    <row r="10840" spans="1:13">
      <c r="H10840" t="s">
        <v>20102</v>
      </c>
      <c r="I10840" t="s">
        <v>1357</v>
      </c>
      <c r="J10840" t="s">
        <v>1357</v>
      </c>
      <c r="K10840" t="s">
        <v>1357</v>
      </c>
      <c r="L10840" t="s">
        <v>1357</v>
      </c>
      <c r="M10840" t="s">
        <v>1360</v>
      </c>
    </row>
    <row r="10841" spans="1:13">
      <c r="H10841" t="s">
        <v>22348</v>
      </c>
      <c r="I10841" t="s">
        <v>1357</v>
      </c>
      <c r="J10841" t="s">
        <v>1357</v>
      </c>
      <c r="K10841" t="s">
        <v>1357</v>
      </c>
      <c r="L10841" t="s">
        <v>1357</v>
      </c>
      <c r="M10841" t="s">
        <v>1360</v>
      </c>
    </row>
    <row r="10842" spans="1:13">
      <c r="H10842" t="s">
        <v>22349</v>
      </c>
      <c r="I10842" t="s">
        <v>1357</v>
      </c>
      <c r="J10842" t="s">
        <v>1357</v>
      </c>
      <c r="K10842" t="s">
        <v>1357</v>
      </c>
      <c r="L10842" t="s">
        <v>1357</v>
      </c>
      <c r="M10842" t="s">
        <v>1360</v>
      </c>
    </row>
    <row r="10843" spans="1:13">
      <c r="H10843" t="s">
        <v>22350</v>
      </c>
      <c r="I10843" t="s">
        <v>1357</v>
      </c>
      <c r="J10843" t="s">
        <v>1357</v>
      </c>
      <c r="K10843" t="s">
        <v>1357</v>
      </c>
      <c r="L10843" t="s">
        <v>1357</v>
      </c>
      <c r="M10843" t="s">
        <v>1360</v>
      </c>
    </row>
    <row r="10844" spans="1:13">
      <c r="H10844" t="s">
        <v>22351</v>
      </c>
      <c r="I10844" t="s">
        <v>1357</v>
      </c>
      <c r="J10844" t="s">
        <v>1357</v>
      </c>
      <c r="K10844" t="s">
        <v>1357</v>
      </c>
      <c r="L10844" t="s">
        <v>1357</v>
      </c>
      <c r="M10844" t="s">
        <v>1360</v>
      </c>
    </row>
    <row r="10845" spans="1:13">
      <c r="H10845" t="s">
        <v>19910</v>
      </c>
      <c r="I10845" t="s">
        <v>1357</v>
      </c>
      <c r="J10845" t="s">
        <v>1357</v>
      </c>
      <c r="K10845" t="s">
        <v>1357</v>
      </c>
      <c r="L10845" t="s">
        <v>1357</v>
      </c>
      <c r="M10845" t="s">
        <v>1360</v>
      </c>
    </row>
    <row r="10846" spans="1:13">
      <c r="H10846" t="s">
        <v>22168</v>
      </c>
      <c r="I10846" t="s">
        <v>1357</v>
      </c>
      <c r="J10846" t="s">
        <v>1357</v>
      </c>
      <c r="K10846" t="s">
        <v>1357</v>
      </c>
      <c r="L10846" t="s">
        <v>1357</v>
      </c>
      <c r="M10846" t="s">
        <v>1360</v>
      </c>
    </row>
    <row r="10847" spans="1:13">
      <c r="H10847" t="s">
        <v>22335</v>
      </c>
      <c r="I10847" t="s">
        <v>1357</v>
      </c>
      <c r="J10847" t="s">
        <v>1357</v>
      </c>
      <c r="K10847" t="s">
        <v>1357</v>
      </c>
      <c r="L10847" t="s">
        <v>1357</v>
      </c>
      <c r="M10847" t="s">
        <v>1360</v>
      </c>
    </row>
    <row r="10848" spans="1:13">
      <c r="H10848" t="s">
        <v>19960</v>
      </c>
      <c r="I10848" t="s">
        <v>1357</v>
      </c>
      <c r="J10848" t="s">
        <v>1357</v>
      </c>
      <c r="K10848" t="s">
        <v>1357</v>
      </c>
      <c r="L10848" t="s">
        <v>1357</v>
      </c>
      <c r="M10848" t="s">
        <v>1360</v>
      </c>
    </row>
    <row r="10849" spans="1:14">
      <c r="H10849" t="s">
        <v>22352</v>
      </c>
      <c r="I10849" t="s">
        <v>1357</v>
      </c>
      <c r="J10849" t="s">
        <v>1357</v>
      </c>
      <c r="K10849" t="s">
        <v>1357</v>
      </c>
      <c r="L10849" t="s">
        <v>1357</v>
      </c>
      <c r="M10849" t="s">
        <v>1360</v>
      </c>
    </row>
    <row r="10850" spans="1:14">
      <c r="H10850" t="s">
        <v>20005</v>
      </c>
      <c r="I10850" t="s">
        <v>1357</v>
      </c>
      <c r="J10850" t="s">
        <v>1357</v>
      </c>
      <c r="K10850" t="s">
        <v>1357</v>
      </c>
      <c r="L10850" t="s">
        <v>1357</v>
      </c>
      <c r="M10850" t="s">
        <v>1360</v>
      </c>
    </row>
    <row r="10851" spans="1:14">
      <c r="H10851" t="s">
        <v>22353</v>
      </c>
      <c r="I10851" t="s">
        <v>1357</v>
      </c>
      <c r="J10851" t="s">
        <v>1357</v>
      </c>
      <c r="K10851" t="s">
        <v>1357</v>
      </c>
      <c r="L10851" t="s">
        <v>1357</v>
      </c>
      <c r="M10851" t="s">
        <v>1360</v>
      </c>
    </row>
    <row r="10852" spans="1:14">
      <c r="H10852" t="s">
        <v>8753</v>
      </c>
      <c r="I10852" t="s">
        <v>1357</v>
      </c>
      <c r="J10852" t="s">
        <v>1357</v>
      </c>
      <c r="K10852" t="s">
        <v>1357</v>
      </c>
      <c r="L10852" t="s">
        <v>1357</v>
      </c>
      <c r="M10852" t="s">
        <v>1360</v>
      </c>
    </row>
    <row r="10853" spans="1:14">
      <c r="A10853" t="s">
        <v>10502</v>
      </c>
      <c r="B10853">
        <f>HYPERLINK("https://android.googlesource.com/platform/cts/+/5129ad2e8340004b04bf5d49ceb73f4a5803531f", "5129ad2e8340004b04bf5d49ceb73f4a5803531f")</f>
        <v>0</v>
      </c>
      <c r="C10853">
        <f>HYPERLINK("https://android.googlesource.com/platform/cts/+/1debc5ae7441f649b5b0f89bfc7353b75e285455", "1debc5ae7441f649b5b0f89bfc7353b75e285455")</f>
        <v>0</v>
      </c>
      <c r="D10853" t="s">
        <v>12110</v>
      </c>
      <c r="E10853" t="s">
        <v>13057</v>
      </c>
      <c r="F10853" t="s">
        <v>16240</v>
      </c>
      <c r="G10853" t="s">
        <v>18916</v>
      </c>
      <c r="H10853" t="s">
        <v>22354</v>
      </c>
      <c r="I10853" t="s">
        <v>1358</v>
      </c>
      <c r="J10853" t="s">
        <v>1358</v>
      </c>
      <c r="K10853" t="s">
        <v>1358</v>
      </c>
      <c r="L10853" t="s">
        <v>1358</v>
      </c>
    </row>
    <row r="10854" spans="1:14">
      <c r="H10854" t="s">
        <v>22355</v>
      </c>
      <c r="I10854" t="s">
        <v>1358</v>
      </c>
      <c r="J10854" t="s">
        <v>1358</v>
      </c>
      <c r="K10854" t="s">
        <v>1358</v>
      </c>
      <c r="L10854" t="s">
        <v>1358</v>
      </c>
    </row>
    <row r="10855" spans="1:14">
      <c r="F10855" t="s">
        <v>14567</v>
      </c>
      <c r="G10855" t="s">
        <v>17411</v>
      </c>
      <c r="H10855" t="s">
        <v>22356</v>
      </c>
      <c r="I10855" t="s">
        <v>1358</v>
      </c>
      <c r="J10855" t="s">
        <v>1358</v>
      </c>
      <c r="K10855" t="s">
        <v>1358</v>
      </c>
      <c r="L10855" t="s">
        <v>1358</v>
      </c>
    </row>
    <row r="10856" spans="1:14">
      <c r="A10856" t="s">
        <v>10503</v>
      </c>
      <c r="B10856">
        <f>HYPERLINK("https://android.googlesource.com/platform/cts/+/46fe04bdbe926961c24d7a7919ba2eec2fd28f60", "46fe04bdbe926961c24d7a7919ba2eec2fd28f60")</f>
        <v>0</v>
      </c>
      <c r="C10856">
        <f>HYPERLINK("https://android.googlesource.com/platform/cts/+/816b5243faf117ef5a18ae7c923341d8a50348f6", "816b5243faf117ef5a18ae7c923341d8a50348f6")</f>
        <v>0</v>
      </c>
      <c r="D10856" t="s">
        <v>12128</v>
      </c>
      <c r="E10856" t="s">
        <v>13058</v>
      </c>
      <c r="F10856" t="s">
        <v>15180</v>
      </c>
      <c r="G10856" t="s">
        <v>17882</v>
      </c>
      <c r="H10856" t="s">
        <v>22357</v>
      </c>
      <c r="I10856" t="s">
        <v>1357</v>
      </c>
      <c r="J10856" t="s">
        <v>1357</v>
      </c>
      <c r="K10856" t="s">
        <v>1357</v>
      </c>
      <c r="L10856" t="s">
        <v>1357</v>
      </c>
    </row>
    <row r="10857" spans="1:14">
      <c r="A10857" t="s">
        <v>10504</v>
      </c>
      <c r="B10857">
        <f>HYPERLINK("https://android.googlesource.com/platform/cts/+/81cdbecce93d53fbdbc89e4f6f16721d0e9e79d3", "81cdbecce93d53fbdbc89e4f6f16721d0e9e79d3")</f>
        <v>0</v>
      </c>
      <c r="C10857">
        <f>HYPERLINK("https://android.googlesource.com/platform/cts/+/838417eb912600a0177b910449400c08288b34eb", "838417eb912600a0177b910449400c08288b34eb")</f>
        <v>0</v>
      </c>
      <c r="D10857" t="s">
        <v>12110</v>
      </c>
      <c r="E10857" t="s">
        <v>13059</v>
      </c>
      <c r="F10857" t="s">
        <v>16241</v>
      </c>
      <c r="G10857" t="s">
        <v>18917</v>
      </c>
      <c r="H10857" t="s">
        <v>20083</v>
      </c>
      <c r="I10857" t="s">
        <v>1357</v>
      </c>
      <c r="J10857" t="s">
        <v>1357</v>
      </c>
      <c r="K10857" t="s">
        <v>1357</v>
      </c>
      <c r="L10857" t="s">
        <v>1357</v>
      </c>
      <c r="M10857" t="s">
        <v>1360</v>
      </c>
      <c r="N10857" t="s">
        <v>1360</v>
      </c>
    </row>
    <row r="10858" spans="1:14">
      <c r="H10858" t="s">
        <v>22358</v>
      </c>
      <c r="I10858" t="s">
        <v>1357</v>
      </c>
      <c r="J10858" t="s">
        <v>1357</v>
      </c>
      <c r="K10858" t="s">
        <v>1357</v>
      </c>
      <c r="L10858" t="s">
        <v>1357</v>
      </c>
      <c r="M10858" t="s">
        <v>1360</v>
      </c>
      <c r="N10858" t="s">
        <v>1360</v>
      </c>
    </row>
    <row r="10859" spans="1:14">
      <c r="F10859" t="s">
        <v>16242</v>
      </c>
      <c r="G10859" t="s">
        <v>18918</v>
      </c>
      <c r="H10859" t="s">
        <v>20083</v>
      </c>
      <c r="I10859" t="s">
        <v>1357</v>
      </c>
      <c r="J10859" t="s">
        <v>1357</v>
      </c>
      <c r="K10859" t="s">
        <v>1357</v>
      </c>
      <c r="L10859" t="s">
        <v>1357</v>
      </c>
      <c r="M10859" t="s">
        <v>1360</v>
      </c>
      <c r="N10859" t="s">
        <v>1360</v>
      </c>
    </row>
    <row r="10860" spans="1:14">
      <c r="A10860" t="s">
        <v>10505</v>
      </c>
      <c r="B10860">
        <f>HYPERLINK("https://android.googlesource.com/platform/cts/+/e6ded0fa8cca4fc81feb23a50113848afe430698", "e6ded0fa8cca4fc81feb23a50113848afe430698")</f>
        <v>0</v>
      </c>
      <c r="C10860">
        <f>HYPERLINK("https://android.googlesource.com/platform/cts/+/3763966148d1d014b62a1bd27a68021c5ca17240", "3763966148d1d014b62a1bd27a68021c5ca17240")</f>
        <v>0</v>
      </c>
      <c r="D10860" t="s">
        <v>12110</v>
      </c>
      <c r="E10860" t="s">
        <v>13060</v>
      </c>
      <c r="F10860" t="s">
        <v>16243</v>
      </c>
      <c r="G10860" t="s">
        <v>18919</v>
      </c>
      <c r="H10860" t="s">
        <v>22359</v>
      </c>
      <c r="I10860" t="s">
        <v>1358</v>
      </c>
      <c r="J10860" t="s">
        <v>1358</v>
      </c>
      <c r="K10860" t="s">
        <v>1358</v>
      </c>
      <c r="L10860" t="s">
        <v>1358</v>
      </c>
    </row>
    <row r="10861" spans="1:14">
      <c r="H10861" t="s">
        <v>22360</v>
      </c>
      <c r="I10861" t="s">
        <v>1358</v>
      </c>
      <c r="J10861" t="s">
        <v>1358</v>
      </c>
      <c r="K10861" t="s">
        <v>1358</v>
      </c>
      <c r="L10861" t="s">
        <v>1358</v>
      </c>
    </row>
    <row r="10862" spans="1:14">
      <c r="A10862" t="s">
        <v>10506</v>
      </c>
      <c r="B10862">
        <f>HYPERLINK("https://android.googlesource.com/platform/cts/+/71762feb5610142e29ee6266ce4edf7bcdbb8aee", "71762feb5610142e29ee6266ce4edf7bcdbb8aee")</f>
        <v>0</v>
      </c>
      <c r="C10862">
        <f>HYPERLINK("https://android.googlesource.com/platform/cts/+/86af933a388ec4591f879449cb7758b356d951e1", "86af933a388ec4591f879449cb7758b356d951e1")</f>
        <v>0</v>
      </c>
      <c r="D10862" t="s">
        <v>12110</v>
      </c>
      <c r="E10862" t="s">
        <v>13061</v>
      </c>
      <c r="F10862" t="s">
        <v>16088</v>
      </c>
      <c r="G10862" t="s">
        <v>18777</v>
      </c>
      <c r="H10862" t="s">
        <v>22361</v>
      </c>
      <c r="I10862" t="s">
        <v>1357</v>
      </c>
      <c r="J10862" t="s">
        <v>1357</v>
      </c>
      <c r="K10862" t="s">
        <v>1357</v>
      </c>
      <c r="L10862" t="s">
        <v>1357</v>
      </c>
      <c r="N10862" t="s">
        <v>5102</v>
      </c>
    </row>
    <row r="10863" spans="1:14">
      <c r="H10863" t="s">
        <v>22362</v>
      </c>
      <c r="I10863" t="s">
        <v>1357</v>
      </c>
      <c r="J10863" t="s">
        <v>1357</v>
      </c>
      <c r="K10863" t="s">
        <v>1357</v>
      </c>
      <c r="L10863" t="s">
        <v>1357</v>
      </c>
      <c r="N10863" t="s">
        <v>5102</v>
      </c>
    </row>
    <row r="10864" spans="1:14">
      <c r="A10864" t="s">
        <v>10507</v>
      </c>
      <c r="B10864">
        <f>HYPERLINK("https://android.googlesource.com/platform/cts/+/437a0d948cf623dcc632e0f9df04e06e56d8e383", "437a0d948cf623dcc632e0f9df04e06e56d8e383")</f>
        <v>0</v>
      </c>
      <c r="C10864">
        <f>HYPERLINK("https://android.googlesource.com/platform/cts/+/1dc269dd661ed94e150625f19acd7fec3ed82d33", "1dc269dd661ed94e150625f19acd7fec3ed82d33")</f>
        <v>0</v>
      </c>
      <c r="D10864" t="s">
        <v>12110</v>
      </c>
      <c r="E10864" t="s">
        <v>13062</v>
      </c>
      <c r="F10864" t="s">
        <v>16244</v>
      </c>
      <c r="G10864" t="s">
        <v>18920</v>
      </c>
      <c r="H10864" t="s">
        <v>22363</v>
      </c>
      <c r="I10864" t="s">
        <v>1358</v>
      </c>
      <c r="J10864" t="s">
        <v>1358</v>
      </c>
      <c r="K10864" t="s">
        <v>1358</v>
      </c>
      <c r="L10864" t="s">
        <v>1358</v>
      </c>
    </row>
    <row r="10865" spans="1:13">
      <c r="F10865" t="s">
        <v>16245</v>
      </c>
      <c r="G10865" t="s">
        <v>18921</v>
      </c>
      <c r="H10865" t="s">
        <v>22364</v>
      </c>
      <c r="I10865" t="s">
        <v>1358</v>
      </c>
      <c r="J10865" t="s">
        <v>1358</v>
      </c>
      <c r="K10865" t="s">
        <v>1358</v>
      </c>
      <c r="L10865" t="s">
        <v>1358</v>
      </c>
    </row>
    <row r="10866" spans="1:13">
      <c r="A10866" t="s">
        <v>10508</v>
      </c>
      <c r="B10866">
        <f>HYPERLINK("https://android.googlesource.com/platform/cts/+/480a3a50174befdcf57de666587a8e1b4267d7f3", "480a3a50174befdcf57de666587a8e1b4267d7f3")</f>
        <v>0</v>
      </c>
      <c r="C10866">
        <f>HYPERLINK("https://android.googlesource.com/platform/cts/+/9dfbc395958780704bd8f65e7bd8cdc635033d04", "9dfbc395958780704bd8f65e7bd8cdc635033d04")</f>
        <v>0</v>
      </c>
      <c r="D10866" t="s">
        <v>12070</v>
      </c>
      <c r="E10866" t="s">
        <v>13063</v>
      </c>
      <c r="F10866" t="s">
        <v>16246</v>
      </c>
      <c r="G10866" t="s">
        <v>18922</v>
      </c>
      <c r="H10866" t="s">
        <v>22365</v>
      </c>
      <c r="I10866" t="s">
        <v>1357</v>
      </c>
      <c r="J10866" t="s">
        <v>1357</v>
      </c>
      <c r="K10866" t="s">
        <v>1357</v>
      </c>
      <c r="L10866" t="s">
        <v>1357</v>
      </c>
    </row>
    <row r="10867" spans="1:13">
      <c r="A10867" t="s">
        <v>10509</v>
      </c>
      <c r="B10867">
        <f>HYPERLINK("https://android.googlesource.com/platform/cts/+/2ff3e016655b94de327766b57d0db1e026db49e0", "2ff3e016655b94de327766b57d0db1e026db49e0")</f>
        <v>0</v>
      </c>
      <c r="C10867">
        <f>HYPERLINK("https://android.googlesource.com/platform/cts/+/86af933a388ec4591f879449cb7758b356d951e1", "86af933a388ec4591f879449cb7758b356d951e1")</f>
        <v>0</v>
      </c>
      <c r="D10867" t="s">
        <v>12137</v>
      </c>
      <c r="E10867" t="s">
        <v>13064</v>
      </c>
      <c r="F10867" t="s">
        <v>16247</v>
      </c>
      <c r="G10867" t="s">
        <v>18923</v>
      </c>
      <c r="H10867" t="s">
        <v>22366</v>
      </c>
      <c r="I10867" t="s">
        <v>1358</v>
      </c>
      <c r="J10867" t="s">
        <v>1358</v>
      </c>
      <c r="K10867" t="s">
        <v>1358</v>
      </c>
      <c r="L10867" t="s">
        <v>1358</v>
      </c>
    </row>
    <row r="10868" spans="1:13">
      <c r="A10868" t="s">
        <v>10510</v>
      </c>
      <c r="B10868">
        <f>HYPERLINK("https://android.googlesource.com/platform/cts/+/e13e14add99479d0b24325d632d0b9ace62e3e0f", "e13e14add99479d0b24325d632d0b9ace62e3e0f")</f>
        <v>0</v>
      </c>
      <c r="C10868">
        <f>HYPERLINK("https://android.googlesource.com/platform/cts/+/f6fba7a67b60792b0032f0fc3a0053d5724ec5bd", "f6fba7a67b60792b0032f0fc3a0053d5724ec5bd")</f>
        <v>0</v>
      </c>
      <c r="D10868" t="s">
        <v>12110</v>
      </c>
      <c r="E10868" t="s">
        <v>13065</v>
      </c>
      <c r="F10868" t="s">
        <v>16248</v>
      </c>
      <c r="G10868" t="s">
        <v>18924</v>
      </c>
      <c r="H10868" t="s">
        <v>22367</v>
      </c>
      <c r="I10868" t="s">
        <v>1358</v>
      </c>
      <c r="J10868" t="s">
        <v>1358</v>
      </c>
      <c r="K10868" t="s">
        <v>1358</v>
      </c>
      <c r="L10868" t="s">
        <v>1358</v>
      </c>
    </row>
    <row r="10869" spans="1:13">
      <c r="A10869" t="s">
        <v>10511</v>
      </c>
      <c r="B10869">
        <f>HYPERLINK("https://android.googlesource.com/platform/cts/+/157cea9e79dc71f14a15f0a9f6d5722fa61fef04", "157cea9e79dc71f14a15f0a9f6d5722fa61fef04")</f>
        <v>0</v>
      </c>
      <c r="C10869">
        <f>HYPERLINK("https://android.googlesource.com/platform/cts/+/018093626cfaaadebd4fb1e8d17c0ec992961d48", "018093626cfaaadebd4fb1e8d17c0ec992961d48")</f>
        <v>0</v>
      </c>
      <c r="D10869" t="s">
        <v>12110</v>
      </c>
      <c r="E10869" t="s">
        <v>13066</v>
      </c>
      <c r="F10869" t="s">
        <v>16249</v>
      </c>
      <c r="G10869" t="s">
        <v>18925</v>
      </c>
      <c r="H10869" t="s">
        <v>795</v>
      </c>
      <c r="I10869" t="s">
        <v>1357</v>
      </c>
      <c r="J10869" t="s">
        <v>1357</v>
      </c>
      <c r="K10869" t="s">
        <v>1357</v>
      </c>
      <c r="L10869" t="s">
        <v>1357</v>
      </c>
    </row>
    <row r="10870" spans="1:13">
      <c r="A10870" t="s">
        <v>10512</v>
      </c>
      <c r="B10870">
        <f>HYPERLINK("https://android.googlesource.com/platform/cts/+/1763ba33ceeedcbaefb8de8a0554c3bfffa1afb2", "1763ba33ceeedcbaefb8de8a0554c3bfffa1afb2")</f>
        <v>0</v>
      </c>
      <c r="C10870">
        <f>HYPERLINK("https://android.googlesource.com/platform/cts/+/7235b2427b2ccbca14181806b14f46154587dcb2", "7235b2427b2ccbca14181806b14f46154587dcb2")</f>
        <v>0</v>
      </c>
      <c r="D10870" t="s">
        <v>12110</v>
      </c>
      <c r="E10870" t="s">
        <v>13067</v>
      </c>
      <c r="F10870" t="s">
        <v>14502</v>
      </c>
      <c r="G10870" t="s">
        <v>17348</v>
      </c>
      <c r="H10870" t="s">
        <v>22368</v>
      </c>
      <c r="I10870" t="s">
        <v>1358</v>
      </c>
      <c r="J10870" t="s">
        <v>1358</v>
      </c>
      <c r="K10870" t="s">
        <v>1358</v>
      </c>
      <c r="L10870" t="s">
        <v>1358</v>
      </c>
    </row>
    <row r="10871" spans="1:13">
      <c r="F10871" t="s">
        <v>16250</v>
      </c>
      <c r="G10871" t="s">
        <v>18926</v>
      </c>
      <c r="H10871" t="s">
        <v>8843</v>
      </c>
      <c r="I10871" t="s">
        <v>1357</v>
      </c>
      <c r="J10871" t="s">
        <v>1357</v>
      </c>
      <c r="K10871" t="s">
        <v>1357</v>
      </c>
      <c r="L10871" t="s">
        <v>1357</v>
      </c>
      <c r="M10871" t="s">
        <v>1360</v>
      </c>
    </row>
    <row r="10872" spans="1:13">
      <c r="F10872" t="s">
        <v>14555</v>
      </c>
      <c r="G10872" t="s">
        <v>17400</v>
      </c>
      <c r="H10872" t="s">
        <v>22369</v>
      </c>
      <c r="I10872" t="s">
        <v>1357</v>
      </c>
      <c r="J10872" t="s">
        <v>1357</v>
      </c>
      <c r="K10872" t="s">
        <v>1357</v>
      </c>
      <c r="L10872" t="s">
        <v>1357</v>
      </c>
      <c r="M10872" t="s">
        <v>1360</v>
      </c>
    </row>
    <row r="10873" spans="1:13">
      <c r="H10873" t="s">
        <v>22370</v>
      </c>
      <c r="I10873" t="s">
        <v>1357</v>
      </c>
      <c r="J10873" t="s">
        <v>1357</v>
      </c>
      <c r="K10873" t="s">
        <v>1357</v>
      </c>
      <c r="L10873" t="s">
        <v>1357</v>
      </c>
      <c r="M10873" t="s">
        <v>1360</v>
      </c>
    </row>
    <row r="10874" spans="1:13">
      <c r="H10874" t="s">
        <v>22371</v>
      </c>
      <c r="I10874" t="s">
        <v>1357</v>
      </c>
      <c r="J10874" t="s">
        <v>1357</v>
      </c>
      <c r="K10874" t="s">
        <v>1357</v>
      </c>
      <c r="L10874" t="s">
        <v>1357</v>
      </c>
      <c r="M10874" t="s">
        <v>1360</v>
      </c>
    </row>
    <row r="10875" spans="1:13">
      <c r="H10875" t="s">
        <v>22372</v>
      </c>
      <c r="I10875" t="s">
        <v>1357</v>
      </c>
      <c r="J10875" t="s">
        <v>1357</v>
      </c>
      <c r="K10875" t="s">
        <v>1357</v>
      </c>
      <c r="L10875" t="s">
        <v>1357</v>
      </c>
      <c r="M10875" t="s">
        <v>1360</v>
      </c>
    </row>
    <row r="10876" spans="1:13">
      <c r="H10876" t="s">
        <v>22373</v>
      </c>
      <c r="I10876" t="s">
        <v>1357</v>
      </c>
      <c r="J10876" t="s">
        <v>1357</v>
      </c>
      <c r="K10876" t="s">
        <v>1357</v>
      </c>
      <c r="L10876" t="s">
        <v>1357</v>
      </c>
      <c r="M10876" t="s">
        <v>1360</v>
      </c>
    </row>
    <row r="10877" spans="1:13">
      <c r="H10877" t="s">
        <v>22374</v>
      </c>
      <c r="I10877" t="s">
        <v>1357</v>
      </c>
      <c r="J10877" t="s">
        <v>1357</v>
      </c>
      <c r="K10877" t="s">
        <v>1357</v>
      </c>
      <c r="L10877" t="s">
        <v>1357</v>
      </c>
      <c r="M10877" t="s">
        <v>1360</v>
      </c>
    </row>
    <row r="10878" spans="1:13">
      <c r="H10878" t="s">
        <v>22375</v>
      </c>
      <c r="I10878" t="s">
        <v>1357</v>
      </c>
      <c r="J10878" t="s">
        <v>1357</v>
      </c>
      <c r="K10878" t="s">
        <v>1357</v>
      </c>
      <c r="L10878" t="s">
        <v>1357</v>
      </c>
      <c r="M10878" t="s">
        <v>1360</v>
      </c>
    </row>
    <row r="10879" spans="1:13">
      <c r="H10879" t="s">
        <v>22376</v>
      </c>
      <c r="I10879" t="s">
        <v>1357</v>
      </c>
      <c r="J10879" t="s">
        <v>1357</v>
      </c>
      <c r="K10879" t="s">
        <v>1357</v>
      </c>
      <c r="L10879" t="s">
        <v>1357</v>
      </c>
      <c r="M10879" t="s">
        <v>1360</v>
      </c>
    </row>
    <row r="10880" spans="1:13">
      <c r="H10880" t="s">
        <v>22377</v>
      </c>
      <c r="I10880" t="s">
        <v>1357</v>
      </c>
      <c r="J10880" t="s">
        <v>1357</v>
      </c>
      <c r="K10880" t="s">
        <v>1357</v>
      </c>
      <c r="L10880" t="s">
        <v>1357</v>
      </c>
      <c r="M10880" t="s">
        <v>1360</v>
      </c>
    </row>
    <row r="10881" spans="1:13">
      <c r="A10881" t="s">
        <v>10513</v>
      </c>
      <c r="B10881">
        <f>HYPERLINK("https://android.googlesource.com/platform/cts/+/6adcaba10b92ddc83476478d64fe9604a0bc5816", "6adcaba10b92ddc83476478d64fe9604a0bc5816")</f>
        <v>0</v>
      </c>
      <c r="C10881">
        <f>HYPERLINK("https://android.googlesource.com/platform/cts/+/8770be349e17ce4c758ab04f6bf286569354ea37", "8770be349e17ce4c758ab04f6bf286569354ea37")</f>
        <v>0</v>
      </c>
      <c r="D10881" t="s">
        <v>12110</v>
      </c>
      <c r="E10881" t="s">
        <v>13068</v>
      </c>
      <c r="F10881" t="s">
        <v>14521</v>
      </c>
      <c r="G10881" t="s">
        <v>17366</v>
      </c>
      <c r="H10881" t="s">
        <v>22378</v>
      </c>
      <c r="I10881" t="s">
        <v>1357</v>
      </c>
      <c r="J10881" t="s">
        <v>1357</v>
      </c>
      <c r="K10881" t="s">
        <v>1357</v>
      </c>
      <c r="L10881" t="s">
        <v>1357</v>
      </c>
      <c r="M10881" t="s">
        <v>1360</v>
      </c>
    </row>
    <row r="10882" spans="1:13">
      <c r="A10882" t="s">
        <v>10514</v>
      </c>
      <c r="B10882">
        <f>HYPERLINK("https://android.googlesource.com/platform/cts/+/0544ac91f67c413d9261f15ea1c24a757ab7a8e6", "0544ac91f67c413d9261f15ea1c24a757ab7a8e6")</f>
        <v>0</v>
      </c>
      <c r="C10882">
        <f>HYPERLINK("https://android.googlesource.com/platform/cts/+/66b3c5ec4e0431f525038e0de8851440e98554c9", "66b3c5ec4e0431f525038e0de8851440e98554c9")</f>
        <v>0</v>
      </c>
      <c r="D10882" t="s">
        <v>12106</v>
      </c>
      <c r="E10882" t="s">
        <v>13069</v>
      </c>
      <c r="F10882" t="s">
        <v>16251</v>
      </c>
      <c r="G10882" t="s">
        <v>18927</v>
      </c>
      <c r="H10882" t="s">
        <v>22379</v>
      </c>
      <c r="I10882" t="s">
        <v>1357</v>
      </c>
      <c r="J10882" t="s">
        <v>1357</v>
      </c>
      <c r="K10882" t="s">
        <v>1357</v>
      </c>
      <c r="L10882" t="s">
        <v>1357</v>
      </c>
    </row>
    <row r="10883" spans="1:13">
      <c r="A10883" t="s">
        <v>10515</v>
      </c>
      <c r="B10883">
        <f>HYPERLINK("https://android.googlesource.com/platform/cts/+/8434bc28e852bbf68b5b81322b22598f0b177070", "8434bc28e852bbf68b5b81322b22598f0b177070")</f>
        <v>0</v>
      </c>
      <c r="C10883">
        <f>HYPERLINK("https://android.googlesource.com/platform/cts/+/3e6e41d1018c050b745986503f4d3acf0539a6da", "3e6e41d1018c050b745986503f4d3acf0539a6da")</f>
        <v>0</v>
      </c>
      <c r="D10883" t="s">
        <v>12117</v>
      </c>
      <c r="E10883" t="s">
        <v>13070</v>
      </c>
      <c r="F10883" t="s">
        <v>16252</v>
      </c>
      <c r="G10883" t="s">
        <v>18928</v>
      </c>
      <c r="H10883" t="s">
        <v>22380</v>
      </c>
      <c r="I10883" t="s">
        <v>1358</v>
      </c>
      <c r="J10883" t="s">
        <v>1358</v>
      </c>
      <c r="K10883" t="s">
        <v>1358</v>
      </c>
      <c r="L10883" t="s">
        <v>1358</v>
      </c>
    </row>
    <row r="10884" spans="1:13">
      <c r="H10884" t="s">
        <v>22381</v>
      </c>
      <c r="I10884" t="s">
        <v>1358</v>
      </c>
      <c r="J10884" t="s">
        <v>1358</v>
      </c>
      <c r="K10884" t="s">
        <v>1358</v>
      </c>
      <c r="L10884" t="s">
        <v>1358</v>
      </c>
    </row>
    <row r="10885" spans="1:13">
      <c r="H10885" t="s">
        <v>22382</v>
      </c>
      <c r="I10885" t="s">
        <v>1358</v>
      </c>
      <c r="J10885" t="s">
        <v>1358</v>
      </c>
      <c r="K10885" t="s">
        <v>1358</v>
      </c>
      <c r="L10885" t="s">
        <v>1358</v>
      </c>
    </row>
    <row r="10886" spans="1:13">
      <c r="H10886" t="s">
        <v>22383</v>
      </c>
      <c r="I10886" t="s">
        <v>1358</v>
      </c>
      <c r="J10886" t="s">
        <v>1358</v>
      </c>
      <c r="K10886" t="s">
        <v>1358</v>
      </c>
      <c r="L10886" t="s">
        <v>1358</v>
      </c>
    </row>
    <row r="10887" spans="1:13">
      <c r="H10887" t="s">
        <v>22384</v>
      </c>
      <c r="I10887" t="s">
        <v>1358</v>
      </c>
      <c r="J10887" t="s">
        <v>1358</v>
      </c>
      <c r="K10887" t="s">
        <v>1358</v>
      </c>
      <c r="L10887" t="s">
        <v>1358</v>
      </c>
    </row>
    <row r="10888" spans="1:13">
      <c r="H10888" t="s">
        <v>22385</v>
      </c>
      <c r="I10888" t="s">
        <v>1358</v>
      </c>
      <c r="J10888" t="s">
        <v>1358</v>
      </c>
      <c r="K10888" t="s">
        <v>1358</v>
      </c>
      <c r="L10888" t="s">
        <v>1358</v>
      </c>
    </row>
    <row r="10889" spans="1:13">
      <c r="H10889" t="s">
        <v>22386</v>
      </c>
      <c r="I10889" t="s">
        <v>1358</v>
      </c>
      <c r="J10889" t="s">
        <v>1358</v>
      </c>
      <c r="K10889" t="s">
        <v>1358</v>
      </c>
      <c r="L10889" t="s">
        <v>1358</v>
      </c>
    </row>
    <row r="10890" spans="1:13">
      <c r="H10890" t="s">
        <v>22387</v>
      </c>
      <c r="I10890" t="s">
        <v>1358</v>
      </c>
      <c r="J10890" t="s">
        <v>1358</v>
      </c>
      <c r="K10890" t="s">
        <v>1358</v>
      </c>
      <c r="L10890" t="s">
        <v>1358</v>
      </c>
    </row>
    <row r="10891" spans="1:13">
      <c r="H10891" t="s">
        <v>22388</v>
      </c>
      <c r="I10891" t="s">
        <v>1358</v>
      </c>
      <c r="J10891" t="s">
        <v>1358</v>
      </c>
      <c r="K10891" t="s">
        <v>1358</v>
      </c>
      <c r="L10891" t="s">
        <v>1358</v>
      </c>
    </row>
    <row r="10892" spans="1:13">
      <c r="H10892" t="s">
        <v>22389</v>
      </c>
      <c r="I10892" t="s">
        <v>1358</v>
      </c>
      <c r="J10892" t="s">
        <v>1358</v>
      </c>
      <c r="K10892" t="s">
        <v>1358</v>
      </c>
      <c r="L10892" t="s">
        <v>1358</v>
      </c>
    </row>
    <row r="10893" spans="1:13">
      <c r="H10893" t="s">
        <v>22390</v>
      </c>
      <c r="I10893" t="s">
        <v>1358</v>
      </c>
      <c r="J10893" t="s">
        <v>1358</v>
      </c>
      <c r="K10893" t="s">
        <v>1358</v>
      </c>
      <c r="L10893" t="s">
        <v>1358</v>
      </c>
    </row>
    <row r="10894" spans="1:13">
      <c r="H10894" t="s">
        <v>22391</v>
      </c>
      <c r="I10894" t="s">
        <v>1358</v>
      </c>
      <c r="J10894" t="s">
        <v>1358</v>
      </c>
      <c r="K10894" t="s">
        <v>1358</v>
      </c>
      <c r="L10894" t="s">
        <v>1358</v>
      </c>
    </row>
    <row r="10895" spans="1:13">
      <c r="H10895" t="s">
        <v>22392</v>
      </c>
      <c r="I10895" t="s">
        <v>1358</v>
      </c>
      <c r="J10895" t="s">
        <v>1358</v>
      </c>
      <c r="K10895" t="s">
        <v>1358</v>
      </c>
      <c r="L10895" t="s">
        <v>1358</v>
      </c>
    </row>
    <row r="10896" spans="1:13">
      <c r="H10896" t="s">
        <v>22393</v>
      </c>
      <c r="I10896" t="s">
        <v>1358</v>
      </c>
      <c r="J10896" t="s">
        <v>1358</v>
      </c>
      <c r="K10896" t="s">
        <v>1358</v>
      </c>
      <c r="L10896" t="s">
        <v>1358</v>
      </c>
    </row>
    <row r="10897" spans="6:14">
      <c r="H10897" t="s">
        <v>22394</v>
      </c>
      <c r="I10897" t="s">
        <v>1358</v>
      </c>
      <c r="J10897" t="s">
        <v>1358</v>
      </c>
      <c r="K10897" t="s">
        <v>1358</v>
      </c>
      <c r="L10897" t="s">
        <v>1358</v>
      </c>
    </row>
    <row r="10898" spans="6:14">
      <c r="H10898" t="s">
        <v>22395</v>
      </c>
      <c r="I10898" t="s">
        <v>1358</v>
      </c>
      <c r="J10898" t="s">
        <v>1358</v>
      </c>
      <c r="K10898" t="s">
        <v>1358</v>
      </c>
      <c r="L10898" t="s">
        <v>1358</v>
      </c>
    </row>
    <row r="10899" spans="6:14">
      <c r="H10899" t="s">
        <v>22396</v>
      </c>
      <c r="I10899" t="s">
        <v>1358</v>
      </c>
      <c r="J10899" t="s">
        <v>1358</v>
      </c>
      <c r="K10899" t="s">
        <v>1358</v>
      </c>
      <c r="L10899" t="s">
        <v>1358</v>
      </c>
    </row>
    <row r="10900" spans="6:14">
      <c r="H10900" t="s">
        <v>22397</v>
      </c>
      <c r="I10900" t="s">
        <v>1358</v>
      </c>
      <c r="J10900" t="s">
        <v>1358</v>
      </c>
      <c r="K10900" t="s">
        <v>1358</v>
      </c>
      <c r="L10900" t="s">
        <v>1358</v>
      </c>
    </row>
    <row r="10901" spans="6:14">
      <c r="H10901" t="s">
        <v>22398</v>
      </c>
      <c r="I10901" t="s">
        <v>1358</v>
      </c>
      <c r="J10901" t="s">
        <v>1358</v>
      </c>
      <c r="K10901" t="s">
        <v>1358</v>
      </c>
      <c r="L10901" t="s">
        <v>1358</v>
      </c>
    </row>
    <row r="10902" spans="6:14">
      <c r="H10902" t="s">
        <v>22399</v>
      </c>
      <c r="I10902" t="s">
        <v>1358</v>
      </c>
      <c r="J10902" t="s">
        <v>1358</v>
      </c>
      <c r="K10902" t="s">
        <v>1358</v>
      </c>
      <c r="L10902" t="s">
        <v>1358</v>
      </c>
    </row>
    <row r="10903" spans="6:14">
      <c r="H10903" t="s">
        <v>22400</v>
      </c>
      <c r="I10903" t="s">
        <v>1359</v>
      </c>
      <c r="J10903" t="s">
        <v>1358</v>
      </c>
      <c r="K10903" t="s">
        <v>1357</v>
      </c>
      <c r="L10903" t="s">
        <v>1358</v>
      </c>
      <c r="N10903" t="s">
        <v>27510</v>
      </c>
    </row>
    <row r="10904" spans="6:14">
      <c r="H10904" t="s">
        <v>22401</v>
      </c>
      <c r="I10904" t="s">
        <v>1359</v>
      </c>
      <c r="J10904" t="s">
        <v>1358</v>
      </c>
      <c r="K10904" t="s">
        <v>1357</v>
      </c>
      <c r="L10904" t="s">
        <v>1358</v>
      </c>
      <c r="N10904" t="s">
        <v>27511</v>
      </c>
    </row>
    <row r="10905" spans="6:14">
      <c r="H10905" t="s">
        <v>22402</v>
      </c>
      <c r="I10905" t="s">
        <v>1359</v>
      </c>
      <c r="J10905" t="s">
        <v>1358</v>
      </c>
      <c r="K10905" t="s">
        <v>1357</v>
      </c>
      <c r="L10905" t="s">
        <v>1358</v>
      </c>
      <c r="N10905" t="s">
        <v>27512</v>
      </c>
    </row>
    <row r="10906" spans="6:14">
      <c r="H10906" t="s">
        <v>22403</v>
      </c>
      <c r="I10906" t="s">
        <v>1359</v>
      </c>
      <c r="J10906" t="s">
        <v>1358</v>
      </c>
      <c r="K10906" t="s">
        <v>1357</v>
      </c>
      <c r="L10906" t="s">
        <v>1358</v>
      </c>
      <c r="N10906" t="s">
        <v>27513</v>
      </c>
    </row>
    <row r="10907" spans="6:14">
      <c r="H10907" t="s">
        <v>22404</v>
      </c>
      <c r="I10907" t="s">
        <v>1359</v>
      </c>
      <c r="J10907" t="s">
        <v>1358</v>
      </c>
      <c r="K10907" t="s">
        <v>1357</v>
      </c>
      <c r="L10907" t="s">
        <v>1358</v>
      </c>
      <c r="N10907" t="s">
        <v>27514</v>
      </c>
    </row>
    <row r="10908" spans="6:14">
      <c r="H10908" t="s">
        <v>22405</v>
      </c>
      <c r="I10908" t="s">
        <v>1359</v>
      </c>
      <c r="J10908" t="s">
        <v>1358</v>
      </c>
      <c r="K10908" t="s">
        <v>1357</v>
      </c>
      <c r="L10908" t="s">
        <v>1358</v>
      </c>
      <c r="N10908" t="s">
        <v>27515</v>
      </c>
    </row>
    <row r="10909" spans="6:14">
      <c r="H10909" t="s">
        <v>22406</v>
      </c>
      <c r="I10909" t="s">
        <v>1359</v>
      </c>
      <c r="J10909" t="s">
        <v>1358</v>
      </c>
      <c r="K10909" t="s">
        <v>1357</v>
      </c>
      <c r="L10909" t="s">
        <v>1358</v>
      </c>
      <c r="N10909" t="s">
        <v>27516</v>
      </c>
    </row>
    <row r="10910" spans="6:14">
      <c r="H10910" t="s">
        <v>22407</v>
      </c>
      <c r="I10910" t="s">
        <v>1359</v>
      </c>
      <c r="J10910" t="s">
        <v>1358</v>
      </c>
      <c r="K10910" t="s">
        <v>1357</v>
      </c>
      <c r="L10910" t="s">
        <v>1358</v>
      </c>
      <c r="N10910" t="s">
        <v>27517</v>
      </c>
    </row>
    <row r="10911" spans="6:14">
      <c r="F10911" t="s">
        <v>16253</v>
      </c>
      <c r="G10911" t="s">
        <v>18929</v>
      </c>
      <c r="H10911" t="s">
        <v>22408</v>
      </c>
      <c r="I10911" t="s">
        <v>1358</v>
      </c>
      <c r="J10911" t="s">
        <v>1358</v>
      </c>
      <c r="K10911" t="s">
        <v>1358</v>
      </c>
      <c r="L10911" t="s">
        <v>1358</v>
      </c>
    </row>
    <row r="10912" spans="6:14">
      <c r="F10912" t="s">
        <v>16254</v>
      </c>
      <c r="G10912" t="s">
        <v>18930</v>
      </c>
      <c r="H10912" t="s">
        <v>22409</v>
      </c>
      <c r="I10912" t="s">
        <v>1358</v>
      </c>
      <c r="J10912" t="s">
        <v>1358</v>
      </c>
      <c r="K10912" t="s">
        <v>1358</v>
      </c>
      <c r="L10912" t="s">
        <v>1358</v>
      </c>
    </row>
    <row r="10913" spans="1:13">
      <c r="A10913" t="s">
        <v>10516</v>
      </c>
      <c r="B10913">
        <f>HYPERLINK("https://android.googlesource.com/platform/cts/+/6828f2e7323dd14481977986bf98be47f9b6069f", "6828f2e7323dd14481977986bf98be47f9b6069f")</f>
        <v>0</v>
      </c>
      <c r="C10913">
        <f>HYPERLINK("https://android.googlesource.com/platform/cts/+/6b1b1ae5068fc009f44c191b17b14288822f8f82", "6b1b1ae5068fc009f44c191b17b14288822f8f82")</f>
        <v>0</v>
      </c>
      <c r="D10913" t="s">
        <v>12110</v>
      </c>
      <c r="E10913" t="s">
        <v>13071</v>
      </c>
      <c r="F10913" t="s">
        <v>16255</v>
      </c>
      <c r="G10913" t="s">
        <v>1597</v>
      </c>
      <c r="H10913" t="s">
        <v>22410</v>
      </c>
      <c r="I10913" t="s">
        <v>1358</v>
      </c>
      <c r="J10913" t="s">
        <v>1358</v>
      </c>
      <c r="K10913" t="s">
        <v>1358</v>
      </c>
      <c r="L10913" t="s">
        <v>1358</v>
      </c>
    </row>
    <row r="10914" spans="1:13">
      <c r="F10914" t="s">
        <v>16256</v>
      </c>
      <c r="G10914" t="s">
        <v>506</v>
      </c>
      <c r="H10914" t="s">
        <v>22411</v>
      </c>
      <c r="I10914" t="s">
        <v>1358</v>
      </c>
      <c r="J10914" t="s">
        <v>1358</v>
      </c>
      <c r="K10914" t="s">
        <v>1358</v>
      </c>
      <c r="L10914" t="s">
        <v>1358</v>
      </c>
    </row>
    <row r="10915" spans="1:13">
      <c r="A10915" t="s">
        <v>10517</v>
      </c>
      <c r="B10915">
        <f>HYPERLINK("https://android.googlesource.com/platform/cts/+/4495565d1c6a2a979937006e6d452b3b4deeef4c", "4495565d1c6a2a979937006e6d452b3b4deeef4c")</f>
        <v>0</v>
      </c>
      <c r="C10915">
        <f>HYPERLINK("https://android.googlesource.com/platform/cts/+/4c7b18e85be78095069bbfb59c6ecf4046dce466", "4c7b18e85be78095069bbfb59c6ecf4046dce466")</f>
        <v>0</v>
      </c>
      <c r="D10915" t="s">
        <v>12100</v>
      </c>
      <c r="E10915" t="s">
        <v>13072</v>
      </c>
      <c r="F10915" t="s">
        <v>16257</v>
      </c>
      <c r="G10915" t="s">
        <v>18880</v>
      </c>
      <c r="H10915" t="s">
        <v>22412</v>
      </c>
      <c r="I10915" t="s">
        <v>1358</v>
      </c>
      <c r="J10915" t="s">
        <v>1358</v>
      </c>
      <c r="K10915" t="s">
        <v>1358</v>
      </c>
      <c r="L10915" t="s">
        <v>1358</v>
      </c>
    </row>
    <row r="10916" spans="1:13">
      <c r="A10916" t="s">
        <v>10518</v>
      </c>
      <c r="B10916">
        <f>HYPERLINK("https://android.googlesource.com/platform/cts/+/0adb9d13b173219730eec4e9a07b9f68c3964fcc", "0adb9d13b173219730eec4e9a07b9f68c3964fcc")</f>
        <v>0</v>
      </c>
      <c r="C10916">
        <f>HYPERLINK("https://android.googlesource.com/platform/cts/+/6b1b1ae5068fc009f44c191b17b14288822f8f82", "6b1b1ae5068fc009f44c191b17b14288822f8f82")</f>
        <v>0</v>
      </c>
      <c r="D10916" t="s">
        <v>12110</v>
      </c>
      <c r="E10916" t="s">
        <v>13073</v>
      </c>
      <c r="F10916" t="s">
        <v>16012</v>
      </c>
      <c r="G10916" t="s">
        <v>18704</v>
      </c>
      <c r="H10916" t="s">
        <v>22413</v>
      </c>
      <c r="I10916" t="s">
        <v>1358</v>
      </c>
      <c r="J10916" t="s">
        <v>1358</v>
      </c>
      <c r="K10916" t="s">
        <v>1358</v>
      </c>
      <c r="L10916" t="s">
        <v>1358</v>
      </c>
    </row>
    <row r="10917" spans="1:13">
      <c r="F10917" t="s">
        <v>16180</v>
      </c>
      <c r="G10917" t="s">
        <v>18860</v>
      </c>
      <c r="H10917" t="s">
        <v>22414</v>
      </c>
      <c r="I10917" t="s">
        <v>1358</v>
      </c>
      <c r="J10917" t="s">
        <v>1358</v>
      </c>
      <c r="K10917" t="s">
        <v>1358</v>
      </c>
      <c r="L10917" t="s">
        <v>1358</v>
      </c>
    </row>
    <row r="10918" spans="1:13">
      <c r="A10918" t="s">
        <v>10519</v>
      </c>
      <c r="B10918">
        <f>HYPERLINK("https://android.googlesource.com/platform/cts/+/4b87605eb5dda80fad0c770b46342cdfbae44fd4", "4b87605eb5dda80fad0c770b46342cdfbae44fd4")</f>
        <v>0</v>
      </c>
      <c r="C10918">
        <f>HYPERLINK("https://android.googlesource.com/platform/cts/+/4c7b18e85be78095069bbfb59c6ecf4046dce466", "4c7b18e85be78095069bbfb59c6ecf4046dce466")</f>
        <v>0</v>
      </c>
      <c r="D10918" t="s">
        <v>12110</v>
      </c>
      <c r="E10918" t="s">
        <v>13074</v>
      </c>
      <c r="F10918" t="s">
        <v>16258</v>
      </c>
      <c r="G10918" t="s">
        <v>18931</v>
      </c>
      <c r="H10918" t="s">
        <v>22415</v>
      </c>
      <c r="I10918" t="s">
        <v>1357</v>
      </c>
      <c r="J10918" t="s">
        <v>1357</v>
      </c>
      <c r="K10918" t="s">
        <v>1357</v>
      </c>
      <c r="L10918" t="s">
        <v>1357</v>
      </c>
      <c r="M10918" t="s">
        <v>1360</v>
      </c>
    </row>
    <row r="10919" spans="1:13">
      <c r="F10919" t="s">
        <v>16259</v>
      </c>
      <c r="G10919" t="s">
        <v>18932</v>
      </c>
      <c r="H10919" t="s">
        <v>22416</v>
      </c>
      <c r="I10919" t="s">
        <v>1358</v>
      </c>
      <c r="J10919" t="s">
        <v>1358</v>
      </c>
      <c r="K10919" t="s">
        <v>1358</v>
      </c>
      <c r="L10919" t="s">
        <v>1358</v>
      </c>
    </row>
    <row r="10920" spans="1:13">
      <c r="A10920" t="s">
        <v>10520</v>
      </c>
      <c r="B10920">
        <f>HYPERLINK("https://android.googlesource.com/platform/cts/+/77bf127037cf0245b224277ca7e9aab232cd9224", "77bf127037cf0245b224277ca7e9aab232cd9224")</f>
        <v>0</v>
      </c>
      <c r="C10920">
        <f>HYPERLINK("https://android.googlesource.com/platform/cts/+/4ae020cf4c653de69ab4c216dd10fc44b8a099e5", "4ae020cf4c653de69ab4c216dd10fc44b8a099e5")</f>
        <v>0</v>
      </c>
      <c r="D10920" t="s">
        <v>12110</v>
      </c>
      <c r="E10920" t="s">
        <v>13075</v>
      </c>
      <c r="F10920" t="s">
        <v>14549</v>
      </c>
      <c r="G10920" t="s">
        <v>17394</v>
      </c>
      <c r="H10920" t="s">
        <v>22417</v>
      </c>
      <c r="I10920" t="s">
        <v>1358</v>
      </c>
      <c r="J10920" t="s">
        <v>1358</v>
      </c>
      <c r="K10920" t="s">
        <v>1358</v>
      </c>
      <c r="L10920" t="s">
        <v>1358</v>
      </c>
    </row>
    <row r="10921" spans="1:13">
      <c r="H10921" t="s">
        <v>22418</v>
      </c>
      <c r="I10921" t="s">
        <v>1358</v>
      </c>
      <c r="J10921" t="s">
        <v>1358</v>
      </c>
      <c r="K10921" t="s">
        <v>1358</v>
      </c>
      <c r="L10921" t="s">
        <v>1358</v>
      </c>
    </row>
    <row r="10922" spans="1:13">
      <c r="A10922" t="s">
        <v>10521</v>
      </c>
      <c r="B10922">
        <f>HYPERLINK("https://android.googlesource.com/platform/cts/+/7c83e14b70e7a87e2331fb9d7d6a390c848db51d", "7c83e14b70e7a87e2331fb9d7d6a390c848db51d")</f>
        <v>0</v>
      </c>
      <c r="C10922">
        <f>HYPERLINK("https://android.googlesource.com/platform/cts/+/4ae020cf4c653de69ab4c216dd10fc44b8a099e5", "4ae020cf4c653de69ab4c216dd10fc44b8a099e5")</f>
        <v>0</v>
      </c>
      <c r="D10922" t="s">
        <v>12110</v>
      </c>
      <c r="E10922" t="s">
        <v>13076</v>
      </c>
      <c r="F10922" t="s">
        <v>16260</v>
      </c>
      <c r="G10922" t="s">
        <v>18933</v>
      </c>
      <c r="H10922" t="s">
        <v>22419</v>
      </c>
      <c r="I10922" t="s">
        <v>1358</v>
      </c>
      <c r="J10922" t="s">
        <v>1358</v>
      </c>
      <c r="K10922" t="s">
        <v>1358</v>
      </c>
      <c r="L10922" t="s">
        <v>1358</v>
      </c>
    </row>
    <row r="10923" spans="1:13">
      <c r="A10923" t="s">
        <v>10522</v>
      </c>
      <c r="B10923">
        <f>HYPERLINK("https://android.googlesource.com/platform/cts/+/5c2e80fb5930c72fbe18a16972df16283995f9e8", "5c2e80fb5930c72fbe18a16972df16283995f9e8")</f>
        <v>0</v>
      </c>
      <c r="C10923">
        <f>HYPERLINK("https://android.googlesource.com/platform/cts/+/77bf127037cf0245b224277ca7e9aab232cd9224", "77bf127037cf0245b224277ca7e9aab232cd9224")</f>
        <v>0</v>
      </c>
      <c r="D10923" t="s">
        <v>12110</v>
      </c>
      <c r="E10923" t="s">
        <v>13077</v>
      </c>
      <c r="F10923" t="s">
        <v>16261</v>
      </c>
      <c r="G10923" t="s">
        <v>18934</v>
      </c>
      <c r="H10923" t="s">
        <v>1137</v>
      </c>
      <c r="I10923" t="s">
        <v>1358</v>
      </c>
      <c r="J10923" t="s">
        <v>1358</v>
      </c>
      <c r="K10923" t="s">
        <v>1358</v>
      </c>
      <c r="L10923" t="s">
        <v>1358</v>
      </c>
    </row>
    <row r="10924" spans="1:13">
      <c r="H10924" t="s">
        <v>1139</v>
      </c>
      <c r="I10924" t="s">
        <v>1358</v>
      </c>
      <c r="J10924" t="s">
        <v>1358</v>
      </c>
      <c r="K10924" t="s">
        <v>1358</v>
      </c>
      <c r="L10924" t="s">
        <v>1358</v>
      </c>
    </row>
    <row r="10925" spans="1:13">
      <c r="F10925" t="s">
        <v>15193</v>
      </c>
      <c r="G10925" t="s">
        <v>17895</v>
      </c>
      <c r="H10925" t="s">
        <v>22420</v>
      </c>
      <c r="I10925" t="s">
        <v>1357</v>
      </c>
      <c r="J10925" t="s">
        <v>1357</v>
      </c>
      <c r="K10925" t="s">
        <v>1357</v>
      </c>
      <c r="L10925" t="s">
        <v>1357</v>
      </c>
    </row>
    <row r="10926" spans="1:13">
      <c r="H10926" t="s">
        <v>22421</v>
      </c>
      <c r="I10926" t="s">
        <v>1357</v>
      </c>
      <c r="J10926" t="s">
        <v>1357</v>
      </c>
      <c r="K10926" t="s">
        <v>1357</v>
      </c>
      <c r="L10926" t="s">
        <v>1357</v>
      </c>
    </row>
    <row r="10927" spans="1:13">
      <c r="H10927" t="s">
        <v>22422</v>
      </c>
      <c r="I10927" t="s">
        <v>1357</v>
      </c>
      <c r="J10927" t="s">
        <v>1357</v>
      </c>
      <c r="K10927" t="s">
        <v>1357</v>
      </c>
      <c r="L10927" t="s">
        <v>1357</v>
      </c>
    </row>
    <row r="10928" spans="1:13">
      <c r="A10928" t="s">
        <v>10523</v>
      </c>
      <c r="B10928">
        <f>HYPERLINK("https://android.googlesource.com/platform/cts/+/9aa6451ba5b071f40b4c38d05858203696284eff", "9aa6451ba5b071f40b4c38d05858203696284eff")</f>
        <v>0</v>
      </c>
      <c r="C10928">
        <f>HYPERLINK("https://android.googlesource.com/platform/cts/+/e9766ec7a3bfd338e1865ecf8700d7d196206312", "e9766ec7a3bfd338e1865ecf8700d7d196206312")</f>
        <v>0</v>
      </c>
      <c r="D10928" t="s">
        <v>12110</v>
      </c>
      <c r="E10928" t="s">
        <v>13078</v>
      </c>
      <c r="F10928" t="s">
        <v>16003</v>
      </c>
      <c r="G10928" t="s">
        <v>18695</v>
      </c>
      <c r="H10928" t="s">
        <v>19934</v>
      </c>
      <c r="I10928" t="s">
        <v>1357</v>
      </c>
      <c r="J10928" t="s">
        <v>1357</v>
      </c>
      <c r="K10928" t="s">
        <v>1357</v>
      </c>
      <c r="L10928" t="s">
        <v>1357</v>
      </c>
    </row>
    <row r="10929" spans="1:13">
      <c r="A10929" t="s">
        <v>10524</v>
      </c>
      <c r="B10929">
        <f>HYPERLINK("https://android.googlesource.com/platform/cts/+/24fee45e900df980543f9248238b3854ad2a258d", "24fee45e900df980543f9248238b3854ad2a258d")</f>
        <v>0</v>
      </c>
      <c r="C10929">
        <f>HYPERLINK("https://android.googlesource.com/platform/cts/+/330dd441bc45b601749c1dd3c3a3595d1b1267f5", "330dd441bc45b601749c1dd3c3a3595d1b1267f5")</f>
        <v>0</v>
      </c>
      <c r="D10929" t="s">
        <v>12100</v>
      </c>
      <c r="E10929" t="s">
        <v>13079</v>
      </c>
      <c r="F10929" t="s">
        <v>16257</v>
      </c>
      <c r="G10929" t="s">
        <v>18880</v>
      </c>
      <c r="H10929" t="s">
        <v>22412</v>
      </c>
      <c r="I10929" t="s">
        <v>1358</v>
      </c>
      <c r="J10929" t="s">
        <v>1358</v>
      </c>
      <c r="K10929" t="s">
        <v>1358</v>
      </c>
      <c r="L10929" t="s">
        <v>1358</v>
      </c>
    </row>
    <row r="10930" spans="1:13">
      <c r="A10930" t="s">
        <v>10525</v>
      </c>
      <c r="B10930">
        <f>HYPERLINK("https://android.googlesource.com/platform/cts/+/f2c0f4bdb245a805552f40039f0c5256df029547", "f2c0f4bdb245a805552f40039f0c5256df029547")</f>
        <v>0</v>
      </c>
      <c r="C10930">
        <f>HYPERLINK("https://android.googlesource.com/platform/cts/+/ef1a6197a0994cbc10807e85d4a196d17e86ebe1", "ef1a6197a0994cbc10807e85d4a196d17e86ebe1")</f>
        <v>0</v>
      </c>
      <c r="D10930" t="s">
        <v>12110</v>
      </c>
      <c r="E10930" t="s">
        <v>13080</v>
      </c>
      <c r="F10930" t="s">
        <v>16262</v>
      </c>
      <c r="G10930" t="s">
        <v>18935</v>
      </c>
      <c r="H10930" t="s">
        <v>19977</v>
      </c>
      <c r="I10930" t="s">
        <v>1358</v>
      </c>
      <c r="J10930" t="s">
        <v>1358</v>
      </c>
      <c r="K10930" t="s">
        <v>1358</v>
      </c>
      <c r="L10930" t="s">
        <v>1358</v>
      </c>
    </row>
    <row r="10931" spans="1:13">
      <c r="F10931" t="s">
        <v>16263</v>
      </c>
      <c r="G10931" t="s">
        <v>18936</v>
      </c>
      <c r="H10931" t="s">
        <v>22033</v>
      </c>
      <c r="I10931" t="s">
        <v>1357</v>
      </c>
      <c r="J10931" t="s">
        <v>1357</v>
      </c>
      <c r="K10931" t="s">
        <v>1357</v>
      </c>
      <c r="L10931" t="s">
        <v>1357</v>
      </c>
      <c r="M10931" t="s">
        <v>1360</v>
      </c>
    </row>
    <row r="10932" spans="1:13">
      <c r="F10932" t="s">
        <v>14489</v>
      </c>
      <c r="G10932" t="s">
        <v>17335</v>
      </c>
      <c r="H10932" t="s">
        <v>19934</v>
      </c>
      <c r="I10932" t="s">
        <v>1357</v>
      </c>
      <c r="J10932" t="s">
        <v>1357</v>
      </c>
      <c r="K10932" t="s">
        <v>1357</v>
      </c>
      <c r="L10932" t="s">
        <v>1357</v>
      </c>
    </row>
    <row r="10933" spans="1:13">
      <c r="H10933" t="s">
        <v>19978</v>
      </c>
      <c r="I10933" t="s">
        <v>1357</v>
      </c>
      <c r="J10933" t="s">
        <v>1357</v>
      </c>
      <c r="K10933" t="s">
        <v>1357</v>
      </c>
      <c r="L10933" t="s">
        <v>1357</v>
      </c>
    </row>
    <row r="10934" spans="1:13">
      <c r="F10934" t="s">
        <v>16264</v>
      </c>
      <c r="G10934" t="s">
        <v>18937</v>
      </c>
      <c r="H10934" t="s">
        <v>19977</v>
      </c>
      <c r="I10934" t="s">
        <v>1358</v>
      </c>
      <c r="J10934" t="s">
        <v>1358</v>
      </c>
      <c r="K10934" t="s">
        <v>1358</v>
      </c>
      <c r="L10934" t="s">
        <v>1358</v>
      </c>
    </row>
    <row r="10935" spans="1:13">
      <c r="A10935" t="s">
        <v>10526</v>
      </c>
      <c r="B10935">
        <f>HYPERLINK("https://android.googlesource.com/platform/cts/+/b4be6a5eb49690759c8a6c921050909a178bb880", "b4be6a5eb49690759c8a6c921050909a178bb880")</f>
        <v>0</v>
      </c>
      <c r="C10935">
        <f>HYPERLINK("https://android.googlesource.com/platform/cts/+/d51ba4034a02227b21a6326b04f874420d842aed", "d51ba4034a02227b21a6326b04f874420d842aed")</f>
        <v>0</v>
      </c>
      <c r="D10935" t="s">
        <v>12100</v>
      </c>
      <c r="E10935" t="s">
        <v>13081</v>
      </c>
      <c r="F10935" t="s">
        <v>16257</v>
      </c>
      <c r="G10935" t="s">
        <v>18880</v>
      </c>
      <c r="H10935" t="s">
        <v>22412</v>
      </c>
      <c r="I10935" t="s">
        <v>1358</v>
      </c>
      <c r="J10935" t="s">
        <v>1358</v>
      </c>
      <c r="K10935" t="s">
        <v>1358</v>
      </c>
      <c r="L10935" t="s">
        <v>1358</v>
      </c>
    </row>
    <row r="10936" spans="1:13">
      <c r="A10936" t="s">
        <v>10527</v>
      </c>
      <c r="B10936">
        <f>HYPERLINK("https://android.googlesource.com/platform/cts/+/0ca4f08cf337e15452e8c5ce23ea49837f6346b2", "0ca4f08cf337e15452e8c5ce23ea49837f6346b2")</f>
        <v>0</v>
      </c>
      <c r="C10936">
        <f>HYPERLINK("https://android.googlesource.com/platform/cts/+/5a8f0d5cdbf2af65e8613f6431c71ea882539a31", "5a8f0d5cdbf2af65e8613f6431c71ea882539a31")</f>
        <v>0</v>
      </c>
      <c r="D10936" t="s">
        <v>12110</v>
      </c>
      <c r="E10936" t="s">
        <v>13082</v>
      </c>
      <c r="F10936" t="s">
        <v>16265</v>
      </c>
      <c r="G10936" t="s">
        <v>18938</v>
      </c>
      <c r="H10936" t="s">
        <v>22423</v>
      </c>
      <c r="I10936" t="s">
        <v>1358</v>
      </c>
      <c r="J10936" t="s">
        <v>1358</v>
      </c>
      <c r="K10936" t="s">
        <v>1358</v>
      </c>
      <c r="L10936" t="s">
        <v>1358</v>
      </c>
    </row>
    <row r="10937" spans="1:13">
      <c r="H10937" t="s">
        <v>22424</v>
      </c>
      <c r="I10937" t="s">
        <v>1358</v>
      </c>
      <c r="J10937" t="s">
        <v>1358</v>
      </c>
      <c r="K10937" t="s">
        <v>1358</v>
      </c>
      <c r="L10937" t="s">
        <v>1358</v>
      </c>
    </row>
    <row r="10938" spans="1:13">
      <c r="A10938" t="s">
        <v>10528</v>
      </c>
      <c r="B10938">
        <f>HYPERLINK("https://android.googlesource.com/platform/cts/+/596d54378d303231a330fcbbc8bc247e6955d310", "596d54378d303231a330fcbbc8bc247e6955d310")</f>
        <v>0</v>
      </c>
      <c r="C10938">
        <f>HYPERLINK("https://android.googlesource.com/platform/cts/+/122d6247c4ce509ad1189fc3f2505bd2d3b846b0", "122d6247c4ce509ad1189fc3f2505bd2d3b846b0")</f>
        <v>0</v>
      </c>
      <c r="D10938" t="s">
        <v>12136</v>
      </c>
      <c r="E10938" t="s">
        <v>13054</v>
      </c>
      <c r="F10938" t="s">
        <v>16236</v>
      </c>
      <c r="G10938" t="s">
        <v>18912</v>
      </c>
      <c r="H10938" t="s">
        <v>22342</v>
      </c>
      <c r="I10938" t="s">
        <v>1357</v>
      </c>
      <c r="J10938" t="s">
        <v>1357</v>
      </c>
      <c r="K10938" t="s">
        <v>1357</v>
      </c>
      <c r="L10938" t="s">
        <v>1357</v>
      </c>
    </row>
    <row r="10939" spans="1:13">
      <c r="A10939" t="s">
        <v>10529</v>
      </c>
      <c r="B10939">
        <f>HYPERLINK("https://android.googlesource.com/platform/cts/+/b3f0a0aff12a1d24b3c570286c059c3f0d22fc03", "b3f0a0aff12a1d24b3c570286c059c3f0d22fc03")</f>
        <v>0</v>
      </c>
      <c r="C10939">
        <f>HYPERLINK("https://android.googlesource.com/platform/cts/+/0ca4f08cf337e15452e8c5ce23ea49837f6346b2", "0ca4f08cf337e15452e8c5ce23ea49837f6346b2")</f>
        <v>0</v>
      </c>
      <c r="D10939" t="s">
        <v>12110</v>
      </c>
      <c r="E10939" t="s">
        <v>13083</v>
      </c>
      <c r="F10939" t="s">
        <v>14481</v>
      </c>
      <c r="G10939" t="s">
        <v>17328</v>
      </c>
      <c r="H10939" t="s">
        <v>22425</v>
      </c>
      <c r="I10939" t="s">
        <v>1358</v>
      </c>
      <c r="J10939" t="s">
        <v>1358</v>
      </c>
      <c r="K10939" t="s">
        <v>1358</v>
      </c>
      <c r="L10939" t="s">
        <v>1358</v>
      </c>
    </row>
    <row r="10940" spans="1:13">
      <c r="H10940" t="s">
        <v>22426</v>
      </c>
      <c r="I10940" t="s">
        <v>1358</v>
      </c>
      <c r="J10940" t="s">
        <v>1358</v>
      </c>
      <c r="K10940" t="s">
        <v>1358</v>
      </c>
      <c r="L10940" t="s">
        <v>1358</v>
      </c>
    </row>
    <row r="10941" spans="1:13">
      <c r="H10941" t="s">
        <v>22427</v>
      </c>
      <c r="I10941" t="s">
        <v>1358</v>
      </c>
      <c r="J10941" t="s">
        <v>1358</v>
      </c>
      <c r="K10941" t="s">
        <v>1358</v>
      </c>
      <c r="L10941" t="s">
        <v>1358</v>
      </c>
    </row>
    <row r="10942" spans="1:13">
      <c r="H10942" t="s">
        <v>22428</v>
      </c>
      <c r="I10942" t="s">
        <v>1358</v>
      </c>
      <c r="J10942" t="s">
        <v>1358</v>
      </c>
      <c r="K10942" t="s">
        <v>1358</v>
      </c>
      <c r="L10942" t="s">
        <v>1358</v>
      </c>
    </row>
    <row r="10943" spans="1:13">
      <c r="H10943" t="s">
        <v>22429</v>
      </c>
      <c r="I10943" t="s">
        <v>1358</v>
      </c>
      <c r="J10943" t="s">
        <v>1358</v>
      </c>
      <c r="K10943" t="s">
        <v>1358</v>
      </c>
      <c r="L10943" t="s">
        <v>1358</v>
      </c>
    </row>
    <row r="10944" spans="1:13">
      <c r="H10944" t="s">
        <v>22430</v>
      </c>
      <c r="I10944" t="s">
        <v>1358</v>
      </c>
      <c r="J10944" t="s">
        <v>1358</v>
      </c>
      <c r="K10944" t="s">
        <v>1358</v>
      </c>
      <c r="L10944" t="s">
        <v>1358</v>
      </c>
    </row>
    <row r="10945" spans="1:13">
      <c r="H10945" t="s">
        <v>22431</v>
      </c>
      <c r="I10945" t="s">
        <v>1358</v>
      </c>
      <c r="J10945" t="s">
        <v>1358</v>
      </c>
      <c r="K10945" t="s">
        <v>1358</v>
      </c>
      <c r="L10945" t="s">
        <v>1358</v>
      </c>
    </row>
    <row r="10946" spans="1:13">
      <c r="H10946" t="s">
        <v>22432</v>
      </c>
      <c r="I10946" t="s">
        <v>1358</v>
      </c>
      <c r="J10946" t="s">
        <v>1358</v>
      </c>
      <c r="K10946" t="s">
        <v>1358</v>
      </c>
      <c r="L10946" t="s">
        <v>1358</v>
      </c>
    </row>
    <row r="10947" spans="1:13">
      <c r="H10947" t="s">
        <v>22433</v>
      </c>
      <c r="I10947" t="s">
        <v>1358</v>
      </c>
      <c r="J10947" t="s">
        <v>1358</v>
      </c>
      <c r="K10947" t="s">
        <v>1358</v>
      </c>
      <c r="L10947" t="s">
        <v>1358</v>
      </c>
    </row>
    <row r="10948" spans="1:13">
      <c r="H10948" t="s">
        <v>22434</v>
      </c>
      <c r="I10948" t="s">
        <v>1358</v>
      </c>
      <c r="J10948" t="s">
        <v>1358</v>
      </c>
      <c r="K10948" t="s">
        <v>1358</v>
      </c>
      <c r="L10948" t="s">
        <v>1358</v>
      </c>
    </row>
    <row r="10949" spans="1:13">
      <c r="H10949" t="s">
        <v>22435</v>
      </c>
      <c r="I10949" t="s">
        <v>1358</v>
      </c>
      <c r="J10949" t="s">
        <v>1358</v>
      </c>
      <c r="K10949" t="s">
        <v>1358</v>
      </c>
      <c r="L10949" t="s">
        <v>1358</v>
      </c>
    </row>
    <row r="10950" spans="1:13">
      <c r="H10950" t="s">
        <v>22436</v>
      </c>
      <c r="I10950" t="s">
        <v>1358</v>
      </c>
      <c r="J10950" t="s">
        <v>1358</v>
      </c>
      <c r="K10950" t="s">
        <v>1358</v>
      </c>
      <c r="L10950" t="s">
        <v>1358</v>
      </c>
    </row>
    <row r="10951" spans="1:13">
      <c r="H10951" t="s">
        <v>22437</v>
      </c>
      <c r="I10951" t="s">
        <v>1358</v>
      </c>
      <c r="J10951" t="s">
        <v>1358</v>
      </c>
      <c r="K10951" t="s">
        <v>1358</v>
      </c>
      <c r="L10951" t="s">
        <v>1358</v>
      </c>
    </row>
    <row r="10952" spans="1:13">
      <c r="A10952" t="s">
        <v>10530</v>
      </c>
      <c r="B10952">
        <f>HYPERLINK("https://android.googlesource.com/platform/cts/+/6c6ebc13b2a14a7eb141ddbd9fbcc3e8279acec7", "6c6ebc13b2a14a7eb141ddbd9fbcc3e8279acec7")</f>
        <v>0</v>
      </c>
      <c r="C10952">
        <f>HYPERLINK("https://android.googlesource.com/platform/cts/+/0ca4f08cf337e15452e8c5ce23ea49837f6346b2", "0ca4f08cf337e15452e8c5ce23ea49837f6346b2")</f>
        <v>0</v>
      </c>
      <c r="D10952" t="s">
        <v>12110</v>
      </c>
      <c r="E10952" t="s">
        <v>13084</v>
      </c>
      <c r="F10952" t="s">
        <v>16218</v>
      </c>
      <c r="G10952" t="s">
        <v>18895</v>
      </c>
      <c r="H10952" t="s">
        <v>22438</v>
      </c>
      <c r="I10952" t="s">
        <v>1358</v>
      </c>
      <c r="J10952" t="s">
        <v>1358</v>
      </c>
      <c r="K10952" t="s">
        <v>1358</v>
      </c>
      <c r="L10952" t="s">
        <v>1358</v>
      </c>
    </row>
    <row r="10953" spans="1:13">
      <c r="A10953" t="s">
        <v>10531</v>
      </c>
      <c r="B10953">
        <f>HYPERLINK("https://android.googlesource.com/platform/cts/+/edb8aec92abd43a13f7982844c0d53cac681f580", "edb8aec92abd43a13f7982844c0d53cac681f580")</f>
        <v>0</v>
      </c>
      <c r="C10953">
        <f>HYPERLINK("https://android.googlesource.com/platform/cts/+/0ca4f08cf337e15452e8c5ce23ea49837f6346b2", "0ca4f08cf337e15452e8c5ce23ea49837f6346b2")</f>
        <v>0</v>
      </c>
      <c r="D10953" t="s">
        <v>12110</v>
      </c>
      <c r="E10953" t="s">
        <v>13085</v>
      </c>
      <c r="F10953" t="s">
        <v>14471</v>
      </c>
      <c r="G10953" t="s">
        <v>17318</v>
      </c>
      <c r="H10953" t="s">
        <v>22439</v>
      </c>
      <c r="I10953" t="s">
        <v>1358</v>
      </c>
      <c r="J10953" t="s">
        <v>1358</v>
      </c>
      <c r="K10953" t="s">
        <v>1358</v>
      </c>
      <c r="L10953" t="s">
        <v>1358</v>
      </c>
    </row>
    <row r="10954" spans="1:13">
      <c r="H10954" t="s">
        <v>22440</v>
      </c>
      <c r="I10954" t="s">
        <v>1358</v>
      </c>
      <c r="J10954" t="s">
        <v>1358</v>
      </c>
      <c r="K10954" t="s">
        <v>1358</v>
      </c>
      <c r="L10954" t="s">
        <v>1358</v>
      </c>
    </row>
    <row r="10955" spans="1:13">
      <c r="H10955" t="s">
        <v>22441</v>
      </c>
      <c r="I10955" t="s">
        <v>1358</v>
      </c>
      <c r="J10955" t="s">
        <v>1358</v>
      </c>
      <c r="K10955" t="s">
        <v>1358</v>
      </c>
      <c r="L10955" t="s">
        <v>1358</v>
      </c>
    </row>
    <row r="10956" spans="1:13">
      <c r="H10956" t="s">
        <v>22442</v>
      </c>
      <c r="I10956" t="s">
        <v>1358</v>
      </c>
      <c r="J10956" t="s">
        <v>1358</v>
      </c>
      <c r="K10956" t="s">
        <v>1358</v>
      </c>
      <c r="L10956" t="s">
        <v>1358</v>
      </c>
    </row>
    <row r="10957" spans="1:13">
      <c r="A10957" t="s">
        <v>10532</v>
      </c>
      <c r="B10957">
        <f>HYPERLINK("https://android.googlesource.com/platform/cts/+/31758c5853246db35cf44e1cf837210612d936f6", "31758c5853246db35cf44e1cf837210612d936f6")</f>
        <v>0</v>
      </c>
      <c r="C10957">
        <f>HYPERLINK("https://android.googlesource.com/platform/cts/+/f49ff4fd1ba6c741f7435d7c39772b87e66d89a9", "f49ff4fd1ba6c741f7435d7c39772b87e66d89a9")</f>
        <v>0</v>
      </c>
      <c r="D10957" t="s">
        <v>12110</v>
      </c>
      <c r="E10957" t="s">
        <v>13086</v>
      </c>
      <c r="F10957" t="s">
        <v>14484</v>
      </c>
      <c r="G10957" t="s">
        <v>17330</v>
      </c>
      <c r="H10957" t="s">
        <v>22443</v>
      </c>
      <c r="I10957" t="s">
        <v>1357</v>
      </c>
      <c r="J10957" t="s">
        <v>1357</v>
      </c>
      <c r="K10957" t="s">
        <v>1357</v>
      </c>
      <c r="L10957" t="s">
        <v>1357</v>
      </c>
      <c r="M10957" t="s">
        <v>1360</v>
      </c>
    </row>
    <row r="10958" spans="1:13">
      <c r="A10958" t="s">
        <v>10533</v>
      </c>
      <c r="B10958">
        <f>HYPERLINK("https://android.googlesource.com/platform/cts/+/15e8f60a46b91864e039f608f5df8098b4483203", "15e8f60a46b91864e039f608f5df8098b4483203")</f>
        <v>0</v>
      </c>
      <c r="C10958">
        <f>HYPERLINK("https://android.googlesource.com/platform/cts/+/f49ff4fd1ba6c741f7435d7c39772b87e66d89a9", "f49ff4fd1ba6c741f7435d7c39772b87e66d89a9")</f>
        <v>0</v>
      </c>
      <c r="D10958" t="s">
        <v>12110</v>
      </c>
      <c r="E10958" t="s">
        <v>13087</v>
      </c>
      <c r="F10958" t="s">
        <v>16266</v>
      </c>
      <c r="G10958" t="s">
        <v>18939</v>
      </c>
      <c r="H10958" t="s">
        <v>22444</v>
      </c>
      <c r="I10958" t="s">
        <v>1358</v>
      </c>
      <c r="J10958" t="s">
        <v>1358</v>
      </c>
      <c r="K10958" t="s">
        <v>1358</v>
      </c>
      <c r="L10958" t="s">
        <v>1358</v>
      </c>
    </row>
    <row r="10959" spans="1:13">
      <c r="A10959" t="s">
        <v>10534</v>
      </c>
      <c r="B10959">
        <f>HYPERLINK("https://android.googlesource.com/platform/cts/+/66fe1509996c1e502fe306cd90cdccf512deaacc", "66fe1509996c1e502fe306cd90cdccf512deaacc")</f>
        <v>0</v>
      </c>
      <c r="C10959">
        <f>HYPERLINK("https://android.googlesource.com/platform/cts/+/90b60f9f09df1a72566ae19db1987575179ae2c9", "90b60f9f09df1a72566ae19db1987575179ae2c9")</f>
        <v>0</v>
      </c>
      <c r="D10959" t="s">
        <v>11999</v>
      </c>
      <c r="E10959" t="s">
        <v>13088</v>
      </c>
      <c r="F10959" t="s">
        <v>16267</v>
      </c>
      <c r="G10959" t="s">
        <v>18940</v>
      </c>
      <c r="H10959" t="s">
        <v>22445</v>
      </c>
      <c r="I10959" t="s">
        <v>1358</v>
      </c>
      <c r="J10959" t="s">
        <v>1358</v>
      </c>
      <c r="K10959" t="s">
        <v>1358</v>
      </c>
      <c r="L10959" t="s">
        <v>1358</v>
      </c>
    </row>
    <row r="10960" spans="1:13">
      <c r="A10960" t="s">
        <v>10535</v>
      </c>
      <c r="B10960">
        <f>HYPERLINK("https://android.googlesource.com/platform/cts/+/767d645f06defd335d7d4696d4639e7e0b6808bc", "767d645f06defd335d7d4696d4639e7e0b6808bc")</f>
        <v>0</v>
      </c>
      <c r="C10960">
        <f>HYPERLINK("https://android.googlesource.com/platform/cts/+/d8c0a46fb7b3085fc579312b64f595ed09a58a92", "d8c0a46fb7b3085fc579312b64f595ed09a58a92")</f>
        <v>0</v>
      </c>
      <c r="D10960" t="s">
        <v>12110</v>
      </c>
      <c r="E10960" t="s">
        <v>13089</v>
      </c>
      <c r="F10960" t="s">
        <v>16268</v>
      </c>
      <c r="G10960" t="s">
        <v>18941</v>
      </c>
      <c r="H10960" t="s">
        <v>22446</v>
      </c>
      <c r="I10960" t="s">
        <v>1358</v>
      </c>
      <c r="J10960" t="s">
        <v>1358</v>
      </c>
      <c r="K10960" t="s">
        <v>1358</v>
      </c>
      <c r="L10960" t="s">
        <v>1358</v>
      </c>
    </row>
    <row r="10961" spans="1:12">
      <c r="H10961" t="s">
        <v>22447</v>
      </c>
      <c r="I10961" t="s">
        <v>1358</v>
      </c>
      <c r="J10961" t="s">
        <v>1358</v>
      </c>
      <c r="K10961" t="s">
        <v>1358</v>
      </c>
      <c r="L10961" t="s">
        <v>1358</v>
      </c>
    </row>
    <row r="10962" spans="1:12">
      <c r="H10962" t="s">
        <v>22448</v>
      </c>
      <c r="I10962" t="s">
        <v>1358</v>
      </c>
      <c r="J10962" t="s">
        <v>1358</v>
      </c>
      <c r="K10962" t="s">
        <v>1358</v>
      </c>
      <c r="L10962" t="s">
        <v>1358</v>
      </c>
    </row>
    <row r="10963" spans="1:12">
      <c r="H10963" t="s">
        <v>22449</v>
      </c>
      <c r="I10963" t="s">
        <v>1358</v>
      </c>
      <c r="J10963" t="s">
        <v>1358</v>
      </c>
      <c r="K10963" t="s">
        <v>1358</v>
      </c>
      <c r="L10963" t="s">
        <v>1358</v>
      </c>
    </row>
    <row r="10964" spans="1:12">
      <c r="H10964" t="s">
        <v>22450</v>
      </c>
      <c r="I10964" t="s">
        <v>1358</v>
      </c>
      <c r="J10964" t="s">
        <v>1358</v>
      </c>
      <c r="K10964" t="s">
        <v>1358</v>
      </c>
      <c r="L10964" t="s">
        <v>1358</v>
      </c>
    </row>
    <row r="10965" spans="1:12">
      <c r="A10965" t="s">
        <v>10536</v>
      </c>
      <c r="B10965">
        <f>HYPERLINK("https://android.googlesource.com/platform/cts/+/f684504f461432b3688cd61350765ff48754d65e", "f684504f461432b3688cd61350765ff48754d65e")</f>
        <v>0</v>
      </c>
      <c r="C10965">
        <f>HYPERLINK("https://android.googlesource.com/platform/cts/+/f97935a20e2cfedc2a4e79cf4c0bb3efce1faa89", "f97935a20e2cfedc2a4e79cf4c0bb3efce1faa89")</f>
        <v>0</v>
      </c>
      <c r="D10965" t="s">
        <v>12138</v>
      </c>
      <c r="E10965" t="s">
        <v>13090</v>
      </c>
      <c r="F10965" t="s">
        <v>16269</v>
      </c>
      <c r="G10965" t="s">
        <v>18942</v>
      </c>
      <c r="H10965" t="s">
        <v>22451</v>
      </c>
      <c r="I10965" t="s">
        <v>1357</v>
      </c>
      <c r="J10965" t="s">
        <v>1357</v>
      </c>
      <c r="K10965" t="s">
        <v>1357</v>
      </c>
      <c r="L10965" t="s">
        <v>1357</v>
      </c>
    </row>
    <row r="10966" spans="1:12">
      <c r="H10966" t="s">
        <v>22452</v>
      </c>
      <c r="I10966" t="s">
        <v>1357</v>
      </c>
      <c r="J10966" t="s">
        <v>1357</v>
      </c>
      <c r="K10966" t="s">
        <v>1357</v>
      </c>
      <c r="L10966" t="s">
        <v>1357</v>
      </c>
    </row>
    <row r="10967" spans="1:12">
      <c r="H10967" t="s">
        <v>22453</v>
      </c>
      <c r="I10967" t="s">
        <v>1357</v>
      </c>
      <c r="J10967" t="s">
        <v>1357</v>
      </c>
      <c r="K10967" t="s">
        <v>1357</v>
      </c>
      <c r="L10967" t="s">
        <v>1357</v>
      </c>
    </row>
    <row r="10968" spans="1:12">
      <c r="H10968" t="s">
        <v>22454</v>
      </c>
      <c r="I10968" t="s">
        <v>1357</v>
      </c>
      <c r="J10968" t="s">
        <v>1357</v>
      </c>
      <c r="K10968" t="s">
        <v>1357</v>
      </c>
      <c r="L10968" t="s">
        <v>1357</v>
      </c>
    </row>
    <row r="10969" spans="1:12">
      <c r="H10969" t="s">
        <v>22455</v>
      </c>
      <c r="I10969" t="s">
        <v>1357</v>
      </c>
      <c r="J10969" t="s">
        <v>1357</v>
      </c>
      <c r="K10969" t="s">
        <v>1357</v>
      </c>
      <c r="L10969" t="s">
        <v>1357</v>
      </c>
    </row>
    <row r="10970" spans="1:12">
      <c r="A10970" t="s">
        <v>10537</v>
      </c>
      <c r="B10970">
        <f>HYPERLINK("https://android.googlesource.com/platform/cts/+/d9006caf57db7fe3a5f563d70ef60169d07e7ff7", "d9006caf57db7fe3a5f563d70ef60169d07e7ff7")</f>
        <v>0</v>
      </c>
      <c r="C10970">
        <f>HYPERLINK("https://android.googlesource.com/platform/cts/+/1192f209d52a9efd25d56a72a4805b61df9f3b24", "1192f209d52a9efd25d56a72a4805b61df9f3b24")</f>
        <v>0</v>
      </c>
      <c r="D10970" t="s">
        <v>12139</v>
      </c>
      <c r="E10970" t="s">
        <v>13091</v>
      </c>
      <c r="F10970" t="s">
        <v>16270</v>
      </c>
      <c r="G10970" t="s">
        <v>18943</v>
      </c>
      <c r="H10970" t="s">
        <v>22456</v>
      </c>
      <c r="I10970" t="s">
        <v>1357</v>
      </c>
      <c r="J10970" t="s">
        <v>1357</v>
      </c>
      <c r="K10970" t="s">
        <v>1357</v>
      </c>
      <c r="L10970" t="s">
        <v>1357</v>
      </c>
    </row>
    <row r="10971" spans="1:12">
      <c r="H10971" t="s">
        <v>22457</v>
      </c>
      <c r="I10971" t="s">
        <v>1357</v>
      </c>
      <c r="J10971" t="s">
        <v>1357</v>
      </c>
      <c r="K10971" t="s">
        <v>1357</v>
      </c>
      <c r="L10971" t="s">
        <v>1357</v>
      </c>
    </row>
    <row r="10972" spans="1:12">
      <c r="H10972" t="s">
        <v>22458</v>
      </c>
      <c r="I10972" t="s">
        <v>1357</v>
      </c>
      <c r="J10972" t="s">
        <v>1357</v>
      </c>
      <c r="K10972" t="s">
        <v>1357</v>
      </c>
      <c r="L10972" t="s">
        <v>1357</v>
      </c>
    </row>
    <row r="10973" spans="1:12">
      <c r="H10973" t="s">
        <v>22459</v>
      </c>
      <c r="I10973" t="s">
        <v>1357</v>
      </c>
      <c r="J10973" t="s">
        <v>1357</v>
      </c>
      <c r="K10973" t="s">
        <v>1357</v>
      </c>
      <c r="L10973" t="s">
        <v>1357</v>
      </c>
    </row>
    <row r="10974" spans="1:12">
      <c r="H10974" t="s">
        <v>22460</v>
      </c>
      <c r="I10974" t="s">
        <v>1357</v>
      </c>
      <c r="J10974" t="s">
        <v>1357</v>
      </c>
      <c r="K10974" t="s">
        <v>1357</v>
      </c>
      <c r="L10974" t="s">
        <v>1357</v>
      </c>
    </row>
    <row r="10975" spans="1:12">
      <c r="H10975" t="s">
        <v>22461</v>
      </c>
      <c r="I10975" t="s">
        <v>1357</v>
      </c>
      <c r="J10975" t="s">
        <v>1357</v>
      </c>
      <c r="K10975" t="s">
        <v>1357</v>
      </c>
      <c r="L10975" t="s">
        <v>1357</v>
      </c>
    </row>
    <row r="10976" spans="1:12">
      <c r="F10976" t="s">
        <v>16271</v>
      </c>
      <c r="G10976" t="s">
        <v>18944</v>
      </c>
      <c r="H10976" t="s">
        <v>22462</v>
      </c>
      <c r="I10976" t="s">
        <v>1357</v>
      </c>
      <c r="J10976" t="s">
        <v>1357</v>
      </c>
      <c r="K10976" t="s">
        <v>1357</v>
      </c>
      <c r="L10976" t="s">
        <v>1357</v>
      </c>
    </row>
    <row r="10977" spans="1:12">
      <c r="H10977" t="s">
        <v>22463</v>
      </c>
      <c r="I10977" t="s">
        <v>1357</v>
      </c>
      <c r="J10977" t="s">
        <v>1357</v>
      </c>
      <c r="K10977" t="s">
        <v>1357</v>
      </c>
      <c r="L10977" t="s">
        <v>1357</v>
      </c>
    </row>
    <row r="10978" spans="1:12">
      <c r="A10978" t="s">
        <v>10538</v>
      </c>
      <c r="B10978">
        <f>HYPERLINK("https://android.googlesource.com/platform/cts/+/e4200e69813353bfb78c36075139d6be646b40cb", "e4200e69813353bfb78c36075139d6be646b40cb")</f>
        <v>0</v>
      </c>
      <c r="C10978">
        <f>HYPERLINK("https://android.googlesource.com/platform/cts/+/e3d4bc066071c3e875896a4b224c7685d7160a12", "e3d4bc066071c3e875896a4b224c7685d7160a12")</f>
        <v>0</v>
      </c>
      <c r="D10978" t="s">
        <v>12047</v>
      </c>
      <c r="E10978" t="s">
        <v>13092</v>
      </c>
      <c r="F10978" t="s">
        <v>16272</v>
      </c>
      <c r="G10978" t="s">
        <v>18945</v>
      </c>
      <c r="H10978" t="s">
        <v>22464</v>
      </c>
      <c r="I10978" t="s">
        <v>1357</v>
      </c>
      <c r="J10978" t="s">
        <v>1357</v>
      </c>
      <c r="K10978" t="s">
        <v>1357</v>
      </c>
      <c r="L10978" t="s">
        <v>1357</v>
      </c>
    </row>
    <row r="10979" spans="1:12">
      <c r="A10979" t="s">
        <v>10539</v>
      </c>
      <c r="B10979">
        <f>HYPERLINK("https://android.googlesource.com/platform/cts/+/5e6da147809b4593f59c427b5205257e39e29f8e", "5e6da147809b4593f59c427b5205257e39e29f8e")</f>
        <v>0</v>
      </c>
      <c r="C10979">
        <f>HYPERLINK("https://android.googlesource.com/platform/cts/+/32971863a54533aa511889ae226e0a6fd9b0da8c", "32971863a54533aa511889ae226e0a6fd9b0da8c")</f>
        <v>0</v>
      </c>
      <c r="D10979" t="s">
        <v>12110</v>
      </c>
      <c r="E10979" t="s">
        <v>13093</v>
      </c>
      <c r="F10979" t="s">
        <v>14499</v>
      </c>
      <c r="G10979" t="s">
        <v>17345</v>
      </c>
      <c r="H10979" t="s">
        <v>22465</v>
      </c>
      <c r="I10979" t="s">
        <v>1358</v>
      </c>
      <c r="J10979" t="s">
        <v>1358</v>
      </c>
      <c r="K10979" t="s">
        <v>1358</v>
      </c>
      <c r="L10979" t="s">
        <v>1358</v>
      </c>
    </row>
    <row r="10980" spans="1:12">
      <c r="H10980" t="s">
        <v>22466</v>
      </c>
      <c r="I10980" t="s">
        <v>1358</v>
      </c>
      <c r="J10980" t="s">
        <v>1358</v>
      </c>
      <c r="K10980" t="s">
        <v>1358</v>
      </c>
      <c r="L10980" t="s">
        <v>1358</v>
      </c>
    </row>
    <row r="10981" spans="1:12">
      <c r="H10981" t="s">
        <v>22467</v>
      </c>
      <c r="I10981" t="s">
        <v>1358</v>
      </c>
      <c r="J10981" t="s">
        <v>1358</v>
      </c>
      <c r="K10981" t="s">
        <v>1358</v>
      </c>
      <c r="L10981" t="s">
        <v>1358</v>
      </c>
    </row>
    <row r="10982" spans="1:12">
      <c r="A10982" t="s">
        <v>10540</v>
      </c>
      <c r="B10982">
        <f>HYPERLINK("https://android.googlesource.com/platform/cts/+/616c3c4ff953538324d3b85b2f3d682a0bfd1cdb", "616c3c4ff953538324d3b85b2f3d682a0bfd1cdb")</f>
        <v>0</v>
      </c>
      <c r="C10982">
        <f>HYPERLINK("https://android.googlesource.com/platform/cts/+/58d4c3540bdd76be6ddef3118bf52a2bca8bb6eb", "58d4c3540bdd76be6ddef3118bf52a2bca8bb6eb")</f>
        <v>0</v>
      </c>
      <c r="D10982" t="s">
        <v>12100</v>
      </c>
      <c r="E10982" t="s">
        <v>13094</v>
      </c>
      <c r="F10982" t="s">
        <v>16273</v>
      </c>
      <c r="G10982" t="s">
        <v>18946</v>
      </c>
      <c r="H10982" t="s">
        <v>22468</v>
      </c>
      <c r="I10982" t="s">
        <v>1357</v>
      </c>
      <c r="J10982" t="s">
        <v>1357</v>
      </c>
      <c r="K10982" t="s">
        <v>1357</v>
      </c>
      <c r="L10982" t="s">
        <v>1357</v>
      </c>
    </row>
    <row r="10983" spans="1:12">
      <c r="A10983" t="s">
        <v>10541</v>
      </c>
      <c r="B10983">
        <f>HYPERLINK("https://android.googlesource.com/platform/cts/+/5b9ad98f81b3da14f5c2ca21722cd730d1a240fc", "5b9ad98f81b3da14f5c2ca21722cd730d1a240fc")</f>
        <v>0</v>
      </c>
      <c r="C10983">
        <f>HYPERLINK("https://android.googlesource.com/platform/cts/+/28df8eb84cc7779570cdaa39997bf65914472912", "28df8eb84cc7779570cdaa39997bf65914472912")</f>
        <v>0</v>
      </c>
      <c r="D10983" t="s">
        <v>12016</v>
      </c>
      <c r="E10983" t="s">
        <v>13095</v>
      </c>
      <c r="F10983" t="s">
        <v>14519</v>
      </c>
      <c r="G10983" t="s">
        <v>17364</v>
      </c>
      <c r="H10983" t="s">
        <v>22469</v>
      </c>
      <c r="I10983" t="s">
        <v>1357</v>
      </c>
      <c r="J10983" t="s">
        <v>1357</v>
      </c>
      <c r="K10983" t="s">
        <v>1357</v>
      </c>
      <c r="L10983" t="s">
        <v>1357</v>
      </c>
    </row>
    <row r="10984" spans="1:12">
      <c r="A10984" t="s">
        <v>10542</v>
      </c>
      <c r="B10984">
        <f>HYPERLINK("https://android.googlesource.com/platform/cts/+/1418a40f30d0316108794a8acd8da82a8b4b3b03", "1418a40f30d0316108794a8acd8da82a8b4b3b03")</f>
        <v>0</v>
      </c>
      <c r="C10984">
        <f>HYPERLINK("https://android.googlesource.com/platform/cts/+/ea04caf88fad4addb8cbf7e7ff2bb3d020f96272", "ea04caf88fad4addb8cbf7e7ff2bb3d020f96272")</f>
        <v>0</v>
      </c>
      <c r="D10984" t="s">
        <v>12115</v>
      </c>
      <c r="E10984" t="s">
        <v>13096</v>
      </c>
      <c r="F10984" t="s">
        <v>16274</v>
      </c>
      <c r="G10984" t="s">
        <v>18947</v>
      </c>
      <c r="H10984" t="s">
        <v>22470</v>
      </c>
      <c r="I10984" t="s">
        <v>1357</v>
      </c>
      <c r="J10984" t="s">
        <v>1357</v>
      </c>
      <c r="K10984" t="s">
        <v>1357</v>
      </c>
      <c r="L10984" t="s">
        <v>1357</v>
      </c>
    </row>
    <row r="10985" spans="1:12">
      <c r="H10985" t="s">
        <v>22471</v>
      </c>
      <c r="I10985" t="s">
        <v>1357</v>
      </c>
      <c r="J10985" t="s">
        <v>1357</v>
      </c>
      <c r="K10985" t="s">
        <v>1357</v>
      </c>
      <c r="L10985" t="s">
        <v>1357</v>
      </c>
    </row>
    <row r="10986" spans="1:12">
      <c r="F10986" t="s">
        <v>16275</v>
      </c>
      <c r="G10986" t="s">
        <v>18948</v>
      </c>
      <c r="H10986" t="s">
        <v>22472</v>
      </c>
      <c r="I10986" t="s">
        <v>1357</v>
      </c>
      <c r="J10986" t="s">
        <v>1357</v>
      </c>
      <c r="K10986" t="s">
        <v>1357</v>
      </c>
      <c r="L10986" t="s">
        <v>1357</v>
      </c>
    </row>
    <row r="10987" spans="1:12">
      <c r="H10987" t="s">
        <v>22473</v>
      </c>
      <c r="I10987" t="s">
        <v>1357</v>
      </c>
      <c r="J10987" t="s">
        <v>1357</v>
      </c>
      <c r="K10987" t="s">
        <v>1357</v>
      </c>
      <c r="L10987" t="s">
        <v>1357</v>
      </c>
    </row>
    <row r="10988" spans="1:12">
      <c r="H10988" t="s">
        <v>22474</v>
      </c>
      <c r="I10988" t="s">
        <v>1357</v>
      </c>
      <c r="J10988" t="s">
        <v>1357</v>
      </c>
      <c r="K10988" t="s">
        <v>1357</v>
      </c>
      <c r="L10988" t="s">
        <v>1357</v>
      </c>
    </row>
    <row r="10989" spans="1:12">
      <c r="H10989" t="s">
        <v>22475</v>
      </c>
      <c r="I10989" t="s">
        <v>1357</v>
      </c>
      <c r="J10989" t="s">
        <v>1357</v>
      </c>
      <c r="K10989" t="s">
        <v>1357</v>
      </c>
      <c r="L10989" t="s">
        <v>1357</v>
      </c>
    </row>
    <row r="10990" spans="1:12">
      <c r="H10990" t="s">
        <v>22476</v>
      </c>
      <c r="I10990" t="s">
        <v>1357</v>
      </c>
      <c r="J10990" t="s">
        <v>1357</v>
      </c>
      <c r="K10990" t="s">
        <v>1357</v>
      </c>
      <c r="L10990" t="s">
        <v>1357</v>
      </c>
    </row>
    <row r="10991" spans="1:12">
      <c r="F10991" t="s">
        <v>15169</v>
      </c>
      <c r="G10991" t="s">
        <v>17871</v>
      </c>
      <c r="H10991" t="s">
        <v>22477</v>
      </c>
      <c r="I10991" t="s">
        <v>1357</v>
      </c>
      <c r="J10991" t="s">
        <v>1357</v>
      </c>
      <c r="K10991" t="s">
        <v>1357</v>
      </c>
      <c r="L10991" t="s">
        <v>1357</v>
      </c>
    </row>
    <row r="10992" spans="1:12">
      <c r="H10992" t="s">
        <v>22478</v>
      </c>
      <c r="I10992" t="s">
        <v>1357</v>
      </c>
      <c r="J10992" t="s">
        <v>1357</v>
      </c>
      <c r="K10992" t="s">
        <v>1357</v>
      </c>
      <c r="L10992" t="s">
        <v>1357</v>
      </c>
    </row>
    <row r="10993" spans="6:12">
      <c r="H10993" t="s">
        <v>22479</v>
      </c>
      <c r="I10993" t="s">
        <v>1357</v>
      </c>
      <c r="J10993" t="s">
        <v>1357</v>
      </c>
      <c r="K10993" t="s">
        <v>1357</v>
      </c>
      <c r="L10993" t="s">
        <v>1357</v>
      </c>
    </row>
    <row r="10994" spans="6:12">
      <c r="H10994" t="s">
        <v>22480</v>
      </c>
      <c r="I10994" t="s">
        <v>1357</v>
      </c>
      <c r="J10994" t="s">
        <v>1357</v>
      </c>
      <c r="K10994" t="s">
        <v>1357</v>
      </c>
      <c r="L10994" t="s">
        <v>1357</v>
      </c>
    </row>
    <row r="10995" spans="6:12">
      <c r="H10995" t="s">
        <v>22481</v>
      </c>
      <c r="I10995" t="s">
        <v>1357</v>
      </c>
      <c r="J10995" t="s">
        <v>1357</v>
      </c>
      <c r="K10995" t="s">
        <v>1357</v>
      </c>
      <c r="L10995" t="s">
        <v>1357</v>
      </c>
    </row>
    <row r="10996" spans="6:12">
      <c r="H10996" t="s">
        <v>22482</v>
      </c>
      <c r="I10996" t="s">
        <v>1357</v>
      </c>
      <c r="J10996" t="s">
        <v>1357</v>
      </c>
      <c r="K10996" t="s">
        <v>1357</v>
      </c>
      <c r="L10996" t="s">
        <v>1357</v>
      </c>
    </row>
    <row r="10997" spans="6:12">
      <c r="F10997" t="s">
        <v>16276</v>
      </c>
      <c r="G10997" t="s">
        <v>18949</v>
      </c>
      <c r="H10997" t="s">
        <v>22483</v>
      </c>
      <c r="I10997" t="s">
        <v>1357</v>
      </c>
      <c r="J10997" t="s">
        <v>1357</v>
      </c>
      <c r="K10997" t="s">
        <v>1357</v>
      </c>
      <c r="L10997" t="s">
        <v>1357</v>
      </c>
    </row>
    <row r="10998" spans="6:12">
      <c r="H10998" t="s">
        <v>22484</v>
      </c>
      <c r="I10998" t="s">
        <v>1357</v>
      </c>
      <c r="J10998" t="s">
        <v>1357</v>
      </c>
      <c r="K10998" t="s">
        <v>1357</v>
      </c>
      <c r="L10998" t="s">
        <v>1357</v>
      </c>
    </row>
    <row r="10999" spans="6:12">
      <c r="H10999" t="s">
        <v>22485</v>
      </c>
      <c r="I10999" t="s">
        <v>1357</v>
      </c>
      <c r="J10999" t="s">
        <v>1357</v>
      </c>
      <c r="K10999" t="s">
        <v>1357</v>
      </c>
      <c r="L10999" t="s">
        <v>1357</v>
      </c>
    </row>
    <row r="11000" spans="6:12">
      <c r="H11000" t="s">
        <v>22486</v>
      </c>
      <c r="I11000" t="s">
        <v>1357</v>
      </c>
      <c r="J11000" t="s">
        <v>1357</v>
      </c>
      <c r="K11000" t="s">
        <v>1357</v>
      </c>
      <c r="L11000" t="s">
        <v>1357</v>
      </c>
    </row>
    <row r="11001" spans="6:12">
      <c r="H11001" t="s">
        <v>22487</v>
      </c>
      <c r="I11001" t="s">
        <v>1357</v>
      </c>
      <c r="J11001" t="s">
        <v>1357</v>
      </c>
      <c r="K11001" t="s">
        <v>1357</v>
      </c>
      <c r="L11001" t="s">
        <v>1357</v>
      </c>
    </row>
    <row r="11002" spans="6:12">
      <c r="H11002" t="s">
        <v>22488</v>
      </c>
      <c r="I11002" t="s">
        <v>1357</v>
      </c>
      <c r="J11002" t="s">
        <v>1357</v>
      </c>
      <c r="K11002" t="s">
        <v>1357</v>
      </c>
      <c r="L11002" t="s">
        <v>1357</v>
      </c>
    </row>
    <row r="11003" spans="6:12">
      <c r="H11003" t="s">
        <v>22489</v>
      </c>
      <c r="I11003" t="s">
        <v>1357</v>
      </c>
      <c r="J11003" t="s">
        <v>1357</v>
      </c>
      <c r="K11003" t="s">
        <v>1357</v>
      </c>
      <c r="L11003" t="s">
        <v>1357</v>
      </c>
    </row>
    <row r="11004" spans="6:12">
      <c r="H11004" t="s">
        <v>22490</v>
      </c>
      <c r="I11004" t="s">
        <v>1357</v>
      </c>
      <c r="J11004" t="s">
        <v>1357</v>
      </c>
      <c r="K11004" t="s">
        <v>1357</v>
      </c>
      <c r="L11004" t="s">
        <v>1357</v>
      </c>
    </row>
    <row r="11005" spans="6:12">
      <c r="H11005" t="s">
        <v>22491</v>
      </c>
      <c r="I11005" t="s">
        <v>1357</v>
      </c>
      <c r="J11005" t="s">
        <v>1357</v>
      </c>
      <c r="K11005" t="s">
        <v>1357</v>
      </c>
      <c r="L11005" t="s">
        <v>1357</v>
      </c>
    </row>
    <row r="11006" spans="6:12">
      <c r="H11006" t="s">
        <v>22492</v>
      </c>
      <c r="I11006" t="s">
        <v>1357</v>
      </c>
      <c r="J11006" t="s">
        <v>1357</v>
      </c>
      <c r="K11006" t="s">
        <v>1357</v>
      </c>
      <c r="L11006" t="s">
        <v>1357</v>
      </c>
    </row>
    <row r="11007" spans="6:12">
      <c r="H11007" t="s">
        <v>22493</v>
      </c>
      <c r="I11007" t="s">
        <v>1357</v>
      </c>
      <c r="J11007" t="s">
        <v>1357</v>
      </c>
      <c r="K11007" t="s">
        <v>1357</v>
      </c>
      <c r="L11007" t="s">
        <v>1357</v>
      </c>
    </row>
    <row r="11008" spans="6:12">
      <c r="H11008" t="s">
        <v>22494</v>
      </c>
      <c r="I11008" t="s">
        <v>1357</v>
      </c>
      <c r="J11008" t="s">
        <v>1357</v>
      </c>
      <c r="K11008" t="s">
        <v>1357</v>
      </c>
      <c r="L11008" t="s">
        <v>1357</v>
      </c>
    </row>
    <row r="11009" spans="6:12">
      <c r="H11009" t="s">
        <v>3960</v>
      </c>
      <c r="I11009" t="s">
        <v>1357</v>
      </c>
      <c r="J11009" t="s">
        <v>1357</v>
      </c>
      <c r="K11009" t="s">
        <v>1357</v>
      </c>
      <c r="L11009" t="s">
        <v>1357</v>
      </c>
    </row>
    <row r="11010" spans="6:12">
      <c r="H11010" t="s">
        <v>22495</v>
      </c>
      <c r="I11010" t="s">
        <v>1357</v>
      </c>
      <c r="J11010" t="s">
        <v>1357</v>
      </c>
      <c r="K11010" t="s">
        <v>1357</v>
      </c>
      <c r="L11010" t="s">
        <v>1357</v>
      </c>
    </row>
    <row r="11011" spans="6:12">
      <c r="F11011" t="s">
        <v>16277</v>
      </c>
      <c r="G11011" t="s">
        <v>18950</v>
      </c>
      <c r="H11011" t="s">
        <v>22496</v>
      </c>
      <c r="I11011" t="s">
        <v>1357</v>
      </c>
      <c r="J11011" t="s">
        <v>1357</v>
      </c>
      <c r="K11011" t="s">
        <v>1357</v>
      </c>
      <c r="L11011" t="s">
        <v>1357</v>
      </c>
    </row>
    <row r="11012" spans="6:12">
      <c r="F11012" t="s">
        <v>16278</v>
      </c>
      <c r="G11012" t="s">
        <v>18951</v>
      </c>
      <c r="H11012" t="s">
        <v>22497</v>
      </c>
      <c r="I11012" t="s">
        <v>1357</v>
      </c>
      <c r="J11012" t="s">
        <v>1357</v>
      </c>
      <c r="K11012" t="s">
        <v>1357</v>
      </c>
      <c r="L11012" t="s">
        <v>1357</v>
      </c>
    </row>
    <row r="11013" spans="6:12">
      <c r="H11013" t="s">
        <v>22498</v>
      </c>
      <c r="I11013" t="s">
        <v>1357</v>
      </c>
      <c r="J11013" t="s">
        <v>1357</v>
      </c>
      <c r="K11013" t="s">
        <v>1357</v>
      </c>
      <c r="L11013" t="s">
        <v>1357</v>
      </c>
    </row>
    <row r="11014" spans="6:12">
      <c r="H11014" t="s">
        <v>22499</v>
      </c>
      <c r="I11014" t="s">
        <v>1357</v>
      </c>
      <c r="J11014" t="s">
        <v>1357</v>
      </c>
      <c r="K11014" t="s">
        <v>1357</v>
      </c>
      <c r="L11014" t="s">
        <v>1357</v>
      </c>
    </row>
    <row r="11015" spans="6:12">
      <c r="H11015" t="s">
        <v>22500</v>
      </c>
      <c r="I11015" t="s">
        <v>1357</v>
      </c>
      <c r="J11015" t="s">
        <v>1357</v>
      </c>
      <c r="K11015" t="s">
        <v>1357</v>
      </c>
      <c r="L11015" t="s">
        <v>1357</v>
      </c>
    </row>
    <row r="11016" spans="6:12">
      <c r="F11016" t="s">
        <v>16279</v>
      </c>
      <c r="G11016" t="s">
        <v>18952</v>
      </c>
      <c r="H11016" t="s">
        <v>795</v>
      </c>
      <c r="I11016" t="s">
        <v>1357</v>
      </c>
      <c r="J11016" t="s">
        <v>1357</v>
      </c>
      <c r="K11016" t="s">
        <v>1357</v>
      </c>
      <c r="L11016" t="s">
        <v>1357</v>
      </c>
    </row>
    <row r="11017" spans="6:12">
      <c r="H11017" t="s">
        <v>1175</v>
      </c>
      <c r="I11017" t="s">
        <v>1357</v>
      </c>
      <c r="J11017" t="s">
        <v>1357</v>
      </c>
      <c r="K11017" t="s">
        <v>1357</v>
      </c>
      <c r="L11017" t="s">
        <v>1357</v>
      </c>
    </row>
    <row r="11018" spans="6:12">
      <c r="H11018" t="s">
        <v>22501</v>
      </c>
      <c r="I11018" t="s">
        <v>1357</v>
      </c>
      <c r="J11018" t="s">
        <v>1357</v>
      </c>
      <c r="K11018" t="s">
        <v>1357</v>
      </c>
      <c r="L11018" t="s">
        <v>1357</v>
      </c>
    </row>
    <row r="11019" spans="6:12">
      <c r="F11019" t="s">
        <v>16280</v>
      </c>
      <c r="G11019" t="s">
        <v>17901</v>
      </c>
      <c r="H11019" t="s">
        <v>22502</v>
      </c>
      <c r="I11019" t="s">
        <v>1357</v>
      </c>
      <c r="J11019" t="s">
        <v>1357</v>
      </c>
      <c r="K11019" t="s">
        <v>1357</v>
      </c>
      <c r="L11019" t="s">
        <v>1357</v>
      </c>
    </row>
    <row r="11020" spans="6:12">
      <c r="H11020" t="s">
        <v>22503</v>
      </c>
      <c r="I11020" t="s">
        <v>1357</v>
      </c>
      <c r="J11020" t="s">
        <v>1357</v>
      </c>
      <c r="K11020" t="s">
        <v>1357</v>
      </c>
      <c r="L11020" t="s">
        <v>1357</v>
      </c>
    </row>
    <row r="11021" spans="6:12">
      <c r="H11021" t="s">
        <v>22504</v>
      </c>
      <c r="I11021" t="s">
        <v>1357</v>
      </c>
      <c r="J11021" t="s">
        <v>1357</v>
      </c>
      <c r="K11021" t="s">
        <v>1357</v>
      </c>
      <c r="L11021" t="s">
        <v>1357</v>
      </c>
    </row>
    <row r="11022" spans="6:12">
      <c r="H11022" t="s">
        <v>22505</v>
      </c>
      <c r="I11022" t="s">
        <v>1357</v>
      </c>
      <c r="J11022" t="s">
        <v>1357</v>
      </c>
      <c r="K11022" t="s">
        <v>1357</v>
      </c>
      <c r="L11022" t="s">
        <v>1357</v>
      </c>
    </row>
    <row r="11023" spans="6:12">
      <c r="H11023" t="s">
        <v>22506</v>
      </c>
      <c r="I11023" t="s">
        <v>1357</v>
      </c>
      <c r="J11023" t="s">
        <v>1357</v>
      </c>
      <c r="K11023" t="s">
        <v>1357</v>
      </c>
      <c r="L11023" t="s">
        <v>1357</v>
      </c>
    </row>
    <row r="11024" spans="6:12">
      <c r="F11024" t="s">
        <v>16281</v>
      </c>
      <c r="G11024" t="s">
        <v>18953</v>
      </c>
      <c r="H11024" t="s">
        <v>22507</v>
      </c>
      <c r="I11024" t="s">
        <v>1357</v>
      </c>
      <c r="J11024" t="s">
        <v>1357</v>
      </c>
      <c r="K11024" t="s">
        <v>1357</v>
      </c>
      <c r="L11024" t="s">
        <v>1357</v>
      </c>
    </row>
    <row r="11025" spans="6:12">
      <c r="H11025" t="s">
        <v>22508</v>
      </c>
      <c r="I11025" t="s">
        <v>1357</v>
      </c>
      <c r="J11025" t="s">
        <v>1357</v>
      </c>
      <c r="K11025" t="s">
        <v>1357</v>
      </c>
      <c r="L11025" t="s">
        <v>1357</v>
      </c>
    </row>
    <row r="11026" spans="6:12">
      <c r="H11026" t="s">
        <v>22509</v>
      </c>
      <c r="I11026" t="s">
        <v>1357</v>
      </c>
      <c r="J11026" t="s">
        <v>1357</v>
      </c>
      <c r="K11026" t="s">
        <v>1357</v>
      </c>
      <c r="L11026" t="s">
        <v>1357</v>
      </c>
    </row>
    <row r="11027" spans="6:12">
      <c r="H11027" t="s">
        <v>22510</v>
      </c>
      <c r="I11027" t="s">
        <v>1357</v>
      </c>
      <c r="J11027" t="s">
        <v>1357</v>
      </c>
      <c r="K11027" t="s">
        <v>1357</v>
      </c>
      <c r="L11027" t="s">
        <v>1357</v>
      </c>
    </row>
    <row r="11028" spans="6:12">
      <c r="H11028" t="s">
        <v>22511</v>
      </c>
      <c r="I11028" t="s">
        <v>1357</v>
      </c>
      <c r="J11028" t="s">
        <v>1357</v>
      </c>
      <c r="K11028" t="s">
        <v>1357</v>
      </c>
      <c r="L11028" t="s">
        <v>1357</v>
      </c>
    </row>
    <row r="11029" spans="6:12">
      <c r="H11029" t="s">
        <v>22512</v>
      </c>
      <c r="I11029" t="s">
        <v>1357</v>
      </c>
      <c r="J11029" t="s">
        <v>1357</v>
      </c>
      <c r="K11029" t="s">
        <v>1357</v>
      </c>
      <c r="L11029" t="s">
        <v>1357</v>
      </c>
    </row>
    <row r="11030" spans="6:12">
      <c r="H11030" t="s">
        <v>22513</v>
      </c>
      <c r="I11030" t="s">
        <v>1357</v>
      </c>
      <c r="J11030" t="s">
        <v>1357</v>
      </c>
      <c r="K11030" t="s">
        <v>1357</v>
      </c>
      <c r="L11030" t="s">
        <v>1357</v>
      </c>
    </row>
    <row r="11031" spans="6:12">
      <c r="H11031" t="s">
        <v>22514</v>
      </c>
      <c r="I11031" t="s">
        <v>1357</v>
      </c>
      <c r="J11031" t="s">
        <v>1357</v>
      </c>
      <c r="K11031" t="s">
        <v>1357</v>
      </c>
      <c r="L11031" t="s">
        <v>1357</v>
      </c>
    </row>
    <row r="11032" spans="6:12">
      <c r="H11032" t="s">
        <v>22515</v>
      </c>
      <c r="I11032" t="s">
        <v>1357</v>
      </c>
      <c r="J11032" t="s">
        <v>1357</v>
      </c>
      <c r="K11032" t="s">
        <v>1357</v>
      </c>
      <c r="L11032" t="s">
        <v>1357</v>
      </c>
    </row>
    <row r="11033" spans="6:12">
      <c r="H11033" t="s">
        <v>22516</v>
      </c>
      <c r="I11033" t="s">
        <v>1357</v>
      </c>
      <c r="J11033" t="s">
        <v>1357</v>
      </c>
      <c r="K11033" t="s">
        <v>1357</v>
      </c>
      <c r="L11033" t="s">
        <v>1357</v>
      </c>
    </row>
    <row r="11034" spans="6:12">
      <c r="H11034" t="s">
        <v>22517</v>
      </c>
      <c r="I11034" t="s">
        <v>1357</v>
      </c>
      <c r="J11034" t="s">
        <v>1357</v>
      </c>
      <c r="K11034" t="s">
        <v>1357</v>
      </c>
      <c r="L11034" t="s">
        <v>1357</v>
      </c>
    </row>
    <row r="11035" spans="6:12">
      <c r="H11035" t="s">
        <v>22518</v>
      </c>
      <c r="I11035" t="s">
        <v>1357</v>
      </c>
      <c r="J11035" t="s">
        <v>1357</v>
      </c>
      <c r="K11035" t="s">
        <v>1357</v>
      </c>
      <c r="L11035" t="s">
        <v>1357</v>
      </c>
    </row>
    <row r="11036" spans="6:12">
      <c r="H11036" t="s">
        <v>22519</v>
      </c>
      <c r="I11036" t="s">
        <v>1357</v>
      </c>
      <c r="J11036" t="s">
        <v>1357</v>
      </c>
      <c r="K11036" t="s">
        <v>1357</v>
      </c>
      <c r="L11036" t="s">
        <v>1357</v>
      </c>
    </row>
    <row r="11037" spans="6:12">
      <c r="H11037" t="s">
        <v>22520</v>
      </c>
      <c r="I11037" t="s">
        <v>1357</v>
      </c>
      <c r="J11037" t="s">
        <v>1357</v>
      </c>
      <c r="K11037" t="s">
        <v>1357</v>
      </c>
      <c r="L11037" t="s">
        <v>1357</v>
      </c>
    </row>
    <row r="11038" spans="6:12">
      <c r="H11038" t="s">
        <v>22521</v>
      </c>
      <c r="I11038" t="s">
        <v>1357</v>
      </c>
      <c r="J11038" t="s">
        <v>1357</v>
      </c>
      <c r="K11038" t="s">
        <v>1357</v>
      </c>
      <c r="L11038" t="s">
        <v>1357</v>
      </c>
    </row>
    <row r="11039" spans="6:12">
      <c r="H11039" t="s">
        <v>22522</v>
      </c>
      <c r="I11039" t="s">
        <v>1357</v>
      </c>
      <c r="J11039" t="s">
        <v>1357</v>
      </c>
      <c r="K11039" t="s">
        <v>1357</v>
      </c>
      <c r="L11039" t="s">
        <v>1357</v>
      </c>
    </row>
    <row r="11040" spans="6:12">
      <c r="F11040" t="s">
        <v>16100</v>
      </c>
      <c r="G11040" t="s">
        <v>18789</v>
      </c>
      <c r="H11040" t="s">
        <v>22523</v>
      </c>
      <c r="I11040" t="s">
        <v>1357</v>
      </c>
      <c r="J11040" t="s">
        <v>1357</v>
      </c>
      <c r="K11040" t="s">
        <v>1357</v>
      </c>
      <c r="L11040" t="s">
        <v>1357</v>
      </c>
    </row>
    <row r="11041" spans="8:12">
      <c r="H11041" t="s">
        <v>22524</v>
      </c>
      <c r="I11041" t="s">
        <v>1357</v>
      </c>
      <c r="J11041" t="s">
        <v>1357</v>
      </c>
      <c r="K11041" t="s">
        <v>1357</v>
      </c>
      <c r="L11041" t="s">
        <v>1357</v>
      </c>
    </row>
    <row r="11042" spans="8:12">
      <c r="H11042" t="s">
        <v>22525</v>
      </c>
      <c r="I11042" t="s">
        <v>1357</v>
      </c>
      <c r="J11042" t="s">
        <v>1357</v>
      </c>
      <c r="K11042" t="s">
        <v>1357</v>
      </c>
      <c r="L11042" t="s">
        <v>1357</v>
      </c>
    </row>
    <row r="11043" spans="8:12">
      <c r="H11043" t="s">
        <v>22526</v>
      </c>
      <c r="I11043" t="s">
        <v>1357</v>
      </c>
      <c r="J11043" t="s">
        <v>1357</v>
      </c>
      <c r="K11043" t="s">
        <v>1357</v>
      </c>
      <c r="L11043" t="s">
        <v>1357</v>
      </c>
    </row>
    <row r="11044" spans="8:12">
      <c r="H11044" t="s">
        <v>22527</v>
      </c>
      <c r="I11044" t="s">
        <v>1357</v>
      </c>
      <c r="J11044" t="s">
        <v>1357</v>
      </c>
      <c r="K11044" t="s">
        <v>1357</v>
      </c>
      <c r="L11044" t="s">
        <v>1357</v>
      </c>
    </row>
    <row r="11045" spans="8:12">
      <c r="H11045" t="s">
        <v>22528</v>
      </c>
      <c r="I11045" t="s">
        <v>1357</v>
      </c>
      <c r="J11045" t="s">
        <v>1357</v>
      </c>
      <c r="K11045" t="s">
        <v>1357</v>
      </c>
      <c r="L11045" t="s">
        <v>1357</v>
      </c>
    </row>
    <row r="11046" spans="8:12">
      <c r="H11046" t="s">
        <v>22529</v>
      </c>
      <c r="I11046" t="s">
        <v>1357</v>
      </c>
      <c r="J11046" t="s">
        <v>1357</v>
      </c>
      <c r="K11046" t="s">
        <v>1357</v>
      </c>
      <c r="L11046" t="s">
        <v>1357</v>
      </c>
    </row>
    <row r="11047" spans="8:12">
      <c r="H11047" t="s">
        <v>22530</v>
      </c>
      <c r="I11047" t="s">
        <v>1357</v>
      </c>
      <c r="J11047" t="s">
        <v>1357</v>
      </c>
      <c r="K11047" t="s">
        <v>1357</v>
      </c>
      <c r="L11047" t="s">
        <v>1357</v>
      </c>
    </row>
    <row r="11048" spans="8:12">
      <c r="H11048" t="s">
        <v>22531</v>
      </c>
      <c r="I11048" t="s">
        <v>1357</v>
      </c>
      <c r="J11048" t="s">
        <v>1357</v>
      </c>
      <c r="K11048" t="s">
        <v>1357</v>
      </c>
      <c r="L11048" t="s">
        <v>1357</v>
      </c>
    </row>
    <row r="11049" spans="8:12">
      <c r="H11049" t="s">
        <v>22532</v>
      </c>
      <c r="I11049" t="s">
        <v>1357</v>
      </c>
      <c r="J11049" t="s">
        <v>1357</v>
      </c>
      <c r="K11049" t="s">
        <v>1357</v>
      </c>
      <c r="L11049" t="s">
        <v>1357</v>
      </c>
    </row>
    <row r="11050" spans="8:12">
      <c r="H11050" t="s">
        <v>22533</v>
      </c>
      <c r="I11050" t="s">
        <v>1357</v>
      </c>
      <c r="J11050" t="s">
        <v>1357</v>
      </c>
      <c r="K11050" t="s">
        <v>1357</v>
      </c>
      <c r="L11050" t="s">
        <v>1357</v>
      </c>
    </row>
    <row r="11051" spans="8:12">
      <c r="H11051" t="s">
        <v>22534</v>
      </c>
      <c r="I11051" t="s">
        <v>1357</v>
      </c>
      <c r="J11051" t="s">
        <v>1357</v>
      </c>
      <c r="K11051" t="s">
        <v>1357</v>
      </c>
      <c r="L11051" t="s">
        <v>1357</v>
      </c>
    </row>
    <row r="11052" spans="8:12">
      <c r="H11052" t="s">
        <v>22535</v>
      </c>
      <c r="I11052" t="s">
        <v>1357</v>
      </c>
      <c r="J11052" t="s">
        <v>1357</v>
      </c>
      <c r="K11052" t="s">
        <v>1357</v>
      </c>
      <c r="L11052" t="s">
        <v>1357</v>
      </c>
    </row>
    <row r="11053" spans="8:12">
      <c r="H11053" t="s">
        <v>22536</v>
      </c>
      <c r="I11053" t="s">
        <v>1357</v>
      </c>
      <c r="J11053" t="s">
        <v>1357</v>
      </c>
      <c r="K11053" t="s">
        <v>1357</v>
      </c>
      <c r="L11053" t="s">
        <v>1357</v>
      </c>
    </row>
    <row r="11054" spans="8:12">
      <c r="H11054" t="s">
        <v>22537</v>
      </c>
      <c r="I11054" t="s">
        <v>1357</v>
      </c>
      <c r="J11054" t="s">
        <v>1357</v>
      </c>
      <c r="K11054" t="s">
        <v>1357</v>
      </c>
      <c r="L11054" t="s">
        <v>1357</v>
      </c>
    </row>
    <row r="11055" spans="8:12">
      <c r="H11055" t="s">
        <v>22538</v>
      </c>
      <c r="I11055" t="s">
        <v>1357</v>
      </c>
      <c r="J11055" t="s">
        <v>1357</v>
      </c>
      <c r="K11055" t="s">
        <v>1357</v>
      </c>
      <c r="L11055" t="s">
        <v>1357</v>
      </c>
    </row>
    <row r="11056" spans="8:12">
      <c r="H11056" t="s">
        <v>22539</v>
      </c>
      <c r="I11056" t="s">
        <v>1357</v>
      </c>
      <c r="J11056" t="s">
        <v>1357</v>
      </c>
      <c r="K11056" t="s">
        <v>1357</v>
      </c>
      <c r="L11056" t="s">
        <v>1357</v>
      </c>
    </row>
    <row r="11057" spans="8:12">
      <c r="H11057" t="s">
        <v>22540</v>
      </c>
      <c r="I11057" t="s">
        <v>1357</v>
      </c>
      <c r="J11057" t="s">
        <v>1357</v>
      </c>
      <c r="K11057" t="s">
        <v>1357</v>
      </c>
      <c r="L11057" t="s">
        <v>1357</v>
      </c>
    </row>
    <row r="11058" spans="8:12">
      <c r="H11058" t="s">
        <v>22541</v>
      </c>
      <c r="I11058" t="s">
        <v>1357</v>
      </c>
      <c r="J11058" t="s">
        <v>1357</v>
      </c>
      <c r="K11058" t="s">
        <v>1357</v>
      </c>
      <c r="L11058" t="s">
        <v>1357</v>
      </c>
    </row>
    <row r="11059" spans="8:12">
      <c r="H11059" t="s">
        <v>22542</v>
      </c>
      <c r="I11059" t="s">
        <v>1357</v>
      </c>
      <c r="J11059" t="s">
        <v>1357</v>
      </c>
      <c r="K11059" t="s">
        <v>1357</v>
      </c>
      <c r="L11059" t="s">
        <v>1357</v>
      </c>
    </row>
    <row r="11060" spans="8:12">
      <c r="H11060" t="s">
        <v>22543</v>
      </c>
      <c r="I11060" t="s">
        <v>1357</v>
      </c>
      <c r="J11060" t="s">
        <v>1357</v>
      </c>
      <c r="K11060" t="s">
        <v>1357</v>
      </c>
      <c r="L11060" t="s">
        <v>1357</v>
      </c>
    </row>
    <row r="11061" spans="8:12">
      <c r="H11061" t="s">
        <v>22544</v>
      </c>
      <c r="I11061" t="s">
        <v>1357</v>
      </c>
      <c r="J11061" t="s">
        <v>1357</v>
      </c>
      <c r="K11061" t="s">
        <v>1357</v>
      </c>
      <c r="L11061" t="s">
        <v>1357</v>
      </c>
    </row>
    <row r="11062" spans="8:12">
      <c r="H11062" t="s">
        <v>22545</v>
      </c>
      <c r="I11062" t="s">
        <v>1357</v>
      </c>
      <c r="J11062" t="s">
        <v>1357</v>
      </c>
      <c r="K11062" t="s">
        <v>1357</v>
      </c>
      <c r="L11062" t="s">
        <v>1357</v>
      </c>
    </row>
    <row r="11063" spans="8:12">
      <c r="H11063" t="s">
        <v>22546</v>
      </c>
      <c r="I11063" t="s">
        <v>1357</v>
      </c>
      <c r="J11063" t="s">
        <v>1357</v>
      </c>
      <c r="K11063" t="s">
        <v>1357</v>
      </c>
      <c r="L11063" t="s">
        <v>1357</v>
      </c>
    </row>
    <row r="11064" spans="8:12">
      <c r="H11064" t="s">
        <v>22547</v>
      </c>
      <c r="I11064" t="s">
        <v>1357</v>
      </c>
      <c r="J11064" t="s">
        <v>1357</v>
      </c>
      <c r="K11064" t="s">
        <v>1357</v>
      </c>
      <c r="L11064" t="s">
        <v>1357</v>
      </c>
    </row>
    <row r="11065" spans="8:12">
      <c r="H11065" t="s">
        <v>22548</v>
      </c>
      <c r="I11065" t="s">
        <v>1357</v>
      </c>
      <c r="J11065" t="s">
        <v>1357</v>
      </c>
      <c r="K11065" t="s">
        <v>1357</v>
      </c>
      <c r="L11065" t="s">
        <v>1357</v>
      </c>
    </row>
    <row r="11066" spans="8:12">
      <c r="H11066" t="s">
        <v>22549</v>
      </c>
      <c r="I11066" t="s">
        <v>1357</v>
      </c>
      <c r="J11066" t="s">
        <v>1357</v>
      </c>
      <c r="K11066" t="s">
        <v>1357</v>
      </c>
      <c r="L11066" t="s">
        <v>1357</v>
      </c>
    </row>
    <row r="11067" spans="8:12">
      <c r="H11067" t="s">
        <v>22550</v>
      </c>
      <c r="I11067" t="s">
        <v>1357</v>
      </c>
      <c r="J11067" t="s">
        <v>1357</v>
      </c>
      <c r="K11067" t="s">
        <v>1357</v>
      </c>
      <c r="L11067" t="s">
        <v>1357</v>
      </c>
    </row>
    <row r="11068" spans="8:12">
      <c r="H11068" t="s">
        <v>22551</v>
      </c>
      <c r="I11068" t="s">
        <v>1357</v>
      </c>
      <c r="J11068" t="s">
        <v>1357</v>
      </c>
      <c r="K11068" t="s">
        <v>1357</v>
      </c>
      <c r="L11068" t="s">
        <v>1357</v>
      </c>
    </row>
    <row r="11069" spans="8:12">
      <c r="H11069" t="s">
        <v>22552</v>
      </c>
      <c r="I11069" t="s">
        <v>1357</v>
      </c>
      <c r="J11069" t="s">
        <v>1357</v>
      </c>
      <c r="K11069" t="s">
        <v>1357</v>
      </c>
      <c r="L11069" t="s">
        <v>1357</v>
      </c>
    </row>
    <row r="11070" spans="8:12">
      <c r="H11070" t="s">
        <v>22553</v>
      </c>
      <c r="I11070" t="s">
        <v>1357</v>
      </c>
      <c r="J11070" t="s">
        <v>1357</v>
      </c>
      <c r="K11070" t="s">
        <v>1357</v>
      </c>
      <c r="L11070" t="s">
        <v>1357</v>
      </c>
    </row>
    <row r="11071" spans="8:12">
      <c r="H11071" t="s">
        <v>22554</v>
      </c>
      <c r="I11071" t="s">
        <v>1357</v>
      </c>
      <c r="J11071" t="s">
        <v>1357</v>
      </c>
      <c r="K11071" t="s">
        <v>1357</v>
      </c>
      <c r="L11071" t="s">
        <v>1357</v>
      </c>
    </row>
    <row r="11072" spans="8:12">
      <c r="H11072" t="s">
        <v>22555</v>
      </c>
      <c r="I11072" t="s">
        <v>1357</v>
      </c>
      <c r="J11072" t="s">
        <v>1357</v>
      </c>
      <c r="K11072" t="s">
        <v>1357</v>
      </c>
      <c r="L11072" t="s">
        <v>1357</v>
      </c>
    </row>
    <row r="11073" spans="8:12">
      <c r="H11073" t="s">
        <v>22556</v>
      </c>
      <c r="I11073" t="s">
        <v>1357</v>
      </c>
      <c r="J11073" t="s">
        <v>1357</v>
      </c>
      <c r="K11073" t="s">
        <v>1357</v>
      </c>
      <c r="L11073" t="s">
        <v>1357</v>
      </c>
    </row>
    <row r="11074" spans="8:12">
      <c r="H11074" t="s">
        <v>22557</v>
      </c>
      <c r="I11074" t="s">
        <v>1357</v>
      </c>
      <c r="J11074" t="s">
        <v>1357</v>
      </c>
      <c r="K11074" t="s">
        <v>1357</v>
      </c>
      <c r="L11074" t="s">
        <v>1357</v>
      </c>
    </row>
    <row r="11075" spans="8:12">
      <c r="H11075" t="s">
        <v>22558</v>
      </c>
      <c r="I11075" t="s">
        <v>1357</v>
      </c>
      <c r="J11075" t="s">
        <v>1357</v>
      </c>
      <c r="K11075" t="s">
        <v>1357</v>
      </c>
      <c r="L11075" t="s">
        <v>1357</v>
      </c>
    </row>
    <row r="11076" spans="8:12">
      <c r="H11076" t="s">
        <v>22559</v>
      </c>
      <c r="I11076" t="s">
        <v>1357</v>
      </c>
      <c r="J11076" t="s">
        <v>1357</v>
      </c>
      <c r="K11076" t="s">
        <v>1357</v>
      </c>
      <c r="L11076" t="s">
        <v>1357</v>
      </c>
    </row>
    <row r="11077" spans="8:12">
      <c r="H11077" t="s">
        <v>22560</v>
      </c>
      <c r="I11077" t="s">
        <v>1357</v>
      </c>
      <c r="J11077" t="s">
        <v>1357</v>
      </c>
      <c r="K11077" t="s">
        <v>1357</v>
      </c>
      <c r="L11077" t="s">
        <v>1357</v>
      </c>
    </row>
    <row r="11078" spans="8:12">
      <c r="H11078" t="s">
        <v>22561</v>
      </c>
      <c r="I11078" t="s">
        <v>1357</v>
      </c>
      <c r="J11078" t="s">
        <v>1357</v>
      </c>
      <c r="K11078" t="s">
        <v>1357</v>
      </c>
      <c r="L11078" t="s">
        <v>1357</v>
      </c>
    </row>
    <row r="11079" spans="8:12">
      <c r="H11079" t="s">
        <v>22562</v>
      </c>
      <c r="I11079" t="s">
        <v>1357</v>
      </c>
      <c r="J11079" t="s">
        <v>1357</v>
      </c>
      <c r="K11079" t="s">
        <v>1357</v>
      </c>
      <c r="L11079" t="s">
        <v>1357</v>
      </c>
    </row>
    <row r="11080" spans="8:12">
      <c r="H11080" t="s">
        <v>22563</v>
      </c>
      <c r="I11080" t="s">
        <v>1357</v>
      </c>
      <c r="J11080" t="s">
        <v>1357</v>
      </c>
      <c r="K11080" t="s">
        <v>1357</v>
      </c>
      <c r="L11080" t="s">
        <v>1357</v>
      </c>
    </row>
    <row r="11081" spans="8:12">
      <c r="H11081" t="s">
        <v>22564</v>
      </c>
      <c r="I11081" t="s">
        <v>1357</v>
      </c>
      <c r="J11081" t="s">
        <v>1357</v>
      </c>
      <c r="K11081" t="s">
        <v>1357</v>
      </c>
      <c r="L11081" t="s">
        <v>1357</v>
      </c>
    </row>
    <row r="11082" spans="8:12">
      <c r="H11082" t="s">
        <v>22565</v>
      </c>
      <c r="I11082" t="s">
        <v>1357</v>
      </c>
      <c r="J11082" t="s">
        <v>1357</v>
      </c>
      <c r="K11082" t="s">
        <v>1357</v>
      </c>
      <c r="L11082" t="s">
        <v>1357</v>
      </c>
    </row>
    <row r="11083" spans="8:12">
      <c r="H11083" t="s">
        <v>22566</v>
      </c>
      <c r="I11083" t="s">
        <v>1357</v>
      </c>
      <c r="J11083" t="s">
        <v>1357</v>
      </c>
      <c r="K11083" t="s">
        <v>1357</v>
      </c>
      <c r="L11083" t="s">
        <v>1357</v>
      </c>
    </row>
    <row r="11084" spans="8:12">
      <c r="H11084" t="s">
        <v>22567</v>
      </c>
      <c r="I11084" t="s">
        <v>1357</v>
      </c>
      <c r="J11084" t="s">
        <v>1357</v>
      </c>
      <c r="K11084" t="s">
        <v>1357</v>
      </c>
      <c r="L11084" t="s">
        <v>1357</v>
      </c>
    </row>
    <row r="11085" spans="8:12">
      <c r="H11085" t="s">
        <v>22568</v>
      </c>
      <c r="I11085" t="s">
        <v>1357</v>
      </c>
      <c r="J11085" t="s">
        <v>1357</v>
      </c>
      <c r="K11085" t="s">
        <v>1357</v>
      </c>
      <c r="L11085" t="s">
        <v>1357</v>
      </c>
    </row>
    <row r="11086" spans="8:12">
      <c r="H11086" t="s">
        <v>22569</v>
      </c>
      <c r="I11086" t="s">
        <v>1357</v>
      </c>
      <c r="J11086" t="s">
        <v>1357</v>
      </c>
      <c r="K11086" t="s">
        <v>1357</v>
      </c>
      <c r="L11086" t="s">
        <v>1357</v>
      </c>
    </row>
    <row r="11087" spans="8:12">
      <c r="H11087" t="s">
        <v>22570</v>
      </c>
      <c r="I11087" t="s">
        <v>1357</v>
      </c>
      <c r="J11087" t="s">
        <v>1357</v>
      </c>
      <c r="K11087" t="s">
        <v>1357</v>
      </c>
      <c r="L11087" t="s">
        <v>1357</v>
      </c>
    </row>
    <row r="11088" spans="8:12">
      <c r="H11088" t="s">
        <v>22571</v>
      </c>
      <c r="I11088" t="s">
        <v>1357</v>
      </c>
      <c r="J11088" t="s">
        <v>1357</v>
      </c>
      <c r="K11088" t="s">
        <v>1357</v>
      </c>
      <c r="L11088" t="s">
        <v>1357</v>
      </c>
    </row>
    <row r="11089" spans="6:13">
      <c r="H11089" t="s">
        <v>22572</v>
      </c>
      <c r="I11089" t="s">
        <v>1357</v>
      </c>
      <c r="J11089" t="s">
        <v>1357</v>
      </c>
      <c r="K11089" t="s">
        <v>1357</v>
      </c>
      <c r="L11089" t="s">
        <v>1357</v>
      </c>
    </row>
    <row r="11090" spans="6:13">
      <c r="H11090" t="s">
        <v>22573</v>
      </c>
      <c r="I11090" t="s">
        <v>1357</v>
      </c>
      <c r="J11090" t="s">
        <v>1357</v>
      </c>
      <c r="K11090" t="s">
        <v>1357</v>
      </c>
      <c r="L11090" t="s">
        <v>1357</v>
      </c>
    </row>
    <row r="11091" spans="6:13">
      <c r="H11091" t="s">
        <v>22574</v>
      </c>
      <c r="I11091" t="s">
        <v>1357</v>
      </c>
      <c r="J11091" t="s">
        <v>1357</v>
      </c>
      <c r="K11091" t="s">
        <v>1357</v>
      </c>
      <c r="L11091" t="s">
        <v>1357</v>
      </c>
    </row>
    <row r="11092" spans="6:13">
      <c r="H11092" t="s">
        <v>22575</v>
      </c>
      <c r="I11092" t="s">
        <v>1357</v>
      </c>
      <c r="J11092" t="s">
        <v>1357</v>
      </c>
      <c r="K11092" t="s">
        <v>1357</v>
      </c>
      <c r="L11092" t="s">
        <v>1357</v>
      </c>
    </row>
    <row r="11093" spans="6:13">
      <c r="H11093" t="s">
        <v>22576</v>
      </c>
      <c r="I11093" t="s">
        <v>1357</v>
      </c>
      <c r="J11093" t="s">
        <v>1357</v>
      </c>
      <c r="K11093" t="s">
        <v>1357</v>
      </c>
      <c r="L11093" t="s">
        <v>1357</v>
      </c>
    </row>
    <row r="11094" spans="6:13">
      <c r="H11094" t="s">
        <v>22577</v>
      </c>
      <c r="I11094" t="s">
        <v>1357</v>
      </c>
      <c r="J11094" t="s">
        <v>1357</v>
      </c>
      <c r="K11094" t="s">
        <v>1357</v>
      </c>
      <c r="L11094" t="s">
        <v>1357</v>
      </c>
    </row>
    <row r="11095" spans="6:13">
      <c r="H11095" t="s">
        <v>22578</v>
      </c>
      <c r="I11095" t="s">
        <v>1357</v>
      </c>
      <c r="J11095" t="s">
        <v>1357</v>
      </c>
      <c r="K11095" t="s">
        <v>1357</v>
      </c>
      <c r="L11095" t="s">
        <v>1357</v>
      </c>
    </row>
    <row r="11096" spans="6:13">
      <c r="F11096" t="s">
        <v>16282</v>
      </c>
      <c r="G11096" t="s">
        <v>18954</v>
      </c>
      <c r="H11096" t="s">
        <v>22579</v>
      </c>
      <c r="I11096" t="s">
        <v>1357</v>
      </c>
      <c r="J11096" t="s">
        <v>1357</v>
      </c>
      <c r="K11096" t="s">
        <v>1357</v>
      </c>
      <c r="L11096" t="s">
        <v>1357</v>
      </c>
    </row>
    <row r="11097" spans="6:13">
      <c r="H11097" t="s">
        <v>22580</v>
      </c>
      <c r="I11097" t="s">
        <v>1357</v>
      </c>
      <c r="J11097" t="s">
        <v>1357</v>
      </c>
      <c r="K11097" t="s">
        <v>1357</v>
      </c>
      <c r="L11097" t="s">
        <v>1357</v>
      </c>
    </row>
    <row r="11098" spans="6:13">
      <c r="H11098" t="s">
        <v>22581</v>
      </c>
      <c r="I11098" t="s">
        <v>1357</v>
      </c>
      <c r="J11098" t="s">
        <v>1357</v>
      </c>
      <c r="K11098" t="s">
        <v>1357</v>
      </c>
      <c r="L11098" t="s">
        <v>1357</v>
      </c>
    </row>
    <row r="11099" spans="6:13">
      <c r="H11099" t="s">
        <v>22582</v>
      </c>
      <c r="I11099" t="s">
        <v>1357</v>
      </c>
      <c r="J11099" t="s">
        <v>1357</v>
      </c>
      <c r="K11099" t="s">
        <v>1357</v>
      </c>
      <c r="L11099" t="s">
        <v>1357</v>
      </c>
    </row>
    <row r="11100" spans="6:13">
      <c r="F11100" t="s">
        <v>16283</v>
      </c>
      <c r="G11100" t="s">
        <v>18955</v>
      </c>
      <c r="H11100" t="s">
        <v>8753</v>
      </c>
      <c r="I11100" t="s">
        <v>1358</v>
      </c>
      <c r="J11100" t="s">
        <v>1358</v>
      </c>
      <c r="K11100" t="s">
        <v>1358</v>
      </c>
      <c r="L11100" t="s">
        <v>1358</v>
      </c>
      <c r="M11100" t="s">
        <v>27481</v>
      </c>
    </row>
    <row r="11101" spans="6:13">
      <c r="H11101" t="s">
        <v>22583</v>
      </c>
      <c r="I11101" t="s">
        <v>1357</v>
      </c>
      <c r="J11101" t="s">
        <v>1357</v>
      </c>
      <c r="K11101" t="s">
        <v>1357</v>
      </c>
      <c r="L11101" t="s">
        <v>1357</v>
      </c>
    </row>
    <row r="11102" spans="6:13">
      <c r="F11102" t="s">
        <v>16284</v>
      </c>
      <c r="G11102" t="s">
        <v>18786</v>
      </c>
      <c r="H11102" t="s">
        <v>22584</v>
      </c>
      <c r="I11102" t="s">
        <v>1357</v>
      </c>
      <c r="J11102" t="s">
        <v>1357</v>
      </c>
      <c r="K11102" t="s">
        <v>1357</v>
      </c>
      <c r="L11102" t="s">
        <v>1357</v>
      </c>
    </row>
    <row r="11103" spans="6:13">
      <c r="H11103" t="s">
        <v>22585</v>
      </c>
      <c r="I11103" t="s">
        <v>1357</v>
      </c>
      <c r="J11103" t="s">
        <v>1357</v>
      </c>
      <c r="K11103" t="s">
        <v>1357</v>
      </c>
      <c r="L11103" t="s">
        <v>1357</v>
      </c>
    </row>
    <row r="11104" spans="6:13">
      <c r="H11104" t="s">
        <v>22586</v>
      </c>
      <c r="I11104" t="s">
        <v>1357</v>
      </c>
      <c r="J11104" t="s">
        <v>1357</v>
      </c>
      <c r="K11104" t="s">
        <v>1357</v>
      </c>
      <c r="L11104" t="s">
        <v>1357</v>
      </c>
    </row>
    <row r="11105" spans="6:12">
      <c r="H11105" t="s">
        <v>22587</v>
      </c>
      <c r="I11105" t="s">
        <v>1357</v>
      </c>
      <c r="J11105" t="s">
        <v>1357</v>
      </c>
      <c r="K11105" t="s">
        <v>1357</v>
      </c>
      <c r="L11105" t="s">
        <v>1357</v>
      </c>
    </row>
    <row r="11106" spans="6:12">
      <c r="H11106" t="s">
        <v>22588</v>
      </c>
      <c r="I11106" t="s">
        <v>1357</v>
      </c>
      <c r="J11106" t="s">
        <v>1357</v>
      </c>
      <c r="K11106" t="s">
        <v>1357</v>
      </c>
      <c r="L11106" t="s">
        <v>1357</v>
      </c>
    </row>
    <row r="11107" spans="6:12">
      <c r="H11107" t="s">
        <v>22589</v>
      </c>
      <c r="I11107" t="s">
        <v>1357</v>
      </c>
      <c r="J11107" t="s">
        <v>1357</v>
      </c>
      <c r="K11107" t="s">
        <v>1357</v>
      </c>
      <c r="L11107" t="s">
        <v>1357</v>
      </c>
    </row>
    <row r="11108" spans="6:12">
      <c r="H11108" t="s">
        <v>22590</v>
      </c>
      <c r="I11108" t="s">
        <v>1357</v>
      </c>
      <c r="J11108" t="s">
        <v>1357</v>
      </c>
      <c r="K11108" t="s">
        <v>1357</v>
      </c>
      <c r="L11108" t="s">
        <v>1357</v>
      </c>
    </row>
    <row r="11109" spans="6:12">
      <c r="H11109" t="s">
        <v>22591</v>
      </c>
      <c r="I11109" t="s">
        <v>1357</v>
      </c>
      <c r="J11109" t="s">
        <v>1357</v>
      </c>
      <c r="K11109" t="s">
        <v>1357</v>
      </c>
      <c r="L11109" t="s">
        <v>1357</v>
      </c>
    </row>
    <row r="11110" spans="6:12">
      <c r="H11110" t="s">
        <v>22592</v>
      </c>
      <c r="I11110" t="s">
        <v>1357</v>
      </c>
      <c r="J11110" t="s">
        <v>1357</v>
      </c>
      <c r="K11110" t="s">
        <v>1357</v>
      </c>
      <c r="L11110" t="s">
        <v>1357</v>
      </c>
    </row>
    <row r="11111" spans="6:12">
      <c r="H11111" t="s">
        <v>22593</v>
      </c>
      <c r="I11111" t="s">
        <v>1357</v>
      </c>
      <c r="J11111" t="s">
        <v>1357</v>
      </c>
      <c r="K11111" t="s">
        <v>1357</v>
      </c>
      <c r="L11111" t="s">
        <v>1357</v>
      </c>
    </row>
    <row r="11112" spans="6:12">
      <c r="H11112" t="s">
        <v>22594</v>
      </c>
      <c r="I11112" t="s">
        <v>1357</v>
      </c>
      <c r="J11112" t="s">
        <v>1357</v>
      </c>
      <c r="K11112" t="s">
        <v>1357</v>
      </c>
      <c r="L11112" t="s">
        <v>1357</v>
      </c>
    </row>
    <row r="11113" spans="6:12">
      <c r="H11113" t="s">
        <v>22595</v>
      </c>
      <c r="I11113" t="s">
        <v>1357</v>
      </c>
      <c r="J11113" t="s">
        <v>1357</v>
      </c>
      <c r="K11113" t="s">
        <v>1357</v>
      </c>
      <c r="L11113" t="s">
        <v>1357</v>
      </c>
    </row>
    <row r="11114" spans="6:12">
      <c r="F11114" t="s">
        <v>16285</v>
      </c>
      <c r="G11114" t="s">
        <v>18956</v>
      </c>
      <c r="H11114" t="s">
        <v>22596</v>
      </c>
      <c r="I11114" t="s">
        <v>1357</v>
      </c>
      <c r="J11114" t="s">
        <v>1357</v>
      </c>
      <c r="K11114" t="s">
        <v>1357</v>
      </c>
      <c r="L11114" t="s">
        <v>1357</v>
      </c>
    </row>
    <row r="11115" spans="6:12">
      <c r="F11115" t="s">
        <v>16286</v>
      </c>
      <c r="G11115" t="s">
        <v>18957</v>
      </c>
      <c r="H11115" t="s">
        <v>22597</v>
      </c>
      <c r="I11115" t="s">
        <v>1357</v>
      </c>
      <c r="J11115" t="s">
        <v>1357</v>
      </c>
      <c r="K11115" t="s">
        <v>1357</v>
      </c>
      <c r="L11115" t="s">
        <v>1357</v>
      </c>
    </row>
    <row r="11116" spans="6:12">
      <c r="H11116" t="s">
        <v>22598</v>
      </c>
      <c r="I11116" t="s">
        <v>1357</v>
      </c>
      <c r="J11116" t="s">
        <v>1357</v>
      </c>
      <c r="K11116" t="s">
        <v>1357</v>
      </c>
      <c r="L11116" t="s">
        <v>1357</v>
      </c>
    </row>
    <row r="11117" spans="6:12">
      <c r="H11117" t="s">
        <v>22599</v>
      </c>
      <c r="I11117" t="s">
        <v>1357</v>
      </c>
      <c r="J11117" t="s">
        <v>1357</v>
      </c>
      <c r="K11117" t="s">
        <v>1357</v>
      </c>
      <c r="L11117" t="s">
        <v>1357</v>
      </c>
    </row>
    <row r="11118" spans="6:12">
      <c r="H11118" t="s">
        <v>22600</v>
      </c>
      <c r="I11118" t="s">
        <v>1357</v>
      </c>
      <c r="J11118" t="s">
        <v>1357</v>
      </c>
      <c r="K11118" t="s">
        <v>1357</v>
      </c>
      <c r="L11118" t="s">
        <v>1357</v>
      </c>
    </row>
    <row r="11119" spans="6:12">
      <c r="H11119" t="s">
        <v>22601</v>
      </c>
      <c r="I11119" t="s">
        <v>1357</v>
      </c>
      <c r="J11119" t="s">
        <v>1357</v>
      </c>
      <c r="K11119" t="s">
        <v>1357</v>
      </c>
      <c r="L11119" t="s">
        <v>1357</v>
      </c>
    </row>
    <row r="11120" spans="6:12">
      <c r="H11120" t="s">
        <v>22602</v>
      </c>
      <c r="I11120" t="s">
        <v>1357</v>
      </c>
      <c r="J11120" t="s">
        <v>1357</v>
      </c>
      <c r="K11120" t="s">
        <v>1357</v>
      </c>
      <c r="L11120" t="s">
        <v>1357</v>
      </c>
    </row>
    <row r="11121" spans="1:12">
      <c r="H11121" t="s">
        <v>22603</v>
      </c>
      <c r="I11121" t="s">
        <v>1357</v>
      </c>
      <c r="J11121" t="s">
        <v>1357</v>
      </c>
      <c r="K11121" t="s">
        <v>1357</v>
      </c>
      <c r="L11121" t="s">
        <v>1357</v>
      </c>
    </row>
    <row r="11122" spans="1:12">
      <c r="H11122" t="s">
        <v>22604</v>
      </c>
      <c r="I11122" t="s">
        <v>1357</v>
      </c>
      <c r="J11122" t="s">
        <v>1357</v>
      </c>
      <c r="K11122" t="s">
        <v>1357</v>
      </c>
      <c r="L11122" t="s">
        <v>1357</v>
      </c>
    </row>
    <row r="11123" spans="1:12">
      <c r="H11123" t="s">
        <v>22605</v>
      </c>
      <c r="I11123" t="s">
        <v>1357</v>
      </c>
      <c r="J11123" t="s">
        <v>1357</v>
      </c>
      <c r="K11123" t="s">
        <v>1357</v>
      </c>
      <c r="L11123" t="s">
        <v>1357</v>
      </c>
    </row>
    <row r="11124" spans="1:12">
      <c r="H11124" t="s">
        <v>22606</v>
      </c>
      <c r="I11124" t="s">
        <v>1357</v>
      </c>
      <c r="J11124" t="s">
        <v>1357</v>
      </c>
      <c r="K11124" t="s">
        <v>1357</v>
      </c>
      <c r="L11124" t="s">
        <v>1357</v>
      </c>
    </row>
    <row r="11125" spans="1:12">
      <c r="H11125" t="s">
        <v>22607</v>
      </c>
      <c r="I11125" t="s">
        <v>1357</v>
      </c>
      <c r="J11125" t="s">
        <v>1357</v>
      </c>
      <c r="K11125" t="s">
        <v>1357</v>
      </c>
      <c r="L11125" t="s">
        <v>1357</v>
      </c>
    </row>
    <row r="11126" spans="1:12">
      <c r="F11126" t="s">
        <v>16287</v>
      </c>
      <c r="G11126" t="s">
        <v>18958</v>
      </c>
      <c r="H11126" t="s">
        <v>1175</v>
      </c>
      <c r="I11126" t="s">
        <v>1357</v>
      </c>
      <c r="J11126" t="s">
        <v>1357</v>
      </c>
      <c r="K11126" t="s">
        <v>1357</v>
      </c>
      <c r="L11126" t="s">
        <v>1357</v>
      </c>
    </row>
    <row r="11127" spans="1:12">
      <c r="H11127" t="s">
        <v>22608</v>
      </c>
      <c r="I11127" t="s">
        <v>1357</v>
      </c>
      <c r="J11127" t="s">
        <v>1357</v>
      </c>
      <c r="K11127" t="s">
        <v>1357</v>
      </c>
      <c r="L11127" t="s">
        <v>1357</v>
      </c>
    </row>
    <row r="11128" spans="1:12">
      <c r="H11128" t="s">
        <v>22609</v>
      </c>
      <c r="I11128" t="s">
        <v>1357</v>
      </c>
      <c r="J11128" t="s">
        <v>1357</v>
      </c>
      <c r="K11128" t="s">
        <v>1357</v>
      </c>
      <c r="L11128" t="s">
        <v>1357</v>
      </c>
    </row>
    <row r="11129" spans="1:12">
      <c r="H11129" t="s">
        <v>22610</v>
      </c>
      <c r="I11129" t="s">
        <v>1357</v>
      </c>
      <c r="J11129" t="s">
        <v>1357</v>
      </c>
      <c r="K11129" t="s">
        <v>1357</v>
      </c>
      <c r="L11129" t="s">
        <v>1357</v>
      </c>
    </row>
    <row r="11130" spans="1:12">
      <c r="H11130" t="s">
        <v>22611</v>
      </c>
      <c r="I11130" t="s">
        <v>1357</v>
      </c>
      <c r="J11130" t="s">
        <v>1357</v>
      </c>
      <c r="K11130" t="s">
        <v>1357</v>
      </c>
      <c r="L11130" t="s">
        <v>1357</v>
      </c>
    </row>
    <row r="11131" spans="1:12">
      <c r="H11131" t="s">
        <v>22612</v>
      </c>
      <c r="I11131" t="s">
        <v>1357</v>
      </c>
      <c r="J11131" t="s">
        <v>1357</v>
      </c>
      <c r="K11131" t="s">
        <v>1357</v>
      </c>
      <c r="L11131" t="s">
        <v>1357</v>
      </c>
    </row>
    <row r="11132" spans="1:12">
      <c r="H11132" t="s">
        <v>22613</v>
      </c>
      <c r="I11132" t="s">
        <v>1357</v>
      </c>
      <c r="J11132" t="s">
        <v>1357</v>
      </c>
      <c r="K11132" t="s">
        <v>1357</v>
      </c>
      <c r="L11132" t="s">
        <v>1357</v>
      </c>
    </row>
    <row r="11133" spans="1:12">
      <c r="F11133" t="s">
        <v>16288</v>
      </c>
      <c r="G11133" t="s">
        <v>18959</v>
      </c>
      <c r="H11133" t="s">
        <v>22614</v>
      </c>
      <c r="I11133" t="s">
        <v>1357</v>
      </c>
      <c r="J11133" t="s">
        <v>1357</v>
      </c>
      <c r="K11133" t="s">
        <v>1357</v>
      </c>
      <c r="L11133" t="s">
        <v>1357</v>
      </c>
    </row>
    <row r="11134" spans="1:12">
      <c r="H11134" t="s">
        <v>22615</v>
      </c>
      <c r="I11134" t="s">
        <v>1357</v>
      </c>
      <c r="J11134" t="s">
        <v>1357</v>
      </c>
      <c r="K11134" t="s">
        <v>1357</v>
      </c>
      <c r="L11134" t="s">
        <v>1357</v>
      </c>
    </row>
    <row r="11135" spans="1:12">
      <c r="A11135" t="s">
        <v>10543</v>
      </c>
      <c r="B11135">
        <f>HYPERLINK("https://android.googlesource.com/platform/cts/+/2426c02fc99c3797264cd870051d9c34999e737a", "2426c02fc99c3797264cd870051d9c34999e737a")</f>
        <v>0</v>
      </c>
      <c r="C11135">
        <f>HYPERLINK("https://android.googlesource.com/platform/cts/+/369cae2a8b5cdef671ad514eebfa274c881356dc", "369cae2a8b5cdef671ad514eebfa274c881356dc")</f>
        <v>0</v>
      </c>
      <c r="D11135" t="s">
        <v>12115</v>
      </c>
      <c r="E11135" t="s">
        <v>13097</v>
      </c>
      <c r="F11135" t="s">
        <v>16274</v>
      </c>
      <c r="G11135" t="s">
        <v>18947</v>
      </c>
      <c r="H11135" t="s">
        <v>22470</v>
      </c>
      <c r="I11135" t="s">
        <v>1357</v>
      </c>
      <c r="J11135" t="s">
        <v>1357</v>
      </c>
      <c r="K11135" t="s">
        <v>1357</v>
      </c>
      <c r="L11135" t="s">
        <v>1357</v>
      </c>
    </row>
    <row r="11136" spans="1:12">
      <c r="H11136" t="s">
        <v>22471</v>
      </c>
      <c r="I11136" t="s">
        <v>1357</v>
      </c>
      <c r="J11136" t="s">
        <v>1357</v>
      </c>
      <c r="K11136" t="s">
        <v>1357</v>
      </c>
      <c r="L11136" t="s">
        <v>1357</v>
      </c>
    </row>
    <row r="11137" spans="6:12">
      <c r="F11137" t="s">
        <v>16275</v>
      </c>
      <c r="G11137" t="s">
        <v>18948</v>
      </c>
      <c r="H11137" t="s">
        <v>22472</v>
      </c>
      <c r="I11137" t="s">
        <v>1357</v>
      </c>
      <c r="J11137" t="s">
        <v>1357</v>
      </c>
      <c r="K11137" t="s">
        <v>1357</v>
      </c>
      <c r="L11137" t="s">
        <v>1357</v>
      </c>
    </row>
    <row r="11138" spans="6:12">
      <c r="H11138" t="s">
        <v>22473</v>
      </c>
      <c r="I11138" t="s">
        <v>1357</v>
      </c>
      <c r="J11138" t="s">
        <v>1357</v>
      </c>
      <c r="K11138" t="s">
        <v>1357</v>
      </c>
      <c r="L11138" t="s">
        <v>1357</v>
      </c>
    </row>
    <row r="11139" spans="6:12">
      <c r="H11139" t="s">
        <v>22474</v>
      </c>
      <c r="I11139" t="s">
        <v>1357</v>
      </c>
      <c r="J11139" t="s">
        <v>1357</v>
      </c>
      <c r="K11139" t="s">
        <v>1357</v>
      </c>
      <c r="L11139" t="s">
        <v>1357</v>
      </c>
    </row>
    <row r="11140" spans="6:12">
      <c r="H11140" t="s">
        <v>22475</v>
      </c>
      <c r="I11140" t="s">
        <v>1357</v>
      </c>
      <c r="J11140" t="s">
        <v>1357</v>
      </c>
      <c r="K11140" t="s">
        <v>1357</v>
      </c>
      <c r="L11140" t="s">
        <v>1357</v>
      </c>
    </row>
    <row r="11141" spans="6:12">
      <c r="H11141" t="s">
        <v>22476</v>
      </c>
      <c r="I11141" t="s">
        <v>1357</v>
      </c>
      <c r="J11141" t="s">
        <v>1357</v>
      </c>
      <c r="K11141" t="s">
        <v>1357</v>
      </c>
      <c r="L11141" t="s">
        <v>1357</v>
      </c>
    </row>
    <row r="11142" spans="6:12">
      <c r="F11142" t="s">
        <v>15169</v>
      </c>
      <c r="G11142" t="s">
        <v>17871</v>
      </c>
      <c r="H11142" t="s">
        <v>22477</v>
      </c>
      <c r="I11142" t="s">
        <v>1357</v>
      </c>
      <c r="J11142" t="s">
        <v>1357</v>
      </c>
      <c r="K11142" t="s">
        <v>1357</v>
      </c>
      <c r="L11142" t="s">
        <v>1357</v>
      </c>
    </row>
    <row r="11143" spans="6:12">
      <c r="H11143" t="s">
        <v>22478</v>
      </c>
      <c r="I11143" t="s">
        <v>1357</v>
      </c>
      <c r="J11143" t="s">
        <v>1357</v>
      </c>
      <c r="K11143" t="s">
        <v>1357</v>
      </c>
      <c r="L11143" t="s">
        <v>1357</v>
      </c>
    </row>
    <row r="11144" spans="6:12">
      <c r="H11144" t="s">
        <v>22479</v>
      </c>
      <c r="I11144" t="s">
        <v>1357</v>
      </c>
      <c r="J11144" t="s">
        <v>1357</v>
      </c>
      <c r="K11144" t="s">
        <v>1357</v>
      </c>
      <c r="L11144" t="s">
        <v>1357</v>
      </c>
    </row>
    <row r="11145" spans="6:12">
      <c r="H11145" t="s">
        <v>22480</v>
      </c>
      <c r="I11145" t="s">
        <v>1357</v>
      </c>
      <c r="J11145" t="s">
        <v>1357</v>
      </c>
      <c r="K11145" t="s">
        <v>1357</v>
      </c>
      <c r="L11145" t="s">
        <v>1357</v>
      </c>
    </row>
    <row r="11146" spans="6:12">
      <c r="H11146" t="s">
        <v>22481</v>
      </c>
      <c r="I11146" t="s">
        <v>1357</v>
      </c>
      <c r="J11146" t="s">
        <v>1357</v>
      </c>
      <c r="K11146" t="s">
        <v>1357</v>
      </c>
      <c r="L11146" t="s">
        <v>1357</v>
      </c>
    </row>
    <row r="11147" spans="6:12">
      <c r="H11147" t="s">
        <v>22482</v>
      </c>
      <c r="I11147" t="s">
        <v>1357</v>
      </c>
      <c r="J11147" t="s">
        <v>1357</v>
      </c>
      <c r="K11147" t="s">
        <v>1357</v>
      </c>
      <c r="L11147" t="s">
        <v>1357</v>
      </c>
    </row>
    <row r="11148" spans="6:12">
      <c r="F11148" t="s">
        <v>16276</v>
      </c>
      <c r="G11148" t="s">
        <v>18949</v>
      </c>
      <c r="H11148" t="s">
        <v>22483</v>
      </c>
      <c r="I11148" t="s">
        <v>1357</v>
      </c>
      <c r="J11148" t="s">
        <v>1357</v>
      </c>
      <c r="K11148" t="s">
        <v>1357</v>
      </c>
      <c r="L11148" t="s">
        <v>1357</v>
      </c>
    </row>
    <row r="11149" spans="6:12">
      <c r="H11149" t="s">
        <v>22484</v>
      </c>
      <c r="I11149" t="s">
        <v>1357</v>
      </c>
      <c r="J11149" t="s">
        <v>1357</v>
      </c>
      <c r="K11149" t="s">
        <v>1357</v>
      </c>
      <c r="L11149" t="s">
        <v>1357</v>
      </c>
    </row>
    <row r="11150" spans="6:12">
      <c r="H11150" t="s">
        <v>22485</v>
      </c>
      <c r="I11150" t="s">
        <v>1357</v>
      </c>
      <c r="J11150" t="s">
        <v>1357</v>
      </c>
      <c r="K11150" t="s">
        <v>1357</v>
      </c>
      <c r="L11150" t="s">
        <v>1357</v>
      </c>
    </row>
    <row r="11151" spans="6:12">
      <c r="H11151" t="s">
        <v>22486</v>
      </c>
      <c r="I11151" t="s">
        <v>1357</v>
      </c>
      <c r="J11151" t="s">
        <v>1357</v>
      </c>
      <c r="K11151" t="s">
        <v>1357</v>
      </c>
      <c r="L11151" t="s">
        <v>1357</v>
      </c>
    </row>
    <row r="11152" spans="6:12">
      <c r="H11152" t="s">
        <v>22487</v>
      </c>
      <c r="I11152" t="s">
        <v>1357</v>
      </c>
      <c r="J11152" t="s">
        <v>1357</v>
      </c>
      <c r="K11152" t="s">
        <v>1357</v>
      </c>
      <c r="L11152" t="s">
        <v>1357</v>
      </c>
    </row>
    <row r="11153" spans="6:12">
      <c r="H11153" t="s">
        <v>22488</v>
      </c>
      <c r="I11153" t="s">
        <v>1357</v>
      </c>
      <c r="J11153" t="s">
        <v>1357</v>
      </c>
      <c r="K11153" t="s">
        <v>1357</v>
      </c>
      <c r="L11153" t="s">
        <v>1357</v>
      </c>
    </row>
    <row r="11154" spans="6:12">
      <c r="H11154" t="s">
        <v>22489</v>
      </c>
      <c r="I11154" t="s">
        <v>1357</v>
      </c>
      <c r="J11154" t="s">
        <v>1357</v>
      </c>
      <c r="K11154" t="s">
        <v>1357</v>
      </c>
      <c r="L11154" t="s">
        <v>1357</v>
      </c>
    </row>
    <row r="11155" spans="6:12">
      <c r="H11155" t="s">
        <v>22490</v>
      </c>
      <c r="I11155" t="s">
        <v>1357</v>
      </c>
      <c r="J11155" t="s">
        <v>1357</v>
      </c>
      <c r="K11155" t="s">
        <v>1357</v>
      </c>
      <c r="L11155" t="s">
        <v>1357</v>
      </c>
    </row>
    <row r="11156" spans="6:12">
      <c r="H11156" t="s">
        <v>22491</v>
      </c>
      <c r="I11156" t="s">
        <v>1357</v>
      </c>
      <c r="J11156" t="s">
        <v>1357</v>
      </c>
      <c r="K11156" t="s">
        <v>1357</v>
      </c>
      <c r="L11156" t="s">
        <v>1357</v>
      </c>
    </row>
    <row r="11157" spans="6:12">
      <c r="H11157" t="s">
        <v>22492</v>
      </c>
      <c r="I11157" t="s">
        <v>1357</v>
      </c>
      <c r="J11157" t="s">
        <v>1357</v>
      </c>
      <c r="K11157" t="s">
        <v>1357</v>
      </c>
      <c r="L11157" t="s">
        <v>1357</v>
      </c>
    </row>
    <row r="11158" spans="6:12">
      <c r="H11158" t="s">
        <v>22493</v>
      </c>
      <c r="I11158" t="s">
        <v>1357</v>
      </c>
      <c r="J11158" t="s">
        <v>1357</v>
      </c>
      <c r="K11158" t="s">
        <v>1357</v>
      </c>
      <c r="L11158" t="s">
        <v>1357</v>
      </c>
    </row>
    <row r="11159" spans="6:12">
      <c r="H11159" t="s">
        <v>22494</v>
      </c>
      <c r="I11159" t="s">
        <v>1357</v>
      </c>
      <c r="J11159" t="s">
        <v>1357</v>
      </c>
      <c r="K11159" t="s">
        <v>1357</v>
      </c>
      <c r="L11159" t="s">
        <v>1357</v>
      </c>
    </row>
    <row r="11160" spans="6:12">
      <c r="H11160" t="s">
        <v>3960</v>
      </c>
      <c r="I11160" t="s">
        <v>1357</v>
      </c>
      <c r="J11160" t="s">
        <v>1357</v>
      </c>
      <c r="K11160" t="s">
        <v>1357</v>
      </c>
      <c r="L11160" t="s">
        <v>1357</v>
      </c>
    </row>
    <row r="11161" spans="6:12">
      <c r="H11161" t="s">
        <v>22495</v>
      </c>
      <c r="I11161" t="s">
        <v>1357</v>
      </c>
      <c r="J11161" t="s">
        <v>1357</v>
      </c>
      <c r="K11161" t="s">
        <v>1357</v>
      </c>
      <c r="L11161" t="s">
        <v>1357</v>
      </c>
    </row>
    <row r="11162" spans="6:12">
      <c r="F11162" t="s">
        <v>16277</v>
      </c>
      <c r="G11162" t="s">
        <v>18950</v>
      </c>
      <c r="H11162" t="s">
        <v>22496</v>
      </c>
      <c r="I11162" t="s">
        <v>1357</v>
      </c>
      <c r="J11162" t="s">
        <v>1357</v>
      </c>
      <c r="K11162" t="s">
        <v>1357</v>
      </c>
      <c r="L11162" t="s">
        <v>1357</v>
      </c>
    </row>
    <row r="11163" spans="6:12">
      <c r="F11163" t="s">
        <v>16278</v>
      </c>
      <c r="G11163" t="s">
        <v>18951</v>
      </c>
      <c r="H11163" t="s">
        <v>22497</v>
      </c>
      <c r="I11163" t="s">
        <v>1357</v>
      </c>
      <c r="J11163" t="s">
        <v>1357</v>
      </c>
      <c r="K11163" t="s">
        <v>1357</v>
      </c>
      <c r="L11163" t="s">
        <v>1357</v>
      </c>
    </row>
    <row r="11164" spans="6:12">
      <c r="H11164" t="s">
        <v>22498</v>
      </c>
      <c r="I11164" t="s">
        <v>1357</v>
      </c>
      <c r="J11164" t="s">
        <v>1357</v>
      </c>
      <c r="K11164" t="s">
        <v>1357</v>
      </c>
      <c r="L11164" t="s">
        <v>1357</v>
      </c>
    </row>
    <row r="11165" spans="6:12">
      <c r="H11165" t="s">
        <v>22499</v>
      </c>
      <c r="I11165" t="s">
        <v>1357</v>
      </c>
      <c r="J11165" t="s">
        <v>1357</v>
      </c>
      <c r="K11165" t="s">
        <v>1357</v>
      </c>
      <c r="L11165" t="s">
        <v>1357</v>
      </c>
    </row>
    <row r="11166" spans="6:12">
      <c r="H11166" t="s">
        <v>22500</v>
      </c>
      <c r="I11166" t="s">
        <v>1357</v>
      </c>
      <c r="J11166" t="s">
        <v>1357</v>
      </c>
      <c r="K11166" t="s">
        <v>1357</v>
      </c>
      <c r="L11166" t="s">
        <v>1357</v>
      </c>
    </row>
    <row r="11167" spans="6:12">
      <c r="F11167" t="s">
        <v>16279</v>
      </c>
      <c r="G11167" t="s">
        <v>18952</v>
      </c>
      <c r="H11167" t="s">
        <v>795</v>
      </c>
      <c r="I11167" t="s">
        <v>1357</v>
      </c>
      <c r="J11167" t="s">
        <v>1357</v>
      </c>
      <c r="K11167" t="s">
        <v>1357</v>
      </c>
      <c r="L11167" t="s">
        <v>1357</v>
      </c>
    </row>
    <row r="11168" spans="6:12">
      <c r="H11168" t="s">
        <v>1175</v>
      </c>
      <c r="I11168" t="s">
        <v>1357</v>
      </c>
      <c r="J11168" t="s">
        <v>1357</v>
      </c>
      <c r="K11168" t="s">
        <v>1357</v>
      </c>
      <c r="L11168" t="s">
        <v>1357</v>
      </c>
    </row>
    <row r="11169" spans="6:12">
      <c r="H11169" t="s">
        <v>22501</v>
      </c>
      <c r="I11169" t="s">
        <v>1357</v>
      </c>
      <c r="J11169" t="s">
        <v>1357</v>
      </c>
      <c r="K11169" t="s">
        <v>1357</v>
      </c>
      <c r="L11169" t="s">
        <v>1357</v>
      </c>
    </row>
    <row r="11170" spans="6:12">
      <c r="F11170" t="s">
        <v>16280</v>
      </c>
      <c r="G11170" t="s">
        <v>17901</v>
      </c>
      <c r="H11170" t="s">
        <v>22502</v>
      </c>
      <c r="I11170" t="s">
        <v>1357</v>
      </c>
      <c r="J11170" t="s">
        <v>1357</v>
      </c>
      <c r="K11170" t="s">
        <v>1357</v>
      </c>
      <c r="L11170" t="s">
        <v>1357</v>
      </c>
    </row>
    <row r="11171" spans="6:12">
      <c r="H11171" t="s">
        <v>22503</v>
      </c>
      <c r="I11171" t="s">
        <v>1357</v>
      </c>
      <c r="J11171" t="s">
        <v>1357</v>
      </c>
      <c r="K11171" t="s">
        <v>1357</v>
      </c>
      <c r="L11171" t="s">
        <v>1357</v>
      </c>
    </row>
    <row r="11172" spans="6:12">
      <c r="H11172" t="s">
        <v>22504</v>
      </c>
      <c r="I11172" t="s">
        <v>1357</v>
      </c>
      <c r="J11172" t="s">
        <v>1357</v>
      </c>
      <c r="K11172" t="s">
        <v>1357</v>
      </c>
      <c r="L11172" t="s">
        <v>1357</v>
      </c>
    </row>
    <row r="11173" spans="6:12">
      <c r="H11173" t="s">
        <v>22505</v>
      </c>
      <c r="I11173" t="s">
        <v>1357</v>
      </c>
      <c r="J11173" t="s">
        <v>1357</v>
      </c>
      <c r="K11173" t="s">
        <v>1357</v>
      </c>
      <c r="L11173" t="s">
        <v>1357</v>
      </c>
    </row>
    <row r="11174" spans="6:12">
      <c r="H11174" t="s">
        <v>22506</v>
      </c>
      <c r="I11174" t="s">
        <v>1357</v>
      </c>
      <c r="J11174" t="s">
        <v>1357</v>
      </c>
      <c r="K11174" t="s">
        <v>1357</v>
      </c>
      <c r="L11174" t="s">
        <v>1357</v>
      </c>
    </row>
    <row r="11175" spans="6:12">
      <c r="F11175" t="s">
        <v>16281</v>
      </c>
      <c r="G11175" t="s">
        <v>18953</v>
      </c>
      <c r="H11175" t="s">
        <v>22507</v>
      </c>
      <c r="I11175" t="s">
        <v>1357</v>
      </c>
      <c r="J11175" t="s">
        <v>1357</v>
      </c>
      <c r="K11175" t="s">
        <v>1357</v>
      </c>
      <c r="L11175" t="s">
        <v>1357</v>
      </c>
    </row>
    <row r="11176" spans="6:12">
      <c r="H11176" t="s">
        <v>22508</v>
      </c>
      <c r="I11176" t="s">
        <v>1357</v>
      </c>
      <c r="J11176" t="s">
        <v>1357</v>
      </c>
      <c r="K11176" t="s">
        <v>1357</v>
      </c>
      <c r="L11176" t="s">
        <v>1357</v>
      </c>
    </row>
    <row r="11177" spans="6:12">
      <c r="H11177" t="s">
        <v>22509</v>
      </c>
      <c r="I11177" t="s">
        <v>1357</v>
      </c>
      <c r="J11177" t="s">
        <v>1357</v>
      </c>
      <c r="K11177" t="s">
        <v>1357</v>
      </c>
      <c r="L11177" t="s">
        <v>1357</v>
      </c>
    </row>
    <row r="11178" spans="6:12">
      <c r="H11178" t="s">
        <v>22510</v>
      </c>
      <c r="I11178" t="s">
        <v>1357</v>
      </c>
      <c r="J11178" t="s">
        <v>1357</v>
      </c>
      <c r="K11178" t="s">
        <v>1357</v>
      </c>
      <c r="L11178" t="s">
        <v>1357</v>
      </c>
    </row>
    <row r="11179" spans="6:12">
      <c r="H11179" t="s">
        <v>22511</v>
      </c>
      <c r="I11179" t="s">
        <v>1357</v>
      </c>
      <c r="J11179" t="s">
        <v>1357</v>
      </c>
      <c r="K11179" t="s">
        <v>1357</v>
      </c>
      <c r="L11179" t="s">
        <v>1357</v>
      </c>
    </row>
    <row r="11180" spans="6:12">
      <c r="H11180" t="s">
        <v>22512</v>
      </c>
      <c r="I11180" t="s">
        <v>1357</v>
      </c>
      <c r="J11180" t="s">
        <v>1357</v>
      </c>
      <c r="K11180" t="s">
        <v>1357</v>
      </c>
      <c r="L11180" t="s">
        <v>1357</v>
      </c>
    </row>
    <row r="11181" spans="6:12">
      <c r="H11181" t="s">
        <v>22513</v>
      </c>
      <c r="I11181" t="s">
        <v>1357</v>
      </c>
      <c r="J11181" t="s">
        <v>1357</v>
      </c>
      <c r="K11181" t="s">
        <v>1357</v>
      </c>
      <c r="L11181" t="s">
        <v>1357</v>
      </c>
    </row>
    <row r="11182" spans="6:12">
      <c r="H11182" t="s">
        <v>22514</v>
      </c>
      <c r="I11182" t="s">
        <v>1357</v>
      </c>
      <c r="J11182" t="s">
        <v>1357</v>
      </c>
      <c r="K11182" t="s">
        <v>1357</v>
      </c>
      <c r="L11182" t="s">
        <v>1357</v>
      </c>
    </row>
    <row r="11183" spans="6:12">
      <c r="H11183" t="s">
        <v>22515</v>
      </c>
      <c r="I11183" t="s">
        <v>1357</v>
      </c>
      <c r="J11183" t="s">
        <v>1357</v>
      </c>
      <c r="K11183" t="s">
        <v>1357</v>
      </c>
      <c r="L11183" t="s">
        <v>1357</v>
      </c>
    </row>
    <row r="11184" spans="6:12">
      <c r="H11184" t="s">
        <v>22516</v>
      </c>
      <c r="I11184" t="s">
        <v>1357</v>
      </c>
      <c r="J11184" t="s">
        <v>1357</v>
      </c>
      <c r="K11184" t="s">
        <v>1357</v>
      </c>
      <c r="L11184" t="s">
        <v>1357</v>
      </c>
    </row>
    <row r="11185" spans="6:12">
      <c r="H11185" t="s">
        <v>22517</v>
      </c>
      <c r="I11185" t="s">
        <v>1357</v>
      </c>
      <c r="J11185" t="s">
        <v>1357</v>
      </c>
      <c r="K11185" t="s">
        <v>1357</v>
      </c>
      <c r="L11185" t="s">
        <v>1357</v>
      </c>
    </row>
    <row r="11186" spans="6:12">
      <c r="H11186" t="s">
        <v>22518</v>
      </c>
      <c r="I11186" t="s">
        <v>1357</v>
      </c>
      <c r="J11186" t="s">
        <v>1357</v>
      </c>
      <c r="K11186" t="s">
        <v>1357</v>
      </c>
      <c r="L11186" t="s">
        <v>1357</v>
      </c>
    </row>
    <row r="11187" spans="6:12">
      <c r="H11187" t="s">
        <v>22519</v>
      </c>
      <c r="I11187" t="s">
        <v>1357</v>
      </c>
      <c r="J11187" t="s">
        <v>1357</v>
      </c>
      <c r="K11187" t="s">
        <v>1357</v>
      </c>
      <c r="L11187" t="s">
        <v>1357</v>
      </c>
    </row>
    <row r="11188" spans="6:12">
      <c r="H11188" t="s">
        <v>22520</v>
      </c>
      <c r="I11188" t="s">
        <v>1357</v>
      </c>
      <c r="J11188" t="s">
        <v>1357</v>
      </c>
      <c r="K11188" t="s">
        <v>1357</v>
      </c>
      <c r="L11188" t="s">
        <v>1357</v>
      </c>
    </row>
    <row r="11189" spans="6:12">
      <c r="H11189" t="s">
        <v>22521</v>
      </c>
      <c r="I11189" t="s">
        <v>1357</v>
      </c>
      <c r="J11189" t="s">
        <v>1357</v>
      </c>
      <c r="K11189" t="s">
        <v>1357</v>
      </c>
      <c r="L11189" t="s">
        <v>1357</v>
      </c>
    </row>
    <row r="11190" spans="6:12">
      <c r="H11190" t="s">
        <v>22522</v>
      </c>
      <c r="I11190" t="s">
        <v>1357</v>
      </c>
      <c r="J11190" t="s">
        <v>1357</v>
      </c>
      <c r="K11190" t="s">
        <v>1357</v>
      </c>
      <c r="L11190" t="s">
        <v>1357</v>
      </c>
    </row>
    <row r="11191" spans="6:12">
      <c r="F11191" t="s">
        <v>16100</v>
      </c>
      <c r="G11191" t="s">
        <v>18789</v>
      </c>
      <c r="H11191" t="s">
        <v>22523</v>
      </c>
      <c r="I11191" t="s">
        <v>1357</v>
      </c>
      <c r="J11191" t="s">
        <v>1357</v>
      </c>
      <c r="K11191" t="s">
        <v>1357</v>
      </c>
      <c r="L11191" t="s">
        <v>1357</v>
      </c>
    </row>
    <row r="11192" spans="6:12">
      <c r="H11192" t="s">
        <v>22524</v>
      </c>
      <c r="I11192" t="s">
        <v>1357</v>
      </c>
      <c r="J11192" t="s">
        <v>1357</v>
      </c>
      <c r="K11192" t="s">
        <v>1357</v>
      </c>
      <c r="L11192" t="s">
        <v>1357</v>
      </c>
    </row>
    <row r="11193" spans="6:12">
      <c r="H11193" t="s">
        <v>22525</v>
      </c>
      <c r="I11193" t="s">
        <v>1357</v>
      </c>
      <c r="J11193" t="s">
        <v>1357</v>
      </c>
      <c r="K11193" t="s">
        <v>1357</v>
      </c>
      <c r="L11193" t="s">
        <v>1357</v>
      </c>
    </row>
    <row r="11194" spans="6:12">
      <c r="H11194" t="s">
        <v>22526</v>
      </c>
      <c r="I11194" t="s">
        <v>1357</v>
      </c>
      <c r="J11194" t="s">
        <v>1357</v>
      </c>
      <c r="K11194" t="s">
        <v>1357</v>
      </c>
      <c r="L11194" t="s">
        <v>1357</v>
      </c>
    </row>
    <row r="11195" spans="6:12">
      <c r="H11195" t="s">
        <v>22527</v>
      </c>
      <c r="I11195" t="s">
        <v>1357</v>
      </c>
      <c r="J11195" t="s">
        <v>1357</v>
      </c>
      <c r="K11195" t="s">
        <v>1357</v>
      </c>
      <c r="L11195" t="s">
        <v>1357</v>
      </c>
    </row>
    <row r="11196" spans="6:12">
      <c r="H11196" t="s">
        <v>22528</v>
      </c>
      <c r="I11196" t="s">
        <v>1357</v>
      </c>
      <c r="J11196" t="s">
        <v>1357</v>
      </c>
      <c r="K11196" t="s">
        <v>1357</v>
      </c>
      <c r="L11196" t="s">
        <v>1357</v>
      </c>
    </row>
    <row r="11197" spans="6:12">
      <c r="H11197" t="s">
        <v>22529</v>
      </c>
      <c r="I11197" t="s">
        <v>1357</v>
      </c>
      <c r="J11197" t="s">
        <v>1357</v>
      </c>
      <c r="K11197" t="s">
        <v>1357</v>
      </c>
      <c r="L11197" t="s">
        <v>1357</v>
      </c>
    </row>
    <row r="11198" spans="6:12">
      <c r="H11198" t="s">
        <v>22530</v>
      </c>
      <c r="I11198" t="s">
        <v>1357</v>
      </c>
      <c r="J11198" t="s">
        <v>1357</v>
      </c>
      <c r="K11198" t="s">
        <v>1357</v>
      </c>
      <c r="L11198" t="s">
        <v>1357</v>
      </c>
    </row>
    <row r="11199" spans="6:12">
      <c r="H11199" t="s">
        <v>22531</v>
      </c>
      <c r="I11199" t="s">
        <v>1357</v>
      </c>
      <c r="J11199" t="s">
        <v>1357</v>
      </c>
      <c r="K11199" t="s">
        <v>1357</v>
      </c>
      <c r="L11199" t="s">
        <v>1357</v>
      </c>
    </row>
    <row r="11200" spans="6:12">
      <c r="H11200" t="s">
        <v>22532</v>
      </c>
      <c r="I11200" t="s">
        <v>1357</v>
      </c>
      <c r="J11200" t="s">
        <v>1357</v>
      </c>
      <c r="K11200" t="s">
        <v>1357</v>
      </c>
      <c r="L11200" t="s">
        <v>1357</v>
      </c>
    </row>
    <row r="11201" spans="8:12">
      <c r="H11201" t="s">
        <v>22533</v>
      </c>
      <c r="I11201" t="s">
        <v>1357</v>
      </c>
      <c r="J11201" t="s">
        <v>1357</v>
      </c>
      <c r="K11201" t="s">
        <v>1357</v>
      </c>
      <c r="L11201" t="s">
        <v>1357</v>
      </c>
    </row>
    <row r="11202" spans="8:12">
      <c r="H11202" t="s">
        <v>22534</v>
      </c>
      <c r="I11202" t="s">
        <v>1357</v>
      </c>
      <c r="J11202" t="s">
        <v>1357</v>
      </c>
      <c r="K11202" t="s">
        <v>1357</v>
      </c>
      <c r="L11202" t="s">
        <v>1357</v>
      </c>
    </row>
    <row r="11203" spans="8:12">
      <c r="H11203" t="s">
        <v>22535</v>
      </c>
      <c r="I11203" t="s">
        <v>1357</v>
      </c>
      <c r="J11203" t="s">
        <v>1357</v>
      </c>
      <c r="K11203" t="s">
        <v>1357</v>
      </c>
      <c r="L11203" t="s">
        <v>1357</v>
      </c>
    </row>
    <row r="11204" spans="8:12">
      <c r="H11204" t="s">
        <v>22536</v>
      </c>
      <c r="I11204" t="s">
        <v>1357</v>
      </c>
      <c r="J11204" t="s">
        <v>1357</v>
      </c>
      <c r="K11204" t="s">
        <v>1357</v>
      </c>
      <c r="L11204" t="s">
        <v>1357</v>
      </c>
    </row>
    <row r="11205" spans="8:12">
      <c r="H11205" t="s">
        <v>22537</v>
      </c>
      <c r="I11205" t="s">
        <v>1357</v>
      </c>
      <c r="J11205" t="s">
        <v>1357</v>
      </c>
      <c r="K11205" t="s">
        <v>1357</v>
      </c>
      <c r="L11205" t="s">
        <v>1357</v>
      </c>
    </row>
    <row r="11206" spans="8:12">
      <c r="H11206" t="s">
        <v>22538</v>
      </c>
      <c r="I11206" t="s">
        <v>1357</v>
      </c>
      <c r="J11206" t="s">
        <v>1357</v>
      </c>
      <c r="K11206" t="s">
        <v>1357</v>
      </c>
      <c r="L11206" t="s">
        <v>1357</v>
      </c>
    </row>
    <row r="11207" spans="8:12">
      <c r="H11207" t="s">
        <v>22539</v>
      </c>
      <c r="I11207" t="s">
        <v>1357</v>
      </c>
      <c r="J11207" t="s">
        <v>1357</v>
      </c>
      <c r="K11207" t="s">
        <v>1357</v>
      </c>
      <c r="L11207" t="s">
        <v>1357</v>
      </c>
    </row>
    <row r="11208" spans="8:12">
      <c r="H11208" t="s">
        <v>22540</v>
      </c>
      <c r="I11208" t="s">
        <v>1357</v>
      </c>
      <c r="J11208" t="s">
        <v>1357</v>
      </c>
      <c r="K11208" t="s">
        <v>1357</v>
      </c>
      <c r="L11208" t="s">
        <v>1357</v>
      </c>
    </row>
    <row r="11209" spans="8:12">
      <c r="H11209" t="s">
        <v>22541</v>
      </c>
      <c r="I11209" t="s">
        <v>1357</v>
      </c>
      <c r="J11209" t="s">
        <v>1357</v>
      </c>
      <c r="K11209" t="s">
        <v>1357</v>
      </c>
      <c r="L11209" t="s">
        <v>1357</v>
      </c>
    </row>
    <row r="11210" spans="8:12">
      <c r="H11210" t="s">
        <v>22542</v>
      </c>
      <c r="I11210" t="s">
        <v>1357</v>
      </c>
      <c r="J11210" t="s">
        <v>1357</v>
      </c>
      <c r="K11210" t="s">
        <v>1357</v>
      </c>
      <c r="L11210" t="s">
        <v>1357</v>
      </c>
    </row>
    <row r="11211" spans="8:12">
      <c r="H11211" t="s">
        <v>22543</v>
      </c>
      <c r="I11211" t="s">
        <v>1357</v>
      </c>
      <c r="J11211" t="s">
        <v>1357</v>
      </c>
      <c r="K11211" t="s">
        <v>1357</v>
      </c>
      <c r="L11211" t="s">
        <v>1357</v>
      </c>
    </row>
    <row r="11212" spans="8:12">
      <c r="H11212" t="s">
        <v>22544</v>
      </c>
      <c r="I11212" t="s">
        <v>1357</v>
      </c>
      <c r="J11212" t="s">
        <v>1357</v>
      </c>
      <c r="K11212" t="s">
        <v>1357</v>
      </c>
      <c r="L11212" t="s">
        <v>1357</v>
      </c>
    </row>
    <row r="11213" spans="8:12">
      <c r="H11213" t="s">
        <v>22545</v>
      </c>
      <c r="I11213" t="s">
        <v>1357</v>
      </c>
      <c r="J11213" t="s">
        <v>1357</v>
      </c>
      <c r="K11213" t="s">
        <v>1357</v>
      </c>
      <c r="L11213" t="s">
        <v>1357</v>
      </c>
    </row>
    <row r="11214" spans="8:12">
      <c r="H11214" t="s">
        <v>22546</v>
      </c>
      <c r="I11214" t="s">
        <v>1357</v>
      </c>
      <c r="J11214" t="s">
        <v>1357</v>
      </c>
      <c r="K11214" t="s">
        <v>1357</v>
      </c>
      <c r="L11214" t="s">
        <v>1357</v>
      </c>
    </row>
    <row r="11215" spans="8:12">
      <c r="H11215" t="s">
        <v>22547</v>
      </c>
      <c r="I11215" t="s">
        <v>1357</v>
      </c>
      <c r="J11215" t="s">
        <v>1357</v>
      </c>
      <c r="K11215" t="s">
        <v>1357</v>
      </c>
      <c r="L11215" t="s">
        <v>1357</v>
      </c>
    </row>
    <row r="11216" spans="8:12">
      <c r="H11216" t="s">
        <v>22548</v>
      </c>
      <c r="I11216" t="s">
        <v>1357</v>
      </c>
      <c r="J11216" t="s">
        <v>1357</v>
      </c>
      <c r="K11216" t="s">
        <v>1357</v>
      </c>
      <c r="L11216" t="s">
        <v>1357</v>
      </c>
    </row>
    <row r="11217" spans="8:12">
      <c r="H11217" t="s">
        <v>22549</v>
      </c>
      <c r="I11217" t="s">
        <v>1357</v>
      </c>
      <c r="J11217" t="s">
        <v>1357</v>
      </c>
      <c r="K11217" t="s">
        <v>1357</v>
      </c>
      <c r="L11217" t="s">
        <v>1357</v>
      </c>
    </row>
    <row r="11218" spans="8:12">
      <c r="H11218" t="s">
        <v>22550</v>
      </c>
      <c r="I11218" t="s">
        <v>1357</v>
      </c>
      <c r="J11218" t="s">
        <v>1357</v>
      </c>
      <c r="K11218" t="s">
        <v>1357</v>
      </c>
      <c r="L11218" t="s">
        <v>1357</v>
      </c>
    </row>
    <row r="11219" spans="8:12">
      <c r="H11219" t="s">
        <v>22551</v>
      </c>
      <c r="I11219" t="s">
        <v>1357</v>
      </c>
      <c r="J11219" t="s">
        <v>1357</v>
      </c>
      <c r="K11219" t="s">
        <v>1357</v>
      </c>
      <c r="L11219" t="s">
        <v>1357</v>
      </c>
    </row>
    <row r="11220" spans="8:12">
      <c r="H11220" t="s">
        <v>22552</v>
      </c>
      <c r="I11220" t="s">
        <v>1357</v>
      </c>
      <c r="J11220" t="s">
        <v>1357</v>
      </c>
      <c r="K11220" t="s">
        <v>1357</v>
      </c>
      <c r="L11220" t="s">
        <v>1357</v>
      </c>
    </row>
    <row r="11221" spans="8:12">
      <c r="H11221" t="s">
        <v>22553</v>
      </c>
      <c r="I11221" t="s">
        <v>1357</v>
      </c>
      <c r="J11221" t="s">
        <v>1357</v>
      </c>
      <c r="K11221" t="s">
        <v>1357</v>
      </c>
      <c r="L11221" t="s">
        <v>1357</v>
      </c>
    </row>
    <row r="11222" spans="8:12">
      <c r="H11222" t="s">
        <v>22554</v>
      </c>
      <c r="I11222" t="s">
        <v>1357</v>
      </c>
      <c r="J11222" t="s">
        <v>1357</v>
      </c>
      <c r="K11222" t="s">
        <v>1357</v>
      </c>
      <c r="L11222" t="s">
        <v>1357</v>
      </c>
    </row>
    <row r="11223" spans="8:12">
      <c r="H11223" t="s">
        <v>22555</v>
      </c>
      <c r="I11223" t="s">
        <v>1357</v>
      </c>
      <c r="J11223" t="s">
        <v>1357</v>
      </c>
      <c r="K11223" t="s">
        <v>1357</v>
      </c>
      <c r="L11223" t="s">
        <v>1357</v>
      </c>
    </row>
    <row r="11224" spans="8:12">
      <c r="H11224" t="s">
        <v>22556</v>
      </c>
      <c r="I11224" t="s">
        <v>1357</v>
      </c>
      <c r="J11224" t="s">
        <v>1357</v>
      </c>
      <c r="K11224" t="s">
        <v>1357</v>
      </c>
      <c r="L11224" t="s">
        <v>1357</v>
      </c>
    </row>
    <row r="11225" spans="8:12">
      <c r="H11225" t="s">
        <v>22557</v>
      </c>
      <c r="I11225" t="s">
        <v>1357</v>
      </c>
      <c r="J11225" t="s">
        <v>1357</v>
      </c>
      <c r="K11225" t="s">
        <v>1357</v>
      </c>
      <c r="L11225" t="s">
        <v>1357</v>
      </c>
    </row>
    <row r="11226" spans="8:12">
      <c r="H11226" t="s">
        <v>22558</v>
      </c>
      <c r="I11226" t="s">
        <v>1357</v>
      </c>
      <c r="J11226" t="s">
        <v>1357</v>
      </c>
      <c r="K11226" t="s">
        <v>1357</v>
      </c>
      <c r="L11226" t="s">
        <v>1357</v>
      </c>
    </row>
    <row r="11227" spans="8:12">
      <c r="H11227" t="s">
        <v>22559</v>
      </c>
      <c r="I11227" t="s">
        <v>1357</v>
      </c>
      <c r="J11227" t="s">
        <v>1357</v>
      </c>
      <c r="K11227" t="s">
        <v>1357</v>
      </c>
      <c r="L11227" t="s">
        <v>1357</v>
      </c>
    </row>
    <row r="11228" spans="8:12">
      <c r="H11228" t="s">
        <v>22560</v>
      </c>
      <c r="I11228" t="s">
        <v>1357</v>
      </c>
      <c r="J11228" t="s">
        <v>1357</v>
      </c>
      <c r="K11228" t="s">
        <v>1357</v>
      </c>
      <c r="L11228" t="s">
        <v>1357</v>
      </c>
    </row>
    <row r="11229" spans="8:12">
      <c r="H11229" t="s">
        <v>22561</v>
      </c>
      <c r="I11229" t="s">
        <v>1357</v>
      </c>
      <c r="J11229" t="s">
        <v>1357</v>
      </c>
      <c r="K11229" t="s">
        <v>1357</v>
      </c>
      <c r="L11229" t="s">
        <v>1357</v>
      </c>
    </row>
    <row r="11230" spans="8:12">
      <c r="H11230" t="s">
        <v>22562</v>
      </c>
      <c r="I11230" t="s">
        <v>1357</v>
      </c>
      <c r="J11230" t="s">
        <v>1357</v>
      </c>
      <c r="K11230" t="s">
        <v>1357</v>
      </c>
      <c r="L11230" t="s">
        <v>1357</v>
      </c>
    </row>
    <row r="11231" spans="8:12">
      <c r="H11231" t="s">
        <v>22563</v>
      </c>
      <c r="I11231" t="s">
        <v>1357</v>
      </c>
      <c r="J11231" t="s">
        <v>1357</v>
      </c>
      <c r="K11231" t="s">
        <v>1357</v>
      </c>
      <c r="L11231" t="s">
        <v>1357</v>
      </c>
    </row>
    <row r="11232" spans="8:12">
      <c r="H11232" t="s">
        <v>22564</v>
      </c>
      <c r="I11232" t="s">
        <v>1357</v>
      </c>
      <c r="J11232" t="s">
        <v>1357</v>
      </c>
      <c r="K11232" t="s">
        <v>1357</v>
      </c>
      <c r="L11232" t="s">
        <v>1357</v>
      </c>
    </row>
    <row r="11233" spans="6:12">
      <c r="H11233" t="s">
        <v>22565</v>
      </c>
      <c r="I11233" t="s">
        <v>1357</v>
      </c>
      <c r="J11233" t="s">
        <v>1357</v>
      </c>
      <c r="K11233" t="s">
        <v>1357</v>
      </c>
      <c r="L11233" t="s">
        <v>1357</v>
      </c>
    </row>
    <row r="11234" spans="6:12">
      <c r="H11234" t="s">
        <v>22566</v>
      </c>
      <c r="I11234" t="s">
        <v>1357</v>
      </c>
      <c r="J11234" t="s">
        <v>1357</v>
      </c>
      <c r="K11234" t="s">
        <v>1357</v>
      </c>
      <c r="L11234" t="s">
        <v>1357</v>
      </c>
    </row>
    <row r="11235" spans="6:12">
      <c r="H11235" t="s">
        <v>22567</v>
      </c>
      <c r="I11235" t="s">
        <v>1357</v>
      </c>
      <c r="J11235" t="s">
        <v>1357</v>
      </c>
      <c r="K11235" t="s">
        <v>1357</v>
      </c>
      <c r="L11235" t="s">
        <v>1357</v>
      </c>
    </row>
    <row r="11236" spans="6:12">
      <c r="H11236" t="s">
        <v>22568</v>
      </c>
      <c r="I11236" t="s">
        <v>1357</v>
      </c>
      <c r="J11236" t="s">
        <v>1357</v>
      </c>
      <c r="K11236" t="s">
        <v>1357</v>
      </c>
      <c r="L11236" t="s">
        <v>1357</v>
      </c>
    </row>
    <row r="11237" spans="6:12">
      <c r="H11237" t="s">
        <v>22569</v>
      </c>
      <c r="I11237" t="s">
        <v>1357</v>
      </c>
      <c r="J11237" t="s">
        <v>1357</v>
      </c>
      <c r="K11237" t="s">
        <v>1357</v>
      </c>
      <c r="L11237" t="s">
        <v>1357</v>
      </c>
    </row>
    <row r="11238" spans="6:12">
      <c r="H11238" t="s">
        <v>22570</v>
      </c>
      <c r="I11238" t="s">
        <v>1357</v>
      </c>
      <c r="J11238" t="s">
        <v>1357</v>
      </c>
      <c r="K11238" t="s">
        <v>1357</v>
      </c>
      <c r="L11238" t="s">
        <v>1357</v>
      </c>
    </row>
    <row r="11239" spans="6:12">
      <c r="H11239" t="s">
        <v>22571</v>
      </c>
      <c r="I11239" t="s">
        <v>1357</v>
      </c>
      <c r="J11239" t="s">
        <v>1357</v>
      </c>
      <c r="K11239" t="s">
        <v>1357</v>
      </c>
      <c r="L11239" t="s">
        <v>1357</v>
      </c>
    </row>
    <row r="11240" spans="6:12">
      <c r="H11240" t="s">
        <v>22572</v>
      </c>
      <c r="I11240" t="s">
        <v>1357</v>
      </c>
      <c r="J11240" t="s">
        <v>1357</v>
      </c>
      <c r="K11240" t="s">
        <v>1357</v>
      </c>
      <c r="L11240" t="s">
        <v>1357</v>
      </c>
    </row>
    <row r="11241" spans="6:12">
      <c r="H11241" t="s">
        <v>22573</v>
      </c>
      <c r="I11241" t="s">
        <v>1357</v>
      </c>
      <c r="J11241" t="s">
        <v>1357</v>
      </c>
      <c r="K11241" t="s">
        <v>1357</v>
      </c>
      <c r="L11241" t="s">
        <v>1357</v>
      </c>
    </row>
    <row r="11242" spans="6:12">
      <c r="H11242" t="s">
        <v>22574</v>
      </c>
      <c r="I11242" t="s">
        <v>1357</v>
      </c>
      <c r="J11242" t="s">
        <v>1357</v>
      </c>
      <c r="K11242" t="s">
        <v>1357</v>
      </c>
      <c r="L11242" t="s">
        <v>1357</v>
      </c>
    </row>
    <row r="11243" spans="6:12">
      <c r="H11243" t="s">
        <v>22575</v>
      </c>
      <c r="I11243" t="s">
        <v>1357</v>
      </c>
      <c r="J11243" t="s">
        <v>1357</v>
      </c>
      <c r="K11243" t="s">
        <v>1357</v>
      </c>
      <c r="L11243" t="s">
        <v>1357</v>
      </c>
    </row>
    <row r="11244" spans="6:12">
      <c r="H11244" t="s">
        <v>22576</v>
      </c>
      <c r="I11244" t="s">
        <v>1357</v>
      </c>
      <c r="J11244" t="s">
        <v>1357</v>
      </c>
      <c r="K11244" t="s">
        <v>1357</v>
      </c>
      <c r="L11244" t="s">
        <v>1357</v>
      </c>
    </row>
    <row r="11245" spans="6:12">
      <c r="H11245" t="s">
        <v>22577</v>
      </c>
      <c r="I11245" t="s">
        <v>1357</v>
      </c>
      <c r="J11245" t="s">
        <v>1357</v>
      </c>
      <c r="K11245" t="s">
        <v>1357</v>
      </c>
      <c r="L11245" t="s">
        <v>1357</v>
      </c>
    </row>
    <row r="11246" spans="6:12">
      <c r="H11246" t="s">
        <v>22578</v>
      </c>
      <c r="I11246" t="s">
        <v>1357</v>
      </c>
      <c r="J11246" t="s">
        <v>1357</v>
      </c>
      <c r="K11246" t="s">
        <v>1357</v>
      </c>
      <c r="L11246" t="s">
        <v>1357</v>
      </c>
    </row>
    <row r="11247" spans="6:12">
      <c r="F11247" t="s">
        <v>16282</v>
      </c>
      <c r="G11247" t="s">
        <v>18954</v>
      </c>
      <c r="H11247" t="s">
        <v>22579</v>
      </c>
      <c r="I11247" t="s">
        <v>1357</v>
      </c>
      <c r="J11247" t="s">
        <v>1357</v>
      </c>
      <c r="K11247" t="s">
        <v>1357</v>
      </c>
      <c r="L11247" t="s">
        <v>1357</v>
      </c>
    </row>
    <row r="11248" spans="6:12">
      <c r="H11248" t="s">
        <v>22580</v>
      </c>
      <c r="I11248" t="s">
        <v>1357</v>
      </c>
      <c r="J11248" t="s">
        <v>1357</v>
      </c>
      <c r="K11248" t="s">
        <v>1357</v>
      </c>
      <c r="L11248" t="s">
        <v>1357</v>
      </c>
    </row>
    <row r="11249" spans="6:13">
      <c r="H11249" t="s">
        <v>22581</v>
      </c>
      <c r="I11249" t="s">
        <v>1357</v>
      </c>
      <c r="J11249" t="s">
        <v>1357</v>
      </c>
      <c r="K11249" t="s">
        <v>1357</v>
      </c>
      <c r="L11249" t="s">
        <v>1357</v>
      </c>
    </row>
    <row r="11250" spans="6:13">
      <c r="H11250" t="s">
        <v>22582</v>
      </c>
      <c r="I11250" t="s">
        <v>1357</v>
      </c>
      <c r="J11250" t="s">
        <v>1357</v>
      </c>
      <c r="K11250" t="s">
        <v>1357</v>
      </c>
      <c r="L11250" t="s">
        <v>1357</v>
      </c>
    </row>
    <row r="11251" spans="6:13">
      <c r="F11251" t="s">
        <v>16283</v>
      </c>
      <c r="G11251" t="s">
        <v>18955</v>
      </c>
      <c r="H11251" t="s">
        <v>8753</v>
      </c>
      <c r="I11251" t="s">
        <v>1358</v>
      </c>
      <c r="J11251" t="s">
        <v>1358</v>
      </c>
      <c r="K11251" t="s">
        <v>1358</v>
      </c>
      <c r="L11251" t="s">
        <v>1358</v>
      </c>
      <c r="M11251" t="s">
        <v>27481</v>
      </c>
    </row>
    <row r="11252" spans="6:13">
      <c r="H11252" t="s">
        <v>22583</v>
      </c>
      <c r="I11252" t="s">
        <v>1357</v>
      </c>
      <c r="J11252" t="s">
        <v>1357</v>
      </c>
      <c r="K11252" t="s">
        <v>1357</v>
      </c>
      <c r="L11252" t="s">
        <v>1357</v>
      </c>
    </row>
    <row r="11253" spans="6:13">
      <c r="F11253" t="s">
        <v>16284</v>
      </c>
      <c r="G11253" t="s">
        <v>18786</v>
      </c>
      <c r="H11253" t="s">
        <v>22584</v>
      </c>
      <c r="I11253" t="s">
        <v>1357</v>
      </c>
      <c r="J11253" t="s">
        <v>1357</v>
      </c>
      <c r="K11253" t="s">
        <v>1357</v>
      </c>
      <c r="L11253" t="s">
        <v>1357</v>
      </c>
    </row>
    <row r="11254" spans="6:13">
      <c r="H11254" t="s">
        <v>22585</v>
      </c>
      <c r="I11254" t="s">
        <v>1357</v>
      </c>
      <c r="J11254" t="s">
        <v>1357</v>
      </c>
      <c r="K11254" t="s">
        <v>1357</v>
      </c>
      <c r="L11254" t="s">
        <v>1357</v>
      </c>
    </row>
    <row r="11255" spans="6:13">
      <c r="H11255" t="s">
        <v>22586</v>
      </c>
      <c r="I11255" t="s">
        <v>1357</v>
      </c>
      <c r="J11255" t="s">
        <v>1357</v>
      </c>
      <c r="K11255" t="s">
        <v>1357</v>
      </c>
      <c r="L11255" t="s">
        <v>1357</v>
      </c>
    </row>
    <row r="11256" spans="6:13">
      <c r="H11256" t="s">
        <v>22587</v>
      </c>
      <c r="I11256" t="s">
        <v>1357</v>
      </c>
      <c r="J11256" t="s">
        <v>1357</v>
      </c>
      <c r="K11256" t="s">
        <v>1357</v>
      </c>
      <c r="L11256" t="s">
        <v>1357</v>
      </c>
    </row>
    <row r="11257" spans="6:13">
      <c r="H11257" t="s">
        <v>22588</v>
      </c>
      <c r="I11257" t="s">
        <v>1357</v>
      </c>
      <c r="J11257" t="s">
        <v>1357</v>
      </c>
      <c r="K11257" t="s">
        <v>1357</v>
      </c>
      <c r="L11257" t="s">
        <v>1357</v>
      </c>
    </row>
    <row r="11258" spans="6:13">
      <c r="H11258" t="s">
        <v>22589</v>
      </c>
      <c r="I11258" t="s">
        <v>1357</v>
      </c>
      <c r="J11258" t="s">
        <v>1357</v>
      </c>
      <c r="K11258" t="s">
        <v>1357</v>
      </c>
      <c r="L11258" t="s">
        <v>1357</v>
      </c>
    </row>
    <row r="11259" spans="6:13">
      <c r="H11259" t="s">
        <v>22590</v>
      </c>
      <c r="I11259" t="s">
        <v>1357</v>
      </c>
      <c r="J11259" t="s">
        <v>1357</v>
      </c>
      <c r="K11259" t="s">
        <v>1357</v>
      </c>
      <c r="L11259" t="s">
        <v>1357</v>
      </c>
    </row>
    <row r="11260" spans="6:13">
      <c r="H11260" t="s">
        <v>22591</v>
      </c>
      <c r="I11260" t="s">
        <v>1357</v>
      </c>
      <c r="J11260" t="s">
        <v>1357</v>
      </c>
      <c r="K11260" t="s">
        <v>1357</v>
      </c>
      <c r="L11260" t="s">
        <v>1357</v>
      </c>
    </row>
    <row r="11261" spans="6:13">
      <c r="H11261" t="s">
        <v>22592</v>
      </c>
      <c r="I11261" t="s">
        <v>1357</v>
      </c>
      <c r="J11261" t="s">
        <v>1357</v>
      </c>
      <c r="K11261" t="s">
        <v>1357</v>
      </c>
      <c r="L11261" t="s">
        <v>1357</v>
      </c>
    </row>
    <row r="11262" spans="6:13">
      <c r="H11262" t="s">
        <v>22593</v>
      </c>
      <c r="I11262" t="s">
        <v>1357</v>
      </c>
      <c r="J11262" t="s">
        <v>1357</v>
      </c>
      <c r="K11262" t="s">
        <v>1357</v>
      </c>
      <c r="L11262" t="s">
        <v>1357</v>
      </c>
    </row>
    <row r="11263" spans="6:13">
      <c r="H11263" t="s">
        <v>22594</v>
      </c>
      <c r="I11263" t="s">
        <v>1357</v>
      </c>
      <c r="J11263" t="s">
        <v>1357</v>
      </c>
      <c r="K11263" t="s">
        <v>1357</v>
      </c>
      <c r="L11263" t="s">
        <v>1357</v>
      </c>
    </row>
    <row r="11264" spans="6:13">
      <c r="H11264" t="s">
        <v>22595</v>
      </c>
      <c r="I11264" t="s">
        <v>1357</v>
      </c>
      <c r="J11264" t="s">
        <v>1357</v>
      </c>
      <c r="K11264" t="s">
        <v>1357</v>
      </c>
      <c r="L11264" t="s">
        <v>1357</v>
      </c>
    </row>
    <row r="11265" spans="6:12">
      <c r="F11265" t="s">
        <v>16285</v>
      </c>
      <c r="G11265" t="s">
        <v>18956</v>
      </c>
      <c r="H11265" t="s">
        <v>22596</v>
      </c>
      <c r="I11265" t="s">
        <v>1357</v>
      </c>
      <c r="J11265" t="s">
        <v>1357</v>
      </c>
      <c r="K11265" t="s">
        <v>1357</v>
      </c>
      <c r="L11265" t="s">
        <v>1357</v>
      </c>
    </row>
    <row r="11266" spans="6:12">
      <c r="F11266" t="s">
        <v>16286</v>
      </c>
      <c r="G11266" t="s">
        <v>18957</v>
      </c>
      <c r="H11266" t="s">
        <v>22597</v>
      </c>
      <c r="I11266" t="s">
        <v>1357</v>
      </c>
      <c r="J11266" t="s">
        <v>1357</v>
      </c>
      <c r="K11266" t="s">
        <v>1357</v>
      </c>
      <c r="L11266" t="s">
        <v>1357</v>
      </c>
    </row>
    <row r="11267" spans="6:12">
      <c r="H11267" t="s">
        <v>22598</v>
      </c>
      <c r="I11267" t="s">
        <v>1357</v>
      </c>
      <c r="J11267" t="s">
        <v>1357</v>
      </c>
      <c r="K11267" t="s">
        <v>1357</v>
      </c>
      <c r="L11267" t="s">
        <v>1357</v>
      </c>
    </row>
    <row r="11268" spans="6:12">
      <c r="H11268" t="s">
        <v>22599</v>
      </c>
      <c r="I11268" t="s">
        <v>1357</v>
      </c>
      <c r="J11268" t="s">
        <v>1357</v>
      </c>
      <c r="K11268" t="s">
        <v>1357</v>
      </c>
      <c r="L11268" t="s">
        <v>1357</v>
      </c>
    </row>
    <row r="11269" spans="6:12">
      <c r="H11269" t="s">
        <v>22600</v>
      </c>
      <c r="I11269" t="s">
        <v>1357</v>
      </c>
      <c r="J11269" t="s">
        <v>1357</v>
      </c>
      <c r="K11269" t="s">
        <v>1357</v>
      </c>
      <c r="L11269" t="s">
        <v>1357</v>
      </c>
    </row>
    <row r="11270" spans="6:12">
      <c r="H11270" t="s">
        <v>22601</v>
      </c>
      <c r="I11270" t="s">
        <v>1357</v>
      </c>
      <c r="J11270" t="s">
        <v>1357</v>
      </c>
      <c r="K11270" t="s">
        <v>1357</v>
      </c>
      <c r="L11270" t="s">
        <v>1357</v>
      </c>
    </row>
    <row r="11271" spans="6:12">
      <c r="H11271" t="s">
        <v>22602</v>
      </c>
      <c r="I11271" t="s">
        <v>1357</v>
      </c>
      <c r="J11271" t="s">
        <v>1357</v>
      </c>
      <c r="K11271" t="s">
        <v>1357</v>
      </c>
      <c r="L11271" t="s">
        <v>1357</v>
      </c>
    </row>
    <row r="11272" spans="6:12">
      <c r="H11272" t="s">
        <v>22603</v>
      </c>
      <c r="I11272" t="s">
        <v>1357</v>
      </c>
      <c r="J11272" t="s">
        <v>1357</v>
      </c>
      <c r="K11272" t="s">
        <v>1357</v>
      </c>
      <c r="L11272" t="s">
        <v>1357</v>
      </c>
    </row>
    <row r="11273" spans="6:12">
      <c r="H11273" t="s">
        <v>22604</v>
      </c>
      <c r="I11273" t="s">
        <v>1357</v>
      </c>
      <c r="J11273" t="s">
        <v>1357</v>
      </c>
      <c r="K11273" t="s">
        <v>1357</v>
      </c>
      <c r="L11273" t="s">
        <v>1357</v>
      </c>
    </row>
    <row r="11274" spans="6:12">
      <c r="H11274" t="s">
        <v>22605</v>
      </c>
      <c r="I11274" t="s">
        <v>1357</v>
      </c>
      <c r="J11274" t="s">
        <v>1357</v>
      </c>
      <c r="K11274" t="s">
        <v>1357</v>
      </c>
      <c r="L11274" t="s">
        <v>1357</v>
      </c>
    </row>
    <row r="11275" spans="6:12">
      <c r="H11275" t="s">
        <v>22606</v>
      </c>
      <c r="I11275" t="s">
        <v>1357</v>
      </c>
      <c r="J11275" t="s">
        <v>1357</v>
      </c>
      <c r="K11275" t="s">
        <v>1357</v>
      </c>
      <c r="L11275" t="s">
        <v>1357</v>
      </c>
    </row>
    <row r="11276" spans="6:12">
      <c r="H11276" t="s">
        <v>22607</v>
      </c>
      <c r="I11276" t="s">
        <v>1357</v>
      </c>
      <c r="J11276" t="s">
        <v>1357</v>
      </c>
      <c r="K11276" t="s">
        <v>1357</v>
      </c>
      <c r="L11276" t="s">
        <v>1357</v>
      </c>
    </row>
    <row r="11277" spans="6:12">
      <c r="F11277" t="s">
        <v>16287</v>
      </c>
      <c r="G11277" t="s">
        <v>18958</v>
      </c>
      <c r="H11277" t="s">
        <v>1175</v>
      </c>
      <c r="I11277" t="s">
        <v>1357</v>
      </c>
      <c r="J11277" t="s">
        <v>1357</v>
      </c>
      <c r="K11277" t="s">
        <v>1357</v>
      </c>
      <c r="L11277" t="s">
        <v>1357</v>
      </c>
    </row>
    <row r="11278" spans="6:12">
      <c r="H11278" t="s">
        <v>22608</v>
      </c>
      <c r="I11278" t="s">
        <v>1357</v>
      </c>
      <c r="J11278" t="s">
        <v>1357</v>
      </c>
      <c r="K11278" t="s">
        <v>1357</v>
      </c>
      <c r="L11278" t="s">
        <v>1357</v>
      </c>
    </row>
    <row r="11279" spans="6:12">
      <c r="H11279" t="s">
        <v>22609</v>
      </c>
      <c r="I11279" t="s">
        <v>1357</v>
      </c>
      <c r="J11279" t="s">
        <v>1357</v>
      </c>
      <c r="K11279" t="s">
        <v>1357</v>
      </c>
      <c r="L11279" t="s">
        <v>1357</v>
      </c>
    </row>
    <row r="11280" spans="6:12">
      <c r="H11280" t="s">
        <v>22610</v>
      </c>
      <c r="I11280" t="s">
        <v>1357</v>
      </c>
      <c r="J11280" t="s">
        <v>1357</v>
      </c>
      <c r="K11280" t="s">
        <v>1357</v>
      </c>
      <c r="L11280" t="s">
        <v>1357</v>
      </c>
    </row>
    <row r="11281" spans="1:12">
      <c r="H11281" t="s">
        <v>22611</v>
      </c>
      <c r="I11281" t="s">
        <v>1357</v>
      </c>
      <c r="J11281" t="s">
        <v>1357</v>
      </c>
      <c r="K11281" t="s">
        <v>1357</v>
      </c>
      <c r="L11281" t="s">
        <v>1357</v>
      </c>
    </row>
    <row r="11282" spans="1:12">
      <c r="H11282" t="s">
        <v>22612</v>
      </c>
      <c r="I11282" t="s">
        <v>1357</v>
      </c>
      <c r="J11282" t="s">
        <v>1357</v>
      </c>
      <c r="K11282" t="s">
        <v>1357</v>
      </c>
      <c r="L11282" t="s">
        <v>1357</v>
      </c>
    </row>
    <row r="11283" spans="1:12">
      <c r="H11283" t="s">
        <v>22613</v>
      </c>
      <c r="I11283" t="s">
        <v>1357</v>
      </c>
      <c r="J11283" t="s">
        <v>1357</v>
      </c>
      <c r="K11283" t="s">
        <v>1357</v>
      </c>
      <c r="L11283" t="s">
        <v>1357</v>
      </c>
    </row>
    <row r="11284" spans="1:12">
      <c r="F11284" t="s">
        <v>16288</v>
      </c>
      <c r="G11284" t="s">
        <v>18959</v>
      </c>
      <c r="H11284" t="s">
        <v>22614</v>
      </c>
      <c r="I11284" t="s">
        <v>1357</v>
      </c>
      <c r="J11284" t="s">
        <v>1357</v>
      </c>
      <c r="K11284" t="s">
        <v>1357</v>
      </c>
      <c r="L11284" t="s">
        <v>1357</v>
      </c>
    </row>
    <row r="11285" spans="1:12">
      <c r="H11285" t="s">
        <v>22615</v>
      </c>
      <c r="I11285" t="s">
        <v>1357</v>
      </c>
      <c r="J11285" t="s">
        <v>1357</v>
      </c>
      <c r="K11285" t="s">
        <v>1357</v>
      </c>
      <c r="L11285" t="s">
        <v>1357</v>
      </c>
    </row>
    <row r="11286" spans="1:12">
      <c r="A11286" t="s">
        <v>10544</v>
      </c>
      <c r="B11286">
        <f>HYPERLINK("https://android.googlesource.com/platform/cts/+/03072b376deffd4953ec4487e133ee1ec3e33428", "03072b376deffd4953ec4487e133ee1ec3e33428")</f>
        <v>0</v>
      </c>
      <c r="C11286">
        <f>HYPERLINK("https://android.googlesource.com/platform/cts/+/e56fe3ca0e098885581ef6e53a8fd28280ffc00a", "e56fe3ca0e098885581ef6e53a8fd28280ffc00a")</f>
        <v>0</v>
      </c>
      <c r="D11286" t="s">
        <v>12008</v>
      </c>
      <c r="E11286" t="s">
        <v>13098</v>
      </c>
      <c r="F11286" t="s">
        <v>16289</v>
      </c>
      <c r="G11286" t="s">
        <v>18960</v>
      </c>
      <c r="H11286" t="s">
        <v>22616</v>
      </c>
      <c r="I11286" t="s">
        <v>1357</v>
      </c>
      <c r="J11286" t="s">
        <v>1357</v>
      </c>
      <c r="K11286" t="s">
        <v>1357</v>
      </c>
      <c r="L11286" t="s">
        <v>1357</v>
      </c>
    </row>
    <row r="11287" spans="1:12">
      <c r="A11287" t="s">
        <v>10545</v>
      </c>
      <c r="B11287">
        <f>HYPERLINK("https://android.googlesource.com/platform/cts/+/6bc778960e5b34c8a362607c2848426a3f5c91d5", "6bc778960e5b34c8a362607c2848426a3f5c91d5")</f>
        <v>0</v>
      </c>
      <c r="C11287">
        <f>HYPERLINK("https://android.googlesource.com/platform/cts/+/8ec14850a3cbf38f61136c875d8d21add3c95762", "8ec14850a3cbf38f61136c875d8d21add3c95762")</f>
        <v>0</v>
      </c>
      <c r="D11287" t="s">
        <v>12008</v>
      </c>
      <c r="E11287" t="s">
        <v>13099</v>
      </c>
      <c r="F11287" t="s">
        <v>16290</v>
      </c>
      <c r="G11287" t="s">
        <v>18961</v>
      </c>
      <c r="H11287" t="s">
        <v>22617</v>
      </c>
      <c r="I11287" t="s">
        <v>1359</v>
      </c>
      <c r="J11287" t="s">
        <v>1358</v>
      </c>
      <c r="K11287" t="s">
        <v>1357</v>
      </c>
      <c r="L11287" t="s">
        <v>1358</v>
      </c>
    </row>
    <row r="11288" spans="1:12">
      <c r="H11288" t="s">
        <v>22618</v>
      </c>
      <c r="I11288" t="s">
        <v>1357</v>
      </c>
      <c r="J11288" t="s">
        <v>1357</v>
      </c>
      <c r="K11288" t="s">
        <v>1357</v>
      </c>
      <c r="L11288" t="s">
        <v>1357</v>
      </c>
    </row>
    <row r="11289" spans="1:12">
      <c r="A11289" t="s">
        <v>10546</v>
      </c>
      <c r="B11289">
        <f>HYPERLINK("https://android.googlesource.com/platform/cts/+/bf1605d391ba80e4a942e779b604fd0177724e83", "bf1605d391ba80e4a942e779b604fd0177724e83")</f>
        <v>0</v>
      </c>
      <c r="C11289">
        <f>HYPERLINK("https://android.googlesource.com/platform/cts/+/0e71b18cb619be99e01aaf64fa3f913370254ece", "0e71b18cb619be99e01aaf64fa3f913370254ece")</f>
        <v>0</v>
      </c>
      <c r="D11289" t="s">
        <v>12111</v>
      </c>
      <c r="E11289" t="s">
        <v>13100</v>
      </c>
      <c r="F11289" t="s">
        <v>16291</v>
      </c>
      <c r="G11289" t="s">
        <v>18962</v>
      </c>
      <c r="H11289" t="s">
        <v>22619</v>
      </c>
      <c r="I11289" t="s">
        <v>1358</v>
      </c>
      <c r="J11289" t="s">
        <v>1358</v>
      </c>
      <c r="K11289" t="s">
        <v>1358</v>
      </c>
      <c r="L11289" t="s">
        <v>1358</v>
      </c>
    </row>
    <row r="11290" spans="1:12">
      <c r="H11290" t="s">
        <v>22620</v>
      </c>
      <c r="I11290" t="s">
        <v>1357</v>
      </c>
      <c r="J11290" t="s">
        <v>1357</v>
      </c>
      <c r="K11290" t="s">
        <v>1357</v>
      </c>
      <c r="L11290" t="s">
        <v>1357</v>
      </c>
    </row>
    <row r="11291" spans="1:12">
      <c r="A11291" t="s">
        <v>10547</v>
      </c>
      <c r="B11291">
        <f>HYPERLINK("https://android.googlesource.com/platform/cts/+/92cd9119d1dbcb9664a830f216920d5bbde961a1", "92cd9119d1dbcb9664a830f216920d5bbde961a1")</f>
        <v>0</v>
      </c>
      <c r="C11291">
        <f>HYPERLINK("https://android.googlesource.com/platform/cts/+/ea862a6bd2f49df4bc0204743f955749b0230c26", "ea862a6bd2f49df4bc0204743f955749b0230c26")</f>
        <v>0</v>
      </c>
      <c r="D11291" t="s">
        <v>12105</v>
      </c>
      <c r="E11291" t="s">
        <v>13101</v>
      </c>
      <c r="F11291" t="s">
        <v>15184</v>
      </c>
      <c r="G11291" t="s">
        <v>17886</v>
      </c>
      <c r="H11291" t="s">
        <v>22621</v>
      </c>
      <c r="I11291" t="s">
        <v>1358</v>
      </c>
      <c r="J11291" t="s">
        <v>1358</v>
      </c>
      <c r="K11291" t="s">
        <v>1358</v>
      </c>
      <c r="L11291" t="s">
        <v>1358</v>
      </c>
    </row>
    <row r="11292" spans="1:12">
      <c r="H11292" t="s">
        <v>22622</v>
      </c>
      <c r="I11292" t="s">
        <v>1358</v>
      </c>
      <c r="J11292" t="s">
        <v>1358</v>
      </c>
      <c r="K11292" t="s">
        <v>1358</v>
      </c>
      <c r="L11292" t="s">
        <v>1358</v>
      </c>
    </row>
    <row r="11293" spans="1:12">
      <c r="A11293" t="s">
        <v>10548</v>
      </c>
      <c r="B11293">
        <f>HYPERLINK("https://android.googlesource.com/platform/cts/+/ed85533fa030ca397a36a0b8bac3189eae9d23c9", "ed85533fa030ca397a36a0b8bac3189eae9d23c9")</f>
        <v>0</v>
      </c>
      <c r="C11293">
        <f>HYPERLINK("https://android.googlesource.com/platform/cts/+/50d641d9ce7db1f7f7b7c2c945525026d8f07e1c", "50d641d9ce7db1f7f7b7c2c945525026d8f07e1c")</f>
        <v>0</v>
      </c>
      <c r="D11293" t="s">
        <v>12140</v>
      </c>
      <c r="E11293" t="s">
        <v>13102</v>
      </c>
      <c r="F11293" t="s">
        <v>16292</v>
      </c>
      <c r="G11293" t="s">
        <v>18963</v>
      </c>
      <c r="H11293" t="s">
        <v>22623</v>
      </c>
      <c r="I11293" t="s">
        <v>1357</v>
      </c>
      <c r="J11293" t="s">
        <v>1357</v>
      </c>
      <c r="K11293" t="s">
        <v>1357</v>
      </c>
      <c r="L11293" t="s">
        <v>1357</v>
      </c>
    </row>
    <row r="11294" spans="1:12">
      <c r="A11294" t="s">
        <v>10549</v>
      </c>
      <c r="B11294">
        <f>HYPERLINK("https://android.googlesource.com/platform/cts/+/52781c7c29f20abd6b9a1c49a67aebf1e2592014", "52781c7c29f20abd6b9a1c49a67aebf1e2592014")</f>
        <v>0</v>
      </c>
      <c r="C11294">
        <f>HYPERLINK("https://android.googlesource.com/platform/cts/+/2eb66d66b0f2a6bfc71c217e12bcb6f002ecf336", "2eb66d66b0f2a6bfc71c217e12bcb6f002ecf336")</f>
        <v>0</v>
      </c>
      <c r="D11294" t="s">
        <v>12012</v>
      </c>
      <c r="E11294" t="s">
        <v>13103</v>
      </c>
      <c r="F11294" t="s">
        <v>16293</v>
      </c>
      <c r="G11294" t="s">
        <v>18964</v>
      </c>
      <c r="H11294" t="s">
        <v>22624</v>
      </c>
      <c r="I11294" t="s">
        <v>1357</v>
      </c>
      <c r="J11294" t="s">
        <v>1357</v>
      </c>
      <c r="K11294" t="s">
        <v>1357</v>
      </c>
      <c r="L11294" t="s">
        <v>1357</v>
      </c>
    </row>
    <row r="11295" spans="1:12">
      <c r="H11295" t="s">
        <v>22625</v>
      </c>
      <c r="I11295" t="s">
        <v>1357</v>
      </c>
      <c r="J11295" t="s">
        <v>1357</v>
      </c>
      <c r="K11295" t="s">
        <v>1357</v>
      </c>
      <c r="L11295" t="s">
        <v>1357</v>
      </c>
    </row>
    <row r="11296" spans="1:12">
      <c r="H11296" t="s">
        <v>22626</v>
      </c>
      <c r="I11296" t="s">
        <v>1357</v>
      </c>
      <c r="J11296" t="s">
        <v>1357</v>
      </c>
      <c r="K11296" t="s">
        <v>1357</v>
      </c>
      <c r="L11296" t="s">
        <v>1357</v>
      </c>
    </row>
    <row r="11297" spans="1:14">
      <c r="H11297" t="s">
        <v>1692</v>
      </c>
      <c r="I11297" t="s">
        <v>1357</v>
      </c>
      <c r="J11297" t="s">
        <v>1357</v>
      </c>
      <c r="K11297" t="s">
        <v>1357</v>
      </c>
      <c r="L11297" t="s">
        <v>1357</v>
      </c>
    </row>
    <row r="11298" spans="1:14">
      <c r="A11298" t="s">
        <v>10550</v>
      </c>
      <c r="B11298">
        <f>HYPERLINK("https://android.googlesource.com/platform/cts/+/eba4da29339b68bcf5049d2382f6a2f79b05f66e", "eba4da29339b68bcf5049d2382f6a2f79b05f66e")</f>
        <v>0</v>
      </c>
      <c r="C11298">
        <f>HYPERLINK("https://android.googlesource.com/platform/cts/+/ed5f855f5a888399e2f0eed3639e95ae1af04fdf", "ed5f855f5a888399e2f0eed3639e95ae1af04fdf")</f>
        <v>0</v>
      </c>
      <c r="D11298" t="s">
        <v>12103</v>
      </c>
      <c r="E11298" t="s">
        <v>13104</v>
      </c>
      <c r="F11298" t="s">
        <v>16294</v>
      </c>
      <c r="G11298" t="s">
        <v>18965</v>
      </c>
      <c r="H11298" t="s">
        <v>22627</v>
      </c>
      <c r="I11298" t="s">
        <v>1357</v>
      </c>
      <c r="J11298" t="s">
        <v>1357</v>
      </c>
      <c r="K11298" t="s">
        <v>1357</v>
      </c>
      <c r="L11298" t="s">
        <v>1357</v>
      </c>
    </row>
    <row r="11299" spans="1:14">
      <c r="H11299" t="s">
        <v>22628</v>
      </c>
      <c r="I11299" t="s">
        <v>1357</v>
      </c>
      <c r="J11299" t="s">
        <v>1357</v>
      </c>
      <c r="K11299" t="s">
        <v>1357</v>
      </c>
      <c r="L11299" t="s">
        <v>1357</v>
      </c>
    </row>
    <row r="11300" spans="1:14">
      <c r="A11300" t="s">
        <v>10551</v>
      </c>
      <c r="B11300">
        <f>HYPERLINK("https://android.googlesource.com/platform/cts/+/ef6033e792d96dd9ebcb01849d579c483240dfa2", "ef6033e792d96dd9ebcb01849d579c483240dfa2")</f>
        <v>0</v>
      </c>
      <c r="C11300">
        <f>HYPERLINK("https://android.googlesource.com/platform/cts/+/e0761dc1fbfed28a5b058c945cc0ce4d7344b62b", "e0761dc1fbfed28a5b058c945cc0ce4d7344b62b")</f>
        <v>0</v>
      </c>
      <c r="D11300" t="s">
        <v>12090</v>
      </c>
      <c r="E11300" t="s">
        <v>13105</v>
      </c>
      <c r="F11300" t="s">
        <v>14580</v>
      </c>
      <c r="G11300" t="s">
        <v>17424</v>
      </c>
      <c r="H11300" t="s">
        <v>22629</v>
      </c>
      <c r="I11300" t="s">
        <v>1359</v>
      </c>
      <c r="J11300" t="s">
        <v>1358</v>
      </c>
      <c r="K11300" t="s">
        <v>1357</v>
      </c>
      <c r="L11300" t="s">
        <v>1358</v>
      </c>
    </row>
    <row r="11301" spans="1:14">
      <c r="A11301" t="s">
        <v>10552</v>
      </c>
      <c r="B11301">
        <f>HYPERLINK("https://android.googlesource.com/platform/cts/+/74802bc44d838e503dd364b8a3ab6d3d2536f944", "74802bc44d838e503dd364b8a3ab6d3d2536f944")</f>
        <v>0</v>
      </c>
      <c r="C11301">
        <f>HYPERLINK("https://android.googlesource.com/platform/cts/+/9c2a0fa5dd28e0a1fddbdd531626c795102dd9d9", "9c2a0fa5dd28e0a1fddbdd531626c795102dd9d9")</f>
        <v>0</v>
      </c>
      <c r="D11301" t="s">
        <v>12128</v>
      </c>
      <c r="E11301" t="s">
        <v>13106</v>
      </c>
      <c r="F11301" t="s">
        <v>15180</v>
      </c>
      <c r="G11301" t="s">
        <v>17882</v>
      </c>
      <c r="H11301" t="s">
        <v>22357</v>
      </c>
      <c r="I11301" t="s">
        <v>1357</v>
      </c>
      <c r="J11301" t="s">
        <v>1357</v>
      </c>
      <c r="K11301" t="s">
        <v>1357</v>
      </c>
      <c r="L11301" t="s">
        <v>1357</v>
      </c>
    </row>
    <row r="11302" spans="1:14">
      <c r="A11302" t="s">
        <v>10553</v>
      </c>
      <c r="B11302">
        <f>HYPERLINK("https://android.googlesource.com/platform/cts/+/048475048be8820e538e1dffc3b0e06468d97969", "048475048be8820e538e1dffc3b0e06468d97969")</f>
        <v>0</v>
      </c>
      <c r="C11302">
        <f>HYPERLINK("https://android.googlesource.com/platform/cts/+/e3eee99b576e4418ccfcd172b9a989fc79d683f4", "e3eee99b576e4418ccfcd172b9a989fc79d683f4")</f>
        <v>0</v>
      </c>
      <c r="D11302" t="s">
        <v>12036</v>
      </c>
      <c r="E11302" t="s">
        <v>13107</v>
      </c>
      <c r="F11302" t="s">
        <v>16295</v>
      </c>
      <c r="G11302" t="s">
        <v>18966</v>
      </c>
      <c r="H11302" t="s">
        <v>22630</v>
      </c>
      <c r="I11302" t="s">
        <v>1357</v>
      </c>
      <c r="J11302" t="s">
        <v>1357</v>
      </c>
      <c r="K11302" t="s">
        <v>1357</v>
      </c>
      <c r="L11302" t="s">
        <v>1357</v>
      </c>
    </row>
    <row r="11303" spans="1:14">
      <c r="A11303" t="s">
        <v>10554</v>
      </c>
      <c r="B11303">
        <f>HYPERLINK("https://android.googlesource.com/platform/cts/+/fc47e20cdfdbc53af890799cbd60bc97801b4e40", "fc47e20cdfdbc53af890799cbd60bc97801b4e40")</f>
        <v>0</v>
      </c>
      <c r="C11303">
        <f>HYPERLINK("https://android.googlesource.com/platform/cts/+/02aaa0c7a1ef11fefd5f0c83f7f90ba4dd2c88be", "02aaa0c7a1ef11fefd5f0c83f7f90ba4dd2c88be")</f>
        <v>0</v>
      </c>
      <c r="D11303" t="s">
        <v>12141</v>
      </c>
      <c r="E11303" t="s">
        <v>13108</v>
      </c>
      <c r="F11303" t="s">
        <v>16087</v>
      </c>
      <c r="G11303" t="s">
        <v>18776</v>
      </c>
      <c r="H11303" t="s">
        <v>21781</v>
      </c>
      <c r="I11303" t="s">
        <v>1357</v>
      </c>
      <c r="J11303" t="s">
        <v>1357</v>
      </c>
      <c r="K11303" t="s">
        <v>1357</v>
      </c>
      <c r="L11303" t="s">
        <v>1357</v>
      </c>
    </row>
    <row r="11304" spans="1:14">
      <c r="A11304" t="s">
        <v>10555</v>
      </c>
      <c r="B11304">
        <f>HYPERLINK("https://android.googlesource.com/platform/cts/+/11a3fe766d7e32f24517010c34e3e1d137a4d44d", "11a3fe766d7e32f24517010c34e3e1d137a4d44d")</f>
        <v>0</v>
      </c>
      <c r="C11304">
        <f>HYPERLINK("https://android.googlesource.com/platform/cts/+/513afa272a34a98d89f85c4fd00996240f7a659a", "513afa272a34a98d89f85c4fd00996240f7a659a")</f>
        <v>0</v>
      </c>
      <c r="D11304" t="s">
        <v>12142</v>
      </c>
      <c r="E11304" t="s">
        <v>13094</v>
      </c>
      <c r="F11304" t="s">
        <v>16273</v>
      </c>
      <c r="G11304" t="s">
        <v>18946</v>
      </c>
      <c r="H11304" t="s">
        <v>22468</v>
      </c>
      <c r="I11304" t="s">
        <v>1357</v>
      </c>
      <c r="J11304" t="s">
        <v>1357</v>
      </c>
      <c r="K11304" t="s">
        <v>1357</v>
      </c>
      <c r="L11304" t="s">
        <v>1357</v>
      </c>
    </row>
    <row r="11305" spans="1:14">
      <c r="A11305" t="s">
        <v>10556</v>
      </c>
      <c r="B11305">
        <f>HYPERLINK("https://android.googlesource.com/platform/cts/+/1cf5c9afda9d3ed2c5f85f6040633932a0325630", "1cf5c9afda9d3ed2c5f85f6040633932a0325630")</f>
        <v>0</v>
      </c>
      <c r="C11305">
        <f>HYPERLINK("https://android.googlesource.com/platform/cts/+/d2c04c8a8a1c6d9a177aef91895f9c88dee5fd69", "d2c04c8a8a1c6d9a177aef91895f9c88dee5fd69")</f>
        <v>0</v>
      </c>
      <c r="D11305" t="s">
        <v>12143</v>
      </c>
      <c r="E11305" t="s">
        <v>13109</v>
      </c>
      <c r="F11305" t="s">
        <v>16296</v>
      </c>
      <c r="G11305" t="s">
        <v>18967</v>
      </c>
      <c r="H11305" t="s">
        <v>22631</v>
      </c>
      <c r="I11305" t="s">
        <v>1357</v>
      </c>
      <c r="J11305" t="s">
        <v>1357</v>
      </c>
      <c r="K11305" t="s">
        <v>1357</v>
      </c>
      <c r="L11305" t="s">
        <v>1357</v>
      </c>
    </row>
    <row r="11306" spans="1:14">
      <c r="A11306" t="s">
        <v>10557</v>
      </c>
      <c r="B11306">
        <f>HYPERLINK("https://android.googlesource.com/platform/cts/+/7b1462fa47277d2451dd45a8f8d9116e06509102", "7b1462fa47277d2451dd45a8f8d9116e06509102")</f>
        <v>0</v>
      </c>
      <c r="C11306">
        <f>HYPERLINK("https://android.googlesource.com/platform/cts/+/b080702ad7f5e61e3793cc4335e55b6bec128975", "b080702ad7f5e61e3793cc4335e55b6bec128975")</f>
        <v>0</v>
      </c>
      <c r="D11306" t="s">
        <v>12144</v>
      </c>
      <c r="E11306" t="s">
        <v>13110</v>
      </c>
      <c r="F11306" t="s">
        <v>16297</v>
      </c>
      <c r="G11306" t="s">
        <v>18968</v>
      </c>
      <c r="H11306" t="s">
        <v>22632</v>
      </c>
      <c r="I11306" t="s">
        <v>1357</v>
      </c>
      <c r="J11306" t="s">
        <v>1357</v>
      </c>
      <c r="K11306" t="s">
        <v>1357</v>
      </c>
      <c r="L11306" t="s">
        <v>1357</v>
      </c>
    </row>
    <row r="11307" spans="1:14">
      <c r="H11307" t="s">
        <v>22633</v>
      </c>
      <c r="I11307" t="s">
        <v>1357</v>
      </c>
      <c r="J11307" t="s">
        <v>1357</v>
      </c>
      <c r="K11307" t="s">
        <v>1357</v>
      </c>
      <c r="L11307" t="s">
        <v>1357</v>
      </c>
    </row>
    <row r="11308" spans="1:14">
      <c r="A11308" t="s">
        <v>10558</v>
      </c>
      <c r="B11308">
        <f>HYPERLINK("https://android.googlesource.com/platform/cts/+/76d27ce7c94d7559716fa779051f3cdc1af488b0", "76d27ce7c94d7559716fa779051f3cdc1af488b0")</f>
        <v>0</v>
      </c>
      <c r="C11308">
        <f>HYPERLINK("https://android.googlesource.com/platform/cts/+/2d3020b24fbc9db60e3fc94a075a9dce0ff9d4d6", "2d3020b24fbc9db60e3fc94a075a9dce0ff9d4d6")</f>
        <v>0</v>
      </c>
      <c r="D11308" t="s">
        <v>12145</v>
      </c>
      <c r="E11308" t="s">
        <v>13111</v>
      </c>
      <c r="F11308" t="s">
        <v>16298</v>
      </c>
      <c r="G11308" t="s">
        <v>18969</v>
      </c>
      <c r="H11308" t="s">
        <v>22634</v>
      </c>
      <c r="I11308" t="s">
        <v>1357</v>
      </c>
      <c r="J11308" t="s">
        <v>1357</v>
      </c>
      <c r="K11308" t="s">
        <v>1357</v>
      </c>
      <c r="L11308" t="s">
        <v>1357</v>
      </c>
    </row>
    <row r="11309" spans="1:14">
      <c r="H11309" t="s">
        <v>22635</v>
      </c>
      <c r="I11309" t="s">
        <v>1357</v>
      </c>
      <c r="J11309" t="s">
        <v>1357</v>
      </c>
      <c r="K11309" t="s">
        <v>1357</v>
      </c>
      <c r="L11309" t="s">
        <v>1357</v>
      </c>
    </row>
    <row r="11310" spans="1:14">
      <c r="H11310" t="s">
        <v>22636</v>
      </c>
      <c r="I11310" t="s">
        <v>1357</v>
      </c>
      <c r="J11310" t="s">
        <v>1357</v>
      </c>
      <c r="K11310" t="s">
        <v>1357</v>
      </c>
      <c r="L11310" t="s">
        <v>1357</v>
      </c>
    </row>
    <row r="11311" spans="1:14">
      <c r="F11311" t="s">
        <v>16099</v>
      </c>
      <c r="G11311" t="s">
        <v>18788</v>
      </c>
      <c r="H11311" t="s">
        <v>22637</v>
      </c>
      <c r="I11311" t="s">
        <v>1357</v>
      </c>
      <c r="J11311" t="s">
        <v>1357</v>
      </c>
      <c r="K11311" t="s">
        <v>1357</v>
      </c>
      <c r="L11311" t="s">
        <v>1357</v>
      </c>
    </row>
    <row r="11312" spans="1:14">
      <c r="A11312" t="s">
        <v>10559</v>
      </c>
      <c r="B11312">
        <f>HYPERLINK("https://android.googlesource.com/platform/cts/+/483ab8e405360430b806b04aee51fedc32c4a34f", "483ab8e405360430b806b04aee51fedc32c4a34f")</f>
        <v>0</v>
      </c>
      <c r="C11312">
        <f>HYPERLINK("https://android.googlesource.com/platform/cts/+/00d2bbc0310e81973f5a9e9f37d3159ee3361c91", "00d2bbc0310e81973f5a9e9f37d3159ee3361c91")</f>
        <v>0</v>
      </c>
      <c r="D11312" t="s">
        <v>12146</v>
      </c>
      <c r="E11312" t="s">
        <v>13112</v>
      </c>
      <c r="F11312" t="s">
        <v>16083</v>
      </c>
      <c r="G11312" t="s">
        <v>18772</v>
      </c>
      <c r="H11312" t="s">
        <v>22638</v>
      </c>
      <c r="I11312" t="s">
        <v>1357</v>
      </c>
      <c r="J11312" t="s">
        <v>1357</v>
      </c>
      <c r="K11312" t="s">
        <v>1357</v>
      </c>
      <c r="L11312" t="s">
        <v>1357</v>
      </c>
      <c r="N11312" t="s">
        <v>27518</v>
      </c>
    </row>
    <row r="11313" spans="1:13">
      <c r="A11313" t="s">
        <v>10560</v>
      </c>
      <c r="B11313">
        <f>HYPERLINK("https://android.googlesource.com/platform/cts/+/2fbc4fb2fec3bd955d6933feb5d4d63e357bc55b", "2fbc4fb2fec3bd955d6933feb5d4d63e357bc55b")</f>
        <v>0</v>
      </c>
      <c r="C11313">
        <f>HYPERLINK("https://android.googlesource.com/platform/cts/+/a57f7aacff3602f8a26ca01e300cf3a6965adcf3", "a57f7aacff3602f8a26ca01e300cf3a6965adcf3")</f>
        <v>0</v>
      </c>
      <c r="D11313" t="s">
        <v>12021</v>
      </c>
      <c r="E11313" t="s">
        <v>13113</v>
      </c>
      <c r="F11313" t="s">
        <v>15937</v>
      </c>
      <c r="G11313" t="s">
        <v>18629</v>
      </c>
      <c r="H11313" t="s">
        <v>21343</v>
      </c>
      <c r="I11313" t="s">
        <v>1357</v>
      </c>
      <c r="J11313" t="s">
        <v>1357</v>
      </c>
      <c r="K11313" t="s">
        <v>1357</v>
      </c>
      <c r="L11313" t="s">
        <v>1357</v>
      </c>
    </row>
    <row r="11314" spans="1:13">
      <c r="H11314" t="s">
        <v>21344</v>
      </c>
      <c r="I11314" t="s">
        <v>1357</v>
      </c>
      <c r="J11314" t="s">
        <v>1357</v>
      </c>
      <c r="K11314" t="s">
        <v>1357</v>
      </c>
      <c r="L11314" t="s">
        <v>1357</v>
      </c>
    </row>
    <row r="11315" spans="1:13">
      <c r="H11315" t="s">
        <v>21345</v>
      </c>
      <c r="I11315" t="s">
        <v>1357</v>
      </c>
      <c r="J11315" t="s">
        <v>1357</v>
      </c>
      <c r="K11315" t="s">
        <v>1357</v>
      </c>
      <c r="L11315" t="s">
        <v>1357</v>
      </c>
    </row>
    <row r="11316" spans="1:13">
      <c r="A11316" t="s">
        <v>10561</v>
      </c>
      <c r="B11316">
        <f>HYPERLINK("https://android.googlesource.com/platform/cts/+/8ab04d76cdd0b3c57ea2b94f9819c5ba1dc35525", "8ab04d76cdd0b3c57ea2b94f9819c5ba1dc35525")</f>
        <v>0</v>
      </c>
      <c r="C11316">
        <f>HYPERLINK("https://android.googlesource.com/platform/cts/+/69f13316b8c6b44e6f14593db351d9a2d878e338", "69f13316b8c6b44e6f14593db351d9a2d878e338")</f>
        <v>0</v>
      </c>
      <c r="D11316" t="s">
        <v>12147</v>
      </c>
      <c r="E11316" t="s">
        <v>13114</v>
      </c>
      <c r="F11316" t="s">
        <v>15937</v>
      </c>
      <c r="G11316" t="s">
        <v>18629</v>
      </c>
      <c r="H11316" t="s">
        <v>21343</v>
      </c>
      <c r="I11316" t="s">
        <v>1357</v>
      </c>
      <c r="J11316" t="s">
        <v>1357</v>
      </c>
      <c r="K11316" t="s">
        <v>1357</v>
      </c>
      <c r="L11316" t="s">
        <v>1357</v>
      </c>
      <c r="M11316" t="s">
        <v>9957</v>
      </c>
    </row>
    <row r="11317" spans="1:13">
      <c r="H11317" t="s">
        <v>21344</v>
      </c>
      <c r="I11317" t="s">
        <v>1357</v>
      </c>
      <c r="J11317" t="s">
        <v>1357</v>
      </c>
      <c r="K11317" t="s">
        <v>1357</v>
      </c>
      <c r="L11317" t="s">
        <v>1357</v>
      </c>
    </row>
    <row r="11318" spans="1:13">
      <c r="H11318" t="s">
        <v>21345</v>
      </c>
      <c r="I11318" t="s">
        <v>1357</v>
      </c>
      <c r="J11318" t="s">
        <v>1357</v>
      </c>
      <c r="K11318" t="s">
        <v>1357</v>
      </c>
      <c r="L11318" t="s">
        <v>1357</v>
      </c>
    </row>
    <row r="11319" spans="1:13">
      <c r="A11319" t="s">
        <v>10562</v>
      </c>
      <c r="B11319">
        <f>HYPERLINK("https://android.googlesource.com/platform/cts/+/b15da1e1d851994fd4fde3665349ed43ac27d5f4", "b15da1e1d851994fd4fde3665349ed43ac27d5f4")</f>
        <v>0</v>
      </c>
      <c r="C11319">
        <f>HYPERLINK("https://android.googlesource.com/platform/cts/+/b7f33fffee58de858e2da2c769f21dcf79a7f0f3", "b7f33fffee58de858e2da2c769f21dcf79a7f0f3")</f>
        <v>0</v>
      </c>
      <c r="D11319" t="s">
        <v>12093</v>
      </c>
      <c r="E11319" t="s">
        <v>13115</v>
      </c>
      <c r="F11319" t="s">
        <v>16299</v>
      </c>
      <c r="G11319" t="s">
        <v>18970</v>
      </c>
      <c r="H11319" t="s">
        <v>21952</v>
      </c>
      <c r="I11319" t="s">
        <v>1357</v>
      </c>
      <c r="J11319" t="s">
        <v>1357</v>
      </c>
      <c r="K11319" t="s">
        <v>1357</v>
      </c>
      <c r="L11319" t="s">
        <v>1357</v>
      </c>
    </row>
    <row r="11320" spans="1:13">
      <c r="H11320" t="s">
        <v>21953</v>
      </c>
      <c r="I11320" t="s">
        <v>1357</v>
      </c>
      <c r="J11320" t="s">
        <v>1357</v>
      </c>
      <c r="K11320" t="s">
        <v>1357</v>
      </c>
      <c r="L11320" t="s">
        <v>1357</v>
      </c>
    </row>
    <row r="11321" spans="1:13">
      <c r="A11321" t="s">
        <v>10563</v>
      </c>
      <c r="B11321">
        <f>HYPERLINK("https://android.googlesource.com/platform/cts/+/58cdefa1792732ae895078450f76b53f861140c1", "58cdefa1792732ae895078450f76b53f861140c1")</f>
        <v>0</v>
      </c>
      <c r="C11321">
        <f>HYPERLINK("https://android.googlesource.com/platform/cts/+/7f750fbc36a64379f6f340143b159b15af48103f", "7f750fbc36a64379f6f340143b159b15af48103f")</f>
        <v>0</v>
      </c>
      <c r="D11321" t="s">
        <v>12144</v>
      </c>
      <c r="E11321" t="s">
        <v>13116</v>
      </c>
      <c r="F11321" t="s">
        <v>16300</v>
      </c>
      <c r="G11321" t="s">
        <v>18971</v>
      </c>
      <c r="H11321" t="s">
        <v>22639</v>
      </c>
      <c r="I11321" t="s">
        <v>1357</v>
      </c>
      <c r="J11321" t="s">
        <v>1357</v>
      </c>
      <c r="K11321" t="s">
        <v>1357</v>
      </c>
      <c r="L11321" t="s">
        <v>1357</v>
      </c>
    </row>
    <row r="11322" spans="1:13">
      <c r="A11322" t="s">
        <v>10564</v>
      </c>
      <c r="B11322">
        <f>HYPERLINK("https://android.googlesource.com/platform/cts/+/2c01b4761a1e5f31245c9ea50d610449ff1b6f33", "2c01b4761a1e5f31245c9ea50d610449ff1b6f33")</f>
        <v>0</v>
      </c>
      <c r="C11322">
        <f>HYPERLINK("https://android.googlesource.com/platform/cts/+/d3b60bbf30c1a99efd1576c4cb7880b1319d7565", "d3b60bbf30c1a99efd1576c4cb7880b1319d7565")</f>
        <v>0</v>
      </c>
      <c r="D11322" t="s">
        <v>12107</v>
      </c>
      <c r="E11322" t="s">
        <v>13117</v>
      </c>
      <c r="F11322" t="s">
        <v>16301</v>
      </c>
      <c r="G11322" t="s">
        <v>18972</v>
      </c>
      <c r="H11322" t="s">
        <v>795</v>
      </c>
      <c r="I11322" t="s">
        <v>1357</v>
      </c>
      <c r="J11322" t="s">
        <v>1357</v>
      </c>
      <c r="K11322" t="s">
        <v>1357</v>
      </c>
      <c r="L11322" t="s">
        <v>1357</v>
      </c>
    </row>
    <row r="11323" spans="1:13">
      <c r="H11323" t="s">
        <v>22640</v>
      </c>
      <c r="I11323" t="s">
        <v>1357</v>
      </c>
      <c r="J11323" t="s">
        <v>1357</v>
      </c>
      <c r="K11323" t="s">
        <v>1357</v>
      </c>
      <c r="L11323" t="s">
        <v>1357</v>
      </c>
    </row>
    <row r="11324" spans="1:13">
      <c r="H11324" t="s">
        <v>22641</v>
      </c>
      <c r="I11324" t="s">
        <v>1357</v>
      </c>
      <c r="J11324" t="s">
        <v>1357</v>
      </c>
      <c r="K11324" t="s">
        <v>1357</v>
      </c>
      <c r="L11324" t="s">
        <v>1357</v>
      </c>
    </row>
    <row r="11325" spans="1:13">
      <c r="F11325" t="s">
        <v>14471</v>
      </c>
      <c r="G11325" t="s">
        <v>17318</v>
      </c>
      <c r="H11325" t="s">
        <v>22642</v>
      </c>
      <c r="I11325" t="s">
        <v>1357</v>
      </c>
      <c r="J11325" t="s">
        <v>1357</v>
      </c>
      <c r="K11325" t="s">
        <v>1357</v>
      </c>
      <c r="L11325" t="s">
        <v>1357</v>
      </c>
    </row>
    <row r="11326" spans="1:13">
      <c r="F11326" t="s">
        <v>16302</v>
      </c>
      <c r="G11326" t="s">
        <v>18973</v>
      </c>
      <c r="H11326" t="s">
        <v>19900</v>
      </c>
      <c r="I11326" t="s">
        <v>1357</v>
      </c>
      <c r="J11326" t="s">
        <v>1357</v>
      </c>
      <c r="K11326" t="s">
        <v>1357</v>
      </c>
      <c r="L11326" t="s">
        <v>1357</v>
      </c>
    </row>
    <row r="11327" spans="1:13">
      <c r="F11327" t="s">
        <v>16303</v>
      </c>
      <c r="G11327" t="s">
        <v>18974</v>
      </c>
      <c r="H11327" t="s">
        <v>795</v>
      </c>
      <c r="I11327" t="s">
        <v>1357</v>
      </c>
      <c r="J11327" t="s">
        <v>1357</v>
      </c>
      <c r="K11327" t="s">
        <v>1357</v>
      </c>
      <c r="L11327" t="s">
        <v>1357</v>
      </c>
    </row>
    <row r="11328" spans="1:13">
      <c r="H11328" t="s">
        <v>22643</v>
      </c>
      <c r="I11328" t="s">
        <v>1357</v>
      </c>
      <c r="J11328" t="s">
        <v>1357</v>
      </c>
      <c r="K11328" t="s">
        <v>1357</v>
      </c>
      <c r="L11328" t="s">
        <v>1357</v>
      </c>
    </row>
    <row r="11329" spans="1:14">
      <c r="H11329" t="s">
        <v>22644</v>
      </c>
      <c r="I11329" t="s">
        <v>1357</v>
      </c>
      <c r="J11329" t="s">
        <v>1357</v>
      </c>
      <c r="K11329" t="s">
        <v>1357</v>
      </c>
      <c r="L11329" t="s">
        <v>1357</v>
      </c>
    </row>
    <row r="11330" spans="1:14">
      <c r="H11330" t="s">
        <v>22645</v>
      </c>
      <c r="I11330" t="s">
        <v>1357</v>
      </c>
      <c r="J11330" t="s">
        <v>1357</v>
      </c>
      <c r="K11330" t="s">
        <v>1357</v>
      </c>
      <c r="L11330" t="s">
        <v>1357</v>
      </c>
    </row>
    <row r="11331" spans="1:14">
      <c r="A11331" t="s">
        <v>10565</v>
      </c>
      <c r="B11331">
        <f>HYPERLINK("https://android.googlesource.com/platform/cts/+/db6000bf3923b236411ae253016c40ff09d43447", "db6000bf3923b236411ae253016c40ff09d43447")</f>
        <v>0</v>
      </c>
      <c r="C11331">
        <f>HYPERLINK("https://android.googlesource.com/platform/cts/+/e91e18261e4fac8d10549a16f0b55e74b8391da0", "e91e18261e4fac8d10549a16f0b55e74b8391da0")</f>
        <v>0</v>
      </c>
      <c r="D11331" t="s">
        <v>11999</v>
      </c>
      <c r="E11331" t="s">
        <v>13118</v>
      </c>
      <c r="F11331" t="s">
        <v>16267</v>
      </c>
      <c r="G11331" t="s">
        <v>18940</v>
      </c>
      <c r="H11331" t="s">
        <v>22646</v>
      </c>
      <c r="I11331" t="s">
        <v>1357</v>
      </c>
      <c r="J11331" t="s">
        <v>1357</v>
      </c>
      <c r="K11331" t="s">
        <v>1357</v>
      </c>
      <c r="L11331" t="s">
        <v>1357</v>
      </c>
      <c r="N11331" t="s">
        <v>27519</v>
      </c>
    </row>
    <row r="11332" spans="1:14">
      <c r="A11332" t="s">
        <v>10566</v>
      </c>
      <c r="B11332">
        <f>HYPERLINK("https://android.googlesource.com/platform/cts/+/0e08bccac0267a702b62ddd93d4c3940ac60f5bc", "0e08bccac0267a702b62ddd93d4c3940ac60f5bc")</f>
        <v>0</v>
      </c>
      <c r="C11332">
        <f>HYPERLINK("https://android.googlesource.com/platform/cts/+/1c8a56a335d186d554634f26ef3135ab4fe6f838", "1c8a56a335d186d554634f26ef3135ab4fe6f838")</f>
        <v>0</v>
      </c>
      <c r="D11332" t="s">
        <v>12148</v>
      </c>
      <c r="E11332" t="s">
        <v>13119</v>
      </c>
      <c r="F11332" t="s">
        <v>16304</v>
      </c>
      <c r="G11332" t="s">
        <v>18975</v>
      </c>
      <c r="H11332" t="s">
        <v>22647</v>
      </c>
      <c r="I11332" t="s">
        <v>1357</v>
      </c>
      <c r="J11332" t="s">
        <v>1357</v>
      </c>
      <c r="K11332" t="s">
        <v>1357</v>
      </c>
      <c r="L11332" t="s">
        <v>1357</v>
      </c>
    </row>
    <row r="11333" spans="1:14">
      <c r="A11333" t="s">
        <v>10567</v>
      </c>
      <c r="B11333">
        <f>HYPERLINK("https://android.googlesource.com/platform/cts/+/3bb2f327a046fb1389d3c71cb2ef26baada0eb96", "3bb2f327a046fb1389d3c71cb2ef26baada0eb96")</f>
        <v>0</v>
      </c>
      <c r="C11333">
        <f>HYPERLINK("https://android.googlesource.com/platform/cts/+/ee8e5c25e7239ee42ac9f817d5a40dbf5ed9cc8b", "ee8e5c25e7239ee42ac9f817d5a40dbf5ed9cc8b")</f>
        <v>0</v>
      </c>
      <c r="D11333" t="s">
        <v>12005</v>
      </c>
      <c r="E11333" t="s">
        <v>13120</v>
      </c>
      <c r="F11333" t="s">
        <v>16197</v>
      </c>
      <c r="G11333" t="s">
        <v>18876</v>
      </c>
      <c r="H11333" t="s">
        <v>22648</v>
      </c>
      <c r="I11333" t="s">
        <v>1357</v>
      </c>
      <c r="J11333" t="s">
        <v>1357</v>
      </c>
      <c r="K11333" t="s">
        <v>1357</v>
      </c>
      <c r="L11333" t="s">
        <v>1357</v>
      </c>
    </row>
    <row r="11334" spans="1:14">
      <c r="A11334" t="s">
        <v>10568</v>
      </c>
      <c r="B11334">
        <f>HYPERLINK("https://android.googlesource.com/platform/cts/+/aef954739ac695b5e17c9b3ac281b3429a36014d", "aef954739ac695b5e17c9b3ac281b3429a36014d")</f>
        <v>0</v>
      </c>
      <c r="C11334">
        <f>HYPERLINK("https://android.googlesource.com/platform/cts/+/abe70ae7ee1768851233c37333f929752317bdd4", "abe70ae7ee1768851233c37333f929752317bdd4")</f>
        <v>0</v>
      </c>
      <c r="D11334" t="s">
        <v>12107</v>
      </c>
      <c r="E11334" t="s">
        <v>13121</v>
      </c>
      <c r="F11334" t="s">
        <v>14481</v>
      </c>
      <c r="G11334" t="s">
        <v>17328</v>
      </c>
      <c r="H11334" t="s">
        <v>22649</v>
      </c>
      <c r="I11334" t="s">
        <v>1357</v>
      </c>
      <c r="J11334" t="s">
        <v>1357</v>
      </c>
      <c r="K11334" t="s">
        <v>1357</v>
      </c>
      <c r="L11334" t="s">
        <v>1357</v>
      </c>
    </row>
    <row r="11335" spans="1:14">
      <c r="H11335" t="s">
        <v>22650</v>
      </c>
      <c r="I11335" t="s">
        <v>1357</v>
      </c>
      <c r="J11335" t="s">
        <v>1357</v>
      </c>
      <c r="K11335" t="s">
        <v>1357</v>
      </c>
      <c r="L11335" t="s">
        <v>1357</v>
      </c>
    </row>
    <row r="11336" spans="1:14">
      <c r="H11336" t="s">
        <v>22651</v>
      </c>
      <c r="I11336" t="s">
        <v>1357</v>
      </c>
      <c r="J11336" t="s">
        <v>1357</v>
      </c>
      <c r="K11336" t="s">
        <v>1357</v>
      </c>
      <c r="L11336" t="s">
        <v>1357</v>
      </c>
    </row>
    <row r="11337" spans="1:14">
      <c r="H11337" t="s">
        <v>22652</v>
      </c>
      <c r="I11337" t="s">
        <v>1357</v>
      </c>
      <c r="J11337" t="s">
        <v>1357</v>
      </c>
      <c r="K11337" t="s">
        <v>1357</v>
      </c>
      <c r="L11337" t="s">
        <v>1357</v>
      </c>
    </row>
    <row r="11338" spans="1:14">
      <c r="A11338" t="s">
        <v>10569</v>
      </c>
      <c r="B11338">
        <f>HYPERLINK("https://android.googlesource.com/platform/cts/+/f734aa60e8524882ef7664e6d574844f3803e17f", "f734aa60e8524882ef7664e6d574844f3803e17f")</f>
        <v>0</v>
      </c>
      <c r="C11338">
        <f>HYPERLINK("https://android.googlesource.com/platform/cts/+/8317906b3dd1fde437d44c320facab49c0193205", "8317906b3dd1fde437d44c320facab49c0193205")</f>
        <v>0</v>
      </c>
      <c r="D11338" t="s">
        <v>12149</v>
      </c>
      <c r="E11338" t="s">
        <v>13122</v>
      </c>
      <c r="F11338" t="s">
        <v>16305</v>
      </c>
      <c r="G11338" t="s">
        <v>18976</v>
      </c>
      <c r="H11338" t="s">
        <v>22653</v>
      </c>
      <c r="I11338" t="s">
        <v>1357</v>
      </c>
      <c r="J11338" t="s">
        <v>1357</v>
      </c>
      <c r="K11338" t="s">
        <v>1357</v>
      </c>
      <c r="L11338" t="s">
        <v>1357</v>
      </c>
      <c r="M11338" t="s">
        <v>1361</v>
      </c>
    </row>
    <row r="11339" spans="1:14">
      <c r="F11339" t="s">
        <v>16306</v>
      </c>
      <c r="G11339" t="s">
        <v>18977</v>
      </c>
      <c r="H11339" t="s">
        <v>22653</v>
      </c>
      <c r="I11339" t="s">
        <v>1357</v>
      </c>
      <c r="J11339" t="s">
        <v>1357</v>
      </c>
      <c r="K11339" t="s">
        <v>1357</v>
      </c>
      <c r="L11339" t="s">
        <v>1357</v>
      </c>
      <c r="N11339" t="s">
        <v>27520</v>
      </c>
    </row>
    <row r="11340" spans="1:14">
      <c r="A11340" t="s">
        <v>10570</v>
      </c>
      <c r="B11340">
        <f>HYPERLINK("https://android.googlesource.com/platform/cts/+/32908a51b1d83203d997ca2602e63060f6613c3b", "32908a51b1d83203d997ca2602e63060f6613c3b")</f>
        <v>0</v>
      </c>
      <c r="C11340">
        <f>HYPERLINK("https://android.googlesource.com/platform/cts/+/9e9010d06fe77db0c33a9ba504dc4d2bc94aa20d", "9e9010d06fe77db0c33a9ba504dc4d2bc94aa20d")</f>
        <v>0</v>
      </c>
      <c r="D11340" t="s">
        <v>12056</v>
      </c>
      <c r="E11340" t="s">
        <v>13123</v>
      </c>
      <c r="F11340" t="s">
        <v>16307</v>
      </c>
      <c r="G11340" t="s">
        <v>18978</v>
      </c>
      <c r="H11340" t="s">
        <v>22654</v>
      </c>
      <c r="I11340" t="s">
        <v>1357</v>
      </c>
      <c r="J11340" t="s">
        <v>1357</v>
      </c>
      <c r="K11340" t="s">
        <v>1357</v>
      </c>
      <c r="L11340" t="s">
        <v>1357</v>
      </c>
    </row>
    <row r="11341" spans="1:14">
      <c r="A11341" t="s">
        <v>10571</v>
      </c>
      <c r="B11341">
        <f>HYPERLINK("https://android.googlesource.com/platform/cts/+/6b3c15923fab701d06ef6a0eca198b06dd0f7288", "6b3c15923fab701d06ef6a0eca198b06dd0f7288")</f>
        <v>0</v>
      </c>
      <c r="C11341">
        <f>HYPERLINK("https://android.googlesource.com/platform/cts/+/0df066684bbee8c5e2091b3c068054619b768a42", "0df066684bbee8c5e2091b3c068054619b768a42")</f>
        <v>0</v>
      </c>
      <c r="D11341" t="s">
        <v>12103</v>
      </c>
      <c r="E11341" t="s">
        <v>13124</v>
      </c>
      <c r="F11341" t="s">
        <v>16308</v>
      </c>
      <c r="G11341" t="s">
        <v>18979</v>
      </c>
      <c r="H11341" t="s">
        <v>22655</v>
      </c>
      <c r="I11341" t="s">
        <v>1357</v>
      </c>
      <c r="J11341" t="s">
        <v>1357</v>
      </c>
      <c r="K11341" t="s">
        <v>1357</v>
      </c>
      <c r="L11341" t="s">
        <v>1357</v>
      </c>
    </row>
    <row r="11342" spans="1:14">
      <c r="A11342" t="s">
        <v>10572</v>
      </c>
      <c r="B11342">
        <f>HYPERLINK("https://android.googlesource.com/platform/cts/+/5ad9feddf1244892f29eaf73ad32685f383ff579", "5ad9feddf1244892f29eaf73ad32685f383ff579")</f>
        <v>0</v>
      </c>
      <c r="C11342">
        <f>HYPERLINK("https://android.googlesource.com/platform/cts/+/109ad258780a542117825a3b5236d7339b4f5e2a", "109ad258780a542117825a3b5236d7339b4f5e2a")</f>
        <v>0</v>
      </c>
      <c r="D11342" t="s">
        <v>12150</v>
      </c>
      <c r="E11342" t="s">
        <v>13125</v>
      </c>
      <c r="F11342" t="s">
        <v>16309</v>
      </c>
      <c r="G11342" t="s">
        <v>18980</v>
      </c>
      <c r="H11342" t="s">
        <v>3420</v>
      </c>
      <c r="I11342" t="s">
        <v>1357</v>
      </c>
      <c r="J11342" t="s">
        <v>1357</v>
      </c>
      <c r="K11342" t="s">
        <v>1357</v>
      </c>
      <c r="L11342" t="s">
        <v>1357</v>
      </c>
    </row>
    <row r="11343" spans="1:14">
      <c r="A11343" t="s">
        <v>10573</v>
      </c>
      <c r="B11343">
        <f>HYPERLINK("https://android.googlesource.com/platform/cts/+/8832678e057cd9fed36eed89ba5316b949c8b922", "8832678e057cd9fed36eed89ba5316b949c8b922")</f>
        <v>0</v>
      </c>
      <c r="C11343">
        <f>HYPERLINK("https://android.googlesource.com/platform/cts/+/23fd68a7e7dcaafd8319dd178fbecff690567e59", "23fd68a7e7dcaafd8319dd178fbecff690567e59")</f>
        <v>0</v>
      </c>
      <c r="D11343" t="s">
        <v>12149</v>
      </c>
      <c r="E11343" t="s">
        <v>13126</v>
      </c>
      <c r="F11343" t="s">
        <v>16310</v>
      </c>
      <c r="G11343" t="s">
        <v>18875</v>
      </c>
      <c r="H11343" t="s">
        <v>22178</v>
      </c>
      <c r="I11343" t="s">
        <v>1357</v>
      </c>
      <c r="J11343" t="s">
        <v>1357</v>
      </c>
      <c r="K11343" t="s">
        <v>1357</v>
      </c>
      <c r="L11343" t="s">
        <v>1357</v>
      </c>
      <c r="M11343" t="s">
        <v>1360</v>
      </c>
      <c r="N11343" t="s">
        <v>1360</v>
      </c>
    </row>
    <row r="11344" spans="1:14">
      <c r="A11344" t="s">
        <v>10574</v>
      </c>
      <c r="B11344">
        <f>HYPERLINK("https://android.googlesource.com/platform/cts/+/010c93a1abdd4cd50bdacacb9a5a44047e5f7a7f", "010c93a1abdd4cd50bdacacb9a5a44047e5f7a7f")</f>
        <v>0</v>
      </c>
      <c r="C11344">
        <f>HYPERLINK("https://android.googlesource.com/platform/cts/+/23fd68a7e7dcaafd8319dd178fbecff690567e59", "23fd68a7e7dcaafd8319dd178fbecff690567e59")</f>
        <v>0</v>
      </c>
      <c r="D11344" t="s">
        <v>12149</v>
      </c>
      <c r="E11344" t="s">
        <v>13127</v>
      </c>
      <c r="F11344" t="s">
        <v>16311</v>
      </c>
      <c r="G11344" t="s">
        <v>18981</v>
      </c>
      <c r="H11344" t="s">
        <v>22656</v>
      </c>
      <c r="I11344" t="s">
        <v>1358</v>
      </c>
      <c r="J11344" t="s">
        <v>1358</v>
      </c>
      <c r="K11344" t="s">
        <v>1358</v>
      </c>
      <c r="L11344" t="s">
        <v>1358</v>
      </c>
    </row>
    <row r="11345" spans="1:14">
      <c r="F11345" t="s">
        <v>16312</v>
      </c>
      <c r="G11345" t="s">
        <v>18982</v>
      </c>
      <c r="H11345" t="s">
        <v>22657</v>
      </c>
      <c r="I11345" t="s">
        <v>1358</v>
      </c>
      <c r="J11345" t="s">
        <v>1358</v>
      </c>
      <c r="K11345" t="s">
        <v>1358</v>
      </c>
      <c r="L11345" t="s">
        <v>1358</v>
      </c>
    </row>
    <row r="11346" spans="1:14">
      <c r="A11346" t="s">
        <v>10575</v>
      </c>
      <c r="B11346">
        <f>HYPERLINK("https://android.googlesource.com/platform/cts/+/d4904876d7075fe752f3f03b31ec541f516e36f2", "d4904876d7075fe752f3f03b31ec541f516e36f2")</f>
        <v>0</v>
      </c>
      <c r="C11346">
        <f>HYPERLINK("https://android.googlesource.com/platform/cts/+/a7f8f18ea4043c8a2b43de11ea6f44028d9c150c", "a7f8f18ea4043c8a2b43de11ea6f44028d9c150c")</f>
        <v>0</v>
      </c>
      <c r="D11346" t="s">
        <v>12081</v>
      </c>
      <c r="E11346" t="s">
        <v>13128</v>
      </c>
      <c r="F11346" t="s">
        <v>16313</v>
      </c>
      <c r="G11346" t="s">
        <v>18983</v>
      </c>
      <c r="H11346" t="s">
        <v>22658</v>
      </c>
      <c r="I11346" t="s">
        <v>1358</v>
      </c>
      <c r="J11346" t="s">
        <v>1358</v>
      </c>
      <c r="K11346" t="s">
        <v>1358</v>
      </c>
      <c r="L11346" t="s">
        <v>1358</v>
      </c>
    </row>
    <row r="11347" spans="1:14">
      <c r="A11347" t="s">
        <v>10576</v>
      </c>
      <c r="B11347">
        <f>HYPERLINK("https://android.googlesource.com/platform/cts/+/069b4a9d9beacb7ae994d97ef44b696917822d21", "069b4a9d9beacb7ae994d97ef44b696917822d21")</f>
        <v>0</v>
      </c>
      <c r="C11347">
        <f>HYPERLINK("https://android.googlesource.com/platform/cts/+/e17b591ff58af048c7eaf3e4b7c0b5791cc7e970", "e17b591ff58af048c7eaf3e4b7c0b5791cc7e970")</f>
        <v>0</v>
      </c>
      <c r="D11347" t="s">
        <v>12135</v>
      </c>
      <c r="E11347" t="s">
        <v>13129</v>
      </c>
      <c r="F11347" t="s">
        <v>15184</v>
      </c>
      <c r="G11347" t="s">
        <v>17886</v>
      </c>
      <c r="H11347" t="s">
        <v>22659</v>
      </c>
      <c r="I11347" t="s">
        <v>1357</v>
      </c>
      <c r="J11347" t="s">
        <v>1357</v>
      </c>
      <c r="K11347" t="s">
        <v>1357</v>
      </c>
      <c r="L11347" t="s">
        <v>1357</v>
      </c>
    </row>
    <row r="11348" spans="1:14">
      <c r="H11348" t="s">
        <v>22660</v>
      </c>
      <c r="I11348" t="s">
        <v>1357</v>
      </c>
      <c r="J11348" t="s">
        <v>1357</v>
      </c>
      <c r="K11348" t="s">
        <v>1357</v>
      </c>
      <c r="L11348" t="s">
        <v>1357</v>
      </c>
    </row>
    <row r="11349" spans="1:14">
      <c r="H11349" t="s">
        <v>22661</v>
      </c>
      <c r="I11349" t="s">
        <v>1357</v>
      </c>
      <c r="J11349" t="s">
        <v>1357</v>
      </c>
      <c r="K11349" t="s">
        <v>1357</v>
      </c>
      <c r="L11349" t="s">
        <v>1357</v>
      </c>
    </row>
    <row r="11350" spans="1:14">
      <c r="A11350" t="s">
        <v>10577</v>
      </c>
      <c r="B11350">
        <f>HYPERLINK("https://android.googlesource.com/platform/cts/+/19f8cfa39892e468831d0998954cfdd5a1a8dfa4", "19f8cfa39892e468831d0998954cfdd5a1a8dfa4")</f>
        <v>0</v>
      </c>
      <c r="C11350">
        <f>HYPERLINK("https://android.googlesource.com/platform/cts/+/d57bb4d0ec59016f842c19e8b8483799f97a1ff2", "d57bb4d0ec59016f842c19e8b8483799f97a1ff2")</f>
        <v>0</v>
      </c>
      <c r="D11350" t="s">
        <v>12100</v>
      </c>
      <c r="E11350" t="s">
        <v>13130</v>
      </c>
      <c r="F11350" t="s">
        <v>16314</v>
      </c>
      <c r="G11350" t="s">
        <v>18984</v>
      </c>
      <c r="H11350" t="s">
        <v>22662</v>
      </c>
      <c r="I11350" t="s">
        <v>1357</v>
      </c>
      <c r="J11350" t="s">
        <v>1357</v>
      </c>
      <c r="K11350" t="s">
        <v>1357</v>
      </c>
      <c r="L11350" t="s">
        <v>1357</v>
      </c>
    </row>
    <row r="11351" spans="1:14">
      <c r="H11351" t="s">
        <v>22663</v>
      </c>
      <c r="I11351" t="s">
        <v>1357</v>
      </c>
      <c r="J11351" t="s">
        <v>1357</v>
      </c>
      <c r="K11351" t="s">
        <v>1357</v>
      </c>
      <c r="L11351" t="s">
        <v>1357</v>
      </c>
    </row>
    <row r="11352" spans="1:14">
      <c r="A11352" t="s">
        <v>10578</v>
      </c>
      <c r="B11352">
        <f>HYPERLINK("https://android.googlesource.com/platform/cts/+/a87a656a10ce2430c7aed66d876fd365cff3405f", "a87a656a10ce2430c7aed66d876fd365cff3405f")</f>
        <v>0</v>
      </c>
      <c r="C11352">
        <f>HYPERLINK("https://android.googlesource.com/platform/cts/+/9c5780640ab32bc81130583d28189dd21b6e9c2a", "9c5780640ab32bc81130583d28189dd21b6e9c2a")</f>
        <v>0</v>
      </c>
      <c r="D11352" t="s">
        <v>12049</v>
      </c>
      <c r="E11352" t="s">
        <v>13131</v>
      </c>
      <c r="F11352" t="s">
        <v>16315</v>
      </c>
      <c r="G11352" t="s">
        <v>18985</v>
      </c>
      <c r="H11352" t="s">
        <v>22664</v>
      </c>
      <c r="I11352" t="s">
        <v>1359</v>
      </c>
      <c r="J11352" t="s">
        <v>1358</v>
      </c>
      <c r="K11352" t="s">
        <v>1357</v>
      </c>
      <c r="L11352" t="s">
        <v>1358</v>
      </c>
      <c r="N11352" t="s">
        <v>1372</v>
      </c>
    </row>
    <row r="11353" spans="1:14">
      <c r="F11353" t="s">
        <v>16316</v>
      </c>
      <c r="G11353" t="s">
        <v>18986</v>
      </c>
      <c r="H11353" t="s">
        <v>22665</v>
      </c>
      <c r="I11353" t="s">
        <v>1358</v>
      </c>
      <c r="J11353" t="s">
        <v>1358</v>
      </c>
      <c r="K11353" t="s">
        <v>1358</v>
      </c>
      <c r="L11353" t="s">
        <v>1358</v>
      </c>
      <c r="N11353" t="s">
        <v>1372</v>
      </c>
    </row>
    <row r="11354" spans="1:14">
      <c r="F11354" t="s">
        <v>16317</v>
      </c>
      <c r="G11354" t="s">
        <v>18987</v>
      </c>
      <c r="H11354" t="s">
        <v>22666</v>
      </c>
      <c r="I11354" t="s">
        <v>1359</v>
      </c>
      <c r="J11354" t="s">
        <v>1358</v>
      </c>
      <c r="K11354" t="s">
        <v>1357</v>
      </c>
      <c r="L11354" t="s">
        <v>1358</v>
      </c>
      <c r="N11354" t="s">
        <v>1372</v>
      </c>
    </row>
    <row r="11355" spans="1:14">
      <c r="A11355" t="s">
        <v>10579</v>
      </c>
      <c r="B11355">
        <f>HYPERLINK("https://android.googlesource.com/platform/cts/+/8b9f2a468aa8fc6c542256066c400ffd3a2fd48f", "8b9f2a468aa8fc6c542256066c400ffd3a2fd48f")</f>
        <v>0</v>
      </c>
      <c r="C11355">
        <f>HYPERLINK("https://android.googlesource.com/platform/cts/+/48eb162532cb33875f1a8d761a22e704790714f2", "48eb162532cb33875f1a8d761a22e704790714f2")</f>
        <v>0</v>
      </c>
      <c r="D11355" t="s">
        <v>12151</v>
      </c>
      <c r="E11355" t="s">
        <v>13132</v>
      </c>
      <c r="F11355" t="s">
        <v>16318</v>
      </c>
      <c r="G11355" t="s">
        <v>18988</v>
      </c>
      <c r="H11355" t="s">
        <v>22667</v>
      </c>
      <c r="I11355" t="s">
        <v>1357</v>
      </c>
      <c r="J11355" t="s">
        <v>1357</v>
      </c>
      <c r="K11355" t="s">
        <v>1357</v>
      </c>
      <c r="L11355" t="s">
        <v>1357</v>
      </c>
    </row>
    <row r="11356" spans="1:14">
      <c r="H11356" t="s">
        <v>22668</v>
      </c>
      <c r="I11356" t="s">
        <v>1357</v>
      </c>
      <c r="J11356" t="s">
        <v>1357</v>
      </c>
      <c r="K11356" t="s">
        <v>1357</v>
      </c>
      <c r="L11356" t="s">
        <v>1357</v>
      </c>
    </row>
    <row r="11357" spans="1:14">
      <c r="H11357" t="s">
        <v>22669</v>
      </c>
      <c r="I11357" t="s">
        <v>1357</v>
      </c>
      <c r="J11357" t="s">
        <v>1357</v>
      </c>
      <c r="K11357" t="s">
        <v>1357</v>
      </c>
      <c r="L11357" t="s">
        <v>1357</v>
      </c>
    </row>
    <row r="11358" spans="1:14">
      <c r="F11358" t="s">
        <v>16319</v>
      </c>
      <c r="G11358" t="s">
        <v>18989</v>
      </c>
      <c r="H11358" t="s">
        <v>22667</v>
      </c>
      <c r="I11358" t="s">
        <v>1357</v>
      </c>
      <c r="J11358" t="s">
        <v>1357</v>
      </c>
      <c r="K11358" t="s">
        <v>1357</v>
      </c>
      <c r="L11358" t="s">
        <v>1357</v>
      </c>
    </row>
    <row r="11359" spans="1:14">
      <c r="H11359" t="s">
        <v>22670</v>
      </c>
      <c r="I11359" t="s">
        <v>1357</v>
      </c>
      <c r="J11359" t="s">
        <v>1357</v>
      </c>
      <c r="K11359" t="s">
        <v>1357</v>
      </c>
      <c r="L11359" t="s">
        <v>1357</v>
      </c>
    </row>
    <row r="11360" spans="1:14">
      <c r="H11360" t="s">
        <v>22671</v>
      </c>
      <c r="I11360" t="s">
        <v>1357</v>
      </c>
      <c r="J11360" t="s">
        <v>1357</v>
      </c>
      <c r="K11360" t="s">
        <v>1357</v>
      </c>
      <c r="L11360" t="s">
        <v>1357</v>
      </c>
    </row>
    <row r="11361" spans="1:12">
      <c r="H11361" t="s">
        <v>22672</v>
      </c>
      <c r="I11361" t="s">
        <v>1357</v>
      </c>
      <c r="J11361" t="s">
        <v>1357</v>
      </c>
      <c r="K11361" t="s">
        <v>1357</v>
      </c>
      <c r="L11361" t="s">
        <v>1357</v>
      </c>
    </row>
    <row r="11362" spans="1:12">
      <c r="A11362" t="s">
        <v>10580</v>
      </c>
      <c r="B11362">
        <f>HYPERLINK("https://android.googlesource.com/platform/cts/+/d52ec60d388f560db1eca69e849dbeeccc5d9025", "d52ec60d388f560db1eca69e849dbeeccc5d9025")</f>
        <v>0</v>
      </c>
      <c r="C11362">
        <f>HYPERLINK("https://android.googlesource.com/platform/cts/+/4a41ad004e4843a0216fb9881e4d6ff5d5221bf8", "4a41ad004e4843a0216fb9881e4d6ff5d5221bf8")</f>
        <v>0</v>
      </c>
      <c r="D11362" t="s">
        <v>12093</v>
      </c>
      <c r="E11362" t="s">
        <v>13133</v>
      </c>
      <c r="F11362" t="s">
        <v>16299</v>
      </c>
      <c r="G11362" t="s">
        <v>18970</v>
      </c>
      <c r="H11362" t="s">
        <v>21952</v>
      </c>
      <c r="I11362" t="s">
        <v>1357</v>
      </c>
      <c r="J11362" t="s">
        <v>1357</v>
      </c>
      <c r="K11362" t="s">
        <v>1357</v>
      </c>
      <c r="L11362" t="s">
        <v>1357</v>
      </c>
    </row>
    <row r="11363" spans="1:12">
      <c r="H11363" t="s">
        <v>21953</v>
      </c>
      <c r="I11363" t="s">
        <v>1357</v>
      </c>
      <c r="J11363" t="s">
        <v>1357</v>
      </c>
      <c r="K11363" t="s">
        <v>1357</v>
      </c>
      <c r="L11363" t="s">
        <v>1357</v>
      </c>
    </row>
    <row r="11364" spans="1:12">
      <c r="A11364" t="s">
        <v>10581</v>
      </c>
      <c r="B11364">
        <f>HYPERLINK("https://android.googlesource.com/platform/cts/+/9e50016a271f806f7d09d673496f137d59090864", "9e50016a271f806f7d09d673496f137d59090864")</f>
        <v>0</v>
      </c>
      <c r="C11364">
        <f>HYPERLINK("https://android.googlesource.com/platform/cts/+/2e6f9b1133ed9930957fa285d008e4d6927ced51", "2e6f9b1133ed9930957fa285d008e4d6927ced51")</f>
        <v>0</v>
      </c>
      <c r="D11364" t="s">
        <v>12105</v>
      </c>
      <c r="E11364" t="s">
        <v>13134</v>
      </c>
      <c r="F11364" t="s">
        <v>14471</v>
      </c>
      <c r="G11364" t="s">
        <v>17318</v>
      </c>
      <c r="H11364" t="s">
        <v>22673</v>
      </c>
      <c r="I11364" t="s">
        <v>1357</v>
      </c>
      <c r="J11364" t="s">
        <v>1357</v>
      </c>
      <c r="K11364" t="s">
        <v>1357</v>
      </c>
      <c r="L11364" t="s">
        <v>1357</v>
      </c>
    </row>
    <row r="11365" spans="1:12">
      <c r="F11365" t="s">
        <v>15184</v>
      </c>
      <c r="G11365" t="s">
        <v>17886</v>
      </c>
      <c r="H11365" t="s">
        <v>22673</v>
      </c>
      <c r="I11365" t="s">
        <v>1357</v>
      </c>
      <c r="J11365" t="s">
        <v>1357</v>
      </c>
      <c r="K11365" t="s">
        <v>1357</v>
      </c>
      <c r="L11365" t="s">
        <v>1357</v>
      </c>
    </row>
    <row r="11366" spans="1:12">
      <c r="A11366" t="s">
        <v>10582</v>
      </c>
      <c r="B11366">
        <f>HYPERLINK("https://android.googlesource.com/platform/cts/+/e8dfea147452ea19fc8c0b8968241569baba3d65", "e8dfea147452ea19fc8c0b8968241569baba3d65")</f>
        <v>0</v>
      </c>
      <c r="C11366">
        <f>HYPERLINK("https://android.googlesource.com/platform/cts/+/43bc783fbd3790b99e5a60b67b44204aecaa35e8", "43bc783fbd3790b99e5a60b67b44204aecaa35e8")</f>
        <v>0</v>
      </c>
      <c r="D11366" t="s">
        <v>12152</v>
      </c>
      <c r="E11366" t="s">
        <v>13135</v>
      </c>
      <c r="F11366" t="s">
        <v>16320</v>
      </c>
      <c r="G11366" t="s">
        <v>18990</v>
      </c>
      <c r="H11366" t="s">
        <v>795</v>
      </c>
      <c r="I11366" t="s">
        <v>1357</v>
      </c>
      <c r="J11366" t="s">
        <v>1357</v>
      </c>
      <c r="K11366" t="s">
        <v>1357</v>
      </c>
      <c r="L11366" t="s">
        <v>1357</v>
      </c>
    </row>
    <row r="11367" spans="1:12">
      <c r="H11367" t="s">
        <v>22674</v>
      </c>
      <c r="I11367" t="s">
        <v>1357</v>
      </c>
      <c r="J11367" t="s">
        <v>1357</v>
      </c>
      <c r="K11367" t="s">
        <v>1357</v>
      </c>
      <c r="L11367" t="s">
        <v>1357</v>
      </c>
    </row>
    <row r="11368" spans="1:12">
      <c r="H11368" t="s">
        <v>22675</v>
      </c>
      <c r="I11368" t="s">
        <v>1357</v>
      </c>
      <c r="J11368" t="s">
        <v>1357</v>
      </c>
      <c r="K11368" t="s">
        <v>1357</v>
      </c>
      <c r="L11368" t="s">
        <v>1357</v>
      </c>
    </row>
    <row r="11369" spans="1:12">
      <c r="H11369" t="s">
        <v>22676</v>
      </c>
      <c r="I11369" t="s">
        <v>1357</v>
      </c>
      <c r="J11369" t="s">
        <v>1357</v>
      </c>
      <c r="K11369" t="s">
        <v>1357</v>
      </c>
      <c r="L11369" t="s">
        <v>1357</v>
      </c>
    </row>
    <row r="11370" spans="1:12">
      <c r="H11370" t="s">
        <v>22677</v>
      </c>
      <c r="I11370" t="s">
        <v>1357</v>
      </c>
      <c r="J11370" t="s">
        <v>1357</v>
      </c>
      <c r="K11370" t="s">
        <v>1357</v>
      </c>
      <c r="L11370" t="s">
        <v>1357</v>
      </c>
    </row>
    <row r="11371" spans="1:12">
      <c r="H11371" t="s">
        <v>22678</v>
      </c>
      <c r="I11371" t="s">
        <v>1357</v>
      </c>
      <c r="J11371" t="s">
        <v>1357</v>
      </c>
      <c r="K11371" t="s">
        <v>1357</v>
      </c>
      <c r="L11371" t="s">
        <v>1357</v>
      </c>
    </row>
    <row r="11372" spans="1:12">
      <c r="A11372" t="s">
        <v>10583</v>
      </c>
      <c r="B11372">
        <f>HYPERLINK("https://android.googlesource.com/platform/cts/+/110a80b8b189741885e285d92e84f8810643e411", "110a80b8b189741885e285d92e84f8810643e411")</f>
        <v>0</v>
      </c>
      <c r="C11372">
        <f>HYPERLINK("https://android.googlesource.com/platform/cts/+/81ef9b5be48b0d28318a1f702a823a6a9aae41f5", "81ef9b5be48b0d28318a1f702a823a6a9aae41f5")</f>
        <v>0</v>
      </c>
      <c r="D11372" t="s">
        <v>12153</v>
      </c>
      <c r="E11372" t="s">
        <v>13136</v>
      </c>
      <c r="F11372" t="s">
        <v>16321</v>
      </c>
      <c r="G11372" t="s">
        <v>18991</v>
      </c>
      <c r="H11372" t="s">
        <v>22679</v>
      </c>
      <c r="I11372" t="s">
        <v>1358</v>
      </c>
      <c r="J11372" t="s">
        <v>1358</v>
      </c>
      <c r="K11372" t="s">
        <v>1358</v>
      </c>
      <c r="L11372" t="s">
        <v>1358</v>
      </c>
    </row>
    <row r="11373" spans="1:12">
      <c r="H11373" t="s">
        <v>22680</v>
      </c>
      <c r="I11373" t="s">
        <v>1357</v>
      </c>
      <c r="J11373" t="s">
        <v>1357</v>
      </c>
      <c r="K11373" t="s">
        <v>1357</v>
      </c>
      <c r="L11373" t="s">
        <v>1357</v>
      </c>
    </row>
    <row r="11374" spans="1:12">
      <c r="F11374" t="s">
        <v>14554</v>
      </c>
      <c r="G11374" t="s">
        <v>17399</v>
      </c>
      <c r="H11374" t="s">
        <v>22681</v>
      </c>
      <c r="I11374" t="s">
        <v>1357</v>
      </c>
      <c r="J11374" t="s">
        <v>1357</v>
      </c>
      <c r="K11374" t="s">
        <v>1357</v>
      </c>
      <c r="L11374" t="s">
        <v>1357</v>
      </c>
    </row>
    <row r="11375" spans="1:12">
      <c r="H11375" t="s">
        <v>22682</v>
      </c>
      <c r="I11375" t="s">
        <v>1357</v>
      </c>
      <c r="J11375" t="s">
        <v>1357</v>
      </c>
      <c r="K11375" t="s">
        <v>1357</v>
      </c>
      <c r="L11375" t="s">
        <v>1357</v>
      </c>
    </row>
    <row r="11376" spans="1:12">
      <c r="H11376" t="s">
        <v>22683</v>
      </c>
      <c r="I11376" t="s">
        <v>1357</v>
      </c>
      <c r="J11376" t="s">
        <v>1357</v>
      </c>
      <c r="K11376" t="s">
        <v>1357</v>
      </c>
      <c r="L11376" t="s">
        <v>1357</v>
      </c>
    </row>
    <row r="11377" spans="1:14">
      <c r="A11377" t="s">
        <v>10584</v>
      </c>
      <c r="B11377">
        <f>HYPERLINK("https://android.googlesource.com/platform/cts/+/a51ea3fde0e8f9408119b6e96135a4662b616620", "a51ea3fde0e8f9408119b6e96135a4662b616620")</f>
        <v>0</v>
      </c>
      <c r="C11377">
        <f>HYPERLINK("https://android.googlesource.com/platform/cts/+/d7ec7cf06ef0698caafd2442908c585d98ef7b5f", "d7ec7cf06ef0698caafd2442908c585d98ef7b5f")</f>
        <v>0</v>
      </c>
      <c r="D11377" t="s">
        <v>12093</v>
      </c>
      <c r="E11377" t="s">
        <v>13133</v>
      </c>
      <c r="F11377" t="s">
        <v>16299</v>
      </c>
      <c r="G11377" t="s">
        <v>18970</v>
      </c>
      <c r="H11377" t="s">
        <v>21952</v>
      </c>
      <c r="I11377" t="s">
        <v>1357</v>
      </c>
      <c r="J11377" t="s">
        <v>1357</v>
      </c>
      <c r="K11377" t="s">
        <v>1357</v>
      </c>
      <c r="L11377" t="s">
        <v>1357</v>
      </c>
      <c r="M11377" t="s">
        <v>9957</v>
      </c>
      <c r="N11377" t="s">
        <v>27521</v>
      </c>
    </row>
    <row r="11378" spans="1:14">
      <c r="H11378" t="s">
        <v>21953</v>
      </c>
      <c r="I11378" t="s">
        <v>1357</v>
      </c>
      <c r="J11378" t="s">
        <v>1357</v>
      </c>
      <c r="K11378" t="s">
        <v>1357</v>
      </c>
      <c r="L11378" t="s">
        <v>1357</v>
      </c>
      <c r="N11378" t="s">
        <v>27521</v>
      </c>
    </row>
    <row r="11379" spans="1:14">
      <c r="A11379" t="s">
        <v>10585</v>
      </c>
      <c r="B11379">
        <f>HYPERLINK("https://android.googlesource.com/platform/cts/+/639ea8ac68c171f3edc1fdd5938bf122da89cf5a", "639ea8ac68c171f3edc1fdd5938bf122da89cf5a")</f>
        <v>0</v>
      </c>
      <c r="C11379">
        <f>HYPERLINK("https://android.googlesource.com/platform/cts/+/d61f52ec3dc8955173c897aebde485e26ba490f4", "d61f52ec3dc8955173c897aebde485e26ba490f4")</f>
        <v>0</v>
      </c>
      <c r="D11379" t="s">
        <v>12100</v>
      </c>
      <c r="E11379" t="s">
        <v>13137</v>
      </c>
      <c r="F11379" t="s">
        <v>16322</v>
      </c>
      <c r="G11379" t="s">
        <v>18992</v>
      </c>
      <c r="H11379" t="s">
        <v>22684</v>
      </c>
      <c r="I11379" t="s">
        <v>1357</v>
      </c>
      <c r="J11379" t="s">
        <v>1357</v>
      </c>
      <c r="K11379" t="s">
        <v>1357</v>
      </c>
      <c r="L11379" t="s">
        <v>1357</v>
      </c>
    </row>
    <row r="11380" spans="1:14">
      <c r="A11380" t="s">
        <v>10586</v>
      </c>
      <c r="B11380">
        <f>HYPERLINK("https://android.googlesource.com/platform/cts/+/b8c644768450339f62a52b4ecf97b6048568e4b9", "b8c644768450339f62a52b4ecf97b6048568e4b9")</f>
        <v>0</v>
      </c>
      <c r="C11380">
        <f>HYPERLINK("https://android.googlesource.com/platform/cts/+/01ef79d7d555b043d4aba1ced575a4ec1c58d60d", "01ef79d7d555b043d4aba1ced575a4ec1c58d60d")</f>
        <v>0</v>
      </c>
      <c r="D11380" t="s">
        <v>12154</v>
      </c>
      <c r="E11380" t="s">
        <v>13138</v>
      </c>
      <c r="F11380" t="s">
        <v>16323</v>
      </c>
      <c r="G11380" t="s">
        <v>18993</v>
      </c>
      <c r="H11380" t="s">
        <v>22685</v>
      </c>
      <c r="I11380" t="s">
        <v>1357</v>
      </c>
      <c r="J11380" t="s">
        <v>1357</v>
      </c>
      <c r="K11380" t="s">
        <v>1357</v>
      </c>
      <c r="L11380" t="s">
        <v>1357</v>
      </c>
    </row>
    <row r="11381" spans="1:14">
      <c r="H11381" t="s">
        <v>22686</v>
      </c>
      <c r="I11381" t="s">
        <v>1357</v>
      </c>
      <c r="J11381" t="s">
        <v>1357</v>
      </c>
      <c r="K11381" t="s">
        <v>1357</v>
      </c>
      <c r="L11381" t="s">
        <v>1357</v>
      </c>
    </row>
    <row r="11382" spans="1:14">
      <c r="H11382" t="s">
        <v>22687</v>
      </c>
      <c r="I11382" t="s">
        <v>1357</v>
      </c>
      <c r="J11382" t="s">
        <v>1357</v>
      </c>
      <c r="K11382" t="s">
        <v>1357</v>
      </c>
      <c r="L11382" t="s">
        <v>1357</v>
      </c>
    </row>
    <row r="11383" spans="1:14">
      <c r="H11383" t="s">
        <v>22688</v>
      </c>
      <c r="I11383" t="s">
        <v>1357</v>
      </c>
      <c r="J11383" t="s">
        <v>1357</v>
      </c>
      <c r="K11383" t="s">
        <v>1357</v>
      </c>
      <c r="L11383" t="s">
        <v>1357</v>
      </c>
    </row>
    <row r="11384" spans="1:14">
      <c r="H11384" t="s">
        <v>22689</v>
      </c>
      <c r="I11384" t="s">
        <v>1357</v>
      </c>
      <c r="J11384" t="s">
        <v>1357</v>
      </c>
      <c r="K11384" t="s">
        <v>1357</v>
      </c>
      <c r="L11384" t="s">
        <v>1357</v>
      </c>
    </row>
    <row r="11385" spans="1:14">
      <c r="H11385" t="s">
        <v>22690</v>
      </c>
      <c r="I11385" t="s">
        <v>1357</v>
      </c>
      <c r="J11385" t="s">
        <v>1357</v>
      </c>
      <c r="K11385" t="s">
        <v>1357</v>
      </c>
      <c r="L11385" t="s">
        <v>1357</v>
      </c>
    </row>
    <row r="11386" spans="1:14">
      <c r="H11386" t="s">
        <v>22691</v>
      </c>
      <c r="I11386" t="s">
        <v>1357</v>
      </c>
      <c r="J11386" t="s">
        <v>1357</v>
      </c>
      <c r="K11386" t="s">
        <v>1357</v>
      </c>
      <c r="L11386" t="s">
        <v>1357</v>
      </c>
    </row>
    <row r="11387" spans="1:14">
      <c r="H11387" t="s">
        <v>22692</v>
      </c>
      <c r="I11387" t="s">
        <v>1357</v>
      </c>
      <c r="J11387" t="s">
        <v>1357</v>
      </c>
      <c r="K11387" t="s">
        <v>1357</v>
      </c>
      <c r="L11387" t="s">
        <v>1357</v>
      </c>
    </row>
    <row r="11388" spans="1:14">
      <c r="H11388" t="s">
        <v>22693</v>
      </c>
      <c r="I11388" t="s">
        <v>1357</v>
      </c>
      <c r="J11388" t="s">
        <v>1357</v>
      </c>
      <c r="K11388" t="s">
        <v>1357</v>
      </c>
      <c r="L11388" t="s">
        <v>1357</v>
      </c>
    </row>
    <row r="11389" spans="1:14">
      <c r="H11389" t="s">
        <v>22694</v>
      </c>
      <c r="I11389" t="s">
        <v>1357</v>
      </c>
      <c r="J11389" t="s">
        <v>1357</v>
      </c>
      <c r="K11389" t="s">
        <v>1357</v>
      </c>
      <c r="L11389" t="s">
        <v>1357</v>
      </c>
    </row>
    <row r="11390" spans="1:14">
      <c r="H11390" t="s">
        <v>22695</v>
      </c>
      <c r="I11390" t="s">
        <v>1357</v>
      </c>
      <c r="J11390" t="s">
        <v>1357</v>
      </c>
      <c r="K11390" t="s">
        <v>1357</v>
      </c>
      <c r="L11390" t="s">
        <v>1357</v>
      </c>
    </row>
    <row r="11391" spans="1:14">
      <c r="F11391" t="s">
        <v>16324</v>
      </c>
      <c r="G11391" t="s">
        <v>18994</v>
      </c>
      <c r="H11391" t="s">
        <v>22696</v>
      </c>
      <c r="I11391" t="s">
        <v>1357</v>
      </c>
      <c r="J11391" t="s">
        <v>1357</v>
      </c>
      <c r="K11391" t="s">
        <v>1357</v>
      </c>
      <c r="L11391" t="s">
        <v>1357</v>
      </c>
    </row>
    <row r="11392" spans="1:14">
      <c r="F11392" t="s">
        <v>16325</v>
      </c>
      <c r="G11392" t="s">
        <v>18995</v>
      </c>
      <c r="H11392" t="s">
        <v>22697</v>
      </c>
      <c r="I11392" t="s">
        <v>1357</v>
      </c>
      <c r="J11392" t="s">
        <v>1357</v>
      </c>
      <c r="K11392" t="s">
        <v>1357</v>
      </c>
      <c r="L11392" t="s">
        <v>1357</v>
      </c>
    </row>
    <row r="11393" spans="6:12">
      <c r="H11393" t="s">
        <v>22698</v>
      </c>
      <c r="I11393" t="s">
        <v>1357</v>
      </c>
      <c r="J11393" t="s">
        <v>1357</v>
      </c>
      <c r="K11393" t="s">
        <v>1357</v>
      </c>
      <c r="L11393" t="s">
        <v>1357</v>
      </c>
    </row>
    <row r="11394" spans="6:12">
      <c r="F11394" t="s">
        <v>16326</v>
      </c>
      <c r="G11394" t="s">
        <v>18996</v>
      </c>
      <c r="H11394" t="s">
        <v>22699</v>
      </c>
      <c r="I11394" t="s">
        <v>1357</v>
      </c>
      <c r="J11394" t="s">
        <v>1357</v>
      </c>
      <c r="K11394" t="s">
        <v>1357</v>
      </c>
      <c r="L11394" t="s">
        <v>1357</v>
      </c>
    </row>
    <row r="11395" spans="6:12">
      <c r="F11395" t="s">
        <v>16327</v>
      </c>
      <c r="G11395" t="s">
        <v>18997</v>
      </c>
      <c r="H11395" t="s">
        <v>19890</v>
      </c>
      <c r="I11395" t="s">
        <v>1357</v>
      </c>
      <c r="J11395" t="s">
        <v>1357</v>
      </c>
      <c r="K11395" t="s">
        <v>1357</v>
      </c>
      <c r="L11395" t="s">
        <v>1357</v>
      </c>
    </row>
    <row r="11396" spans="6:12">
      <c r="F11396" t="s">
        <v>16328</v>
      </c>
      <c r="G11396" t="s">
        <v>18998</v>
      </c>
      <c r="H11396" t="s">
        <v>22700</v>
      </c>
      <c r="I11396" t="s">
        <v>1357</v>
      </c>
      <c r="J11396" t="s">
        <v>1357</v>
      </c>
      <c r="K11396" t="s">
        <v>1357</v>
      </c>
      <c r="L11396" t="s">
        <v>1357</v>
      </c>
    </row>
    <row r="11397" spans="6:12">
      <c r="F11397" t="s">
        <v>16329</v>
      </c>
      <c r="G11397" t="s">
        <v>18999</v>
      </c>
      <c r="H11397" t="s">
        <v>22701</v>
      </c>
      <c r="I11397" t="s">
        <v>1357</v>
      </c>
      <c r="J11397" t="s">
        <v>1357</v>
      </c>
      <c r="K11397" t="s">
        <v>1357</v>
      </c>
      <c r="L11397" t="s">
        <v>1357</v>
      </c>
    </row>
    <row r="11398" spans="6:12">
      <c r="F11398" t="s">
        <v>16243</v>
      </c>
      <c r="G11398" t="s">
        <v>18919</v>
      </c>
      <c r="H11398" t="s">
        <v>22702</v>
      </c>
      <c r="I11398" t="s">
        <v>1357</v>
      </c>
      <c r="J11398" t="s">
        <v>1357</v>
      </c>
      <c r="K11398" t="s">
        <v>1357</v>
      </c>
      <c r="L11398" t="s">
        <v>1357</v>
      </c>
    </row>
    <row r="11399" spans="6:12">
      <c r="H11399" t="s">
        <v>22703</v>
      </c>
      <c r="I11399" t="s">
        <v>1357</v>
      </c>
      <c r="J11399" t="s">
        <v>1357</v>
      </c>
      <c r="K11399" t="s">
        <v>1357</v>
      </c>
      <c r="L11399" t="s">
        <v>1357</v>
      </c>
    </row>
    <row r="11400" spans="6:12">
      <c r="H11400" t="s">
        <v>22704</v>
      </c>
      <c r="I11400" t="s">
        <v>1357</v>
      </c>
      <c r="J11400" t="s">
        <v>1357</v>
      </c>
      <c r="K11400" t="s">
        <v>1357</v>
      </c>
      <c r="L11400" t="s">
        <v>1357</v>
      </c>
    </row>
    <row r="11401" spans="6:12">
      <c r="H11401" t="s">
        <v>22705</v>
      </c>
      <c r="I11401" t="s">
        <v>1357</v>
      </c>
      <c r="J11401" t="s">
        <v>1357</v>
      </c>
      <c r="K11401" t="s">
        <v>1357</v>
      </c>
      <c r="L11401" t="s">
        <v>1357</v>
      </c>
    </row>
    <row r="11402" spans="6:12">
      <c r="H11402" t="s">
        <v>22706</v>
      </c>
      <c r="I11402" t="s">
        <v>1357</v>
      </c>
      <c r="J11402" t="s">
        <v>1357</v>
      </c>
      <c r="K11402" t="s">
        <v>1357</v>
      </c>
      <c r="L11402" t="s">
        <v>1357</v>
      </c>
    </row>
    <row r="11403" spans="6:12">
      <c r="H11403" t="s">
        <v>22707</v>
      </c>
      <c r="I11403" t="s">
        <v>1357</v>
      </c>
      <c r="J11403" t="s">
        <v>1357</v>
      </c>
      <c r="K11403" t="s">
        <v>1357</v>
      </c>
      <c r="L11403" t="s">
        <v>1357</v>
      </c>
    </row>
    <row r="11404" spans="6:12">
      <c r="H11404" t="s">
        <v>22708</v>
      </c>
      <c r="I11404" t="s">
        <v>1357</v>
      </c>
      <c r="J11404" t="s">
        <v>1357</v>
      </c>
      <c r="K11404" t="s">
        <v>1357</v>
      </c>
      <c r="L11404" t="s">
        <v>1357</v>
      </c>
    </row>
    <row r="11405" spans="6:12">
      <c r="H11405" t="s">
        <v>22709</v>
      </c>
      <c r="I11405" t="s">
        <v>1357</v>
      </c>
      <c r="J11405" t="s">
        <v>1357</v>
      </c>
      <c r="K11405" t="s">
        <v>1357</v>
      </c>
      <c r="L11405" t="s">
        <v>1357</v>
      </c>
    </row>
    <row r="11406" spans="6:12">
      <c r="H11406" t="s">
        <v>22710</v>
      </c>
      <c r="I11406" t="s">
        <v>1357</v>
      </c>
      <c r="J11406" t="s">
        <v>1357</v>
      </c>
      <c r="K11406" t="s">
        <v>1357</v>
      </c>
      <c r="L11406" t="s">
        <v>1357</v>
      </c>
    </row>
    <row r="11407" spans="6:12">
      <c r="F11407" t="s">
        <v>16330</v>
      </c>
      <c r="G11407" t="s">
        <v>19000</v>
      </c>
      <c r="H11407" t="s">
        <v>22711</v>
      </c>
      <c r="I11407" t="s">
        <v>1357</v>
      </c>
      <c r="J11407" t="s">
        <v>1357</v>
      </c>
      <c r="K11407" t="s">
        <v>1357</v>
      </c>
      <c r="L11407" t="s">
        <v>1357</v>
      </c>
    </row>
    <row r="11408" spans="6:12">
      <c r="H11408" t="s">
        <v>22712</v>
      </c>
      <c r="I11408" t="s">
        <v>1357</v>
      </c>
      <c r="J11408" t="s">
        <v>1357</v>
      </c>
      <c r="K11408" t="s">
        <v>1357</v>
      </c>
      <c r="L11408" t="s">
        <v>1357</v>
      </c>
    </row>
    <row r="11409" spans="1:12">
      <c r="H11409" t="s">
        <v>22713</v>
      </c>
      <c r="I11409" t="s">
        <v>1357</v>
      </c>
      <c r="J11409" t="s">
        <v>1357</v>
      </c>
      <c r="K11409" t="s">
        <v>1357</v>
      </c>
      <c r="L11409" t="s">
        <v>1357</v>
      </c>
    </row>
    <row r="11410" spans="1:12">
      <c r="H11410" t="s">
        <v>22714</v>
      </c>
      <c r="I11410" t="s">
        <v>1357</v>
      </c>
      <c r="J11410" t="s">
        <v>1357</v>
      </c>
      <c r="K11410" t="s">
        <v>1357</v>
      </c>
      <c r="L11410" t="s">
        <v>1357</v>
      </c>
    </row>
    <row r="11411" spans="1:12">
      <c r="H11411" t="s">
        <v>899</v>
      </c>
      <c r="I11411" t="s">
        <v>1357</v>
      </c>
      <c r="J11411" t="s">
        <v>1357</v>
      </c>
      <c r="K11411" t="s">
        <v>1357</v>
      </c>
      <c r="L11411" t="s">
        <v>1357</v>
      </c>
    </row>
    <row r="11412" spans="1:12">
      <c r="H11412" t="s">
        <v>22715</v>
      </c>
      <c r="I11412" t="s">
        <v>1357</v>
      </c>
      <c r="J11412" t="s">
        <v>1357</v>
      </c>
      <c r="K11412" t="s">
        <v>1357</v>
      </c>
      <c r="L11412" t="s">
        <v>1357</v>
      </c>
    </row>
    <row r="11413" spans="1:12">
      <c r="H11413" t="s">
        <v>22716</v>
      </c>
      <c r="I11413" t="s">
        <v>1357</v>
      </c>
      <c r="J11413" t="s">
        <v>1357</v>
      </c>
      <c r="K11413" t="s">
        <v>1357</v>
      </c>
      <c r="L11413" t="s">
        <v>1357</v>
      </c>
    </row>
    <row r="11414" spans="1:12">
      <c r="H11414" t="s">
        <v>22717</v>
      </c>
      <c r="I11414" t="s">
        <v>1357</v>
      </c>
      <c r="J11414" t="s">
        <v>1357</v>
      </c>
      <c r="K11414" t="s">
        <v>1357</v>
      </c>
      <c r="L11414" t="s">
        <v>1357</v>
      </c>
    </row>
    <row r="11415" spans="1:12">
      <c r="H11415" t="s">
        <v>22718</v>
      </c>
      <c r="I11415" t="s">
        <v>1357</v>
      </c>
      <c r="J11415" t="s">
        <v>1357</v>
      </c>
      <c r="K11415" t="s">
        <v>1357</v>
      </c>
      <c r="L11415" t="s">
        <v>1357</v>
      </c>
    </row>
    <row r="11416" spans="1:12">
      <c r="H11416" t="s">
        <v>22719</v>
      </c>
      <c r="I11416" t="s">
        <v>1357</v>
      </c>
      <c r="J11416" t="s">
        <v>1357</v>
      </c>
      <c r="K11416" t="s">
        <v>1357</v>
      </c>
      <c r="L11416" t="s">
        <v>1357</v>
      </c>
    </row>
    <row r="11417" spans="1:12">
      <c r="F11417" t="s">
        <v>16331</v>
      </c>
      <c r="G11417" t="s">
        <v>19001</v>
      </c>
      <c r="H11417" t="s">
        <v>22720</v>
      </c>
      <c r="I11417" t="s">
        <v>1357</v>
      </c>
      <c r="J11417" t="s">
        <v>1357</v>
      </c>
      <c r="K11417" t="s">
        <v>1357</v>
      </c>
      <c r="L11417" t="s">
        <v>1357</v>
      </c>
    </row>
    <row r="11418" spans="1:12">
      <c r="F11418" t="s">
        <v>16332</v>
      </c>
      <c r="G11418" t="s">
        <v>19002</v>
      </c>
      <c r="H11418" t="s">
        <v>22721</v>
      </c>
      <c r="I11418" t="s">
        <v>1357</v>
      </c>
      <c r="J11418" t="s">
        <v>1357</v>
      </c>
      <c r="K11418" t="s">
        <v>1357</v>
      </c>
      <c r="L11418" t="s">
        <v>1357</v>
      </c>
    </row>
    <row r="11419" spans="1:12">
      <c r="A11419" t="s">
        <v>10587</v>
      </c>
      <c r="B11419">
        <f>HYPERLINK("https://android.googlesource.com/platform/cts/+/24200411473729b7b4637c81784589374742453d", "24200411473729b7b4637c81784589374742453d")</f>
        <v>0</v>
      </c>
      <c r="C11419">
        <f>HYPERLINK("https://android.googlesource.com/platform/cts/+/aae10c62b8d172a7c49e77474c6a88ef48680616", "aae10c62b8d172a7c49e77474c6a88ef48680616")</f>
        <v>0</v>
      </c>
      <c r="D11419" t="s">
        <v>11996</v>
      </c>
      <c r="E11419" t="s">
        <v>13139</v>
      </c>
      <c r="F11419" t="s">
        <v>16333</v>
      </c>
      <c r="G11419" t="s">
        <v>19003</v>
      </c>
      <c r="H11419" t="s">
        <v>22722</v>
      </c>
      <c r="I11419" t="s">
        <v>1357</v>
      </c>
      <c r="J11419" t="s">
        <v>1357</v>
      </c>
      <c r="K11419" t="s">
        <v>1357</v>
      </c>
      <c r="L11419" t="s">
        <v>1357</v>
      </c>
    </row>
    <row r="11420" spans="1:12">
      <c r="A11420" t="s">
        <v>10588</v>
      </c>
      <c r="B11420">
        <f>HYPERLINK("https://android.googlesource.com/platform/cts/+/77f017c2b1076d464811fc9c61c49f8f5dd39ced", "77f017c2b1076d464811fc9c61c49f8f5dd39ced")</f>
        <v>0</v>
      </c>
      <c r="C11420">
        <f>HYPERLINK("https://android.googlesource.com/platform/cts/+/78dcd89f04d2e14ae4eff468d1386d8c2adfdede", "78dcd89f04d2e14ae4eff468d1386d8c2adfdede")</f>
        <v>0</v>
      </c>
      <c r="D11420" t="s">
        <v>12049</v>
      </c>
      <c r="E11420" t="s">
        <v>13140</v>
      </c>
      <c r="F11420" t="s">
        <v>16334</v>
      </c>
      <c r="G11420" t="s">
        <v>19004</v>
      </c>
      <c r="H11420" t="s">
        <v>22723</v>
      </c>
      <c r="I11420" t="s">
        <v>1358</v>
      </c>
      <c r="J11420" t="s">
        <v>1358</v>
      </c>
      <c r="K11420" t="s">
        <v>1358</v>
      </c>
      <c r="L11420" t="s">
        <v>1358</v>
      </c>
    </row>
    <row r="11421" spans="1:12">
      <c r="A11421" t="s">
        <v>10589</v>
      </c>
      <c r="B11421">
        <f>HYPERLINK("https://android.googlesource.com/platform/cts/+/ecbabc89501897e16a776e6eb40b4d6c0d25692e", "ecbabc89501897e16a776e6eb40b4d6c0d25692e")</f>
        <v>0</v>
      </c>
      <c r="C11421">
        <f>HYPERLINK("https://android.googlesource.com/platform/cts/+/d4d49d0b2ce756e79a2a70c550a2e81bd352db4b", "d4d49d0b2ce756e79a2a70c550a2e81bd352db4b")</f>
        <v>0</v>
      </c>
      <c r="D11421" t="s">
        <v>11973</v>
      </c>
      <c r="E11421" t="s">
        <v>13141</v>
      </c>
      <c r="F11421" t="s">
        <v>16335</v>
      </c>
      <c r="G11421" t="s">
        <v>17398</v>
      </c>
      <c r="H11421" t="s">
        <v>795</v>
      </c>
      <c r="I11421" t="s">
        <v>1357</v>
      </c>
      <c r="J11421" t="s">
        <v>1357</v>
      </c>
      <c r="K11421" t="s">
        <v>1357</v>
      </c>
      <c r="L11421" t="s">
        <v>1357</v>
      </c>
    </row>
    <row r="11422" spans="1:12">
      <c r="A11422" t="s">
        <v>10590</v>
      </c>
      <c r="B11422">
        <f>HYPERLINK("https://android.googlesource.com/platform/cts/+/73ce569899313f0f9497770f9e6584f47adf93c7", "73ce569899313f0f9497770f9e6584f47adf93c7")</f>
        <v>0</v>
      </c>
      <c r="C11422">
        <f>HYPERLINK("https://android.googlesource.com/platform/cts/+/271f35c4d3924d2d3bc0bdbd3f80699c70d83416", "271f35c4d3924d2d3bc0bdbd3f80699c70d83416")</f>
        <v>0</v>
      </c>
      <c r="D11422" t="s">
        <v>12155</v>
      </c>
      <c r="E11422" t="s">
        <v>13142</v>
      </c>
      <c r="F11422" t="s">
        <v>16336</v>
      </c>
      <c r="G11422" t="s">
        <v>19005</v>
      </c>
      <c r="H11422" t="s">
        <v>22724</v>
      </c>
      <c r="I11422" t="s">
        <v>1357</v>
      </c>
      <c r="J11422" t="s">
        <v>1357</v>
      </c>
      <c r="K11422" t="s">
        <v>1357</v>
      </c>
      <c r="L11422" t="s">
        <v>1357</v>
      </c>
    </row>
    <row r="11423" spans="1:12">
      <c r="H11423" t="s">
        <v>22725</v>
      </c>
      <c r="I11423" t="s">
        <v>1357</v>
      </c>
      <c r="J11423" t="s">
        <v>1357</v>
      </c>
      <c r="K11423" t="s">
        <v>1357</v>
      </c>
      <c r="L11423" t="s">
        <v>1357</v>
      </c>
    </row>
    <row r="11424" spans="1:12">
      <c r="A11424" t="s">
        <v>10591</v>
      </c>
      <c r="B11424">
        <f>HYPERLINK("https://android.googlesource.com/platform/cts/+/37cd26d47468d246a9e3a8a7bff43f0f931a22e1", "37cd26d47468d246a9e3a8a7bff43f0f931a22e1")</f>
        <v>0</v>
      </c>
      <c r="C11424">
        <f>HYPERLINK("https://android.googlesource.com/platform/cts/+/9154927fb626c199405e8a1661029c6dfcd1988a", "9154927fb626c199405e8a1661029c6dfcd1988a")</f>
        <v>0</v>
      </c>
      <c r="D11424" t="s">
        <v>12156</v>
      </c>
      <c r="E11424" t="s">
        <v>13143</v>
      </c>
      <c r="F11424" t="s">
        <v>15936</v>
      </c>
      <c r="G11424" t="s">
        <v>18628</v>
      </c>
      <c r="H11424" t="s">
        <v>20573</v>
      </c>
      <c r="I11424" t="s">
        <v>1357</v>
      </c>
      <c r="J11424" t="s">
        <v>1357</v>
      </c>
      <c r="K11424" t="s">
        <v>1357</v>
      </c>
      <c r="L11424" t="s">
        <v>1357</v>
      </c>
    </row>
    <row r="11425" spans="1:14">
      <c r="A11425" t="s">
        <v>10592</v>
      </c>
      <c r="B11425">
        <f>HYPERLINK("https://android.googlesource.com/platform/cts/+/dcaac2d294b1b45ebddbbd44203729a2d0064562", "dcaac2d294b1b45ebddbbd44203729a2d0064562")</f>
        <v>0</v>
      </c>
      <c r="C11425">
        <f>HYPERLINK("https://android.googlesource.com/platform/cts/+/60e4b34abdba08423d798afeaceb44a76ab32ba0", "60e4b34abdba08423d798afeaceb44a76ab32ba0")</f>
        <v>0</v>
      </c>
      <c r="D11425" t="s">
        <v>12157</v>
      </c>
      <c r="E11425" t="s">
        <v>13144</v>
      </c>
      <c r="F11425" t="s">
        <v>16045</v>
      </c>
      <c r="G11425" t="s">
        <v>18736</v>
      </c>
      <c r="H11425" t="s">
        <v>22726</v>
      </c>
      <c r="I11425" t="s">
        <v>1357</v>
      </c>
      <c r="J11425" t="s">
        <v>1357</v>
      </c>
      <c r="K11425" t="s">
        <v>1357</v>
      </c>
      <c r="L11425" t="s">
        <v>1357</v>
      </c>
    </row>
    <row r="11426" spans="1:14">
      <c r="A11426" t="s">
        <v>10593</v>
      </c>
      <c r="B11426">
        <f>HYPERLINK("https://android.googlesource.com/platform/cts/+/cfc39597bd8c2eab3a1845bded4fb403ecb14fd2", "cfc39597bd8c2eab3a1845bded4fb403ecb14fd2")</f>
        <v>0</v>
      </c>
      <c r="C11426">
        <f>HYPERLINK("https://android.googlesource.com/platform/cts/+/1e90b1e471ebe46e0e28fa5764cfe7f287d76b73", "1e90b1e471ebe46e0e28fa5764cfe7f287d76b73")</f>
        <v>0</v>
      </c>
      <c r="D11426" t="s">
        <v>12146</v>
      </c>
      <c r="E11426" t="s">
        <v>13145</v>
      </c>
      <c r="F11426" t="s">
        <v>16083</v>
      </c>
      <c r="G11426" t="s">
        <v>18772</v>
      </c>
      <c r="H11426" t="s">
        <v>22727</v>
      </c>
      <c r="I11426" t="s">
        <v>1358</v>
      </c>
      <c r="J11426" t="s">
        <v>1358</v>
      </c>
      <c r="K11426" t="s">
        <v>1358</v>
      </c>
      <c r="L11426" t="s">
        <v>1358</v>
      </c>
    </row>
    <row r="11427" spans="1:14">
      <c r="A11427" t="s">
        <v>10594</v>
      </c>
      <c r="B11427">
        <f>HYPERLINK("https://android.googlesource.com/platform/cts/+/c34eb130380ea58023fbabbf74288bb144627d3e", "c34eb130380ea58023fbabbf74288bb144627d3e")</f>
        <v>0</v>
      </c>
      <c r="C11427">
        <f>HYPERLINK("https://android.googlesource.com/platform/cts/+/408ffa36528328dbf9017eb156844e0b4a19e3ac", "408ffa36528328dbf9017eb156844e0b4a19e3ac")</f>
        <v>0</v>
      </c>
      <c r="D11427" t="s">
        <v>12005</v>
      </c>
      <c r="E11427" t="s">
        <v>13146</v>
      </c>
      <c r="F11427" t="s">
        <v>16337</v>
      </c>
      <c r="G11427" t="s">
        <v>19006</v>
      </c>
      <c r="H11427" t="s">
        <v>22728</v>
      </c>
      <c r="I11427" t="s">
        <v>1357</v>
      </c>
      <c r="J11427" t="s">
        <v>1357</v>
      </c>
      <c r="K11427" t="s">
        <v>1357</v>
      </c>
      <c r="L11427" t="s">
        <v>1357</v>
      </c>
    </row>
    <row r="11428" spans="1:14">
      <c r="A11428" t="s">
        <v>10595</v>
      </c>
      <c r="B11428">
        <f>HYPERLINK("https://android.googlesource.com/platform/cts/+/a579c2904470f3932be6e5e880e9c89325888c3b", "a579c2904470f3932be6e5e880e9c89325888c3b")</f>
        <v>0</v>
      </c>
      <c r="C11428">
        <f>HYPERLINK("https://android.googlesource.com/platform/cts/+/2668813c025884936baf705a0b042eff1791ac2c", "2668813c025884936baf705a0b042eff1791ac2c")</f>
        <v>0</v>
      </c>
      <c r="D11428" t="s">
        <v>12158</v>
      </c>
      <c r="E11428" t="s">
        <v>13147</v>
      </c>
      <c r="F11428" t="s">
        <v>16338</v>
      </c>
      <c r="G11428" t="s">
        <v>19007</v>
      </c>
      <c r="H11428" t="s">
        <v>22729</v>
      </c>
      <c r="I11428" t="s">
        <v>1357</v>
      </c>
      <c r="J11428" t="s">
        <v>1357</v>
      </c>
      <c r="K11428" t="s">
        <v>1357</v>
      </c>
      <c r="L11428" t="s">
        <v>1357</v>
      </c>
    </row>
    <row r="11429" spans="1:14">
      <c r="A11429" t="s">
        <v>10596</v>
      </c>
      <c r="B11429">
        <f>HYPERLINK("https://android.googlesource.com/platform/cts/+/ea5dbe1802a1a619824d5ce5dfeed6b70364d871", "ea5dbe1802a1a619824d5ce5dfeed6b70364d871")</f>
        <v>0</v>
      </c>
      <c r="C11429">
        <f>HYPERLINK("https://android.googlesource.com/platform/cts/+/94c2c84530ba3eea31ecc6e3f4907920bf618ea6", "94c2c84530ba3eea31ecc6e3f4907920bf618ea6")</f>
        <v>0</v>
      </c>
      <c r="D11429" t="s">
        <v>12135</v>
      </c>
      <c r="E11429" t="s">
        <v>13148</v>
      </c>
      <c r="F11429" t="s">
        <v>15184</v>
      </c>
      <c r="G11429" t="s">
        <v>17886</v>
      </c>
      <c r="H11429" t="s">
        <v>22730</v>
      </c>
      <c r="I11429" t="s">
        <v>1357</v>
      </c>
      <c r="J11429" t="s">
        <v>1357</v>
      </c>
      <c r="K11429" t="s">
        <v>1357</v>
      </c>
      <c r="L11429" t="s">
        <v>1357</v>
      </c>
    </row>
    <row r="11430" spans="1:14">
      <c r="H11430" t="s">
        <v>22731</v>
      </c>
      <c r="I11430" t="s">
        <v>1357</v>
      </c>
      <c r="J11430" t="s">
        <v>1357</v>
      </c>
      <c r="K11430" t="s">
        <v>1357</v>
      </c>
      <c r="L11430" t="s">
        <v>1357</v>
      </c>
    </row>
    <row r="11431" spans="1:14">
      <c r="H11431" t="s">
        <v>22732</v>
      </c>
      <c r="I11431" t="s">
        <v>1357</v>
      </c>
      <c r="J11431" t="s">
        <v>1357</v>
      </c>
      <c r="K11431" t="s">
        <v>1357</v>
      </c>
      <c r="L11431" t="s">
        <v>1357</v>
      </c>
    </row>
    <row r="11432" spans="1:14">
      <c r="A11432" t="s">
        <v>10597</v>
      </c>
      <c r="B11432">
        <f>HYPERLINK("https://android.googlesource.com/platform/cts/+/5eb19bfe1bda7f6dfe75b55e320a01ee15bae035", "5eb19bfe1bda7f6dfe75b55e320a01ee15bae035")</f>
        <v>0</v>
      </c>
      <c r="C11432">
        <f>HYPERLINK("https://android.googlesource.com/platform/cts/+/871fe1eb1ee80ec48899e7396539e496ab1719e3", "871fe1eb1ee80ec48899e7396539e496ab1719e3")</f>
        <v>0</v>
      </c>
      <c r="D11432" t="s">
        <v>12159</v>
      </c>
      <c r="E11432" t="s">
        <v>13149</v>
      </c>
      <c r="F11432" t="s">
        <v>16171</v>
      </c>
      <c r="G11432" t="s">
        <v>18734</v>
      </c>
      <c r="H11432" t="s">
        <v>22733</v>
      </c>
      <c r="I11432" t="s">
        <v>1357</v>
      </c>
      <c r="J11432" t="s">
        <v>1357</v>
      </c>
      <c r="K11432" t="s">
        <v>1357</v>
      </c>
      <c r="L11432" t="s">
        <v>1357</v>
      </c>
    </row>
    <row r="11433" spans="1:14">
      <c r="A11433" t="s">
        <v>10598</v>
      </c>
      <c r="B11433">
        <f>HYPERLINK("https://android.googlesource.com/platform/cts/+/4b4f5dd8dd01bc83d6870d490ccb81280796d8bb", "4b4f5dd8dd01bc83d6870d490ccb81280796d8bb")</f>
        <v>0</v>
      </c>
      <c r="C11433">
        <f>HYPERLINK("https://android.googlesource.com/platform/cts/+/5eb19bfe1bda7f6dfe75b55e320a01ee15bae035", "5eb19bfe1bda7f6dfe75b55e320a01ee15bae035")</f>
        <v>0</v>
      </c>
      <c r="D11433" t="s">
        <v>12159</v>
      </c>
      <c r="E11433" t="s">
        <v>13150</v>
      </c>
      <c r="F11433" t="s">
        <v>16339</v>
      </c>
      <c r="G11433" t="s">
        <v>19008</v>
      </c>
      <c r="H11433" t="s">
        <v>22734</v>
      </c>
      <c r="I11433" t="s">
        <v>1357</v>
      </c>
      <c r="J11433" t="s">
        <v>1357</v>
      </c>
      <c r="K11433" t="s">
        <v>1357</v>
      </c>
      <c r="L11433" t="s">
        <v>1357</v>
      </c>
    </row>
    <row r="11434" spans="1:14">
      <c r="A11434" t="s">
        <v>10599</v>
      </c>
      <c r="B11434">
        <f>HYPERLINK("https://android.googlesource.com/platform/cts/+/3747b9fe9a50d3ae38633c60e65d23a0003d84ad", "3747b9fe9a50d3ae38633c60e65d23a0003d84ad")</f>
        <v>0</v>
      </c>
      <c r="C11434">
        <f>HYPERLINK("https://android.googlesource.com/platform/cts/+/80f196062b9cf3d3ff3043328bb8039c86f78e88", "80f196062b9cf3d3ff3043328bb8039c86f78e88")</f>
        <v>0</v>
      </c>
      <c r="D11434" t="s">
        <v>12160</v>
      </c>
      <c r="E11434" t="s">
        <v>13151</v>
      </c>
      <c r="F11434" t="s">
        <v>16340</v>
      </c>
      <c r="G11434" t="s">
        <v>19009</v>
      </c>
      <c r="H11434" t="s">
        <v>22735</v>
      </c>
      <c r="I11434" t="s">
        <v>1358</v>
      </c>
      <c r="J11434" t="s">
        <v>1358</v>
      </c>
      <c r="K11434" t="s">
        <v>1358</v>
      </c>
      <c r="L11434" t="s">
        <v>1358</v>
      </c>
    </row>
    <row r="11435" spans="1:14">
      <c r="A11435" t="s">
        <v>10600</v>
      </c>
      <c r="B11435">
        <f>HYPERLINK("https://android.googlesource.com/platform/cts/+/e687ad77936d09e6bb1baf555c3b7bc18cc65867", "e687ad77936d09e6bb1baf555c3b7bc18cc65867")</f>
        <v>0</v>
      </c>
      <c r="C11435">
        <f>HYPERLINK("https://android.googlesource.com/platform/cts/+/7115fc9fb8e8a44bebafc804eab4d1fa5795a886", "7115fc9fb8e8a44bebafc804eab4d1fa5795a886")</f>
        <v>0</v>
      </c>
      <c r="D11435" t="s">
        <v>12146</v>
      </c>
      <c r="E11435" t="s">
        <v>13152</v>
      </c>
      <c r="F11435" t="s">
        <v>16083</v>
      </c>
      <c r="G11435" t="s">
        <v>18772</v>
      </c>
      <c r="H11435" t="s">
        <v>22736</v>
      </c>
      <c r="I11435" t="s">
        <v>1357</v>
      </c>
      <c r="J11435" t="s">
        <v>1357</v>
      </c>
      <c r="K11435" t="s">
        <v>1357</v>
      </c>
      <c r="L11435" t="s">
        <v>1357</v>
      </c>
    </row>
    <row r="11436" spans="1:14">
      <c r="H11436" t="s">
        <v>22737</v>
      </c>
      <c r="I11436" t="s">
        <v>1357</v>
      </c>
      <c r="J11436" t="s">
        <v>1357</v>
      </c>
      <c r="K11436" t="s">
        <v>1357</v>
      </c>
      <c r="L11436" t="s">
        <v>1357</v>
      </c>
    </row>
    <row r="11437" spans="1:14">
      <c r="A11437" t="s">
        <v>10601</v>
      </c>
      <c r="B11437">
        <f>HYPERLINK("https://android.googlesource.com/platform/cts/+/017121aef8762229e700e97328c978fd36b8a9f4", "017121aef8762229e700e97328c978fd36b8a9f4")</f>
        <v>0</v>
      </c>
      <c r="C11437">
        <f>HYPERLINK("https://android.googlesource.com/platform/cts/+/d1038b4ed244bf5cd9186e01f432cabf0acd2fc6", "d1038b4ed244bf5cd9186e01f432cabf0acd2fc6")</f>
        <v>0</v>
      </c>
      <c r="D11437" t="s">
        <v>12161</v>
      </c>
      <c r="E11437" t="s">
        <v>13153</v>
      </c>
      <c r="F11437" t="s">
        <v>16341</v>
      </c>
      <c r="G11437" t="s">
        <v>19010</v>
      </c>
      <c r="H11437" t="s">
        <v>22738</v>
      </c>
      <c r="I11437" t="s">
        <v>1357</v>
      </c>
      <c r="J11437" t="s">
        <v>1357</v>
      </c>
      <c r="K11437" t="s">
        <v>1357</v>
      </c>
      <c r="L11437" t="s">
        <v>1357</v>
      </c>
    </row>
    <row r="11438" spans="1:14">
      <c r="A11438" t="s">
        <v>10602</v>
      </c>
      <c r="B11438">
        <f>HYPERLINK("https://android.googlesource.com/platform/cts/+/09244bcc810dd789f4b222c76c582510f1ba4a10", "09244bcc810dd789f4b222c76c582510f1ba4a10")</f>
        <v>0</v>
      </c>
      <c r="C11438">
        <f>HYPERLINK("https://android.googlesource.com/platform/cts/+/d0979c3132a14e50546601a817270d7839a8e864", "d0979c3132a14e50546601a817270d7839a8e864")</f>
        <v>0</v>
      </c>
      <c r="D11438" t="s">
        <v>12162</v>
      </c>
      <c r="E11438" t="s">
        <v>13154</v>
      </c>
      <c r="F11438" t="s">
        <v>15921</v>
      </c>
      <c r="G11438" t="s">
        <v>18613</v>
      </c>
      <c r="H11438" t="s">
        <v>22739</v>
      </c>
      <c r="I11438" t="s">
        <v>1357</v>
      </c>
      <c r="J11438" t="s">
        <v>1357</v>
      </c>
      <c r="K11438" t="s">
        <v>1357</v>
      </c>
      <c r="L11438" t="s">
        <v>1357</v>
      </c>
    </row>
    <row r="11439" spans="1:14">
      <c r="A11439" t="s">
        <v>10603</v>
      </c>
      <c r="B11439">
        <f>HYPERLINK("https://android.googlesource.com/platform/cts/+/5c18b9727bc2e9ce91a948a677be33aaeb9c4214", "5c18b9727bc2e9ce91a948a677be33aaeb9c4214")</f>
        <v>0</v>
      </c>
      <c r="C11439">
        <f>HYPERLINK("https://android.googlesource.com/platform/cts/+/824ada18e8c59f8f14d34e2732cdf139e2d143fd", "824ada18e8c59f8f14d34e2732cdf139e2d143fd")</f>
        <v>0</v>
      </c>
      <c r="D11439" t="s">
        <v>12163</v>
      </c>
      <c r="E11439" t="s">
        <v>13155</v>
      </c>
      <c r="F11439" t="s">
        <v>16292</v>
      </c>
      <c r="G11439" t="s">
        <v>18963</v>
      </c>
      <c r="H11439" t="s">
        <v>22740</v>
      </c>
      <c r="I11439" t="s">
        <v>1357</v>
      </c>
      <c r="J11439" t="s">
        <v>1357</v>
      </c>
      <c r="K11439" t="s">
        <v>1357</v>
      </c>
      <c r="L11439" t="s">
        <v>1357</v>
      </c>
      <c r="N11439" t="s">
        <v>27521</v>
      </c>
    </row>
    <row r="11440" spans="1:14">
      <c r="A11440" t="s">
        <v>10604</v>
      </c>
      <c r="B11440">
        <f>HYPERLINK("https://android.googlesource.com/platform/cts/+/fbb7d80e9d647a6dbe05d811a5521e155e8f532a", "fbb7d80e9d647a6dbe05d811a5521e155e8f532a")</f>
        <v>0</v>
      </c>
      <c r="C11440">
        <f>HYPERLINK("https://android.googlesource.com/platform/cts/+/bde13c23346d7c5e1f464cae949c844ddf404dc5", "bde13c23346d7c5e1f464cae949c844ddf404dc5")</f>
        <v>0</v>
      </c>
      <c r="D11440" t="s">
        <v>12105</v>
      </c>
      <c r="E11440" t="s">
        <v>13156</v>
      </c>
      <c r="F11440" t="s">
        <v>16342</v>
      </c>
      <c r="G11440" t="s">
        <v>19011</v>
      </c>
      <c r="H11440" t="s">
        <v>22741</v>
      </c>
      <c r="I11440" t="s">
        <v>1357</v>
      </c>
      <c r="J11440" t="s">
        <v>1357</v>
      </c>
      <c r="K11440" t="s">
        <v>1357</v>
      </c>
      <c r="L11440" t="s">
        <v>1357</v>
      </c>
    </row>
    <row r="11441" spans="1:12">
      <c r="F11441" t="s">
        <v>16343</v>
      </c>
      <c r="G11441" t="s">
        <v>19012</v>
      </c>
      <c r="H11441" t="s">
        <v>22741</v>
      </c>
      <c r="I11441" t="s">
        <v>1357</v>
      </c>
      <c r="J11441" t="s">
        <v>1357</v>
      </c>
      <c r="K11441" t="s">
        <v>1357</v>
      </c>
      <c r="L11441" t="s">
        <v>1357</v>
      </c>
    </row>
    <row r="11442" spans="1:12">
      <c r="A11442" t="s">
        <v>10605</v>
      </c>
      <c r="B11442">
        <f>HYPERLINK("https://android.googlesource.com/platform/cts/+/059319ad2d844f036d1ab02538dcd44f16f58bf0", "059319ad2d844f036d1ab02538dcd44f16f58bf0")</f>
        <v>0</v>
      </c>
      <c r="C11442">
        <f>HYPERLINK("https://android.googlesource.com/platform/cts/+/650896ae232cf95b5ebe8792b829127ee731d366", "650896ae232cf95b5ebe8792b829127ee731d366")</f>
        <v>0</v>
      </c>
      <c r="D11442" t="s">
        <v>12105</v>
      </c>
      <c r="E11442" t="s">
        <v>13157</v>
      </c>
      <c r="F11442" t="s">
        <v>15184</v>
      </c>
      <c r="G11442" t="s">
        <v>17886</v>
      </c>
      <c r="H11442" t="s">
        <v>22742</v>
      </c>
      <c r="I11442" t="s">
        <v>1357</v>
      </c>
      <c r="J11442" t="s">
        <v>1357</v>
      </c>
      <c r="K11442" t="s">
        <v>1357</v>
      </c>
      <c r="L11442" t="s">
        <v>1357</v>
      </c>
    </row>
    <row r="11443" spans="1:12">
      <c r="A11443" t="s">
        <v>10606</v>
      </c>
      <c r="B11443">
        <f>HYPERLINK("https://android.googlesource.com/platform/cts/+/09b6eccae5812a1f72b97ceaa9f03790dfdc51c0", "09b6eccae5812a1f72b97ceaa9f03790dfdc51c0")</f>
        <v>0</v>
      </c>
      <c r="C11443">
        <f>HYPERLINK("https://android.googlesource.com/platform/cts/+/e58adc6aae7aeb2e64ae9e61177be19739ee9ca6", "e58adc6aae7aeb2e64ae9e61177be19739ee9ca6")</f>
        <v>0</v>
      </c>
      <c r="D11443" t="s">
        <v>12164</v>
      </c>
      <c r="E11443" t="s">
        <v>13158</v>
      </c>
      <c r="F11443" t="s">
        <v>15184</v>
      </c>
      <c r="G11443" t="s">
        <v>17886</v>
      </c>
      <c r="H11443" t="s">
        <v>22743</v>
      </c>
      <c r="I11443" t="s">
        <v>1358</v>
      </c>
      <c r="J11443" t="s">
        <v>1358</v>
      </c>
      <c r="K11443" t="s">
        <v>1358</v>
      </c>
      <c r="L11443" t="s">
        <v>1358</v>
      </c>
    </row>
    <row r="11444" spans="1:12">
      <c r="A11444" t="s">
        <v>10607</v>
      </c>
      <c r="B11444">
        <f>HYPERLINK("https://android.googlesource.com/platform/cts/+/de6fec89b81cccfd0f880b20f16a560acb1a9818", "de6fec89b81cccfd0f880b20f16a560acb1a9818")</f>
        <v>0</v>
      </c>
      <c r="C11444">
        <f>HYPERLINK("https://android.googlesource.com/platform/cts/+/7166244312a84d08088d6385c5022ef30ba52b49", "7166244312a84d08088d6385c5022ef30ba52b49")</f>
        <v>0</v>
      </c>
      <c r="D11444" t="s">
        <v>12165</v>
      </c>
      <c r="E11444" t="s">
        <v>13159</v>
      </c>
      <c r="F11444" t="s">
        <v>16344</v>
      </c>
      <c r="G11444" t="s">
        <v>19013</v>
      </c>
      <c r="H11444" t="s">
        <v>22744</v>
      </c>
      <c r="I11444" t="s">
        <v>1358</v>
      </c>
      <c r="J11444" t="s">
        <v>1358</v>
      </c>
      <c r="K11444" t="s">
        <v>1358</v>
      </c>
      <c r="L11444" t="s">
        <v>1358</v>
      </c>
    </row>
    <row r="11445" spans="1:12">
      <c r="H11445" t="s">
        <v>22745</v>
      </c>
      <c r="I11445" t="s">
        <v>1358</v>
      </c>
      <c r="J11445" t="s">
        <v>1358</v>
      </c>
      <c r="K11445" t="s">
        <v>1358</v>
      </c>
      <c r="L11445" t="s">
        <v>1358</v>
      </c>
    </row>
    <row r="11446" spans="1:12">
      <c r="A11446" t="s">
        <v>10608</v>
      </c>
      <c r="B11446">
        <f>HYPERLINK("https://android.googlesource.com/platform/cts/+/48c25a12da73045d802603624423d1ac22f98aec", "48c25a12da73045d802603624423d1ac22f98aec")</f>
        <v>0</v>
      </c>
      <c r="C11446">
        <f>HYPERLINK("https://android.googlesource.com/platform/cts/+/dfb3576b3c5846e80b3e60429870ab95c3142fd3", "dfb3576b3c5846e80b3e60429870ab95c3142fd3")</f>
        <v>0</v>
      </c>
      <c r="D11446" t="s">
        <v>12166</v>
      </c>
      <c r="E11446" t="s">
        <v>13160</v>
      </c>
      <c r="F11446" t="s">
        <v>16345</v>
      </c>
      <c r="G11446" t="s">
        <v>19014</v>
      </c>
      <c r="H11446" t="s">
        <v>22746</v>
      </c>
      <c r="I11446" t="s">
        <v>1357</v>
      </c>
      <c r="J11446" t="s">
        <v>1357</v>
      </c>
      <c r="K11446" t="s">
        <v>1357</v>
      </c>
      <c r="L11446" t="s">
        <v>1357</v>
      </c>
    </row>
    <row r="11447" spans="1:12">
      <c r="A11447" t="s">
        <v>10609</v>
      </c>
      <c r="B11447">
        <f>HYPERLINK("https://android.googlesource.com/platform/cts/+/500c917bdfa75fd734581d7ea825a7bd7383fab7", "500c917bdfa75fd734581d7ea825a7bd7383fab7")</f>
        <v>0</v>
      </c>
      <c r="C11447">
        <f>HYPERLINK("https://android.googlesource.com/platform/cts/+/43af5942cdd113fad21368fb22d7cbbf0f11443d", "43af5942cdd113fad21368fb22d7cbbf0f11443d")</f>
        <v>0</v>
      </c>
      <c r="D11447" t="s">
        <v>12167</v>
      </c>
      <c r="E11447" t="s">
        <v>13161</v>
      </c>
      <c r="F11447" t="s">
        <v>16346</v>
      </c>
      <c r="G11447" t="s">
        <v>19015</v>
      </c>
      <c r="H11447" t="s">
        <v>22747</v>
      </c>
      <c r="I11447" t="s">
        <v>1357</v>
      </c>
      <c r="J11447" t="s">
        <v>1357</v>
      </c>
      <c r="K11447" t="s">
        <v>1357</v>
      </c>
      <c r="L11447" t="s">
        <v>1357</v>
      </c>
    </row>
    <row r="11448" spans="1:12">
      <c r="A11448" t="s">
        <v>10610</v>
      </c>
      <c r="B11448">
        <f>HYPERLINK("https://android.googlesource.com/platform/cts/+/d88e016656aded7c8f4e808287225a80f829cf8b", "d88e016656aded7c8f4e808287225a80f829cf8b")</f>
        <v>0</v>
      </c>
      <c r="C11448">
        <f>HYPERLINK("https://android.googlesource.com/platform/cts/+/eb97c880df596df6575f0f22995c565797f03486", "eb97c880df596df6575f0f22995c565797f03486")</f>
        <v>0</v>
      </c>
      <c r="D11448" t="s">
        <v>12168</v>
      </c>
      <c r="E11448" t="s">
        <v>13162</v>
      </c>
      <c r="F11448" t="s">
        <v>16347</v>
      </c>
      <c r="G11448" t="s">
        <v>19016</v>
      </c>
      <c r="H11448" t="s">
        <v>22748</v>
      </c>
      <c r="I11448" t="s">
        <v>1357</v>
      </c>
      <c r="J11448" t="s">
        <v>1357</v>
      </c>
      <c r="K11448" t="s">
        <v>1357</v>
      </c>
      <c r="L11448" t="s">
        <v>1357</v>
      </c>
    </row>
    <row r="11449" spans="1:12">
      <c r="H11449" t="s">
        <v>22749</v>
      </c>
      <c r="I11449" t="s">
        <v>1357</v>
      </c>
      <c r="J11449" t="s">
        <v>1357</v>
      </c>
      <c r="K11449" t="s">
        <v>1357</v>
      </c>
      <c r="L11449" t="s">
        <v>1357</v>
      </c>
    </row>
    <row r="11450" spans="1:12">
      <c r="H11450" t="s">
        <v>22750</v>
      </c>
      <c r="I11450" t="s">
        <v>1357</v>
      </c>
      <c r="J11450" t="s">
        <v>1357</v>
      </c>
      <c r="K11450" t="s">
        <v>1357</v>
      </c>
      <c r="L11450" t="s">
        <v>1357</v>
      </c>
    </row>
    <row r="11451" spans="1:12">
      <c r="H11451" t="s">
        <v>22751</v>
      </c>
      <c r="I11451" t="s">
        <v>1357</v>
      </c>
      <c r="J11451" t="s">
        <v>1357</v>
      </c>
      <c r="K11451" t="s">
        <v>1357</v>
      </c>
      <c r="L11451" t="s">
        <v>1357</v>
      </c>
    </row>
    <row r="11452" spans="1:12">
      <c r="H11452" t="s">
        <v>22752</v>
      </c>
      <c r="I11452" t="s">
        <v>1357</v>
      </c>
      <c r="J11452" t="s">
        <v>1357</v>
      </c>
      <c r="K11452" t="s">
        <v>1357</v>
      </c>
      <c r="L11452" t="s">
        <v>1357</v>
      </c>
    </row>
    <row r="11453" spans="1:12">
      <c r="F11453" t="s">
        <v>16348</v>
      </c>
      <c r="G11453" t="s">
        <v>19017</v>
      </c>
      <c r="H11453" t="s">
        <v>22753</v>
      </c>
      <c r="I11453" t="s">
        <v>1357</v>
      </c>
      <c r="J11453" t="s">
        <v>1357</v>
      </c>
      <c r="K11453" t="s">
        <v>1357</v>
      </c>
      <c r="L11453" t="s">
        <v>1357</v>
      </c>
    </row>
    <row r="11454" spans="1:12">
      <c r="H11454" t="s">
        <v>22754</v>
      </c>
      <c r="I11454" t="s">
        <v>1357</v>
      </c>
      <c r="J11454" t="s">
        <v>1357</v>
      </c>
      <c r="K11454" t="s">
        <v>1357</v>
      </c>
      <c r="L11454" t="s">
        <v>1357</v>
      </c>
    </row>
    <row r="11455" spans="1:12">
      <c r="F11455" t="s">
        <v>16340</v>
      </c>
      <c r="G11455" t="s">
        <v>19009</v>
      </c>
      <c r="H11455" t="s">
        <v>22755</v>
      </c>
      <c r="I11455" t="s">
        <v>1357</v>
      </c>
      <c r="J11455" t="s">
        <v>1357</v>
      </c>
      <c r="K11455" t="s">
        <v>1357</v>
      </c>
      <c r="L11455" t="s">
        <v>1357</v>
      </c>
    </row>
    <row r="11456" spans="1:12">
      <c r="F11456" t="s">
        <v>16349</v>
      </c>
      <c r="G11456" t="s">
        <v>19018</v>
      </c>
      <c r="H11456" t="s">
        <v>22735</v>
      </c>
      <c r="I11456" t="s">
        <v>1357</v>
      </c>
      <c r="J11456" t="s">
        <v>1357</v>
      </c>
      <c r="K11456" t="s">
        <v>1357</v>
      </c>
      <c r="L11456" t="s">
        <v>1357</v>
      </c>
    </row>
    <row r="11457" spans="1:14">
      <c r="H11457" t="s">
        <v>22748</v>
      </c>
      <c r="I11457" t="s">
        <v>1357</v>
      </c>
      <c r="J11457" t="s">
        <v>1357</v>
      </c>
      <c r="K11457" t="s">
        <v>1357</v>
      </c>
      <c r="L11457" t="s">
        <v>1357</v>
      </c>
    </row>
    <row r="11458" spans="1:14">
      <c r="H11458" t="s">
        <v>22756</v>
      </c>
      <c r="I11458" t="s">
        <v>1357</v>
      </c>
      <c r="J11458" t="s">
        <v>1357</v>
      </c>
      <c r="K11458" t="s">
        <v>1357</v>
      </c>
      <c r="L11458" t="s">
        <v>1357</v>
      </c>
    </row>
    <row r="11459" spans="1:14">
      <c r="H11459" t="s">
        <v>22757</v>
      </c>
      <c r="I11459" t="s">
        <v>1357</v>
      </c>
      <c r="J11459" t="s">
        <v>1357</v>
      </c>
      <c r="K11459" t="s">
        <v>1357</v>
      </c>
      <c r="L11459" t="s">
        <v>1357</v>
      </c>
    </row>
    <row r="11460" spans="1:14">
      <c r="H11460" t="s">
        <v>22758</v>
      </c>
      <c r="I11460" t="s">
        <v>1357</v>
      </c>
      <c r="J11460" t="s">
        <v>1357</v>
      </c>
      <c r="K11460" t="s">
        <v>1357</v>
      </c>
      <c r="L11460" t="s">
        <v>1357</v>
      </c>
    </row>
    <row r="11461" spans="1:14">
      <c r="H11461" t="s">
        <v>22759</v>
      </c>
      <c r="I11461" t="s">
        <v>1357</v>
      </c>
      <c r="J11461" t="s">
        <v>1357</v>
      </c>
      <c r="K11461" t="s">
        <v>1357</v>
      </c>
      <c r="L11461" t="s">
        <v>1357</v>
      </c>
    </row>
    <row r="11462" spans="1:14">
      <c r="A11462" t="s">
        <v>10611</v>
      </c>
      <c r="B11462">
        <f>HYPERLINK("https://android.googlesource.com/platform/cts/+/902cd35d2e77a3193d1e6f4298b572a924a21135", "902cd35d2e77a3193d1e6f4298b572a924a21135")</f>
        <v>0</v>
      </c>
      <c r="C11462">
        <f>HYPERLINK("https://android.googlesource.com/platform/cts/+/23ebed0e9c50733a353b3c97f74f9a8d71f696df", "23ebed0e9c50733a353b3c97f74f9a8d71f696df")</f>
        <v>0</v>
      </c>
      <c r="D11462" t="s">
        <v>12169</v>
      </c>
      <c r="E11462" t="s">
        <v>13163</v>
      </c>
      <c r="F11462" t="s">
        <v>16266</v>
      </c>
      <c r="G11462" t="s">
        <v>18939</v>
      </c>
      <c r="H11462" t="s">
        <v>22760</v>
      </c>
      <c r="I11462" t="s">
        <v>1357</v>
      </c>
      <c r="J11462" t="s">
        <v>1357</v>
      </c>
      <c r="K11462" t="s">
        <v>1357</v>
      </c>
      <c r="L11462" t="s">
        <v>1357</v>
      </c>
    </row>
    <row r="11463" spans="1:14">
      <c r="A11463" t="s">
        <v>10612</v>
      </c>
      <c r="B11463">
        <f>HYPERLINK("https://android.googlesource.com/platform/cts/+/4b3b9e34f262e475b90c83a45684880ba2d266f6", "4b3b9e34f262e475b90c83a45684880ba2d266f6")</f>
        <v>0</v>
      </c>
      <c r="C11463">
        <f>HYPERLINK("https://android.googlesource.com/platform/cts/+/8a5510f9d795b1532dd18e40fd7a7c8a2440f047", "8a5510f9d795b1532dd18e40fd7a7c8a2440f047")</f>
        <v>0</v>
      </c>
      <c r="D11463" t="s">
        <v>12117</v>
      </c>
      <c r="E11463" t="s">
        <v>13164</v>
      </c>
      <c r="F11463" t="s">
        <v>16350</v>
      </c>
      <c r="G11463" t="s">
        <v>19019</v>
      </c>
      <c r="H11463" t="s">
        <v>22761</v>
      </c>
      <c r="I11463" t="s">
        <v>1358</v>
      </c>
      <c r="J11463" t="s">
        <v>1358</v>
      </c>
      <c r="K11463" t="s">
        <v>1358</v>
      </c>
      <c r="L11463" t="s">
        <v>1358</v>
      </c>
      <c r="N11463" t="s">
        <v>27521</v>
      </c>
    </row>
    <row r="11464" spans="1:14">
      <c r="H11464" t="s">
        <v>22762</v>
      </c>
      <c r="I11464" t="s">
        <v>1357</v>
      </c>
      <c r="J11464" t="s">
        <v>1357</v>
      </c>
      <c r="K11464" t="s">
        <v>1357</v>
      </c>
      <c r="L11464" t="s">
        <v>1357</v>
      </c>
      <c r="N11464" t="s">
        <v>27521</v>
      </c>
    </row>
    <row r="11465" spans="1:14">
      <c r="A11465" t="s">
        <v>10613</v>
      </c>
      <c r="B11465">
        <f>HYPERLINK("https://android.googlesource.com/platform/cts/+/bf9348aac3303cec06bbcbfe5eb0c2dc1faeded6", "bf9348aac3303cec06bbcbfe5eb0c2dc1faeded6")</f>
        <v>0</v>
      </c>
      <c r="C11465">
        <f>HYPERLINK("https://android.googlesource.com/platform/cts/+/1b6437cd718e963c1038be43008d76ff678ac14d", "1b6437cd718e963c1038be43008d76ff678ac14d")</f>
        <v>0</v>
      </c>
      <c r="D11465" t="s">
        <v>12170</v>
      </c>
      <c r="E11465" t="s">
        <v>13165</v>
      </c>
      <c r="F11465" t="s">
        <v>14481</v>
      </c>
      <c r="G11465" t="s">
        <v>17328</v>
      </c>
      <c r="H11465" t="s">
        <v>22763</v>
      </c>
      <c r="I11465" t="s">
        <v>1357</v>
      </c>
      <c r="J11465" t="s">
        <v>1357</v>
      </c>
      <c r="K11465" t="s">
        <v>1357</v>
      </c>
      <c r="L11465" t="s">
        <v>1357</v>
      </c>
    </row>
    <row r="11466" spans="1:14">
      <c r="H11466" t="s">
        <v>22764</v>
      </c>
      <c r="I11466" t="s">
        <v>1357</v>
      </c>
      <c r="J11466" t="s">
        <v>1357</v>
      </c>
      <c r="K11466" t="s">
        <v>1357</v>
      </c>
      <c r="L11466" t="s">
        <v>1357</v>
      </c>
    </row>
    <row r="11467" spans="1:14">
      <c r="A11467" t="s">
        <v>10614</v>
      </c>
      <c r="B11467">
        <f>HYPERLINK("https://android.googlesource.com/platform/cts/+/9a997d5b3fd37c298822714294930b716010d7bf", "9a997d5b3fd37c298822714294930b716010d7bf")</f>
        <v>0</v>
      </c>
      <c r="C11467">
        <f>HYPERLINK("https://android.googlesource.com/platform/cts/+/0c5f797dc250f308f3cc16330c7e3aa8bf380fd4", "0c5f797dc250f308f3cc16330c7e3aa8bf380fd4")</f>
        <v>0</v>
      </c>
      <c r="D11467" t="s">
        <v>12103</v>
      </c>
      <c r="E11467" t="s">
        <v>13166</v>
      </c>
      <c r="F11467" t="s">
        <v>16294</v>
      </c>
      <c r="G11467" t="s">
        <v>18965</v>
      </c>
      <c r="H11467" t="s">
        <v>22765</v>
      </c>
      <c r="I11467" t="s">
        <v>1358</v>
      </c>
      <c r="J11467" t="s">
        <v>1358</v>
      </c>
      <c r="K11467" t="s">
        <v>1358</v>
      </c>
      <c r="L11467" t="s">
        <v>1358</v>
      </c>
    </row>
    <row r="11468" spans="1:14">
      <c r="A11468" t="s">
        <v>10615</v>
      </c>
      <c r="B11468">
        <f>HYPERLINK("https://android.googlesource.com/platform/cts/+/14909e430c33f3ea065d4f61973b885ba0f3c19e", "14909e430c33f3ea065d4f61973b885ba0f3c19e")</f>
        <v>0</v>
      </c>
      <c r="C11468">
        <f>HYPERLINK("https://android.googlesource.com/platform/cts/+/11c086d028fa315d7f1149c59994c1e390164f1b", "11c086d028fa315d7f1149c59994c1e390164f1b")</f>
        <v>0</v>
      </c>
      <c r="D11468" t="s">
        <v>12001</v>
      </c>
      <c r="E11468" t="s">
        <v>13167</v>
      </c>
      <c r="F11468" t="s">
        <v>16351</v>
      </c>
      <c r="G11468" t="s">
        <v>19020</v>
      </c>
      <c r="H11468" t="s">
        <v>22766</v>
      </c>
      <c r="I11468" t="s">
        <v>1357</v>
      </c>
      <c r="J11468" t="s">
        <v>1357</v>
      </c>
      <c r="K11468" t="s">
        <v>1357</v>
      </c>
      <c r="L11468" t="s">
        <v>1357</v>
      </c>
    </row>
    <row r="11469" spans="1:14">
      <c r="F11469" t="s">
        <v>16352</v>
      </c>
      <c r="G11469" t="s">
        <v>19021</v>
      </c>
      <c r="H11469" t="s">
        <v>22766</v>
      </c>
      <c r="I11469" t="s">
        <v>1357</v>
      </c>
      <c r="J11469" t="s">
        <v>1357</v>
      </c>
      <c r="K11469" t="s">
        <v>1357</v>
      </c>
      <c r="L11469" t="s">
        <v>1357</v>
      </c>
    </row>
    <row r="11470" spans="1:14">
      <c r="A11470" t="s">
        <v>10616</v>
      </c>
      <c r="B11470">
        <f>HYPERLINK("https://android.googlesource.com/platform/cts/+/821a2c99bf3d64b427c0bf1dc8e16d5ac86192ee", "821a2c99bf3d64b427c0bf1dc8e16d5ac86192ee")</f>
        <v>0</v>
      </c>
      <c r="C11470">
        <f>HYPERLINK("https://android.googlesource.com/platform/cts/+/cf3d24a7b9d6532644d8ddaf0bfa183a7176d517", "cf3d24a7b9d6532644d8ddaf0bfa183a7176d517")</f>
        <v>0</v>
      </c>
      <c r="D11470" t="s">
        <v>12001</v>
      </c>
      <c r="E11470" t="s">
        <v>13168</v>
      </c>
      <c r="F11470" t="s">
        <v>16351</v>
      </c>
      <c r="G11470" t="s">
        <v>19020</v>
      </c>
      <c r="H11470" t="s">
        <v>22766</v>
      </c>
      <c r="I11470" t="s">
        <v>1357</v>
      </c>
      <c r="J11470" t="s">
        <v>1357</v>
      </c>
      <c r="K11470" t="s">
        <v>1357</v>
      </c>
      <c r="L11470" t="s">
        <v>1357</v>
      </c>
      <c r="M11470" t="s">
        <v>9957</v>
      </c>
    </row>
    <row r="11471" spans="1:14">
      <c r="F11471" t="s">
        <v>16352</v>
      </c>
      <c r="G11471" t="s">
        <v>19021</v>
      </c>
      <c r="H11471" t="s">
        <v>22766</v>
      </c>
      <c r="I11471" t="s">
        <v>1357</v>
      </c>
      <c r="J11471" t="s">
        <v>1357</v>
      </c>
      <c r="K11471" t="s">
        <v>1357</v>
      </c>
      <c r="L11471" t="s">
        <v>1357</v>
      </c>
    </row>
    <row r="11472" spans="1:14">
      <c r="A11472" t="s">
        <v>10617</v>
      </c>
      <c r="B11472">
        <f>HYPERLINK("https://android.googlesource.com/platform/cts/+/d3389ea01af8c7388fe7f77b7d4cf0a2e70b2fd7", "d3389ea01af8c7388fe7f77b7d4cf0a2e70b2fd7")</f>
        <v>0</v>
      </c>
      <c r="C11472">
        <f>HYPERLINK("https://android.googlesource.com/platform/cts/+/62c121c39d347c9eec8569de20480f192ed791b5", "62c121c39d347c9eec8569de20480f192ed791b5")</f>
        <v>0</v>
      </c>
      <c r="D11472" t="s">
        <v>12022</v>
      </c>
      <c r="E11472" t="s">
        <v>13169</v>
      </c>
      <c r="F11472" t="s">
        <v>16353</v>
      </c>
      <c r="G11472" t="s">
        <v>19022</v>
      </c>
      <c r="H11472" t="s">
        <v>22767</v>
      </c>
      <c r="I11472" t="s">
        <v>1358</v>
      </c>
      <c r="J11472" t="s">
        <v>1358</v>
      </c>
      <c r="K11472" t="s">
        <v>1358</v>
      </c>
      <c r="L11472" t="s">
        <v>1358</v>
      </c>
      <c r="N11472" t="s">
        <v>27522</v>
      </c>
    </row>
    <row r="11473" spans="1:14">
      <c r="H11473" t="s">
        <v>22768</v>
      </c>
      <c r="I11473" t="s">
        <v>1358</v>
      </c>
      <c r="J11473" t="s">
        <v>1358</v>
      </c>
      <c r="K11473" t="s">
        <v>1358</v>
      </c>
      <c r="L11473" t="s">
        <v>1358</v>
      </c>
      <c r="N11473" t="s">
        <v>27522</v>
      </c>
    </row>
    <row r="11474" spans="1:14">
      <c r="A11474" t="s">
        <v>10618</v>
      </c>
      <c r="B11474">
        <f>HYPERLINK("https://android.googlesource.com/platform/cts/+/84f58b784f4772cb4747c017646c14f786d12f7b", "84f58b784f4772cb4747c017646c14f786d12f7b")</f>
        <v>0</v>
      </c>
      <c r="C11474">
        <f>HYPERLINK("https://android.googlesource.com/platform/cts/+/afca158ab14b6f01854c11bcec42e58306765926", "afca158ab14b6f01854c11bcec42e58306765926")</f>
        <v>0</v>
      </c>
      <c r="D11474" t="s">
        <v>12090</v>
      </c>
      <c r="E11474" t="s">
        <v>13170</v>
      </c>
      <c r="F11474" t="s">
        <v>16354</v>
      </c>
      <c r="G11474" t="s">
        <v>19023</v>
      </c>
      <c r="H11474" t="s">
        <v>22769</v>
      </c>
      <c r="I11474" t="s">
        <v>1357</v>
      </c>
      <c r="J11474" t="s">
        <v>1357</v>
      </c>
      <c r="K11474" t="s">
        <v>1357</v>
      </c>
      <c r="L11474" t="s">
        <v>1357</v>
      </c>
    </row>
    <row r="11475" spans="1:14">
      <c r="H11475" t="s">
        <v>22770</v>
      </c>
      <c r="I11475" t="s">
        <v>1357</v>
      </c>
      <c r="J11475" t="s">
        <v>1357</v>
      </c>
      <c r="K11475" t="s">
        <v>1357</v>
      </c>
      <c r="L11475" t="s">
        <v>1357</v>
      </c>
    </row>
    <row r="11476" spans="1:14">
      <c r="H11476" t="s">
        <v>22771</v>
      </c>
      <c r="I11476" t="s">
        <v>1357</v>
      </c>
      <c r="J11476" t="s">
        <v>1357</v>
      </c>
      <c r="K11476" t="s">
        <v>1357</v>
      </c>
      <c r="L11476" t="s">
        <v>1357</v>
      </c>
    </row>
    <row r="11477" spans="1:14">
      <c r="H11477" t="s">
        <v>22772</v>
      </c>
      <c r="I11477" t="s">
        <v>1357</v>
      </c>
      <c r="J11477" t="s">
        <v>1357</v>
      </c>
      <c r="K11477" t="s">
        <v>1357</v>
      </c>
      <c r="L11477" t="s">
        <v>1357</v>
      </c>
    </row>
    <row r="11478" spans="1:14">
      <c r="A11478" t="s">
        <v>10619</v>
      </c>
      <c r="B11478">
        <f>HYPERLINK("https://android.googlesource.com/platform/cts/+/13c4120cab912ffc93d9fff1added9efa962ae08", "13c4120cab912ffc93d9fff1added9efa962ae08")</f>
        <v>0</v>
      </c>
      <c r="C11478">
        <f>HYPERLINK("https://android.googlesource.com/platform/cts/+/ab0227b5f6601858aa2052c59116bdf8ec6288d4", "ab0227b5f6601858aa2052c59116bdf8ec6288d4")</f>
        <v>0</v>
      </c>
      <c r="D11478" t="s">
        <v>12171</v>
      </c>
      <c r="E11478" t="s">
        <v>13171</v>
      </c>
      <c r="F11478" t="s">
        <v>16338</v>
      </c>
      <c r="G11478" t="s">
        <v>19007</v>
      </c>
      <c r="H11478" t="s">
        <v>22773</v>
      </c>
      <c r="I11478" t="s">
        <v>1358</v>
      </c>
      <c r="J11478" t="s">
        <v>1358</v>
      </c>
      <c r="K11478" t="s">
        <v>1358</v>
      </c>
      <c r="L11478" t="s">
        <v>1358</v>
      </c>
    </row>
    <row r="11479" spans="1:14">
      <c r="A11479" t="s">
        <v>10620</v>
      </c>
      <c r="B11479">
        <f>HYPERLINK("https://android.googlesource.com/platform/cts/+/3cc3dc6c786ee3000cc66c2a3c1d96ba3bb0a823", "3cc3dc6c786ee3000cc66c2a3c1d96ba3bb0a823")</f>
        <v>0</v>
      </c>
      <c r="C11479">
        <f>HYPERLINK("https://android.googlesource.com/platform/cts/+/ed106a26167f71600fe264b0aef16ac249d926f1", "ed106a26167f71600fe264b0aef16ac249d926f1")</f>
        <v>0</v>
      </c>
      <c r="D11479" t="s">
        <v>12161</v>
      </c>
      <c r="E11479" t="s">
        <v>13172</v>
      </c>
      <c r="F11479" t="s">
        <v>16355</v>
      </c>
      <c r="G11479" t="s">
        <v>19024</v>
      </c>
      <c r="H11479" t="s">
        <v>22774</v>
      </c>
      <c r="I11479" t="s">
        <v>1357</v>
      </c>
      <c r="J11479" t="s">
        <v>1357</v>
      </c>
      <c r="K11479" t="s">
        <v>1357</v>
      </c>
      <c r="L11479" t="s">
        <v>1357</v>
      </c>
    </row>
    <row r="11480" spans="1:14">
      <c r="F11480" t="s">
        <v>16356</v>
      </c>
      <c r="G11480" t="s">
        <v>19025</v>
      </c>
      <c r="H11480" t="s">
        <v>22774</v>
      </c>
      <c r="I11480" t="s">
        <v>1357</v>
      </c>
      <c r="J11480" t="s">
        <v>1357</v>
      </c>
      <c r="K11480" t="s">
        <v>1357</v>
      </c>
      <c r="L11480" t="s">
        <v>1357</v>
      </c>
    </row>
    <row r="11481" spans="1:14">
      <c r="A11481" t="s">
        <v>10621</v>
      </c>
      <c r="B11481">
        <f>HYPERLINK("https://android.googlesource.com/platform/cts/+/0b20b47edcd7741be6dfa5b20398e1986ab80357", "0b20b47edcd7741be6dfa5b20398e1986ab80357")</f>
        <v>0</v>
      </c>
      <c r="C11481">
        <f>HYPERLINK("https://android.googlesource.com/platform/cts/+/65e01ca94335701d0d1b1bbdc748d3cf56c31c9a", "65e01ca94335701d0d1b1bbdc748d3cf56c31c9a")</f>
        <v>0</v>
      </c>
      <c r="D11481" t="s">
        <v>12172</v>
      </c>
      <c r="E11481" t="s">
        <v>13173</v>
      </c>
      <c r="F11481" t="s">
        <v>16171</v>
      </c>
      <c r="G11481" t="s">
        <v>18734</v>
      </c>
      <c r="H11481" t="s">
        <v>22775</v>
      </c>
      <c r="I11481" t="s">
        <v>1357</v>
      </c>
      <c r="J11481" t="s">
        <v>1357</v>
      </c>
      <c r="K11481" t="s">
        <v>1357</v>
      </c>
      <c r="L11481" t="s">
        <v>1357</v>
      </c>
    </row>
    <row r="11482" spans="1:14">
      <c r="A11482" t="s">
        <v>10622</v>
      </c>
      <c r="B11482">
        <f>HYPERLINK("https://android.googlesource.com/platform/cts/+/e6f67faee9d3f923cfc539c0583ec4f23ed9e748", "e6f67faee9d3f923cfc539c0583ec4f23ed9e748")</f>
        <v>0</v>
      </c>
      <c r="C11482">
        <f>HYPERLINK("https://android.googlesource.com/platform/cts/+/e0526d21c392f4befac541b52258bb36a70104a6", "e0526d21c392f4befac541b52258bb36a70104a6")</f>
        <v>0</v>
      </c>
      <c r="D11482" t="s">
        <v>12171</v>
      </c>
      <c r="E11482" t="s">
        <v>13174</v>
      </c>
      <c r="F11482" t="s">
        <v>16338</v>
      </c>
      <c r="G11482" t="s">
        <v>19007</v>
      </c>
      <c r="H11482" t="s">
        <v>22773</v>
      </c>
      <c r="I11482" t="s">
        <v>1358</v>
      </c>
      <c r="J11482" t="s">
        <v>1358</v>
      </c>
      <c r="K11482" t="s">
        <v>1358</v>
      </c>
      <c r="L11482" t="s">
        <v>1358</v>
      </c>
    </row>
    <row r="11483" spans="1:14">
      <c r="A11483" t="s">
        <v>10623</v>
      </c>
      <c r="B11483">
        <f>HYPERLINK("https://android.googlesource.com/platform/cts/+/7a181b9da390a480e24d0fcf0db713d1d4024234", "7a181b9da390a480e24d0fcf0db713d1d4024234")</f>
        <v>0</v>
      </c>
      <c r="C11483">
        <f>HYPERLINK("https://android.googlesource.com/platform/cts/+/84fa53842716e4e0a58eb7de6eae145cb5135e60", "84fa53842716e4e0a58eb7de6eae145cb5135e60")</f>
        <v>0</v>
      </c>
      <c r="D11483" t="s">
        <v>12173</v>
      </c>
      <c r="E11483" t="s">
        <v>13175</v>
      </c>
      <c r="F11483" t="s">
        <v>16357</v>
      </c>
      <c r="G11483" t="s">
        <v>19026</v>
      </c>
      <c r="H11483" t="s">
        <v>22776</v>
      </c>
      <c r="I11483" t="s">
        <v>1357</v>
      </c>
      <c r="J11483" t="s">
        <v>1357</v>
      </c>
      <c r="K11483" t="s">
        <v>1357</v>
      </c>
      <c r="L11483" t="s">
        <v>1357</v>
      </c>
    </row>
    <row r="11484" spans="1:14">
      <c r="A11484" t="s">
        <v>10624</v>
      </c>
      <c r="B11484">
        <f>HYPERLINK("https://android.googlesource.com/platform/cts/+/25ea2597fb9cba7d63d22bb322e58b136785bd6c", "25ea2597fb9cba7d63d22bb322e58b136785bd6c")</f>
        <v>0</v>
      </c>
      <c r="C11484">
        <f>HYPERLINK("https://android.googlesource.com/platform/cts/+/8399eefd05a32ad1b52a82e4a0465bb9564c462e", "8399eefd05a32ad1b52a82e4a0465bb9564c462e")</f>
        <v>0</v>
      </c>
      <c r="D11484" t="s">
        <v>12108</v>
      </c>
      <c r="E11484" t="s">
        <v>13176</v>
      </c>
      <c r="F11484" t="s">
        <v>16358</v>
      </c>
      <c r="G11484" t="s">
        <v>19027</v>
      </c>
      <c r="H11484" t="s">
        <v>22777</v>
      </c>
      <c r="I11484" t="s">
        <v>1358</v>
      </c>
      <c r="J11484" t="s">
        <v>1358</v>
      </c>
      <c r="K11484" t="s">
        <v>1358</v>
      </c>
      <c r="L11484" t="s">
        <v>1358</v>
      </c>
    </row>
    <row r="11485" spans="1:14">
      <c r="A11485" t="s">
        <v>10625</v>
      </c>
      <c r="B11485">
        <f>HYPERLINK("https://android.googlesource.com/platform/cts/+/07418524352c75ca9b293c035246995d2d550f8b", "07418524352c75ca9b293c035246995d2d550f8b")</f>
        <v>0</v>
      </c>
      <c r="C11485">
        <f>HYPERLINK("https://android.googlesource.com/platform/cts/+/b864109ea4648b4ce838a097f6f3ae4c78207876", "b864109ea4648b4ce838a097f6f3ae4c78207876")</f>
        <v>0</v>
      </c>
      <c r="D11485" t="s">
        <v>12120</v>
      </c>
      <c r="E11485" t="s">
        <v>13177</v>
      </c>
      <c r="F11485" t="s">
        <v>16359</v>
      </c>
      <c r="G11485" t="s">
        <v>19028</v>
      </c>
      <c r="H11485" t="s">
        <v>22778</v>
      </c>
      <c r="I11485" t="s">
        <v>1357</v>
      </c>
      <c r="J11485" t="s">
        <v>1357</v>
      </c>
      <c r="K11485" t="s">
        <v>1357</v>
      </c>
      <c r="L11485" t="s">
        <v>1357</v>
      </c>
    </row>
    <row r="11486" spans="1:14">
      <c r="H11486" t="s">
        <v>22779</v>
      </c>
      <c r="I11486" t="s">
        <v>1357</v>
      </c>
      <c r="J11486" t="s">
        <v>1357</v>
      </c>
      <c r="K11486" t="s">
        <v>1357</v>
      </c>
      <c r="L11486" t="s">
        <v>1357</v>
      </c>
    </row>
    <row r="11487" spans="1:14">
      <c r="H11487" t="s">
        <v>22780</v>
      </c>
      <c r="I11487" t="s">
        <v>1357</v>
      </c>
      <c r="J11487" t="s">
        <v>1357</v>
      </c>
      <c r="K11487" t="s">
        <v>1357</v>
      </c>
      <c r="L11487" t="s">
        <v>1357</v>
      </c>
    </row>
    <row r="11488" spans="1:14">
      <c r="H11488" t="s">
        <v>22781</v>
      </c>
      <c r="I11488" t="s">
        <v>1357</v>
      </c>
      <c r="J11488" t="s">
        <v>1357</v>
      </c>
      <c r="K11488" t="s">
        <v>1357</v>
      </c>
      <c r="L11488" t="s">
        <v>1357</v>
      </c>
    </row>
    <row r="11489" spans="1:12">
      <c r="H11489" t="s">
        <v>22782</v>
      </c>
      <c r="I11489" t="s">
        <v>1357</v>
      </c>
      <c r="J11489" t="s">
        <v>1357</v>
      </c>
      <c r="K11489" t="s">
        <v>1357</v>
      </c>
      <c r="L11489" t="s">
        <v>1357</v>
      </c>
    </row>
    <row r="11490" spans="1:12">
      <c r="F11490" t="s">
        <v>16360</v>
      </c>
      <c r="G11490" t="s">
        <v>19029</v>
      </c>
      <c r="H11490" t="s">
        <v>22783</v>
      </c>
      <c r="I11490" t="s">
        <v>1357</v>
      </c>
      <c r="J11490" t="s">
        <v>1357</v>
      </c>
      <c r="K11490" t="s">
        <v>1357</v>
      </c>
      <c r="L11490" t="s">
        <v>1357</v>
      </c>
    </row>
    <row r="11491" spans="1:12">
      <c r="H11491" t="s">
        <v>22784</v>
      </c>
      <c r="I11491" t="s">
        <v>1357</v>
      </c>
      <c r="J11491" t="s">
        <v>1357</v>
      </c>
      <c r="K11491" t="s">
        <v>1357</v>
      </c>
      <c r="L11491" t="s">
        <v>1357</v>
      </c>
    </row>
    <row r="11492" spans="1:12">
      <c r="H11492" t="s">
        <v>22785</v>
      </c>
      <c r="I11492" t="s">
        <v>1357</v>
      </c>
      <c r="J11492" t="s">
        <v>1357</v>
      </c>
      <c r="K11492" t="s">
        <v>1357</v>
      </c>
      <c r="L11492" t="s">
        <v>1357</v>
      </c>
    </row>
    <row r="11493" spans="1:12">
      <c r="H11493" t="s">
        <v>22786</v>
      </c>
      <c r="I11493" t="s">
        <v>1357</v>
      </c>
      <c r="J11493" t="s">
        <v>1357</v>
      </c>
      <c r="K11493" t="s">
        <v>1357</v>
      </c>
      <c r="L11493" t="s">
        <v>1357</v>
      </c>
    </row>
    <row r="11494" spans="1:12">
      <c r="A11494" t="s">
        <v>10626</v>
      </c>
      <c r="B11494">
        <f>HYPERLINK("https://android.googlesource.com/platform/cts/+/cc8b18507041fb1e9387c03135bf7ac173b5ae46", "cc8b18507041fb1e9387c03135bf7ac173b5ae46")</f>
        <v>0</v>
      </c>
      <c r="C11494">
        <f>HYPERLINK("https://android.googlesource.com/platform/cts/+/c651567f7e8859cef31ba61cba7a979b4297b720", "c651567f7e8859cef31ba61cba7a979b4297b720")</f>
        <v>0</v>
      </c>
      <c r="D11494" t="s">
        <v>12057</v>
      </c>
      <c r="E11494" t="s">
        <v>13178</v>
      </c>
      <c r="F11494" t="s">
        <v>16361</v>
      </c>
      <c r="G11494" t="s">
        <v>19030</v>
      </c>
      <c r="H11494" t="s">
        <v>22787</v>
      </c>
      <c r="I11494" t="s">
        <v>1357</v>
      </c>
      <c r="J11494" t="s">
        <v>1357</v>
      </c>
      <c r="K11494" t="s">
        <v>1357</v>
      </c>
      <c r="L11494" t="s">
        <v>1357</v>
      </c>
    </row>
    <row r="11495" spans="1:12">
      <c r="A11495" t="s">
        <v>10627</v>
      </c>
      <c r="B11495">
        <f>HYPERLINK("https://android.googlesource.com/platform/cts/+/b4f0b90b0103bc9643f92ebfa0aa54865b0fadee", "b4f0b90b0103bc9643f92ebfa0aa54865b0fadee")</f>
        <v>0</v>
      </c>
      <c r="C11495">
        <f>HYPERLINK("https://android.googlesource.com/platform/cts/+/8ed63f6fef3b2e5cdd4ea617e55a8803a00f4e38", "8ed63f6fef3b2e5cdd4ea617e55a8803a00f4e38")</f>
        <v>0</v>
      </c>
      <c r="D11495" t="s">
        <v>12091</v>
      </c>
      <c r="E11495" t="s">
        <v>13179</v>
      </c>
      <c r="F11495" t="s">
        <v>16362</v>
      </c>
      <c r="G11495" t="s">
        <v>19031</v>
      </c>
      <c r="H11495" t="s">
        <v>22788</v>
      </c>
      <c r="I11495" t="s">
        <v>1357</v>
      </c>
      <c r="J11495" t="s">
        <v>1357</v>
      </c>
      <c r="K11495" t="s">
        <v>1357</v>
      </c>
      <c r="L11495" t="s">
        <v>1357</v>
      </c>
    </row>
    <row r="11496" spans="1:12">
      <c r="A11496" t="s">
        <v>10628</v>
      </c>
      <c r="B11496">
        <f>HYPERLINK("https://android.googlesource.com/platform/cts/+/f61fa2b6db49f4c6133c9ef465995061b6a882d7", "f61fa2b6db49f4c6133c9ef465995061b6a882d7")</f>
        <v>0</v>
      </c>
      <c r="C11496">
        <f>HYPERLINK("https://android.googlesource.com/platform/cts/+/f134dd48f68a72306f9682f9572d7d9546603b32", "f134dd48f68a72306f9682f9572d7d9546603b32")</f>
        <v>0</v>
      </c>
      <c r="D11496" t="s">
        <v>12103</v>
      </c>
      <c r="E11496" t="s">
        <v>13180</v>
      </c>
      <c r="F11496" t="s">
        <v>16363</v>
      </c>
      <c r="G11496" t="s">
        <v>19032</v>
      </c>
      <c r="H11496" t="s">
        <v>19948</v>
      </c>
      <c r="I11496" t="s">
        <v>1357</v>
      </c>
      <c r="J11496" t="s">
        <v>1357</v>
      </c>
      <c r="K11496" t="s">
        <v>1357</v>
      </c>
      <c r="L11496" t="s">
        <v>1357</v>
      </c>
    </row>
    <row r="11497" spans="1:12">
      <c r="H11497" t="s">
        <v>795</v>
      </c>
      <c r="I11497" t="s">
        <v>1357</v>
      </c>
      <c r="J11497" t="s">
        <v>1357</v>
      </c>
      <c r="K11497" t="s">
        <v>1357</v>
      </c>
      <c r="L11497" t="s">
        <v>1357</v>
      </c>
    </row>
    <row r="11498" spans="1:12">
      <c r="H11498" t="s">
        <v>19890</v>
      </c>
      <c r="I11498" t="s">
        <v>1357</v>
      </c>
      <c r="J11498" t="s">
        <v>1357</v>
      </c>
      <c r="K11498" t="s">
        <v>1357</v>
      </c>
      <c r="L11498" t="s">
        <v>1357</v>
      </c>
    </row>
    <row r="11499" spans="1:12">
      <c r="F11499" t="s">
        <v>16364</v>
      </c>
      <c r="G11499" t="s">
        <v>19033</v>
      </c>
      <c r="H11499" t="s">
        <v>19948</v>
      </c>
      <c r="I11499" t="s">
        <v>1357</v>
      </c>
      <c r="J11499" t="s">
        <v>1357</v>
      </c>
      <c r="K11499" t="s">
        <v>1357</v>
      </c>
      <c r="L11499" t="s">
        <v>1357</v>
      </c>
    </row>
    <row r="11500" spans="1:12">
      <c r="H11500" t="s">
        <v>795</v>
      </c>
      <c r="I11500" t="s">
        <v>1357</v>
      </c>
      <c r="J11500" t="s">
        <v>1357</v>
      </c>
      <c r="K11500" t="s">
        <v>1357</v>
      </c>
      <c r="L11500" t="s">
        <v>1357</v>
      </c>
    </row>
    <row r="11501" spans="1:12">
      <c r="H11501" t="s">
        <v>19890</v>
      </c>
      <c r="I11501" t="s">
        <v>1357</v>
      </c>
      <c r="J11501" t="s">
        <v>1357</v>
      </c>
      <c r="K11501" t="s">
        <v>1357</v>
      </c>
      <c r="L11501" t="s">
        <v>1357</v>
      </c>
    </row>
    <row r="11502" spans="1:12">
      <c r="A11502" t="s">
        <v>10629</v>
      </c>
      <c r="B11502">
        <f>HYPERLINK("https://android.googlesource.com/platform/cts/+/63bee85cf95dc3533a0e1f2ef97c997207fff987", "63bee85cf95dc3533a0e1f2ef97c997207fff987")</f>
        <v>0</v>
      </c>
      <c r="C11502">
        <f>HYPERLINK("https://android.googlesource.com/platform/cts/+/61b89d0b12b4da5170898b4796485e46032c4981", "61b89d0b12b4da5170898b4796485e46032c4981")</f>
        <v>0</v>
      </c>
      <c r="D11502" t="s">
        <v>12108</v>
      </c>
      <c r="E11502" t="s">
        <v>13181</v>
      </c>
      <c r="F11502" t="s">
        <v>16358</v>
      </c>
      <c r="G11502" t="s">
        <v>19027</v>
      </c>
      <c r="H11502" t="s">
        <v>22777</v>
      </c>
      <c r="I11502" t="s">
        <v>1358</v>
      </c>
      <c r="J11502" t="s">
        <v>1358</v>
      </c>
      <c r="K11502" t="s">
        <v>1358</v>
      </c>
      <c r="L11502" t="s">
        <v>1358</v>
      </c>
    </row>
    <row r="11503" spans="1:12">
      <c r="A11503" t="s">
        <v>10630</v>
      </c>
      <c r="B11503">
        <f>HYPERLINK("https://android.googlesource.com/platform/cts/+/ae13020ad3b8dbf51cb7231cf3921a0850affb19", "ae13020ad3b8dbf51cb7231cf3921a0850affb19")</f>
        <v>0</v>
      </c>
      <c r="C11503">
        <f>HYPERLINK("https://android.googlesource.com/platform/cts/+/b5a1aff1c339940d8598866e31e27cd564e935c0", "b5a1aff1c339940d8598866e31e27cd564e935c0")</f>
        <v>0</v>
      </c>
      <c r="D11503" t="s">
        <v>12108</v>
      </c>
      <c r="E11503" t="s">
        <v>13182</v>
      </c>
      <c r="F11503" t="s">
        <v>16358</v>
      </c>
      <c r="G11503" t="s">
        <v>19027</v>
      </c>
      <c r="H11503" t="s">
        <v>22789</v>
      </c>
      <c r="I11503" t="s">
        <v>1357</v>
      </c>
      <c r="J11503" t="s">
        <v>1357</v>
      </c>
      <c r="K11503" t="s">
        <v>1357</v>
      </c>
      <c r="L11503" t="s">
        <v>1357</v>
      </c>
    </row>
    <row r="11504" spans="1:12">
      <c r="H11504" t="s">
        <v>22790</v>
      </c>
      <c r="I11504" t="s">
        <v>1357</v>
      </c>
      <c r="J11504" t="s">
        <v>1357</v>
      </c>
      <c r="K11504" t="s">
        <v>1357</v>
      </c>
      <c r="L11504" t="s">
        <v>1357</v>
      </c>
    </row>
    <row r="11505" spans="1:12">
      <c r="A11505" t="s">
        <v>10631</v>
      </c>
      <c r="B11505">
        <f>HYPERLINK("https://android.googlesource.com/platform/cts/+/f931bf800c3cd1423bda09c5da2bc623dfe6cd49", "f931bf800c3cd1423bda09c5da2bc623dfe6cd49")</f>
        <v>0</v>
      </c>
      <c r="C11505">
        <f>HYPERLINK("https://android.googlesource.com/platform/cts/+/c651567f7e8859cef31ba61cba7a979b4297b720", "c651567f7e8859cef31ba61cba7a979b4297b720")</f>
        <v>0</v>
      </c>
      <c r="D11505" t="s">
        <v>12100</v>
      </c>
      <c r="E11505" t="s">
        <v>13183</v>
      </c>
      <c r="F11505" t="s">
        <v>16365</v>
      </c>
      <c r="G11505" t="s">
        <v>19034</v>
      </c>
      <c r="H11505" t="s">
        <v>22791</v>
      </c>
      <c r="I11505" t="s">
        <v>1357</v>
      </c>
      <c r="J11505" t="s">
        <v>1357</v>
      </c>
      <c r="K11505" t="s">
        <v>1357</v>
      </c>
      <c r="L11505" t="s">
        <v>1357</v>
      </c>
    </row>
    <row r="11506" spans="1:12">
      <c r="F11506" t="s">
        <v>16366</v>
      </c>
      <c r="G11506" t="s">
        <v>19035</v>
      </c>
      <c r="H11506" t="s">
        <v>22792</v>
      </c>
      <c r="I11506" t="s">
        <v>1357</v>
      </c>
      <c r="J11506" t="s">
        <v>1357</v>
      </c>
      <c r="K11506" t="s">
        <v>1357</v>
      </c>
      <c r="L11506" t="s">
        <v>1357</v>
      </c>
    </row>
    <row r="11507" spans="1:12">
      <c r="A11507" t="s">
        <v>10632</v>
      </c>
      <c r="B11507">
        <f>HYPERLINK("https://android.googlesource.com/platform/cts/+/aa447ec5f85d97d9f1c793ed71463e1955292678", "aa447ec5f85d97d9f1c793ed71463e1955292678")</f>
        <v>0</v>
      </c>
      <c r="C11507">
        <f>HYPERLINK("https://android.googlesource.com/platform/cts/+/706e4886d5474f0a1513faa0d71cb0fedd96f9c3", "706e4886d5474f0a1513faa0d71cb0fedd96f9c3")</f>
        <v>0</v>
      </c>
      <c r="D11507" t="s">
        <v>12111</v>
      </c>
      <c r="E11507" t="s">
        <v>13184</v>
      </c>
      <c r="F11507" t="s">
        <v>16367</v>
      </c>
      <c r="G11507" t="s">
        <v>19036</v>
      </c>
      <c r="H11507" t="s">
        <v>22793</v>
      </c>
      <c r="I11507" t="s">
        <v>1357</v>
      </c>
      <c r="J11507" t="s">
        <v>1357</v>
      </c>
      <c r="K11507" t="s">
        <v>1357</v>
      </c>
      <c r="L11507" t="s">
        <v>1357</v>
      </c>
    </row>
    <row r="11508" spans="1:12">
      <c r="H11508" t="s">
        <v>22794</v>
      </c>
      <c r="I11508" t="s">
        <v>1357</v>
      </c>
      <c r="J11508" t="s">
        <v>1357</v>
      </c>
      <c r="K11508" t="s">
        <v>1357</v>
      </c>
      <c r="L11508" t="s">
        <v>1357</v>
      </c>
    </row>
    <row r="11509" spans="1:12">
      <c r="A11509" t="s">
        <v>10633</v>
      </c>
      <c r="B11509">
        <f>HYPERLINK("https://android.googlesource.com/platform/cts/+/b8acf2c7fe6b6da101a490d2c805526810fe26bc", "b8acf2c7fe6b6da101a490d2c805526810fe26bc")</f>
        <v>0</v>
      </c>
      <c r="C11509">
        <f>HYPERLINK("https://android.googlesource.com/platform/cts/+/2aaaf6a018413cc44149727c8f9c1d0f5345f0f6", "2aaaf6a018413cc44149727c8f9c1d0f5345f0f6")</f>
        <v>0</v>
      </c>
      <c r="D11509" t="s">
        <v>12174</v>
      </c>
      <c r="E11509" t="s">
        <v>13185</v>
      </c>
      <c r="F11509" t="s">
        <v>16368</v>
      </c>
      <c r="G11509" t="s">
        <v>19037</v>
      </c>
      <c r="H11509" t="s">
        <v>22795</v>
      </c>
      <c r="I11509" t="s">
        <v>1357</v>
      </c>
      <c r="J11509" t="s">
        <v>1357</v>
      </c>
      <c r="K11509" t="s">
        <v>1357</v>
      </c>
      <c r="L11509" t="s">
        <v>1357</v>
      </c>
    </row>
    <row r="11510" spans="1:12">
      <c r="H11510" t="s">
        <v>22796</v>
      </c>
      <c r="I11510" t="s">
        <v>1357</v>
      </c>
      <c r="J11510" t="s">
        <v>1357</v>
      </c>
      <c r="K11510" t="s">
        <v>1357</v>
      </c>
      <c r="L11510" t="s">
        <v>1357</v>
      </c>
    </row>
    <row r="11511" spans="1:12">
      <c r="H11511" t="s">
        <v>22797</v>
      </c>
      <c r="I11511" t="s">
        <v>1357</v>
      </c>
      <c r="J11511" t="s">
        <v>1357</v>
      </c>
      <c r="K11511" t="s">
        <v>1357</v>
      </c>
      <c r="L11511" t="s">
        <v>1357</v>
      </c>
    </row>
    <row r="11512" spans="1:12">
      <c r="H11512" t="s">
        <v>22798</v>
      </c>
      <c r="I11512" t="s">
        <v>1357</v>
      </c>
      <c r="J11512" t="s">
        <v>1357</v>
      </c>
      <c r="K11512" t="s">
        <v>1357</v>
      </c>
      <c r="L11512" t="s">
        <v>1357</v>
      </c>
    </row>
    <row r="11513" spans="1:12">
      <c r="H11513" t="s">
        <v>22799</v>
      </c>
      <c r="I11513" t="s">
        <v>1357</v>
      </c>
      <c r="J11513" t="s">
        <v>1357</v>
      </c>
      <c r="K11513" t="s">
        <v>1357</v>
      </c>
      <c r="L11513" t="s">
        <v>1357</v>
      </c>
    </row>
    <row r="11514" spans="1:12">
      <c r="H11514" t="s">
        <v>22800</v>
      </c>
      <c r="I11514" t="s">
        <v>1357</v>
      </c>
      <c r="J11514" t="s">
        <v>1357</v>
      </c>
      <c r="K11514" t="s">
        <v>1357</v>
      </c>
      <c r="L11514" t="s">
        <v>1357</v>
      </c>
    </row>
    <row r="11515" spans="1:12">
      <c r="H11515" t="s">
        <v>22801</v>
      </c>
      <c r="I11515" t="s">
        <v>1357</v>
      </c>
      <c r="J11515" t="s">
        <v>1357</v>
      </c>
      <c r="K11515" t="s">
        <v>1357</v>
      </c>
      <c r="L11515" t="s">
        <v>1357</v>
      </c>
    </row>
    <row r="11516" spans="1:12">
      <c r="H11516" t="s">
        <v>22802</v>
      </c>
      <c r="I11516" t="s">
        <v>1357</v>
      </c>
      <c r="J11516" t="s">
        <v>1357</v>
      </c>
      <c r="K11516" t="s">
        <v>1357</v>
      </c>
      <c r="L11516" t="s">
        <v>1357</v>
      </c>
    </row>
    <row r="11517" spans="1:12">
      <c r="H11517" t="s">
        <v>22803</v>
      </c>
      <c r="I11517" t="s">
        <v>1357</v>
      </c>
      <c r="J11517" t="s">
        <v>1357</v>
      </c>
      <c r="K11517" t="s">
        <v>1357</v>
      </c>
      <c r="L11517" t="s">
        <v>1357</v>
      </c>
    </row>
    <row r="11518" spans="1:12">
      <c r="H11518" t="s">
        <v>22804</v>
      </c>
      <c r="I11518" t="s">
        <v>1357</v>
      </c>
      <c r="J11518" t="s">
        <v>1357</v>
      </c>
      <c r="K11518" t="s">
        <v>1357</v>
      </c>
      <c r="L11518" t="s">
        <v>1357</v>
      </c>
    </row>
    <row r="11519" spans="1:12">
      <c r="H11519" t="s">
        <v>22805</v>
      </c>
      <c r="I11519" t="s">
        <v>1357</v>
      </c>
      <c r="J11519" t="s">
        <v>1357</v>
      </c>
      <c r="K11519" t="s">
        <v>1357</v>
      </c>
      <c r="L11519" t="s">
        <v>1357</v>
      </c>
    </row>
    <row r="11520" spans="1:12">
      <c r="A11520" t="s">
        <v>10634</v>
      </c>
      <c r="B11520">
        <f>HYPERLINK("https://android.googlesource.com/platform/cts/+/ae78af7f8b8f81b27591427d8d6202e8bab97978", "ae78af7f8b8f81b27591427d8d6202e8bab97978")</f>
        <v>0</v>
      </c>
      <c r="C11520">
        <f>HYPERLINK("https://android.googlesource.com/platform/cts/+/801b62a16a99ed89dbac8ac46f8437f97f24a0a9", "801b62a16a99ed89dbac8ac46f8437f97f24a0a9")</f>
        <v>0</v>
      </c>
      <c r="D11520" t="s">
        <v>12175</v>
      </c>
      <c r="E11520" t="s">
        <v>13186</v>
      </c>
      <c r="F11520" t="s">
        <v>16369</v>
      </c>
      <c r="G11520" t="s">
        <v>19038</v>
      </c>
      <c r="H11520" t="s">
        <v>22806</v>
      </c>
      <c r="I11520" t="s">
        <v>1357</v>
      </c>
      <c r="J11520" t="s">
        <v>1357</v>
      </c>
      <c r="K11520" t="s">
        <v>1357</v>
      </c>
      <c r="L11520" t="s">
        <v>1357</v>
      </c>
    </row>
    <row r="11521" spans="1:12">
      <c r="H11521" t="s">
        <v>22807</v>
      </c>
      <c r="I11521" t="s">
        <v>1357</v>
      </c>
      <c r="J11521" t="s">
        <v>1357</v>
      </c>
      <c r="K11521" t="s">
        <v>1357</v>
      </c>
      <c r="L11521" t="s">
        <v>1357</v>
      </c>
    </row>
    <row r="11522" spans="1:12">
      <c r="H11522" t="s">
        <v>22808</v>
      </c>
      <c r="I11522" t="s">
        <v>1357</v>
      </c>
      <c r="J11522" t="s">
        <v>1357</v>
      </c>
      <c r="K11522" t="s">
        <v>1357</v>
      </c>
      <c r="L11522" t="s">
        <v>1357</v>
      </c>
    </row>
    <row r="11523" spans="1:12">
      <c r="H11523" t="s">
        <v>22809</v>
      </c>
      <c r="I11523" t="s">
        <v>1357</v>
      </c>
      <c r="J11523" t="s">
        <v>1357</v>
      </c>
      <c r="K11523" t="s">
        <v>1357</v>
      </c>
      <c r="L11523" t="s">
        <v>1357</v>
      </c>
    </row>
    <row r="11524" spans="1:12">
      <c r="H11524" t="s">
        <v>22810</v>
      </c>
      <c r="I11524" t="s">
        <v>1357</v>
      </c>
      <c r="J11524" t="s">
        <v>1357</v>
      </c>
      <c r="K11524" t="s">
        <v>1357</v>
      </c>
      <c r="L11524" t="s">
        <v>1357</v>
      </c>
    </row>
    <row r="11525" spans="1:12">
      <c r="H11525" t="s">
        <v>22811</v>
      </c>
      <c r="I11525" t="s">
        <v>1357</v>
      </c>
      <c r="J11525" t="s">
        <v>1357</v>
      </c>
      <c r="K11525" t="s">
        <v>1357</v>
      </c>
      <c r="L11525" t="s">
        <v>1357</v>
      </c>
    </row>
    <row r="11526" spans="1:12">
      <c r="A11526" t="s">
        <v>10635</v>
      </c>
      <c r="B11526">
        <f>HYPERLINK("https://android.googlesource.com/platform/cts/+/d4c99081b67c01194b63c4e3bef959b220c3f66a", "d4c99081b67c01194b63c4e3bef959b220c3f66a")</f>
        <v>0</v>
      </c>
      <c r="C11526">
        <f>HYPERLINK("https://android.googlesource.com/platform/cts/+/ae78af7f8b8f81b27591427d8d6202e8bab97978", "ae78af7f8b8f81b27591427d8d6202e8bab97978")</f>
        <v>0</v>
      </c>
      <c r="D11526" t="s">
        <v>12175</v>
      </c>
      <c r="E11526" t="s">
        <v>13187</v>
      </c>
      <c r="F11526" t="s">
        <v>16370</v>
      </c>
      <c r="G11526" t="s">
        <v>19039</v>
      </c>
      <c r="H11526" t="s">
        <v>22812</v>
      </c>
      <c r="I11526" t="s">
        <v>1357</v>
      </c>
      <c r="J11526" t="s">
        <v>1357</v>
      </c>
      <c r="K11526" t="s">
        <v>1357</v>
      </c>
      <c r="L11526" t="s">
        <v>1357</v>
      </c>
    </row>
    <row r="11527" spans="1:12">
      <c r="A11527" t="s">
        <v>10636</v>
      </c>
      <c r="B11527">
        <f>HYPERLINK("https://android.googlesource.com/platform/cts/+/394fd446ee9641e0af74ec779302612f83d84acf", "394fd446ee9641e0af74ec779302612f83d84acf")</f>
        <v>0</v>
      </c>
      <c r="C11527">
        <f>HYPERLINK("https://android.googlesource.com/platform/cts/+/d4c99081b67c01194b63c4e3bef959b220c3f66a", "d4c99081b67c01194b63c4e3bef959b220c3f66a")</f>
        <v>0</v>
      </c>
      <c r="D11527" t="s">
        <v>12175</v>
      </c>
      <c r="E11527" t="s">
        <v>13188</v>
      </c>
      <c r="F11527" t="s">
        <v>16371</v>
      </c>
      <c r="G11527" t="s">
        <v>19040</v>
      </c>
      <c r="H11527" t="s">
        <v>22813</v>
      </c>
      <c r="I11527" t="s">
        <v>1357</v>
      </c>
      <c r="J11527" t="s">
        <v>1357</v>
      </c>
      <c r="K11527" t="s">
        <v>1357</v>
      </c>
      <c r="L11527" t="s">
        <v>1357</v>
      </c>
    </row>
    <row r="11528" spans="1:12">
      <c r="H11528" t="s">
        <v>22814</v>
      </c>
      <c r="I11528" t="s">
        <v>1357</v>
      </c>
      <c r="J11528" t="s">
        <v>1357</v>
      </c>
      <c r="K11528" t="s">
        <v>1357</v>
      </c>
      <c r="L11528" t="s">
        <v>1357</v>
      </c>
    </row>
    <row r="11529" spans="1:12">
      <c r="H11529" t="s">
        <v>22815</v>
      </c>
      <c r="I11529" t="s">
        <v>1357</v>
      </c>
      <c r="J11529" t="s">
        <v>1357</v>
      </c>
      <c r="K11529" t="s">
        <v>1357</v>
      </c>
      <c r="L11529" t="s">
        <v>1357</v>
      </c>
    </row>
    <row r="11530" spans="1:12">
      <c r="A11530" t="s">
        <v>10637</v>
      </c>
      <c r="B11530">
        <f>HYPERLINK("https://android.googlesource.com/platform/cts/+/b2c00541678ad24c0a1775ebef65e43cb08dc65b", "b2c00541678ad24c0a1775ebef65e43cb08dc65b")</f>
        <v>0</v>
      </c>
      <c r="C11530">
        <f>HYPERLINK("https://android.googlesource.com/platform/cts/+/394fd446ee9641e0af74ec779302612f83d84acf", "394fd446ee9641e0af74ec779302612f83d84acf")</f>
        <v>0</v>
      </c>
      <c r="D11530" t="s">
        <v>12175</v>
      </c>
      <c r="E11530" t="s">
        <v>13189</v>
      </c>
      <c r="F11530" t="s">
        <v>16372</v>
      </c>
      <c r="G11530" t="s">
        <v>19041</v>
      </c>
      <c r="H11530" t="s">
        <v>22816</v>
      </c>
      <c r="I11530" t="s">
        <v>1357</v>
      </c>
      <c r="J11530" t="s">
        <v>1357</v>
      </c>
      <c r="K11530" t="s">
        <v>1357</v>
      </c>
      <c r="L11530" t="s">
        <v>1357</v>
      </c>
    </row>
    <row r="11531" spans="1:12">
      <c r="H11531" t="s">
        <v>21938</v>
      </c>
      <c r="I11531" t="s">
        <v>1357</v>
      </c>
      <c r="J11531" t="s">
        <v>1357</v>
      </c>
      <c r="K11531" t="s">
        <v>1357</v>
      </c>
      <c r="L11531" t="s">
        <v>1357</v>
      </c>
    </row>
    <row r="11532" spans="1:12">
      <c r="H11532" t="s">
        <v>20544</v>
      </c>
      <c r="I11532" t="s">
        <v>1357</v>
      </c>
      <c r="J11532" t="s">
        <v>1357</v>
      </c>
      <c r="K11532" t="s">
        <v>1357</v>
      </c>
      <c r="L11532" t="s">
        <v>1357</v>
      </c>
    </row>
    <row r="11533" spans="1:12">
      <c r="H11533" t="s">
        <v>21937</v>
      </c>
      <c r="I11533" t="s">
        <v>1357</v>
      </c>
      <c r="J11533" t="s">
        <v>1357</v>
      </c>
      <c r="K11533" t="s">
        <v>1357</v>
      </c>
      <c r="L11533" t="s">
        <v>1357</v>
      </c>
    </row>
    <row r="11534" spans="1:12">
      <c r="H11534" t="s">
        <v>3701</v>
      </c>
      <c r="I11534" t="s">
        <v>1357</v>
      </c>
      <c r="J11534" t="s">
        <v>1357</v>
      </c>
      <c r="K11534" t="s">
        <v>1357</v>
      </c>
      <c r="L11534" t="s">
        <v>1357</v>
      </c>
    </row>
    <row r="11535" spans="1:12">
      <c r="H11535" t="s">
        <v>21940</v>
      </c>
      <c r="I11535" t="s">
        <v>1357</v>
      </c>
      <c r="J11535" t="s">
        <v>1357</v>
      </c>
      <c r="K11535" t="s">
        <v>1357</v>
      </c>
      <c r="L11535" t="s">
        <v>1357</v>
      </c>
    </row>
    <row r="11536" spans="1:12">
      <c r="H11536" t="s">
        <v>21941</v>
      </c>
      <c r="I11536" t="s">
        <v>1357</v>
      </c>
      <c r="J11536" t="s">
        <v>1357</v>
      </c>
      <c r="K11536" t="s">
        <v>1357</v>
      </c>
      <c r="L11536" t="s">
        <v>1357</v>
      </c>
    </row>
    <row r="11537" spans="1:13">
      <c r="H11537" t="s">
        <v>21935</v>
      </c>
      <c r="I11537" t="s">
        <v>1357</v>
      </c>
      <c r="J11537" t="s">
        <v>1357</v>
      </c>
      <c r="K11537" t="s">
        <v>1357</v>
      </c>
      <c r="L11537" t="s">
        <v>1357</v>
      </c>
    </row>
    <row r="11538" spans="1:13">
      <c r="H11538" t="s">
        <v>21939</v>
      </c>
      <c r="I11538" t="s">
        <v>1357</v>
      </c>
      <c r="J11538" t="s">
        <v>1357</v>
      </c>
      <c r="K11538" t="s">
        <v>1357</v>
      </c>
      <c r="L11538" t="s">
        <v>1357</v>
      </c>
    </row>
    <row r="11539" spans="1:13">
      <c r="H11539" t="s">
        <v>21936</v>
      </c>
      <c r="I11539" t="s">
        <v>1357</v>
      </c>
      <c r="J11539" t="s">
        <v>1357</v>
      </c>
      <c r="K11539" t="s">
        <v>1357</v>
      </c>
      <c r="L11539" t="s">
        <v>1357</v>
      </c>
    </row>
    <row r="11540" spans="1:13">
      <c r="A11540" t="s">
        <v>10638</v>
      </c>
      <c r="B11540">
        <f>HYPERLINK("https://android.googlesource.com/platform/cts/+/cad20cb99e1ecdcb305219a5aacc8efddd4eafdb", "cad20cb99e1ecdcb305219a5aacc8efddd4eafdb")</f>
        <v>0</v>
      </c>
      <c r="C11540">
        <f>HYPERLINK("https://android.googlesource.com/platform/cts/+/0837f6e77ee699f9b83c5ecb74fb807b959314b2", "0837f6e77ee699f9b83c5ecb74fb807b959314b2")</f>
        <v>0</v>
      </c>
      <c r="D11540" t="s">
        <v>12174</v>
      </c>
      <c r="E11540" t="s">
        <v>13190</v>
      </c>
      <c r="F11540" t="s">
        <v>16368</v>
      </c>
      <c r="G11540" t="s">
        <v>19037</v>
      </c>
      <c r="H11540" t="s">
        <v>22795</v>
      </c>
      <c r="I11540" t="s">
        <v>1357</v>
      </c>
      <c r="J11540" t="s">
        <v>1357</v>
      </c>
      <c r="K11540" t="s">
        <v>1357</v>
      </c>
      <c r="L11540" t="s">
        <v>1357</v>
      </c>
    </row>
    <row r="11541" spans="1:13">
      <c r="H11541" t="s">
        <v>22796</v>
      </c>
      <c r="I11541" t="s">
        <v>1357</v>
      </c>
      <c r="J11541" t="s">
        <v>1357</v>
      </c>
      <c r="K11541" t="s">
        <v>1357</v>
      </c>
      <c r="L11541" t="s">
        <v>1357</v>
      </c>
    </row>
    <row r="11542" spans="1:13">
      <c r="H11542" t="s">
        <v>22797</v>
      </c>
      <c r="I11542" t="s">
        <v>1357</v>
      </c>
      <c r="J11542" t="s">
        <v>1357</v>
      </c>
      <c r="K11542" t="s">
        <v>1357</v>
      </c>
      <c r="L11542" t="s">
        <v>1357</v>
      </c>
    </row>
    <row r="11543" spans="1:13">
      <c r="H11543" t="s">
        <v>22798</v>
      </c>
      <c r="I11543" t="s">
        <v>1357</v>
      </c>
      <c r="J11543" t="s">
        <v>1357</v>
      </c>
      <c r="K11543" t="s">
        <v>1357</v>
      </c>
      <c r="L11543" t="s">
        <v>1357</v>
      </c>
    </row>
    <row r="11544" spans="1:13">
      <c r="H11544" t="s">
        <v>22799</v>
      </c>
      <c r="I11544" t="s">
        <v>1357</v>
      </c>
      <c r="J11544" t="s">
        <v>1357</v>
      </c>
      <c r="K11544" t="s">
        <v>1357</v>
      </c>
      <c r="L11544" t="s">
        <v>1357</v>
      </c>
    </row>
    <row r="11545" spans="1:13">
      <c r="H11545" t="s">
        <v>22800</v>
      </c>
      <c r="I11545" t="s">
        <v>1357</v>
      </c>
      <c r="J11545" t="s">
        <v>1357</v>
      </c>
      <c r="K11545" t="s">
        <v>1357</v>
      </c>
      <c r="L11545" t="s">
        <v>1357</v>
      </c>
    </row>
    <row r="11546" spans="1:13">
      <c r="H11546" t="s">
        <v>22801</v>
      </c>
      <c r="I11546" t="s">
        <v>1357</v>
      </c>
      <c r="J11546" t="s">
        <v>1357</v>
      </c>
      <c r="K11546" t="s">
        <v>1357</v>
      </c>
      <c r="L11546" t="s">
        <v>1357</v>
      </c>
    </row>
    <row r="11547" spans="1:13">
      <c r="H11547" t="s">
        <v>22802</v>
      </c>
      <c r="I11547" t="s">
        <v>1357</v>
      </c>
      <c r="J11547" t="s">
        <v>1357</v>
      </c>
      <c r="K11547" t="s">
        <v>1357</v>
      </c>
      <c r="L11547" t="s">
        <v>1357</v>
      </c>
    </row>
    <row r="11548" spans="1:13">
      <c r="H11548" t="s">
        <v>22803</v>
      </c>
      <c r="I11548" t="s">
        <v>1357</v>
      </c>
      <c r="J11548" t="s">
        <v>1357</v>
      </c>
      <c r="K11548" t="s">
        <v>1357</v>
      </c>
      <c r="L11548" t="s">
        <v>1357</v>
      </c>
    </row>
    <row r="11549" spans="1:13">
      <c r="H11549" t="s">
        <v>22804</v>
      </c>
      <c r="I11549" t="s">
        <v>1357</v>
      </c>
      <c r="J11549" t="s">
        <v>1357</v>
      </c>
      <c r="K11549" t="s">
        <v>1357</v>
      </c>
      <c r="L11549" t="s">
        <v>1357</v>
      </c>
    </row>
    <row r="11550" spans="1:13">
      <c r="H11550" t="s">
        <v>22805</v>
      </c>
      <c r="I11550" t="s">
        <v>1357</v>
      </c>
      <c r="J11550" t="s">
        <v>1357</v>
      </c>
      <c r="K11550" t="s">
        <v>1357</v>
      </c>
      <c r="L11550" t="s">
        <v>1357</v>
      </c>
    </row>
    <row r="11551" spans="1:13">
      <c r="A11551" t="s">
        <v>10639</v>
      </c>
      <c r="B11551">
        <f>HYPERLINK("https://android.googlesource.com/platform/cts/+/c0f551a272e721750084ff1b46189d0f2eba8fd0", "c0f551a272e721750084ff1b46189d0f2eba8fd0")</f>
        <v>0</v>
      </c>
      <c r="C11551">
        <f>HYPERLINK("https://android.googlesource.com/platform/cts/+/410b4ee5f545f93ceadd968fba84a431b86a7c05", "410b4ee5f545f93ceadd968fba84a431b86a7c05")</f>
        <v>0</v>
      </c>
      <c r="D11551" t="s">
        <v>12107</v>
      </c>
      <c r="E11551" t="s">
        <v>13191</v>
      </c>
      <c r="F11551" t="s">
        <v>14481</v>
      </c>
      <c r="G11551" t="s">
        <v>17328</v>
      </c>
      <c r="H11551" t="s">
        <v>22817</v>
      </c>
      <c r="I11551" t="s">
        <v>1357</v>
      </c>
      <c r="J11551" t="s">
        <v>1357</v>
      </c>
      <c r="K11551" t="s">
        <v>1357</v>
      </c>
      <c r="L11551" t="s">
        <v>1357</v>
      </c>
    </row>
    <row r="11552" spans="1:13">
      <c r="H11552" t="s">
        <v>22818</v>
      </c>
      <c r="I11552" t="s">
        <v>1358</v>
      </c>
      <c r="J11552" t="s">
        <v>1358</v>
      </c>
      <c r="K11552" t="s">
        <v>1358</v>
      </c>
      <c r="L11552" t="s">
        <v>1358</v>
      </c>
      <c r="M11552" t="s">
        <v>27486</v>
      </c>
    </row>
    <row r="11553" spans="1:14">
      <c r="A11553" t="s">
        <v>10640</v>
      </c>
      <c r="B11553">
        <f>HYPERLINK("https://android.googlesource.com/platform/cts/+/8a2b05f64c050b1538953b595d332fc4fcd35259", "8a2b05f64c050b1538953b595d332fc4fcd35259")</f>
        <v>0</v>
      </c>
      <c r="C11553">
        <f>HYPERLINK("https://android.googlesource.com/platform/cts/+/c4d237b847c6682724386119d68a50ac8b653323", "c4d237b847c6682724386119d68a50ac8b653323")</f>
        <v>0</v>
      </c>
      <c r="D11553" t="s">
        <v>12119</v>
      </c>
      <c r="E11553" t="s">
        <v>13192</v>
      </c>
      <c r="F11553" t="s">
        <v>16373</v>
      </c>
      <c r="G11553" t="s">
        <v>19042</v>
      </c>
      <c r="H11553" t="s">
        <v>22819</v>
      </c>
      <c r="I11553" t="s">
        <v>1357</v>
      </c>
      <c r="J11553" t="s">
        <v>1357</v>
      </c>
      <c r="K11553" t="s">
        <v>1357</v>
      </c>
      <c r="L11553" t="s">
        <v>1357</v>
      </c>
    </row>
    <row r="11554" spans="1:14">
      <c r="A11554" t="s">
        <v>10641</v>
      </c>
      <c r="B11554">
        <f>HYPERLINK("https://android.googlesource.com/platform/cts/+/fb00ef9691d30d626ccb19d53eefc9b394320d03", "fb00ef9691d30d626ccb19d53eefc9b394320d03")</f>
        <v>0</v>
      </c>
      <c r="C11554">
        <f>HYPERLINK("https://android.googlesource.com/platform/cts/+/fa2bc101b0b5d435a8389a7f52ed08bc2b5e05fe", "fa2bc101b0b5d435a8389a7f52ed08bc2b5e05fe")</f>
        <v>0</v>
      </c>
      <c r="D11554" t="s">
        <v>12176</v>
      </c>
      <c r="E11554" t="s">
        <v>13193</v>
      </c>
      <c r="F11554" t="s">
        <v>16209</v>
      </c>
      <c r="G11554" t="s">
        <v>18887</v>
      </c>
      <c r="H11554" t="s">
        <v>22204</v>
      </c>
      <c r="I11554" t="s">
        <v>1357</v>
      </c>
      <c r="J11554" t="s">
        <v>1357</v>
      </c>
      <c r="K11554" t="s">
        <v>1357</v>
      </c>
      <c r="L11554" t="s">
        <v>1357</v>
      </c>
    </row>
    <row r="11555" spans="1:14">
      <c r="A11555" t="s">
        <v>10642</v>
      </c>
      <c r="B11555">
        <f>HYPERLINK("https://android.googlesource.com/platform/cts/+/c546d35e6069f77b76a6fef3d4912f014b956cda", "c546d35e6069f77b76a6fef3d4912f014b956cda")</f>
        <v>0</v>
      </c>
      <c r="C11555">
        <f>HYPERLINK("https://android.googlesource.com/platform/cts/+/fa2bc101b0b5d435a8389a7f52ed08bc2b5e05fe", "fa2bc101b0b5d435a8389a7f52ed08bc2b5e05fe")</f>
        <v>0</v>
      </c>
      <c r="D11555" t="s">
        <v>12016</v>
      </c>
      <c r="E11555" t="s">
        <v>13194</v>
      </c>
      <c r="F11555" t="s">
        <v>15174</v>
      </c>
      <c r="G11555" t="s">
        <v>17876</v>
      </c>
      <c r="H11555" t="s">
        <v>22820</v>
      </c>
      <c r="I11555" t="s">
        <v>1357</v>
      </c>
      <c r="J11555" t="s">
        <v>1357</v>
      </c>
      <c r="K11555" t="s">
        <v>1357</v>
      </c>
      <c r="L11555" t="s">
        <v>1357</v>
      </c>
    </row>
    <row r="11556" spans="1:14">
      <c r="F11556" t="s">
        <v>14519</v>
      </c>
      <c r="G11556" t="s">
        <v>17364</v>
      </c>
      <c r="H11556" t="s">
        <v>20090</v>
      </c>
      <c r="I11556" t="s">
        <v>1357</v>
      </c>
      <c r="J11556" t="s">
        <v>1357</v>
      </c>
      <c r="K11556" t="s">
        <v>1357</v>
      </c>
      <c r="L11556" t="s">
        <v>1357</v>
      </c>
    </row>
    <row r="11557" spans="1:14">
      <c r="A11557" t="s">
        <v>10643</v>
      </c>
      <c r="B11557">
        <f>HYPERLINK("https://android.googlesource.com/platform/cts/+/be3621bcbb1df37364e00f91bcf2ec2211c98609", "be3621bcbb1df37364e00f91bcf2ec2211c98609")</f>
        <v>0</v>
      </c>
      <c r="C11557">
        <f>HYPERLINK("https://android.googlesource.com/platform/cts/+/bba14f67c803d7d61c845599509c70d64d42264a", "bba14f67c803d7d61c845599509c70d64d42264a")</f>
        <v>0</v>
      </c>
      <c r="D11557" t="s">
        <v>12122</v>
      </c>
      <c r="E11557" t="s">
        <v>13195</v>
      </c>
      <c r="F11557" t="s">
        <v>16005</v>
      </c>
      <c r="G11557" t="s">
        <v>18697</v>
      </c>
      <c r="H11557" t="s">
        <v>22821</v>
      </c>
      <c r="I11557" t="s">
        <v>1357</v>
      </c>
      <c r="J11557" t="s">
        <v>1357</v>
      </c>
      <c r="K11557" t="s">
        <v>1357</v>
      </c>
      <c r="L11557" t="s">
        <v>1357</v>
      </c>
    </row>
    <row r="11558" spans="1:14">
      <c r="H11558" t="s">
        <v>22822</v>
      </c>
      <c r="I11558" t="s">
        <v>1357</v>
      </c>
      <c r="J11558" t="s">
        <v>1357</v>
      </c>
      <c r="K11558" t="s">
        <v>1357</v>
      </c>
      <c r="L11558" t="s">
        <v>1357</v>
      </c>
    </row>
    <row r="11559" spans="1:14">
      <c r="F11559" t="s">
        <v>16082</v>
      </c>
      <c r="G11559" t="s">
        <v>18771</v>
      </c>
      <c r="H11559" t="s">
        <v>22821</v>
      </c>
      <c r="I11559" t="s">
        <v>1357</v>
      </c>
      <c r="J11559" t="s">
        <v>1357</v>
      </c>
      <c r="K11559" t="s">
        <v>1357</v>
      </c>
      <c r="L11559" t="s">
        <v>1357</v>
      </c>
    </row>
    <row r="11560" spans="1:14">
      <c r="H11560" t="s">
        <v>22822</v>
      </c>
      <c r="I11560" t="s">
        <v>1357</v>
      </c>
      <c r="J11560" t="s">
        <v>1357</v>
      </c>
      <c r="K11560" t="s">
        <v>1357</v>
      </c>
      <c r="L11560" t="s">
        <v>1357</v>
      </c>
    </row>
    <row r="11561" spans="1:14">
      <c r="A11561" t="s">
        <v>10644</v>
      </c>
      <c r="B11561">
        <f>HYPERLINK("https://android.googlesource.com/platform/cts/+/4b518951431367b6bc0568d4b3dae028d0daa664", "4b518951431367b6bc0568d4b3dae028d0daa664")</f>
        <v>0</v>
      </c>
      <c r="C11561">
        <f>HYPERLINK("https://android.googlesource.com/platform/cts/+/fa2bc101b0b5d435a8389a7f52ed08bc2b5e05fe", "fa2bc101b0b5d435a8389a7f52ed08bc2b5e05fe")</f>
        <v>0</v>
      </c>
      <c r="D11561" t="s">
        <v>12100</v>
      </c>
      <c r="E11561" t="s">
        <v>13196</v>
      </c>
      <c r="F11561" t="s">
        <v>16374</v>
      </c>
      <c r="G11561" t="s">
        <v>19043</v>
      </c>
      <c r="H11561" t="s">
        <v>22713</v>
      </c>
      <c r="I11561" t="s">
        <v>1357</v>
      </c>
      <c r="J11561" t="s">
        <v>1357</v>
      </c>
      <c r="K11561" t="s">
        <v>1357</v>
      </c>
      <c r="L11561" t="s">
        <v>1357</v>
      </c>
    </row>
    <row r="11562" spans="1:14">
      <c r="A11562" t="s">
        <v>10645</v>
      </c>
      <c r="B11562">
        <f>HYPERLINK("https://android.googlesource.com/platform/cts/+/07a824b3c05d9521f360d6dbdd5c424bb19e302a", "07a824b3c05d9521f360d6dbdd5c424bb19e302a")</f>
        <v>0</v>
      </c>
      <c r="C11562">
        <f>HYPERLINK("https://android.googlesource.com/platform/cts/+/311e21950d09d9e5ef37f2a818d4a390f54124b1", "311e21950d09d9e5ef37f2a818d4a390f54124b1")</f>
        <v>0</v>
      </c>
      <c r="D11562" t="s">
        <v>12161</v>
      </c>
      <c r="E11562" t="s">
        <v>13197</v>
      </c>
      <c r="F11562" t="s">
        <v>16375</v>
      </c>
      <c r="G11562" t="s">
        <v>19044</v>
      </c>
      <c r="H11562" t="s">
        <v>22823</v>
      </c>
      <c r="I11562" t="s">
        <v>1357</v>
      </c>
      <c r="J11562" t="s">
        <v>1357</v>
      </c>
      <c r="K11562" t="s">
        <v>1357</v>
      </c>
      <c r="L11562" t="s">
        <v>1357</v>
      </c>
      <c r="N11562" t="s">
        <v>27521</v>
      </c>
    </row>
    <row r="11563" spans="1:14">
      <c r="A11563" t="s">
        <v>10646</v>
      </c>
      <c r="B11563">
        <f>HYPERLINK("https://android.googlesource.com/platform/cts/+/3eef0f835008e8af52f607355cee925d2368844b", "3eef0f835008e8af52f607355cee925d2368844b")</f>
        <v>0</v>
      </c>
      <c r="C11563">
        <f>HYPERLINK("https://android.googlesource.com/platform/cts/+/d6a99a63bb6d68164e850fb81e03a3f7563c9382", "d6a99a63bb6d68164e850fb81e03a3f7563c9382")</f>
        <v>0</v>
      </c>
      <c r="D11563" t="s">
        <v>12161</v>
      </c>
      <c r="E11563" t="s">
        <v>13198</v>
      </c>
      <c r="F11563" t="s">
        <v>16375</v>
      </c>
      <c r="G11563" t="s">
        <v>19044</v>
      </c>
      <c r="H11563" t="s">
        <v>22823</v>
      </c>
      <c r="I11563" t="s">
        <v>1357</v>
      </c>
      <c r="J11563" t="s">
        <v>1357</v>
      </c>
      <c r="K11563" t="s">
        <v>1357</v>
      </c>
      <c r="L11563" t="s">
        <v>1357</v>
      </c>
      <c r="N11563" t="s">
        <v>27521</v>
      </c>
    </row>
    <row r="11564" spans="1:14">
      <c r="A11564" t="s">
        <v>10647</v>
      </c>
      <c r="B11564">
        <f>HYPERLINK("https://android.googlesource.com/platform/cts/+/af1227e4063604cd64561a5e574cdf750897ea7a", "af1227e4063604cd64561a5e574cdf750897ea7a")</f>
        <v>0</v>
      </c>
      <c r="C11564">
        <f>HYPERLINK("https://android.googlesource.com/platform/cts/+/df73d5fd6b60d9db038de439227e4574f0251f77", "df73d5fd6b60d9db038de439227e4574f0251f77")</f>
        <v>0</v>
      </c>
      <c r="D11564" t="s">
        <v>12102</v>
      </c>
      <c r="E11564" t="s">
        <v>13199</v>
      </c>
      <c r="F11564" t="s">
        <v>16337</v>
      </c>
      <c r="G11564" t="s">
        <v>19006</v>
      </c>
      <c r="H11564" t="s">
        <v>22824</v>
      </c>
      <c r="I11564" t="s">
        <v>1357</v>
      </c>
      <c r="J11564" t="s">
        <v>1357</v>
      </c>
      <c r="K11564" t="s">
        <v>1357</v>
      </c>
      <c r="L11564" t="s">
        <v>1357</v>
      </c>
    </row>
    <row r="11565" spans="1:14">
      <c r="A11565" t="s">
        <v>10648</v>
      </c>
      <c r="B11565">
        <f>HYPERLINK("https://android.googlesource.com/platform/cts/+/6243ff729f6652552812ac1198e06cba90fb2d67", "6243ff729f6652552812ac1198e06cba90fb2d67")</f>
        <v>0</v>
      </c>
      <c r="C11565">
        <f>HYPERLINK("https://android.googlesource.com/platform/cts/+/4dc99fcc9f8f72b43f2c8fd54884e5182f2f24f7", "4dc99fcc9f8f72b43f2c8fd54884e5182f2f24f7")</f>
        <v>0</v>
      </c>
      <c r="D11565" t="s">
        <v>11991</v>
      </c>
      <c r="E11565" t="s">
        <v>13200</v>
      </c>
      <c r="F11565" t="s">
        <v>16376</v>
      </c>
      <c r="G11565" t="s">
        <v>17882</v>
      </c>
      <c r="H11565" t="s">
        <v>22825</v>
      </c>
      <c r="I11565" t="s">
        <v>1357</v>
      </c>
      <c r="J11565" t="s">
        <v>1357</v>
      </c>
      <c r="K11565" t="s">
        <v>1357</v>
      </c>
      <c r="L11565" t="s">
        <v>1357</v>
      </c>
    </row>
    <row r="11566" spans="1:14">
      <c r="F11566" t="s">
        <v>15180</v>
      </c>
      <c r="G11566" t="s">
        <v>17882</v>
      </c>
      <c r="H11566" t="s">
        <v>22825</v>
      </c>
      <c r="I11566" t="s">
        <v>1357</v>
      </c>
      <c r="J11566" t="s">
        <v>1357</v>
      </c>
      <c r="K11566" t="s">
        <v>1357</v>
      </c>
      <c r="L11566" t="s">
        <v>1357</v>
      </c>
    </row>
    <row r="11567" spans="1:14">
      <c r="A11567" t="s">
        <v>10649</v>
      </c>
      <c r="B11567">
        <f>HYPERLINK("https://android.googlesource.com/platform/cts/+/9798b8e1409915c09ae44698d76056b6c8c1cbfc", "9798b8e1409915c09ae44698d76056b6c8c1cbfc")</f>
        <v>0</v>
      </c>
      <c r="C11567">
        <f>HYPERLINK("https://android.googlesource.com/platform/cts/+/b8b9920778a6f672bafa149295ecebcc27f95444", "b8b9920778a6f672bafa149295ecebcc27f95444")</f>
        <v>0</v>
      </c>
      <c r="D11567" t="s">
        <v>12076</v>
      </c>
      <c r="E11567" t="s">
        <v>13201</v>
      </c>
      <c r="F11567" t="s">
        <v>16377</v>
      </c>
      <c r="G11567" t="s">
        <v>19045</v>
      </c>
      <c r="H11567" t="s">
        <v>22826</v>
      </c>
      <c r="I11567" t="s">
        <v>1357</v>
      </c>
      <c r="J11567" t="s">
        <v>1357</v>
      </c>
      <c r="K11567" t="s">
        <v>1357</v>
      </c>
      <c r="L11567" t="s">
        <v>1357</v>
      </c>
    </row>
    <row r="11568" spans="1:14">
      <c r="A11568" t="s">
        <v>10650</v>
      </c>
      <c r="B11568">
        <f>HYPERLINK("https://android.googlesource.com/platform/cts/+/542699d4f3adaea3fdeb10cccac56837d979b19b", "542699d4f3adaea3fdeb10cccac56837d979b19b")</f>
        <v>0</v>
      </c>
      <c r="C11568">
        <f>HYPERLINK("https://android.googlesource.com/platform/cts/+/177cc6ed7aaadf0418001bf1aeff0395605be751", "177cc6ed7aaadf0418001bf1aeff0395605be751")</f>
        <v>0</v>
      </c>
      <c r="D11568" t="s">
        <v>12093</v>
      </c>
      <c r="E11568" t="s">
        <v>13202</v>
      </c>
      <c r="F11568" t="s">
        <v>16378</v>
      </c>
      <c r="G11568" t="s">
        <v>19046</v>
      </c>
      <c r="H11568" t="s">
        <v>22827</v>
      </c>
      <c r="I11568" t="s">
        <v>1357</v>
      </c>
      <c r="J11568" t="s">
        <v>1357</v>
      </c>
      <c r="K11568" t="s">
        <v>1357</v>
      </c>
      <c r="L11568" t="s">
        <v>1357</v>
      </c>
    </row>
    <row r="11569" spans="1:13">
      <c r="F11569" t="s">
        <v>16379</v>
      </c>
      <c r="G11569" t="s">
        <v>19047</v>
      </c>
      <c r="H11569" t="s">
        <v>22828</v>
      </c>
      <c r="I11569" t="s">
        <v>1357</v>
      </c>
      <c r="J11569" t="s">
        <v>1357</v>
      </c>
      <c r="K11569" t="s">
        <v>1357</v>
      </c>
      <c r="L11569" t="s">
        <v>1357</v>
      </c>
    </row>
    <row r="11570" spans="1:13">
      <c r="H11570" t="s">
        <v>22829</v>
      </c>
      <c r="I11570" t="s">
        <v>1357</v>
      </c>
      <c r="J11570" t="s">
        <v>1357</v>
      </c>
      <c r="K11570" t="s">
        <v>1357</v>
      </c>
      <c r="L11570" t="s">
        <v>1357</v>
      </c>
    </row>
    <row r="11571" spans="1:13">
      <c r="A11571" t="s">
        <v>10651</v>
      </c>
      <c r="B11571">
        <f>HYPERLINK("https://android.googlesource.com/platform/cts/+/0fabc671de7e98de064bb0e8e18a386e5f8a440a", "0fabc671de7e98de064bb0e8e18a386e5f8a440a")</f>
        <v>0</v>
      </c>
      <c r="C11571">
        <f>HYPERLINK("https://android.googlesource.com/platform/cts/+/601a32b0f87188d5fc4573757a232b0dd807d7fc", "601a32b0f87188d5fc4573757a232b0dd807d7fc")</f>
        <v>0</v>
      </c>
      <c r="D11571" t="s">
        <v>12005</v>
      </c>
      <c r="E11571" t="s">
        <v>13203</v>
      </c>
      <c r="F11571" t="s">
        <v>16337</v>
      </c>
      <c r="G11571" t="s">
        <v>19006</v>
      </c>
      <c r="H11571" t="s">
        <v>22830</v>
      </c>
      <c r="I11571" t="s">
        <v>1358</v>
      </c>
      <c r="J11571" t="s">
        <v>1358</v>
      </c>
      <c r="K11571" t="s">
        <v>1358</v>
      </c>
      <c r="L11571" t="s">
        <v>1358</v>
      </c>
    </row>
    <row r="11572" spans="1:13">
      <c r="H11572" t="s">
        <v>22831</v>
      </c>
      <c r="I11572" t="s">
        <v>1357</v>
      </c>
      <c r="J11572" t="s">
        <v>1357</v>
      </c>
      <c r="K11572" t="s">
        <v>1357</v>
      </c>
      <c r="L11572" t="s">
        <v>1357</v>
      </c>
    </row>
    <row r="11573" spans="1:13">
      <c r="A11573" t="s">
        <v>10652</v>
      </c>
      <c r="B11573">
        <f>HYPERLINK("https://android.googlesource.com/platform/cts/+/fc25beca4c74953ff1c6e8be18f5c0a9a20ceebc", "fc25beca4c74953ff1c6e8be18f5c0a9a20ceebc")</f>
        <v>0</v>
      </c>
      <c r="C11573">
        <f>HYPERLINK("https://android.googlesource.com/platform/cts/+/6bd3e7168a5712630eca7838616287b32497ab36", "6bd3e7168a5712630eca7838616287b32497ab36")</f>
        <v>0</v>
      </c>
      <c r="D11573" t="s">
        <v>12177</v>
      </c>
      <c r="E11573" t="s">
        <v>13204</v>
      </c>
      <c r="F11573" t="s">
        <v>16380</v>
      </c>
      <c r="G11573" t="s">
        <v>19048</v>
      </c>
      <c r="H11573" t="s">
        <v>22832</v>
      </c>
      <c r="I11573" t="s">
        <v>1357</v>
      </c>
      <c r="J11573" t="s">
        <v>1357</v>
      </c>
      <c r="K11573" t="s">
        <v>1357</v>
      </c>
      <c r="L11573" t="s">
        <v>1357</v>
      </c>
    </row>
    <row r="11574" spans="1:13">
      <c r="H11574" t="s">
        <v>22833</v>
      </c>
      <c r="I11574" t="s">
        <v>1358</v>
      </c>
      <c r="J11574" t="s">
        <v>1358</v>
      </c>
      <c r="K11574" t="s">
        <v>1358</v>
      </c>
      <c r="L11574" t="s">
        <v>1358</v>
      </c>
    </row>
    <row r="11575" spans="1:13">
      <c r="H11575" t="s">
        <v>22834</v>
      </c>
      <c r="I11575" t="s">
        <v>1357</v>
      </c>
      <c r="J11575" t="s">
        <v>1357</v>
      </c>
      <c r="K11575" t="s">
        <v>1357</v>
      </c>
      <c r="L11575" t="s">
        <v>1357</v>
      </c>
    </row>
    <row r="11576" spans="1:13">
      <c r="A11576" t="s">
        <v>10653</v>
      </c>
      <c r="B11576">
        <f>HYPERLINK("https://android.googlesource.com/platform/cts/+/41a16ca7b6f16ebd7ec83a6b4d2691c1ec0f940d", "41a16ca7b6f16ebd7ec83a6b4d2691c1ec0f940d")</f>
        <v>0</v>
      </c>
      <c r="C11576">
        <f>HYPERLINK("https://android.googlesource.com/platform/cts/+/a8d86dac2f94f8d97d76c5ac27a68f1cf3d6ccc1", "a8d86dac2f94f8d97d76c5ac27a68f1cf3d6ccc1")</f>
        <v>0</v>
      </c>
      <c r="D11576" t="s">
        <v>12131</v>
      </c>
      <c r="E11576" t="s">
        <v>13205</v>
      </c>
      <c r="F11576" t="s">
        <v>14521</v>
      </c>
      <c r="G11576" t="s">
        <v>17366</v>
      </c>
      <c r="H11576" t="s">
        <v>22835</v>
      </c>
      <c r="I11576" t="s">
        <v>1357</v>
      </c>
      <c r="J11576" t="s">
        <v>1357</v>
      </c>
      <c r="K11576" t="s">
        <v>1357</v>
      </c>
      <c r="L11576" t="s">
        <v>1357</v>
      </c>
    </row>
    <row r="11577" spans="1:13">
      <c r="A11577" t="s">
        <v>10654</v>
      </c>
      <c r="B11577">
        <f>HYPERLINK("https://android.googlesource.com/platform/cts/+/59a36621969cd6b14755d5483a3cc38e78898de2", "59a36621969cd6b14755d5483a3cc38e78898de2")</f>
        <v>0</v>
      </c>
      <c r="C11577">
        <f>HYPERLINK("https://android.googlesource.com/platform/cts/+/51b0f0a9c9af6192e0601789714b843d36a514b3", "51b0f0a9c9af6192e0601789714b843d36a514b3")</f>
        <v>0</v>
      </c>
      <c r="D11577" t="s">
        <v>11976</v>
      </c>
      <c r="E11577" t="s">
        <v>13206</v>
      </c>
      <c r="F11577" t="s">
        <v>16381</v>
      </c>
      <c r="G11577" t="s">
        <v>19049</v>
      </c>
      <c r="H11577" t="s">
        <v>22836</v>
      </c>
      <c r="I11577" t="s">
        <v>1357</v>
      </c>
      <c r="J11577" t="s">
        <v>1357</v>
      </c>
      <c r="K11577" t="s">
        <v>1357</v>
      </c>
      <c r="L11577" t="s">
        <v>1357</v>
      </c>
    </row>
    <row r="11578" spans="1:13">
      <c r="A11578" t="s">
        <v>10655</v>
      </c>
      <c r="B11578">
        <f>HYPERLINK("https://android.googlesource.com/platform/cts/+/60fb25a0afcb809a5cdc8317fc2ca67f3d86ad1e", "60fb25a0afcb809a5cdc8317fc2ca67f3d86ad1e")</f>
        <v>0</v>
      </c>
      <c r="C11578">
        <f>HYPERLINK("https://android.googlesource.com/platform/cts/+/64699b573f99355ea1788e22cc91f1c0cd30f0fb", "64699b573f99355ea1788e22cc91f1c0cd30f0fb")</f>
        <v>0</v>
      </c>
      <c r="D11578" t="s">
        <v>12177</v>
      </c>
      <c r="E11578" t="s">
        <v>13207</v>
      </c>
      <c r="F11578" t="s">
        <v>16380</v>
      </c>
      <c r="G11578" t="s">
        <v>19048</v>
      </c>
      <c r="H11578" t="s">
        <v>22832</v>
      </c>
      <c r="I11578" t="s">
        <v>1357</v>
      </c>
      <c r="J11578" t="s">
        <v>1357</v>
      </c>
      <c r="K11578" t="s">
        <v>1357</v>
      </c>
      <c r="L11578" t="s">
        <v>1357</v>
      </c>
    </row>
    <row r="11579" spans="1:13">
      <c r="H11579" t="s">
        <v>22833</v>
      </c>
      <c r="I11579" t="s">
        <v>1358</v>
      </c>
      <c r="J11579" t="s">
        <v>1358</v>
      </c>
      <c r="K11579" t="s">
        <v>1358</v>
      </c>
      <c r="L11579" t="s">
        <v>1358</v>
      </c>
    </row>
    <row r="11580" spans="1:13">
      <c r="H11580" t="s">
        <v>22834</v>
      </c>
      <c r="I11580" t="s">
        <v>1357</v>
      </c>
      <c r="J11580" t="s">
        <v>1357</v>
      </c>
      <c r="K11580" t="s">
        <v>1357</v>
      </c>
      <c r="L11580" t="s">
        <v>1357</v>
      </c>
      <c r="M11580" t="s">
        <v>9957</v>
      </c>
    </row>
    <row r="11581" spans="1:13">
      <c r="A11581" t="s">
        <v>10656</v>
      </c>
      <c r="B11581">
        <f>HYPERLINK("https://android.googlesource.com/platform/cts/+/7435d710f41a7d4d94cb2b8eecb3297155c58a27", "7435d710f41a7d4d94cb2b8eecb3297155c58a27")</f>
        <v>0</v>
      </c>
      <c r="C11581">
        <f>HYPERLINK("https://android.googlesource.com/platform/cts/+/f770e20ef1b86bf3b9eb22fb07ae5ea9695060c5", "f770e20ef1b86bf3b9eb22fb07ae5ea9695060c5")</f>
        <v>0</v>
      </c>
      <c r="D11581" t="s">
        <v>12178</v>
      </c>
      <c r="E11581" t="s">
        <v>13208</v>
      </c>
      <c r="F11581" t="s">
        <v>16382</v>
      </c>
      <c r="G11581" t="s">
        <v>19050</v>
      </c>
      <c r="H11581" t="s">
        <v>4116</v>
      </c>
      <c r="I11581" t="s">
        <v>1357</v>
      </c>
      <c r="J11581" t="s">
        <v>1357</v>
      </c>
      <c r="K11581" t="s">
        <v>1357</v>
      </c>
      <c r="L11581" t="s">
        <v>1357</v>
      </c>
    </row>
    <row r="11582" spans="1:13">
      <c r="A11582" t="s">
        <v>10657</v>
      </c>
      <c r="B11582">
        <f>HYPERLINK("https://android.googlesource.com/platform/cts/+/0c62b6d65b1d22355d0ead1a6e96aabb5ac8e151", "0c62b6d65b1d22355d0ead1a6e96aabb5ac8e151")</f>
        <v>0</v>
      </c>
      <c r="C11582">
        <f>HYPERLINK("https://android.googlesource.com/platform/cts/+/7435d710f41a7d4d94cb2b8eecb3297155c58a27", "7435d710f41a7d4d94cb2b8eecb3297155c58a27")</f>
        <v>0</v>
      </c>
      <c r="D11582" t="s">
        <v>12178</v>
      </c>
      <c r="E11582" t="s">
        <v>13209</v>
      </c>
      <c r="F11582" t="s">
        <v>16383</v>
      </c>
      <c r="G11582" t="s">
        <v>17408</v>
      </c>
      <c r="H11582" t="s">
        <v>22837</v>
      </c>
      <c r="I11582" t="s">
        <v>1357</v>
      </c>
      <c r="J11582" t="s">
        <v>1357</v>
      </c>
      <c r="K11582" t="s">
        <v>1357</v>
      </c>
      <c r="L11582" t="s">
        <v>1357</v>
      </c>
    </row>
    <row r="11583" spans="1:13">
      <c r="A11583" t="s">
        <v>10658</v>
      </c>
      <c r="B11583">
        <f>HYPERLINK("https://android.googlesource.com/platform/cts/+/9a05c717ca6ae16344cbe0471cb2e6dff0c7282f", "9a05c717ca6ae16344cbe0471cb2e6dff0c7282f")</f>
        <v>0</v>
      </c>
      <c r="C11583">
        <f>HYPERLINK("https://android.googlesource.com/platform/cts/+/c2c2493886f74212c518cbbdb7928579ad2d27c8", "c2c2493886f74212c518cbbdb7928579ad2d27c8")</f>
        <v>0</v>
      </c>
      <c r="D11583" t="s">
        <v>12069</v>
      </c>
      <c r="E11583" t="s">
        <v>13210</v>
      </c>
      <c r="F11583" t="s">
        <v>16171</v>
      </c>
      <c r="G11583" t="s">
        <v>18734</v>
      </c>
      <c r="H11583" t="s">
        <v>22838</v>
      </c>
      <c r="I11583" t="s">
        <v>1357</v>
      </c>
      <c r="J11583" t="s">
        <v>1357</v>
      </c>
      <c r="K11583" t="s">
        <v>1357</v>
      </c>
      <c r="L11583" t="s">
        <v>1357</v>
      </c>
    </row>
    <row r="11584" spans="1:13">
      <c r="H11584" t="s">
        <v>22839</v>
      </c>
      <c r="I11584" t="s">
        <v>1357</v>
      </c>
      <c r="J11584" t="s">
        <v>1357</v>
      </c>
      <c r="K11584" t="s">
        <v>1357</v>
      </c>
      <c r="L11584" t="s">
        <v>1357</v>
      </c>
    </row>
    <row r="11585" spans="1:13">
      <c r="A11585" t="s">
        <v>10659</v>
      </c>
      <c r="B11585">
        <f>HYPERLINK("https://android.googlesource.com/platform/cts/+/d793e4256716618d77ef129ce0c0bf519e679b00", "d793e4256716618d77ef129ce0c0bf519e679b00")</f>
        <v>0</v>
      </c>
      <c r="C11585">
        <f>HYPERLINK("https://android.googlesource.com/platform/cts/+/929244f1b79abc6958f876bbc5c5e88756f73bc5", "929244f1b79abc6958f876bbc5c5e88756f73bc5")</f>
        <v>0</v>
      </c>
      <c r="D11585" t="s">
        <v>12069</v>
      </c>
      <c r="E11585" t="s">
        <v>13211</v>
      </c>
      <c r="F11585" t="s">
        <v>16171</v>
      </c>
      <c r="G11585" t="s">
        <v>18734</v>
      </c>
      <c r="H11585" t="s">
        <v>22838</v>
      </c>
      <c r="I11585" t="s">
        <v>1357</v>
      </c>
      <c r="J11585" t="s">
        <v>1357</v>
      </c>
      <c r="K11585" t="s">
        <v>1357</v>
      </c>
      <c r="L11585" t="s">
        <v>1357</v>
      </c>
    </row>
    <row r="11586" spans="1:13">
      <c r="H11586" t="s">
        <v>22839</v>
      </c>
      <c r="I11586" t="s">
        <v>1357</v>
      </c>
      <c r="J11586" t="s">
        <v>1357</v>
      </c>
      <c r="K11586" t="s">
        <v>1357</v>
      </c>
      <c r="L11586" t="s">
        <v>1357</v>
      </c>
      <c r="M11586" t="s">
        <v>9957</v>
      </c>
    </row>
    <row r="11587" spans="1:13">
      <c r="A11587" t="s">
        <v>10660</v>
      </c>
      <c r="B11587">
        <f>HYPERLINK("https://android.googlesource.com/platform/cts/+/400e7d594809ca2cb52c2a69cefbf92c21526237", "400e7d594809ca2cb52c2a69cefbf92c21526237")</f>
        <v>0</v>
      </c>
      <c r="C11587">
        <f>HYPERLINK("https://android.googlesource.com/platform/cts/+/36cd300c3d253eb36ec710e14be84e7e6ae4ffed", "36cd300c3d253eb36ec710e14be84e7e6ae4ffed")</f>
        <v>0</v>
      </c>
      <c r="D11587" t="s">
        <v>12117</v>
      </c>
      <c r="E11587" t="s">
        <v>13212</v>
      </c>
      <c r="F11587" t="s">
        <v>16350</v>
      </c>
      <c r="G11587" t="s">
        <v>19019</v>
      </c>
      <c r="H11587" t="s">
        <v>22840</v>
      </c>
      <c r="I11587" t="s">
        <v>1357</v>
      </c>
      <c r="J11587" t="s">
        <v>1357</v>
      </c>
      <c r="K11587" t="s">
        <v>1357</v>
      </c>
      <c r="L11587" t="s">
        <v>1357</v>
      </c>
    </row>
    <row r="11588" spans="1:13">
      <c r="H11588" t="s">
        <v>22841</v>
      </c>
      <c r="I11588" t="s">
        <v>1357</v>
      </c>
      <c r="J11588" t="s">
        <v>1357</v>
      </c>
      <c r="K11588" t="s">
        <v>1357</v>
      </c>
      <c r="L11588" t="s">
        <v>1357</v>
      </c>
    </row>
    <row r="11589" spans="1:13">
      <c r="H11589" t="s">
        <v>22842</v>
      </c>
      <c r="I11589" t="s">
        <v>1357</v>
      </c>
      <c r="J11589" t="s">
        <v>1357</v>
      </c>
      <c r="K11589" t="s">
        <v>1357</v>
      </c>
      <c r="L11589" t="s">
        <v>1357</v>
      </c>
    </row>
    <row r="11590" spans="1:13">
      <c r="H11590" t="s">
        <v>22843</v>
      </c>
      <c r="I11590" t="s">
        <v>1357</v>
      </c>
      <c r="J11590" t="s">
        <v>1357</v>
      </c>
      <c r="K11590" t="s">
        <v>1357</v>
      </c>
      <c r="L11590" t="s">
        <v>1357</v>
      </c>
    </row>
    <row r="11591" spans="1:13">
      <c r="H11591" t="s">
        <v>22844</v>
      </c>
      <c r="I11591" t="s">
        <v>1357</v>
      </c>
      <c r="J11591" t="s">
        <v>1357</v>
      </c>
      <c r="K11591" t="s">
        <v>1357</v>
      </c>
      <c r="L11591" t="s">
        <v>1357</v>
      </c>
    </row>
    <row r="11592" spans="1:13">
      <c r="H11592" t="s">
        <v>22845</v>
      </c>
      <c r="I11592" t="s">
        <v>1357</v>
      </c>
      <c r="J11592" t="s">
        <v>1357</v>
      </c>
      <c r="K11592" t="s">
        <v>1357</v>
      </c>
      <c r="L11592" t="s">
        <v>1357</v>
      </c>
    </row>
    <row r="11593" spans="1:13">
      <c r="H11593" t="s">
        <v>22846</v>
      </c>
      <c r="I11593" t="s">
        <v>1357</v>
      </c>
      <c r="J11593" t="s">
        <v>1357</v>
      </c>
      <c r="K11593" t="s">
        <v>1357</v>
      </c>
      <c r="L11593" t="s">
        <v>1357</v>
      </c>
    </row>
    <row r="11594" spans="1:13">
      <c r="H11594" t="s">
        <v>22847</v>
      </c>
      <c r="I11594" t="s">
        <v>1357</v>
      </c>
      <c r="J11594" t="s">
        <v>1357</v>
      </c>
      <c r="K11594" t="s">
        <v>1357</v>
      </c>
      <c r="L11594" t="s">
        <v>1357</v>
      </c>
    </row>
    <row r="11595" spans="1:13">
      <c r="H11595" t="s">
        <v>22848</v>
      </c>
      <c r="I11595" t="s">
        <v>1357</v>
      </c>
      <c r="J11595" t="s">
        <v>1357</v>
      </c>
      <c r="K11595" t="s">
        <v>1357</v>
      </c>
      <c r="L11595" t="s">
        <v>1357</v>
      </c>
    </row>
    <row r="11596" spans="1:13">
      <c r="H11596" t="s">
        <v>22849</v>
      </c>
      <c r="I11596" t="s">
        <v>1357</v>
      </c>
      <c r="J11596" t="s">
        <v>1357</v>
      </c>
      <c r="K11596" t="s">
        <v>1357</v>
      </c>
      <c r="L11596" t="s">
        <v>1357</v>
      </c>
    </row>
    <row r="11597" spans="1:13">
      <c r="H11597" t="s">
        <v>22850</v>
      </c>
      <c r="I11597" t="s">
        <v>1357</v>
      </c>
      <c r="J11597" t="s">
        <v>1357</v>
      </c>
      <c r="K11597" t="s">
        <v>1357</v>
      </c>
      <c r="L11597" t="s">
        <v>1357</v>
      </c>
    </row>
    <row r="11598" spans="1:13">
      <c r="H11598" t="s">
        <v>22851</v>
      </c>
      <c r="I11598" t="s">
        <v>1357</v>
      </c>
      <c r="J11598" t="s">
        <v>1357</v>
      </c>
      <c r="K11598" t="s">
        <v>1357</v>
      </c>
      <c r="L11598" t="s">
        <v>1357</v>
      </c>
    </row>
    <row r="11599" spans="1:13">
      <c r="H11599" t="s">
        <v>22852</v>
      </c>
      <c r="I11599" t="s">
        <v>1357</v>
      </c>
      <c r="J11599" t="s">
        <v>1357</v>
      </c>
      <c r="K11599" t="s">
        <v>1357</v>
      </c>
      <c r="L11599" t="s">
        <v>1357</v>
      </c>
    </row>
    <row r="11600" spans="1:13">
      <c r="H11600" t="s">
        <v>22853</v>
      </c>
      <c r="I11600" t="s">
        <v>1357</v>
      </c>
      <c r="J11600" t="s">
        <v>1357</v>
      </c>
      <c r="K11600" t="s">
        <v>1357</v>
      </c>
      <c r="L11600" t="s">
        <v>1357</v>
      </c>
    </row>
    <row r="11601" spans="1:14">
      <c r="H11601" t="s">
        <v>22854</v>
      </c>
      <c r="I11601" t="s">
        <v>1357</v>
      </c>
      <c r="J11601" t="s">
        <v>1357</v>
      </c>
      <c r="K11601" t="s">
        <v>1357</v>
      </c>
      <c r="L11601" t="s">
        <v>1357</v>
      </c>
    </row>
    <row r="11602" spans="1:14">
      <c r="H11602" t="s">
        <v>22855</v>
      </c>
      <c r="I11602" t="s">
        <v>1357</v>
      </c>
      <c r="J11602" t="s">
        <v>1357</v>
      </c>
      <c r="K11602" t="s">
        <v>1357</v>
      </c>
      <c r="L11602" t="s">
        <v>1357</v>
      </c>
    </row>
    <row r="11603" spans="1:14">
      <c r="H11603" t="s">
        <v>22856</v>
      </c>
      <c r="I11603" t="s">
        <v>1357</v>
      </c>
      <c r="J11603" t="s">
        <v>1357</v>
      </c>
      <c r="K11603" t="s">
        <v>1357</v>
      </c>
      <c r="L11603" t="s">
        <v>1357</v>
      </c>
    </row>
    <row r="11604" spans="1:14">
      <c r="H11604" t="s">
        <v>22857</v>
      </c>
      <c r="I11604" t="s">
        <v>1357</v>
      </c>
      <c r="J11604" t="s">
        <v>1357</v>
      </c>
      <c r="K11604" t="s">
        <v>1357</v>
      </c>
      <c r="L11604" t="s">
        <v>1357</v>
      </c>
    </row>
    <row r="11605" spans="1:14">
      <c r="H11605" t="s">
        <v>22858</v>
      </c>
      <c r="I11605" t="s">
        <v>1357</v>
      </c>
      <c r="J11605" t="s">
        <v>1357</v>
      </c>
      <c r="K11605" t="s">
        <v>1357</v>
      </c>
      <c r="L11605" t="s">
        <v>1357</v>
      </c>
    </row>
    <row r="11606" spans="1:14">
      <c r="H11606" t="s">
        <v>22859</v>
      </c>
      <c r="I11606" t="s">
        <v>1357</v>
      </c>
      <c r="J11606" t="s">
        <v>1357</v>
      </c>
      <c r="K11606" t="s">
        <v>1357</v>
      </c>
      <c r="L11606" t="s">
        <v>1357</v>
      </c>
    </row>
    <row r="11607" spans="1:14">
      <c r="A11607" t="s">
        <v>10661</v>
      </c>
      <c r="B11607">
        <f>HYPERLINK("https://android.googlesource.com/platform/cts/+/132add28bb79b857e866241a858695b933fd9dea", "132add28bb79b857e866241a858695b933fd9dea")</f>
        <v>0</v>
      </c>
      <c r="C11607">
        <f>HYPERLINK("https://android.googlesource.com/platform/cts/+/9ea549238750212c55861b249c4ea66c2a0662c6", "9ea549238750212c55861b249c4ea66c2a0662c6")</f>
        <v>0</v>
      </c>
      <c r="D11607" t="s">
        <v>12164</v>
      </c>
      <c r="E11607" t="s">
        <v>13213</v>
      </c>
      <c r="F11607" t="s">
        <v>16384</v>
      </c>
      <c r="G11607" t="s">
        <v>19051</v>
      </c>
      <c r="H11607" t="s">
        <v>22860</v>
      </c>
      <c r="I11607" t="s">
        <v>1358</v>
      </c>
      <c r="J11607" t="s">
        <v>1358</v>
      </c>
      <c r="K11607" t="s">
        <v>1358</v>
      </c>
      <c r="L11607" t="s">
        <v>1358</v>
      </c>
      <c r="N11607" t="s">
        <v>27523</v>
      </c>
    </row>
    <row r="11608" spans="1:14">
      <c r="H11608" t="s">
        <v>22861</v>
      </c>
      <c r="I11608" t="s">
        <v>1357</v>
      </c>
      <c r="J11608" t="s">
        <v>1357</v>
      </c>
      <c r="K11608" t="s">
        <v>1357</v>
      </c>
      <c r="L11608" t="s">
        <v>1357</v>
      </c>
    </row>
    <row r="11609" spans="1:14">
      <c r="H11609" t="s">
        <v>22862</v>
      </c>
      <c r="I11609" t="s">
        <v>1358</v>
      </c>
      <c r="J11609" t="s">
        <v>1358</v>
      </c>
      <c r="K11609" t="s">
        <v>1358</v>
      </c>
      <c r="L11609" t="s">
        <v>1358</v>
      </c>
      <c r="N11609" t="s">
        <v>27523</v>
      </c>
    </row>
    <row r="11610" spans="1:14">
      <c r="H11610" t="s">
        <v>22863</v>
      </c>
      <c r="I11610" t="s">
        <v>1357</v>
      </c>
      <c r="J11610" t="s">
        <v>1357</v>
      </c>
      <c r="K11610" t="s">
        <v>1357</v>
      </c>
      <c r="L11610" t="s">
        <v>1357</v>
      </c>
    </row>
    <row r="11611" spans="1:14">
      <c r="H11611" t="s">
        <v>22864</v>
      </c>
      <c r="I11611" t="s">
        <v>1358</v>
      </c>
      <c r="J11611" t="s">
        <v>1358</v>
      </c>
      <c r="K11611" t="s">
        <v>1358</v>
      </c>
      <c r="L11611" t="s">
        <v>1358</v>
      </c>
    </row>
    <row r="11612" spans="1:14">
      <c r="A11612" t="s">
        <v>10662</v>
      </c>
      <c r="B11612">
        <f>HYPERLINK("https://android.googlesource.com/platform/cts/+/651e374d7496f97f955c746c53fce77db5c21fc7", "651e374d7496f97f955c746c53fce77db5c21fc7")</f>
        <v>0</v>
      </c>
      <c r="C11612">
        <f>HYPERLINK("https://android.googlesource.com/platform/cts/+/3eb548948ae9ff26f05f03726586a9e0e0603d62", "3eb548948ae9ff26f05f03726586a9e0e0603d62")</f>
        <v>0</v>
      </c>
      <c r="D11612" t="s">
        <v>12018</v>
      </c>
      <c r="E11612" t="s">
        <v>13214</v>
      </c>
      <c r="F11612" t="s">
        <v>16385</v>
      </c>
      <c r="G11612" t="s">
        <v>19052</v>
      </c>
      <c r="H11612" t="s">
        <v>22865</v>
      </c>
      <c r="I11612" t="s">
        <v>1357</v>
      </c>
      <c r="J11612" t="s">
        <v>1357</v>
      </c>
      <c r="K11612" t="s">
        <v>1357</v>
      </c>
      <c r="L11612" t="s">
        <v>1357</v>
      </c>
    </row>
    <row r="11613" spans="1:14">
      <c r="F11613" t="s">
        <v>16386</v>
      </c>
      <c r="G11613" t="s">
        <v>19053</v>
      </c>
      <c r="H11613" t="s">
        <v>22866</v>
      </c>
      <c r="I11613" t="s">
        <v>1357</v>
      </c>
      <c r="J11613" t="s">
        <v>1357</v>
      </c>
      <c r="K11613" t="s">
        <v>1357</v>
      </c>
      <c r="L11613" t="s">
        <v>1357</v>
      </c>
    </row>
    <row r="11614" spans="1:14">
      <c r="H11614" t="s">
        <v>22867</v>
      </c>
      <c r="I11614" t="s">
        <v>1357</v>
      </c>
      <c r="J11614" t="s">
        <v>1357</v>
      </c>
      <c r="K11614" t="s">
        <v>1357</v>
      </c>
      <c r="L11614" t="s">
        <v>1357</v>
      </c>
    </row>
    <row r="11615" spans="1:14">
      <c r="F11615" t="s">
        <v>16387</v>
      </c>
      <c r="G11615" t="s">
        <v>19054</v>
      </c>
      <c r="H11615" t="s">
        <v>22868</v>
      </c>
      <c r="I11615" t="s">
        <v>1357</v>
      </c>
      <c r="J11615" t="s">
        <v>1357</v>
      </c>
      <c r="K11615" t="s">
        <v>1357</v>
      </c>
      <c r="L11615" t="s">
        <v>1357</v>
      </c>
    </row>
    <row r="11616" spans="1:14">
      <c r="H11616" t="s">
        <v>22869</v>
      </c>
      <c r="I11616" t="s">
        <v>1357</v>
      </c>
      <c r="J11616" t="s">
        <v>1357</v>
      </c>
      <c r="K11616" t="s">
        <v>1357</v>
      </c>
      <c r="L11616" t="s">
        <v>1357</v>
      </c>
    </row>
    <row r="11617" spans="1:13">
      <c r="F11617" t="s">
        <v>16388</v>
      </c>
      <c r="G11617" t="s">
        <v>19055</v>
      </c>
      <c r="H11617" t="s">
        <v>22870</v>
      </c>
      <c r="I11617" t="s">
        <v>1357</v>
      </c>
      <c r="J11617" t="s">
        <v>1357</v>
      </c>
      <c r="K11617" t="s">
        <v>1357</v>
      </c>
      <c r="L11617" t="s">
        <v>1357</v>
      </c>
    </row>
    <row r="11618" spans="1:13">
      <c r="H11618" t="s">
        <v>22871</v>
      </c>
      <c r="I11618" t="s">
        <v>1357</v>
      </c>
      <c r="J11618" t="s">
        <v>1357</v>
      </c>
      <c r="K11618" t="s">
        <v>1357</v>
      </c>
      <c r="L11618" t="s">
        <v>1357</v>
      </c>
    </row>
    <row r="11619" spans="1:13">
      <c r="F11619" t="s">
        <v>16389</v>
      </c>
      <c r="G11619" t="s">
        <v>19056</v>
      </c>
      <c r="H11619" t="s">
        <v>22868</v>
      </c>
      <c r="I11619" t="s">
        <v>1357</v>
      </c>
      <c r="J11619" t="s">
        <v>1357</v>
      </c>
      <c r="K11619" t="s">
        <v>1357</v>
      </c>
      <c r="L11619" t="s">
        <v>1357</v>
      </c>
    </row>
    <row r="11620" spans="1:13">
      <c r="F11620" t="s">
        <v>16390</v>
      </c>
      <c r="G11620" t="s">
        <v>19057</v>
      </c>
      <c r="H11620" t="s">
        <v>22870</v>
      </c>
      <c r="I11620" t="s">
        <v>1357</v>
      </c>
      <c r="J11620" t="s">
        <v>1357</v>
      </c>
      <c r="K11620" t="s">
        <v>1357</v>
      </c>
      <c r="L11620" t="s">
        <v>1357</v>
      </c>
    </row>
    <row r="11621" spans="1:13">
      <c r="H11621" t="s">
        <v>22871</v>
      </c>
      <c r="I11621" t="s">
        <v>1357</v>
      </c>
      <c r="J11621" t="s">
        <v>1357</v>
      </c>
      <c r="K11621" t="s">
        <v>1357</v>
      </c>
      <c r="L11621" t="s">
        <v>1357</v>
      </c>
    </row>
    <row r="11622" spans="1:13">
      <c r="F11622" t="s">
        <v>14561</v>
      </c>
      <c r="G11622" t="s">
        <v>17405</v>
      </c>
      <c r="H11622" t="s">
        <v>22868</v>
      </c>
      <c r="I11622" t="s">
        <v>1357</v>
      </c>
      <c r="J11622" t="s">
        <v>1357</v>
      </c>
      <c r="K11622" t="s">
        <v>1357</v>
      </c>
      <c r="L11622" t="s">
        <v>1357</v>
      </c>
    </row>
    <row r="11623" spans="1:13">
      <c r="F11623" t="s">
        <v>16391</v>
      </c>
      <c r="G11623" t="s">
        <v>19058</v>
      </c>
      <c r="H11623" t="s">
        <v>22868</v>
      </c>
      <c r="I11623" t="s">
        <v>1357</v>
      </c>
      <c r="J11623" t="s">
        <v>1357</v>
      </c>
      <c r="K11623" t="s">
        <v>1357</v>
      </c>
      <c r="L11623" t="s">
        <v>1357</v>
      </c>
    </row>
    <row r="11624" spans="1:13">
      <c r="A11624" t="s">
        <v>10663</v>
      </c>
      <c r="B11624">
        <f>HYPERLINK("https://android.googlesource.com/platform/cts/+/ae9ebfdb0a376e36b80b5d365e2e62d1502530bd", "ae9ebfdb0a376e36b80b5d365e2e62d1502530bd")</f>
        <v>0</v>
      </c>
      <c r="C11624">
        <f>HYPERLINK("https://android.googlesource.com/platform/cts/+/76ef62330b22abc31f9dd9cdaa14ee657328515b", "76ef62330b22abc31f9dd9cdaa14ee657328515b")</f>
        <v>0</v>
      </c>
      <c r="D11624" t="s">
        <v>12179</v>
      </c>
      <c r="E11624" t="s">
        <v>13215</v>
      </c>
      <c r="F11624" t="s">
        <v>14519</v>
      </c>
      <c r="G11624" t="s">
        <v>17364</v>
      </c>
      <c r="H11624" t="s">
        <v>22872</v>
      </c>
      <c r="I11624" t="s">
        <v>1357</v>
      </c>
      <c r="J11624" t="s">
        <v>1357</v>
      </c>
      <c r="K11624" t="s">
        <v>1357</v>
      </c>
      <c r="L11624" t="s">
        <v>1357</v>
      </c>
    </row>
    <row r="11625" spans="1:13">
      <c r="A11625" t="s">
        <v>10664</v>
      </c>
      <c r="B11625">
        <f>HYPERLINK("https://android.googlesource.com/platform/cts/+/80dd8b16b5907dc8142f519b73bc9836be6684d8", "80dd8b16b5907dc8142f519b73bc9836be6684d8")</f>
        <v>0</v>
      </c>
      <c r="C11625">
        <f>HYPERLINK("https://android.googlesource.com/platform/cts/+/9f1408142475d7f202609fd324467cb373d8abe7", "9f1408142475d7f202609fd324467cb373d8abe7")</f>
        <v>0</v>
      </c>
      <c r="D11625" t="s">
        <v>12111</v>
      </c>
      <c r="E11625" t="s">
        <v>13216</v>
      </c>
      <c r="F11625" t="s">
        <v>16367</v>
      </c>
      <c r="G11625" t="s">
        <v>19036</v>
      </c>
      <c r="H11625" t="s">
        <v>22873</v>
      </c>
      <c r="I11625" t="s">
        <v>1358</v>
      </c>
      <c r="J11625" t="s">
        <v>1358</v>
      </c>
      <c r="K11625" t="s">
        <v>1358</v>
      </c>
      <c r="L11625" t="s">
        <v>1358</v>
      </c>
    </row>
    <row r="11626" spans="1:13">
      <c r="A11626" t="s">
        <v>10665</v>
      </c>
      <c r="B11626">
        <f>HYPERLINK("https://android.googlesource.com/platform/cts/+/e66e55cc3151a2c3138df76fbf1721821d18398c", "e66e55cc3151a2c3138df76fbf1721821d18398c")</f>
        <v>0</v>
      </c>
      <c r="C11626">
        <f>HYPERLINK("https://android.googlesource.com/platform/cts/+/a0d4982aec29ab2f1d5948560a56e4e38c24b9f4", "a0d4982aec29ab2f1d5948560a56e4e38c24b9f4")</f>
        <v>0</v>
      </c>
      <c r="D11626" t="s">
        <v>12180</v>
      </c>
      <c r="E11626" t="s">
        <v>13217</v>
      </c>
      <c r="F11626" t="s">
        <v>16392</v>
      </c>
      <c r="G11626" t="s">
        <v>18916</v>
      </c>
      <c r="H11626" t="s">
        <v>22874</v>
      </c>
      <c r="I11626" t="s">
        <v>1357</v>
      </c>
      <c r="J11626" t="s">
        <v>1357</v>
      </c>
      <c r="K11626" t="s">
        <v>1357</v>
      </c>
      <c r="L11626" t="s">
        <v>1357</v>
      </c>
    </row>
    <row r="11627" spans="1:13">
      <c r="A11627" t="s">
        <v>10666</v>
      </c>
      <c r="B11627">
        <f>HYPERLINK("https://android.googlesource.com/platform/cts/+/eec9f23a429b22bfbccbe4781679fedcbb526f7a", "eec9f23a429b22bfbccbe4781679fedcbb526f7a")</f>
        <v>0</v>
      </c>
      <c r="C11627">
        <f>HYPERLINK("https://android.googlesource.com/platform/cts/+/4cdee18aba37aee11a98fa08903e5671099f45a9", "4cdee18aba37aee11a98fa08903e5671099f45a9")</f>
        <v>0</v>
      </c>
      <c r="D11627" t="s">
        <v>12164</v>
      </c>
      <c r="E11627" t="s">
        <v>13218</v>
      </c>
      <c r="F11627" t="s">
        <v>16384</v>
      </c>
      <c r="G11627" t="s">
        <v>19051</v>
      </c>
      <c r="H11627" t="s">
        <v>22875</v>
      </c>
      <c r="I11627" t="s">
        <v>1357</v>
      </c>
      <c r="J11627" t="s">
        <v>1357</v>
      </c>
      <c r="K11627" t="s">
        <v>1357</v>
      </c>
      <c r="L11627" t="s">
        <v>1357</v>
      </c>
    </row>
    <row r="11628" spans="1:13">
      <c r="A11628" t="s">
        <v>10667</v>
      </c>
      <c r="B11628">
        <f>HYPERLINK("https://android.googlesource.com/platform/cts/+/c21996a3198d8f0cc40759a828ff5ecb343bf281", "c21996a3198d8f0cc40759a828ff5ecb343bf281")</f>
        <v>0</v>
      </c>
      <c r="C11628">
        <f>HYPERLINK("https://android.googlesource.com/platform/cts/+/5625dd670ca4f36967343375f0e7b4875bb1b56d", "5625dd670ca4f36967343375f0e7b4875bb1b56d")</f>
        <v>0</v>
      </c>
      <c r="D11628" t="s">
        <v>12124</v>
      </c>
      <c r="E11628" t="s">
        <v>13219</v>
      </c>
      <c r="F11628" t="s">
        <v>16393</v>
      </c>
      <c r="G11628" t="s">
        <v>19059</v>
      </c>
      <c r="H11628" t="s">
        <v>22876</v>
      </c>
      <c r="I11628" t="s">
        <v>1357</v>
      </c>
      <c r="J11628" t="s">
        <v>1357</v>
      </c>
      <c r="K11628" t="s">
        <v>1357</v>
      </c>
      <c r="L11628" t="s">
        <v>1357</v>
      </c>
    </row>
    <row r="11629" spans="1:13">
      <c r="H11629" t="s">
        <v>22877</v>
      </c>
      <c r="I11629" t="s">
        <v>1357</v>
      </c>
      <c r="J11629" t="s">
        <v>1357</v>
      </c>
      <c r="K11629" t="s">
        <v>1357</v>
      </c>
      <c r="L11629" t="s">
        <v>1357</v>
      </c>
    </row>
    <row r="11630" spans="1:13">
      <c r="A11630" t="s">
        <v>10668</v>
      </c>
      <c r="B11630">
        <f>HYPERLINK("https://android.googlesource.com/platform/cts/+/97a8973fe9374294f44d915e9d11a28f57e9adc4", "97a8973fe9374294f44d915e9d11a28f57e9adc4")</f>
        <v>0</v>
      </c>
      <c r="C11630">
        <f>HYPERLINK("https://android.googlesource.com/platform/cts/+/fe2e7b214a5d42dc21ef078cec968bb9e7b5062c", "fe2e7b214a5d42dc21ef078cec968bb9e7b5062c")</f>
        <v>0</v>
      </c>
      <c r="D11630" t="s">
        <v>12124</v>
      </c>
      <c r="E11630" t="s">
        <v>13220</v>
      </c>
      <c r="F11630" t="s">
        <v>16393</v>
      </c>
      <c r="G11630" t="s">
        <v>19059</v>
      </c>
      <c r="H11630" t="s">
        <v>22876</v>
      </c>
      <c r="I11630" t="s">
        <v>1357</v>
      </c>
      <c r="J11630" t="s">
        <v>1357</v>
      </c>
      <c r="K11630" t="s">
        <v>1357</v>
      </c>
      <c r="L11630" t="s">
        <v>1357</v>
      </c>
    </row>
    <row r="11631" spans="1:13">
      <c r="H11631" t="s">
        <v>22877</v>
      </c>
      <c r="I11631" t="s">
        <v>1357</v>
      </c>
      <c r="J11631" t="s">
        <v>1357</v>
      </c>
      <c r="K11631" t="s">
        <v>1357</v>
      </c>
      <c r="L11631" t="s">
        <v>1357</v>
      </c>
      <c r="M11631" t="s">
        <v>9957</v>
      </c>
    </row>
    <row r="11632" spans="1:13">
      <c r="A11632" t="s">
        <v>10669</v>
      </c>
      <c r="B11632">
        <f>HYPERLINK("https://android.googlesource.com/platform/cts/+/0bbc76997e8205fe8b93e6b875c19ed1993f5a75", "0bbc76997e8205fe8b93e6b875c19ed1993f5a75")</f>
        <v>0</v>
      </c>
      <c r="C11632">
        <f>HYPERLINK("https://android.googlesource.com/platform/cts/+/829b934ca4b4dd88d312ccb41af3ef2b44cf68e0", "829b934ca4b4dd88d312ccb41af3ef2b44cf68e0")</f>
        <v>0</v>
      </c>
      <c r="D11632" t="s">
        <v>12108</v>
      </c>
      <c r="E11632" t="s">
        <v>13221</v>
      </c>
      <c r="F11632" t="s">
        <v>16266</v>
      </c>
      <c r="G11632" t="s">
        <v>18939</v>
      </c>
      <c r="H11632" t="s">
        <v>22878</v>
      </c>
      <c r="I11632" t="s">
        <v>1357</v>
      </c>
      <c r="J11632" t="s">
        <v>1357</v>
      </c>
      <c r="K11632" t="s">
        <v>1357</v>
      </c>
      <c r="L11632" t="s">
        <v>1357</v>
      </c>
    </row>
    <row r="11633" spans="1:13">
      <c r="F11633" t="s">
        <v>16394</v>
      </c>
      <c r="G11633" t="s">
        <v>19060</v>
      </c>
      <c r="H11633" t="s">
        <v>19890</v>
      </c>
      <c r="I11633" t="s">
        <v>1357</v>
      </c>
      <c r="J11633" t="s">
        <v>1357</v>
      </c>
      <c r="K11633" t="s">
        <v>1357</v>
      </c>
      <c r="L11633" t="s">
        <v>1357</v>
      </c>
    </row>
    <row r="11634" spans="1:13">
      <c r="H11634" t="s">
        <v>22879</v>
      </c>
      <c r="I11634" t="s">
        <v>1357</v>
      </c>
      <c r="J11634" t="s">
        <v>1357</v>
      </c>
      <c r="K11634" t="s">
        <v>1357</v>
      </c>
      <c r="L11634" t="s">
        <v>1357</v>
      </c>
    </row>
    <row r="11635" spans="1:13">
      <c r="H11635" t="s">
        <v>22880</v>
      </c>
      <c r="I11635" t="s">
        <v>1357</v>
      </c>
      <c r="J11635" t="s">
        <v>1357</v>
      </c>
      <c r="K11635" t="s">
        <v>1357</v>
      </c>
      <c r="L11635" t="s">
        <v>1357</v>
      </c>
    </row>
    <row r="11636" spans="1:13">
      <c r="A11636" t="s">
        <v>10670</v>
      </c>
      <c r="B11636">
        <f>HYPERLINK("https://android.googlesource.com/platform/cts/+/fa00c81e658f7ad149f16f0f021bf9924578ea60", "fa00c81e658f7ad149f16f0f021bf9924578ea60")</f>
        <v>0</v>
      </c>
      <c r="C11636">
        <f>HYPERLINK("https://android.googlesource.com/platform/cts/+/2c4fc540e0e4cbbe67122d66aee957a02aec4274", "2c4fc540e0e4cbbe67122d66aee957a02aec4274")</f>
        <v>0</v>
      </c>
      <c r="D11636" t="s">
        <v>12040</v>
      </c>
      <c r="E11636" t="s">
        <v>13222</v>
      </c>
      <c r="F11636" t="s">
        <v>16395</v>
      </c>
      <c r="G11636" t="s">
        <v>19061</v>
      </c>
      <c r="H11636" t="s">
        <v>22881</v>
      </c>
      <c r="I11636" t="s">
        <v>1357</v>
      </c>
      <c r="J11636" t="s">
        <v>1357</v>
      </c>
      <c r="K11636" t="s">
        <v>1357</v>
      </c>
      <c r="L11636" t="s">
        <v>1357</v>
      </c>
    </row>
    <row r="11637" spans="1:13">
      <c r="A11637" t="s">
        <v>10671</v>
      </c>
      <c r="B11637">
        <f>HYPERLINK("https://android.googlesource.com/platform/cts/+/7dacee705bf0f3d970df2b79316175581fcdf068", "7dacee705bf0f3d970df2b79316175581fcdf068")</f>
        <v>0</v>
      </c>
      <c r="C11637">
        <f>HYPERLINK("https://android.googlesource.com/platform/cts/+/d4fe797f08237bc33931f685b4e6d1e5530058ca", "d4fe797f08237bc33931f685b4e6d1e5530058ca")</f>
        <v>0</v>
      </c>
      <c r="D11637" t="s">
        <v>12040</v>
      </c>
      <c r="E11637" t="s">
        <v>13222</v>
      </c>
      <c r="F11637" t="s">
        <v>16395</v>
      </c>
      <c r="G11637" t="s">
        <v>19061</v>
      </c>
      <c r="H11637" t="s">
        <v>22881</v>
      </c>
      <c r="I11637" t="s">
        <v>1357</v>
      </c>
      <c r="J11637" t="s">
        <v>1357</v>
      </c>
      <c r="K11637" t="s">
        <v>1357</v>
      </c>
      <c r="L11637" t="s">
        <v>1357</v>
      </c>
      <c r="M11637" t="s">
        <v>9957</v>
      </c>
    </row>
    <row r="11638" spans="1:13">
      <c r="A11638" t="s">
        <v>10672</v>
      </c>
      <c r="B11638">
        <f>HYPERLINK("https://android.googlesource.com/platform/cts/+/83a34784633140573cf48187843d95282fa57b41", "83a34784633140573cf48187843d95282fa57b41")</f>
        <v>0</v>
      </c>
      <c r="C11638">
        <f>HYPERLINK("https://android.googlesource.com/platform/cts/+/e4e8edc0b120494d65e2ab89e7ffc3f5a2e656cf", "e4e8edc0b120494d65e2ab89e7ffc3f5a2e656cf")</f>
        <v>0</v>
      </c>
      <c r="D11638" t="s">
        <v>12181</v>
      </c>
      <c r="E11638" t="s">
        <v>13163</v>
      </c>
      <c r="F11638" t="s">
        <v>16266</v>
      </c>
      <c r="G11638" t="s">
        <v>18939</v>
      </c>
      <c r="H11638" t="s">
        <v>22760</v>
      </c>
      <c r="I11638" t="s">
        <v>1357</v>
      </c>
      <c r="J11638" t="s">
        <v>1357</v>
      </c>
      <c r="K11638" t="s">
        <v>1357</v>
      </c>
      <c r="L11638" t="s">
        <v>1357</v>
      </c>
    </row>
    <row r="11639" spans="1:13">
      <c r="A11639" t="s">
        <v>10673</v>
      </c>
      <c r="B11639">
        <f>HYPERLINK("https://android.googlesource.com/platform/cts/+/66a5966d69917ac3a97687895c774a770ba4a938", "66a5966d69917ac3a97687895c774a770ba4a938")</f>
        <v>0</v>
      </c>
      <c r="C11639">
        <f>HYPERLINK("https://android.googlesource.com/platform/cts/+/3d7983f29bfb23ea56b630acd99d24dfd534f780", "3d7983f29bfb23ea56b630acd99d24dfd534f780")</f>
        <v>0</v>
      </c>
      <c r="D11639" t="s">
        <v>12181</v>
      </c>
      <c r="E11639" t="s">
        <v>13163</v>
      </c>
      <c r="F11639" t="s">
        <v>16266</v>
      </c>
      <c r="G11639" t="s">
        <v>18939</v>
      </c>
      <c r="H11639" t="s">
        <v>22760</v>
      </c>
      <c r="I11639" t="s">
        <v>1357</v>
      </c>
      <c r="J11639" t="s">
        <v>1357</v>
      </c>
      <c r="K11639" t="s">
        <v>1357</v>
      </c>
      <c r="L11639" t="s">
        <v>1357</v>
      </c>
      <c r="M11639" t="s">
        <v>9957</v>
      </c>
    </row>
    <row r="11640" spans="1:13">
      <c r="A11640" t="s">
        <v>10674</v>
      </c>
      <c r="B11640">
        <f>HYPERLINK("https://android.googlesource.com/platform/cts/+/cfa1bad68ea58b3939ee4f862f04b668a9e34e01", "cfa1bad68ea58b3939ee4f862f04b668a9e34e01")</f>
        <v>0</v>
      </c>
      <c r="C11640">
        <f>HYPERLINK("https://android.googlesource.com/platform/cts/+/1beb10346c9f9ca4c35f8d3f26f5fa11de802dc4", "1beb10346c9f9ca4c35f8d3f26f5fa11de802dc4")</f>
        <v>0</v>
      </c>
      <c r="D11640" t="s">
        <v>12124</v>
      </c>
      <c r="E11640" t="s">
        <v>13223</v>
      </c>
      <c r="F11640" t="s">
        <v>16393</v>
      </c>
      <c r="G11640" t="s">
        <v>19059</v>
      </c>
      <c r="H11640" t="s">
        <v>22876</v>
      </c>
      <c r="I11640" t="s">
        <v>1357</v>
      </c>
      <c r="J11640" t="s">
        <v>1357</v>
      </c>
      <c r="K11640" t="s">
        <v>1357</v>
      </c>
      <c r="L11640" t="s">
        <v>1357</v>
      </c>
    </row>
    <row r="11641" spans="1:13">
      <c r="H11641" t="s">
        <v>22877</v>
      </c>
      <c r="I11641" t="s">
        <v>1357</v>
      </c>
      <c r="J11641" t="s">
        <v>1357</v>
      </c>
      <c r="K11641" t="s">
        <v>1357</v>
      </c>
      <c r="L11641" t="s">
        <v>1357</v>
      </c>
    </row>
    <row r="11642" spans="1:13">
      <c r="A11642" t="s">
        <v>10675</v>
      </c>
      <c r="B11642">
        <f>HYPERLINK("https://android.googlesource.com/platform/cts/+/3a51173a3a762b576dd3c0d29c883e8763a9f95b", "3a51173a3a762b576dd3c0d29c883e8763a9f95b")</f>
        <v>0</v>
      </c>
      <c r="C11642">
        <f>HYPERLINK("https://android.googlesource.com/platform/cts/+/eb6e330495e48493247cd6f5dd06698d74cb585d", "eb6e330495e48493247cd6f5dd06698d74cb585d")</f>
        <v>0</v>
      </c>
      <c r="D11642" t="s">
        <v>12182</v>
      </c>
      <c r="E11642" t="s">
        <v>13224</v>
      </c>
      <c r="F11642" t="s">
        <v>16396</v>
      </c>
      <c r="G11642" t="s">
        <v>19062</v>
      </c>
      <c r="H11642" t="s">
        <v>22882</v>
      </c>
      <c r="I11642" t="s">
        <v>1357</v>
      </c>
      <c r="J11642" t="s">
        <v>1357</v>
      </c>
      <c r="K11642" t="s">
        <v>1357</v>
      </c>
      <c r="L11642" t="s">
        <v>1357</v>
      </c>
    </row>
    <row r="11643" spans="1:13">
      <c r="H11643" t="s">
        <v>22883</v>
      </c>
      <c r="I11643" t="s">
        <v>1357</v>
      </c>
      <c r="J11643" t="s">
        <v>1357</v>
      </c>
      <c r="K11643" t="s">
        <v>1357</v>
      </c>
      <c r="L11643" t="s">
        <v>1357</v>
      </c>
    </row>
    <row r="11644" spans="1:13">
      <c r="A11644" t="s">
        <v>10676</v>
      </c>
      <c r="B11644">
        <f>HYPERLINK("https://android.googlesource.com/platform/cts/+/bb289fde9dc33320645f891aaf66fe68768e4e9e", "bb289fde9dc33320645f891aaf66fe68768e4e9e")</f>
        <v>0</v>
      </c>
      <c r="C11644">
        <f>HYPERLINK("https://android.googlesource.com/platform/cts/+/a88cd7cb5969cd4c6e81aa86d8c204917634f454", "a88cd7cb5969cd4c6e81aa86d8c204917634f454")</f>
        <v>0</v>
      </c>
      <c r="D11644" t="s">
        <v>12182</v>
      </c>
      <c r="E11644" t="s">
        <v>13225</v>
      </c>
      <c r="F11644" t="s">
        <v>16396</v>
      </c>
      <c r="G11644" t="s">
        <v>19062</v>
      </c>
      <c r="H11644" t="s">
        <v>22882</v>
      </c>
      <c r="I11644" t="s">
        <v>1357</v>
      </c>
      <c r="J11644" t="s">
        <v>1357</v>
      </c>
      <c r="K11644" t="s">
        <v>1357</v>
      </c>
      <c r="L11644" t="s">
        <v>1357</v>
      </c>
      <c r="M11644" t="s">
        <v>9957</v>
      </c>
    </row>
    <row r="11645" spans="1:13">
      <c r="H11645" t="s">
        <v>22883</v>
      </c>
      <c r="I11645" t="s">
        <v>1357</v>
      </c>
      <c r="J11645" t="s">
        <v>1357</v>
      </c>
      <c r="K11645" t="s">
        <v>1357</v>
      </c>
      <c r="L11645" t="s">
        <v>1357</v>
      </c>
    </row>
    <row r="11646" spans="1:13">
      <c r="A11646" t="s">
        <v>10677</v>
      </c>
      <c r="B11646">
        <f>HYPERLINK("https://android.googlesource.com/platform/cts/+/4704484d8f314b8879c7e1c659deec2b774f0902", "4704484d8f314b8879c7e1c659deec2b774f0902")</f>
        <v>0</v>
      </c>
      <c r="C11646">
        <f>HYPERLINK("https://android.googlesource.com/platform/cts/+/e19e0b274b15640731746916df2e83156d87f165", "e19e0b274b15640731746916df2e83156d87f165")</f>
        <v>0</v>
      </c>
      <c r="D11646" t="s">
        <v>12108</v>
      </c>
      <c r="E11646" t="s">
        <v>13226</v>
      </c>
      <c r="F11646" t="s">
        <v>16344</v>
      </c>
      <c r="G11646" t="s">
        <v>19013</v>
      </c>
      <c r="H11646" t="s">
        <v>19890</v>
      </c>
      <c r="I11646" t="s">
        <v>1357</v>
      </c>
      <c r="J11646" t="s">
        <v>1357</v>
      </c>
      <c r="K11646" t="s">
        <v>1357</v>
      </c>
      <c r="L11646" t="s">
        <v>1357</v>
      </c>
    </row>
    <row r="11647" spans="1:13">
      <c r="H11647" t="s">
        <v>22884</v>
      </c>
      <c r="I11647" t="s">
        <v>1357</v>
      </c>
      <c r="J11647" t="s">
        <v>1357</v>
      </c>
      <c r="K11647" t="s">
        <v>1357</v>
      </c>
      <c r="L11647" t="s">
        <v>1357</v>
      </c>
    </row>
    <row r="11648" spans="1:13">
      <c r="A11648" t="s">
        <v>10678</v>
      </c>
      <c r="B11648">
        <f>HYPERLINK("https://android.googlesource.com/platform/cts/+/bf1931551bb500f36ac35aeb1e2d098d2a14e87d", "bf1931551bb500f36ac35aeb1e2d098d2a14e87d")</f>
        <v>0</v>
      </c>
      <c r="C11648">
        <f>HYPERLINK("https://android.googlesource.com/platform/cts/+/3d442a2c83119052e291987cd865b2522be94417", "3d442a2c83119052e291987cd865b2522be94417")</f>
        <v>0</v>
      </c>
      <c r="D11648" t="s">
        <v>12018</v>
      </c>
      <c r="E11648" t="s">
        <v>13227</v>
      </c>
      <c r="F11648" t="s">
        <v>14481</v>
      </c>
      <c r="G11648" t="s">
        <v>17328</v>
      </c>
      <c r="H11648" t="s">
        <v>22885</v>
      </c>
      <c r="I11648" t="s">
        <v>1357</v>
      </c>
      <c r="J11648" t="s">
        <v>1357</v>
      </c>
      <c r="K11648" t="s">
        <v>1357</v>
      </c>
      <c r="L11648" t="s">
        <v>1357</v>
      </c>
    </row>
    <row r="11649" spans="1:12">
      <c r="A11649" t="s">
        <v>10679</v>
      </c>
      <c r="B11649">
        <f>HYPERLINK("https://android.googlesource.com/platform/cts/+/1a51e0490717cbbc9719ba76074a32eba6554d0b", "1a51e0490717cbbc9719ba76074a32eba6554d0b")</f>
        <v>0</v>
      </c>
      <c r="C11649">
        <f>HYPERLINK("https://android.googlesource.com/platform/cts/+/2227b6ad4e3987bf498ec2af84a1b9b047e46d23", "2227b6ad4e3987bf498ec2af84a1b9b047e46d23")</f>
        <v>0</v>
      </c>
      <c r="D11649" t="s">
        <v>12018</v>
      </c>
      <c r="E11649" t="s">
        <v>13228</v>
      </c>
      <c r="F11649" t="s">
        <v>14481</v>
      </c>
      <c r="G11649" t="s">
        <v>17328</v>
      </c>
      <c r="H11649" t="s">
        <v>22886</v>
      </c>
      <c r="I11649" t="s">
        <v>1357</v>
      </c>
      <c r="J11649" t="s">
        <v>1357</v>
      </c>
      <c r="K11649" t="s">
        <v>1357</v>
      </c>
      <c r="L11649" t="s">
        <v>1357</v>
      </c>
    </row>
    <row r="11650" spans="1:12">
      <c r="A11650" t="s">
        <v>10680</v>
      </c>
      <c r="B11650">
        <f>HYPERLINK("https://android.googlesource.com/platform/cts/+/d5ddcc51caeecd5ca89f56b29242ee22248efbaf", "d5ddcc51caeecd5ca89f56b29242ee22248efbaf")</f>
        <v>0</v>
      </c>
      <c r="C11650">
        <f>HYPERLINK("https://android.googlesource.com/platform/cts/+/387c3fddcb28a357b2af54a010fd851cfa1e87ef", "387c3fddcb28a357b2af54a010fd851cfa1e87ef")</f>
        <v>0</v>
      </c>
      <c r="D11650" t="s">
        <v>12018</v>
      </c>
      <c r="E11650" t="s">
        <v>13229</v>
      </c>
      <c r="F11650" t="s">
        <v>16397</v>
      </c>
      <c r="G11650" t="s">
        <v>19063</v>
      </c>
      <c r="H11650" t="s">
        <v>22887</v>
      </c>
      <c r="I11650" t="s">
        <v>1357</v>
      </c>
      <c r="J11650" t="s">
        <v>1357</v>
      </c>
      <c r="K11650" t="s">
        <v>1357</v>
      </c>
      <c r="L11650" t="s">
        <v>1357</v>
      </c>
    </row>
    <row r="11651" spans="1:12">
      <c r="H11651" t="s">
        <v>8763</v>
      </c>
      <c r="I11651" t="s">
        <v>1357</v>
      </c>
      <c r="J11651" t="s">
        <v>1357</v>
      </c>
      <c r="K11651" t="s">
        <v>1357</v>
      </c>
      <c r="L11651" t="s">
        <v>1357</v>
      </c>
    </row>
    <row r="11652" spans="1:12">
      <c r="H11652" t="s">
        <v>22888</v>
      </c>
      <c r="I11652" t="s">
        <v>1357</v>
      </c>
      <c r="J11652" t="s">
        <v>1357</v>
      </c>
      <c r="K11652" t="s">
        <v>1357</v>
      </c>
      <c r="L11652" t="s">
        <v>1357</v>
      </c>
    </row>
    <row r="11653" spans="1:12">
      <c r="F11653" t="s">
        <v>16004</v>
      </c>
      <c r="G11653" t="s">
        <v>18696</v>
      </c>
      <c r="H11653" t="s">
        <v>22889</v>
      </c>
      <c r="I11653" t="s">
        <v>1357</v>
      </c>
      <c r="J11653" t="s">
        <v>1357</v>
      </c>
      <c r="K11653" t="s">
        <v>1357</v>
      </c>
      <c r="L11653" t="s">
        <v>1357</v>
      </c>
    </row>
    <row r="11654" spans="1:12">
      <c r="A11654" t="s">
        <v>10681</v>
      </c>
      <c r="B11654">
        <f>HYPERLINK("https://android.googlesource.com/platform/cts/+/d09f0795c44bf98fbba6f28e62b86aa0ce536648", "d09f0795c44bf98fbba6f28e62b86aa0ce536648")</f>
        <v>0</v>
      </c>
      <c r="C11654">
        <f>HYPERLINK("https://android.googlesource.com/platform/cts/+/9ba11729349ba2572cd751974c76d72860dc4159", "9ba11729349ba2572cd751974c76d72860dc4159")</f>
        <v>0</v>
      </c>
      <c r="D11654" t="s">
        <v>12111</v>
      </c>
      <c r="E11654" t="s">
        <v>13230</v>
      </c>
      <c r="F11654" t="s">
        <v>16167</v>
      </c>
      <c r="G11654" t="s">
        <v>18848</v>
      </c>
      <c r="H11654" t="s">
        <v>22890</v>
      </c>
      <c r="I11654" t="s">
        <v>1357</v>
      </c>
      <c r="J11654" t="s">
        <v>1357</v>
      </c>
      <c r="K11654" t="s">
        <v>1357</v>
      </c>
      <c r="L11654" t="s">
        <v>1357</v>
      </c>
    </row>
    <row r="11655" spans="1:12">
      <c r="A11655" t="s">
        <v>10682</v>
      </c>
      <c r="B11655">
        <f>HYPERLINK("https://android.googlesource.com/platform/cts/+/c27fcc2b4804a1869f178fb0eef68ff53b94eac9", "c27fcc2b4804a1869f178fb0eef68ff53b94eac9")</f>
        <v>0</v>
      </c>
      <c r="C11655">
        <f>HYPERLINK("https://android.googlesource.com/platform/cts/+/d6a61e047471a52019df334e69d04b5ca90703ad", "d6a61e047471a52019df334e69d04b5ca90703ad")</f>
        <v>0</v>
      </c>
      <c r="D11655" t="s">
        <v>12183</v>
      </c>
      <c r="E11655" t="s">
        <v>13231</v>
      </c>
      <c r="F11655" t="s">
        <v>14542</v>
      </c>
      <c r="G11655" t="s">
        <v>17387</v>
      </c>
      <c r="H11655" t="s">
        <v>22891</v>
      </c>
      <c r="I11655" t="s">
        <v>1357</v>
      </c>
      <c r="J11655" t="s">
        <v>1357</v>
      </c>
      <c r="K11655" t="s">
        <v>1357</v>
      </c>
      <c r="L11655" t="s">
        <v>1357</v>
      </c>
    </row>
    <row r="11656" spans="1:12">
      <c r="H11656" t="s">
        <v>22892</v>
      </c>
      <c r="I11656" t="s">
        <v>1357</v>
      </c>
      <c r="J11656" t="s">
        <v>1357</v>
      </c>
      <c r="K11656" t="s">
        <v>1357</v>
      </c>
      <c r="L11656" t="s">
        <v>1357</v>
      </c>
    </row>
    <row r="11657" spans="1:12">
      <c r="H11657" t="s">
        <v>22893</v>
      </c>
      <c r="I11657" t="s">
        <v>1357</v>
      </c>
      <c r="J11657" t="s">
        <v>1357</v>
      </c>
      <c r="K11657" t="s">
        <v>1357</v>
      </c>
      <c r="L11657" t="s">
        <v>1357</v>
      </c>
    </row>
    <row r="11658" spans="1:12">
      <c r="A11658" t="s">
        <v>10683</v>
      </c>
      <c r="B11658">
        <f>HYPERLINK("https://android.googlesource.com/platform/cts/+/86c62b976108d4e302ac59834bbac5004e6279bd", "86c62b976108d4e302ac59834bbac5004e6279bd")</f>
        <v>0</v>
      </c>
      <c r="C11658">
        <f>HYPERLINK("https://android.googlesource.com/platform/cts/+/2a4aeb16e29061d358cfbf9a03a052ddb41e800a", "2a4aeb16e29061d358cfbf9a03a052ddb41e800a")</f>
        <v>0</v>
      </c>
      <c r="D11658" t="s">
        <v>12111</v>
      </c>
      <c r="E11658" t="s">
        <v>13232</v>
      </c>
      <c r="F11658" t="s">
        <v>16398</v>
      </c>
      <c r="G11658" t="s">
        <v>19064</v>
      </c>
      <c r="H11658" t="s">
        <v>22894</v>
      </c>
      <c r="I11658" t="s">
        <v>1357</v>
      </c>
      <c r="J11658" t="s">
        <v>1357</v>
      </c>
      <c r="K11658" t="s">
        <v>1357</v>
      </c>
      <c r="L11658" t="s">
        <v>1357</v>
      </c>
    </row>
    <row r="11659" spans="1:12">
      <c r="A11659" t="s">
        <v>10684</v>
      </c>
      <c r="B11659">
        <f>HYPERLINK("https://android.googlesource.com/platform/cts/+/883fccda545906be3db121bc6b2420790747f99f", "883fccda545906be3db121bc6b2420790747f99f")</f>
        <v>0</v>
      </c>
      <c r="C11659">
        <f>HYPERLINK("https://android.googlesource.com/platform/cts/+/b46dc4767cdaa44992c2083c915d28cb1a94cc96", "b46dc4767cdaa44992c2083c915d28cb1a94cc96")</f>
        <v>0</v>
      </c>
      <c r="D11659" t="s">
        <v>12184</v>
      </c>
      <c r="E11659" t="s">
        <v>13233</v>
      </c>
      <c r="F11659" t="s">
        <v>16399</v>
      </c>
      <c r="G11659" t="s">
        <v>19065</v>
      </c>
      <c r="H11659" t="s">
        <v>9402</v>
      </c>
      <c r="I11659" t="s">
        <v>1357</v>
      </c>
      <c r="J11659" t="s">
        <v>1357</v>
      </c>
      <c r="K11659" t="s">
        <v>1357</v>
      </c>
      <c r="L11659" t="s">
        <v>1357</v>
      </c>
    </row>
    <row r="11660" spans="1:12">
      <c r="A11660" t="s">
        <v>10685</v>
      </c>
      <c r="B11660">
        <f>HYPERLINK("https://android.googlesource.com/platform/cts/+/4938b4d5ef8f2246784e919113331420ae541208", "4938b4d5ef8f2246784e919113331420ae541208")</f>
        <v>0</v>
      </c>
      <c r="C11660">
        <f>HYPERLINK("https://android.googlesource.com/platform/cts/+/12644d30d10a3c25826cd4b2f0a20bc645d464a5", "12644d30d10a3c25826cd4b2f0a20bc645d464a5")</f>
        <v>0</v>
      </c>
      <c r="D11660" t="s">
        <v>11991</v>
      </c>
      <c r="E11660" t="s">
        <v>13234</v>
      </c>
      <c r="F11660" t="s">
        <v>15921</v>
      </c>
      <c r="G11660" t="s">
        <v>18613</v>
      </c>
      <c r="H11660" t="s">
        <v>22895</v>
      </c>
      <c r="I11660" t="s">
        <v>1357</v>
      </c>
      <c r="J11660" t="s">
        <v>1357</v>
      </c>
      <c r="K11660" t="s">
        <v>1357</v>
      </c>
      <c r="L11660" t="s">
        <v>1357</v>
      </c>
    </row>
    <row r="11661" spans="1:12">
      <c r="A11661" t="s">
        <v>10686</v>
      </c>
      <c r="B11661">
        <f>HYPERLINK("https://android.googlesource.com/platform/cts/+/86acc4015bd61a081ca8b79f22ab471ca0e9e4f7", "86acc4015bd61a081ca8b79f22ab471ca0e9e4f7")</f>
        <v>0</v>
      </c>
      <c r="C11661">
        <f>HYPERLINK("https://android.googlesource.com/platform/cts/+/ed6a097fa82e6ce3eb30ed85d65fd229ac6dded8", "ed6a097fa82e6ce3eb30ed85d65fd229ac6dded8")</f>
        <v>0</v>
      </c>
      <c r="D11661" t="s">
        <v>12158</v>
      </c>
      <c r="E11661" t="s">
        <v>13235</v>
      </c>
      <c r="F11661" t="s">
        <v>16400</v>
      </c>
      <c r="G11661" t="s">
        <v>19066</v>
      </c>
      <c r="H11661" t="s">
        <v>22896</v>
      </c>
      <c r="I11661" t="s">
        <v>1357</v>
      </c>
      <c r="J11661" t="s">
        <v>1357</v>
      </c>
      <c r="K11661" t="s">
        <v>1357</v>
      </c>
      <c r="L11661" t="s">
        <v>1357</v>
      </c>
    </row>
    <row r="11662" spans="1:12">
      <c r="H11662" t="s">
        <v>22897</v>
      </c>
      <c r="I11662" t="s">
        <v>1357</v>
      </c>
      <c r="J11662" t="s">
        <v>1357</v>
      </c>
      <c r="K11662" t="s">
        <v>1357</v>
      </c>
      <c r="L11662" t="s">
        <v>1357</v>
      </c>
    </row>
    <row r="11663" spans="1:12">
      <c r="A11663" t="s">
        <v>10687</v>
      </c>
      <c r="B11663">
        <f>HYPERLINK("https://android.googlesource.com/platform/cts/+/773de498feb509c58075b5655749497b9edf09ab", "773de498feb509c58075b5655749497b9edf09ab")</f>
        <v>0</v>
      </c>
      <c r="C11663">
        <f>HYPERLINK("https://android.googlesource.com/platform/cts/+/5117a58ddd340b64c294fa98a9f0691678edd8bd", "5117a58ddd340b64c294fa98a9f0691678edd8bd")</f>
        <v>0</v>
      </c>
      <c r="D11663" t="s">
        <v>12126</v>
      </c>
      <c r="E11663" t="s">
        <v>13236</v>
      </c>
      <c r="F11663" t="s">
        <v>16205</v>
      </c>
      <c r="G11663" t="s">
        <v>18883</v>
      </c>
      <c r="H11663" t="s">
        <v>22898</v>
      </c>
      <c r="I11663" t="s">
        <v>1358</v>
      </c>
      <c r="J11663" t="s">
        <v>1358</v>
      </c>
      <c r="K11663" t="s">
        <v>1358</v>
      </c>
      <c r="L11663" t="s">
        <v>1358</v>
      </c>
    </row>
    <row r="11664" spans="1:12">
      <c r="H11664" t="s">
        <v>22899</v>
      </c>
      <c r="I11664" t="s">
        <v>1358</v>
      </c>
      <c r="J11664" t="s">
        <v>1358</v>
      </c>
      <c r="K11664" t="s">
        <v>1358</v>
      </c>
      <c r="L11664" t="s">
        <v>1358</v>
      </c>
    </row>
    <row r="11665" spans="1:12">
      <c r="H11665" t="s">
        <v>22900</v>
      </c>
      <c r="I11665" t="s">
        <v>1358</v>
      </c>
      <c r="J11665" t="s">
        <v>1358</v>
      </c>
      <c r="K11665" t="s">
        <v>1358</v>
      </c>
      <c r="L11665" t="s">
        <v>1358</v>
      </c>
    </row>
    <row r="11666" spans="1:12">
      <c r="H11666" t="s">
        <v>22901</v>
      </c>
      <c r="I11666" t="s">
        <v>1358</v>
      </c>
      <c r="J11666" t="s">
        <v>1358</v>
      </c>
      <c r="K11666" t="s">
        <v>1358</v>
      </c>
      <c r="L11666" t="s">
        <v>1358</v>
      </c>
    </row>
    <row r="11667" spans="1:12">
      <c r="H11667" t="s">
        <v>22902</v>
      </c>
      <c r="I11667" t="s">
        <v>1358</v>
      </c>
      <c r="J11667" t="s">
        <v>1358</v>
      </c>
      <c r="K11667" t="s">
        <v>1358</v>
      </c>
      <c r="L11667" t="s">
        <v>1358</v>
      </c>
    </row>
    <row r="11668" spans="1:12">
      <c r="H11668" t="s">
        <v>22903</v>
      </c>
      <c r="I11668" t="s">
        <v>1358</v>
      </c>
      <c r="J11668" t="s">
        <v>1358</v>
      </c>
      <c r="K11668" t="s">
        <v>1358</v>
      </c>
      <c r="L11668" t="s">
        <v>1358</v>
      </c>
    </row>
    <row r="11669" spans="1:12">
      <c r="H11669" t="s">
        <v>22904</v>
      </c>
      <c r="I11669" t="s">
        <v>1358</v>
      </c>
      <c r="J11669" t="s">
        <v>1358</v>
      </c>
      <c r="K11669" t="s">
        <v>1358</v>
      </c>
      <c r="L11669" t="s">
        <v>1358</v>
      </c>
    </row>
    <row r="11670" spans="1:12">
      <c r="H11670" t="s">
        <v>22905</v>
      </c>
      <c r="I11670" t="s">
        <v>1358</v>
      </c>
      <c r="J11670" t="s">
        <v>1358</v>
      </c>
      <c r="K11670" t="s">
        <v>1358</v>
      </c>
      <c r="L11670" t="s">
        <v>1358</v>
      </c>
    </row>
    <row r="11671" spans="1:12">
      <c r="H11671" t="s">
        <v>22906</v>
      </c>
      <c r="I11671" t="s">
        <v>1358</v>
      </c>
      <c r="J11671" t="s">
        <v>1358</v>
      </c>
      <c r="K11671" t="s">
        <v>1358</v>
      </c>
      <c r="L11671" t="s">
        <v>1358</v>
      </c>
    </row>
    <row r="11672" spans="1:12">
      <c r="H11672" t="s">
        <v>22907</v>
      </c>
      <c r="I11672" t="s">
        <v>1358</v>
      </c>
      <c r="J11672" t="s">
        <v>1358</v>
      </c>
      <c r="K11672" t="s">
        <v>1358</v>
      </c>
      <c r="L11672" t="s">
        <v>1358</v>
      </c>
    </row>
    <row r="11673" spans="1:12">
      <c r="H11673" t="s">
        <v>22908</v>
      </c>
      <c r="I11673" t="s">
        <v>1358</v>
      </c>
      <c r="J11673" t="s">
        <v>1358</v>
      </c>
      <c r="K11673" t="s">
        <v>1358</v>
      </c>
      <c r="L11673" t="s">
        <v>1358</v>
      </c>
    </row>
    <row r="11674" spans="1:12">
      <c r="H11674" t="s">
        <v>22909</v>
      </c>
      <c r="I11674" t="s">
        <v>1358</v>
      </c>
      <c r="J11674" t="s">
        <v>1358</v>
      </c>
      <c r="K11674" t="s">
        <v>1358</v>
      </c>
      <c r="L11674" t="s">
        <v>1358</v>
      </c>
    </row>
    <row r="11675" spans="1:12">
      <c r="H11675" t="s">
        <v>22910</v>
      </c>
      <c r="I11675" t="s">
        <v>1358</v>
      </c>
      <c r="J11675" t="s">
        <v>1358</v>
      </c>
      <c r="K11675" t="s">
        <v>1358</v>
      </c>
      <c r="L11675" t="s">
        <v>1358</v>
      </c>
    </row>
    <row r="11676" spans="1:12">
      <c r="H11676" t="s">
        <v>22911</v>
      </c>
      <c r="I11676" t="s">
        <v>1358</v>
      </c>
      <c r="J11676" t="s">
        <v>1358</v>
      </c>
      <c r="K11676" t="s">
        <v>1358</v>
      </c>
      <c r="L11676" t="s">
        <v>1358</v>
      </c>
    </row>
    <row r="11677" spans="1:12">
      <c r="A11677" t="s">
        <v>10688</v>
      </c>
      <c r="B11677">
        <f>HYPERLINK("https://android.googlesource.com/platform/cts/+/d3e185ac001ba84d0efa5be69dbfdd328c759cf3", "d3e185ac001ba84d0efa5be69dbfdd328c759cf3")</f>
        <v>0</v>
      </c>
      <c r="C11677">
        <f>HYPERLINK("https://android.googlesource.com/platform/cts/+/9aca2a73bfc04c9443a7d3b04a0b796f5f06891a", "9aca2a73bfc04c9443a7d3b04a0b796f5f06891a")</f>
        <v>0</v>
      </c>
      <c r="D11677" t="s">
        <v>12120</v>
      </c>
      <c r="E11677" t="s">
        <v>13237</v>
      </c>
      <c r="F11677" t="s">
        <v>16401</v>
      </c>
      <c r="G11677" t="s">
        <v>19067</v>
      </c>
      <c r="H11677" t="s">
        <v>22912</v>
      </c>
      <c r="I11677" t="s">
        <v>1357</v>
      </c>
      <c r="J11677" t="s">
        <v>1357</v>
      </c>
      <c r="K11677" t="s">
        <v>1357</v>
      </c>
      <c r="L11677" t="s">
        <v>1357</v>
      </c>
    </row>
    <row r="11678" spans="1:12">
      <c r="A11678" t="s">
        <v>10689</v>
      </c>
      <c r="B11678">
        <f>HYPERLINK("https://android.googlesource.com/platform/cts/+/274f3552effd7d59ff0ee2ced9fc5872541eba9f", "274f3552effd7d59ff0ee2ced9fc5872541eba9f")</f>
        <v>0</v>
      </c>
      <c r="C11678">
        <f>HYPERLINK("https://android.googlesource.com/platform/cts/+/8f43b55c939164fa93bc06c34ca1b2af04d0fee7", "8f43b55c939164fa93bc06c34ca1b2af04d0fee7")</f>
        <v>0</v>
      </c>
      <c r="D11678" t="s">
        <v>12185</v>
      </c>
      <c r="E11678" t="s">
        <v>13238</v>
      </c>
      <c r="F11678" t="s">
        <v>14479</v>
      </c>
      <c r="G11678" t="s">
        <v>17326</v>
      </c>
      <c r="H11678" t="s">
        <v>22913</v>
      </c>
      <c r="I11678" t="s">
        <v>1358</v>
      </c>
      <c r="J11678" t="s">
        <v>1358</v>
      </c>
      <c r="K11678" t="s">
        <v>1358</v>
      </c>
      <c r="L11678" t="s">
        <v>1358</v>
      </c>
    </row>
    <row r="11679" spans="1:12">
      <c r="A11679" t="s">
        <v>10690</v>
      </c>
      <c r="B11679">
        <f>HYPERLINK("https://android.googlesource.com/platform/cts/+/48f1a7bd20f5287061b80149cf4fe1ff0b4d4f13", "48f1a7bd20f5287061b80149cf4fe1ff0b4d4f13")</f>
        <v>0</v>
      </c>
      <c r="C11679">
        <f>HYPERLINK("https://android.googlesource.com/platform/cts/+/e8ddc79ad79915cb7df91841a42d9536220e86db", "e8ddc79ad79915cb7df91841a42d9536220e86db")</f>
        <v>0</v>
      </c>
      <c r="D11679" t="s">
        <v>12186</v>
      </c>
      <c r="E11679" t="s">
        <v>13239</v>
      </c>
      <c r="F11679" t="s">
        <v>16402</v>
      </c>
      <c r="G11679" t="s">
        <v>19068</v>
      </c>
      <c r="H11679" t="s">
        <v>22914</v>
      </c>
      <c r="I11679" t="s">
        <v>1357</v>
      </c>
      <c r="J11679" t="s">
        <v>1357</v>
      </c>
      <c r="K11679" t="s">
        <v>1357</v>
      </c>
      <c r="L11679" t="s">
        <v>1357</v>
      </c>
    </row>
    <row r="11680" spans="1:12">
      <c r="A11680" t="s">
        <v>10691</v>
      </c>
      <c r="B11680">
        <f>HYPERLINK("https://android.googlesource.com/platform/cts/+/c6b8a08f4356649e1ab9f0a043622bdfe4d34c20", "c6b8a08f4356649e1ab9f0a043622bdfe4d34c20")</f>
        <v>0</v>
      </c>
      <c r="C11680">
        <f>HYPERLINK("https://android.googlesource.com/platform/cts/+/58a88d15d921b2ef3a36366cb456fc07e5449c8b", "58a88d15d921b2ef3a36366cb456fc07e5449c8b")</f>
        <v>0</v>
      </c>
      <c r="D11680" t="s">
        <v>12022</v>
      </c>
      <c r="E11680" t="s">
        <v>13240</v>
      </c>
      <c r="F11680" t="s">
        <v>16353</v>
      </c>
      <c r="G11680" t="s">
        <v>19022</v>
      </c>
      <c r="H11680" t="s">
        <v>22915</v>
      </c>
      <c r="I11680" t="s">
        <v>1357</v>
      </c>
      <c r="J11680" t="s">
        <v>1357</v>
      </c>
      <c r="K11680" t="s">
        <v>1357</v>
      </c>
      <c r="L11680" t="s">
        <v>1357</v>
      </c>
    </row>
    <row r="11681" spans="1:13">
      <c r="A11681" t="s">
        <v>10692</v>
      </c>
      <c r="B11681">
        <f>HYPERLINK("https://android.googlesource.com/platform/cts/+/5a69a63bd4f5a9533312c09f00bdd0404620b1f9", "5a69a63bd4f5a9533312c09f00bdd0404620b1f9")</f>
        <v>0</v>
      </c>
      <c r="C11681">
        <f>HYPERLINK("https://android.googlesource.com/platform/cts/+/66562c058c978be66d333f7a641cb7959049e0ba", "66562c058c978be66d333f7a641cb7959049e0ba")</f>
        <v>0</v>
      </c>
      <c r="D11681" t="s">
        <v>12187</v>
      </c>
      <c r="E11681" t="s">
        <v>13241</v>
      </c>
      <c r="F11681" t="s">
        <v>16403</v>
      </c>
      <c r="G11681" t="s">
        <v>19069</v>
      </c>
      <c r="H11681" t="s">
        <v>22916</v>
      </c>
      <c r="I11681" t="s">
        <v>1357</v>
      </c>
      <c r="J11681" t="s">
        <v>1357</v>
      </c>
      <c r="K11681" t="s">
        <v>1357</v>
      </c>
      <c r="L11681" t="s">
        <v>1357</v>
      </c>
    </row>
    <row r="11682" spans="1:13">
      <c r="H11682" t="s">
        <v>22917</v>
      </c>
      <c r="I11682" t="s">
        <v>1357</v>
      </c>
      <c r="J11682" t="s">
        <v>1357</v>
      </c>
      <c r="K11682" t="s">
        <v>1357</v>
      </c>
      <c r="L11682" t="s">
        <v>1357</v>
      </c>
    </row>
    <row r="11683" spans="1:13">
      <c r="H11683" t="s">
        <v>22918</v>
      </c>
      <c r="I11683" t="s">
        <v>1357</v>
      </c>
      <c r="J11683" t="s">
        <v>1357</v>
      </c>
      <c r="K11683" t="s">
        <v>1357</v>
      </c>
      <c r="L11683" t="s">
        <v>1357</v>
      </c>
    </row>
    <row r="11684" spans="1:13">
      <c r="A11684" t="s">
        <v>10693</v>
      </c>
      <c r="B11684">
        <f>HYPERLINK("https://android.googlesource.com/platform/cts/+/e09bb891ca1b70104ce00a7f8399a582fc451af3", "e09bb891ca1b70104ce00a7f8399a582fc451af3")</f>
        <v>0</v>
      </c>
      <c r="C11684">
        <f>HYPERLINK("https://android.googlesource.com/platform/cts/+/ecefadc7541147dcf522ef139024c65c3a9a0658", "ecefadc7541147dcf522ef139024c65c3a9a0658")</f>
        <v>0</v>
      </c>
      <c r="D11684" t="s">
        <v>12187</v>
      </c>
      <c r="E11684" t="s">
        <v>13241</v>
      </c>
      <c r="F11684" t="s">
        <v>16403</v>
      </c>
      <c r="G11684" t="s">
        <v>19069</v>
      </c>
      <c r="H11684" t="s">
        <v>22916</v>
      </c>
      <c r="I11684" t="s">
        <v>1357</v>
      </c>
      <c r="J11684" t="s">
        <v>1357</v>
      </c>
      <c r="K11684" t="s">
        <v>1357</v>
      </c>
      <c r="L11684" t="s">
        <v>1357</v>
      </c>
    </row>
    <row r="11685" spans="1:13">
      <c r="H11685" t="s">
        <v>22917</v>
      </c>
      <c r="I11685" t="s">
        <v>1357</v>
      </c>
      <c r="J11685" t="s">
        <v>1357</v>
      </c>
      <c r="K11685" t="s">
        <v>1357</v>
      </c>
      <c r="L11685" t="s">
        <v>1357</v>
      </c>
    </row>
    <row r="11686" spans="1:13">
      <c r="H11686" t="s">
        <v>22918</v>
      </c>
      <c r="I11686" t="s">
        <v>1357</v>
      </c>
      <c r="J11686" t="s">
        <v>1357</v>
      </c>
      <c r="K11686" t="s">
        <v>1357</v>
      </c>
      <c r="L11686" t="s">
        <v>1357</v>
      </c>
      <c r="M11686" t="s">
        <v>9957</v>
      </c>
    </row>
    <row r="11687" spans="1:13">
      <c r="A11687" t="s">
        <v>10694</v>
      </c>
      <c r="B11687">
        <f>HYPERLINK("https://android.googlesource.com/platform/cts/+/74e17361be356ff8a46c96989f4e67a34e345ce4", "74e17361be356ff8a46c96989f4e67a34e345ce4")</f>
        <v>0</v>
      </c>
      <c r="C11687">
        <f>HYPERLINK("https://android.googlesource.com/platform/cts/+/6c11e6dd7b660544650fb8fbccb924b75b227a74", "6c11e6dd7b660544650fb8fbccb924b75b227a74")</f>
        <v>0</v>
      </c>
      <c r="D11687" t="s">
        <v>12105</v>
      </c>
      <c r="E11687" t="s">
        <v>13242</v>
      </c>
      <c r="F11687" t="s">
        <v>16404</v>
      </c>
      <c r="G11687" t="s">
        <v>19070</v>
      </c>
      <c r="H11687" t="s">
        <v>22919</v>
      </c>
      <c r="I11687" t="s">
        <v>1357</v>
      </c>
      <c r="J11687" t="s">
        <v>1357</v>
      </c>
      <c r="K11687" t="s">
        <v>1357</v>
      </c>
      <c r="L11687" t="s">
        <v>1357</v>
      </c>
    </row>
    <row r="11688" spans="1:13">
      <c r="A11688" t="s">
        <v>10695</v>
      </c>
      <c r="B11688">
        <f>HYPERLINK("https://android.googlesource.com/platform/cts/+/5148a3338ec3e0833d49047f8d478776b6686ad0", "5148a3338ec3e0833d49047f8d478776b6686ad0")</f>
        <v>0</v>
      </c>
      <c r="C11688">
        <f>HYPERLINK("https://android.googlesource.com/platform/cts/+/02c12dde10d73f9a17a0e7fd957094ecb0f4678e", "02c12dde10d73f9a17a0e7fd957094ecb0f4678e")</f>
        <v>0</v>
      </c>
      <c r="D11688" t="s">
        <v>12179</v>
      </c>
      <c r="E11688" t="s">
        <v>13243</v>
      </c>
      <c r="F11688" t="s">
        <v>14519</v>
      </c>
      <c r="G11688" t="s">
        <v>17364</v>
      </c>
      <c r="H11688" t="s">
        <v>22872</v>
      </c>
      <c r="I11688" t="s">
        <v>1357</v>
      </c>
      <c r="J11688" t="s">
        <v>1357</v>
      </c>
      <c r="K11688" t="s">
        <v>1357</v>
      </c>
      <c r="L11688" t="s">
        <v>1357</v>
      </c>
    </row>
    <row r="11689" spans="1:13">
      <c r="A11689" t="s">
        <v>10696</v>
      </c>
      <c r="B11689">
        <f>HYPERLINK("https://android.googlesource.com/platform/cts/+/5384ec0341ad4a8110bf4fd80c76d667618f8706", "5384ec0341ad4a8110bf4fd80c76d667618f8706")</f>
        <v>0</v>
      </c>
      <c r="C11689">
        <f>HYPERLINK("https://android.googlesource.com/platform/cts/+/5513323484daba314c3715aa5a4b2532a2fe5417", "5513323484daba314c3715aa5a4b2532a2fe5417")</f>
        <v>0</v>
      </c>
      <c r="D11689" t="s">
        <v>12187</v>
      </c>
      <c r="E11689" t="s">
        <v>13244</v>
      </c>
      <c r="F11689" t="s">
        <v>16403</v>
      </c>
      <c r="G11689" t="s">
        <v>19069</v>
      </c>
      <c r="H11689" t="s">
        <v>22920</v>
      </c>
      <c r="I11689" t="s">
        <v>1357</v>
      </c>
      <c r="J11689" t="s">
        <v>1357</v>
      </c>
      <c r="K11689" t="s">
        <v>1357</v>
      </c>
      <c r="L11689" t="s">
        <v>1357</v>
      </c>
    </row>
    <row r="11690" spans="1:13">
      <c r="A11690" t="s">
        <v>10697</v>
      </c>
      <c r="B11690">
        <f>HYPERLINK("https://android.googlesource.com/platform/cts/+/67d8501d4667cba8a6e2ddc64f3db54880831d2f", "67d8501d4667cba8a6e2ddc64f3db54880831d2f")</f>
        <v>0</v>
      </c>
      <c r="C11690">
        <f>HYPERLINK("https://android.googlesource.com/platform/cts/+/17415fa2106275cddf97b9f0ce6361cca1088a88", "17415fa2106275cddf97b9f0ce6361cca1088a88")</f>
        <v>0</v>
      </c>
      <c r="D11690" t="s">
        <v>12097</v>
      </c>
      <c r="E11690" t="s">
        <v>13245</v>
      </c>
      <c r="F11690" t="s">
        <v>16405</v>
      </c>
      <c r="G11690" t="s">
        <v>19071</v>
      </c>
      <c r="H11690" t="s">
        <v>22921</v>
      </c>
      <c r="I11690" t="s">
        <v>1357</v>
      </c>
      <c r="J11690" t="s">
        <v>1357</v>
      </c>
      <c r="K11690" t="s">
        <v>1357</v>
      </c>
      <c r="L11690" t="s">
        <v>1357</v>
      </c>
    </row>
    <row r="11691" spans="1:13">
      <c r="H11691" t="s">
        <v>22922</v>
      </c>
      <c r="I11691" t="s">
        <v>1357</v>
      </c>
      <c r="J11691" t="s">
        <v>1357</v>
      </c>
      <c r="K11691" t="s">
        <v>1357</v>
      </c>
      <c r="L11691" t="s">
        <v>1357</v>
      </c>
    </row>
    <row r="11692" spans="1:13">
      <c r="F11692" t="s">
        <v>14540</v>
      </c>
      <c r="G11692" t="s">
        <v>17385</v>
      </c>
      <c r="H11692" t="s">
        <v>795</v>
      </c>
      <c r="I11692" t="s">
        <v>1357</v>
      </c>
      <c r="J11692" t="s">
        <v>1357</v>
      </c>
      <c r="K11692" t="s">
        <v>1357</v>
      </c>
      <c r="L11692" t="s">
        <v>1357</v>
      </c>
    </row>
    <row r="11693" spans="1:13">
      <c r="H11693" t="s">
        <v>22923</v>
      </c>
      <c r="I11693" t="s">
        <v>1357</v>
      </c>
      <c r="J11693" t="s">
        <v>1357</v>
      </c>
      <c r="K11693" t="s">
        <v>1357</v>
      </c>
      <c r="L11693" t="s">
        <v>1357</v>
      </c>
    </row>
    <row r="11694" spans="1:13">
      <c r="H11694" t="s">
        <v>8338</v>
      </c>
      <c r="I11694" t="s">
        <v>1357</v>
      </c>
      <c r="J11694" t="s">
        <v>1357</v>
      </c>
      <c r="K11694" t="s">
        <v>1357</v>
      </c>
      <c r="L11694" t="s">
        <v>1357</v>
      </c>
    </row>
    <row r="11695" spans="1:13">
      <c r="H11695" t="s">
        <v>5281</v>
      </c>
      <c r="I11695" t="s">
        <v>1357</v>
      </c>
      <c r="J11695" t="s">
        <v>1357</v>
      </c>
      <c r="K11695" t="s">
        <v>1357</v>
      </c>
      <c r="L11695" t="s">
        <v>1357</v>
      </c>
    </row>
    <row r="11696" spans="1:13">
      <c r="H11696" t="s">
        <v>22924</v>
      </c>
      <c r="I11696" t="s">
        <v>1357</v>
      </c>
      <c r="J11696" t="s">
        <v>1357</v>
      </c>
      <c r="K11696" t="s">
        <v>1357</v>
      </c>
      <c r="L11696" t="s">
        <v>1357</v>
      </c>
    </row>
    <row r="11697" spans="8:12">
      <c r="H11697" t="s">
        <v>22925</v>
      </c>
      <c r="I11697" t="s">
        <v>1357</v>
      </c>
      <c r="J11697" t="s">
        <v>1357</v>
      </c>
      <c r="K11697" t="s">
        <v>1357</v>
      </c>
      <c r="L11697" t="s">
        <v>1357</v>
      </c>
    </row>
    <row r="11698" spans="8:12">
      <c r="H11698" t="s">
        <v>22926</v>
      </c>
      <c r="I11698" t="s">
        <v>1357</v>
      </c>
      <c r="J11698" t="s">
        <v>1357</v>
      </c>
      <c r="K11698" t="s">
        <v>1357</v>
      </c>
      <c r="L11698" t="s">
        <v>1357</v>
      </c>
    </row>
    <row r="11699" spans="8:12">
      <c r="H11699" t="s">
        <v>22927</v>
      </c>
      <c r="I11699" t="s">
        <v>1357</v>
      </c>
      <c r="J11699" t="s">
        <v>1357</v>
      </c>
      <c r="K11699" t="s">
        <v>1357</v>
      </c>
      <c r="L11699" t="s">
        <v>1357</v>
      </c>
    </row>
    <row r="11700" spans="8:12">
      <c r="H11700" t="s">
        <v>22928</v>
      </c>
      <c r="I11700" t="s">
        <v>1357</v>
      </c>
      <c r="J11700" t="s">
        <v>1357</v>
      </c>
      <c r="K11700" t="s">
        <v>1357</v>
      </c>
      <c r="L11700" t="s">
        <v>1357</v>
      </c>
    </row>
    <row r="11701" spans="8:12">
      <c r="H11701" t="s">
        <v>22929</v>
      </c>
      <c r="I11701" t="s">
        <v>1357</v>
      </c>
      <c r="J11701" t="s">
        <v>1357</v>
      </c>
      <c r="K11701" t="s">
        <v>1357</v>
      </c>
      <c r="L11701" t="s">
        <v>1357</v>
      </c>
    </row>
    <row r="11702" spans="8:12">
      <c r="H11702" t="s">
        <v>22930</v>
      </c>
      <c r="I11702" t="s">
        <v>1357</v>
      </c>
      <c r="J11702" t="s">
        <v>1357</v>
      </c>
      <c r="K11702" t="s">
        <v>1357</v>
      </c>
      <c r="L11702" t="s">
        <v>1357</v>
      </c>
    </row>
    <row r="11703" spans="8:12">
      <c r="H11703" t="s">
        <v>22931</v>
      </c>
      <c r="I11703" t="s">
        <v>1357</v>
      </c>
      <c r="J11703" t="s">
        <v>1357</v>
      </c>
      <c r="K11703" t="s">
        <v>1357</v>
      </c>
      <c r="L11703" t="s">
        <v>1357</v>
      </c>
    </row>
    <row r="11704" spans="8:12">
      <c r="H11704" t="s">
        <v>22932</v>
      </c>
      <c r="I11704" t="s">
        <v>1357</v>
      </c>
      <c r="J11704" t="s">
        <v>1357</v>
      </c>
      <c r="K11704" t="s">
        <v>1357</v>
      </c>
      <c r="L11704" t="s">
        <v>1357</v>
      </c>
    </row>
    <row r="11705" spans="8:12">
      <c r="H11705" t="s">
        <v>22933</v>
      </c>
      <c r="I11705" t="s">
        <v>1357</v>
      </c>
      <c r="J11705" t="s">
        <v>1357</v>
      </c>
      <c r="K11705" t="s">
        <v>1357</v>
      </c>
      <c r="L11705" t="s">
        <v>1357</v>
      </c>
    </row>
    <row r="11706" spans="8:12">
      <c r="H11706" t="s">
        <v>22934</v>
      </c>
      <c r="I11706" t="s">
        <v>1357</v>
      </c>
      <c r="J11706" t="s">
        <v>1357</v>
      </c>
      <c r="K11706" t="s">
        <v>1357</v>
      </c>
      <c r="L11706" t="s">
        <v>1357</v>
      </c>
    </row>
    <row r="11707" spans="8:12">
      <c r="H11707" t="s">
        <v>22935</v>
      </c>
      <c r="I11707" t="s">
        <v>1357</v>
      </c>
      <c r="J11707" t="s">
        <v>1357</v>
      </c>
      <c r="K11707" t="s">
        <v>1357</v>
      </c>
      <c r="L11707" t="s">
        <v>1357</v>
      </c>
    </row>
    <row r="11708" spans="8:12">
      <c r="H11708" t="s">
        <v>22936</v>
      </c>
      <c r="I11708" t="s">
        <v>1357</v>
      </c>
      <c r="J11708" t="s">
        <v>1357</v>
      </c>
      <c r="K11708" t="s">
        <v>1357</v>
      </c>
      <c r="L11708" t="s">
        <v>1357</v>
      </c>
    </row>
    <row r="11709" spans="8:12">
      <c r="H11709" t="s">
        <v>22937</v>
      </c>
      <c r="I11709" t="s">
        <v>1357</v>
      </c>
      <c r="J11709" t="s">
        <v>1357</v>
      </c>
      <c r="K11709" t="s">
        <v>1357</v>
      </c>
      <c r="L11709" t="s">
        <v>1357</v>
      </c>
    </row>
    <row r="11710" spans="8:12">
      <c r="H11710" t="s">
        <v>22938</v>
      </c>
      <c r="I11710" t="s">
        <v>1357</v>
      </c>
      <c r="J11710" t="s">
        <v>1357</v>
      </c>
      <c r="K11710" t="s">
        <v>1357</v>
      </c>
      <c r="L11710" t="s">
        <v>1357</v>
      </c>
    </row>
    <row r="11711" spans="8:12">
      <c r="H11711" t="s">
        <v>22939</v>
      </c>
      <c r="I11711" t="s">
        <v>1357</v>
      </c>
      <c r="J11711" t="s">
        <v>1357</v>
      </c>
      <c r="K11711" t="s">
        <v>1357</v>
      </c>
      <c r="L11711" t="s">
        <v>1357</v>
      </c>
    </row>
    <row r="11712" spans="8:12">
      <c r="H11712" t="s">
        <v>22940</v>
      </c>
      <c r="I11712" t="s">
        <v>1357</v>
      </c>
      <c r="J11712" t="s">
        <v>1357</v>
      </c>
      <c r="K11712" t="s">
        <v>1357</v>
      </c>
      <c r="L11712" t="s">
        <v>1357</v>
      </c>
    </row>
    <row r="11713" spans="6:12">
      <c r="H11713" t="s">
        <v>22941</v>
      </c>
      <c r="I11713" t="s">
        <v>1357</v>
      </c>
      <c r="J11713" t="s">
        <v>1357</v>
      </c>
      <c r="K11713" t="s">
        <v>1357</v>
      </c>
      <c r="L11713" t="s">
        <v>1357</v>
      </c>
    </row>
    <row r="11714" spans="6:12">
      <c r="H11714" t="s">
        <v>22942</v>
      </c>
      <c r="I11714" t="s">
        <v>1357</v>
      </c>
      <c r="J11714" t="s">
        <v>1357</v>
      </c>
      <c r="K11714" t="s">
        <v>1357</v>
      </c>
      <c r="L11714" t="s">
        <v>1357</v>
      </c>
    </row>
    <row r="11715" spans="6:12">
      <c r="H11715" t="s">
        <v>20032</v>
      </c>
      <c r="I11715" t="s">
        <v>1357</v>
      </c>
      <c r="J11715" t="s">
        <v>1357</v>
      </c>
      <c r="K11715" t="s">
        <v>1357</v>
      </c>
      <c r="L11715" t="s">
        <v>1357</v>
      </c>
    </row>
    <row r="11716" spans="6:12">
      <c r="H11716" t="s">
        <v>20051</v>
      </c>
      <c r="I11716" t="s">
        <v>1357</v>
      </c>
      <c r="J11716" t="s">
        <v>1357</v>
      </c>
      <c r="K11716" t="s">
        <v>1357</v>
      </c>
      <c r="L11716" t="s">
        <v>1357</v>
      </c>
    </row>
    <row r="11717" spans="6:12">
      <c r="H11717" t="s">
        <v>19931</v>
      </c>
      <c r="I11717" t="s">
        <v>1357</v>
      </c>
      <c r="J11717" t="s">
        <v>1357</v>
      </c>
      <c r="K11717" t="s">
        <v>1357</v>
      </c>
      <c r="L11717" t="s">
        <v>1357</v>
      </c>
    </row>
    <row r="11718" spans="6:12">
      <c r="F11718" t="s">
        <v>16261</v>
      </c>
      <c r="G11718" t="s">
        <v>18934</v>
      </c>
      <c r="H11718" t="s">
        <v>22943</v>
      </c>
      <c r="I11718" t="s">
        <v>1357</v>
      </c>
      <c r="J11718" t="s">
        <v>1357</v>
      </c>
      <c r="K11718" t="s">
        <v>1357</v>
      </c>
      <c r="L11718" t="s">
        <v>1357</v>
      </c>
    </row>
    <row r="11719" spans="6:12">
      <c r="F11719" t="s">
        <v>15193</v>
      </c>
      <c r="G11719" t="s">
        <v>17895</v>
      </c>
      <c r="H11719" t="s">
        <v>22944</v>
      </c>
      <c r="I11719" t="s">
        <v>1357</v>
      </c>
      <c r="J11719" t="s">
        <v>1357</v>
      </c>
      <c r="K11719" t="s">
        <v>1357</v>
      </c>
      <c r="L11719" t="s">
        <v>1357</v>
      </c>
    </row>
    <row r="11720" spans="6:12">
      <c r="H11720" t="s">
        <v>22945</v>
      </c>
      <c r="I11720" t="s">
        <v>1357</v>
      </c>
      <c r="J11720" t="s">
        <v>1357</v>
      </c>
      <c r="K11720" t="s">
        <v>1357</v>
      </c>
      <c r="L11720" t="s">
        <v>1357</v>
      </c>
    </row>
    <row r="11721" spans="6:12">
      <c r="H11721" t="s">
        <v>22946</v>
      </c>
      <c r="I11721" t="s">
        <v>1357</v>
      </c>
      <c r="J11721" t="s">
        <v>1357</v>
      </c>
      <c r="K11721" t="s">
        <v>1357</v>
      </c>
      <c r="L11721" t="s">
        <v>1357</v>
      </c>
    </row>
    <row r="11722" spans="6:12">
      <c r="H11722" t="s">
        <v>22947</v>
      </c>
      <c r="I11722" t="s">
        <v>1357</v>
      </c>
      <c r="J11722" t="s">
        <v>1357</v>
      </c>
      <c r="K11722" t="s">
        <v>1357</v>
      </c>
      <c r="L11722" t="s">
        <v>1357</v>
      </c>
    </row>
    <row r="11723" spans="6:12">
      <c r="H11723" t="s">
        <v>22948</v>
      </c>
      <c r="I11723" t="s">
        <v>1357</v>
      </c>
      <c r="J11723" t="s">
        <v>1357</v>
      </c>
      <c r="K11723" t="s">
        <v>1357</v>
      </c>
      <c r="L11723" t="s">
        <v>1357</v>
      </c>
    </row>
    <row r="11724" spans="6:12">
      <c r="H11724" t="s">
        <v>22949</v>
      </c>
      <c r="I11724" t="s">
        <v>1357</v>
      </c>
      <c r="J11724" t="s">
        <v>1357</v>
      </c>
      <c r="K11724" t="s">
        <v>1357</v>
      </c>
      <c r="L11724" t="s">
        <v>1357</v>
      </c>
    </row>
    <row r="11725" spans="6:12">
      <c r="H11725" t="s">
        <v>22950</v>
      </c>
      <c r="I11725" t="s">
        <v>1357</v>
      </c>
      <c r="J11725" t="s">
        <v>1357</v>
      </c>
      <c r="K11725" t="s">
        <v>1357</v>
      </c>
      <c r="L11725" t="s">
        <v>1357</v>
      </c>
    </row>
    <row r="11726" spans="6:12">
      <c r="H11726" t="s">
        <v>22951</v>
      </c>
      <c r="I11726" t="s">
        <v>1357</v>
      </c>
      <c r="J11726" t="s">
        <v>1357</v>
      </c>
      <c r="K11726" t="s">
        <v>1357</v>
      </c>
      <c r="L11726" t="s">
        <v>1357</v>
      </c>
    </row>
    <row r="11727" spans="6:12">
      <c r="H11727" t="s">
        <v>22952</v>
      </c>
      <c r="I11727" t="s">
        <v>1357</v>
      </c>
      <c r="J11727" t="s">
        <v>1357</v>
      </c>
      <c r="K11727" t="s">
        <v>1357</v>
      </c>
      <c r="L11727" t="s">
        <v>1357</v>
      </c>
    </row>
    <row r="11728" spans="6:12">
      <c r="H11728" t="s">
        <v>22953</v>
      </c>
      <c r="I11728" t="s">
        <v>1357</v>
      </c>
      <c r="J11728" t="s">
        <v>1357</v>
      </c>
      <c r="K11728" t="s">
        <v>1357</v>
      </c>
      <c r="L11728" t="s">
        <v>1357</v>
      </c>
    </row>
    <row r="11729" spans="1:12">
      <c r="H11729" t="s">
        <v>22954</v>
      </c>
      <c r="I11729" t="s">
        <v>1357</v>
      </c>
      <c r="J11729" t="s">
        <v>1357</v>
      </c>
      <c r="K11729" t="s">
        <v>1357</v>
      </c>
      <c r="L11729" t="s">
        <v>1357</v>
      </c>
    </row>
    <row r="11730" spans="1:12">
      <c r="H11730" t="s">
        <v>22955</v>
      </c>
      <c r="I11730" t="s">
        <v>1357</v>
      </c>
      <c r="J11730" t="s">
        <v>1357</v>
      </c>
      <c r="K11730" t="s">
        <v>1357</v>
      </c>
      <c r="L11730" t="s">
        <v>1357</v>
      </c>
    </row>
    <row r="11731" spans="1:12">
      <c r="F11731" t="s">
        <v>16406</v>
      </c>
      <c r="G11731" t="s">
        <v>19072</v>
      </c>
      <c r="H11731" t="s">
        <v>22956</v>
      </c>
      <c r="I11731" t="s">
        <v>1357</v>
      </c>
      <c r="J11731" t="s">
        <v>1357</v>
      </c>
      <c r="K11731" t="s">
        <v>1357</v>
      </c>
      <c r="L11731" t="s">
        <v>1357</v>
      </c>
    </row>
    <row r="11732" spans="1:12">
      <c r="H11732" t="s">
        <v>22957</v>
      </c>
      <c r="I11732" t="s">
        <v>1357</v>
      </c>
      <c r="J11732" t="s">
        <v>1357</v>
      </c>
      <c r="K11732" t="s">
        <v>1357</v>
      </c>
      <c r="L11732" t="s">
        <v>1357</v>
      </c>
    </row>
    <row r="11733" spans="1:12">
      <c r="F11733" t="s">
        <v>15912</v>
      </c>
      <c r="G11733" t="s">
        <v>456</v>
      </c>
      <c r="H11733" t="s">
        <v>22958</v>
      </c>
      <c r="I11733" t="s">
        <v>1357</v>
      </c>
      <c r="J11733" t="s">
        <v>1357</v>
      </c>
      <c r="K11733" t="s">
        <v>1357</v>
      </c>
      <c r="L11733" t="s">
        <v>1357</v>
      </c>
    </row>
    <row r="11734" spans="1:12">
      <c r="F11734" t="s">
        <v>16407</v>
      </c>
      <c r="G11734" t="s">
        <v>19073</v>
      </c>
      <c r="H11734" t="s">
        <v>22410</v>
      </c>
      <c r="I11734" t="s">
        <v>1357</v>
      </c>
      <c r="J11734" t="s">
        <v>1357</v>
      </c>
      <c r="K11734" t="s">
        <v>1357</v>
      </c>
      <c r="L11734" t="s">
        <v>1357</v>
      </c>
    </row>
    <row r="11735" spans="1:12">
      <c r="H11735" t="s">
        <v>22959</v>
      </c>
      <c r="I11735" t="s">
        <v>1357</v>
      </c>
      <c r="J11735" t="s">
        <v>1357</v>
      </c>
      <c r="K11735" t="s">
        <v>1357</v>
      </c>
      <c r="L11735" t="s">
        <v>1357</v>
      </c>
    </row>
    <row r="11736" spans="1:12">
      <c r="H11736" t="s">
        <v>22960</v>
      </c>
      <c r="I11736" t="s">
        <v>1357</v>
      </c>
      <c r="J11736" t="s">
        <v>1357</v>
      </c>
      <c r="K11736" t="s">
        <v>1357</v>
      </c>
      <c r="L11736" t="s">
        <v>1357</v>
      </c>
    </row>
    <row r="11737" spans="1:12">
      <c r="H11737" t="s">
        <v>22961</v>
      </c>
      <c r="I11737" t="s">
        <v>1357</v>
      </c>
      <c r="J11737" t="s">
        <v>1357</v>
      </c>
      <c r="K11737" t="s">
        <v>1357</v>
      </c>
      <c r="L11737" t="s">
        <v>1357</v>
      </c>
    </row>
    <row r="11738" spans="1:12">
      <c r="H11738" t="s">
        <v>22962</v>
      </c>
      <c r="I11738" t="s">
        <v>1357</v>
      </c>
      <c r="J11738" t="s">
        <v>1357</v>
      </c>
      <c r="K11738" t="s">
        <v>1357</v>
      </c>
      <c r="L11738" t="s">
        <v>1357</v>
      </c>
    </row>
    <row r="11739" spans="1:12">
      <c r="F11739" t="s">
        <v>16404</v>
      </c>
      <c r="G11739" t="s">
        <v>19070</v>
      </c>
      <c r="H11739" t="s">
        <v>22963</v>
      </c>
      <c r="I11739" t="s">
        <v>1357</v>
      </c>
      <c r="J11739" t="s">
        <v>1357</v>
      </c>
      <c r="K11739" t="s">
        <v>1357</v>
      </c>
      <c r="L11739" t="s">
        <v>1357</v>
      </c>
    </row>
    <row r="11740" spans="1:12">
      <c r="F11740" t="s">
        <v>16180</v>
      </c>
      <c r="G11740" t="s">
        <v>18860</v>
      </c>
      <c r="H11740" t="s">
        <v>22964</v>
      </c>
      <c r="I11740" t="s">
        <v>1357</v>
      </c>
      <c r="J11740" t="s">
        <v>1357</v>
      </c>
      <c r="K11740" t="s">
        <v>1357</v>
      </c>
      <c r="L11740" t="s">
        <v>1357</v>
      </c>
    </row>
    <row r="11741" spans="1:12">
      <c r="H11741" t="s">
        <v>22965</v>
      </c>
      <c r="I11741" t="s">
        <v>1357</v>
      </c>
      <c r="J11741" t="s">
        <v>1357</v>
      </c>
      <c r="K11741" t="s">
        <v>1357</v>
      </c>
      <c r="L11741" t="s">
        <v>1357</v>
      </c>
    </row>
    <row r="11742" spans="1:12">
      <c r="H11742" t="s">
        <v>22966</v>
      </c>
      <c r="I11742" t="s">
        <v>1357</v>
      </c>
      <c r="J11742" t="s">
        <v>1357</v>
      </c>
      <c r="K11742" t="s">
        <v>1357</v>
      </c>
      <c r="L11742" t="s">
        <v>1357</v>
      </c>
    </row>
    <row r="11743" spans="1:12">
      <c r="H11743" t="s">
        <v>22967</v>
      </c>
      <c r="I11743" t="s">
        <v>1357</v>
      </c>
      <c r="J11743" t="s">
        <v>1357</v>
      </c>
      <c r="K11743" t="s">
        <v>1357</v>
      </c>
      <c r="L11743" t="s">
        <v>1357</v>
      </c>
    </row>
    <row r="11744" spans="1:12">
      <c r="A11744" t="s">
        <v>10698</v>
      </c>
      <c r="B11744">
        <f>HYPERLINK("https://android.googlesource.com/platform/cts/+/39a3a6f8fe03d18a497d358859fe031be1971381", "39a3a6f8fe03d18a497d358859fe031be1971381")</f>
        <v>0</v>
      </c>
      <c r="C11744">
        <f>HYPERLINK("https://android.googlesource.com/platform/cts/+/66f165a05785e7e010e0e62db0e7d103ba255ff2", "66f165a05785e7e010e0e62db0e7d103ba255ff2")</f>
        <v>0</v>
      </c>
      <c r="D11744" t="s">
        <v>11991</v>
      </c>
      <c r="E11744" t="s">
        <v>13246</v>
      </c>
      <c r="F11744" t="s">
        <v>15921</v>
      </c>
      <c r="G11744" t="s">
        <v>18613</v>
      </c>
      <c r="H11744" t="s">
        <v>22895</v>
      </c>
      <c r="I11744" t="s">
        <v>1357</v>
      </c>
      <c r="J11744" t="s">
        <v>1357</v>
      </c>
      <c r="K11744" t="s">
        <v>1357</v>
      </c>
      <c r="L11744" t="s">
        <v>1357</v>
      </c>
    </row>
    <row r="11745" spans="1:12">
      <c r="A11745" t="s">
        <v>10699</v>
      </c>
      <c r="B11745">
        <f>HYPERLINK("https://android.googlesource.com/platform/cts/+/94cf78b794bab790856b75dc4e285a73794182a6", "94cf78b794bab790856b75dc4e285a73794182a6")</f>
        <v>0</v>
      </c>
      <c r="C11745">
        <f>HYPERLINK("https://android.googlesource.com/platform/cts/+/42bc75bd71d6aa4572bfde94ca1e00bfaae86bd7", "42bc75bd71d6aa4572bfde94ca1e00bfaae86bd7")</f>
        <v>0</v>
      </c>
      <c r="D11745" t="s">
        <v>12135</v>
      </c>
      <c r="E11745" t="s">
        <v>13247</v>
      </c>
      <c r="F11745" t="s">
        <v>16408</v>
      </c>
      <c r="G11745" t="s">
        <v>19074</v>
      </c>
      <c r="H11745" t="s">
        <v>22968</v>
      </c>
      <c r="I11745" t="s">
        <v>1358</v>
      </c>
      <c r="J11745" t="s">
        <v>1358</v>
      </c>
      <c r="K11745" t="s">
        <v>1358</v>
      </c>
      <c r="L11745" t="s">
        <v>1358</v>
      </c>
    </row>
    <row r="11746" spans="1:12">
      <c r="A11746" t="s">
        <v>10700</v>
      </c>
      <c r="B11746">
        <f>HYPERLINK("https://android.googlesource.com/platform/cts/+/feea9012c87cdb04e563c0cd28daea315617e6db", "feea9012c87cdb04e563c0cd28daea315617e6db")</f>
        <v>0</v>
      </c>
      <c r="C11746">
        <f>HYPERLINK("https://android.googlesource.com/platform/cts/+/2fdac95fe1f450f11774c97f23f626b5a12a646a", "2fdac95fe1f450f11774c97f23f626b5a12a646a")</f>
        <v>0</v>
      </c>
      <c r="D11746" t="s">
        <v>12188</v>
      </c>
      <c r="E11746" t="s">
        <v>13248</v>
      </c>
      <c r="F11746" t="s">
        <v>16409</v>
      </c>
      <c r="G11746" t="s">
        <v>19075</v>
      </c>
      <c r="H11746" t="s">
        <v>22969</v>
      </c>
      <c r="I11746" t="s">
        <v>1357</v>
      </c>
      <c r="J11746" t="s">
        <v>1357</v>
      </c>
      <c r="K11746" t="s">
        <v>1357</v>
      </c>
      <c r="L11746" t="s">
        <v>1357</v>
      </c>
    </row>
    <row r="11747" spans="1:12">
      <c r="H11747" t="s">
        <v>22970</v>
      </c>
      <c r="I11747" t="s">
        <v>1357</v>
      </c>
      <c r="J11747" t="s">
        <v>1357</v>
      </c>
      <c r="K11747" t="s">
        <v>1357</v>
      </c>
      <c r="L11747" t="s">
        <v>1357</v>
      </c>
    </row>
    <row r="11748" spans="1:12">
      <c r="H11748" t="s">
        <v>22971</v>
      </c>
      <c r="I11748" t="s">
        <v>1357</v>
      </c>
      <c r="J11748" t="s">
        <v>1357</v>
      </c>
      <c r="K11748" t="s">
        <v>1357</v>
      </c>
      <c r="L11748" t="s">
        <v>1357</v>
      </c>
    </row>
    <row r="11749" spans="1:12">
      <c r="H11749" t="s">
        <v>22972</v>
      </c>
      <c r="I11749" t="s">
        <v>1357</v>
      </c>
      <c r="J11749" t="s">
        <v>1357</v>
      </c>
      <c r="K11749" t="s">
        <v>1357</v>
      </c>
      <c r="L11749" t="s">
        <v>1357</v>
      </c>
    </row>
    <row r="11750" spans="1:12">
      <c r="A11750" t="s">
        <v>10701</v>
      </c>
      <c r="B11750">
        <f>HYPERLINK("https://android.googlesource.com/platform/cts/+/b3d5a1ed057218055c79c220905b97c972891545", "b3d5a1ed057218055c79c220905b97c972891545")</f>
        <v>0</v>
      </c>
      <c r="C11750">
        <f>HYPERLINK("https://android.googlesource.com/platform/cts/+/3573dc71085071a75fc0d18fdaee0393be9bb87a", "3573dc71085071a75fc0d18fdaee0393be9bb87a")</f>
        <v>0</v>
      </c>
      <c r="D11750" t="s">
        <v>12102</v>
      </c>
      <c r="E11750" t="s">
        <v>13249</v>
      </c>
      <c r="F11750" t="s">
        <v>16337</v>
      </c>
      <c r="G11750" t="s">
        <v>19006</v>
      </c>
      <c r="H11750" t="s">
        <v>22973</v>
      </c>
      <c r="I11750" t="s">
        <v>1357</v>
      </c>
      <c r="J11750" t="s">
        <v>1357</v>
      </c>
      <c r="K11750" t="s">
        <v>1357</v>
      </c>
      <c r="L11750" t="s">
        <v>1357</v>
      </c>
    </row>
    <row r="11751" spans="1:12">
      <c r="A11751" t="s">
        <v>10702</v>
      </c>
      <c r="B11751">
        <f>HYPERLINK("https://android.googlesource.com/platform/cts/+/38aba70dee86f7f24850f283bb5d4ea62923df76", "38aba70dee86f7f24850f283bb5d4ea62923df76")</f>
        <v>0</v>
      </c>
      <c r="C11751">
        <f>HYPERLINK("https://android.googlesource.com/platform/cts/+/6ef7ab7b6621dd6c570ecaa0165d6b7a3f17ba01", "6ef7ab7b6621dd6c570ecaa0165d6b7a3f17ba01")</f>
        <v>0</v>
      </c>
      <c r="D11751" t="s">
        <v>12090</v>
      </c>
      <c r="E11751" t="s">
        <v>13250</v>
      </c>
      <c r="F11751" t="s">
        <v>16410</v>
      </c>
      <c r="G11751" t="s">
        <v>19076</v>
      </c>
      <c r="H11751" t="s">
        <v>22974</v>
      </c>
      <c r="I11751" t="s">
        <v>1357</v>
      </c>
      <c r="J11751" t="s">
        <v>1357</v>
      </c>
      <c r="K11751" t="s">
        <v>1357</v>
      </c>
      <c r="L11751" t="s">
        <v>1357</v>
      </c>
    </row>
    <row r="11752" spans="1:12">
      <c r="H11752" t="s">
        <v>22975</v>
      </c>
      <c r="I11752" t="s">
        <v>1357</v>
      </c>
      <c r="J11752" t="s">
        <v>1357</v>
      </c>
      <c r="K11752" t="s">
        <v>1357</v>
      </c>
      <c r="L11752" t="s">
        <v>1357</v>
      </c>
    </row>
    <row r="11753" spans="1:12">
      <c r="H11753" t="s">
        <v>22976</v>
      </c>
      <c r="I11753" t="s">
        <v>1357</v>
      </c>
      <c r="J11753" t="s">
        <v>1357</v>
      </c>
      <c r="K11753" t="s">
        <v>1357</v>
      </c>
      <c r="L11753" t="s">
        <v>1357</v>
      </c>
    </row>
    <row r="11754" spans="1:12">
      <c r="H11754" t="s">
        <v>22977</v>
      </c>
      <c r="I11754" t="s">
        <v>1357</v>
      </c>
      <c r="J11754" t="s">
        <v>1357</v>
      </c>
      <c r="K11754" t="s">
        <v>1357</v>
      </c>
      <c r="L11754" t="s">
        <v>1357</v>
      </c>
    </row>
    <row r="11755" spans="1:12">
      <c r="H11755" t="s">
        <v>22978</v>
      </c>
      <c r="I11755" t="s">
        <v>1357</v>
      </c>
      <c r="J11755" t="s">
        <v>1357</v>
      </c>
      <c r="K11755" t="s">
        <v>1357</v>
      </c>
      <c r="L11755" t="s">
        <v>1357</v>
      </c>
    </row>
    <row r="11756" spans="1:12">
      <c r="H11756" t="s">
        <v>22979</v>
      </c>
      <c r="I11756" t="s">
        <v>1357</v>
      </c>
      <c r="J11756" t="s">
        <v>1357</v>
      </c>
      <c r="K11756" t="s">
        <v>1357</v>
      </c>
      <c r="L11756" t="s">
        <v>1357</v>
      </c>
    </row>
    <row r="11757" spans="1:12">
      <c r="H11757" t="s">
        <v>22980</v>
      </c>
      <c r="I11757" t="s">
        <v>1357</v>
      </c>
      <c r="J11757" t="s">
        <v>1357</v>
      </c>
      <c r="K11757" t="s">
        <v>1357</v>
      </c>
      <c r="L11757" t="s">
        <v>1357</v>
      </c>
    </row>
    <row r="11758" spans="1:12">
      <c r="H11758" t="s">
        <v>22981</v>
      </c>
      <c r="I11758" t="s">
        <v>1357</v>
      </c>
      <c r="J11758" t="s">
        <v>1357</v>
      </c>
      <c r="K11758" t="s">
        <v>1357</v>
      </c>
      <c r="L11758" t="s">
        <v>1357</v>
      </c>
    </row>
    <row r="11759" spans="1:12">
      <c r="H11759" t="s">
        <v>22982</v>
      </c>
      <c r="I11759" t="s">
        <v>1357</v>
      </c>
      <c r="J11759" t="s">
        <v>1357</v>
      </c>
      <c r="K11759" t="s">
        <v>1357</v>
      </c>
      <c r="L11759" t="s">
        <v>1357</v>
      </c>
    </row>
    <row r="11760" spans="1:12">
      <c r="H11760" t="s">
        <v>22983</v>
      </c>
      <c r="I11760" t="s">
        <v>1357</v>
      </c>
      <c r="J11760" t="s">
        <v>1357</v>
      </c>
      <c r="K11760" t="s">
        <v>1357</v>
      </c>
      <c r="L11760" t="s">
        <v>1357</v>
      </c>
    </row>
    <row r="11761" spans="8:12">
      <c r="H11761" t="s">
        <v>22984</v>
      </c>
      <c r="I11761" t="s">
        <v>1357</v>
      </c>
      <c r="J11761" t="s">
        <v>1357</v>
      </c>
      <c r="K11761" t="s">
        <v>1357</v>
      </c>
      <c r="L11761" t="s">
        <v>1357</v>
      </c>
    </row>
    <row r="11762" spans="8:12">
      <c r="H11762" t="s">
        <v>22985</v>
      </c>
      <c r="I11762" t="s">
        <v>1357</v>
      </c>
      <c r="J11762" t="s">
        <v>1357</v>
      </c>
      <c r="K11762" t="s">
        <v>1357</v>
      </c>
      <c r="L11762" t="s">
        <v>1357</v>
      </c>
    </row>
    <row r="11763" spans="8:12">
      <c r="H11763" t="s">
        <v>22986</v>
      </c>
      <c r="I11763" t="s">
        <v>1357</v>
      </c>
      <c r="J11763" t="s">
        <v>1357</v>
      </c>
      <c r="K11763" t="s">
        <v>1357</v>
      </c>
      <c r="L11763" t="s">
        <v>1357</v>
      </c>
    </row>
    <row r="11764" spans="8:12">
      <c r="H11764" t="s">
        <v>22987</v>
      </c>
      <c r="I11764" t="s">
        <v>1357</v>
      </c>
      <c r="J11764" t="s">
        <v>1357</v>
      </c>
      <c r="K11764" t="s">
        <v>1357</v>
      </c>
      <c r="L11764" t="s">
        <v>1357</v>
      </c>
    </row>
    <row r="11765" spans="8:12">
      <c r="H11765" t="s">
        <v>22988</v>
      </c>
      <c r="I11765" t="s">
        <v>1357</v>
      </c>
      <c r="J11765" t="s">
        <v>1357</v>
      </c>
      <c r="K11765" t="s">
        <v>1357</v>
      </c>
      <c r="L11765" t="s">
        <v>1357</v>
      </c>
    </row>
    <row r="11766" spans="8:12">
      <c r="H11766" t="s">
        <v>22989</v>
      </c>
      <c r="I11766" t="s">
        <v>1357</v>
      </c>
      <c r="J11766" t="s">
        <v>1357</v>
      </c>
      <c r="K11766" t="s">
        <v>1357</v>
      </c>
      <c r="L11766" t="s">
        <v>1357</v>
      </c>
    </row>
    <row r="11767" spans="8:12">
      <c r="H11767" t="s">
        <v>22990</v>
      </c>
      <c r="I11767" t="s">
        <v>1357</v>
      </c>
      <c r="J11767" t="s">
        <v>1357</v>
      </c>
      <c r="K11767" t="s">
        <v>1357</v>
      </c>
      <c r="L11767" t="s">
        <v>1357</v>
      </c>
    </row>
    <row r="11768" spans="8:12">
      <c r="H11768" t="s">
        <v>22991</v>
      </c>
      <c r="I11768" t="s">
        <v>1357</v>
      </c>
      <c r="J11768" t="s">
        <v>1357</v>
      </c>
      <c r="K11768" t="s">
        <v>1357</v>
      </c>
      <c r="L11768" t="s">
        <v>1357</v>
      </c>
    </row>
    <row r="11769" spans="8:12">
      <c r="H11769" t="s">
        <v>22992</v>
      </c>
      <c r="I11769" t="s">
        <v>1357</v>
      </c>
      <c r="J11769" t="s">
        <v>1357</v>
      </c>
      <c r="K11769" t="s">
        <v>1357</v>
      </c>
      <c r="L11769" t="s">
        <v>1357</v>
      </c>
    </row>
    <row r="11770" spans="8:12">
      <c r="H11770" t="s">
        <v>22993</v>
      </c>
      <c r="I11770" t="s">
        <v>1357</v>
      </c>
      <c r="J11770" t="s">
        <v>1357</v>
      </c>
      <c r="K11770" t="s">
        <v>1357</v>
      </c>
      <c r="L11770" t="s">
        <v>1357</v>
      </c>
    </row>
    <row r="11771" spans="8:12">
      <c r="H11771" t="s">
        <v>22994</v>
      </c>
      <c r="I11771" t="s">
        <v>1357</v>
      </c>
      <c r="J11771" t="s">
        <v>1357</v>
      </c>
      <c r="K11771" t="s">
        <v>1357</v>
      </c>
      <c r="L11771" t="s">
        <v>1357</v>
      </c>
    </row>
    <row r="11772" spans="8:12">
      <c r="H11772" t="s">
        <v>22995</v>
      </c>
      <c r="I11772" t="s">
        <v>1357</v>
      </c>
      <c r="J11772" t="s">
        <v>1357</v>
      </c>
      <c r="K11772" t="s">
        <v>1357</v>
      </c>
      <c r="L11772" t="s">
        <v>1357</v>
      </c>
    </row>
    <row r="11773" spans="8:12">
      <c r="H11773" t="s">
        <v>22996</v>
      </c>
      <c r="I11773" t="s">
        <v>1357</v>
      </c>
      <c r="J11773" t="s">
        <v>1357</v>
      </c>
      <c r="K11773" t="s">
        <v>1357</v>
      </c>
      <c r="L11773" t="s">
        <v>1357</v>
      </c>
    </row>
    <row r="11774" spans="8:12">
      <c r="H11774" t="s">
        <v>22997</v>
      </c>
      <c r="I11774" t="s">
        <v>1357</v>
      </c>
      <c r="J11774" t="s">
        <v>1357</v>
      </c>
      <c r="K11774" t="s">
        <v>1357</v>
      </c>
      <c r="L11774" t="s">
        <v>1357</v>
      </c>
    </row>
    <row r="11775" spans="8:12">
      <c r="H11775" t="s">
        <v>22998</v>
      </c>
      <c r="I11775" t="s">
        <v>1357</v>
      </c>
      <c r="J11775" t="s">
        <v>1357</v>
      </c>
      <c r="K11775" t="s">
        <v>1357</v>
      </c>
      <c r="L11775" t="s">
        <v>1357</v>
      </c>
    </row>
    <row r="11776" spans="8:12">
      <c r="H11776" t="s">
        <v>22999</v>
      </c>
      <c r="I11776" t="s">
        <v>1357</v>
      </c>
      <c r="J11776" t="s">
        <v>1357</v>
      </c>
      <c r="K11776" t="s">
        <v>1357</v>
      </c>
      <c r="L11776" t="s">
        <v>1357</v>
      </c>
    </row>
    <row r="11777" spans="8:14">
      <c r="H11777" t="s">
        <v>23000</v>
      </c>
      <c r="I11777" t="s">
        <v>1357</v>
      </c>
      <c r="J11777" t="s">
        <v>1357</v>
      </c>
      <c r="K11777" t="s">
        <v>1357</v>
      </c>
      <c r="L11777" t="s">
        <v>1357</v>
      </c>
    </row>
    <row r="11778" spans="8:14">
      <c r="H11778" t="s">
        <v>23001</v>
      </c>
      <c r="I11778" t="s">
        <v>1357</v>
      </c>
      <c r="J11778" t="s">
        <v>1357</v>
      </c>
      <c r="K11778" t="s">
        <v>1357</v>
      </c>
      <c r="L11778" t="s">
        <v>1357</v>
      </c>
    </row>
    <row r="11779" spans="8:14">
      <c r="H11779" t="s">
        <v>23002</v>
      </c>
      <c r="I11779" t="s">
        <v>1357</v>
      </c>
      <c r="J11779" t="s">
        <v>1357</v>
      </c>
      <c r="K11779" t="s">
        <v>1357</v>
      </c>
      <c r="L11779" t="s">
        <v>1357</v>
      </c>
    </row>
    <row r="11780" spans="8:14">
      <c r="H11780" t="s">
        <v>23003</v>
      </c>
      <c r="I11780" t="s">
        <v>1357</v>
      </c>
      <c r="J11780" t="s">
        <v>1357</v>
      </c>
      <c r="K11780" t="s">
        <v>1357</v>
      </c>
      <c r="L11780" t="s">
        <v>1357</v>
      </c>
    </row>
    <row r="11781" spans="8:14">
      <c r="H11781" t="s">
        <v>23004</v>
      </c>
      <c r="I11781" t="s">
        <v>1357</v>
      </c>
      <c r="J11781" t="s">
        <v>1357</v>
      </c>
      <c r="K11781" t="s">
        <v>1357</v>
      </c>
      <c r="L11781" t="s">
        <v>1357</v>
      </c>
    </row>
    <row r="11782" spans="8:14">
      <c r="H11782" t="s">
        <v>23005</v>
      </c>
      <c r="I11782" t="s">
        <v>1357</v>
      </c>
      <c r="J11782" t="s">
        <v>1357</v>
      </c>
      <c r="K11782" t="s">
        <v>1357</v>
      </c>
      <c r="L11782" t="s">
        <v>1357</v>
      </c>
    </row>
    <row r="11783" spans="8:14">
      <c r="H11783" t="s">
        <v>23006</v>
      </c>
      <c r="I11783" t="s">
        <v>1357</v>
      </c>
      <c r="J11783" t="s">
        <v>1357</v>
      </c>
      <c r="K11783" t="s">
        <v>1357</v>
      </c>
      <c r="L11783" t="s">
        <v>1357</v>
      </c>
    </row>
    <row r="11784" spans="8:14">
      <c r="H11784" t="s">
        <v>23007</v>
      </c>
      <c r="I11784" t="s">
        <v>1357</v>
      </c>
      <c r="J11784" t="s">
        <v>1357</v>
      </c>
      <c r="K11784" t="s">
        <v>1357</v>
      </c>
      <c r="L11784" t="s">
        <v>1357</v>
      </c>
      <c r="N11784" t="s">
        <v>27521</v>
      </c>
    </row>
    <row r="11785" spans="8:14">
      <c r="H11785" t="s">
        <v>23008</v>
      </c>
      <c r="I11785" t="s">
        <v>1357</v>
      </c>
      <c r="J11785" t="s">
        <v>1357</v>
      </c>
      <c r="K11785" t="s">
        <v>1357</v>
      </c>
      <c r="L11785" t="s">
        <v>1357</v>
      </c>
    </row>
    <row r="11786" spans="8:14">
      <c r="H11786" t="s">
        <v>23009</v>
      </c>
      <c r="I11786" t="s">
        <v>1357</v>
      </c>
      <c r="J11786" t="s">
        <v>1357</v>
      </c>
      <c r="K11786" t="s">
        <v>1357</v>
      </c>
      <c r="L11786" t="s">
        <v>1357</v>
      </c>
    </row>
    <row r="11787" spans="8:14">
      <c r="H11787" t="s">
        <v>23010</v>
      </c>
      <c r="I11787" t="s">
        <v>1357</v>
      </c>
      <c r="J11787" t="s">
        <v>1357</v>
      </c>
      <c r="K11787" t="s">
        <v>1357</v>
      </c>
      <c r="L11787" t="s">
        <v>1357</v>
      </c>
    </row>
    <row r="11788" spans="8:14">
      <c r="H11788" t="s">
        <v>23011</v>
      </c>
      <c r="I11788" t="s">
        <v>1357</v>
      </c>
      <c r="J11788" t="s">
        <v>1357</v>
      </c>
      <c r="K11788" t="s">
        <v>1357</v>
      </c>
      <c r="L11788" t="s">
        <v>1357</v>
      </c>
    </row>
    <row r="11789" spans="8:14">
      <c r="H11789" t="s">
        <v>23012</v>
      </c>
      <c r="I11789" t="s">
        <v>1357</v>
      </c>
      <c r="J11789" t="s">
        <v>1357</v>
      </c>
      <c r="K11789" t="s">
        <v>1357</v>
      </c>
      <c r="L11789" t="s">
        <v>1357</v>
      </c>
    </row>
    <row r="11790" spans="8:14">
      <c r="H11790" t="s">
        <v>23013</v>
      </c>
      <c r="I11790" t="s">
        <v>1357</v>
      </c>
      <c r="J11790" t="s">
        <v>1357</v>
      </c>
      <c r="K11790" t="s">
        <v>1357</v>
      </c>
      <c r="L11790" t="s">
        <v>1357</v>
      </c>
    </row>
    <row r="11791" spans="8:14">
      <c r="H11791" t="s">
        <v>23014</v>
      </c>
      <c r="I11791" t="s">
        <v>1357</v>
      </c>
      <c r="J11791" t="s">
        <v>1357</v>
      </c>
      <c r="K11791" t="s">
        <v>1357</v>
      </c>
      <c r="L11791" t="s">
        <v>1357</v>
      </c>
    </row>
    <row r="11792" spans="8:14">
      <c r="H11792" t="s">
        <v>23015</v>
      </c>
      <c r="I11792" t="s">
        <v>1357</v>
      </c>
      <c r="J11792" t="s">
        <v>1357</v>
      </c>
      <c r="K11792" t="s">
        <v>1357</v>
      </c>
      <c r="L11792" t="s">
        <v>1357</v>
      </c>
    </row>
    <row r="11793" spans="8:12">
      <c r="H11793" t="s">
        <v>23016</v>
      </c>
      <c r="I11793" t="s">
        <v>1357</v>
      </c>
      <c r="J11793" t="s">
        <v>1357</v>
      </c>
      <c r="K11793" t="s">
        <v>1357</v>
      </c>
      <c r="L11793" t="s">
        <v>1357</v>
      </c>
    </row>
    <row r="11794" spans="8:12">
      <c r="H11794" t="s">
        <v>23017</v>
      </c>
      <c r="I11794" t="s">
        <v>1357</v>
      </c>
      <c r="J11794" t="s">
        <v>1357</v>
      </c>
      <c r="K11794" t="s">
        <v>1357</v>
      </c>
      <c r="L11794" t="s">
        <v>1357</v>
      </c>
    </row>
    <row r="11795" spans="8:12">
      <c r="H11795" t="s">
        <v>23018</v>
      </c>
      <c r="I11795" t="s">
        <v>1357</v>
      </c>
      <c r="J11795" t="s">
        <v>1357</v>
      </c>
      <c r="K11795" t="s">
        <v>1357</v>
      </c>
      <c r="L11795" t="s">
        <v>1357</v>
      </c>
    </row>
    <row r="11796" spans="8:12">
      <c r="H11796" t="s">
        <v>23019</v>
      </c>
      <c r="I11796" t="s">
        <v>1357</v>
      </c>
      <c r="J11796" t="s">
        <v>1357</v>
      </c>
      <c r="K11796" t="s">
        <v>1357</v>
      </c>
      <c r="L11796" t="s">
        <v>1357</v>
      </c>
    </row>
    <row r="11797" spans="8:12">
      <c r="H11797" t="s">
        <v>23020</v>
      </c>
      <c r="I11797" t="s">
        <v>1357</v>
      </c>
      <c r="J11797" t="s">
        <v>1357</v>
      </c>
      <c r="K11797" t="s">
        <v>1357</v>
      </c>
      <c r="L11797" t="s">
        <v>1357</v>
      </c>
    </row>
    <row r="11798" spans="8:12">
      <c r="H11798" t="s">
        <v>23021</v>
      </c>
      <c r="I11798" t="s">
        <v>1357</v>
      </c>
      <c r="J11798" t="s">
        <v>1357</v>
      </c>
      <c r="K11798" t="s">
        <v>1357</v>
      </c>
      <c r="L11798" t="s">
        <v>1357</v>
      </c>
    </row>
    <row r="11799" spans="8:12">
      <c r="H11799" t="s">
        <v>23022</v>
      </c>
      <c r="I11799" t="s">
        <v>1357</v>
      </c>
      <c r="J11799" t="s">
        <v>1357</v>
      </c>
      <c r="K11799" t="s">
        <v>1357</v>
      </c>
      <c r="L11799" t="s">
        <v>1357</v>
      </c>
    </row>
    <row r="11800" spans="8:12">
      <c r="H11800" t="s">
        <v>23023</v>
      </c>
      <c r="I11800" t="s">
        <v>1357</v>
      </c>
      <c r="J11800" t="s">
        <v>1357</v>
      </c>
      <c r="K11800" t="s">
        <v>1357</v>
      </c>
      <c r="L11800" t="s">
        <v>1357</v>
      </c>
    </row>
    <row r="11801" spans="8:12">
      <c r="H11801" t="s">
        <v>23024</v>
      </c>
      <c r="I11801" t="s">
        <v>1357</v>
      </c>
      <c r="J11801" t="s">
        <v>1357</v>
      </c>
      <c r="K11801" t="s">
        <v>1357</v>
      </c>
      <c r="L11801" t="s">
        <v>1357</v>
      </c>
    </row>
    <row r="11802" spans="8:12">
      <c r="H11802" t="s">
        <v>23025</v>
      </c>
      <c r="I11802" t="s">
        <v>1357</v>
      </c>
      <c r="J11802" t="s">
        <v>1357</v>
      </c>
      <c r="K11802" t="s">
        <v>1357</v>
      </c>
      <c r="L11802" t="s">
        <v>1357</v>
      </c>
    </row>
    <row r="11803" spans="8:12">
      <c r="H11803" t="s">
        <v>23026</v>
      </c>
      <c r="I11803" t="s">
        <v>1357</v>
      </c>
      <c r="J11803" t="s">
        <v>1357</v>
      </c>
      <c r="K11803" t="s">
        <v>1357</v>
      </c>
      <c r="L11803" t="s">
        <v>1357</v>
      </c>
    </row>
    <row r="11804" spans="8:12">
      <c r="H11804" t="s">
        <v>23027</v>
      </c>
      <c r="I11804" t="s">
        <v>1357</v>
      </c>
      <c r="J11804" t="s">
        <v>1357</v>
      </c>
      <c r="K11804" t="s">
        <v>1357</v>
      </c>
      <c r="L11804" t="s">
        <v>1357</v>
      </c>
    </row>
    <row r="11805" spans="8:12">
      <c r="H11805" t="s">
        <v>23028</v>
      </c>
      <c r="I11805" t="s">
        <v>1357</v>
      </c>
      <c r="J11805" t="s">
        <v>1357</v>
      </c>
      <c r="K11805" t="s">
        <v>1357</v>
      </c>
      <c r="L11805" t="s">
        <v>1357</v>
      </c>
    </row>
    <row r="11806" spans="8:12">
      <c r="H11806" t="s">
        <v>23029</v>
      </c>
      <c r="I11806" t="s">
        <v>1357</v>
      </c>
      <c r="J11806" t="s">
        <v>1357</v>
      </c>
      <c r="K11806" t="s">
        <v>1357</v>
      </c>
      <c r="L11806" t="s">
        <v>1357</v>
      </c>
    </row>
    <row r="11807" spans="8:12">
      <c r="H11807" t="s">
        <v>23030</v>
      </c>
      <c r="I11807" t="s">
        <v>1357</v>
      </c>
      <c r="J11807" t="s">
        <v>1357</v>
      </c>
      <c r="K11807" t="s">
        <v>1357</v>
      </c>
      <c r="L11807" t="s">
        <v>1357</v>
      </c>
    </row>
    <row r="11808" spans="8:12">
      <c r="H11808" t="s">
        <v>23031</v>
      </c>
      <c r="I11808" t="s">
        <v>1357</v>
      </c>
      <c r="J11808" t="s">
        <v>1357</v>
      </c>
      <c r="K11808" t="s">
        <v>1357</v>
      </c>
      <c r="L11808" t="s">
        <v>1357</v>
      </c>
    </row>
    <row r="11809" spans="1:13">
      <c r="H11809" t="s">
        <v>23032</v>
      </c>
      <c r="I11809" t="s">
        <v>1357</v>
      </c>
      <c r="J11809" t="s">
        <v>1357</v>
      </c>
      <c r="K11809" t="s">
        <v>1357</v>
      </c>
      <c r="L11809" t="s">
        <v>1357</v>
      </c>
    </row>
    <row r="11810" spans="1:13">
      <c r="H11810" t="s">
        <v>23033</v>
      </c>
      <c r="I11810" t="s">
        <v>1357</v>
      </c>
      <c r="J11810" t="s">
        <v>1357</v>
      </c>
      <c r="K11810" t="s">
        <v>1357</v>
      </c>
      <c r="L11810" t="s">
        <v>1357</v>
      </c>
    </row>
    <row r="11811" spans="1:13">
      <c r="H11811" t="s">
        <v>23034</v>
      </c>
      <c r="I11811" t="s">
        <v>1357</v>
      </c>
      <c r="J11811" t="s">
        <v>1357</v>
      </c>
      <c r="K11811" t="s">
        <v>1357</v>
      </c>
      <c r="L11811" t="s">
        <v>1357</v>
      </c>
    </row>
    <row r="11812" spans="1:13">
      <c r="A11812" t="s">
        <v>10703</v>
      </c>
      <c r="B11812">
        <f>HYPERLINK("https://android.googlesource.com/platform/cts/+/2cb7d26192a1940b8095608784611c57e0908fd7", "2cb7d26192a1940b8095608784611c57e0908fd7")</f>
        <v>0</v>
      </c>
      <c r="C11812">
        <f>HYPERLINK("https://android.googlesource.com/platform/cts/+/8f9d151902104aa8cc461bfcb639a6e2d647fe89", "8f9d151902104aa8cc461bfcb639a6e2d647fe89")</f>
        <v>0</v>
      </c>
      <c r="D11812" t="s">
        <v>12189</v>
      </c>
      <c r="E11812" t="s">
        <v>13251</v>
      </c>
      <c r="F11812" t="s">
        <v>16411</v>
      </c>
      <c r="G11812" t="s">
        <v>18989</v>
      </c>
      <c r="H11812" t="s">
        <v>22819</v>
      </c>
      <c r="I11812" t="s">
        <v>1358</v>
      </c>
      <c r="J11812" t="s">
        <v>1358</v>
      </c>
      <c r="K11812" t="s">
        <v>1358</v>
      </c>
      <c r="L11812" t="s">
        <v>1358</v>
      </c>
    </row>
    <row r="11813" spans="1:13">
      <c r="A11813" t="s">
        <v>10704</v>
      </c>
      <c r="B11813">
        <f>HYPERLINK("https://android.googlesource.com/platform/cts/+/bc54e8d160db726199c746d8270ba5d73c03f127", "bc54e8d160db726199c746d8270ba5d73c03f127")</f>
        <v>0</v>
      </c>
      <c r="C11813">
        <f>HYPERLINK("https://android.googlesource.com/platform/cts/+/b89de9e8a0cf689d3dce0a76e50e3a4f1a261da3", "b89de9e8a0cf689d3dce0a76e50e3a4f1a261da3")</f>
        <v>0</v>
      </c>
      <c r="D11813" t="s">
        <v>12190</v>
      </c>
      <c r="E11813" t="s">
        <v>13252</v>
      </c>
      <c r="F11813" t="s">
        <v>16412</v>
      </c>
      <c r="G11813" t="s">
        <v>19077</v>
      </c>
      <c r="H11813" t="s">
        <v>23035</v>
      </c>
      <c r="I11813" t="s">
        <v>1358</v>
      </c>
      <c r="J11813" t="s">
        <v>1358</v>
      </c>
      <c r="K11813" t="s">
        <v>1358</v>
      </c>
      <c r="L11813" t="s">
        <v>1358</v>
      </c>
    </row>
    <row r="11814" spans="1:13">
      <c r="H11814" t="s">
        <v>23036</v>
      </c>
      <c r="I11814" t="s">
        <v>1358</v>
      </c>
      <c r="J11814" t="s">
        <v>1358</v>
      </c>
      <c r="K11814" t="s">
        <v>1358</v>
      </c>
      <c r="L11814" t="s">
        <v>1358</v>
      </c>
    </row>
    <row r="11815" spans="1:13">
      <c r="A11815" t="s">
        <v>10705</v>
      </c>
      <c r="B11815">
        <f>HYPERLINK("https://android.googlesource.com/platform/cts/+/dbf28bf616e859b17e59c43ab96f565413d8c78d", "dbf28bf616e859b17e59c43ab96f565413d8c78d")</f>
        <v>0</v>
      </c>
      <c r="C11815">
        <f>HYPERLINK("https://android.googlesource.com/platform/cts/+/70c775a000fb83d29495306b5c7ceb902dd50938", "70c775a000fb83d29495306b5c7ceb902dd50938")</f>
        <v>0</v>
      </c>
      <c r="D11815" t="s">
        <v>12134</v>
      </c>
      <c r="E11815" t="s">
        <v>13253</v>
      </c>
      <c r="F11815" t="s">
        <v>16413</v>
      </c>
      <c r="G11815" t="s">
        <v>19078</v>
      </c>
      <c r="H11815" t="s">
        <v>23037</v>
      </c>
      <c r="I11815" t="s">
        <v>1357</v>
      </c>
      <c r="J11815" t="s">
        <v>1357</v>
      </c>
      <c r="K11815" t="s">
        <v>1357</v>
      </c>
      <c r="L11815" t="s">
        <v>1357</v>
      </c>
    </row>
    <row r="11816" spans="1:13">
      <c r="A11816" t="s">
        <v>10706</v>
      </c>
      <c r="B11816">
        <f>HYPERLINK("https://android.googlesource.com/platform/cts/+/64816ab1dec643ed308ef7351dccaafb08f93f4b", "64816ab1dec643ed308ef7351dccaafb08f93f4b")</f>
        <v>0</v>
      </c>
      <c r="C11816">
        <f>HYPERLINK("https://android.googlesource.com/platform/cts/+/0065752727368d988bf25497578812268e98bb83", "0065752727368d988bf25497578812268e98bb83")</f>
        <v>0</v>
      </c>
      <c r="D11816" t="s">
        <v>12190</v>
      </c>
      <c r="E11816" t="s">
        <v>13252</v>
      </c>
      <c r="F11816" t="s">
        <v>16412</v>
      </c>
      <c r="G11816" t="s">
        <v>19077</v>
      </c>
      <c r="H11816" t="s">
        <v>23035</v>
      </c>
      <c r="I11816" t="s">
        <v>1358</v>
      </c>
      <c r="J11816" t="s">
        <v>1358</v>
      </c>
      <c r="K11816" t="s">
        <v>1358</v>
      </c>
      <c r="L11816" t="s">
        <v>1358</v>
      </c>
      <c r="M11816" t="s">
        <v>9957</v>
      </c>
    </row>
    <row r="11817" spans="1:13">
      <c r="A11817" t="s">
        <v>10707</v>
      </c>
      <c r="B11817">
        <f>HYPERLINK("https://android.googlesource.com/platform/cts/+/2137167c41efd77591287bd4363f27abda9c2c1a", "2137167c41efd77591287bd4363f27abda9c2c1a")</f>
        <v>0</v>
      </c>
      <c r="C11817">
        <f>HYPERLINK("https://android.googlesource.com/platform/cts/+/2de933ad74f6775add88fdb84da88152f8f3d0cf", "2de933ad74f6775add88fdb84da88152f8f3d0cf")</f>
        <v>0</v>
      </c>
      <c r="D11817" t="s">
        <v>12190</v>
      </c>
      <c r="E11817" t="s">
        <v>13252</v>
      </c>
      <c r="F11817" t="s">
        <v>16412</v>
      </c>
      <c r="G11817" t="s">
        <v>19077</v>
      </c>
      <c r="H11817" t="s">
        <v>23035</v>
      </c>
      <c r="I11817" t="s">
        <v>1358</v>
      </c>
      <c r="J11817" t="s">
        <v>1358</v>
      </c>
      <c r="K11817" t="s">
        <v>1358</v>
      </c>
      <c r="L11817" t="s">
        <v>1358</v>
      </c>
      <c r="M11817" t="s">
        <v>9957</v>
      </c>
    </row>
    <row r="11818" spans="1:13">
      <c r="H11818" t="s">
        <v>23036</v>
      </c>
      <c r="I11818" t="s">
        <v>1358</v>
      </c>
      <c r="J11818" t="s">
        <v>1358</v>
      </c>
      <c r="K11818" t="s">
        <v>1358</v>
      </c>
      <c r="L11818" t="s">
        <v>1358</v>
      </c>
    </row>
    <row r="11819" spans="1:13">
      <c r="A11819" t="s">
        <v>10708</v>
      </c>
      <c r="B11819">
        <f>HYPERLINK("https://android.googlesource.com/platform/cts/+/93d133b66ca4802958653e9d4be45dc1611d38fb", "93d133b66ca4802958653e9d4be45dc1611d38fb")</f>
        <v>0</v>
      </c>
      <c r="C11819">
        <f>HYPERLINK("https://android.googlesource.com/platform/cts/+/83c967c3374356707e96ef3683c2c2e597fa2d0f", "83c967c3374356707e96ef3683c2c2e597fa2d0f")</f>
        <v>0</v>
      </c>
      <c r="D11819" t="s">
        <v>12166</v>
      </c>
      <c r="E11819" t="s">
        <v>13254</v>
      </c>
      <c r="F11819" t="s">
        <v>16414</v>
      </c>
      <c r="G11819" t="s">
        <v>19079</v>
      </c>
      <c r="H11819" t="s">
        <v>23038</v>
      </c>
      <c r="I11819" t="s">
        <v>1358</v>
      </c>
      <c r="J11819" t="s">
        <v>1358</v>
      </c>
      <c r="K11819" t="s">
        <v>1358</v>
      </c>
      <c r="L11819" t="s">
        <v>1358</v>
      </c>
    </row>
    <row r="11820" spans="1:13">
      <c r="A11820" t="s">
        <v>10709</v>
      </c>
      <c r="B11820">
        <f>HYPERLINK("https://android.googlesource.com/platform/cts/+/6b1cf9ac70c362d07081d7ca35801d243108fd93", "6b1cf9ac70c362d07081d7ca35801d243108fd93")</f>
        <v>0</v>
      </c>
      <c r="C11820">
        <f>HYPERLINK("https://android.googlesource.com/platform/cts/+/69357089886c9ab7401f039ec769f86d42c82fe4", "69357089886c9ab7401f039ec769f86d42c82fe4")</f>
        <v>0</v>
      </c>
      <c r="D11820" t="s">
        <v>12191</v>
      </c>
      <c r="E11820" t="s">
        <v>13255</v>
      </c>
      <c r="F11820" t="s">
        <v>16415</v>
      </c>
      <c r="G11820" t="s">
        <v>19080</v>
      </c>
      <c r="H11820" t="s">
        <v>23039</v>
      </c>
      <c r="I11820" t="s">
        <v>1357</v>
      </c>
      <c r="J11820" t="s">
        <v>1357</v>
      </c>
      <c r="K11820" t="s">
        <v>1357</v>
      </c>
      <c r="L11820" t="s">
        <v>1357</v>
      </c>
    </row>
    <row r="11821" spans="1:13">
      <c r="H11821" t="s">
        <v>23040</v>
      </c>
      <c r="I11821" t="s">
        <v>1357</v>
      </c>
      <c r="J11821" t="s">
        <v>1357</v>
      </c>
      <c r="K11821" t="s">
        <v>1357</v>
      </c>
      <c r="L11821" t="s">
        <v>1357</v>
      </c>
    </row>
    <row r="11822" spans="1:13">
      <c r="A11822" t="s">
        <v>10710</v>
      </c>
      <c r="B11822">
        <f>HYPERLINK("https://android.googlesource.com/platform/cts/+/ffd8d565cc3b8a32e72bede4d6f677e2024ee817", "ffd8d565cc3b8a32e72bede4d6f677e2024ee817")</f>
        <v>0</v>
      </c>
      <c r="C11822">
        <f>HYPERLINK("https://android.googlesource.com/platform/cts/+/a561dc74a9ccbced2a3777e9c632579d9bdc0de6", "a561dc74a9ccbced2a3777e9c632579d9bdc0de6")</f>
        <v>0</v>
      </c>
      <c r="D11822" t="s">
        <v>12192</v>
      </c>
      <c r="E11822" t="s">
        <v>13256</v>
      </c>
      <c r="F11822" t="s">
        <v>15180</v>
      </c>
      <c r="G11822" t="s">
        <v>17882</v>
      </c>
      <c r="H11822" t="s">
        <v>23041</v>
      </c>
      <c r="I11822" t="s">
        <v>1358</v>
      </c>
      <c r="J11822" t="s">
        <v>1358</v>
      </c>
      <c r="K11822" t="s">
        <v>1358</v>
      </c>
      <c r="L11822" t="s">
        <v>1358</v>
      </c>
    </row>
    <row r="11823" spans="1:13">
      <c r="A11823" t="s">
        <v>10711</v>
      </c>
      <c r="B11823">
        <f>HYPERLINK("https://android.googlesource.com/platform/cts/+/3ad6d3b48db3011d0b6b35e12fad31371cb8d452", "3ad6d3b48db3011d0b6b35e12fad31371cb8d452")</f>
        <v>0</v>
      </c>
      <c r="C11823">
        <f>HYPERLINK("https://android.googlesource.com/platform/cts/+/13d95132ec892e601984811ce18ee5fb442d410d", "13d95132ec892e601984811ce18ee5fb442d410d")</f>
        <v>0</v>
      </c>
      <c r="D11823" t="s">
        <v>12193</v>
      </c>
      <c r="E11823" t="s">
        <v>13257</v>
      </c>
      <c r="F11823" t="s">
        <v>15936</v>
      </c>
      <c r="G11823" t="s">
        <v>18628</v>
      </c>
      <c r="H11823" t="s">
        <v>20573</v>
      </c>
      <c r="I11823" t="s">
        <v>1357</v>
      </c>
      <c r="J11823" t="s">
        <v>1357</v>
      </c>
      <c r="K11823" t="s">
        <v>1357</v>
      </c>
      <c r="L11823" t="s">
        <v>1357</v>
      </c>
    </row>
    <row r="11824" spans="1:13">
      <c r="A11824" t="s">
        <v>10712</v>
      </c>
      <c r="B11824">
        <f>HYPERLINK("https://android.googlesource.com/platform/cts/+/000a9f0c6cf4ff800c5258784ad2aa962bf14ef5", "000a9f0c6cf4ff800c5258784ad2aa962bf14ef5")</f>
        <v>0</v>
      </c>
      <c r="C11824">
        <f>HYPERLINK("https://android.googlesource.com/platform/cts/+/5de9a55092a5e6f386ad103b20cf922e797fcc3d", "5de9a55092a5e6f386ad103b20cf922e797fcc3d")</f>
        <v>0</v>
      </c>
      <c r="D11824" t="s">
        <v>12194</v>
      </c>
      <c r="E11824" t="s">
        <v>13258</v>
      </c>
      <c r="F11824" t="s">
        <v>16416</v>
      </c>
      <c r="G11824" t="s">
        <v>19081</v>
      </c>
      <c r="H11824" t="s">
        <v>23042</v>
      </c>
      <c r="I11824" t="s">
        <v>1357</v>
      </c>
      <c r="J11824" t="s">
        <v>1357</v>
      </c>
      <c r="K11824" t="s">
        <v>1357</v>
      </c>
      <c r="L11824" t="s">
        <v>1357</v>
      </c>
    </row>
    <row r="11825" spans="1:13">
      <c r="H11825" t="s">
        <v>23043</v>
      </c>
      <c r="I11825" t="s">
        <v>1357</v>
      </c>
      <c r="J11825" t="s">
        <v>1357</v>
      </c>
      <c r="K11825" t="s">
        <v>1357</v>
      </c>
      <c r="L11825" t="s">
        <v>1357</v>
      </c>
    </row>
    <row r="11826" spans="1:13">
      <c r="H11826" t="s">
        <v>23044</v>
      </c>
      <c r="I11826" t="s">
        <v>1357</v>
      </c>
      <c r="J11826" t="s">
        <v>1357</v>
      </c>
      <c r="K11826" t="s">
        <v>1357</v>
      </c>
      <c r="L11826" t="s">
        <v>1357</v>
      </c>
    </row>
    <row r="11827" spans="1:13">
      <c r="A11827" t="s">
        <v>10713</v>
      </c>
      <c r="B11827">
        <f>HYPERLINK("https://android.googlesource.com/platform/cts/+/558049842ce8ec671f893b9859f9af197097964a", "558049842ce8ec671f893b9859f9af197097964a")</f>
        <v>0</v>
      </c>
      <c r="C11827">
        <f>HYPERLINK("https://android.googlesource.com/platform/cts/+/4e45605036a84257eb64b6966e6b62e15944ed53", "4e45605036a84257eb64b6966e6b62e15944ed53")</f>
        <v>0</v>
      </c>
      <c r="D11827" t="s">
        <v>12102</v>
      </c>
      <c r="E11827" t="s">
        <v>13259</v>
      </c>
      <c r="F11827" t="s">
        <v>16417</v>
      </c>
      <c r="G11827" t="s">
        <v>19082</v>
      </c>
      <c r="H11827" t="s">
        <v>23045</v>
      </c>
      <c r="I11827" t="s">
        <v>1357</v>
      </c>
      <c r="J11827" t="s">
        <v>1357</v>
      </c>
      <c r="K11827" t="s">
        <v>1357</v>
      </c>
      <c r="L11827" t="s">
        <v>1357</v>
      </c>
    </row>
    <row r="11828" spans="1:13">
      <c r="F11828" t="s">
        <v>16418</v>
      </c>
      <c r="G11828" t="s">
        <v>19083</v>
      </c>
      <c r="H11828" t="s">
        <v>23045</v>
      </c>
      <c r="I11828" t="s">
        <v>1357</v>
      </c>
      <c r="J11828" t="s">
        <v>1357</v>
      </c>
      <c r="K11828" t="s">
        <v>1357</v>
      </c>
      <c r="L11828" t="s">
        <v>1357</v>
      </c>
    </row>
    <row r="11829" spans="1:13">
      <c r="F11829" t="s">
        <v>16419</v>
      </c>
      <c r="G11829" t="s">
        <v>19084</v>
      </c>
      <c r="H11829" t="s">
        <v>23046</v>
      </c>
      <c r="I11829" t="s">
        <v>1357</v>
      </c>
      <c r="J11829" t="s">
        <v>1357</v>
      </c>
      <c r="K11829" t="s">
        <v>1357</v>
      </c>
      <c r="L11829" t="s">
        <v>1357</v>
      </c>
    </row>
    <row r="11830" spans="1:13">
      <c r="A11830" t="s">
        <v>10714</v>
      </c>
      <c r="B11830">
        <f>HYPERLINK("https://android.googlesource.com/platform/cts/+/f0ee210f5ca658b45f3d38f358e924b017d1ef25", "f0ee210f5ca658b45f3d38f358e924b017d1ef25")</f>
        <v>0</v>
      </c>
      <c r="C11830">
        <f>HYPERLINK("https://android.googlesource.com/platform/cts/+/9390860f55ac5d7bfb25cc98cfacfb0d5c9b794d", "9390860f55ac5d7bfb25cc98cfacfb0d5c9b794d")</f>
        <v>0</v>
      </c>
      <c r="D11830" t="s">
        <v>12195</v>
      </c>
      <c r="E11830" t="s">
        <v>13260</v>
      </c>
      <c r="F11830" t="s">
        <v>15180</v>
      </c>
      <c r="G11830" t="s">
        <v>17882</v>
      </c>
      <c r="H11830" t="s">
        <v>23041</v>
      </c>
      <c r="I11830" t="s">
        <v>1358</v>
      </c>
      <c r="J11830" t="s">
        <v>1358</v>
      </c>
      <c r="K11830" t="s">
        <v>1358</v>
      </c>
      <c r="L11830" t="s">
        <v>1358</v>
      </c>
      <c r="M11830" t="s">
        <v>9957</v>
      </c>
    </row>
    <row r="11831" spans="1:13">
      <c r="A11831" t="s">
        <v>10715</v>
      </c>
      <c r="B11831">
        <f>HYPERLINK("https://android.googlesource.com/platform/cts/+/f4fcfdeb9595db768c0a80c04b6f44de6b084ebc", "f4fcfdeb9595db768c0a80c04b6f44de6b084ebc")</f>
        <v>0</v>
      </c>
      <c r="C11831">
        <f>HYPERLINK("https://android.googlesource.com/platform/cts/+/4328a165e6df603c1c8c333e2f8f632cb4bd46e7", "4328a165e6df603c1c8c333e2f8f632cb4bd46e7")</f>
        <v>0</v>
      </c>
      <c r="D11831" t="s">
        <v>12192</v>
      </c>
      <c r="E11831" t="s">
        <v>13260</v>
      </c>
      <c r="F11831" t="s">
        <v>15180</v>
      </c>
      <c r="G11831" t="s">
        <v>17882</v>
      </c>
      <c r="H11831" t="s">
        <v>23041</v>
      </c>
      <c r="I11831" t="s">
        <v>1358</v>
      </c>
      <c r="J11831" t="s">
        <v>1358</v>
      </c>
      <c r="K11831" t="s">
        <v>1358</v>
      </c>
      <c r="L11831" t="s">
        <v>1358</v>
      </c>
      <c r="M11831" t="s">
        <v>9957</v>
      </c>
    </row>
    <row r="11832" spans="1:13">
      <c r="A11832" t="s">
        <v>10716</v>
      </c>
      <c r="B11832">
        <f>HYPERLINK("https://android.googlesource.com/platform/cts/+/55ac8e34cae48bd42687924874fdeefd531a7fe0", "55ac8e34cae48bd42687924874fdeefd531a7fe0")</f>
        <v>0</v>
      </c>
      <c r="C11832">
        <f>HYPERLINK("https://android.googlesource.com/platform/cts/+/5483fb6a0e7064ce44fb31d97d0d3f30c5815fa4", "5483fb6a0e7064ce44fb31d97d0d3f30c5815fa4")</f>
        <v>0</v>
      </c>
      <c r="D11832" t="s">
        <v>12120</v>
      </c>
      <c r="E11832" t="s">
        <v>13261</v>
      </c>
      <c r="F11832" t="s">
        <v>16401</v>
      </c>
      <c r="G11832" t="s">
        <v>19067</v>
      </c>
      <c r="H11832" t="s">
        <v>22912</v>
      </c>
      <c r="I11832" t="s">
        <v>1357</v>
      </c>
      <c r="J11832" t="s">
        <v>1357</v>
      </c>
      <c r="K11832" t="s">
        <v>1357</v>
      </c>
      <c r="L11832" t="s">
        <v>1357</v>
      </c>
    </row>
    <row r="11833" spans="1:13">
      <c r="A11833" t="s">
        <v>10717</v>
      </c>
      <c r="B11833">
        <f>HYPERLINK("https://android.googlesource.com/platform/cts/+/37170b2a35525b897ca6636779545d6e7bd5097f", "37170b2a35525b897ca6636779545d6e7bd5097f")</f>
        <v>0</v>
      </c>
      <c r="C11833">
        <f>HYPERLINK("https://android.googlesource.com/platform/cts/+/300f7ed158e6648ca9af08356d783e28b0bd6e54", "300f7ed158e6648ca9af08356d783e28b0bd6e54")</f>
        <v>0</v>
      </c>
      <c r="D11833" t="s">
        <v>12120</v>
      </c>
      <c r="E11833" t="s">
        <v>13262</v>
      </c>
      <c r="F11833" t="s">
        <v>16401</v>
      </c>
      <c r="G11833" t="s">
        <v>19067</v>
      </c>
      <c r="H11833" t="s">
        <v>22912</v>
      </c>
      <c r="I11833" t="s">
        <v>1357</v>
      </c>
      <c r="J11833" t="s">
        <v>1357</v>
      </c>
      <c r="K11833" t="s">
        <v>1357</v>
      </c>
      <c r="L11833" t="s">
        <v>1357</v>
      </c>
    </row>
    <row r="11834" spans="1:13">
      <c r="A11834" t="s">
        <v>10718</v>
      </c>
      <c r="B11834">
        <f>HYPERLINK("https://android.googlesource.com/platform/cts/+/4b64d4ae01184d7335e3eeaf66a984daca620a38", "4b64d4ae01184d7335e3eeaf66a984daca620a38")</f>
        <v>0</v>
      </c>
      <c r="C11834">
        <f>HYPERLINK("https://android.googlesource.com/platform/cts/+/6affb830627d16d216942c7fcb13826fe90a1124", "6affb830627d16d216942c7fcb13826fe90a1124")</f>
        <v>0</v>
      </c>
      <c r="D11834" t="s">
        <v>12120</v>
      </c>
      <c r="E11834" t="s">
        <v>13263</v>
      </c>
      <c r="F11834" t="s">
        <v>16401</v>
      </c>
      <c r="G11834" t="s">
        <v>19067</v>
      </c>
      <c r="H11834" t="s">
        <v>22912</v>
      </c>
      <c r="I11834" t="s">
        <v>1357</v>
      </c>
      <c r="J11834" t="s">
        <v>1357</v>
      </c>
      <c r="K11834" t="s">
        <v>1357</v>
      </c>
      <c r="L11834" t="s">
        <v>1357</v>
      </c>
      <c r="M11834" t="s">
        <v>9957</v>
      </c>
    </row>
    <row r="11835" spans="1:13">
      <c r="A11835" t="s">
        <v>10719</v>
      </c>
      <c r="B11835">
        <f>HYPERLINK("https://android.googlesource.com/platform/cts/+/82d248bb78d1b41eaa111eea19ea78f79722a6fb", "82d248bb78d1b41eaa111eea19ea78f79722a6fb")</f>
        <v>0</v>
      </c>
      <c r="C11835">
        <f>HYPERLINK("https://android.googlesource.com/platform/cts/+/c3f441e2dc3cbef33935bd5a595f1b32fe728129", "c3f441e2dc3cbef33935bd5a595f1b32fe728129")</f>
        <v>0</v>
      </c>
      <c r="D11835" t="s">
        <v>12097</v>
      </c>
      <c r="E11835" t="s">
        <v>13264</v>
      </c>
      <c r="F11835" t="s">
        <v>16420</v>
      </c>
      <c r="G11835" t="s">
        <v>19085</v>
      </c>
      <c r="H11835" t="s">
        <v>23047</v>
      </c>
      <c r="I11835" t="s">
        <v>1357</v>
      </c>
      <c r="J11835" t="s">
        <v>1357</v>
      </c>
      <c r="K11835" t="s">
        <v>1357</v>
      </c>
      <c r="L11835" t="s">
        <v>1357</v>
      </c>
    </row>
    <row r="11836" spans="1:13">
      <c r="H11836" t="s">
        <v>23048</v>
      </c>
      <c r="I11836" t="s">
        <v>1357</v>
      </c>
      <c r="J11836" t="s">
        <v>1357</v>
      </c>
      <c r="K11836" t="s">
        <v>1357</v>
      </c>
      <c r="L11836" t="s">
        <v>1357</v>
      </c>
    </row>
    <row r="11837" spans="1:13">
      <c r="H11837" t="s">
        <v>23049</v>
      </c>
      <c r="I11837" t="s">
        <v>1357</v>
      </c>
      <c r="J11837" t="s">
        <v>1357</v>
      </c>
      <c r="K11837" t="s">
        <v>1357</v>
      </c>
      <c r="L11837" t="s">
        <v>1357</v>
      </c>
    </row>
    <row r="11838" spans="1:13">
      <c r="F11838" t="s">
        <v>16406</v>
      </c>
      <c r="G11838" t="s">
        <v>19072</v>
      </c>
      <c r="H11838" t="s">
        <v>23050</v>
      </c>
      <c r="I11838" t="s">
        <v>1357</v>
      </c>
      <c r="J11838" t="s">
        <v>1357</v>
      </c>
      <c r="K11838" t="s">
        <v>1357</v>
      </c>
      <c r="L11838" t="s">
        <v>1357</v>
      </c>
    </row>
    <row r="11839" spans="1:13">
      <c r="H11839" t="s">
        <v>23051</v>
      </c>
      <c r="I11839" t="s">
        <v>1357</v>
      </c>
      <c r="J11839" t="s">
        <v>1357</v>
      </c>
      <c r="K11839" t="s">
        <v>1357</v>
      </c>
      <c r="L11839" t="s">
        <v>1357</v>
      </c>
    </row>
    <row r="11840" spans="1:13">
      <c r="H11840" t="s">
        <v>23052</v>
      </c>
      <c r="I11840" t="s">
        <v>1357</v>
      </c>
      <c r="J11840" t="s">
        <v>1357</v>
      </c>
      <c r="K11840" t="s">
        <v>1357</v>
      </c>
      <c r="L11840" t="s">
        <v>1357</v>
      </c>
    </row>
    <row r="11841" spans="1:12">
      <c r="F11841" t="s">
        <v>14470</v>
      </c>
      <c r="G11841" t="s">
        <v>17317</v>
      </c>
      <c r="H11841" t="s">
        <v>23050</v>
      </c>
      <c r="I11841" t="s">
        <v>1357</v>
      </c>
      <c r="J11841" t="s">
        <v>1357</v>
      </c>
      <c r="K11841" t="s">
        <v>1357</v>
      </c>
      <c r="L11841" t="s">
        <v>1357</v>
      </c>
    </row>
    <row r="11842" spans="1:12">
      <c r="H11842" t="s">
        <v>23051</v>
      </c>
      <c r="I11842" t="s">
        <v>1357</v>
      </c>
      <c r="J11842" t="s">
        <v>1357</v>
      </c>
      <c r="K11842" t="s">
        <v>1357</v>
      </c>
      <c r="L11842" t="s">
        <v>1357</v>
      </c>
    </row>
    <row r="11843" spans="1:12">
      <c r="H11843" t="s">
        <v>23052</v>
      </c>
      <c r="I11843" t="s">
        <v>1357</v>
      </c>
      <c r="J11843" t="s">
        <v>1357</v>
      </c>
      <c r="K11843" t="s">
        <v>1357</v>
      </c>
      <c r="L11843" t="s">
        <v>1357</v>
      </c>
    </row>
    <row r="11844" spans="1:12">
      <c r="A11844" t="s">
        <v>10720</v>
      </c>
      <c r="B11844">
        <f>HYPERLINK("https://android.googlesource.com/platform/cts/+/c3cc4568561dd6af3023c41a9afa288dea906572", "c3cc4568561dd6af3023c41a9afa288dea906572")</f>
        <v>0</v>
      </c>
      <c r="C11844">
        <f>HYPERLINK("https://android.googlesource.com/platform/cts/+/50d71fab486cda44b5961798edce7af89a6d7054", "50d71fab486cda44b5961798edce7af89a6d7054")</f>
        <v>0</v>
      </c>
      <c r="D11844" t="s">
        <v>12097</v>
      </c>
      <c r="E11844" t="s">
        <v>13265</v>
      </c>
      <c r="F11844" t="s">
        <v>16420</v>
      </c>
      <c r="G11844" t="s">
        <v>19085</v>
      </c>
      <c r="H11844" t="s">
        <v>23047</v>
      </c>
      <c r="I11844" t="s">
        <v>1357</v>
      </c>
      <c r="J11844" t="s">
        <v>1357</v>
      </c>
      <c r="K11844" t="s">
        <v>1357</v>
      </c>
      <c r="L11844" t="s">
        <v>1357</v>
      </c>
    </row>
    <row r="11845" spans="1:12">
      <c r="H11845" t="s">
        <v>23048</v>
      </c>
      <c r="I11845" t="s">
        <v>1357</v>
      </c>
      <c r="J11845" t="s">
        <v>1357</v>
      </c>
      <c r="K11845" t="s">
        <v>1357</v>
      </c>
      <c r="L11845" t="s">
        <v>1357</v>
      </c>
    </row>
    <row r="11846" spans="1:12">
      <c r="H11846" t="s">
        <v>23049</v>
      </c>
      <c r="I11846" t="s">
        <v>1357</v>
      </c>
      <c r="J11846" t="s">
        <v>1357</v>
      </c>
      <c r="K11846" t="s">
        <v>1357</v>
      </c>
      <c r="L11846" t="s">
        <v>1357</v>
      </c>
    </row>
    <row r="11847" spans="1:12">
      <c r="F11847" t="s">
        <v>16421</v>
      </c>
      <c r="G11847" t="s">
        <v>19086</v>
      </c>
      <c r="H11847" t="s">
        <v>23053</v>
      </c>
      <c r="I11847" t="s">
        <v>1357</v>
      </c>
      <c r="J11847" t="s">
        <v>1357</v>
      </c>
      <c r="K11847" t="s">
        <v>1357</v>
      </c>
      <c r="L11847" t="s">
        <v>1357</v>
      </c>
    </row>
    <row r="11848" spans="1:12">
      <c r="F11848" t="s">
        <v>16406</v>
      </c>
      <c r="G11848" t="s">
        <v>19072</v>
      </c>
      <c r="H11848" t="s">
        <v>23050</v>
      </c>
      <c r="I11848" t="s">
        <v>1357</v>
      </c>
      <c r="J11848" t="s">
        <v>1357</v>
      </c>
      <c r="K11848" t="s">
        <v>1357</v>
      </c>
      <c r="L11848" t="s">
        <v>1357</v>
      </c>
    </row>
    <row r="11849" spans="1:12">
      <c r="H11849" t="s">
        <v>23054</v>
      </c>
      <c r="I11849" t="s">
        <v>1357</v>
      </c>
      <c r="J11849" t="s">
        <v>1357</v>
      </c>
      <c r="K11849" t="s">
        <v>1357</v>
      </c>
      <c r="L11849" t="s">
        <v>1357</v>
      </c>
    </row>
    <row r="11850" spans="1:12">
      <c r="H11850" t="s">
        <v>23051</v>
      </c>
      <c r="I11850" t="s">
        <v>1357</v>
      </c>
      <c r="J11850" t="s">
        <v>1357</v>
      </c>
      <c r="K11850" t="s">
        <v>1357</v>
      </c>
      <c r="L11850" t="s">
        <v>1357</v>
      </c>
    </row>
    <row r="11851" spans="1:12">
      <c r="H11851" t="s">
        <v>23052</v>
      </c>
      <c r="I11851" t="s">
        <v>1357</v>
      </c>
      <c r="J11851" t="s">
        <v>1357</v>
      </c>
      <c r="K11851" t="s">
        <v>1357</v>
      </c>
      <c r="L11851" t="s">
        <v>1357</v>
      </c>
    </row>
    <row r="11852" spans="1:12">
      <c r="F11852" t="s">
        <v>14470</v>
      </c>
      <c r="G11852" t="s">
        <v>17317</v>
      </c>
      <c r="H11852" t="s">
        <v>23050</v>
      </c>
      <c r="I11852" t="s">
        <v>1357</v>
      </c>
      <c r="J11852" t="s">
        <v>1357</v>
      </c>
      <c r="K11852" t="s">
        <v>1357</v>
      </c>
      <c r="L11852" t="s">
        <v>1357</v>
      </c>
    </row>
    <row r="11853" spans="1:12">
      <c r="H11853" t="s">
        <v>23054</v>
      </c>
      <c r="I11853" t="s">
        <v>1357</v>
      </c>
      <c r="J11853" t="s">
        <v>1357</v>
      </c>
      <c r="K11853" t="s">
        <v>1357</v>
      </c>
      <c r="L11853" t="s">
        <v>1357</v>
      </c>
    </row>
    <row r="11854" spans="1:12">
      <c r="H11854" t="s">
        <v>23051</v>
      </c>
      <c r="I11854" t="s">
        <v>1357</v>
      </c>
      <c r="J11854" t="s">
        <v>1357</v>
      </c>
      <c r="K11854" t="s">
        <v>1357</v>
      </c>
      <c r="L11854" t="s">
        <v>1357</v>
      </c>
    </row>
    <row r="11855" spans="1:12">
      <c r="H11855" t="s">
        <v>23052</v>
      </c>
      <c r="I11855" t="s">
        <v>1357</v>
      </c>
      <c r="J11855" t="s">
        <v>1357</v>
      </c>
      <c r="K11855" t="s">
        <v>1357</v>
      </c>
      <c r="L11855" t="s">
        <v>1357</v>
      </c>
    </row>
    <row r="11856" spans="1:12">
      <c r="A11856" t="s">
        <v>10721</v>
      </c>
      <c r="B11856">
        <f>HYPERLINK("https://android.googlesource.com/platform/cts/+/98eaa48a1d0858bdd24bada492570ef0e39552db", "98eaa48a1d0858bdd24bada492570ef0e39552db")</f>
        <v>0</v>
      </c>
      <c r="C11856">
        <f>HYPERLINK("https://android.googlesource.com/platform/cts/+/e67470d31e38ed74ffd10ee5a3ce11ead9a33c2e", "e67470d31e38ed74ffd10ee5a3ce11ead9a33c2e")</f>
        <v>0</v>
      </c>
      <c r="D11856" t="s">
        <v>11999</v>
      </c>
      <c r="E11856" t="s">
        <v>13266</v>
      </c>
      <c r="F11856" t="s">
        <v>16422</v>
      </c>
      <c r="G11856" t="s">
        <v>17790</v>
      </c>
      <c r="H11856" t="s">
        <v>23055</v>
      </c>
      <c r="I11856" t="s">
        <v>1357</v>
      </c>
      <c r="J11856" t="s">
        <v>1357</v>
      </c>
      <c r="K11856" t="s">
        <v>1357</v>
      </c>
      <c r="L11856" t="s">
        <v>1357</v>
      </c>
    </row>
    <row r="11857" spans="1:12">
      <c r="H11857" t="s">
        <v>23056</v>
      </c>
      <c r="I11857" t="s">
        <v>1357</v>
      </c>
      <c r="J11857" t="s">
        <v>1357</v>
      </c>
      <c r="K11857" t="s">
        <v>1357</v>
      </c>
      <c r="L11857" t="s">
        <v>1357</v>
      </c>
    </row>
    <row r="11858" spans="1:12">
      <c r="H11858" t="s">
        <v>23057</v>
      </c>
      <c r="I11858" t="s">
        <v>1357</v>
      </c>
      <c r="J11858" t="s">
        <v>1357</v>
      </c>
      <c r="K11858" t="s">
        <v>1357</v>
      </c>
      <c r="L11858" t="s">
        <v>1357</v>
      </c>
    </row>
    <row r="11859" spans="1:12">
      <c r="A11859" t="s">
        <v>10722</v>
      </c>
      <c r="B11859">
        <f>HYPERLINK("https://android.googlesource.com/platform/cts/+/0c0fffcaacf948c3d8e27570e313cccd331c35b9", "0c0fffcaacf948c3d8e27570e313cccd331c35b9")</f>
        <v>0</v>
      </c>
      <c r="C11859">
        <f>HYPERLINK("https://android.googlesource.com/platform/cts/+/8243446d847699e25b29b914e67e329efbf8b510", "8243446d847699e25b29b914e67e329efbf8b510")</f>
        <v>0</v>
      </c>
      <c r="D11859" t="s">
        <v>12117</v>
      </c>
      <c r="E11859" t="s">
        <v>13267</v>
      </c>
      <c r="F11859" t="s">
        <v>16423</v>
      </c>
      <c r="G11859" t="s">
        <v>19087</v>
      </c>
      <c r="H11859" t="s">
        <v>23058</v>
      </c>
      <c r="I11859" t="s">
        <v>1357</v>
      </c>
      <c r="J11859" t="s">
        <v>1357</v>
      </c>
      <c r="K11859" t="s">
        <v>1357</v>
      </c>
      <c r="L11859" t="s">
        <v>1357</v>
      </c>
    </row>
    <row r="11860" spans="1:12">
      <c r="F11860" t="s">
        <v>16424</v>
      </c>
      <c r="G11860" t="s">
        <v>19088</v>
      </c>
      <c r="H11860" t="s">
        <v>23059</v>
      </c>
      <c r="I11860" t="s">
        <v>1357</v>
      </c>
      <c r="J11860" t="s">
        <v>1357</v>
      </c>
      <c r="K11860" t="s">
        <v>1357</v>
      </c>
      <c r="L11860" t="s">
        <v>1357</v>
      </c>
    </row>
    <row r="11861" spans="1:12">
      <c r="H11861" t="s">
        <v>23060</v>
      </c>
      <c r="I11861" t="s">
        <v>1357</v>
      </c>
      <c r="J11861" t="s">
        <v>1357</v>
      </c>
      <c r="K11861" t="s">
        <v>1357</v>
      </c>
      <c r="L11861" t="s">
        <v>1357</v>
      </c>
    </row>
    <row r="11862" spans="1:12">
      <c r="H11862" t="s">
        <v>23061</v>
      </c>
      <c r="I11862" t="s">
        <v>1357</v>
      </c>
      <c r="J11862" t="s">
        <v>1357</v>
      </c>
      <c r="K11862" t="s">
        <v>1357</v>
      </c>
      <c r="L11862" t="s">
        <v>1357</v>
      </c>
    </row>
    <row r="11863" spans="1:12">
      <c r="H11863" t="s">
        <v>23062</v>
      </c>
      <c r="I11863" t="s">
        <v>1357</v>
      </c>
      <c r="J11863" t="s">
        <v>1357</v>
      </c>
      <c r="K11863" t="s">
        <v>1357</v>
      </c>
      <c r="L11863" t="s">
        <v>1357</v>
      </c>
    </row>
    <row r="11864" spans="1:12">
      <c r="H11864" t="s">
        <v>23063</v>
      </c>
      <c r="I11864" t="s">
        <v>1357</v>
      </c>
      <c r="J11864" t="s">
        <v>1357</v>
      </c>
      <c r="K11864" t="s">
        <v>1357</v>
      </c>
      <c r="L11864" t="s">
        <v>1357</v>
      </c>
    </row>
    <row r="11865" spans="1:12">
      <c r="H11865" t="s">
        <v>23064</v>
      </c>
      <c r="I11865" t="s">
        <v>1357</v>
      </c>
      <c r="J11865" t="s">
        <v>1357</v>
      </c>
      <c r="K11865" t="s">
        <v>1357</v>
      </c>
      <c r="L11865" t="s">
        <v>1357</v>
      </c>
    </row>
    <row r="11866" spans="1:12">
      <c r="A11866" t="s">
        <v>10723</v>
      </c>
      <c r="B11866">
        <f>HYPERLINK("https://android.googlesource.com/platform/cts/+/dc976f5856199b8f7ddc6053f28561fffdd7eb84", "dc976f5856199b8f7ddc6053f28561fffdd7eb84")</f>
        <v>0</v>
      </c>
      <c r="C11866">
        <f>HYPERLINK("https://android.googlesource.com/platform/cts/+/ac02fe5c79e0f246048f67bf388489a2841410e6", "ac02fe5c79e0f246048f67bf388489a2841410e6")</f>
        <v>0</v>
      </c>
      <c r="D11866" t="s">
        <v>11999</v>
      </c>
      <c r="E11866" t="s">
        <v>13268</v>
      </c>
      <c r="F11866" t="s">
        <v>16425</v>
      </c>
      <c r="G11866" t="s">
        <v>19089</v>
      </c>
      <c r="H11866" t="s">
        <v>23065</v>
      </c>
      <c r="I11866" t="s">
        <v>1357</v>
      </c>
      <c r="J11866" t="s">
        <v>1357</v>
      </c>
      <c r="K11866" t="s">
        <v>1357</v>
      </c>
      <c r="L11866" t="s">
        <v>1357</v>
      </c>
    </row>
    <row r="11867" spans="1:12">
      <c r="A11867" t="s">
        <v>10724</v>
      </c>
      <c r="B11867">
        <f>HYPERLINK("https://android.googlesource.com/platform/cts/+/b1aff0aca271cdcdfa8f5b7a9c3ca21cbff1e61a", "b1aff0aca271cdcdfa8f5b7a9c3ca21cbff1e61a")</f>
        <v>0</v>
      </c>
      <c r="C11867">
        <f>HYPERLINK("https://android.googlesource.com/platform/cts/+/ae8a8f4f0c7326f3a9affc74d01c2c1233bde11d", "ae8a8f4f0c7326f3a9affc74d01c2c1233bde11d")</f>
        <v>0</v>
      </c>
      <c r="D11867" t="s">
        <v>12183</v>
      </c>
      <c r="E11867" t="s">
        <v>13231</v>
      </c>
      <c r="F11867" t="s">
        <v>14542</v>
      </c>
      <c r="G11867" t="s">
        <v>17387</v>
      </c>
      <c r="H11867" t="s">
        <v>22891</v>
      </c>
      <c r="I11867" t="s">
        <v>1357</v>
      </c>
      <c r="J11867" t="s">
        <v>1357</v>
      </c>
      <c r="K11867" t="s">
        <v>1357</v>
      </c>
      <c r="L11867" t="s">
        <v>1357</v>
      </c>
    </row>
    <row r="11868" spans="1:12">
      <c r="H11868" t="s">
        <v>22892</v>
      </c>
      <c r="I11868" t="s">
        <v>1357</v>
      </c>
      <c r="J11868" t="s">
        <v>1357</v>
      </c>
      <c r="K11868" t="s">
        <v>1357</v>
      </c>
      <c r="L11868" t="s">
        <v>1357</v>
      </c>
    </row>
    <row r="11869" spans="1:12">
      <c r="H11869" t="s">
        <v>22893</v>
      </c>
      <c r="I11869" t="s">
        <v>1357</v>
      </c>
      <c r="J11869" t="s">
        <v>1357</v>
      </c>
      <c r="K11869" t="s">
        <v>1357</v>
      </c>
      <c r="L11869" t="s">
        <v>1357</v>
      </c>
    </row>
    <row r="11870" spans="1:12">
      <c r="A11870" t="s">
        <v>10725</v>
      </c>
      <c r="B11870">
        <f>HYPERLINK("https://android.googlesource.com/platform/cts/+/17e3661bea3c7bc2d91be719f15006bfb1526bf0", "17e3661bea3c7bc2d91be719f15006bfb1526bf0")</f>
        <v>0</v>
      </c>
      <c r="C11870">
        <f>HYPERLINK("https://android.googlesource.com/platform/cts/+/5b5b371171f8f5987a246c9e3b95714c46637533", "5b5b371171f8f5987a246c9e3b95714c46637533")</f>
        <v>0</v>
      </c>
      <c r="D11870" t="s">
        <v>12102</v>
      </c>
      <c r="E11870" t="s">
        <v>13269</v>
      </c>
      <c r="F11870" t="s">
        <v>16337</v>
      </c>
      <c r="G11870" t="s">
        <v>19006</v>
      </c>
      <c r="H11870" t="s">
        <v>23066</v>
      </c>
      <c r="I11870" t="s">
        <v>1357</v>
      </c>
      <c r="J11870" t="s">
        <v>1357</v>
      </c>
      <c r="K11870" t="s">
        <v>1357</v>
      </c>
      <c r="L11870" t="s">
        <v>1357</v>
      </c>
    </row>
    <row r="11871" spans="1:12">
      <c r="F11871" t="s">
        <v>16426</v>
      </c>
      <c r="G11871" t="s">
        <v>19090</v>
      </c>
      <c r="H11871" t="s">
        <v>23067</v>
      </c>
      <c r="I11871" t="s">
        <v>1357</v>
      </c>
      <c r="J11871" t="s">
        <v>1357</v>
      </c>
      <c r="K11871" t="s">
        <v>1357</v>
      </c>
      <c r="L11871" t="s">
        <v>1357</v>
      </c>
    </row>
    <row r="11872" spans="1:12">
      <c r="A11872" t="s">
        <v>10726</v>
      </c>
      <c r="B11872">
        <f>HYPERLINK("https://android.googlesource.com/platform/cts/+/3ddad7723800310ec73eea4ff65bca0038ec3c20", "3ddad7723800310ec73eea4ff65bca0038ec3c20")</f>
        <v>0</v>
      </c>
      <c r="C11872">
        <f>HYPERLINK("https://android.googlesource.com/platform/cts/+/6ca2a7dded89d14f7f937d3c2ed01960b2f0ba66", "6ca2a7dded89d14f7f937d3c2ed01960b2f0ba66")</f>
        <v>0</v>
      </c>
      <c r="D11872" t="s">
        <v>12090</v>
      </c>
      <c r="E11872" t="s">
        <v>13270</v>
      </c>
      <c r="F11872" t="s">
        <v>16427</v>
      </c>
      <c r="G11872" t="s">
        <v>19091</v>
      </c>
      <c r="H11872" t="s">
        <v>23068</v>
      </c>
      <c r="I11872" t="s">
        <v>1357</v>
      </c>
      <c r="J11872" t="s">
        <v>1357</v>
      </c>
      <c r="K11872" t="s">
        <v>1357</v>
      </c>
      <c r="L11872" t="s">
        <v>1357</v>
      </c>
    </row>
    <row r="11873" spans="1:12">
      <c r="F11873" t="s">
        <v>16428</v>
      </c>
      <c r="G11873" t="s">
        <v>19092</v>
      </c>
      <c r="H11873" t="s">
        <v>23068</v>
      </c>
      <c r="I11873" t="s">
        <v>1357</v>
      </c>
      <c r="J11873" t="s">
        <v>1357</v>
      </c>
      <c r="K11873" t="s">
        <v>1357</v>
      </c>
      <c r="L11873" t="s">
        <v>1357</v>
      </c>
    </row>
    <row r="11874" spans="1:12">
      <c r="F11874" t="s">
        <v>16429</v>
      </c>
      <c r="G11874" t="s">
        <v>19093</v>
      </c>
      <c r="H11874" t="s">
        <v>23068</v>
      </c>
      <c r="I11874" t="s">
        <v>1357</v>
      </c>
      <c r="J11874" t="s">
        <v>1357</v>
      </c>
      <c r="K11874" t="s">
        <v>1357</v>
      </c>
      <c r="L11874" t="s">
        <v>1357</v>
      </c>
    </row>
    <row r="11875" spans="1:12">
      <c r="F11875" t="s">
        <v>16430</v>
      </c>
      <c r="G11875" t="s">
        <v>19094</v>
      </c>
      <c r="H11875" t="s">
        <v>23068</v>
      </c>
      <c r="I11875" t="s">
        <v>1357</v>
      </c>
      <c r="J11875" t="s">
        <v>1357</v>
      </c>
      <c r="K11875" t="s">
        <v>1357</v>
      </c>
      <c r="L11875" t="s">
        <v>1357</v>
      </c>
    </row>
    <row r="11876" spans="1:12">
      <c r="F11876" t="s">
        <v>16431</v>
      </c>
      <c r="G11876" t="s">
        <v>19095</v>
      </c>
      <c r="H11876" t="s">
        <v>23068</v>
      </c>
      <c r="I11876" t="s">
        <v>1357</v>
      </c>
      <c r="J11876" t="s">
        <v>1357</v>
      </c>
      <c r="K11876" t="s">
        <v>1357</v>
      </c>
      <c r="L11876" t="s">
        <v>1357</v>
      </c>
    </row>
    <row r="11877" spans="1:12">
      <c r="F11877" t="s">
        <v>16432</v>
      </c>
      <c r="G11877" t="s">
        <v>19096</v>
      </c>
      <c r="H11877" t="s">
        <v>23068</v>
      </c>
      <c r="I11877" t="s">
        <v>1357</v>
      </c>
      <c r="J11877" t="s">
        <v>1357</v>
      </c>
      <c r="K11877" t="s">
        <v>1357</v>
      </c>
      <c r="L11877" t="s">
        <v>1357</v>
      </c>
    </row>
    <row r="11878" spans="1:12">
      <c r="F11878" t="s">
        <v>16433</v>
      </c>
      <c r="G11878" t="s">
        <v>19097</v>
      </c>
      <c r="H11878" t="s">
        <v>23068</v>
      </c>
      <c r="I11878" t="s">
        <v>1357</v>
      </c>
      <c r="J11878" t="s">
        <v>1357</v>
      </c>
      <c r="K11878" t="s">
        <v>1357</v>
      </c>
      <c r="L11878" t="s">
        <v>1357</v>
      </c>
    </row>
    <row r="11879" spans="1:12">
      <c r="F11879" t="s">
        <v>16434</v>
      </c>
      <c r="G11879" t="s">
        <v>19098</v>
      </c>
      <c r="H11879" t="s">
        <v>23068</v>
      </c>
      <c r="I11879" t="s">
        <v>1357</v>
      </c>
      <c r="J11879" t="s">
        <v>1357</v>
      </c>
      <c r="K11879" t="s">
        <v>1357</v>
      </c>
      <c r="L11879" t="s">
        <v>1357</v>
      </c>
    </row>
    <row r="11880" spans="1:12">
      <c r="F11880" t="s">
        <v>16435</v>
      </c>
      <c r="G11880" t="s">
        <v>19099</v>
      </c>
      <c r="H11880" t="s">
        <v>23068</v>
      </c>
      <c r="I11880" t="s">
        <v>1357</v>
      </c>
      <c r="J11880" t="s">
        <v>1357</v>
      </c>
      <c r="K11880" t="s">
        <v>1357</v>
      </c>
      <c r="L11880" t="s">
        <v>1357</v>
      </c>
    </row>
    <row r="11881" spans="1:12">
      <c r="F11881" t="s">
        <v>16436</v>
      </c>
      <c r="G11881" t="s">
        <v>19100</v>
      </c>
      <c r="H11881" t="s">
        <v>23068</v>
      </c>
      <c r="I11881" t="s">
        <v>1357</v>
      </c>
      <c r="J11881" t="s">
        <v>1357</v>
      </c>
      <c r="K11881" t="s">
        <v>1357</v>
      </c>
      <c r="L11881" t="s">
        <v>1357</v>
      </c>
    </row>
    <row r="11882" spans="1:12">
      <c r="F11882" t="s">
        <v>16437</v>
      </c>
      <c r="G11882" t="s">
        <v>19101</v>
      </c>
      <c r="H11882" t="s">
        <v>23068</v>
      </c>
      <c r="I11882" t="s">
        <v>1357</v>
      </c>
      <c r="J11882" t="s">
        <v>1357</v>
      </c>
      <c r="K11882" t="s">
        <v>1357</v>
      </c>
      <c r="L11882" t="s">
        <v>1357</v>
      </c>
    </row>
    <row r="11883" spans="1:12">
      <c r="A11883" t="s">
        <v>10727</v>
      </c>
      <c r="B11883">
        <f>HYPERLINK("https://android.googlesource.com/platform/cts/+/165b5f2c56f4f0bc38842751e9932912c155bd05", "165b5f2c56f4f0bc38842751e9932912c155bd05")</f>
        <v>0</v>
      </c>
      <c r="C11883">
        <f>HYPERLINK("https://android.googlesource.com/platform/cts/+/5b5b371171f8f5987a246c9e3b95714c46637533", "5b5b371171f8f5987a246c9e3b95714c46637533")</f>
        <v>0</v>
      </c>
      <c r="D11883" t="s">
        <v>12196</v>
      </c>
      <c r="E11883" t="s">
        <v>13271</v>
      </c>
      <c r="F11883" t="s">
        <v>14519</v>
      </c>
      <c r="G11883" t="s">
        <v>17364</v>
      </c>
      <c r="H11883" t="s">
        <v>23069</v>
      </c>
      <c r="I11883" t="s">
        <v>1357</v>
      </c>
      <c r="J11883" t="s">
        <v>1357</v>
      </c>
      <c r="K11883" t="s">
        <v>1357</v>
      </c>
      <c r="L11883" t="s">
        <v>1357</v>
      </c>
    </row>
    <row r="11884" spans="1:12">
      <c r="A11884" t="s">
        <v>10728</v>
      </c>
      <c r="B11884">
        <f>HYPERLINK("https://android.googlesource.com/platform/cts/+/1ced57ac92c0c93dae407d3e26702f2df4b41a24", "1ced57ac92c0c93dae407d3e26702f2df4b41a24")</f>
        <v>0</v>
      </c>
      <c r="C11884">
        <f>HYPERLINK("https://android.googlesource.com/platform/cts/+/2c133721cfc4d1e0327d9aa7865473771ecf83c3", "2c133721cfc4d1e0327d9aa7865473771ecf83c3")</f>
        <v>0</v>
      </c>
      <c r="D11884" t="s">
        <v>12102</v>
      </c>
      <c r="E11884" t="s">
        <v>13272</v>
      </c>
      <c r="F11884" t="s">
        <v>16337</v>
      </c>
      <c r="G11884" t="s">
        <v>19006</v>
      </c>
      <c r="H11884" t="s">
        <v>23070</v>
      </c>
      <c r="I11884" t="s">
        <v>1357</v>
      </c>
      <c r="J11884" t="s">
        <v>1357</v>
      </c>
      <c r="K11884" t="s">
        <v>1357</v>
      </c>
      <c r="L11884" t="s">
        <v>1357</v>
      </c>
    </row>
    <row r="11885" spans="1:12">
      <c r="H11885" t="s">
        <v>23071</v>
      </c>
      <c r="I11885" t="s">
        <v>1357</v>
      </c>
      <c r="J11885" t="s">
        <v>1357</v>
      </c>
      <c r="K11885" t="s">
        <v>1357</v>
      </c>
      <c r="L11885" t="s">
        <v>1357</v>
      </c>
    </row>
    <row r="11886" spans="1:12">
      <c r="F11886" t="s">
        <v>16426</v>
      </c>
      <c r="G11886" t="s">
        <v>19090</v>
      </c>
      <c r="H11886" t="s">
        <v>23072</v>
      </c>
      <c r="I11886" t="s">
        <v>1357</v>
      </c>
      <c r="J11886" t="s">
        <v>1357</v>
      </c>
      <c r="K11886" t="s">
        <v>1357</v>
      </c>
      <c r="L11886" t="s">
        <v>1357</v>
      </c>
    </row>
    <row r="11887" spans="1:12">
      <c r="A11887" t="s">
        <v>10729</v>
      </c>
      <c r="B11887">
        <f>HYPERLINK("https://android.googlesource.com/platform/cts/+/930b1d3afaa9cbaa5f206459b182c7b32ef471cd", "930b1d3afaa9cbaa5f206459b182c7b32ef471cd")</f>
        <v>0</v>
      </c>
      <c r="C11887">
        <f>HYPERLINK("https://android.googlesource.com/platform/cts/+/404f16249b9131913fedf8b65ecb093dc53a72a8", "404f16249b9131913fedf8b65ecb093dc53a72a8")</f>
        <v>0</v>
      </c>
      <c r="D11887" t="s">
        <v>12084</v>
      </c>
      <c r="E11887" t="s">
        <v>13273</v>
      </c>
      <c r="F11887" t="s">
        <v>16099</v>
      </c>
      <c r="G11887" t="s">
        <v>18788</v>
      </c>
      <c r="H11887" t="s">
        <v>22215</v>
      </c>
      <c r="I11887" t="s">
        <v>1357</v>
      </c>
      <c r="J11887" t="s">
        <v>1357</v>
      </c>
      <c r="K11887" t="s">
        <v>1357</v>
      </c>
      <c r="L11887" t="s">
        <v>1357</v>
      </c>
    </row>
    <row r="11888" spans="1:12">
      <c r="F11888" t="s">
        <v>16438</v>
      </c>
      <c r="G11888" t="s">
        <v>19102</v>
      </c>
      <c r="H11888" t="s">
        <v>23073</v>
      </c>
      <c r="I11888" t="s">
        <v>1357</v>
      </c>
      <c r="J11888" t="s">
        <v>1357</v>
      </c>
      <c r="K11888" t="s">
        <v>1357</v>
      </c>
      <c r="L11888" t="s">
        <v>1357</v>
      </c>
    </row>
    <row r="11889" spans="1:13">
      <c r="A11889" t="s">
        <v>10730</v>
      </c>
      <c r="B11889">
        <f>HYPERLINK("https://android.googlesource.com/platform/cts/+/fadc96a6125877b9dd110f35ee1f7973aa5deb5e", "fadc96a6125877b9dd110f35ee1f7973aa5deb5e")</f>
        <v>0</v>
      </c>
      <c r="C11889">
        <f>HYPERLINK("https://android.googlesource.com/platform/cts/+/0f05863bde96b03b8052c40b2622395c73370bdd", "0f05863bde96b03b8052c40b2622395c73370bdd")</f>
        <v>0</v>
      </c>
      <c r="D11889" t="s">
        <v>12161</v>
      </c>
      <c r="E11889" t="s">
        <v>13274</v>
      </c>
      <c r="F11889" t="s">
        <v>16439</v>
      </c>
      <c r="G11889" t="s">
        <v>19103</v>
      </c>
      <c r="H11889" t="s">
        <v>23074</v>
      </c>
      <c r="I11889" t="s">
        <v>1357</v>
      </c>
      <c r="J11889" t="s">
        <v>1357</v>
      </c>
      <c r="K11889" t="s">
        <v>1357</v>
      </c>
      <c r="L11889" t="s">
        <v>1357</v>
      </c>
    </row>
    <row r="11890" spans="1:13">
      <c r="F11890" t="s">
        <v>16440</v>
      </c>
      <c r="G11890" t="s">
        <v>19104</v>
      </c>
      <c r="H11890" t="s">
        <v>23075</v>
      </c>
      <c r="I11890" t="s">
        <v>1357</v>
      </c>
      <c r="J11890" t="s">
        <v>1357</v>
      </c>
      <c r="K11890" t="s">
        <v>1357</v>
      </c>
      <c r="L11890" t="s">
        <v>1357</v>
      </c>
    </row>
    <row r="11891" spans="1:13">
      <c r="H11891" t="s">
        <v>23076</v>
      </c>
      <c r="I11891" t="s">
        <v>1357</v>
      </c>
      <c r="J11891" t="s">
        <v>1357</v>
      </c>
      <c r="K11891" t="s">
        <v>1357</v>
      </c>
      <c r="L11891" t="s">
        <v>1357</v>
      </c>
    </row>
    <row r="11892" spans="1:13">
      <c r="H11892" t="s">
        <v>23077</v>
      </c>
      <c r="I11892" t="s">
        <v>1357</v>
      </c>
      <c r="J11892" t="s">
        <v>1357</v>
      </c>
      <c r="K11892" t="s">
        <v>1357</v>
      </c>
      <c r="L11892" t="s">
        <v>1357</v>
      </c>
    </row>
    <row r="11893" spans="1:13">
      <c r="A11893" t="s">
        <v>10731</v>
      </c>
      <c r="B11893">
        <f>HYPERLINK("https://android.googlesource.com/platform/cts/+/4ed82b2f6d1ba89d9cd9cfb6f030ed18b0c046db", "4ed82b2f6d1ba89d9cd9cfb6f030ed18b0c046db")</f>
        <v>0</v>
      </c>
      <c r="C11893">
        <f>HYPERLINK("https://android.googlesource.com/platform/cts/+/409c6ffbfad64ec15869fedbc496ee6344a53050", "409c6ffbfad64ec15869fedbc496ee6344a53050")</f>
        <v>0</v>
      </c>
      <c r="D11893" t="s">
        <v>12181</v>
      </c>
      <c r="E11893" t="s">
        <v>13275</v>
      </c>
      <c r="F11893" t="s">
        <v>16403</v>
      </c>
      <c r="G11893" t="s">
        <v>19069</v>
      </c>
      <c r="H11893" t="s">
        <v>23078</v>
      </c>
      <c r="I11893" t="s">
        <v>1357</v>
      </c>
      <c r="J11893" t="s">
        <v>1357</v>
      </c>
      <c r="K11893" t="s">
        <v>1357</v>
      </c>
      <c r="L11893" t="s">
        <v>1357</v>
      </c>
    </row>
    <row r="11894" spans="1:13">
      <c r="A11894" t="s">
        <v>10732</v>
      </c>
      <c r="B11894">
        <f>HYPERLINK("https://android.googlesource.com/platform/cts/+/aed7867d94870503abbc128a0bdf6879534f09f7", "aed7867d94870503abbc128a0bdf6879534f09f7")</f>
        <v>0</v>
      </c>
      <c r="C11894">
        <f>HYPERLINK("https://android.googlesource.com/platform/cts/+/65fe1dab9d2fb50a6cb4c47b1efdf4ab876a7608", "65fe1dab9d2fb50a6cb4c47b1efdf4ab876a7608")</f>
        <v>0</v>
      </c>
      <c r="D11894" t="s">
        <v>12181</v>
      </c>
      <c r="E11894" t="s">
        <v>13276</v>
      </c>
      <c r="F11894" t="s">
        <v>16403</v>
      </c>
      <c r="G11894" t="s">
        <v>19069</v>
      </c>
      <c r="H11894" t="s">
        <v>23078</v>
      </c>
      <c r="I11894" t="s">
        <v>1357</v>
      </c>
      <c r="J11894" t="s">
        <v>1357</v>
      </c>
      <c r="K11894" t="s">
        <v>1357</v>
      </c>
      <c r="L11894" t="s">
        <v>1357</v>
      </c>
      <c r="M11894" t="s">
        <v>9957</v>
      </c>
    </row>
    <row r="11895" spans="1:13">
      <c r="A11895" t="s">
        <v>10733</v>
      </c>
      <c r="B11895">
        <f>HYPERLINK("https://android.googlesource.com/platform/cts/+/a201f0d3cafe2922ea57d9a6c770af485360756c", "a201f0d3cafe2922ea57d9a6c770af485360756c")</f>
        <v>0</v>
      </c>
      <c r="C11895">
        <f>HYPERLINK("https://android.googlesource.com/platform/cts/+/deecc803262039009f7da8c989f3a879d3eebf19", "deecc803262039009f7da8c989f3a879d3eebf19")</f>
        <v>0</v>
      </c>
      <c r="D11895" t="s">
        <v>12187</v>
      </c>
      <c r="E11895" t="s">
        <v>13105</v>
      </c>
      <c r="F11895" t="s">
        <v>14580</v>
      </c>
      <c r="G11895" t="s">
        <v>17424</v>
      </c>
      <c r="H11895" t="s">
        <v>22629</v>
      </c>
      <c r="I11895" t="s">
        <v>1359</v>
      </c>
      <c r="J11895" t="s">
        <v>1358</v>
      </c>
      <c r="K11895" t="s">
        <v>1357</v>
      </c>
      <c r="L11895" t="s">
        <v>1358</v>
      </c>
      <c r="M11895" t="s">
        <v>9957</v>
      </c>
    </row>
    <row r="11896" spans="1:13">
      <c r="A11896" t="s">
        <v>10734</v>
      </c>
      <c r="B11896">
        <f>HYPERLINK("https://android.googlesource.com/platform/cts/+/e21bdfeb8b6eecc012c306972b0d5139ae8a29de", "e21bdfeb8b6eecc012c306972b0d5139ae8a29de")</f>
        <v>0</v>
      </c>
      <c r="C11896">
        <f>HYPERLINK("https://android.googlesource.com/platform/cts/+/8d3f557b62adf0febf34c70896948622b4ea7b64", "8d3f557b62adf0febf34c70896948622b4ea7b64")</f>
        <v>0</v>
      </c>
      <c r="D11896" t="s">
        <v>12187</v>
      </c>
      <c r="E11896" t="s">
        <v>13105</v>
      </c>
      <c r="F11896" t="s">
        <v>14580</v>
      </c>
      <c r="G11896" t="s">
        <v>17424</v>
      </c>
      <c r="H11896" t="s">
        <v>22629</v>
      </c>
      <c r="I11896" t="s">
        <v>1359</v>
      </c>
      <c r="J11896" t="s">
        <v>1358</v>
      </c>
      <c r="K11896" t="s">
        <v>1357</v>
      </c>
      <c r="L11896" t="s">
        <v>1358</v>
      </c>
      <c r="M11896" t="s">
        <v>9957</v>
      </c>
    </row>
    <row r="11897" spans="1:13">
      <c r="A11897" t="s">
        <v>10735</v>
      </c>
      <c r="B11897">
        <f>HYPERLINK("https://android.googlesource.com/platform/cts/+/fa933bc0434e153347cb870f3f4b32cb311919f7", "fa933bc0434e153347cb870f3f4b32cb311919f7")</f>
        <v>0</v>
      </c>
      <c r="C11897">
        <f>HYPERLINK("https://android.googlesource.com/platform/cts/+/99148f08e24473d8b08fe25c5ceafed6862c71bd", "99148f08e24473d8b08fe25c5ceafed6862c71bd")</f>
        <v>0</v>
      </c>
      <c r="D11897" t="s">
        <v>12105</v>
      </c>
      <c r="E11897" t="s">
        <v>13277</v>
      </c>
      <c r="F11897" t="s">
        <v>16441</v>
      </c>
      <c r="G11897" t="s">
        <v>19105</v>
      </c>
      <c r="H11897" t="s">
        <v>23079</v>
      </c>
      <c r="I11897" t="s">
        <v>1357</v>
      </c>
      <c r="J11897" t="s">
        <v>1357</v>
      </c>
      <c r="K11897" t="s">
        <v>1357</v>
      </c>
      <c r="L11897" t="s">
        <v>1357</v>
      </c>
    </row>
    <row r="11898" spans="1:13">
      <c r="A11898" t="s">
        <v>10736</v>
      </c>
      <c r="B11898">
        <f>HYPERLINK("https://android.googlesource.com/platform/cts/+/d2b1f52389c1851861284189244641967db76a19", "d2b1f52389c1851861284189244641967db76a19")</f>
        <v>0</v>
      </c>
      <c r="C11898">
        <f>HYPERLINK("https://android.googlesource.com/platform/cts/+/f9e65045f2590a5409618dce3c0a38ed17c8a859", "f9e65045f2590a5409618dce3c0a38ed17c8a859")</f>
        <v>0</v>
      </c>
      <c r="D11898" t="s">
        <v>12197</v>
      </c>
      <c r="E11898" t="s">
        <v>13278</v>
      </c>
      <c r="F11898" t="s">
        <v>16442</v>
      </c>
      <c r="G11898" t="s">
        <v>19106</v>
      </c>
      <c r="H11898" t="s">
        <v>23080</v>
      </c>
      <c r="I11898" t="s">
        <v>1357</v>
      </c>
      <c r="J11898" t="s">
        <v>1357</v>
      </c>
      <c r="K11898" t="s">
        <v>1357</v>
      </c>
      <c r="L11898" t="s">
        <v>1357</v>
      </c>
    </row>
    <row r="11899" spans="1:13">
      <c r="H11899" t="s">
        <v>23081</v>
      </c>
      <c r="I11899" t="s">
        <v>1357</v>
      </c>
      <c r="J11899" t="s">
        <v>1357</v>
      </c>
      <c r="K11899" t="s">
        <v>1357</v>
      </c>
      <c r="L11899" t="s">
        <v>1357</v>
      </c>
    </row>
    <row r="11900" spans="1:13">
      <c r="A11900" t="s">
        <v>10737</v>
      </c>
      <c r="B11900">
        <f>HYPERLINK("https://android.googlesource.com/platform/cts/+/bcbca6ec2ca9d3b4e983851d72502012d2af6de7", "bcbca6ec2ca9d3b4e983851d72502012d2af6de7")</f>
        <v>0</v>
      </c>
      <c r="C11900">
        <f>HYPERLINK("https://android.googlesource.com/platform/cts/+/0c612c312efa04e1137ed62580ddaed739c153de", "0c612c312efa04e1137ed62580ddaed739c153de")</f>
        <v>0</v>
      </c>
      <c r="D11900" t="s">
        <v>11991</v>
      </c>
      <c r="E11900" t="s">
        <v>13279</v>
      </c>
      <c r="F11900" t="s">
        <v>16443</v>
      </c>
      <c r="G11900" t="s">
        <v>19107</v>
      </c>
      <c r="H11900" t="s">
        <v>23082</v>
      </c>
      <c r="I11900" t="s">
        <v>1357</v>
      </c>
      <c r="J11900" t="s">
        <v>1357</v>
      </c>
      <c r="K11900" t="s">
        <v>1357</v>
      </c>
      <c r="L11900" t="s">
        <v>1357</v>
      </c>
    </row>
    <row r="11901" spans="1:13">
      <c r="H11901" t="s">
        <v>23083</v>
      </c>
      <c r="I11901" t="s">
        <v>1357</v>
      </c>
      <c r="J11901" t="s">
        <v>1357</v>
      </c>
      <c r="K11901" t="s">
        <v>1357</v>
      </c>
      <c r="L11901" t="s">
        <v>1357</v>
      </c>
    </row>
    <row r="11902" spans="1:13">
      <c r="H11902" t="s">
        <v>23084</v>
      </c>
      <c r="I11902" t="s">
        <v>1357</v>
      </c>
      <c r="J11902" t="s">
        <v>1357</v>
      </c>
      <c r="K11902" t="s">
        <v>1357</v>
      </c>
      <c r="L11902" t="s">
        <v>1357</v>
      </c>
    </row>
    <row r="11903" spans="1:13">
      <c r="F11903" t="s">
        <v>16444</v>
      </c>
      <c r="G11903" t="s">
        <v>19108</v>
      </c>
      <c r="H11903" t="s">
        <v>23085</v>
      </c>
      <c r="I11903" t="s">
        <v>1357</v>
      </c>
      <c r="J11903" t="s">
        <v>1357</v>
      </c>
      <c r="K11903" t="s">
        <v>1357</v>
      </c>
      <c r="L11903" t="s">
        <v>1357</v>
      </c>
    </row>
    <row r="11904" spans="1:13">
      <c r="H11904" t="s">
        <v>23086</v>
      </c>
      <c r="I11904" t="s">
        <v>1357</v>
      </c>
      <c r="J11904" t="s">
        <v>1357</v>
      </c>
      <c r="K11904" t="s">
        <v>1357</v>
      </c>
      <c r="L11904" t="s">
        <v>1357</v>
      </c>
    </row>
    <row r="11905" spans="1:12">
      <c r="H11905" t="s">
        <v>23087</v>
      </c>
      <c r="I11905" t="s">
        <v>1357</v>
      </c>
      <c r="J11905" t="s">
        <v>1357</v>
      </c>
      <c r="K11905" t="s">
        <v>1357</v>
      </c>
      <c r="L11905" t="s">
        <v>1357</v>
      </c>
    </row>
    <row r="11906" spans="1:12">
      <c r="A11906" t="s">
        <v>10738</v>
      </c>
      <c r="B11906">
        <f>HYPERLINK("https://android.googlesource.com/platform/cts/+/06347b16cfda7ee0ca87b4dc68cf478c5b6559df", "06347b16cfda7ee0ca87b4dc68cf478c5b6559df")</f>
        <v>0</v>
      </c>
      <c r="C11906">
        <f>HYPERLINK("https://android.googlesource.com/platform/cts/+/1249be8a6157fb3140afd9879eecd80624541bc8", "1249be8a6157fb3140afd9879eecd80624541bc8")</f>
        <v>0</v>
      </c>
      <c r="D11906" t="s">
        <v>12198</v>
      </c>
      <c r="E11906" t="s">
        <v>13280</v>
      </c>
      <c r="F11906" t="s">
        <v>16403</v>
      </c>
      <c r="G11906" t="s">
        <v>19069</v>
      </c>
      <c r="H11906" t="s">
        <v>23088</v>
      </c>
      <c r="I11906" t="s">
        <v>1357</v>
      </c>
      <c r="J11906" t="s">
        <v>1357</v>
      </c>
      <c r="K11906" t="s">
        <v>1357</v>
      </c>
      <c r="L11906" t="s">
        <v>1357</v>
      </c>
    </row>
    <row r="11907" spans="1:12">
      <c r="A11907" t="s">
        <v>10739</v>
      </c>
      <c r="B11907">
        <f>HYPERLINK("https://android.googlesource.com/platform/cts/+/400d169e3b1b3b17f100a7d5ba856d85d50d3782", "400d169e3b1b3b17f100a7d5ba856d85d50d3782")</f>
        <v>0</v>
      </c>
      <c r="C11907">
        <f>HYPERLINK("https://android.googlesource.com/platform/cts/+/13e1eb3e9f0abfb6d95e8c6b94a9070ab5e1cad5", "13e1eb3e9f0abfb6d95e8c6b94a9070ab5e1cad5")</f>
        <v>0</v>
      </c>
      <c r="D11907" t="s">
        <v>12144</v>
      </c>
      <c r="E11907" t="s">
        <v>13281</v>
      </c>
      <c r="F11907" t="s">
        <v>16445</v>
      </c>
      <c r="G11907" t="s">
        <v>19109</v>
      </c>
      <c r="H11907" t="s">
        <v>23089</v>
      </c>
      <c r="I11907" t="s">
        <v>1357</v>
      </c>
      <c r="J11907" t="s">
        <v>1357</v>
      </c>
      <c r="K11907" t="s">
        <v>1357</v>
      </c>
      <c r="L11907" t="s">
        <v>1357</v>
      </c>
    </row>
    <row r="11908" spans="1:12">
      <c r="H11908" t="s">
        <v>23090</v>
      </c>
      <c r="I11908" t="s">
        <v>1357</v>
      </c>
      <c r="J11908" t="s">
        <v>1357</v>
      </c>
      <c r="K11908" t="s">
        <v>1357</v>
      </c>
      <c r="L11908" t="s">
        <v>1357</v>
      </c>
    </row>
    <row r="11909" spans="1:12">
      <c r="H11909" t="s">
        <v>23091</v>
      </c>
      <c r="I11909" t="s">
        <v>1357</v>
      </c>
      <c r="J11909" t="s">
        <v>1357</v>
      </c>
      <c r="K11909" t="s">
        <v>1357</v>
      </c>
      <c r="L11909" t="s">
        <v>1357</v>
      </c>
    </row>
    <row r="11910" spans="1:12">
      <c r="H11910" t="s">
        <v>23092</v>
      </c>
      <c r="I11910" t="s">
        <v>1357</v>
      </c>
      <c r="J11910" t="s">
        <v>1357</v>
      </c>
      <c r="K11910" t="s">
        <v>1357</v>
      </c>
      <c r="L11910" t="s">
        <v>1357</v>
      </c>
    </row>
    <row r="11911" spans="1:12">
      <c r="H11911" t="s">
        <v>23093</v>
      </c>
      <c r="I11911" t="s">
        <v>1357</v>
      </c>
      <c r="J11911" t="s">
        <v>1357</v>
      </c>
      <c r="K11911" t="s">
        <v>1357</v>
      </c>
      <c r="L11911" t="s">
        <v>1357</v>
      </c>
    </row>
    <row r="11912" spans="1:12">
      <c r="H11912" t="s">
        <v>23094</v>
      </c>
      <c r="I11912" t="s">
        <v>1357</v>
      </c>
      <c r="J11912" t="s">
        <v>1357</v>
      </c>
      <c r="K11912" t="s">
        <v>1357</v>
      </c>
      <c r="L11912" t="s">
        <v>1357</v>
      </c>
    </row>
    <row r="11913" spans="1:12">
      <c r="A11913" t="s">
        <v>10740</v>
      </c>
      <c r="B11913">
        <f>HYPERLINK("https://android.googlesource.com/platform/cts/+/53d494eb091e9e598091f5298689dcbd1c41314e", "53d494eb091e9e598091f5298689dcbd1c41314e")</f>
        <v>0</v>
      </c>
      <c r="C11913">
        <f>HYPERLINK("https://android.googlesource.com/platform/cts/+/f8c88838fef98b165d706235b3da9b36bf896067", "f8c88838fef98b165d706235b3da9b36bf896067")</f>
        <v>0</v>
      </c>
      <c r="D11913" t="s">
        <v>12144</v>
      </c>
      <c r="E11913" t="s">
        <v>13282</v>
      </c>
      <c r="F11913" t="s">
        <v>16446</v>
      </c>
      <c r="G11913" t="s">
        <v>19110</v>
      </c>
      <c r="H11913" t="s">
        <v>23095</v>
      </c>
      <c r="I11913" t="s">
        <v>1357</v>
      </c>
      <c r="J11913" t="s">
        <v>1357</v>
      </c>
      <c r="K11913" t="s">
        <v>1357</v>
      </c>
      <c r="L11913" t="s">
        <v>1357</v>
      </c>
    </row>
    <row r="11914" spans="1:12">
      <c r="H11914" t="s">
        <v>23096</v>
      </c>
      <c r="I11914" t="s">
        <v>1357</v>
      </c>
      <c r="J11914" t="s">
        <v>1357</v>
      </c>
      <c r="K11914" t="s">
        <v>1357</v>
      </c>
      <c r="L11914" t="s">
        <v>1357</v>
      </c>
    </row>
    <row r="11915" spans="1:12">
      <c r="H11915" t="s">
        <v>23097</v>
      </c>
      <c r="I11915" t="s">
        <v>1357</v>
      </c>
      <c r="J11915" t="s">
        <v>1357</v>
      </c>
      <c r="K11915" t="s">
        <v>1357</v>
      </c>
      <c r="L11915" t="s">
        <v>1357</v>
      </c>
    </row>
    <row r="11916" spans="1:12">
      <c r="H11916" t="s">
        <v>23098</v>
      </c>
      <c r="I11916" t="s">
        <v>1357</v>
      </c>
      <c r="J11916" t="s">
        <v>1357</v>
      </c>
      <c r="K11916" t="s">
        <v>1357</v>
      </c>
      <c r="L11916" t="s">
        <v>1357</v>
      </c>
    </row>
    <row r="11917" spans="1:12">
      <c r="H11917" t="s">
        <v>23099</v>
      </c>
      <c r="I11917" t="s">
        <v>1357</v>
      </c>
      <c r="J11917" t="s">
        <v>1357</v>
      </c>
      <c r="K11917" t="s">
        <v>1357</v>
      </c>
      <c r="L11917" t="s">
        <v>1357</v>
      </c>
    </row>
    <row r="11918" spans="1:12">
      <c r="H11918" t="s">
        <v>23100</v>
      </c>
      <c r="I11918" t="s">
        <v>1357</v>
      </c>
      <c r="J11918" t="s">
        <v>1357</v>
      </c>
      <c r="K11918" t="s">
        <v>1357</v>
      </c>
      <c r="L11918" t="s">
        <v>1357</v>
      </c>
    </row>
    <row r="11919" spans="1:12">
      <c r="H11919" t="s">
        <v>23101</v>
      </c>
      <c r="I11919" t="s">
        <v>1357</v>
      </c>
      <c r="J11919" t="s">
        <v>1357</v>
      </c>
      <c r="K11919" t="s">
        <v>1357</v>
      </c>
      <c r="L11919" t="s">
        <v>1357</v>
      </c>
    </row>
    <row r="11920" spans="1:12">
      <c r="H11920" t="s">
        <v>23102</v>
      </c>
      <c r="I11920" t="s">
        <v>1357</v>
      </c>
      <c r="J11920" t="s">
        <v>1357</v>
      </c>
      <c r="K11920" t="s">
        <v>1357</v>
      </c>
      <c r="L11920" t="s">
        <v>1357</v>
      </c>
    </row>
    <row r="11921" spans="1:12">
      <c r="H11921" t="s">
        <v>23103</v>
      </c>
      <c r="I11921" t="s">
        <v>1357</v>
      </c>
      <c r="J11921" t="s">
        <v>1357</v>
      </c>
      <c r="K11921" t="s">
        <v>1357</v>
      </c>
      <c r="L11921" t="s">
        <v>1357</v>
      </c>
    </row>
    <row r="11922" spans="1:12">
      <c r="H11922" t="s">
        <v>23104</v>
      </c>
      <c r="I11922" t="s">
        <v>1357</v>
      </c>
      <c r="J11922" t="s">
        <v>1357</v>
      </c>
      <c r="K11922" t="s">
        <v>1357</v>
      </c>
      <c r="L11922" t="s">
        <v>1357</v>
      </c>
    </row>
    <row r="11923" spans="1:12">
      <c r="H11923" t="s">
        <v>23105</v>
      </c>
      <c r="I11923" t="s">
        <v>1357</v>
      </c>
      <c r="J11923" t="s">
        <v>1357</v>
      </c>
      <c r="K11923" t="s">
        <v>1357</v>
      </c>
      <c r="L11923" t="s">
        <v>1357</v>
      </c>
    </row>
    <row r="11924" spans="1:12">
      <c r="H11924" t="s">
        <v>23106</v>
      </c>
      <c r="I11924" t="s">
        <v>1357</v>
      </c>
      <c r="J11924" t="s">
        <v>1357</v>
      </c>
      <c r="K11924" t="s">
        <v>1357</v>
      </c>
      <c r="L11924" t="s">
        <v>1357</v>
      </c>
    </row>
    <row r="11925" spans="1:12">
      <c r="H11925" t="s">
        <v>23107</v>
      </c>
      <c r="I11925" t="s">
        <v>1357</v>
      </c>
      <c r="J11925" t="s">
        <v>1357</v>
      </c>
      <c r="K11925" t="s">
        <v>1357</v>
      </c>
      <c r="L11925" t="s">
        <v>1357</v>
      </c>
    </row>
    <row r="11926" spans="1:12">
      <c r="H11926" t="s">
        <v>23108</v>
      </c>
      <c r="I11926" t="s">
        <v>1357</v>
      </c>
      <c r="J11926" t="s">
        <v>1357</v>
      </c>
      <c r="K11926" t="s">
        <v>1357</v>
      </c>
      <c r="L11926" t="s">
        <v>1357</v>
      </c>
    </row>
    <row r="11927" spans="1:12">
      <c r="H11927" t="s">
        <v>23109</v>
      </c>
      <c r="I11927" t="s">
        <v>1357</v>
      </c>
      <c r="J11927" t="s">
        <v>1357</v>
      </c>
      <c r="K11927" t="s">
        <v>1357</v>
      </c>
      <c r="L11927" t="s">
        <v>1357</v>
      </c>
    </row>
    <row r="11928" spans="1:12">
      <c r="A11928" t="s">
        <v>10741</v>
      </c>
      <c r="B11928">
        <f>HYPERLINK("https://android.googlesource.com/platform/cts/+/8fb399b5028e0bfeba9334d055a19a3009e479b6", "8fb399b5028e0bfeba9334d055a19a3009e479b6")</f>
        <v>0</v>
      </c>
      <c r="C11928">
        <f>HYPERLINK("https://android.googlesource.com/platform/cts/+/e2837b79959f4a2505f18d3f821326df2182a944", "e2837b79959f4a2505f18d3f821326df2182a944")</f>
        <v>0</v>
      </c>
      <c r="D11928" t="s">
        <v>12199</v>
      </c>
      <c r="E11928" t="s">
        <v>13283</v>
      </c>
      <c r="F11928" t="s">
        <v>16447</v>
      </c>
      <c r="G11928" t="s">
        <v>19111</v>
      </c>
      <c r="H11928" t="s">
        <v>23110</v>
      </c>
      <c r="I11928" t="s">
        <v>1358</v>
      </c>
      <c r="J11928" t="s">
        <v>1358</v>
      </c>
      <c r="K11928" t="s">
        <v>1358</v>
      </c>
      <c r="L11928" t="s">
        <v>1358</v>
      </c>
    </row>
    <row r="11929" spans="1:12">
      <c r="A11929" t="s">
        <v>10742</v>
      </c>
      <c r="B11929">
        <f>HYPERLINK("https://android.googlesource.com/platform/cts/+/f259159ca7ba7c2996c5083cac1d9f469ad2a12c", "f259159ca7ba7c2996c5083cac1d9f469ad2a12c")</f>
        <v>0</v>
      </c>
      <c r="C11929">
        <f>HYPERLINK("https://android.googlesource.com/platform/cts/+/f8c88838fef98b165d706235b3da9b36bf896067", "f8c88838fef98b165d706235b3da9b36bf896067")</f>
        <v>0</v>
      </c>
      <c r="D11929" t="s">
        <v>12200</v>
      </c>
      <c r="E11929" t="s">
        <v>13284</v>
      </c>
      <c r="F11929" t="s">
        <v>14563</v>
      </c>
      <c r="G11929" t="s">
        <v>17407</v>
      </c>
      <c r="H11929" t="s">
        <v>20083</v>
      </c>
      <c r="I11929" t="s">
        <v>1357</v>
      </c>
      <c r="J11929" t="s">
        <v>1357</v>
      </c>
      <c r="K11929" t="s">
        <v>1357</v>
      </c>
      <c r="L11929" t="s">
        <v>1357</v>
      </c>
    </row>
    <row r="11930" spans="1:12">
      <c r="A11930" t="s">
        <v>10743</v>
      </c>
      <c r="B11930">
        <f>HYPERLINK("https://android.googlesource.com/platform/cts/+/e29b8e0f467c80bfedd4795938b3e04b3177c566", "e29b8e0f467c80bfedd4795938b3e04b3177c566")</f>
        <v>0</v>
      </c>
      <c r="C11930">
        <f>HYPERLINK("https://android.googlesource.com/platform/cts/+/b042a4415dbe145728a49dee81aa92b594c601de", "b042a4415dbe145728a49dee81aa92b594c601de")</f>
        <v>0</v>
      </c>
      <c r="D11930" t="s">
        <v>12144</v>
      </c>
      <c r="E11930" t="s">
        <v>13285</v>
      </c>
      <c r="F11930" t="s">
        <v>16448</v>
      </c>
      <c r="G11930" t="s">
        <v>19112</v>
      </c>
      <c r="H11930" t="s">
        <v>23111</v>
      </c>
      <c r="I11930" t="s">
        <v>1357</v>
      </c>
      <c r="J11930" t="s">
        <v>1357</v>
      </c>
      <c r="K11930" t="s">
        <v>1357</v>
      </c>
      <c r="L11930" t="s">
        <v>1357</v>
      </c>
    </row>
    <row r="11931" spans="1:12">
      <c r="H11931" t="s">
        <v>23112</v>
      </c>
      <c r="I11931" t="s">
        <v>1357</v>
      </c>
      <c r="J11931" t="s">
        <v>1357</v>
      </c>
      <c r="K11931" t="s">
        <v>1357</v>
      </c>
      <c r="L11931" t="s">
        <v>1357</v>
      </c>
    </row>
    <row r="11932" spans="1:12">
      <c r="A11932" t="s">
        <v>10744</v>
      </c>
      <c r="B11932">
        <f>HYPERLINK("https://android.googlesource.com/platform/cts/+/c57c89091963b9eb0428277d1ece22b1fda8d524", "c57c89091963b9eb0428277d1ece22b1fda8d524")</f>
        <v>0</v>
      </c>
      <c r="C11932">
        <f>HYPERLINK("https://android.googlesource.com/platform/cts/+/a8b3fdfef93dc139a7edcb2bd44cb379f2526e1d", "a8b3fdfef93dc139a7edcb2bd44cb379f2526e1d")</f>
        <v>0</v>
      </c>
      <c r="D11932" t="s">
        <v>12201</v>
      </c>
      <c r="E11932" t="s">
        <v>13286</v>
      </c>
      <c r="F11932" t="s">
        <v>16413</v>
      </c>
      <c r="G11932" t="s">
        <v>19078</v>
      </c>
      <c r="H11932" t="s">
        <v>23037</v>
      </c>
      <c r="I11932" t="s">
        <v>1357</v>
      </c>
      <c r="J11932" t="s">
        <v>1357</v>
      </c>
      <c r="K11932" t="s">
        <v>1357</v>
      </c>
      <c r="L11932" t="s">
        <v>1357</v>
      </c>
    </row>
    <row r="11933" spans="1:12">
      <c r="F11933" t="s">
        <v>16449</v>
      </c>
      <c r="G11933" t="s">
        <v>19113</v>
      </c>
      <c r="H11933" t="s">
        <v>23113</v>
      </c>
      <c r="I11933" t="s">
        <v>1357</v>
      </c>
      <c r="J11933" t="s">
        <v>1357</v>
      </c>
      <c r="K11933" t="s">
        <v>1357</v>
      </c>
      <c r="L11933" t="s">
        <v>1357</v>
      </c>
    </row>
    <row r="11934" spans="1:12">
      <c r="A11934" t="s">
        <v>10745</v>
      </c>
      <c r="B11934">
        <f>HYPERLINK("https://android.googlesource.com/platform/cts/+/ffc30d238afb7a0832d11a6740cd7fa973fa127f", "ffc30d238afb7a0832d11a6740cd7fa973fa127f")</f>
        <v>0</v>
      </c>
      <c r="C11934">
        <f>HYPERLINK("https://android.googlesource.com/platform/cts/+/ddde083e52bea0b6c4c36a963b81fcb547ccc114", "ddde083e52bea0b6c4c36a963b81fcb547ccc114")</f>
        <v>0</v>
      </c>
      <c r="D11934" t="s">
        <v>12202</v>
      </c>
      <c r="E11934" t="s">
        <v>13287</v>
      </c>
      <c r="F11934" t="s">
        <v>16210</v>
      </c>
      <c r="G11934" t="s">
        <v>18888</v>
      </c>
      <c r="H11934" t="s">
        <v>22206</v>
      </c>
      <c r="I11934" t="s">
        <v>1357</v>
      </c>
      <c r="J11934" t="s">
        <v>1357</v>
      </c>
      <c r="K11934" t="s">
        <v>1357</v>
      </c>
      <c r="L11934" t="s">
        <v>1357</v>
      </c>
    </row>
    <row r="11935" spans="1:12">
      <c r="A11935" t="s">
        <v>10746</v>
      </c>
      <c r="B11935">
        <f>HYPERLINK("https://android.googlesource.com/platform/cts/+/3ae8059ea47c78869bc8aa1d0a8a4a7b726bf019", "3ae8059ea47c78869bc8aa1d0a8a4a7b726bf019")</f>
        <v>0</v>
      </c>
      <c r="C11935">
        <f>HYPERLINK("https://android.googlesource.com/platform/cts/+/3ddbd06f88653089694dca05c673227b6f5b9204", "3ddbd06f88653089694dca05c673227b6f5b9204")</f>
        <v>0</v>
      </c>
      <c r="D11935" t="s">
        <v>12194</v>
      </c>
      <c r="E11935" t="s">
        <v>13288</v>
      </c>
      <c r="F11935" t="s">
        <v>16416</v>
      </c>
      <c r="G11935" t="s">
        <v>19081</v>
      </c>
      <c r="H11935" t="s">
        <v>23042</v>
      </c>
      <c r="I11935" t="s">
        <v>1357</v>
      </c>
      <c r="J11935" t="s">
        <v>1357</v>
      </c>
      <c r="K11935" t="s">
        <v>1357</v>
      </c>
      <c r="L11935" t="s">
        <v>1357</v>
      </c>
    </row>
    <row r="11936" spans="1:12">
      <c r="H11936" t="s">
        <v>23043</v>
      </c>
      <c r="I11936" t="s">
        <v>1357</v>
      </c>
      <c r="J11936" t="s">
        <v>1357</v>
      </c>
      <c r="K11936" t="s">
        <v>1357</v>
      </c>
      <c r="L11936" t="s">
        <v>1357</v>
      </c>
    </row>
    <row r="11937" spans="1:13">
      <c r="H11937" t="s">
        <v>23044</v>
      </c>
      <c r="I11937" t="s">
        <v>1357</v>
      </c>
      <c r="J11937" t="s">
        <v>1357</v>
      </c>
      <c r="K11937" t="s">
        <v>1357</v>
      </c>
      <c r="L11937" t="s">
        <v>1357</v>
      </c>
    </row>
    <row r="11938" spans="1:13">
      <c r="A11938" t="s">
        <v>10747</v>
      </c>
      <c r="B11938">
        <f>HYPERLINK("https://android.googlesource.com/platform/cts/+/400e69ed65879bc9d57a94c434ee82045abbbc1c", "400e69ed65879bc9d57a94c434ee82045abbbc1c")</f>
        <v>0</v>
      </c>
      <c r="C11938">
        <f>HYPERLINK("https://android.googlesource.com/platform/cts/+/c2572b2d9345e8216c2ff7c268d0b0ec5f208608", "c2572b2d9345e8216c2ff7c268d0b0ec5f208608")</f>
        <v>0</v>
      </c>
      <c r="D11938" t="s">
        <v>12203</v>
      </c>
      <c r="E11938" t="s">
        <v>13289</v>
      </c>
      <c r="F11938" t="s">
        <v>16416</v>
      </c>
      <c r="G11938" t="s">
        <v>19081</v>
      </c>
      <c r="H11938" t="s">
        <v>23042</v>
      </c>
      <c r="I11938" t="s">
        <v>1357</v>
      </c>
      <c r="J11938" t="s">
        <v>1357</v>
      </c>
      <c r="K11938" t="s">
        <v>1357</v>
      </c>
      <c r="L11938" t="s">
        <v>1357</v>
      </c>
    </row>
    <row r="11939" spans="1:13">
      <c r="H11939" t="s">
        <v>23043</v>
      </c>
      <c r="I11939" t="s">
        <v>1357</v>
      </c>
      <c r="J11939" t="s">
        <v>1357</v>
      </c>
      <c r="K11939" t="s">
        <v>1357</v>
      </c>
      <c r="L11939" t="s">
        <v>1357</v>
      </c>
      <c r="M11939" t="s">
        <v>9957</v>
      </c>
    </row>
    <row r="11940" spans="1:13">
      <c r="H11940" t="s">
        <v>23044</v>
      </c>
      <c r="I11940" t="s">
        <v>1357</v>
      </c>
      <c r="J11940" t="s">
        <v>1357</v>
      </c>
      <c r="K11940" t="s">
        <v>1357</v>
      </c>
      <c r="L11940" t="s">
        <v>1357</v>
      </c>
    </row>
    <row r="11941" spans="1:13">
      <c r="A11941" t="s">
        <v>10748</v>
      </c>
      <c r="B11941">
        <f>HYPERLINK("https://android.googlesource.com/platform/cts/+/1167a04c6665713c3eb45906fa2c96d897e45cc5", "1167a04c6665713c3eb45906fa2c96d897e45cc5")</f>
        <v>0</v>
      </c>
      <c r="C11941">
        <f>HYPERLINK("https://android.googlesource.com/platform/cts/+/24c13049d91476ac27ca097212fbe4b558776c41", "24c13049d91476ac27ca097212fbe4b558776c41")</f>
        <v>0</v>
      </c>
      <c r="D11941" t="s">
        <v>12201</v>
      </c>
      <c r="E11941" t="s">
        <v>13290</v>
      </c>
      <c r="F11941" t="s">
        <v>16449</v>
      </c>
      <c r="G11941" t="s">
        <v>19113</v>
      </c>
      <c r="H11941" t="s">
        <v>23113</v>
      </c>
      <c r="I11941" t="s">
        <v>1357</v>
      </c>
      <c r="J11941" t="s">
        <v>1357</v>
      </c>
      <c r="K11941" t="s">
        <v>1357</v>
      </c>
      <c r="L11941" t="s">
        <v>1357</v>
      </c>
    </row>
    <row r="11942" spans="1:13">
      <c r="A11942" t="s">
        <v>10749</v>
      </c>
      <c r="B11942">
        <f>HYPERLINK("https://android.googlesource.com/platform/cts/+/622e278dec59cd44af2e8a80bbac3fd58a95d028", "622e278dec59cd44af2e8a80bbac3fd58a95d028")</f>
        <v>0</v>
      </c>
      <c r="C11942">
        <f>HYPERLINK("https://android.googlesource.com/platform/cts/+/2976943ffe98aa57891ae482ab299bb43cb172dd", "2976943ffe98aa57891ae482ab299bb43cb172dd")</f>
        <v>0</v>
      </c>
      <c r="D11942" t="s">
        <v>12194</v>
      </c>
      <c r="E11942" t="s">
        <v>13291</v>
      </c>
      <c r="F11942" t="s">
        <v>16416</v>
      </c>
      <c r="G11942" t="s">
        <v>19081</v>
      </c>
      <c r="H11942" t="s">
        <v>23114</v>
      </c>
      <c r="I11942" t="s">
        <v>1357</v>
      </c>
      <c r="J11942" t="s">
        <v>1357</v>
      </c>
      <c r="K11942" t="s">
        <v>1357</v>
      </c>
      <c r="L11942" t="s">
        <v>1357</v>
      </c>
    </row>
    <row r="11943" spans="1:13">
      <c r="A11943" t="s">
        <v>10750</v>
      </c>
      <c r="B11943">
        <f>HYPERLINK("https://android.googlesource.com/platform/cts/+/d358aeaf0219351bddbbae3d9659b4dde476d228", "d358aeaf0219351bddbbae3d9659b4dde476d228")</f>
        <v>0</v>
      </c>
      <c r="C11943">
        <f>HYPERLINK("https://android.googlesource.com/platform/cts/+/0f49b808388f10b13b5d805b8324309b4817f4f2", "0f49b808388f10b13b5d805b8324309b4817f4f2")</f>
        <v>0</v>
      </c>
      <c r="D11943" t="s">
        <v>12102</v>
      </c>
      <c r="E11943" t="s">
        <v>13292</v>
      </c>
      <c r="F11943" t="s">
        <v>16450</v>
      </c>
      <c r="G11943" t="s">
        <v>19114</v>
      </c>
      <c r="H11943" t="s">
        <v>23115</v>
      </c>
      <c r="I11943" t="s">
        <v>1357</v>
      </c>
      <c r="J11943" t="s">
        <v>1357</v>
      </c>
      <c r="K11943" t="s">
        <v>1357</v>
      </c>
      <c r="L11943" t="s">
        <v>1357</v>
      </c>
    </row>
    <row r="11944" spans="1:13">
      <c r="H11944" t="s">
        <v>23116</v>
      </c>
      <c r="I11944" t="s">
        <v>1357</v>
      </c>
      <c r="J11944" t="s">
        <v>1357</v>
      </c>
      <c r="K11944" t="s">
        <v>1357</v>
      </c>
      <c r="L11944" t="s">
        <v>1357</v>
      </c>
    </row>
    <row r="11945" spans="1:13">
      <c r="H11945" t="s">
        <v>23117</v>
      </c>
      <c r="I11945" t="s">
        <v>1357</v>
      </c>
      <c r="J11945" t="s">
        <v>1357</v>
      </c>
      <c r="K11945" t="s">
        <v>1357</v>
      </c>
      <c r="L11945" t="s">
        <v>1357</v>
      </c>
    </row>
    <row r="11946" spans="1:13">
      <c r="H11946" t="s">
        <v>23118</v>
      </c>
      <c r="I11946" t="s">
        <v>1357</v>
      </c>
      <c r="J11946" t="s">
        <v>1357</v>
      </c>
      <c r="K11946" t="s">
        <v>1357</v>
      </c>
      <c r="L11946" t="s">
        <v>1357</v>
      </c>
    </row>
    <row r="11947" spans="1:13">
      <c r="H11947" t="s">
        <v>23119</v>
      </c>
      <c r="I11947" t="s">
        <v>1357</v>
      </c>
      <c r="J11947" t="s">
        <v>1357</v>
      </c>
      <c r="K11947" t="s">
        <v>1357</v>
      </c>
      <c r="L11947" t="s">
        <v>1357</v>
      </c>
    </row>
    <row r="11948" spans="1:13">
      <c r="H11948" t="s">
        <v>23120</v>
      </c>
      <c r="I11948" t="s">
        <v>1357</v>
      </c>
      <c r="J11948" t="s">
        <v>1357</v>
      </c>
      <c r="K11948" t="s">
        <v>1357</v>
      </c>
      <c r="L11948" t="s">
        <v>1357</v>
      </c>
    </row>
    <row r="11949" spans="1:13">
      <c r="A11949" t="s">
        <v>10751</v>
      </c>
      <c r="B11949">
        <f>HYPERLINK("https://android.googlesource.com/platform/cts/+/2052c7b87c9d9f129bae3808169bea604d3fc7ec", "2052c7b87c9d9f129bae3808169bea604d3fc7ec")</f>
        <v>0</v>
      </c>
      <c r="C11949">
        <f>HYPERLINK("https://android.googlesource.com/platform/cts/+/d38861f49e61da295b315b44e387d8218cb6aacd", "d38861f49e61da295b315b44e387d8218cb6aacd")</f>
        <v>0</v>
      </c>
      <c r="D11949" t="s">
        <v>12204</v>
      </c>
      <c r="E11949" t="s">
        <v>13293</v>
      </c>
      <c r="F11949" t="s">
        <v>16451</v>
      </c>
      <c r="G11949" t="s">
        <v>19115</v>
      </c>
      <c r="H11949" t="s">
        <v>23121</v>
      </c>
      <c r="I11949" t="s">
        <v>1357</v>
      </c>
      <c r="J11949" t="s">
        <v>1357</v>
      </c>
      <c r="K11949" t="s">
        <v>1357</v>
      </c>
      <c r="L11949" t="s">
        <v>1357</v>
      </c>
    </row>
    <row r="11950" spans="1:13">
      <c r="H11950" t="s">
        <v>23122</v>
      </c>
      <c r="I11950" t="s">
        <v>1357</v>
      </c>
      <c r="J11950" t="s">
        <v>1357</v>
      </c>
      <c r="K11950" t="s">
        <v>1357</v>
      </c>
      <c r="L11950" t="s">
        <v>1357</v>
      </c>
    </row>
    <row r="11951" spans="1:13">
      <c r="H11951" t="s">
        <v>23123</v>
      </c>
      <c r="I11951" t="s">
        <v>1357</v>
      </c>
      <c r="J11951" t="s">
        <v>1357</v>
      </c>
      <c r="K11951" t="s">
        <v>1357</v>
      </c>
      <c r="L11951" t="s">
        <v>1357</v>
      </c>
    </row>
    <row r="11952" spans="1:13">
      <c r="H11952" t="s">
        <v>23124</v>
      </c>
      <c r="I11952" t="s">
        <v>1357</v>
      </c>
      <c r="J11952" t="s">
        <v>1357</v>
      </c>
      <c r="K11952" t="s">
        <v>1357</v>
      </c>
      <c r="L11952" t="s">
        <v>1357</v>
      </c>
    </row>
    <row r="11953" spans="1:13">
      <c r="H11953" t="s">
        <v>23125</v>
      </c>
      <c r="I11953" t="s">
        <v>1357</v>
      </c>
      <c r="J11953" t="s">
        <v>1357</v>
      </c>
      <c r="K11953" t="s">
        <v>1357</v>
      </c>
      <c r="L11953" t="s">
        <v>1357</v>
      </c>
    </row>
    <row r="11954" spans="1:13">
      <c r="H11954" t="s">
        <v>23126</v>
      </c>
      <c r="I11954" t="s">
        <v>1357</v>
      </c>
      <c r="J11954" t="s">
        <v>1357</v>
      </c>
      <c r="K11954" t="s">
        <v>1357</v>
      </c>
      <c r="L11954" t="s">
        <v>1357</v>
      </c>
    </row>
    <row r="11955" spans="1:13">
      <c r="H11955" t="s">
        <v>23127</v>
      </c>
      <c r="I11955" t="s">
        <v>1357</v>
      </c>
      <c r="J11955" t="s">
        <v>1357</v>
      </c>
      <c r="K11955" t="s">
        <v>1357</v>
      </c>
      <c r="L11955" t="s">
        <v>1357</v>
      </c>
    </row>
    <row r="11956" spans="1:13">
      <c r="H11956" t="s">
        <v>23128</v>
      </c>
      <c r="I11956" t="s">
        <v>1357</v>
      </c>
      <c r="J11956" t="s">
        <v>1357</v>
      </c>
      <c r="K11956" t="s">
        <v>1357</v>
      </c>
      <c r="L11956" t="s">
        <v>1357</v>
      </c>
    </row>
    <row r="11957" spans="1:13">
      <c r="A11957" t="s">
        <v>10752</v>
      </c>
      <c r="B11957">
        <f>HYPERLINK("https://android.googlesource.com/platform/cts/+/a1f4131c8170703ea9bd2ec476ab940c555468b0", "a1f4131c8170703ea9bd2ec476ab940c555468b0")</f>
        <v>0</v>
      </c>
      <c r="C11957">
        <f>HYPERLINK("https://android.googlesource.com/platform/cts/+/6ea911e6e23e9204b2be7104c64b58069d1d2ef8", "6ea911e6e23e9204b2be7104c64b58069d1d2ef8")</f>
        <v>0</v>
      </c>
      <c r="D11957" t="s">
        <v>12205</v>
      </c>
      <c r="E11957" t="s">
        <v>13294</v>
      </c>
      <c r="F11957" t="s">
        <v>16452</v>
      </c>
      <c r="G11957" t="s">
        <v>19116</v>
      </c>
      <c r="H11957" t="s">
        <v>23129</v>
      </c>
      <c r="I11957" t="s">
        <v>1358</v>
      </c>
      <c r="J11957" t="s">
        <v>1358</v>
      </c>
      <c r="K11957" t="s">
        <v>1358</v>
      </c>
      <c r="L11957" t="s">
        <v>1358</v>
      </c>
    </row>
    <row r="11958" spans="1:13">
      <c r="A11958" t="s">
        <v>10753</v>
      </c>
      <c r="B11958">
        <f>HYPERLINK("https://android.googlesource.com/platform/cts/+/caeffb4cc5cda772f760694bcf32a6026f70fae4", "caeffb4cc5cda772f760694bcf32a6026f70fae4")</f>
        <v>0</v>
      </c>
      <c r="C11958">
        <f>HYPERLINK("https://android.googlesource.com/platform/cts/+/1b7de239759b6cbbc13e81f92823ff388fcf9988", "1b7de239759b6cbbc13e81f92823ff388fcf9988")</f>
        <v>0</v>
      </c>
      <c r="D11958" t="s">
        <v>12102</v>
      </c>
      <c r="E11958" t="s">
        <v>13295</v>
      </c>
      <c r="F11958" t="s">
        <v>16453</v>
      </c>
      <c r="G11958" t="s">
        <v>19117</v>
      </c>
      <c r="H11958" t="s">
        <v>23130</v>
      </c>
      <c r="I11958" t="s">
        <v>1358</v>
      </c>
      <c r="J11958" t="s">
        <v>1358</v>
      </c>
      <c r="K11958" t="s">
        <v>1358</v>
      </c>
      <c r="L11958" t="s">
        <v>1358</v>
      </c>
    </row>
    <row r="11959" spans="1:13">
      <c r="H11959" t="s">
        <v>23131</v>
      </c>
      <c r="I11959" t="s">
        <v>1358</v>
      </c>
      <c r="J11959" t="s">
        <v>1358</v>
      </c>
      <c r="K11959" t="s">
        <v>1358</v>
      </c>
      <c r="L11959" t="s">
        <v>1358</v>
      </c>
    </row>
    <row r="11960" spans="1:13">
      <c r="A11960" t="s">
        <v>10754</v>
      </c>
      <c r="B11960">
        <f>HYPERLINK("https://android.googlesource.com/platform/cts/+/c245c4bbb7349060e10a7006edf8fad5646d8e95", "c245c4bbb7349060e10a7006edf8fad5646d8e95")</f>
        <v>0</v>
      </c>
      <c r="C11960">
        <f>HYPERLINK("https://android.googlesource.com/platform/cts/+/50e2160d0b8f6f6f53c2d621aa7bf4cd5bb14f78", "50e2160d0b8f6f6f53c2d621aa7bf4cd5bb14f78")</f>
        <v>0</v>
      </c>
      <c r="D11960" t="s">
        <v>12206</v>
      </c>
      <c r="E11960" t="s">
        <v>13296</v>
      </c>
      <c r="F11960" t="s">
        <v>16454</v>
      </c>
      <c r="G11960" t="s">
        <v>19118</v>
      </c>
      <c r="H11960" t="s">
        <v>23132</v>
      </c>
      <c r="I11960" t="s">
        <v>1357</v>
      </c>
      <c r="J11960" t="s">
        <v>1357</v>
      </c>
      <c r="K11960" t="s">
        <v>1357</v>
      </c>
      <c r="L11960" t="s">
        <v>1357</v>
      </c>
    </row>
    <row r="11961" spans="1:13">
      <c r="A11961" t="s">
        <v>10755</v>
      </c>
      <c r="B11961">
        <f>HYPERLINK("https://android.googlesource.com/platform/cts/+/83f051c8e32ced6625bae413da075d16b115d15c", "83f051c8e32ced6625bae413da075d16b115d15c")</f>
        <v>0</v>
      </c>
      <c r="C11961">
        <f>HYPERLINK("https://android.googlesource.com/platform/cts/+/28cfb609dc87e43be0e20bf1aa62813096af860c", "28cfb609dc87e43be0e20bf1aa62813096af860c")</f>
        <v>0</v>
      </c>
      <c r="D11961" t="s">
        <v>12181</v>
      </c>
      <c r="E11961" t="s">
        <v>13297</v>
      </c>
      <c r="F11961" t="s">
        <v>14580</v>
      </c>
      <c r="G11961" t="s">
        <v>17424</v>
      </c>
      <c r="H11961" t="s">
        <v>22629</v>
      </c>
      <c r="I11961" t="s">
        <v>1359</v>
      </c>
      <c r="J11961" t="s">
        <v>1358</v>
      </c>
      <c r="K11961" t="s">
        <v>1357</v>
      </c>
      <c r="L11961" t="s">
        <v>1358</v>
      </c>
      <c r="M11961" t="s">
        <v>9957</v>
      </c>
    </row>
    <row r="11962" spans="1:13">
      <c r="A11962" t="s">
        <v>10756</v>
      </c>
      <c r="B11962">
        <f>HYPERLINK("https://android.googlesource.com/platform/cts/+/d3fdbbdfe6120145b095d07f9162cd0b76695830", "d3fdbbdfe6120145b095d07f9162cd0b76695830")</f>
        <v>0</v>
      </c>
      <c r="C11962">
        <f>HYPERLINK("https://android.googlesource.com/platform/cts/+/91118843d34ec36c6ed60501d99a6228be4325b8", "91118843d34ec36c6ed60501d99a6228be4325b8")</f>
        <v>0</v>
      </c>
      <c r="D11962" t="s">
        <v>12181</v>
      </c>
      <c r="E11962" t="s">
        <v>13298</v>
      </c>
      <c r="F11962" t="s">
        <v>14580</v>
      </c>
      <c r="G11962" t="s">
        <v>17424</v>
      </c>
      <c r="H11962" t="s">
        <v>22629</v>
      </c>
      <c r="I11962" t="s">
        <v>1359</v>
      </c>
      <c r="J11962" t="s">
        <v>1358</v>
      </c>
      <c r="K11962" t="s">
        <v>1357</v>
      </c>
      <c r="L11962" t="s">
        <v>1358</v>
      </c>
      <c r="M11962" t="s">
        <v>9957</v>
      </c>
    </row>
    <row r="11963" spans="1:13">
      <c r="A11963" t="s">
        <v>10757</v>
      </c>
      <c r="B11963">
        <f>HYPERLINK("https://android.googlesource.com/platform/cts/+/1fe198e5c1e328b037d0277e72bfcee4c2ad6768", "1fe198e5c1e328b037d0277e72bfcee4c2ad6768")</f>
        <v>0</v>
      </c>
      <c r="C11963">
        <f>HYPERLINK("https://android.googlesource.com/platform/cts/+/2ac7b1c2de98dca48efd9a426bd5b287a394c63e", "2ac7b1c2de98dca48efd9a426bd5b287a394c63e")</f>
        <v>0</v>
      </c>
      <c r="D11963" t="s">
        <v>12181</v>
      </c>
      <c r="E11963" t="s">
        <v>13298</v>
      </c>
      <c r="F11963" t="s">
        <v>14580</v>
      </c>
      <c r="G11963" t="s">
        <v>17424</v>
      </c>
      <c r="H11963" t="s">
        <v>22629</v>
      </c>
      <c r="I11963" t="s">
        <v>1359</v>
      </c>
      <c r="J11963" t="s">
        <v>1358</v>
      </c>
      <c r="K11963" t="s">
        <v>1357</v>
      </c>
      <c r="L11963" t="s">
        <v>1358</v>
      </c>
      <c r="M11963" t="s">
        <v>9957</v>
      </c>
    </row>
    <row r="11964" spans="1:13">
      <c r="A11964" t="s">
        <v>10758</v>
      </c>
      <c r="B11964">
        <f>HYPERLINK("https://android.googlesource.com/platform/cts/+/d84fb8030c0cd185ca4462fcfb2d61ec61b4f50a", "d84fb8030c0cd185ca4462fcfb2d61ec61b4f50a")</f>
        <v>0</v>
      </c>
      <c r="C11964">
        <f>HYPERLINK("https://android.googlesource.com/platform/cts/+/0ac259c1d056e7e5814baacbfea4916f7453b3e5", "0ac259c1d056e7e5814baacbfea4916f7453b3e5")</f>
        <v>0</v>
      </c>
      <c r="D11964" t="s">
        <v>12122</v>
      </c>
      <c r="E11964" t="s">
        <v>13299</v>
      </c>
      <c r="F11964" t="s">
        <v>16455</v>
      </c>
      <c r="G11964" t="s">
        <v>19000</v>
      </c>
      <c r="H11964" t="s">
        <v>22718</v>
      </c>
      <c r="I11964" t="s">
        <v>1357</v>
      </c>
      <c r="J11964" t="s">
        <v>1357</v>
      </c>
      <c r="K11964" t="s">
        <v>1357</v>
      </c>
      <c r="L11964" t="s">
        <v>1357</v>
      </c>
    </row>
    <row r="11965" spans="1:13">
      <c r="A11965" t="s">
        <v>10759</v>
      </c>
      <c r="B11965">
        <f>HYPERLINK("https://android.googlesource.com/platform/cts/+/fc614de2bc767334108662c001a024da63971ec5", "fc614de2bc767334108662c001a024da63971ec5")</f>
        <v>0</v>
      </c>
      <c r="C11965">
        <f>HYPERLINK("https://android.googlesource.com/platform/cts/+/fb6eb1c90d5a7205f881b794e8ed146e75f88966", "fb6eb1c90d5a7205f881b794e8ed146e75f88966")</f>
        <v>0</v>
      </c>
      <c r="D11965" t="s">
        <v>12122</v>
      </c>
      <c r="E11965" t="s">
        <v>13300</v>
      </c>
      <c r="F11965" t="s">
        <v>16456</v>
      </c>
      <c r="G11965" t="s">
        <v>19119</v>
      </c>
      <c r="H11965" t="s">
        <v>23133</v>
      </c>
      <c r="I11965" t="s">
        <v>1357</v>
      </c>
      <c r="J11965" t="s">
        <v>1357</v>
      </c>
      <c r="K11965" t="s">
        <v>1357</v>
      </c>
      <c r="L11965" t="s">
        <v>1357</v>
      </c>
    </row>
    <row r="11966" spans="1:13">
      <c r="A11966" t="s">
        <v>10760</v>
      </c>
      <c r="B11966">
        <f>HYPERLINK("https://android.googlesource.com/platform/cts/+/df9f00f93c144b32442f31df26ec97d6e123d57f", "df9f00f93c144b32442f31df26ec97d6e123d57f")</f>
        <v>0</v>
      </c>
      <c r="C11966">
        <f>HYPERLINK("https://android.googlesource.com/platform/cts/+/1b09e54155e343105d236ab86d7a288ab0523428", "1b09e54155e343105d236ab86d7a288ab0523428")</f>
        <v>0</v>
      </c>
      <c r="D11966" t="s">
        <v>11996</v>
      </c>
      <c r="E11966" t="s">
        <v>13301</v>
      </c>
      <c r="F11966" t="s">
        <v>16457</v>
      </c>
      <c r="G11966" t="s">
        <v>19120</v>
      </c>
      <c r="H11966" t="s">
        <v>23134</v>
      </c>
      <c r="I11966" t="s">
        <v>1357</v>
      </c>
      <c r="J11966" t="s">
        <v>1357</v>
      </c>
      <c r="K11966" t="s">
        <v>1357</v>
      </c>
      <c r="L11966" t="s">
        <v>1357</v>
      </c>
    </row>
    <row r="11967" spans="1:13">
      <c r="H11967" t="s">
        <v>23135</v>
      </c>
      <c r="I11967" t="s">
        <v>1357</v>
      </c>
      <c r="J11967" t="s">
        <v>1357</v>
      </c>
      <c r="K11967" t="s">
        <v>1357</v>
      </c>
      <c r="L11967" t="s">
        <v>1357</v>
      </c>
    </row>
    <row r="11968" spans="1:13">
      <c r="H11968" t="s">
        <v>23136</v>
      </c>
      <c r="I11968" t="s">
        <v>1357</v>
      </c>
      <c r="J11968" t="s">
        <v>1357</v>
      </c>
      <c r="K11968" t="s">
        <v>1357</v>
      </c>
      <c r="L11968" t="s">
        <v>1357</v>
      </c>
    </row>
    <row r="11969" spans="1:13">
      <c r="A11969" t="s">
        <v>10761</v>
      </c>
      <c r="B11969">
        <f>HYPERLINK("https://android.googlesource.com/platform/cts/+/d4b42453e338a44dbe752ebcc4657655d2c08b88", "d4b42453e338a44dbe752ebcc4657655d2c08b88")</f>
        <v>0</v>
      </c>
      <c r="C11969">
        <f>HYPERLINK("https://android.googlesource.com/platform/cts/+/0405f295e97122381e1243e134d43457366a87f0", "0405f295e97122381e1243e134d43457366a87f0")</f>
        <v>0</v>
      </c>
      <c r="D11969" t="s">
        <v>12207</v>
      </c>
      <c r="E11969" t="s">
        <v>13302</v>
      </c>
      <c r="F11969" t="s">
        <v>16458</v>
      </c>
      <c r="G11969" t="s">
        <v>19121</v>
      </c>
      <c r="H11969" t="s">
        <v>23137</v>
      </c>
      <c r="I11969" t="s">
        <v>1357</v>
      </c>
      <c r="J11969" t="s">
        <v>1357</v>
      </c>
      <c r="K11969" t="s">
        <v>1357</v>
      </c>
      <c r="L11969" t="s">
        <v>1357</v>
      </c>
    </row>
    <row r="11970" spans="1:13">
      <c r="H11970" t="s">
        <v>23138</v>
      </c>
      <c r="I11970" t="s">
        <v>1357</v>
      </c>
      <c r="J11970" t="s">
        <v>1357</v>
      </c>
      <c r="K11970" t="s">
        <v>1357</v>
      </c>
      <c r="L11970" t="s">
        <v>1357</v>
      </c>
    </row>
    <row r="11971" spans="1:13">
      <c r="A11971" t="s">
        <v>10762</v>
      </c>
      <c r="B11971">
        <f>HYPERLINK("https://android.googlesource.com/platform/cts/+/a2e1390f05a5f7b55795ab111a4f7d374ad08c4f", "a2e1390f05a5f7b55795ab111a4f7d374ad08c4f")</f>
        <v>0</v>
      </c>
      <c r="C11971">
        <f>HYPERLINK("https://android.googlesource.com/platform/cts/+/75ae3e1c15aeb84bb08e5ff49e62ccc6ae2e2665", "75ae3e1c15aeb84bb08e5ff49e62ccc6ae2e2665")</f>
        <v>0</v>
      </c>
      <c r="D11971" t="s">
        <v>12208</v>
      </c>
      <c r="E11971" t="s">
        <v>13303</v>
      </c>
      <c r="F11971" t="s">
        <v>16403</v>
      </c>
      <c r="G11971" t="s">
        <v>19069</v>
      </c>
      <c r="H11971" t="s">
        <v>23139</v>
      </c>
      <c r="I11971" t="s">
        <v>1357</v>
      </c>
      <c r="J11971" t="s">
        <v>1357</v>
      </c>
      <c r="K11971" t="s">
        <v>1357</v>
      </c>
      <c r="L11971" t="s">
        <v>1357</v>
      </c>
    </row>
    <row r="11972" spans="1:13">
      <c r="A11972" t="s">
        <v>10763</v>
      </c>
      <c r="B11972">
        <f>HYPERLINK("https://android.googlesource.com/platform/cts/+/06c47e3298a42ca6b70aa1d516edec019aca9d45", "06c47e3298a42ca6b70aa1d516edec019aca9d45")</f>
        <v>0</v>
      </c>
      <c r="C11972">
        <f>HYPERLINK("https://android.googlesource.com/platform/cts/+/b75fac9354e55876b0e50dde329da61d65f0bfbe", "b75fac9354e55876b0e50dde329da61d65f0bfbe")</f>
        <v>0</v>
      </c>
      <c r="D11972" t="s">
        <v>12209</v>
      </c>
      <c r="E11972" t="s">
        <v>13304</v>
      </c>
      <c r="F11972" t="s">
        <v>16459</v>
      </c>
      <c r="G11972" t="s">
        <v>19122</v>
      </c>
      <c r="H11972" t="s">
        <v>23140</v>
      </c>
      <c r="I11972" t="s">
        <v>1357</v>
      </c>
      <c r="J11972" t="s">
        <v>1357</v>
      </c>
      <c r="K11972" t="s">
        <v>1357</v>
      </c>
      <c r="L11972" t="s">
        <v>1357</v>
      </c>
    </row>
    <row r="11973" spans="1:13">
      <c r="A11973" t="s">
        <v>10764</v>
      </c>
      <c r="B11973">
        <f>HYPERLINK("https://android.googlesource.com/platform/cts/+/7700200ef0f8100946cc469bd6853f46104decf8", "7700200ef0f8100946cc469bd6853f46104decf8")</f>
        <v>0</v>
      </c>
      <c r="C11973">
        <f>HYPERLINK("https://android.googlesource.com/platform/cts/+/d28770b744224cc3cd7cb91f00c3043781d02668", "d28770b744224cc3cd7cb91f00c3043781d02668")</f>
        <v>0</v>
      </c>
      <c r="D11973" t="s">
        <v>12209</v>
      </c>
      <c r="E11973" t="s">
        <v>13305</v>
      </c>
      <c r="F11973" t="s">
        <v>16459</v>
      </c>
      <c r="G11973" t="s">
        <v>19122</v>
      </c>
      <c r="H11973" t="s">
        <v>23140</v>
      </c>
      <c r="I11973" t="s">
        <v>1357</v>
      </c>
      <c r="J11973" t="s">
        <v>1357</v>
      </c>
      <c r="K11973" t="s">
        <v>1357</v>
      </c>
      <c r="L11973" t="s">
        <v>1357</v>
      </c>
      <c r="M11973" t="s">
        <v>9957</v>
      </c>
    </row>
    <row r="11974" spans="1:13">
      <c r="A11974" t="s">
        <v>10765</v>
      </c>
      <c r="B11974">
        <f>HYPERLINK("https://android.googlesource.com/platform/cts/+/6c2509fa9a77cab53cfea77bade093dbfcabc930", "6c2509fa9a77cab53cfea77bade093dbfcabc930")</f>
        <v>0</v>
      </c>
      <c r="C11974">
        <f>HYPERLINK("https://android.googlesource.com/platform/cts/+/dad94883487b7ace42e70bc66c936d9144262295", "dad94883487b7ace42e70bc66c936d9144262295")</f>
        <v>0</v>
      </c>
      <c r="D11974" t="s">
        <v>12209</v>
      </c>
      <c r="E11974" t="s">
        <v>13305</v>
      </c>
      <c r="F11974" t="s">
        <v>16459</v>
      </c>
      <c r="G11974" t="s">
        <v>19122</v>
      </c>
      <c r="H11974" t="s">
        <v>23140</v>
      </c>
      <c r="I11974" t="s">
        <v>1357</v>
      </c>
      <c r="J11974" t="s">
        <v>1357</v>
      </c>
      <c r="K11974" t="s">
        <v>1357</v>
      </c>
      <c r="L11974" t="s">
        <v>1357</v>
      </c>
      <c r="M11974" t="s">
        <v>9957</v>
      </c>
    </row>
    <row r="11975" spans="1:13">
      <c r="A11975" t="s">
        <v>10766</v>
      </c>
      <c r="B11975">
        <f>HYPERLINK("https://android.googlesource.com/platform/cts/+/a6490cbf87d8a2ab182b30af44ca00933cb9ab5b", "a6490cbf87d8a2ab182b30af44ca00933cb9ab5b")</f>
        <v>0</v>
      </c>
      <c r="C11975">
        <f>HYPERLINK("https://android.googlesource.com/platform/cts/+/c0bd71ea57614aafaf9eb287e5e4c3f308221fec", "c0bd71ea57614aafaf9eb287e5e4c3f308221fec")</f>
        <v>0</v>
      </c>
      <c r="D11975" t="s">
        <v>12122</v>
      </c>
      <c r="E11975" t="s">
        <v>13306</v>
      </c>
      <c r="F11975" t="s">
        <v>16460</v>
      </c>
      <c r="G11975" t="s">
        <v>19123</v>
      </c>
      <c r="H11975" t="s">
        <v>23141</v>
      </c>
      <c r="I11975" t="s">
        <v>1357</v>
      </c>
      <c r="J11975" t="s">
        <v>1357</v>
      </c>
      <c r="K11975" t="s">
        <v>1357</v>
      </c>
      <c r="L11975" t="s">
        <v>1357</v>
      </c>
    </row>
    <row r="11976" spans="1:13">
      <c r="F11976" t="s">
        <v>16461</v>
      </c>
      <c r="G11976" t="s">
        <v>19124</v>
      </c>
      <c r="H11976" t="s">
        <v>23142</v>
      </c>
      <c r="I11976" t="s">
        <v>1357</v>
      </c>
      <c r="J11976" t="s">
        <v>1357</v>
      </c>
      <c r="K11976" t="s">
        <v>1357</v>
      </c>
      <c r="L11976" t="s">
        <v>1357</v>
      </c>
    </row>
    <row r="11977" spans="1:13">
      <c r="A11977" t="s">
        <v>10767</v>
      </c>
      <c r="B11977">
        <f>HYPERLINK("https://android.googlesource.com/platform/cts/+/807291f0bc780df7c37169fc4e340937f7f321d2", "807291f0bc780df7c37169fc4e340937f7f321d2")</f>
        <v>0</v>
      </c>
      <c r="C11977">
        <f>HYPERLINK("https://android.googlesource.com/platform/cts/+/b6cb77792e3abf2fbf4d4abbd32d01809713db15", "b6cb77792e3abf2fbf4d4abbd32d01809713db15")</f>
        <v>0</v>
      </c>
      <c r="D11977" t="s">
        <v>12122</v>
      </c>
      <c r="E11977" t="s">
        <v>13307</v>
      </c>
      <c r="F11977" t="s">
        <v>16460</v>
      </c>
      <c r="G11977" t="s">
        <v>19123</v>
      </c>
      <c r="H11977" t="s">
        <v>23143</v>
      </c>
      <c r="I11977" t="s">
        <v>1357</v>
      </c>
      <c r="J11977" t="s">
        <v>1357</v>
      </c>
      <c r="K11977" t="s">
        <v>1357</v>
      </c>
      <c r="L11977" t="s">
        <v>1357</v>
      </c>
    </row>
    <row r="11978" spans="1:13">
      <c r="H11978" t="s">
        <v>23144</v>
      </c>
      <c r="I11978" t="s">
        <v>1357</v>
      </c>
      <c r="J11978" t="s">
        <v>1357</v>
      </c>
      <c r="K11978" t="s">
        <v>1357</v>
      </c>
      <c r="L11978" t="s">
        <v>1357</v>
      </c>
    </row>
    <row r="11979" spans="1:13">
      <c r="F11979" t="s">
        <v>16461</v>
      </c>
      <c r="G11979" t="s">
        <v>19124</v>
      </c>
      <c r="H11979" t="s">
        <v>23145</v>
      </c>
      <c r="I11979" t="s">
        <v>1357</v>
      </c>
      <c r="J11979" t="s">
        <v>1357</v>
      </c>
      <c r="K11979" t="s">
        <v>1357</v>
      </c>
      <c r="L11979" t="s">
        <v>1357</v>
      </c>
    </row>
    <row r="11980" spans="1:13">
      <c r="H11980" t="s">
        <v>23146</v>
      </c>
      <c r="I11980" t="s">
        <v>1357</v>
      </c>
      <c r="J11980" t="s">
        <v>1357</v>
      </c>
      <c r="K11980" t="s">
        <v>1357</v>
      </c>
      <c r="L11980" t="s">
        <v>1357</v>
      </c>
    </row>
    <row r="11981" spans="1:13">
      <c r="A11981" t="s">
        <v>10768</v>
      </c>
      <c r="B11981">
        <f>HYPERLINK("https://android.googlesource.com/platform/cts/+/62d0daf1b02345342be0eed089c4e722866fdd06", "62d0daf1b02345342be0eed089c4e722866fdd06")</f>
        <v>0</v>
      </c>
      <c r="C11981">
        <f>HYPERLINK("https://android.googlesource.com/platform/cts/+/96fdf3c8dfc0fdd11b75940ea604fe6b70fff290", "96fdf3c8dfc0fdd11b75940ea604fe6b70fff290")</f>
        <v>0</v>
      </c>
      <c r="D11981" t="s">
        <v>12209</v>
      </c>
      <c r="E11981" t="s">
        <v>13305</v>
      </c>
      <c r="F11981" t="s">
        <v>16459</v>
      </c>
      <c r="G11981" t="s">
        <v>19122</v>
      </c>
      <c r="H11981" t="s">
        <v>23140</v>
      </c>
      <c r="I11981" t="s">
        <v>1357</v>
      </c>
      <c r="J11981" t="s">
        <v>1357</v>
      </c>
      <c r="K11981" t="s">
        <v>1357</v>
      </c>
      <c r="L11981" t="s">
        <v>1357</v>
      </c>
      <c r="M11981" t="s">
        <v>9957</v>
      </c>
    </row>
    <row r="11982" spans="1:13">
      <c r="A11982" t="s">
        <v>10769</v>
      </c>
      <c r="B11982">
        <f>HYPERLINK("https://android.googlesource.com/platform/cts/+/02f7f4a5bfc8749962f1634ef83b96ab2a3150ac", "02f7f4a5bfc8749962f1634ef83b96ab2a3150ac")</f>
        <v>0</v>
      </c>
      <c r="C11982">
        <f>HYPERLINK("https://android.googlesource.com/platform/cts/+/40d7fbd4b39b1a6751ddf12dbd2d1639e99d3d45", "40d7fbd4b39b1a6751ddf12dbd2d1639e99d3d45")</f>
        <v>0</v>
      </c>
      <c r="D11982" t="s">
        <v>12122</v>
      </c>
      <c r="E11982" t="s">
        <v>13308</v>
      </c>
      <c r="F11982" t="s">
        <v>16460</v>
      </c>
      <c r="G11982" t="s">
        <v>19123</v>
      </c>
      <c r="H11982" t="s">
        <v>23147</v>
      </c>
      <c r="I11982" t="s">
        <v>1357</v>
      </c>
      <c r="J11982" t="s">
        <v>1357</v>
      </c>
      <c r="K11982" t="s">
        <v>1357</v>
      </c>
      <c r="L11982" t="s">
        <v>1357</v>
      </c>
    </row>
    <row r="11983" spans="1:13">
      <c r="A11983" t="s">
        <v>10770</v>
      </c>
      <c r="B11983">
        <f>HYPERLINK("https://android.googlesource.com/platform/cts/+/f6949d08c0ece339cbfeaa653e1e69c36529559f", "f6949d08c0ece339cbfeaa653e1e69c36529559f")</f>
        <v>0</v>
      </c>
      <c r="C11983">
        <f>HYPERLINK("https://android.googlesource.com/platform/cts/+/99d9d9718502356286e0b1847d2e06da0347c4b4", "99d9d9718502356286e0b1847d2e06da0347c4b4")</f>
        <v>0</v>
      </c>
      <c r="D11983" t="s">
        <v>12122</v>
      </c>
      <c r="E11983" t="s">
        <v>13309</v>
      </c>
      <c r="F11983" t="s">
        <v>16460</v>
      </c>
      <c r="G11983" t="s">
        <v>19123</v>
      </c>
      <c r="H11983" t="s">
        <v>23148</v>
      </c>
      <c r="I11983" t="s">
        <v>1357</v>
      </c>
      <c r="J11983" t="s">
        <v>1357</v>
      </c>
      <c r="K11983" t="s">
        <v>1357</v>
      </c>
      <c r="L11983" t="s">
        <v>1357</v>
      </c>
    </row>
    <row r="11984" spans="1:13">
      <c r="H11984" t="s">
        <v>23149</v>
      </c>
      <c r="I11984" t="s">
        <v>1357</v>
      </c>
      <c r="J11984" t="s">
        <v>1357</v>
      </c>
      <c r="K11984" t="s">
        <v>1357</v>
      </c>
      <c r="L11984" t="s">
        <v>1357</v>
      </c>
    </row>
    <row r="11985" spans="1:13">
      <c r="A11985" t="s">
        <v>10771</v>
      </c>
      <c r="B11985">
        <f>HYPERLINK("https://android.googlesource.com/platform/cts/+/de7b989742c0e67f738722d2ddcea545d11f6384", "de7b989742c0e67f738722d2ddcea545d11f6384")</f>
        <v>0</v>
      </c>
      <c r="C11985">
        <f>HYPERLINK("https://android.googlesource.com/platform/cts/+/66155625d5272789e0085c07e623bfff9c3b4e4e", "66155625d5272789e0085c07e623bfff9c3b4e4e")</f>
        <v>0</v>
      </c>
      <c r="D11985" t="s">
        <v>12209</v>
      </c>
      <c r="E11985" t="s">
        <v>13305</v>
      </c>
      <c r="F11985" t="s">
        <v>16459</v>
      </c>
      <c r="G11985" t="s">
        <v>19122</v>
      </c>
      <c r="H11985" t="s">
        <v>23140</v>
      </c>
      <c r="I11985" t="s">
        <v>1357</v>
      </c>
      <c r="J11985" t="s">
        <v>1357</v>
      </c>
      <c r="K11985" t="s">
        <v>1357</v>
      </c>
      <c r="L11985" t="s">
        <v>1357</v>
      </c>
      <c r="M11985" t="s">
        <v>9957</v>
      </c>
    </row>
    <row r="11986" spans="1:13">
      <c r="A11986" t="s">
        <v>10772</v>
      </c>
      <c r="B11986">
        <f>HYPERLINK("https://android.googlesource.com/platform/cts/+/27a09701c8190a1aaf829de288c34bdf9bc43d54", "27a09701c8190a1aaf829de288c34bdf9bc43d54")</f>
        <v>0</v>
      </c>
      <c r="C11986">
        <f>HYPERLINK("https://android.googlesource.com/platform/cts/+/a2e1390f05a5f7b55795ab111a4f7d374ad08c4f", "a2e1390f05a5f7b55795ab111a4f7d374ad08c4f")</f>
        <v>0</v>
      </c>
      <c r="D11986" t="s">
        <v>12208</v>
      </c>
      <c r="E11986" t="s">
        <v>13310</v>
      </c>
      <c r="F11986" t="s">
        <v>16403</v>
      </c>
      <c r="G11986" t="s">
        <v>19069</v>
      </c>
      <c r="H11986" t="s">
        <v>23150</v>
      </c>
      <c r="I11986" t="s">
        <v>1357</v>
      </c>
      <c r="J11986" t="s">
        <v>1357</v>
      </c>
      <c r="K11986" t="s">
        <v>1357</v>
      </c>
      <c r="L11986" t="s">
        <v>1357</v>
      </c>
    </row>
    <row r="11987" spans="1:13">
      <c r="A11987" t="s">
        <v>10773</v>
      </c>
      <c r="B11987">
        <f>HYPERLINK("https://android.googlesource.com/platform/cts/+/8b285538aaca0f6945a74c90309d5f2c2fd73288", "8b285538aaca0f6945a74c90309d5f2c2fd73288")</f>
        <v>0</v>
      </c>
      <c r="C11987">
        <f>HYPERLINK("https://android.googlesource.com/platform/cts/+/e5683a73191951a9e19b3c998da88cfd955ca022", "e5683a73191951a9e19b3c998da88cfd955ca022")</f>
        <v>0</v>
      </c>
      <c r="D11987" t="s">
        <v>12210</v>
      </c>
      <c r="E11987" t="s">
        <v>13311</v>
      </c>
      <c r="F11987" t="s">
        <v>16462</v>
      </c>
      <c r="G11987" t="s">
        <v>19125</v>
      </c>
      <c r="H11987" t="s">
        <v>23151</v>
      </c>
      <c r="I11987" t="s">
        <v>1357</v>
      </c>
      <c r="J11987" t="s">
        <v>1357</v>
      </c>
      <c r="K11987" t="s">
        <v>1357</v>
      </c>
      <c r="L11987" t="s">
        <v>1357</v>
      </c>
    </row>
    <row r="11988" spans="1:13">
      <c r="A11988" t="s">
        <v>10774</v>
      </c>
      <c r="B11988">
        <f>HYPERLINK("https://android.googlesource.com/platform/cts/+/07383f52e40d18baeac3a1188f8b472f4b0672ab", "07383f52e40d18baeac3a1188f8b472f4b0672ab")</f>
        <v>0</v>
      </c>
      <c r="C11988">
        <f>HYPERLINK("https://android.googlesource.com/platform/cts/+/4cd3817c07355301dab0f158bbe3d44c182c1849", "4cd3817c07355301dab0f158bbe3d44c182c1849")</f>
        <v>0</v>
      </c>
      <c r="D11988" t="s">
        <v>12111</v>
      </c>
      <c r="E11988" t="s">
        <v>13312</v>
      </c>
      <c r="F11988" t="s">
        <v>16463</v>
      </c>
      <c r="G11988" t="s">
        <v>18722</v>
      </c>
      <c r="H11988" t="s">
        <v>20360</v>
      </c>
      <c r="I11988" t="s">
        <v>1357</v>
      </c>
      <c r="J11988" t="s">
        <v>1357</v>
      </c>
      <c r="K11988" t="s">
        <v>1357</v>
      </c>
      <c r="L11988" t="s">
        <v>1357</v>
      </c>
    </row>
    <row r="11989" spans="1:13">
      <c r="F11989" t="s">
        <v>16464</v>
      </c>
      <c r="G11989" t="s">
        <v>19126</v>
      </c>
      <c r="H11989" t="s">
        <v>23152</v>
      </c>
      <c r="I11989" t="s">
        <v>1357</v>
      </c>
      <c r="J11989" t="s">
        <v>1357</v>
      </c>
      <c r="K11989" t="s">
        <v>1357</v>
      </c>
      <c r="L11989" t="s">
        <v>1357</v>
      </c>
    </row>
    <row r="11990" spans="1:13">
      <c r="A11990" t="s">
        <v>10775</v>
      </c>
      <c r="B11990">
        <f>HYPERLINK("https://android.googlesource.com/platform/cts/+/30ad530c32ffd1047853bd19c1d1ae9376ce9edc", "30ad530c32ffd1047853bd19c1d1ae9376ce9edc")</f>
        <v>0</v>
      </c>
      <c r="C11990">
        <f>HYPERLINK("https://android.googlesource.com/platform/cts/+/62ab4ac6b208d7e659961b9f58f3706e0978bb44", "62ab4ac6b208d7e659961b9f58f3706e0978bb44")</f>
        <v>0</v>
      </c>
      <c r="D11990" t="s">
        <v>12122</v>
      </c>
      <c r="E11990" t="s">
        <v>13313</v>
      </c>
      <c r="F11990" t="s">
        <v>16330</v>
      </c>
      <c r="G11990" t="s">
        <v>19000</v>
      </c>
      <c r="H11990" t="s">
        <v>22718</v>
      </c>
      <c r="I11990" t="s">
        <v>1357</v>
      </c>
      <c r="J11990" t="s">
        <v>1357</v>
      </c>
      <c r="K11990" t="s">
        <v>1357</v>
      </c>
      <c r="L11990" t="s">
        <v>1357</v>
      </c>
    </row>
    <row r="11991" spans="1:13">
      <c r="A11991" t="s">
        <v>10776</v>
      </c>
      <c r="B11991">
        <f>HYPERLINK("https://android.googlesource.com/platform/cts/+/8b022c8c608ebaa48a5b94880a1eeb125aefc042", "8b022c8c608ebaa48a5b94880a1eeb125aefc042")</f>
        <v>0</v>
      </c>
      <c r="C11991">
        <f>HYPERLINK("https://android.googlesource.com/platform/cts/+/ee58e66f8526ac1eb6985f209ce116aa1aed2b45", "ee58e66f8526ac1eb6985f209ce116aa1aed2b45")</f>
        <v>0</v>
      </c>
      <c r="D11991" t="s">
        <v>12211</v>
      </c>
      <c r="E11991" t="s">
        <v>13314</v>
      </c>
      <c r="F11991" t="s">
        <v>16099</v>
      </c>
      <c r="G11991" t="s">
        <v>18788</v>
      </c>
      <c r="H11991" t="s">
        <v>23153</v>
      </c>
      <c r="I11991" t="s">
        <v>1358</v>
      </c>
      <c r="J11991" t="s">
        <v>1358</v>
      </c>
      <c r="K11991" t="s">
        <v>1358</v>
      </c>
      <c r="L11991" t="s">
        <v>1358</v>
      </c>
    </row>
    <row r="11992" spans="1:13">
      <c r="H11992" t="s">
        <v>23154</v>
      </c>
      <c r="I11992" t="s">
        <v>1358</v>
      </c>
      <c r="J11992" t="s">
        <v>1358</v>
      </c>
      <c r="K11992" t="s">
        <v>1358</v>
      </c>
      <c r="L11992" t="s">
        <v>1358</v>
      </c>
    </row>
    <row r="11993" spans="1:13">
      <c r="A11993" t="s">
        <v>10777</v>
      </c>
      <c r="B11993">
        <f>HYPERLINK("https://android.googlesource.com/platform/cts/+/4fcbb81d4fdff0fab6aebffebff67af697d90986", "4fcbb81d4fdff0fab6aebffebff67af697d90986")</f>
        <v>0</v>
      </c>
      <c r="C11993">
        <f>HYPERLINK("https://android.googlesource.com/platform/cts/+/98c0df34658acc8fdf27d6cd44050d4844770b63", "98c0df34658acc8fdf27d6cd44050d4844770b63")</f>
        <v>0</v>
      </c>
      <c r="D11993" t="s">
        <v>12208</v>
      </c>
      <c r="E11993" t="s">
        <v>13315</v>
      </c>
      <c r="F11993" t="s">
        <v>16403</v>
      </c>
      <c r="G11993" t="s">
        <v>19069</v>
      </c>
      <c r="H11993" t="s">
        <v>23078</v>
      </c>
      <c r="I11993" t="s">
        <v>1357</v>
      </c>
      <c r="J11993" t="s">
        <v>1357</v>
      </c>
      <c r="K11993" t="s">
        <v>1357</v>
      </c>
      <c r="L11993" t="s">
        <v>1357</v>
      </c>
    </row>
    <row r="11994" spans="1:13">
      <c r="A11994" t="s">
        <v>10778</v>
      </c>
      <c r="B11994">
        <f>HYPERLINK("https://android.googlesource.com/platform/cts/+/14ebdc825353c2b16f66c3a276cb865cab96e69e", "14ebdc825353c2b16f66c3a276cb865cab96e69e")</f>
        <v>0</v>
      </c>
      <c r="C11994">
        <f>HYPERLINK("https://android.googlesource.com/platform/cts/+/4d75df2d3e7bca502354af043fc51c1caf8dfe09", "4d75df2d3e7bca502354af043fc51c1caf8dfe09")</f>
        <v>0</v>
      </c>
      <c r="D11994" t="s">
        <v>12212</v>
      </c>
      <c r="E11994" t="s">
        <v>13316</v>
      </c>
      <c r="F11994" t="s">
        <v>16465</v>
      </c>
      <c r="G11994" t="s">
        <v>19127</v>
      </c>
      <c r="H11994" t="s">
        <v>23155</v>
      </c>
      <c r="I11994" t="s">
        <v>1359</v>
      </c>
      <c r="J11994" t="s">
        <v>1358</v>
      </c>
      <c r="K11994" t="s">
        <v>1357</v>
      </c>
      <c r="L11994" t="s">
        <v>1358</v>
      </c>
    </row>
    <row r="11995" spans="1:13">
      <c r="H11995" t="s">
        <v>23156</v>
      </c>
      <c r="I11995" t="s">
        <v>1359</v>
      </c>
      <c r="J11995" t="s">
        <v>1358</v>
      </c>
      <c r="K11995" t="s">
        <v>1357</v>
      </c>
      <c r="L11995" t="s">
        <v>1358</v>
      </c>
    </row>
    <row r="11996" spans="1:13">
      <c r="H11996" t="s">
        <v>23157</v>
      </c>
      <c r="I11996" t="s">
        <v>1359</v>
      </c>
      <c r="J11996" t="s">
        <v>1358</v>
      </c>
      <c r="K11996" t="s">
        <v>1357</v>
      </c>
      <c r="L11996" t="s">
        <v>1358</v>
      </c>
    </row>
    <row r="11997" spans="1:13">
      <c r="H11997" t="s">
        <v>23158</v>
      </c>
      <c r="I11997" t="s">
        <v>1359</v>
      </c>
      <c r="J11997" t="s">
        <v>1358</v>
      </c>
      <c r="K11997" t="s">
        <v>1357</v>
      </c>
      <c r="L11997" t="s">
        <v>1358</v>
      </c>
    </row>
    <row r="11998" spans="1:13">
      <c r="A11998" t="s">
        <v>10779</v>
      </c>
      <c r="B11998">
        <f>HYPERLINK("https://android.googlesource.com/platform/cts/+/5d268e23679340f6217b77b32480a2c331cc62ee", "5d268e23679340f6217b77b32480a2c331cc62ee")</f>
        <v>0</v>
      </c>
      <c r="C11998">
        <f>HYPERLINK("https://android.googlesource.com/platform/cts/+/dfdcc0eda744be765642560c5f9583822da3907a", "dfdcc0eda744be765642560c5f9583822da3907a")</f>
        <v>0</v>
      </c>
      <c r="D11998" t="s">
        <v>12102</v>
      </c>
      <c r="E11998" t="s">
        <v>13317</v>
      </c>
      <c r="F11998" t="s">
        <v>16466</v>
      </c>
      <c r="G11998" t="s">
        <v>19128</v>
      </c>
      <c r="H11998" t="s">
        <v>23159</v>
      </c>
      <c r="I11998" t="s">
        <v>1357</v>
      </c>
      <c r="J11998" t="s">
        <v>1357</v>
      </c>
      <c r="K11998" t="s">
        <v>1357</v>
      </c>
      <c r="L11998" t="s">
        <v>1357</v>
      </c>
    </row>
    <row r="11999" spans="1:13">
      <c r="H11999" t="s">
        <v>23160</v>
      </c>
      <c r="I11999" t="s">
        <v>1357</v>
      </c>
      <c r="J11999" t="s">
        <v>1357</v>
      </c>
      <c r="K11999" t="s">
        <v>1357</v>
      </c>
      <c r="L11999" t="s">
        <v>1357</v>
      </c>
    </row>
    <row r="12000" spans="1:13">
      <c r="H12000" t="s">
        <v>23161</v>
      </c>
      <c r="I12000" t="s">
        <v>1357</v>
      </c>
      <c r="J12000" t="s">
        <v>1357</v>
      </c>
      <c r="K12000" t="s">
        <v>1357</v>
      </c>
      <c r="L12000" t="s">
        <v>1357</v>
      </c>
    </row>
    <row r="12001" spans="1:12">
      <c r="H12001" t="s">
        <v>23162</v>
      </c>
      <c r="I12001" t="s">
        <v>1357</v>
      </c>
      <c r="J12001" t="s">
        <v>1357</v>
      </c>
      <c r="K12001" t="s">
        <v>1357</v>
      </c>
      <c r="L12001" t="s">
        <v>1357</v>
      </c>
    </row>
    <row r="12002" spans="1:12">
      <c r="H12002" t="s">
        <v>23163</v>
      </c>
      <c r="I12002" t="s">
        <v>1357</v>
      </c>
      <c r="J12002" t="s">
        <v>1357</v>
      </c>
      <c r="K12002" t="s">
        <v>1357</v>
      </c>
      <c r="L12002" t="s">
        <v>1357</v>
      </c>
    </row>
    <row r="12003" spans="1:12">
      <c r="H12003" t="s">
        <v>23164</v>
      </c>
      <c r="I12003" t="s">
        <v>1357</v>
      </c>
      <c r="J12003" t="s">
        <v>1357</v>
      </c>
      <c r="K12003" t="s">
        <v>1357</v>
      </c>
      <c r="L12003" t="s">
        <v>1357</v>
      </c>
    </row>
    <row r="12004" spans="1:12">
      <c r="H12004" t="s">
        <v>23165</v>
      </c>
      <c r="I12004" t="s">
        <v>1357</v>
      </c>
      <c r="J12004" t="s">
        <v>1357</v>
      </c>
      <c r="K12004" t="s">
        <v>1357</v>
      </c>
      <c r="L12004" t="s">
        <v>1357</v>
      </c>
    </row>
    <row r="12005" spans="1:12">
      <c r="A12005" t="s">
        <v>10780</v>
      </c>
      <c r="B12005">
        <f>HYPERLINK("https://android.googlesource.com/platform/cts/+/a1d2c8086f63aaeb87313a778c274e80161b0f46", "a1d2c8086f63aaeb87313a778c274e80161b0f46")</f>
        <v>0</v>
      </c>
      <c r="C12005">
        <f>HYPERLINK("https://android.googlesource.com/platform/cts/+/e7ed22a14357e43b65b6a9258843bfdaa255e0a1", "e7ed22a14357e43b65b6a9258843bfdaa255e0a1")</f>
        <v>0</v>
      </c>
      <c r="D12005" t="s">
        <v>12202</v>
      </c>
      <c r="E12005" t="s">
        <v>13318</v>
      </c>
      <c r="F12005" t="s">
        <v>16099</v>
      </c>
      <c r="G12005" t="s">
        <v>18788</v>
      </c>
      <c r="H12005" t="s">
        <v>23166</v>
      </c>
      <c r="I12005" t="s">
        <v>1357</v>
      </c>
      <c r="J12005" t="s">
        <v>1357</v>
      </c>
      <c r="K12005" t="s">
        <v>1357</v>
      </c>
      <c r="L12005" t="s">
        <v>1357</v>
      </c>
    </row>
    <row r="12006" spans="1:12">
      <c r="A12006" t="s">
        <v>10781</v>
      </c>
      <c r="B12006">
        <f>HYPERLINK("https://android.googlesource.com/platform/cts/+/a15c8f1c5618f6c28da8a94fc608b7c114eab34c", "a15c8f1c5618f6c28da8a94fc608b7c114eab34c")</f>
        <v>0</v>
      </c>
      <c r="C12006">
        <f>HYPERLINK("https://android.googlesource.com/platform/cts/+/9eb0439a016e0f757b527a94a9c25fa7e69c48f2", "9eb0439a016e0f757b527a94a9c25fa7e69c48f2")</f>
        <v>0</v>
      </c>
      <c r="D12006" t="s">
        <v>12117</v>
      </c>
      <c r="E12006" t="s">
        <v>13319</v>
      </c>
      <c r="F12006" t="s">
        <v>16467</v>
      </c>
      <c r="G12006" t="s">
        <v>19129</v>
      </c>
      <c r="H12006" t="s">
        <v>23167</v>
      </c>
      <c r="I12006" t="s">
        <v>1357</v>
      </c>
      <c r="J12006" t="s">
        <v>1357</v>
      </c>
      <c r="K12006" t="s">
        <v>1357</v>
      </c>
      <c r="L12006" t="s">
        <v>1357</v>
      </c>
    </row>
    <row r="12007" spans="1:12">
      <c r="H12007" t="s">
        <v>23168</v>
      </c>
      <c r="I12007" t="s">
        <v>1357</v>
      </c>
      <c r="J12007" t="s">
        <v>1357</v>
      </c>
      <c r="K12007" t="s">
        <v>1357</v>
      </c>
      <c r="L12007" t="s">
        <v>1357</v>
      </c>
    </row>
    <row r="12008" spans="1:12">
      <c r="A12008" t="s">
        <v>10782</v>
      </c>
      <c r="B12008">
        <f>HYPERLINK("https://android.googlesource.com/platform/cts/+/392b9300fbc3f1ddf7c3e2b8e2d5d6e0b94d1637", "392b9300fbc3f1ddf7c3e2b8e2d5d6e0b94d1637")</f>
        <v>0</v>
      </c>
      <c r="C12008">
        <f>HYPERLINK("https://android.googlesource.com/platform/cts/+/a9e2ea44e979164178abc23740d882db3c297f7a", "a9e2ea44e979164178abc23740d882db3c297f7a")</f>
        <v>0</v>
      </c>
      <c r="D12008" t="s">
        <v>12144</v>
      </c>
      <c r="E12008" t="s">
        <v>13320</v>
      </c>
      <c r="F12008" t="s">
        <v>16446</v>
      </c>
      <c r="G12008" t="s">
        <v>19110</v>
      </c>
      <c r="H12008" t="s">
        <v>23169</v>
      </c>
      <c r="I12008" t="s">
        <v>1357</v>
      </c>
      <c r="J12008" t="s">
        <v>1357</v>
      </c>
      <c r="K12008" t="s">
        <v>1357</v>
      </c>
      <c r="L12008" t="s">
        <v>1357</v>
      </c>
    </row>
    <row r="12009" spans="1:12">
      <c r="A12009" t="s">
        <v>10783</v>
      </c>
      <c r="B12009">
        <f>HYPERLINK("https://android.googlesource.com/platform/cts/+/d82f3c3a53e3b0cb12dbd3dffb68418ef6e9f019", "d82f3c3a53e3b0cb12dbd3dffb68418ef6e9f019")</f>
        <v>0</v>
      </c>
      <c r="C12009">
        <f>HYPERLINK("https://android.googlesource.com/platform/cts/+/c7712f92b8353a19c68fe49b28ceed88c07403db", "c7712f92b8353a19c68fe49b28ceed88c07403db")</f>
        <v>0</v>
      </c>
      <c r="D12009" t="s">
        <v>12108</v>
      </c>
      <c r="E12009" t="s">
        <v>13321</v>
      </c>
      <c r="F12009" t="s">
        <v>16468</v>
      </c>
      <c r="G12009" t="s">
        <v>19130</v>
      </c>
      <c r="H12009" t="s">
        <v>23170</v>
      </c>
      <c r="I12009" t="s">
        <v>1358</v>
      </c>
      <c r="J12009" t="s">
        <v>1358</v>
      </c>
      <c r="K12009" t="s">
        <v>1358</v>
      </c>
      <c r="L12009" t="s">
        <v>1358</v>
      </c>
    </row>
    <row r="12010" spans="1:12">
      <c r="A12010" t="s">
        <v>10784</v>
      </c>
      <c r="B12010">
        <f>HYPERLINK("https://android.googlesource.com/platform/cts/+/9a0291cdd28ffa333414a4c0789689f65e98f95d", "9a0291cdd28ffa333414a4c0789689f65e98f95d")</f>
        <v>0</v>
      </c>
      <c r="C12010">
        <f>HYPERLINK("https://android.googlesource.com/platform/cts/+/c8b4800811bf9e9d388e524bee77ba7d17b1e2b2", "c8b4800811bf9e9d388e524bee77ba7d17b1e2b2")</f>
        <v>0</v>
      </c>
      <c r="D12010" t="s">
        <v>11989</v>
      </c>
      <c r="E12010" t="s">
        <v>13322</v>
      </c>
      <c r="F12010" t="s">
        <v>16469</v>
      </c>
      <c r="G12010" t="s">
        <v>18600</v>
      </c>
      <c r="H12010" t="s">
        <v>20497</v>
      </c>
      <c r="I12010" t="s">
        <v>1357</v>
      </c>
      <c r="J12010" t="s">
        <v>1357</v>
      </c>
      <c r="K12010" t="s">
        <v>1357</v>
      </c>
      <c r="L12010" t="s">
        <v>1357</v>
      </c>
    </row>
    <row r="12011" spans="1:12">
      <c r="H12011" t="s">
        <v>20498</v>
      </c>
      <c r="I12011" t="s">
        <v>1357</v>
      </c>
      <c r="J12011" t="s">
        <v>1357</v>
      </c>
      <c r="K12011" t="s">
        <v>1357</v>
      </c>
      <c r="L12011" t="s">
        <v>1357</v>
      </c>
    </row>
    <row r="12012" spans="1:12">
      <c r="H12012" t="s">
        <v>20499</v>
      </c>
      <c r="I12012" t="s">
        <v>1357</v>
      </c>
      <c r="J12012" t="s">
        <v>1357</v>
      </c>
      <c r="K12012" t="s">
        <v>1357</v>
      </c>
      <c r="L12012" t="s">
        <v>1357</v>
      </c>
    </row>
    <row r="12013" spans="1:12">
      <c r="H12013" t="s">
        <v>20500</v>
      </c>
      <c r="I12013" t="s">
        <v>1357</v>
      </c>
      <c r="J12013" t="s">
        <v>1357</v>
      </c>
      <c r="K12013" t="s">
        <v>1357</v>
      </c>
      <c r="L12013" t="s">
        <v>1357</v>
      </c>
    </row>
    <row r="12014" spans="1:12">
      <c r="H12014" t="s">
        <v>20501</v>
      </c>
      <c r="I12014" t="s">
        <v>1357</v>
      </c>
      <c r="J12014" t="s">
        <v>1357</v>
      </c>
      <c r="K12014" t="s">
        <v>1357</v>
      </c>
      <c r="L12014" t="s">
        <v>1357</v>
      </c>
    </row>
    <row r="12015" spans="1:12">
      <c r="H12015" t="s">
        <v>20502</v>
      </c>
      <c r="I12015" t="s">
        <v>1357</v>
      </c>
      <c r="J12015" t="s">
        <v>1357</v>
      </c>
      <c r="K12015" t="s">
        <v>1357</v>
      </c>
      <c r="L12015" t="s">
        <v>1357</v>
      </c>
    </row>
    <row r="12016" spans="1:12">
      <c r="H12016" t="s">
        <v>20503</v>
      </c>
      <c r="I12016" t="s">
        <v>1357</v>
      </c>
      <c r="J12016" t="s">
        <v>1357</v>
      </c>
      <c r="K12016" t="s">
        <v>1357</v>
      </c>
      <c r="L12016" t="s">
        <v>1357</v>
      </c>
    </row>
    <row r="12017" spans="8:12">
      <c r="H12017" t="s">
        <v>20504</v>
      </c>
      <c r="I12017" t="s">
        <v>1357</v>
      </c>
      <c r="J12017" t="s">
        <v>1357</v>
      </c>
      <c r="K12017" t="s">
        <v>1357</v>
      </c>
      <c r="L12017" t="s">
        <v>1357</v>
      </c>
    </row>
    <row r="12018" spans="8:12">
      <c r="H12018" t="s">
        <v>20505</v>
      </c>
      <c r="I12018" t="s">
        <v>1357</v>
      </c>
      <c r="J12018" t="s">
        <v>1357</v>
      </c>
      <c r="K12018" t="s">
        <v>1357</v>
      </c>
      <c r="L12018" t="s">
        <v>1357</v>
      </c>
    </row>
    <row r="12019" spans="8:12">
      <c r="H12019" t="s">
        <v>20506</v>
      </c>
      <c r="I12019" t="s">
        <v>1357</v>
      </c>
      <c r="J12019" t="s">
        <v>1357</v>
      </c>
      <c r="K12019" t="s">
        <v>1357</v>
      </c>
      <c r="L12019" t="s">
        <v>1357</v>
      </c>
    </row>
    <row r="12020" spans="8:12">
      <c r="H12020" t="s">
        <v>20507</v>
      </c>
      <c r="I12020" t="s">
        <v>1357</v>
      </c>
      <c r="J12020" t="s">
        <v>1357</v>
      </c>
      <c r="K12020" t="s">
        <v>1357</v>
      </c>
      <c r="L12020" t="s">
        <v>1357</v>
      </c>
    </row>
    <row r="12021" spans="8:12">
      <c r="H12021" t="s">
        <v>20508</v>
      </c>
      <c r="I12021" t="s">
        <v>1357</v>
      </c>
      <c r="J12021" t="s">
        <v>1357</v>
      </c>
      <c r="K12021" t="s">
        <v>1357</v>
      </c>
      <c r="L12021" t="s">
        <v>1357</v>
      </c>
    </row>
    <row r="12022" spans="8:12">
      <c r="H12022" t="s">
        <v>20509</v>
      </c>
      <c r="I12022" t="s">
        <v>1357</v>
      </c>
      <c r="J12022" t="s">
        <v>1357</v>
      </c>
      <c r="K12022" t="s">
        <v>1357</v>
      </c>
      <c r="L12022" t="s">
        <v>1357</v>
      </c>
    </row>
    <row r="12023" spans="8:12">
      <c r="H12023" t="s">
        <v>20510</v>
      </c>
      <c r="I12023" t="s">
        <v>1357</v>
      </c>
      <c r="J12023" t="s">
        <v>1357</v>
      </c>
      <c r="K12023" t="s">
        <v>1357</v>
      </c>
      <c r="L12023" t="s">
        <v>1357</v>
      </c>
    </row>
    <row r="12024" spans="8:12">
      <c r="H12024" t="s">
        <v>20511</v>
      </c>
      <c r="I12024" t="s">
        <v>1357</v>
      </c>
      <c r="J12024" t="s">
        <v>1357</v>
      </c>
      <c r="K12024" t="s">
        <v>1357</v>
      </c>
      <c r="L12024" t="s">
        <v>1357</v>
      </c>
    </row>
    <row r="12025" spans="8:12">
      <c r="H12025" t="s">
        <v>20512</v>
      </c>
      <c r="I12025" t="s">
        <v>1357</v>
      </c>
      <c r="J12025" t="s">
        <v>1357</v>
      </c>
      <c r="K12025" t="s">
        <v>1357</v>
      </c>
      <c r="L12025" t="s">
        <v>1357</v>
      </c>
    </row>
    <row r="12026" spans="8:12">
      <c r="H12026" t="s">
        <v>20513</v>
      </c>
      <c r="I12026" t="s">
        <v>1357</v>
      </c>
      <c r="J12026" t="s">
        <v>1357</v>
      </c>
      <c r="K12026" t="s">
        <v>1357</v>
      </c>
      <c r="L12026" t="s">
        <v>1357</v>
      </c>
    </row>
    <row r="12027" spans="8:12">
      <c r="H12027" t="s">
        <v>20514</v>
      </c>
      <c r="I12027" t="s">
        <v>1357</v>
      </c>
      <c r="J12027" t="s">
        <v>1357</v>
      </c>
      <c r="K12027" t="s">
        <v>1357</v>
      </c>
      <c r="L12027" t="s">
        <v>1357</v>
      </c>
    </row>
    <row r="12028" spans="8:12">
      <c r="H12028" t="s">
        <v>20515</v>
      </c>
      <c r="I12028" t="s">
        <v>1357</v>
      </c>
      <c r="J12028" t="s">
        <v>1357</v>
      </c>
      <c r="K12028" t="s">
        <v>1357</v>
      </c>
      <c r="L12028" t="s">
        <v>1357</v>
      </c>
    </row>
    <row r="12029" spans="8:12">
      <c r="H12029" t="s">
        <v>20516</v>
      </c>
      <c r="I12029" t="s">
        <v>1357</v>
      </c>
      <c r="J12029" t="s">
        <v>1357</v>
      </c>
      <c r="K12029" t="s">
        <v>1357</v>
      </c>
      <c r="L12029" t="s">
        <v>1357</v>
      </c>
    </row>
    <row r="12030" spans="8:12">
      <c r="H12030" t="s">
        <v>20517</v>
      </c>
      <c r="I12030" t="s">
        <v>1357</v>
      </c>
      <c r="J12030" t="s">
        <v>1357</v>
      </c>
      <c r="K12030" t="s">
        <v>1357</v>
      </c>
      <c r="L12030" t="s">
        <v>1357</v>
      </c>
    </row>
    <row r="12031" spans="8:12">
      <c r="H12031" t="s">
        <v>20518</v>
      </c>
      <c r="I12031" t="s">
        <v>1357</v>
      </c>
      <c r="J12031" t="s">
        <v>1357</v>
      </c>
      <c r="K12031" t="s">
        <v>1357</v>
      </c>
      <c r="L12031" t="s">
        <v>1357</v>
      </c>
    </row>
    <row r="12032" spans="8:12">
      <c r="H12032" t="s">
        <v>20519</v>
      </c>
      <c r="I12032" t="s">
        <v>1357</v>
      </c>
      <c r="J12032" t="s">
        <v>1357</v>
      </c>
      <c r="K12032" t="s">
        <v>1357</v>
      </c>
      <c r="L12032" t="s">
        <v>1357</v>
      </c>
    </row>
    <row r="12033" spans="1:12">
      <c r="H12033" t="s">
        <v>20520</v>
      </c>
      <c r="I12033" t="s">
        <v>1357</v>
      </c>
      <c r="J12033" t="s">
        <v>1357</v>
      </c>
      <c r="K12033" t="s">
        <v>1357</v>
      </c>
      <c r="L12033" t="s">
        <v>1357</v>
      </c>
    </row>
    <row r="12034" spans="1:12">
      <c r="H12034" t="s">
        <v>20521</v>
      </c>
      <c r="I12034" t="s">
        <v>1357</v>
      </c>
      <c r="J12034" t="s">
        <v>1357</v>
      </c>
      <c r="K12034" t="s">
        <v>1357</v>
      </c>
      <c r="L12034" t="s">
        <v>1357</v>
      </c>
    </row>
    <row r="12035" spans="1:12">
      <c r="H12035" t="s">
        <v>20522</v>
      </c>
      <c r="I12035" t="s">
        <v>1357</v>
      </c>
      <c r="J12035" t="s">
        <v>1357</v>
      </c>
      <c r="K12035" t="s">
        <v>1357</v>
      </c>
      <c r="L12035" t="s">
        <v>1357</v>
      </c>
    </row>
    <row r="12036" spans="1:12">
      <c r="A12036" t="s">
        <v>10785</v>
      </c>
      <c r="B12036">
        <f>HYPERLINK("https://android.googlesource.com/platform/cts/+/0fe5811c450c90d18206f2a9ac199468be0daaa2", "0fe5811c450c90d18206f2a9ac199468be0daaa2")</f>
        <v>0</v>
      </c>
      <c r="C12036">
        <f>HYPERLINK("https://android.googlesource.com/platform/cts/+/5fb9e89f94e96e1676847b87e32427917a8e14d3", "5fb9e89f94e96e1676847b87e32427917a8e14d3")</f>
        <v>0</v>
      </c>
      <c r="D12036" t="s">
        <v>11989</v>
      </c>
      <c r="E12036" t="s">
        <v>13323</v>
      </c>
      <c r="F12036" t="s">
        <v>16469</v>
      </c>
      <c r="G12036" t="s">
        <v>18600</v>
      </c>
      <c r="H12036" t="s">
        <v>20497</v>
      </c>
      <c r="I12036" t="s">
        <v>1357</v>
      </c>
      <c r="J12036" t="s">
        <v>1357</v>
      </c>
      <c r="K12036" t="s">
        <v>1357</v>
      </c>
      <c r="L12036" t="s">
        <v>1357</v>
      </c>
    </row>
    <row r="12037" spans="1:12">
      <c r="H12037" t="s">
        <v>20498</v>
      </c>
      <c r="I12037" t="s">
        <v>1357</v>
      </c>
      <c r="J12037" t="s">
        <v>1357</v>
      </c>
      <c r="K12037" t="s">
        <v>1357</v>
      </c>
      <c r="L12037" t="s">
        <v>1357</v>
      </c>
    </row>
    <row r="12038" spans="1:12">
      <c r="H12038" t="s">
        <v>20499</v>
      </c>
      <c r="I12038" t="s">
        <v>1357</v>
      </c>
      <c r="J12038" t="s">
        <v>1357</v>
      </c>
      <c r="K12038" t="s">
        <v>1357</v>
      </c>
      <c r="L12038" t="s">
        <v>1357</v>
      </c>
    </row>
    <row r="12039" spans="1:12">
      <c r="H12039" t="s">
        <v>20500</v>
      </c>
      <c r="I12039" t="s">
        <v>1357</v>
      </c>
      <c r="J12039" t="s">
        <v>1357</v>
      </c>
      <c r="K12039" t="s">
        <v>1357</v>
      </c>
      <c r="L12039" t="s">
        <v>1357</v>
      </c>
    </row>
    <row r="12040" spans="1:12">
      <c r="H12040" t="s">
        <v>20501</v>
      </c>
      <c r="I12040" t="s">
        <v>1357</v>
      </c>
      <c r="J12040" t="s">
        <v>1357</v>
      </c>
      <c r="K12040" t="s">
        <v>1357</v>
      </c>
      <c r="L12040" t="s">
        <v>1357</v>
      </c>
    </row>
    <row r="12041" spans="1:12">
      <c r="H12041" t="s">
        <v>20502</v>
      </c>
      <c r="I12041" t="s">
        <v>1357</v>
      </c>
      <c r="J12041" t="s">
        <v>1357</v>
      </c>
      <c r="K12041" t="s">
        <v>1357</v>
      </c>
      <c r="L12041" t="s">
        <v>1357</v>
      </c>
    </row>
    <row r="12042" spans="1:12">
      <c r="H12042" t="s">
        <v>20503</v>
      </c>
      <c r="I12042" t="s">
        <v>1357</v>
      </c>
      <c r="J12042" t="s">
        <v>1357</v>
      </c>
      <c r="K12042" t="s">
        <v>1357</v>
      </c>
      <c r="L12042" t="s">
        <v>1357</v>
      </c>
    </row>
    <row r="12043" spans="1:12">
      <c r="H12043" t="s">
        <v>20504</v>
      </c>
      <c r="I12043" t="s">
        <v>1357</v>
      </c>
      <c r="J12043" t="s">
        <v>1357</v>
      </c>
      <c r="K12043" t="s">
        <v>1357</v>
      </c>
      <c r="L12043" t="s">
        <v>1357</v>
      </c>
    </row>
    <row r="12044" spans="1:12">
      <c r="H12044" t="s">
        <v>20505</v>
      </c>
      <c r="I12044" t="s">
        <v>1357</v>
      </c>
      <c r="J12044" t="s">
        <v>1357</v>
      </c>
      <c r="K12044" t="s">
        <v>1357</v>
      </c>
      <c r="L12044" t="s">
        <v>1357</v>
      </c>
    </row>
    <row r="12045" spans="1:12">
      <c r="H12045" t="s">
        <v>20506</v>
      </c>
      <c r="I12045" t="s">
        <v>1357</v>
      </c>
      <c r="J12045" t="s">
        <v>1357</v>
      </c>
      <c r="K12045" t="s">
        <v>1357</v>
      </c>
      <c r="L12045" t="s">
        <v>1357</v>
      </c>
    </row>
    <row r="12046" spans="1:12">
      <c r="H12046" t="s">
        <v>20507</v>
      </c>
      <c r="I12046" t="s">
        <v>1357</v>
      </c>
      <c r="J12046" t="s">
        <v>1357</v>
      </c>
      <c r="K12046" t="s">
        <v>1357</v>
      </c>
      <c r="L12046" t="s">
        <v>1357</v>
      </c>
    </row>
    <row r="12047" spans="1:12">
      <c r="H12047" t="s">
        <v>20508</v>
      </c>
      <c r="I12047" t="s">
        <v>1357</v>
      </c>
      <c r="J12047" t="s">
        <v>1357</v>
      </c>
      <c r="K12047" t="s">
        <v>1357</v>
      </c>
      <c r="L12047" t="s">
        <v>1357</v>
      </c>
    </row>
    <row r="12048" spans="1:12">
      <c r="H12048" t="s">
        <v>20509</v>
      </c>
      <c r="I12048" t="s">
        <v>1357</v>
      </c>
      <c r="J12048" t="s">
        <v>1357</v>
      </c>
      <c r="K12048" t="s">
        <v>1357</v>
      </c>
      <c r="L12048" t="s">
        <v>1357</v>
      </c>
    </row>
    <row r="12049" spans="1:13">
      <c r="H12049" t="s">
        <v>20510</v>
      </c>
      <c r="I12049" t="s">
        <v>1357</v>
      </c>
      <c r="J12049" t="s">
        <v>1357</v>
      </c>
      <c r="K12049" t="s">
        <v>1357</v>
      </c>
      <c r="L12049" t="s">
        <v>1357</v>
      </c>
    </row>
    <row r="12050" spans="1:13">
      <c r="H12050" t="s">
        <v>20511</v>
      </c>
      <c r="I12050" t="s">
        <v>1357</v>
      </c>
      <c r="J12050" t="s">
        <v>1357</v>
      </c>
      <c r="K12050" t="s">
        <v>1357</v>
      </c>
      <c r="L12050" t="s">
        <v>1357</v>
      </c>
      <c r="M12050" t="s">
        <v>9957</v>
      </c>
    </row>
    <row r="12051" spans="1:13">
      <c r="H12051" t="s">
        <v>20512</v>
      </c>
      <c r="I12051" t="s">
        <v>1357</v>
      </c>
      <c r="J12051" t="s">
        <v>1357</v>
      </c>
      <c r="K12051" t="s">
        <v>1357</v>
      </c>
      <c r="L12051" t="s">
        <v>1357</v>
      </c>
    </row>
    <row r="12052" spans="1:13">
      <c r="H12052" t="s">
        <v>20513</v>
      </c>
      <c r="I12052" t="s">
        <v>1357</v>
      </c>
      <c r="J12052" t="s">
        <v>1357</v>
      </c>
      <c r="K12052" t="s">
        <v>1357</v>
      </c>
      <c r="L12052" t="s">
        <v>1357</v>
      </c>
    </row>
    <row r="12053" spans="1:13">
      <c r="H12053" t="s">
        <v>20514</v>
      </c>
      <c r="I12053" t="s">
        <v>1357</v>
      </c>
      <c r="J12053" t="s">
        <v>1357</v>
      </c>
      <c r="K12053" t="s">
        <v>1357</v>
      </c>
      <c r="L12053" t="s">
        <v>1357</v>
      </c>
    </row>
    <row r="12054" spans="1:13">
      <c r="H12054" t="s">
        <v>20515</v>
      </c>
      <c r="I12054" t="s">
        <v>1357</v>
      </c>
      <c r="J12054" t="s">
        <v>1357</v>
      </c>
      <c r="K12054" t="s">
        <v>1357</v>
      </c>
      <c r="L12054" t="s">
        <v>1357</v>
      </c>
    </row>
    <row r="12055" spans="1:13">
      <c r="H12055" t="s">
        <v>20516</v>
      </c>
      <c r="I12055" t="s">
        <v>1357</v>
      </c>
      <c r="J12055" t="s">
        <v>1357</v>
      </c>
      <c r="K12055" t="s">
        <v>1357</v>
      </c>
      <c r="L12055" t="s">
        <v>1357</v>
      </c>
    </row>
    <row r="12056" spans="1:13">
      <c r="H12056" t="s">
        <v>20517</v>
      </c>
      <c r="I12056" t="s">
        <v>1357</v>
      </c>
      <c r="J12056" t="s">
        <v>1357</v>
      </c>
      <c r="K12056" t="s">
        <v>1357</v>
      </c>
      <c r="L12056" t="s">
        <v>1357</v>
      </c>
    </row>
    <row r="12057" spans="1:13">
      <c r="H12057" t="s">
        <v>20518</v>
      </c>
      <c r="I12057" t="s">
        <v>1357</v>
      </c>
      <c r="J12057" t="s">
        <v>1357</v>
      </c>
      <c r="K12057" t="s">
        <v>1357</v>
      </c>
      <c r="L12057" t="s">
        <v>1357</v>
      </c>
    </row>
    <row r="12058" spans="1:13">
      <c r="H12058" t="s">
        <v>20519</v>
      </c>
      <c r="I12058" t="s">
        <v>1357</v>
      </c>
      <c r="J12058" t="s">
        <v>1357</v>
      </c>
      <c r="K12058" t="s">
        <v>1357</v>
      </c>
      <c r="L12058" t="s">
        <v>1357</v>
      </c>
    </row>
    <row r="12059" spans="1:13">
      <c r="H12059" t="s">
        <v>20520</v>
      </c>
      <c r="I12059" t="s">
        <v>1357</v>
      </c>
      <c r="J12059" t="s">
        <v>1357</v>
      </c>
      <c r="K12059" t="s">
        <v>1357</v>
      </c>
      <c r="L12059" t="s">
        <v>1357</v>
      </c>
    </row>
    <row r="12060" spans="1:13">
      <c r="H12060" t="s">
        <v>20521</v>
      </c>
      <c r="I12060" t="s">
        <v>1357</v>
      </c>
      <c r="J12060" t="s">
        <v>1357</v>
      </c>
      <c r="K12060" t="s">
        <v>1357</v>
      </c>
      <c r="L12060" t="s">
        <v>1357</v>
      </c>
    </row>
    <row r="12061" spans="1:13">
      <c r="H12061" t="s">
        <v>20522</v>
      </c>
      <c r="I12061" t="s">
        <v>1357</v>
      </c>
      <c r="J12061" t="s">
        <v>1357</v>
      </c>
      <c r="K12061" t="s">
        <v>1357</v>
      </c>
      <c r="L12061" t="s">
        <v>1357</v>
      </c>
    </row>
    <row r="12062" spans="1:13">
      <c r="A12062" t="s">
        <v>10786</v>
      </c>
      <c r="B12062">
        <f>HYPERLINK("https://android.googlesource.com/platform/cts/+/72c3317b2ab88df346760baa026afb4bcbb51609", "72c3317b2ab88df346760baa026afb4bcbb51609")</f>
        <v>0</v>
      </c>
      <c r="C12062">
        <f>HYPERLINK("https://android.googlesource.com/platform/cts/+/0e926eb597738fe9483785c5492c861ac731c65f", "0e926eb597738fe9483785c5492c861ac731c65f")</f>
        <v>0</v>
      </c>
      <c r="D12062" t="s">
        <v>12112</v>
      </c>
      <c r="E12062" t="s">
        <v>13324</v>
      </c>
      <c r="F12062" t="s">
        <v>16470</v>
      </c>
      <c r="G12062" t="s">
        <v>19131</v>
      </c>
      <c r="H12062" t="s">
        <v>23171</v>
      </c>
      <c r="I12062" t="s">
        <v>1359</v>
      </c>
      <c r="J12062" t="s">
        <v>1358</v>
      </c>
      <c r="K12062" t="s">
        <v>1357</v>
      </c>
      <c r="L12062" t="s">
        <v>1358</v>
      </c>
    </row>
    <row r="12063" spans="1:13">
      <c r="A12063" t="s">
        <v>10787</v>
      </c>
      <c r="B12063">
        <f>HYPERLINK("https://android.googlesource.com/platform/cts/+/5a70255ea615f3df3507455fcb8ad4c359ce2a19", "5a70255ea615f3df3507455fcb8ad4c359ce2a19")</f>
        <v>0</v>
      </c>
      <c r="C12063">
        <f>HYPERLINK("https://android.googlesource.com/platform/cts/+/7e8443e1d9d38ac375adeffae964e04348aa6045", "7e8443e1d9d38ac375adeffae964e04348aa6045")</f>
        <v>0</v>
      </c>
      <c r="D12063" t="s">
        <v>12213</v>
      </c>
      <c r="E12063" t="s">
        <v>13325</v>
      </c>
      <c r="F12063" t="s">
        <v>16454</v>
      </c>
      <c r="G12063" t="s">
        <v>19118</v>
      </c>
      <c r="H12063" t="s">
        <v>23172</v>
      </c>
      <c r="I12063" t="s">
        <v>1357</v>
      </c>
      <c r="J12063" t="s">
        <v>1357</v>
      </c>
      <c r="K12063" t="s">
        <v>1357</v>
      </c>
      <c r="L12063" t="s">
        <v>1357</v>
      </c>
    </row>
    <row r="12064" spans="1:13">
      <c r="H12064" t="s">
        <v>23173</v>
      </c>
      <c r="I12064" t="s">
        <v>1357</v>
      </c>
      <c r="J12064" t="s">
        <v>1357</v>
      </c>
      <c r="K12064" t="s">
        <v>1357</v>
      </c>
      <c r="L12064" t="s">
        <v>1357</v>
      </c>
    </row>
    <row r="12065" spans="1:13">
      <c r="A12065" t="s">
        <v>10788</v>
      </c>
      <c r="B12065">
        <f>HYPERLINK("https://android.googlesource.com/platform/cts/+/e57dd1d63d14fa87eba7c8ba665b1fb1b9704cc7", "e57dd1d63d14fa87eba7c8ba665b1fb1b9704cc7")</f>
        <v>0</v>
      </c>
      <c r="C12065">
        <f>HYPERLINK("https://android.googlesource.com/platform/cts/+/f7518117c62da09af067223ebe550b920d0445d2", "f7518117c62da09af067223ebe550b920d0445d2")</f>
        <v>0</v>
      </c>
      <c r="D12065" t="s">
        <v>12214</v>
      </c>
      <c r="E12065" t="s">
        <v>13326</v>
      </c>
      <c r="F12065" t="s">
        <v>16260</v>
      </c>
      <c r="G12065" t="s">
        <v>18933</v>
      </c>
      <c r="H12065" t="s">
        <v>795</v>
      </c>
      <c r="I12065" t="s">
        <v>1358</v>
      </c>
      <c r="J12065" t="s">
        <v>1358</v>
      </c>
      <c r="K12065" t="s">
        <v>1358</v>
      </c>
      <c r="L12065" t="s">
        <v>1358</v>
      </c>
    </row>
    <row r="12066" spans="1:13">
      <c r="A12066" t="s">
        <v>10789</v>
      </c>
      <c r="B12066">
        <f>HYPERLINK("https://android.googlesource.com/platform/cts/+/25b8f1757a77388f87a327f50aa21761f31f6428", "25b8f1757a77388f87a327f50aa21761f31f6428")</f>
        <v>0</v>
      </c>
      <c r="C12066">
        <f>HYPERLINK("https://android.googlesource.com/platform/cts/+/f029795ed4a00a352a0bd79a7d2f7e179906a443", "f029795ed4a00a352a0bd79a7d2f7e179906a443")</f>
        <v>0</v>
      </c>
      <c r="D12066" t="s">
        <v>12215</v>
      </c>
      <c r="E12066" t="s">
        <v>13327</v>
      </c>
      <c r="F12066" t="s">
        <v>16471</v>
      </c>
      <c r="G12066" t="s">
        <v>19132</v>
      </c>
      <c r="H12066" t="s">
        <v>23174</v>
      </c>
      <c r="I12066" t="s">
        <v>1358</v>
      </c>
      <c r="J12066" t="s">
        <v>1358</v>
      </c>
      <c r="K12066" t="s">
        <v>1358</v>
      </c>
      <c r="L12066" t="s">
        <v>1358</v>
      </c>
    </row>
    <row r="12067" spans="1:13">
      <c r="A12067" t="s">
        <v>10790</v>
      </c>
      <c r="B12067">
        <f>HYPERLINK("https://android.googlesource.com/platform/cts/+/3720a52d7039b67d5576f1c3410565df32a7167f", "3720a52d7039b67d5576f1c3410565df32a7167f")</f>
        <v>0</v>
      </c>
      <c r="C12067">
        <f>HYPERLINK("https://android.googlesource.com/platform/cts/+/9b142f2af737ed712a04247394db854e28afe6da", "9b142f2af737ed712a04247394db854e28afe6da")</f>
        <v>0</v>
      </c>
      <c r="D12067" t="s">
        <v>12181</v>
      </c>
      <c r="E12067" t="s">
        <v>13328</v>
      </c>
      <c r="F12067" t="s">
        <v>16403</v>
      </c>
      <c r="G12067" t="s">
        <v>19069</v>
      </c>
      <c r="H12067" t="s">
        <v>23078</v>
      </c>
      <c r="I12067" t="s">
        <v>1357</v>
      </c>
      <c r="J12067" t="s">
        <v>1357</v>
      </c>
      <c r="K12067" t="s">
        <v>1357</v>
      </c>
      <c r="L12067" t="s">
        <v>1357</v>
      </c>
    </row>
    <row r="12068" spans="1:13">
      <c r="A12068" t="s">
        <v>10791</v>
      </c>
      <c r="B12068">
        <f>HYPERLINK("https://android.googlesource.com/platform/cts/+/5f5e49c57e82e5d88193c5d2dfc594a91cb8f1b5", "5f5e49c57e82e5d88193c5d2dfc594a91cb8f1b5")</f>
        <v>0</v>
      </c>
      <c r="C12068">
        <f>HYPERLINK("https://android.googlesource.com/platform/cts/+/e3f806aae3ad3ee4df5ba7890f53ef0b153a30df", "e3f806aae3ad3ee4df5ba7890f53ef0b153a30df")</f>
        <v>0</v>
      </c>
      <c r="D12068" t="s">
        <v>12209</v>
      </c>
      <c r="E12068" t="s">
        <v>13329</v>
      </c>
      <c r="F12068" t="s">
        <v>16459</v>
      </c>
      <c r="G12068" t="s">
        <v>19122</v>
      </c>
      <c r="H12068" t="s">
        <v>23140</v>
      </c>
      <c r="I12068" t="s">
        <v>1357</v>
      </c>
      <c r="J12068" t="s">
        <v>1357</v>
      </c>
      <c r="K12068" t="s">
        <v>1357</v>
      </c>
      <c r="L12068" t="s">
        <v>1357</v>
      </c>
      <c r="M12068" t="s">
        <v>9957</v>
      </c>
    </row>
    <row r="12069" spans="1:13">
      <c r="A12069" t="s">
        <v>10792</v>
      </c>
      <c r="B12069">
        <f>HYPERLINK("https://android.googlesource.com/platform/cts/+/b246155abd7e6d362d144fa27e2039f3398ab2a2", "b246155abd7e6d362d144fa27e2039f3398ab2a2")</f>
        <v>0</v>
      </c>
      <c r="C12069">
        <f>HYPERLINK("https://android.googlesource.com/platform/cts/+/a483d20dfb42caec47b66c2a7acb7c64453839c9", "a483d20dfb42caec47b66c2a7acb7c64453839c9")</f>
        <v>0</v>
      </c>
      <c r="D12069" t="s">
        <v>12105</v>
      </c>
      <c r="E12069" t="s">
        <v>13330</v>
      </c>
      <c r="F12069" t="s">
        <v>16420</v>
      </c>
      <c r="G12069" t="s">
        <v>19085</v>
      </c>
      <c r="H12069" t="s">
        <v>23047</v>
      </c>
      <c r="I12069" t="s">
        <v>1357</v>
      </c>
      <c r="J12069" t="s">
        <v>1357</v>
      </c>
      <c r="K12069" t="s">
        <v>1357</v>
      </c>
      <c r="L12069" t="s">
        <v>1357</v>
      </c>
    </row>
    <row r="12070" spans="1:13">
      <c r="H12070" t="s">
        <v>23048</v>
      </c>
      <c r="I12070" t="s">
        <v>1357</v>
      </c>
      <c r="J12070" t="s">
        <v>1357</v>
      </c>
      <c r="K12070" t="s">
        <v>1357</v>
      </c>
      <c r="L12070" t="s">
        <v>1357</v>
      </c>
    </row>
    <row r="12071" spans="1:13">
      <c r="H12071" t="s">
        <v>23049</v>
      </c>
      <c r="I12071" t="s">
        <v>1357</v>
      </c>
      <c r="J12071" t="s">
        <v>1357</v>
      </c>
      <c r="K12071" t="s">
        <v>1357</v>
      </c>
      <c r="L12071" t="s">
        <v>1357</v>
      </c>
    </row>
    <row r="12072" spans="1:13">
      <c r="F12072" t="s">
        <v>16421</v>
      </c>
      <c r="G12072" t="s">
        <v>19086</v>
      </c>
      <c r="H12072" t="s">
        <v>23053</v>
      </c>
      <c r="I12072" t="s">
        <v>1357</v>
      </c>
      <c r="J12072" t="s">
        <v>1357</v>
      </c>
      <c r="K12072" t="s">
        <v>1357</v>
      </c>
      <c r="L12072" t="s">
        <v>1357</v>
      </c>
    </row>
    <row r="12073" spans="1:13">
      <c r="F12073" t="s">
        <v>16406</v>
      </c>
      <c r="G12073" t="s">
        <v>19072</v>
      </c>
      <c r="H12073" t="s">
        <v>23050</v>
      </c>
      <c r="I12073" t="s">
        <v>1357</v>
      </c>
      <c r="J12073" t="s">
        <v>1357</v>
      </c>
      <c r="K12073" t="s">
        <v>1357</v>
      </c>
      <c r="L12073" t="s">
        <v>1357</v>
      </c>
    </row>
    <row r="12074" spans="1:13">
      <c r="H12074" t="s">
        <v>23054</v>
      </c>
      <c r="I12074" t="s">
        <v>1357</v>
      </c>
      <c r="J12074" t="s">
        <v>1357</v>
      </c>
      <c r="K12074" t="s">
        <v>1357</v>
      </c>
      <c r="L12074" t="s">
        <v>1357</v>
      </c>
    </row>
    <row r="12075" spans="1:13">
      <c r="H12075" t="s">
        <v>23051</v>
      </c>
      <c r="I12075" t="s">
        <v>1357</v>
      </c>
      <c r="J12075" t="s">
        <v>1357</v>
      </c>
      <c r="K12075" t="s">
        <v>1357</v>
      </c>
      <c r="L12075" t="s">
        <v>1357</v>
      </c>
    </row>
    <row r="12076" spans="1:13">
      <c r="H12076" t="s">
        <v>23052</v>
      </c>
      <c r="I12076" t="s">
        <v>1357</v>
      </c>
      <c r="J12076" t="s">
        <v>1357</v>
      </c>
      <c r="K12076" t="s">
        <v>1357</v>
      </c>
      <c r="L12076" t="s">
        <v>1357</v>
      </c>
    </row>
    <row r="12077" spans="1:13">
      <c r="F12077" t="s">
        <v>14470</v>
      </c>
      <c r="G12077" t="s">
        <v>17317</v>
      </c>
      <c r="H12077" t="s">
        <v>23050</v>
      </c>
      <c r="I12077" t="s">
        <v>1357</v>
      </c>
      <c r="J12077" t="s">
        <v>1357</v>
      </c>
      <c r="K12077" t="s">
        <v>1357</v>
      </c>
      <c r="L12077" t="s">
        <v>1357</v>
      </c>
    </row>
    <row r="12078" spans="1:13">
      <c r="H12078" t="s">
        <v>23054</v>
      </c>
      <c r="I12078" t="s">
        <v>1357</v>
      </c>
      <c r="J12078" t="s">
        <v>1357</v>
      </c>
      <c r="K12078" t="s">
        <v>1357</v>
      </c>
      <c r="L12078" t="s">
        <v>1357</v>
      </c>
    </row>
    <row r="12079" spans="1:13">
      <c r="H12079" t="s">
        <v>23051</v>
      </c>
      <c r="I12079" t="s">
        <v>1357</v>
      </c>
      <c r="J12079" t="s">
        <v>1357</v>
      </c>
      <c r="K12079" t="s">
        <v>1357</v>
      </c>
      <c r="L12079" t="s">
        <v>1357</v>
      </c>
    </row>
    <row r="12080" spans="1:13">
      <c r="H12080" t="s">
        <v>23052</v>
      </c>
      <c r="I12080" t="s">
        <v>1357</v>
      </c>
      <c r="J12080" t="s">
        <v>1357</v>
      </c>
      <c r="K12080" t="s">
        <v>1357</v>
      </c>
      <c r="L12080" t="s">
        <v>1357</v>
      </c>
    </row>
    <row r="12081" spans="1:13">
      <c r="A12081" t="s">
        <v>10793</v>
      </c>
      <c r="B12081">
        <f>HYPERLINK("https://android.googlesource.com/platform/cts/+/45d5ecd5cffb7e6399264e1b9aebc021e42d0787", "45d5ecd5cffb7e6399264e1b9aebc021e42d0787")</f>
        <v>0</v>
      </c>
      <c r="C12081">
        <f>HYPERLINK("https://android.googlesource.com/platform/cts/+/22e8a28e678566d7d944a37dc40842b1e0e5d525", "22e8a28e678566d7d944a37dc40842b1e0e5d525")</f>
        <v>0</v>
      </c>
      <c r="D12081" t="s">
        <v>12199</v>
      </c>
      <c r="E12081" t="s">
        <v>13331</v>
      </c>
      <c r="F12081" t="s">
        <v>16472</v>
      </c>
      <c r="G12081" t="s">
        <v>19133</v>
      </c>
      <c r="H12081" t="s">
        <v>3955</v>
      </c>
      <c r="I12081" t="s">
        <v>1357</v>
      </c>
      <c r="J12081" t="s">
        <v>1357</v>
      </c>
      <c r="K12081" t="s">
        <v>1357</v>
      </c>
      <c r="L12081" t="s">
        <v>1357</v>
      </c>
    </row>
    <row r="12082" spans="1:13">
      <c r="H12082" t="s">
        <v>4882</v>
      </c>
      <c r="I12082" t="s">
        <v>1357</v>
      </c>
      <c r="J12082" t="s">
        <v>1357</v>
      </c>
      <c r="K12082" t="s">
        <v>1357</v>
      </c>
      <c r="L12082" t="s">
        <v>1357</v>
      </c>
    </row>
    <row r="12083" spans="1:13">
      <c r="H12083" t="s">
        <v>23175</v>
      </c>
      <c r="I12083" t="s">
        <v>1357</v>
      </c>
      <c r="J12083" t="s">
        <v>1357</v>
      </c>
      <c r="K12083" t="s">
        <v>1357</v>
      </c>
      <c r="L12083" t="s">
        <v>1357</v>
      </c>
    </row>
    <row r="12084" spans="1:13">
      <c r="H12084" t="s">
        <v>23176</v>
      </c>
      <c r="I12084" t="s">
        <v>1357</v>
      </c>
      <c r="J12084" t="s">
        <v>1357</v>
      </c>
      <c r="K12084" t="s">
        <v>1357</v>
      </c>
      <c r="L12084" t="s">
        <v>1357</v>
      </c>
    </row>
    <row r="12085" spans="1:13">
      <c r="H12085" t="s">
        <v>8378</v>
      </c>
      <c r="I12085" t="s">
        <v>1357</v>
      </c>
      <c r="J12085" t="s">
        <v>1357</v>
      </c>
      <c r="K12085" t="s">
        <v>1357</v>
      </c>
      <c r="L12085" t="s">
        <v>1357</v>
      </c>
    </row>
    <row r="12086" spans="1:13">
      <c r="H12086" t="s">
        <v>23177</v>
      </c>
      <c r="I12086" t="s">
        <v>1357</v>
      </c>
      <c r="J12086" t="s">
        <v>1357</v>
      </c>
      <c r="K12086" t="s">
        <v>1357</v>
      </c>
      <c r="L12086" t="s">
        <v>1357</v>
      </c>
    </row>
    <row r="12087" spans="1:13">
      <c r="H12087" t="s">
        <v>3695</v>
      </c>
      <c r="I12087" t="s">
        <v>1357</v>
      </c>
      <c r="J12087" t="s">
        <v>1357</v>
      </c>
      <c r="K12087" t="s">
        <v>1357</v>
      </c>
      <c r="L12087" t="s">
        <v>1357</v>
      </c>
    </row>
    <row r="12088" spans="1:13">
      <c r="H12088" t="s">
        <v>23178</v>
      </c>
      <c r="I12088" t="s">
        <v>1357</v>
      </c>
      <c r="J12088" t="s">
        <v>1357</v>
      </c>
      <c r="K12088" t="s">
        <v>1357</v>
      </c>
      <c r="L12088" t="s">
        <v>1357</v>
      </c>
    </row>
    <row r="12089" spans="1:13">
      <c r="H12089" t="s">
        <v>3790</v>
      </c>
      <c r="I12089" t="s">
        <v>1357</v>
      </c>
      <c r="J12089" t="s">
        <v>1357</v>
      </c>
      <c r="K12089" t="s">
        <v>1357</v>
      </c>
      <c r="L12089" t="s">
        <v>1357</v>
      </c>
    </row>
    <row r="12090" spans="1:13">
      <c r="H12090" t="s">
        <v>23179</v>
      </c>
      <c r="I12090" t="s">
        <v>1357</v>
      </c>
      <c r="J12090" t="s">
        <v>1357</v>
      </c>
      <c r="K12090" t="s">
        <v>1357</v>
      </c>
      <c r="L12090" t="s">
        <v>1357</v>
      </c>
    </row>
    <row r="12091" spans="1:13">
      <c r="A12091" t="s">
        <v>10794</v>
      </c>
      <c r="B12091">
        <f>HYPERLINK("https://android.googlesource.com/platform/cts/+/0eaa8a0839097911b69283873e07885d35575e4c", "0eaa8a0839097911b69283873e07885d35575e4c")</f>
        <v>0</v>
      </c>
      <c r="C12091">
        <f>HYPERLINK("https://android.googlesource.com/platform/cts/+/a483d20dfb42caec47b66c2a7acb7c64453839c9", "a483d20dfb42caec47b66c2a7acb7c64453839c9")</f>
        <v>0</v>
      </c>
      <c r="D12091" t="s">
        <v>12216</v>
      </c>
      <c r="E12091" t="s">
        <v>13332</v>
      </c>
      <c r="F12091" t="s">
        <v>16473</v>
      </c>
      <c r="G12091" t="s">
        <v>19134</v>
      </c>
      <c r="H12091" t="s">
        <v>23180</v>
      </c>
      <c r="I12091" t="s">
        <v>1358</v>
      </c>
      <c r="J12091" t="s">
        <v>1358</v>
      </c>
      <c r="K12091" t="s">
        <v>1358</v>
      </c>
      <c r="L12091" t="s">
        <v>1358</v>
      </c>
    </row>
    <row r="12092" spans="1:13">
      <c r="A12092" t="s">
        <v>10795</v>
      </c>
      <c r="B12092">
        <f>HYPERLINK("https://android.googlesource.com/platform/cts/+/923b97d33e6c0fddb102ed0d81768f92b60e4121", "923b97d33e6c0fddb102ed0d81768f92b60e4121")</f>
        <v>0</v>
      </c>
      <c r="C12092">
        <f>HYPERLINK("https://android.googlesource.com/platform/cts/+/774f3a229ef8f43ed224c94884ce1abe1d73b258", "774f3a229ef8f43ed224c94884ce1abe1d73b258")</f>
        <v>0</v>
      </c>
      <c r="D12092" t="s">
        <v>12120</v>
      </c>
      <c r="E12092" t="s">
        <v>13333</v>
      </c>
      <c r="F12092" t="s">
        <v>16474</v>
      </c>
      <c r="G12092" t="s">
        <v>19135</v>
      </c>
      <c r="H12092" t="s">
        <v>23181</v>
      </c>
      <c r="I12092" t="s">
        <v>1357</v>
      </c>
      <c r="J12092" t="s">
        <v>1357</v>
      </c>
      <c r="K12092" t="s">
        <v>1357</v>
      </c>
      <c r="L12092" t="s">
        <v>1357</v>
      </c>
    </row>
    <row r="12093" spans="1:13">
      <c r="A12093" t="s">
        <v>10796</v>
      </c>
      <c r="B12093">
        <f>HYPERLINK("https://android.googlesource.com/platform/cts/+/d2b29e665357c19e899f653c93df72ecd8bbb15d", "d2b29e665357c19e899f653c93df72ecd8bbb15d")</f>
        <v>0</v>
      </c>
      <c r="C12093">
        <f>HYPERLINK("https://android.googlesource.com/platform/cts/+/c6b4d2be2e23016be58ec1648abdc91505600790", "c6b4d2be2e23016be58ec1648abdc91505600790")</f>
        <v>0</v>
      </c>
      <c r="D12093" t="s">
        <v>12209</v>
      </c>
      <c r="E12093" t="s">
        <v>13334</v>
      </c>
      <c r="F12093" t="s">
        <v>16459</v>
      </c>
      <c r="G12093" t="s">
        <v>19122</v>
      </c>
      <c r="H12093" t="s">
        <v>23140</v>
      </c>
      <c r="I12093" t="s">
        <v>1357</v>
      </c>
      <c r="J12093" t="s">
        <v>1357</v>
      </c>
      <c r="K12093" t="s">
        <v>1357</v>
      </c>
      <c r="L12093" t="s">
        <v>1357</v>
      </c>
      <c r="M12093" t="s">
        <v>9957</v>
      </c>
    </row>
    <row r="12094" spans="1:13">
      <c r="A12094" t="s">
        <v>10797</v>
      </c>
      <c r="B12094">
        <f>HYPERLINK("https://android.googlesource.com/platform/cts/+/5103ab556f4a82a7234776b212d057bf2f507c52", "5103ab556f4a82a7234776b212d057bf2f507c52")</f>
        <v>0</v>
      </c>
      <c r="C12094">
        <f>HYPERLINK("https://android.googlesource.com/platform/cts/+/9c36162953f5e4d1a9aa6305abba562f3f7b8e63", "9c36162953f5e4d1a9aa6305abba562f3f7b8e63")</f>
        <v>0</v>
      </c>
      <c r="D12094" t="s">
        <v>12217</v>
      </c>
      <c r="E12094" t="s">
        <v>13335</v>
      </c>
      <c r="F12094" t="s">
        <v>16475</v>
      </c>
      <c r="G12094" t="s">
        <v>19136</v>
      </c>
      <c r="H12094" t="s">
        <v>23182</v>
      </c>
      <c r="I12094" t="s">
        <v>1357</v>
      </c>
      <c r="J12094" t="s">
        <v>1357</v>
      </c>
      <c r="K12094" t="s">
        <v>1357</v>
      </c>
      <c r="L12094" t="s">
        <v>1357</v>
      </c>
    </row>
    <row r="12095" spans="1:13">
      <c r="H12095" t="s">
        <v>23183</v>
      </c>
      <c r="I12095" t="s">
        <v>1357</v>
      </c>
      <c r="J12095" t="s">
        <v>1357</v>
      </c>
      <c r="K12095" t="s">
        <v>1357</v>
      </c>
      <c r="L12095" t="s">
        <v>1357</v>
      </c>
    </row>
    <row r="12096" spans="1:13">
      <c r="A12096" t="s">
        <v>10798</v>
      </c>
      <c r="B12096">
        <f>HYPERLINK("https://android.googlesource.com/platform/cts/+/d7a77455b5262d906a0c6731b7208d8135269b14", "d7a77455b5262d906a0c6731b7208d8135269b14")</f>
        <v>0</v>
      </c>
      <c r="C12096">
        <f>HYPERLINK("https://android.googlesource.com/platform/cts/+/98a9e20123eac5e130acf75d84f07fbf7a59e68f", "98a9e20123eac5e130acf75d84f07fbf7a59e68f")</f>
        <v>0</v>
      </c>
      <c r="D12096" t="s">
        <v>12218</v>
      </c>
      <c r="E12096" t="s">
        <v>13336</v>
      </c>
      <c r="F12096" t="s">
        <v>16476</v>
      </c>
      <c r="G12096" t="s">
        <v>19137</v>
      </c>
      <c r="H12096" t="s">
        <v>23184</v>
      </c>
      <c r="I12096" t="s">
        <v>1357</v>
      </c>
      <c r="J12096" t="s">
        <v>1357</v>
      </c>
      <c r="K12096" t="s">
        <v>1357</v>
      </c>
      <c r="L12096" t="s">
        <v>1357</v>
      </c>
    </row>
    <row r="12097" spans="1:12">
      <c r="H12097" t="s">
        <v>23185</v>
      </c>
      <c r="I12097" t="s">
        <v>1357</v>
      </c>
      <c r="J12097" t="s">
        <v>1357</v>
      </c>
      <c r="K12097" t="s">
        <v>1357</v>
      </c>
      <c r="L12097" t="s">
        <v>1357</v>
      </c>
    </row>
    <row r="12098" spans="1:12">
      <c r="A12098" t="s">
        <v>10799</v>
      </c>
      <c r="B12098">
        <f>HYPERLINK("https://android.googlesource.com/platform/cts/+/e6d8b9841b1bd3af635ceda614576c43f1b2a581", "e6d8b9841b1bd3af635ceda614576c43f1b2a581")</f>
        <v>0</v>
      </c>
      <c r="C12098">
        <f>HYPERLINK("https://android.googlesource.com/platform/cts/+/f0082c2a9392cba97d35130516a59441d58cf7c9", "f0082c2a9392cba97d35130516a59441d58cf7c9")</f>
        <v>0</v>
      </c>
      <c r="D12098" t="s">
        <v>12102</v>
      </c>
      <c r="E12098" t="s">
        <v>13337</v>
      </c>
      <c r="F12098" t="s">
        <v>16477</v>
      </c>
      <c r="G12098" t="s">
        <v>19138</v>
      </c>
      <c r="H12098" t="s">
        <v>23186</v>
      </c>
      <c r="I12098" t="s">
        <v>1358</v>
      </c>
      <c r="J12098" t="s">
        <v>1358</v>
      </c>
      <c r="K12098" t="s">
        <v>1358</v>
      </c>
      <c r="L12098" t="s">
        <v>1358</v>
      </c>
    </row>
    <row r="12099" spans="1:12">
      <c r="A12099" t="s">
        <v>10800</v>
      </c>
      <c r="B12099">
        <f>HYPERLINK("https://android.googlesource.com/platform/cts/+/cab55143adff46d9a4437821efd3bbb6170d8f6a", "cab55143adff46d9a4437821efd3bbb6170d8f6a")</f>
        <v>0</v>
      </c>
      <c r="C12099">
        <f>HYPERLINK("https://android.googlesource.com/platform/cts/+/7cf0fcfd504b195919ecac0e79ad37a0d0cf76a4", "7cf0fcfd504b195919ecac0e79ad37a0d0cf76a4")</f>
        <v>0</v>
      </c>
      <c r="D12099" t="s">
        <v>12219</v>
      </c>
      <c r="E12099" t="s">
        <v>13338</v>
      </c>
      <c r="F12099" t="s">
        <v>14536</v>
      </c>
      <c r="G12099" t="s">
        <v>17381</v>
      </c>
      <c r="H12099" t="s">
        <v>23187</v>
      </c>
      <c r="I12099" t="s">
        <v>1359</v>
      </c>
      <c r="J12099" t="s">
        <v>1358</v>
      </c>
      <c r="K12099" t="s">
        <v>1357</v>
      </c>
      <c r="L12099" t="s">
        <v>1358</v>
      </c>
    </row>
    <row r="12100" spans="1:12">
      <c r="H12100" t="s">
        <v>23188</v>
      </c>
      <c r="I12100" t="s">
        <v>1359</v>
      </c>
      <c r="J12100" t="s">
        <v>1358</v>
      </c>
      <c r="K12100" t="s">
        <v>1357</v>
      </c>
      <c r="L12100" t="s">
        <v>1358</v>
      </c>
    </row>
    <row r="12101" spans="1:12">
      <c r="A12101" t="s">
        <v>10801</v>
      </c>
      <c r="B12101">
        <f>HYPERLINK("https://android.googlesource.com/platform/cts/+/d1a8687d6cad7c651d7bd3de89923e46c774350e", "d1a8687d6cad7c651d7bd3de89923e46c774350e")</f>
        <v>0</v>
      </c>
      <c r="C12101">
        <f>HYPERLINK("https://android.googlesource.com/platform/cts/+/9272b86c66eb3e6bce0efb056ae13fec18094ce9", "9272b86c66eb3e6bce0efb056ae13fec18094ce9")</f>
        <v>0</v>
      </c>
      <c r="D12101" t="s">
        <v>12208</v>
      </c>
      <c r="E12101" t="s">
        <v>13339</v>
      </c>
      <c r="F12101" t="s">
        <v>16403</v>
      </c>
      <c r="G12101" t="s">
        <v>19069</v>
      </c>
      <c r="H12101" t="s">
        <v>23189</v>
      </c>
      <c r="I12101" t="s">
        <v>1357</v>
      </c>
      <c r="J12101" t="s">
        <v>1357</v>
      </c>
      <c r="K12101" t="s">
        <v>1357</v>
      </c>
      <c r="L12101" t="s">
        <v>1357</v>
      </c>
    </row>
    <row r="12102" spans="1:12">
      <c r="A12102" t="s">
        <v>10802</v>
      </c>
      <c r="B12102">
        <f>HYPERLINK("https://android.googlesource.com/platform/cts/+/2e0f78f003fab010e53b0029b4fea4445887b8b4", "2e0f78f003fab010e53b0029b4fea4445887b8b4")</f>
        <v>0</v>
      </c>
      <c r="C12102">
        <f>HYPERLINK("https://android.googlesource.com/platform/cts/+/3a2aa75e2172e88bc10cb557c48fe9c8376e9e96", "3a2aa75e2172e88bc10cb557c48fe9c8376e9e96")</f>
        <v>0</v>
      </c>
      <c r="D12102" t="s">
        <v>12220</v>
      </c>
      <c r="E12102" t="s">
        <v>13340</v>
      </c>
      <c r="F12102" t="s">
        <v>16478</v>
      </c>
      <c r="G12102" t="s">
        <v>19139</v>
      </c>
      <c r="H12102" t="s">
        <v>23190</v>
      </c>
      <c r="I12102" t="s">
        <v>1358</v>
      </c>
      <c r="J12102" t="s">
        <v>1358</v>
      </c>
      <c r="K12102" t="s">
        <v>1358</v>
      </c>
      <c r="L12102" t="s">
        <v>1358</v>
      </c>
    </row>
    <row r="12103" spans="1:12">
      <c r="A12103" t="s">
        <v>10803</v>
      </c>
      <c r="B12103">
        <f>HYPERLINK("https://android.googlesource.com/platform/cts/+/8113771c537b8dbbe17c3d2b14e740e73194cdac", "8113771c537b8dbbe17c3d2b14e740e73194cdac")</f>
        <v>0</v>
      </c>
      <c r="C12103">
        <f>HYPERLINK("https://android.googlesource.com/platform/cts/+/f642f7de3a5e79086b24b64d6e34c82311a756d9", "f642f7de3a5e79086b24b64d6e34c82311a756d9")</f>
        <v>0</v>
      </c>
      <c r="D12103" t="s">
        <v>12212</v>
      </c>
      <c r="E12103" t="s">
        <v>13341</v>
      </c>
      <c r="F12103" t="s">
        <v>16479</v>
      </c>
      <c r="G12103" t="s">
        <v>19140</v>
      </c>
      <c r="H12103" t="s">
        <v>23191</v>
      </c>
      <c r="I12103" t="s">
        <v>1357</v>
      </c>
      <c r="J12103" t="s">
        <v>1357</v>
      </c>
      <c r="K12103" t="s">
        <v>1357</v>
      </c>
      <c r="L12103" t="s">
        <v>1357</v>
      </c>
    </row>
    <row r="12104" spans="1:12">
      <c r="A12104" t="s">
        <v>10804</v>
      </c>
      <c r="B12104">
        <f>HYPERLINK("https://android.googlesource.com/platform/cts/+/ce21d512ff3faea6f93c05a6b34021d45d483169", "ce21d512ff3faea6f93c05a6b34021d45d483169")</f>
        <v>0</v>
      </c>
      <c r="C12104">
        <f>HYPERLINK("https://android.googlesource.com/platform/cts/+/082c3dde5bb6b048bdc394d5306ea455415668e9", "082c3dde5bb6b048bdc394d5306ea455415668e9")</f>
        <v>0</v>
      </c>
      <c r="D12104" t="s">
        <v>12221</v>
      </c>
      <c r="E12104" t="s">
        <v>13342</v>
      </c>
      <c r="F12104" t="s">
        <v>16317</v>
      </c>
      <c r="G12104" t="s">
        <v>18987</v>
      </c>
      <c r="H12104" t="s">
        <v>23192</v>
      </c>
      <c r="I12104" t="s">
        <v>1358</v>
      </c>
      <c r="J12104" t="s">
        <v>1358</v>
      </c>
      <c r="K12104" t="s">
        <v>1358</v>
      </c>
      <c r="L12104" t="s">
        <v>1358</v>
      </c>
    </row>
    <row r="12105" spans="1:12">
      <c r="A12105" t="s">
        <v>10805</v>
      </c>
      <c r="B12105">
        <f>HYPERLINK("https://android.googlesource.com/platform/cts/+/85a2b52602a3f7a0624a707934d20d36f050c4c6", "85a2b52602a3f7a0624a707934d20d36f050c4c6")</f>
        <v>0</v>
      </c>
      <c r="C12105">
        <f>HYPERLINK("https://android.googlesource.com/platform/cts/+/73eae3ab1e9141aca38d0ce3689a1708b2253d95", "73eae3ab1e9141aca38d0ce3689a1708b2253d95")</f>
        <v>0</v>
      </c>
      <c r="D12105" t="s">
        <v>12040</v>
      </c>
      <c r="E12105" t="s">
        <v>13343</v>
      </c>
      <c r="F12105" t="s">
        <v>16480</v>
      </c>
      <c r="G12105" t="s">
        <v>18616</v>
      </c>
      <c r="H12105" t="s">
        <v>23193</v>
      </c>
      <c r="I12105" t="s">
        <v>1357</v>
      </c>
      <c r="J12105" t="s">
        <v>1357</v>
      </c>
      <c r="K12105" t="s">
        <v>1357</v>
      </c>
      <c r="L12105" t="s">
        <v>1357</v>
      </c>
    </row>
    <row r="12106" spans="1:12">
      <c r="F12106" t="s">
        <v>16481</v>
      </c>
      <c r="G12106" t="s">
        <v>19141</v>
      </c>
      <c r="H12106" t="s">
        <v>23194</v>
      </c>
      <c r="I12106" t="s">
        <v>1357</v>
      </c>
      <c r="J12106" t="s">
        <v>1357</v>
      </c>
      <c r="K12106" t="s">
        <v>1357</v>
      </c>
      <c r="L12106" t="s">
        <v>1357</v>
      </c>
    </row>
    <row r="12107" spans="1:12">
      <c r="A12107" t="s">
        <v>10806</v>
      </c>
      <c r="B12107">
        <f>HYPERLINK("https://android.googlesource.com/platform/cts/+/83fdac5acda66ca69dcef777a4f43e744473ad7d", "83fdac5acda66ca69dcef777a4f43e744473ad7d")</f>
        <v>0</v>
      </c>
      <c r="C12107">
        <f>HYPERLINK("https://android.googlesource.com/platform/cts/+/73eae3ab1e9141aca38d0ce3689a1708b2253d95", "73eae3ab1e9141aca38d0ce3689a1708b2253d95")</f>
        <v>0</v>
      </c>
      <c r="D12107" t="s">
        <v>12108</v>
      </c>
      <c r="E12107" t="s">
        <v>13344</v>
      </c>
      <c r="F12107" t="s">
        <v>16468</v>
      </c>
      <c r="G12107" t="s">
        <v>19130</v>
      </c>
      <c r="H12107" t="s">
        <v>23195</v>
      </c>
      <c r="I12107" t="s">
        <v>1357</v>
      </c>
      <c r="J12107" t="s">
        <v>1357</v>
      </c>
      <c r="K12107" t="s">
        <v>1357</v>
      </c>
      <c r="L12107" t="s">
        <v>1357</v>
      </c>
    </row>
    <row r="12108" spans="1:12">
      <c r="H12108" t="s">
        <v>23196</v>
      </c>
      <c r="I12108" t="s">
        <v>1357</v>
      </c>
      <c r="J12108" t="s">
        <v>1357</v>
      </c>
      <c r="K12108" t="s">
        <v>1357</v>
      </c>
      <c r="L12108" t="s">
        <v>1357</v>
      </c>
    </row>
    <row r="12109" spans="1:12">
      <c r="H12109" t="s">
        <v>23197</v>
      </c>
      <c r="I12109" t="s">
        <v>1357</v>
      </c>
      <c r="J12109" t="s">
        <v>1357</v>
      </c>
      <c r="K12109" t="s">
        <v>1357</v>
      </c>
      <c r="L12109" t="s">
        <v>1357</v>
      </c>
    </row>
    <row r="12110" spans="1:12">
      <c r="H12110" t="s">
        <v>23198</v>
      </c>
      <c r="I12110" t="s">
        <v>1357</v>
      </c>
      <c r="J12110" t="s">
        <v>1357</v>
      </c>
      <c r="K12110" t="s">
        <v>1357</v>
      </c>
      <c r="L12110" t="s">
        <v>1357</v>
      </c>
    </row>
    <row r="12111" spans="1:12">
      <c r="H12111" t="s">
        <v>8338</v>
      </c>
      <c r="I12111" t="s">
        <v>1358</v>
      </c>
      <c r="J12111" t="s">
        <v>1358</v>
      </c>
      <c r="K12111" t="s">
        <v>1358</v>
      </c>
      <c r="L12111" t="s">
        <v>1358</v>
      </c>
    </row>
    <row r="12112" spans="1:12">
      <c r="H12112" t="s">
        <v>23199</v>
      </c>
      <c r="I12112" t="s">
        <v>1357</v>
      </c>
      <c r="J12112" t="s">
        <v>1357</v>
      </c>
      <c r="K12112" t="s">
        <v>1357</v>
      </c>
      <c r="L12112" t="s">
        <v>1357</v>
      </c>
    </row>
    <row r="12113" spans="1:13">
      <c r="H12113" t="s">
        <v>23200</v>
      </c>
      <c r="I12113" t="s">
        <v>1359</v>
      </c>
      <c r="J12113" t="s">
        <v>1358</v>
      </c>
      <c r="K12113" t="s">
        <v>1357</v>
      </c>
      <c r="L12113" t="s">
        <v>1358</v>
      </c>
    </row>
    <row r="12114" spans="1:13">
      <c r="H12114" t="s">
        <v>5281</v>
      </c>
      <c r="I12114" t="s">
        <v>1357</v>
      </c>
      <c r="J12114" t="s">
        <v>1357</v>
      </c>
      <c r="K12114" t="s">
        <v>1357</v>
      </c>
      <c r="L12114" t="s">
        <v>1357</v>
      </c>
    </row>
    <row r="12115" spans="1:13">
      <c r="H12115" t="s">
        <v>23201</v>
      </c>
      <c r="I12115" t="s">
        <v>1359</v>
      </c>
      <c r="J12115" t="s">
        <v>1358</v>
      </c>
      <c r="K12115" t="s">
        <v>1357</v>
      </c>
      <c r="L12115" t="s">
        <v>1358</v>
      </c>
    </row>
    <row r="12116" spans="1:13">
      <c r="H12116" t="s">
        <v>23202</v>
      </c>
      <c r="I12116" t="s">
        <v>1359</v>
      </c>
      <c r="J12116" t="s">
        <v>1358</v>
      </c>
      <c r="K12116" t="s">
        <v>1357</v>
      </c>
      <c r="L12116" t="s">
        <v>1358</v>
      </c>
    </row>
    <row r="12117" spans="1:13">
      <c r="H12117" t="s">
        <v>23203</v>
      </c>
      <c r="I12117" t="s">
        <v>1358</v>
      </c>
      <c r="J12117" t="s">
        <v>1358</v>
      </c>
      <c r="K12117" t="s">
        <v>1358</v>
      </c>
      <c r="L12117" t="s">
        <v>1358</v>
      </c>
    </row>
    <row r="12118" spans="1:13">
      <c r="F12118" t="s">
        <v>15184</v>
      </c>
      <c r="G12118" t="s">
        <v>17886</v>
      </c>
      <c r="H12118" t="s">
        <v>23204</v>
      </c>
      <c r="I12118" t="s">
        <v>1358</v>
      </c>
      <c r="J12118" t="s">
        <v>1358</v>
      </c>
      <c r="K12118" t="s">
        <v>1358</v>
      </c>
      <c r="L12118" t="s">
        <v>1358</v>
      </c>
    </row>
    <row r="12119" spans="1:13">
      <c r="A12119" t="s">
        <v>10807</v>
      </c>
      <c r="B12119">
        <f>HYPERLINK("https://android.googlesource.com/platform/cts/+/2bef4b4abfea88204bd21f093dbc2452212e80d0", "2bef4b4abfea88204bd21f093dbc2452212e80d0")</f>
        <v>0</v>
      </c>
      <c r="C12119">
        <f>HYPERLINK("https://android.googlesource.com/platform/cts/+/eb77ff4565af76f79c4b3576780add82c745d779", "eb77ff4565af76f79c4b3576780add82c745d779")</f>
        <v>0</v>
      </c>
      <c r="D12119" t="s">
        <v>12222</v>
      </c>
      <c r="E12119" t="s">
        <v>13345</v>
      </c>
      <c r="F12119" t="s">
        <v>16482</v>
      </c>
      <c r="G12119" t="s">
        <v>19142</v>
      </c>
      <c r="H12119" t="s">
        <v>23205</v>
      </c>
      <c r="I12119" t="s">
        <v>1358</v>
      </c>
      <c r="J12119" t="s">
        <v>1358</v>
      </c>
      <c r="K12119" t="s">
        <v>1358</v>
      </c>
      <c r="L12119" t="s">
        <v>1358</v>
      </c>
    </row>
    <row r="12120" spans="1:13">
      <c r="H12120" t="s">
        <v>23206</v>
      </c>
      <c r="I12120" t="s">
        <v>1358</v>
      </c>
      <c r="J12120" t="s">
        <v>1358</v>
      </c>
      <c r="K12120" t="s">
        <v>1358</v>
      </c>
      <c r="L12120" t="s">
        <v>1358</v>
      </c>
    </row>
    <row r="12121" spans="1:13">
      <c r="A12121" t="s">
        <v>10808</v>
      </c>
      <c r="B12121">
        <f>HYPERLINK("https://android.googlesource.com/platform/cts/+/06658d9196b28a7a82f07a9c6cb883110043b9f3", "06658d9196b28a7a82f07a9c6cb883110043b9f3")</f>
        <v>0</v>
      </c>
      <c r="C12121">
        <f>HYPERLINK("https://android.googlesource.com/platform/cts/+/cb66003bbf84ed10276db5c9d5c7bc28cb12a118", "cb66003bbf84ed10276db5c9d5c7bc28cb12a118")</f>
        <v>0</v>
      </c>
      <c r="D12121" t="s">
        <v>12108</v>
      </c>
      <c r="E12121" t="s">
        <v>13346</v>
      </c>
      <c r="F12121" t="s">
        <v>14471</v>
      </c>
      <c r="G12121" t="s">
        <v>17318</v>
      </c>
      <c r="H12121" t="s">
        <v>23207</v>
      </c>
      <c r="I12121" t="s">
        <v>1357</v>
      </c>
      <c r="J12121" t="s">
        <v>1357</v>
      </c>
      <c r="K12121" t="s">
        <v>1357</v>
      </c>
      <c r="L12121" t="s">
        <v>1357</v>
      </c>
    </row>
    <row r="12122" spans="1:13">
      <c r="F12122" t="s">
        <v>16483</v>
      </c>
      <c r="G12122" t="s">
        <v>19143</v>
      </c>
      <c r="H12122" t="s">
        <v>23208</v>
      </c>
      <c r="I12122" t="s">
        <v>1357</v>
      </c>
      <c r="J12122" t="s">
        <v>1357</v>
      </c>
      <c r="K12122" t="s">
        <v>1357</v>
      </c>
      <c r="L12122" t="s">
        <v>1357</v>
      </c>
      <c r="M12122" t="s">
        <v>5099</v>
      </c>
    </row>
    <row r="12123" spans="1:13">
      <c r="H12123" t="s">
        <v>23209</v>
      </c>
      <c r="I12123" t="s">
        <v>1357</v>
      </c>
      <c r="J12123" t="s">
        <v>1357</v>
      </c>
      <c r="K12123" t="s">
        <v>1357</v>
      </c>
      <c r="L12123" t="s">
        <v>1357</v>
      </c>
    </row>
    <row r="12124" spans="1:13">
      <c r="H12124" t="s">
        <v>23210</v>
      </c>
      <c r="I12124" t="s">
        <v>1357</v>
      </c>
      <c r="J12124" t="s">
        <v>1357</v>
      </c>
      <c r="K12124" t="s">
        <v>1357</v>
      </c>
      <c r="L12124" t="s">
        <v>1357</v>
      </c>
    </row>
    <row r="12125" spans="1:13">
      <c r="H12125" t="s">
        <v>8338</v>
      </c>
      <c r="I12125" t="s">
        <v>1358</v>
      </c>
      <c r="J12125" t="s">
        <v>1358</v>
      </c>
      <c r="K12125" t="s">
        <v>1358</v>
      </c>
      <c r="L12125" t="s">
        <v>1358</v>
      </c>
    </row>
    <row r="12126" spans="1:13">
      <c r="H12126" t="s">
        <v>23203</v>
      </c>
      <c r="I12126" t="s">
        <v>1358</v>
      </c>
      <c r="J12126" t="s">
        <v>1358</v>
      </c>
      <c r="K12126" t="s">
        <v>1358</v>
      </c>
      <c r="L12126" t="s">
        <v>1358</v>
      </c>
    </row>
    <row r="12127" spans="1:13">
      <c r="F12127" t="s">
        <v>16406</v>
      </c>
      <c r="G12127" t="s">
        <v>19072</v>
      </c>
      <c r="H12127" t="s">
        <v>23211</v>
      </c>
      <c r="I12127" t="s">
        <v>1359</v>
      </c>
      <c r="J12127" t="s">
        <v>1357</v>
      </c>
      <c r="K12127" t="s">
        <v>1358</v>
      </c>
      <c r="L12127" t="s">
        <v>1357</v>
      </c>
    </row>
    <row r="12128" spans="1:13">
      <c r="F12128" t="s">
        <v>15184</v>
      </c>
      <c r="G12128" t="s">
        <v>17886</v>
      </c>
      <c r="H12128" t="s">
        <v>23212</v>
      </c>
      <c r="I12128" t="s">
        <v>1357</v>
      </c>
      <c r="J12128" t="s">
        <v>1357</v>
      </c>
      <c r="K12128" t="s">
        <v>1357</v>
      </c>
      <c r="L12128" t="s">
        <v>1357</v>
      </c>
    </row>
    <row r="12129" spans="1:13">
      <c r="H12129" t="s">
        <v>23213</v>
      </c>
      <c r="I12129" t="s">
        <v>1358</v>
      </c>
      <c r="J12129" t="s">
        <v>1358</v>
      </c>
      <c r="K12129" t="s">
        <v>1358</v>
      </c>
      <c r="L12129" t="s">
        <v>1358</v>
      </c>
    </row>
    <row r="12130" spans="1:13">
      <c r="H12130" t="s">
        <v>23214</v>
      </c>
      <c r="I12130" t="s">
        <v>1357</v>
      </c>
      <c r="J12130" t="s">
        <v>1357</v>
      </c>
      <c r="K12130" t="s">
        <v>1357</v>
      </c>
      <c r="L12130" t="s">
        <v>1357</v>
      </c>
    </row>
    <row r="12131" spans="1:13">
      <c r="A12131" t="s">
        <v>10809</v>
      </c>
      <c r="B12131">
        <f>HYPERLINK("https://android.googlesource.com/platform/cts/+/02511db57c32a567644b3de0ccc33492e4441de1", "02511db57c32a567644b3de0ccc33492e4441de1")</f>
        <v>0</v>
      </c>
      <c r="C12131">
        <f>HYPERLINK("https://android.googlesource.com/platform/cts/+/11a8e678c564145010e7004cd80daf9a647ff8a9", "11a8e678c564145010e7004cd80daf9a647ff8a9")</f>
        <v>0</v>
      </c>
      <c r="D12131" t="s">
        <v>12223</v>
      </c>
      <c r="E12131" t="s">
        <v>13347</v>
      </c>
      <c r="F12131" t="s">
        <v>16484</v>
      </c>
      <c r="G12131" t="s">
        <v>19144</v>
      </c>
      <c r="H12131" t="s">
        <v>23215</v>
      </c>
      <c r="I12131" t="s">
        <v>1357</v>
      </c>
      <c r="J12131" t="s">
        <v>1357</v>
      </c>
      <c r="K12131" t="s">
        <v>1357</v>
      </c>
      <c r="L12131" t="s">
        <v>1357</v>
      </c>
    </row>
    <row r="12132" spans="1:13">
      <c r="H12132" t="s">
        <v>23216</v>
      </c>
      <c r="I12132" t="s">
        <v>1357</v>
      </c>
      <c r="J12132" t="s">
        <v>1357</v>
      </c>
      <c r="K12132" t="s">
        <v>1357</v>
      </c>
      <c r="L12132" t="s">
        <v>1357</v>
      </c>
    </row>
    <row r="12133" spans="1:13">
      <c r="H12133" t="s">
        <v>23217</v>
      </c>
      <c r="I12133" t="s">
        <v>1357</v>
      </c>
      <c r="J12133" t="s">
        <v>1357</v>
      </c>
      <c r="K12133" t="s">
        <v>1357</v>
      </c>
      <c r="L12133" t="s">
        <v>1357</v>
      </c>
    </row>
    <row r="12134" spans="1:13">
      <c r="H12134" t="s">
        <v>23218</v>
      </c>
      <c r="I12134" t="s">
        <v>1357</v>
      </c>
      <c r="J12134" t="s">
        <v>1357</v>
      </c>
      <c r="K12134" t="s">
        <v>1357</v>
      </c>
      <c r="L12134" t="s">
        <v>1357</v>
      </c>
    </row>
    <row r="12135" spans="1:13">
      <c r="A12135" t="s">
        <v>10810</v>
      </c>
      <c r="B12135">
        <f>HYPERLINK("https://android.googlesource.com/platform/cts/+/0aaeb75c6628eb12d4800a5691b531f1d38ae214", "0aaeb75c6628eb12d4800a5691b531f1d38ae214")</f>
        <v>0</v>
      </c>
      <c r="C12135">
        <f>HYPERLINK("https://android.googlesource.com/platform/cts/+/6ac5c9fc162bea7eae363b8834418b291288aafd", "6ac5c9fc162bea7eae363b8834418b291288aafd")</f>
        <v>0</v>
      </c>
      <c r="D12135" t="s">
        <v>12102</v>
      </c>
      <c r="E12135" t="s">
        <v>13348</v>
      </c>
      <c r="F12135" t="s">
        <v>16485</v>
      </c>
      <c r="G12135" t="s">
        <v>19145</v>
      </c>
      <c r="H12135" t="s">
        <v>23219</v>
      </c>
      <c r="I12135" t="s">
        <v>1358</v>
      </c>
      <c r="J12135" t="s">
        <v>1358</v>
      </c>
      <c r="K12135" t="s">
        <v>1358</v>
      </c>
      <c r="L12135" t="s">
        <v>1358</v>
      </c>
    </row>
    <row r="12136" spans="1:13">
      <c r="A12136" t="s">
        <v>10811</v>
      </c>
      <c r="B12136">
        <f>HYPERLINK("https://android.googlesource.com/platform/cts/+/92e5073e104cd4b8c085e0e8489da81b9245cf30", "92e5073e104cd4b8c085e0e8489da81b9245cf30")</f>
        <v>0</v>
      </c>
      <c r="C12136">
        <f>HYPERLINK("https://android.googlesource.com/platform/cts/+/bd1b7b952c29405fd0c927e832814b975f147f42", "bd1b7b952c29405fd0c927e832814b975f147f42")</f>
        <v>0</v>
      </c>
      <c r="D12136" t="s">
        <v>12224</v>
      </c>
      <c r="E12136" t="s">
        <v>13349</v>
      </c>
      <c r="F12136" t="s">
        <v>16294</v>
      </c>
      <c r="G12136" t="s">
        <v>18965</v>
      </c>
      <c r="H12136" t="s">
        <v>23220</v>
      </c>
      <c r="I12136" t="s">
        <v>1358</v>
      </c>
      <c r="J12136" t="s">
        <v>1358</v>
      </c>
      <c r="K12136" t="s">
        <v>1358</v>
      </c>
      <c r="L12136" t="s">
        <v>1358</v>
      </c>
    </row>
    <row r="12137" spans="1:13">
      <c r="H12137" t="s">
        <v>23221</v>
      </c>
      <c r="I12137" t="s">
        <v>1358</v>
      </c>
      <c r="J12137" t="s">
        <v>1358</v>
      </c>
      <c r="K12137" t="s">
        <v>1358</v>
      </c>
      <c r="L12137" t="s">
        <v>1358</v>
      </c>
    </row>
    <row r="12138" spans="1:13">
      <c r="A12138" t="s">
        <v>10812</v>
      </c>
      <c r="B12138">
        <f>HYPERLINK("https://android.googlesource.com/platform/cts/+/77acca434bdbafea5e8c6197b5f74738a7af8047", "77acca434bdbafea5e8c6197b5f74738a7af8047")</f>
        <v>0</v>
      </c>
      <c r="C12138">
        <f>HYPERLINK("https://android.googlesource.com/platform/cts/+/076583a6c4e39db3bd6612d70d7e439c74876ddf", "076583a6c4e39db3bd6612d70d7e439c74876ddf")</f>
        <v>0</v>
      </c>
      <c r="D12138" t="s">
        <v>12225</v>
      </c>
      <c r="E12138" t="s">
        <v>13350</v>
      </c>
      <c r="F12138" t="s">
        <v>16291</v>
      </c>
      <c r="G12138" t="s">
        <v>18962</v>
      </c>
      <c r="H12138" t="s">
        <v>23222</v>
      </c>
      <c r="I12138" t="s">
        <v>1357</v>
      </c>
      <c r="J12138" t="s">
        <v>1357</v>
      </c>
      <c r="K12138" t="s">
        <v>1357</v>
      </c>
      <c r="L12138" t="s">
        <v>1357</v>
      </c>
    </row>
    <row r="12139" spans="1:13">
      <c r="A12139" t="s">
        <v>10813</v>
      </c>
      <c r="B12139">
        <f>HYPERLINK("https://android.googlesource.com/platform/cts/+/112d2e758eecc40682acb91736660d5f1272b3b4", "112d2e758eecc40682acb91736660d5f1272b3b4")</f>
        <v>0</v>
      </c>
      <c r="C12139">
        <f>HYPERLINK("https://android.googlesource.com/platform/cts/+/4870e49977adecccff410088539ee859b75848db", "4870e49977adecccff410088539ee859b75848db")</f>
        <v>0</v>
      </c>
      <c r="D12139" t="s">
        <v>12225</v>
      </c>
      <c r="E12139" t="s">
        <v>13351</v>
      </c>
      <c r="F12139" t="s">
        <v>16291</v>
      </c>
      <c r="G12139" t="s">
        <v>18962</v>
      </c>
      <c r="H12139" t="s">
        <v>23222</v>
      </c>
      <c r="I12139" t="s">
        <v>1357</v>
      </c>
      <c r="J12139" t="s">
        <v>1357</v>
      </c>
      <c r="K12139" t="s">
        <v>1357</v>
      </c>
      <c r="L12139" t="s">
        <v>1357</v>
      </c>
    </row>
    <row r="12140" spans="1:13">
      <c r="A12140" t="s">
        <v>10814</v>
      </c>
      <c r="B12140">
        <f>HYPERLINK("https://android.googlesource.com/platform/cts/+/0d65517f0143a75a4dd29a2c82c0a20743edf050", "0d65517f0143a75a4dd29a2c82c0a20743edf050")</f>
        <v>0</v>
      </c>
      <c r="C12140">
        <f>HYPERLINK("https://android.googlesource.com/platform/cts/+/6cd66a486320ce682125dfebc229e0aecf20226e", "6cd66a486320ce682125dfebc229e0aecf20226e")</f>
        <v>0</v>
      </c>
      <c r="D12140" t="s">
        <v>12122</v>
      </c>
      <c r="E12140" t="s">
        <v>13352</v>
      </c>
      <c r="F12140" t="s">
        <v>16486</v>
      </c>
      <c r="G12140" t="s">
        <v>19001</v>
      </c>
      <c r="H12140" t="s">
        <v>22720</v>
      </c>
      <c r="I12140" t="s">
        <v>1359</v>
      </c>
      <c r="J12140" t="s">
        <v>1358</v>
      </c>
      <c r="K12140" t="s">
        <v>1357</v>
      </c>
      <c r="L12140" t="s">
        <v>1358</v>
      </c>
    </row>
    <row r="12141" spans="1:13">
      <c r="A12141" t="s">
        <v>10815</v>
      </c>
      <c r="B12141">
        <f>HYPERLINK("https://android.googlesource.com/platform/cts/+/82d73119016e321a8f90347bded84e25c87a0675", "82d73119016e321a8f90347bded84e25c87a0675")</f>
        <v>0</v>
      </c>
      <c r="C12141">
        <f>HYPERLINK("https://android.googlesource.com/platform/cts/+/9b73ba5302fd9740787284949b1b1197f1c16a49", "9b73ba5302fd9740787284949b1b1197f1c16a49")</f>
        <v>0</v>
      </c>
      <c r="D12141" t="s">
        <v>12108</v>
      </c>
      <c r="E12141" t="s">
        <v>13353</v>
      </c>
      <c r="F12141" t="s">
        <v>16468</v>
      </c>
      <c r="G12141" t="s">
        <v>19130</v>
      </c>
      <c r="H12141" t="s">
        <v>23195</v>
      </c>
      <c r="I12141" t="s">
        <v>1357</v>
      </c>
      <c r="J12141" t="s">
        <v>1357</v>
      </c>
      <c r="K12141" t="s">
        <v>1357</v>
      </c>
      <c r="L12141" t="s">
        <v>1357</v>
      </c>
      <c r="M12141" t="s">
        <v>27476</v>
      </c>
    </row>
    <row r="12142" spans="1:13">
      <c r="H12142" t="s">
        <v>23197</v>
      </c>
      <c r="I12142" t="s">
        <v>1358</v>
      </c>
      <c r="J12142" t="s">
        <v>1358</v>
      </c>
      <c r="K12142" t="s">
        <v>1358</v>
      </c>
      <c r="L12142" t="s">
        <v>1358</v>
      </c>
    </row>
    <row r="12143" spans="1:13">
      <c r="H12143" t="s">
        <v>8338</v>
      </c>
      <c r="I12143" t="s">
        <v>1358</v>
      </c>
      <c r="J12143" t="s">
        <v>1358</v>
      </c>
      <c r="K12143" t="s">
        <v>1358</v>
      </c>
      <c r="L12143" t="s">
        <v>1358</v>
      </c>
    </row>
    <row r="12144" spans="1:13">
      <c r="H12144" t="s">
        <v>23199</v>
      </c>
      <c r="I12144" t="s">
        <v>1357</v>
      </c>
      <c r="J12144" t="s">
        <v>1357</v>
      </c>
      <c r="K12144" t="s">
        <v>1357</v>
      </c>
      <c r="L12144" t="s">
        <v>1357</v>
      </c>
    </row>
    <row r="12145" spans="1:13">
      <c r="H12145" t="s">
        <v>23200</v>
      </c>
      <c r="I12145" t="s">
        <v>1359</v>
      </c>
      <c r="J12145" t="s">
        <v>1358</v>
      </c>
      <c r="K12145" t="s">
        <v>1357</v>
      </c>
      <c r="L12145" t="s">
        <v>1358</v>
      </c>
    </row>
    <row r="12146" spans="1:13">
      <c r="H12146" t="s">
        <v>5281</v>
      </c>
      <c r="I12146" t="s">
        <v>1357</v>
      </c>
      <c r="J12146" t="s">
        <v>1357</v>
      </c>
      <c r="K12146" t="s">
        <v>1357</v>
      </c>
      <c r="L12146" t="s">
        <v>1357</v>
      </c>
    </row>
    <row r="12147" spans="1:13">
      <c r="H12147" t="s">
        <v>23201</v>
      </c>
      <c r="I12147" t="s">
        <v>1359</v>
      </c>
      <c r="J12147" t="s">
        <v>1358</v>
      </c>
      <c r="K12147" t="s">
        <v>1357</v>
      </c>
      <c r="L12147" t="s">
        <v>1358</v>
      </c>
      <c r="M12147" t="s">
        <v>27487</v>
      </c>
    </row>
    <row r="12148" spans="1:13">
      <c r="H12148" t="s">
        <v>23202</v>
      </c>
      <c r="I12148" t="s">
        <v>1359</v>
      </c>
      <c r="J12148" t="s">
        <v>1358</v>
      </c>
      <c r="K12148" t="s">
        <v>1357</v>
      </c>
      <c r="L12148" t="s">
        <v>1358</v>
      </c>
    </row>
    <row r="12149" spans="1:13">
      <c r="H12149" t="s">
        <v>23203</v>
      </c>
      <c r="I12149" t="s">
        <v>1358</v>
      </c>
      <c r="J12149" t="s">
        <v>1358</v>
      </c>
      <c r="K12149" t="s">
        <v>1358</v>
      </c>
      <c r="L12149" t="s">
        <v>1358</v>
      </c>
    </row>
    <row r="12150" spans="1:13">
      <c r="A12150" t="s">
        <v>10816</v>
      </c>
      <c r="B12150">
        <f>HYPERLINK("https://android.googlesource.com/platform/cts/+/a108580e3e6b81564c3602bfb4e32ab159d1237f", "a108580e3e6b81564c3602bfb4e32ab159d1237f")</f>
        <v>0</v>
      </c>
      <c r="C12150">
        <f>HYPERLINK("https://android.googlesource.com/platform/cts/+/9ab00857a5f5f65c8e6be3ed9b7fa32bedd81053", "9ab00857a5f5f65c8e6be3ed9b7fa32bedd81053")</f>
        <v>0</v>
      </c>
      <c r="D12150" t="s">
        <v>12226</v>
      </c>
      <c r="E12150" t="s">
        <v>13354</v>
      </c>
      <c r="F12150" t="s">
        <v>16478</v>
      </c>
      <c r="G12150" t="s">
        <v>19139</v>
      </c>
      <c r="H12150" t="s">
        <v>23190</v>
      </c>
      <c r="I12150" t="s">
        <v>1358</v>
      </c>
      <c r="J12150" t="s">
        <v>1358</v>
      </c>
      <c r="K12150" t="s">
        <v>1358</v>
      </c>
      <c r="L12150" t="s">
        <v>1358</v>
      </c>
    </row>
    <row r="12151" spans="1:13">
      <c r="A12151" t="s">
        <v>10817</v>
      </c>
      <c r="B12151">
        <f>HYPERLINK("https://android.googlesource.com/platform/cts/+/7374294785d6186fb63cad13b44d7ce203cdb810", "7374294785d6186fb63cad13b44d7ce203cdb810")</f>
        <v>0</v>
      </c>
      <c r="C12151">
        <f>HYPERLINK("https://android.googlesource.com/platform/cts/+/dd4aaaf3e39d73f1d1b532132e246de4e756ab48", "dd4aaaf3e39d73f1d1b532132e246de4e756ab48")</f>
        <v>0</v>
      </c>
      <c r="D12151" t="s">
        <v>12227</v>
      </c>
      <c r="E12151" t="s">
        <v>13355</v>
      </c>
      <c r="F12151" t="s">
        <v>16487</v>
      </c>
      <c r="G12151" t="s">
        <v>19146</v>
      </c>
      <c r="H12151" t="s">
        <v>23223</v>
      </c>
      <c r="I12151" t="s">
        <v>1357</v>
      </c>
      <c r="J12151" t="s">
        <v>1357</v>
      </c>
      <c r="K12151" t="s">
        <v>1357</v>
      </c>
      <c r="L12151" t="s">
        <v>1357</v>
      </c>
    </row>
    <row r="12152" spans="1:13">
      <c r="H12152" t="s">
        <v>23224</v>
      </c>
      <c r="I12152" t="s">
        <v>1357</v>
      </c>
      <c r="J12152" t="s">
        <v>1357</v>
      </c>
      <c r="K12152" t="s">
        <v>1357</v>
      </c>
      <c r="L12152" t="s">
        <v>1357</v>
      </c>
    </row>
    <row r="12153" spans="1:13">
      <c r="H12153" t="s">
        <v>23225</v>
      </c>
      <c r="I12153" t="s">
        <v>1357</v>
      </c>
      <c r="J12153" t="s">
        <v>1357</v>
      </c>
      <c r="K12153" t="s">
        <v>1357</v>
      </c>
      <c r="L12153" t="s">
        <v>1357</v>
      </c>
    </row>
    <row r="12154" spans="1:13">
      <c r="A12154" t="s">
        <v>10818</v>
      </c>
      <c r="B12154">
        <f>HYPERLINK("https://android.googlesource.com/platform/cts/+/dc938f33da9427dfdfd76dbdcd3459486007191d", "dc938f33da9427dfdfd76dbdcd3459486007191d")</f>
        <v>0</v>
      </c>
      <c r="C12154">
        <f>HYPERLINK("https://android.googlesource.com/platform/cts/+/56f2cbfaf29f8ca2f9a8b93ca493485bd3385151", "56f2cbfaf29f8ca2f9a8b93ca493485bd3385151")</f>
        <v>0</v>
      </c>
      <c r="D12154" t="s">
        <v>12227</v>
      </c>
      <c r="E12154" t="s">
        <v>13356</v>
      </c>
      <c r="F12154" t="s">
        <v>14721</v>
      </c>
      <c r="G12154" t="s">
        <v>17565</v>
      </c>
      <c r="H12154" t="s">
        <v>23226</v>
      </c>
      <c r="I12154" t="s">
        <v>1357</v>
      </c>
      <c r="J12154" t="s">
        <v>1357</v>
      </c>
      <c r="K12154" t="s">
        <v>1357</v>
      </c>
      <c r="L12154" t="s">
        <v>1357</v>
      </c>
    </row>
    <row r="12155" spans="1:13">
      <c r="A12155" t="s">
        <v>10819</v>
      </c>
      <c r="B12155">
        <f>HYPERLINK("https://android.googlesource.com/platform/cts/+/5b31af70b29f61919af889557ee15849c6695de3", "5b31af70b29f61919af889557ee15849c6695de3")</f>
        <v>0</v>
      </c>
      <c r="C12155">
        <f>HYPERLINK("https://android.googlesource.com/platform/cts/+/d6a6157f73cccd815307efbaa946711f90872885", "d6a6157f73cccd815307efbaa946711f90872885")</f>
        <v>0</v>
      </c>
      <c r="D12155" t="s">
        <v>12228</v>
      </c>
      <c r="E12155" t="s">
        <v>13357</v>
      </c>
      <c r="F12155" t="s">
        <v>16488</v>
      </c>
      <c r="G12155" t="s">
        <v>19147</v>
      </c>
      <c r="H12155" t="s">
        <v>23227</v>
      </c>
      <c r="I12155" t="s">
        <v>1357</v>
      </c>
      <c r="J12155" t="s">
        <v>1357</v>
      </c>
      <c r="K12155" t="s">
        <v>1357</v>
      </c>
      <c r="L12155" t="s">
        <v>1357</v>
      </c>
    </row>
    <row r="12156" spans="1:13">
      <c r="A12156" t="s">
        <v>10820</v>
      </c>
      <c r="B12156">
        <f>HYPERLINK("https://android.googlesource.com/platform/cts/+/1ea7cb7111e32c44e52752e8846e8d0212233def", "1ea7cb7111e32c44e52752e8846e8d0212233def")</f>
        <v>0</v>
      </c>
      <c r="C12156">
        <f>HYPERLINK("https://android.googlesource.com/platform/cts/+/8a1539ec7620fe24ec792105c0a062593374066b", "8a1539ec7620fe24ec792105c0a062593374066b")</f>
        <v>0</v>
      </c>
      <c r="D12156" t="s">
        <v>12219</v>
      </c>
      <c r="E12156" t="s">
        <v>13358</v>
      </c>
      <c r="F12156" t="s">
        <v>14475</v>
      </c>
      <c r="G12156" t="s">
        <v>17322</v>
      </c>
      <c r="H12156" t="s">
        <v>23228</v>
      </c>
      <c r="I12156" t="s">
        <v>1357</v>
      </c>
      <c r="J12156" t="s">
        <v>1357</v>
      </c>
      <c r="K12156" t="s">
        <v>1357</v>
      </c>
      <c r="L12156" t="s">
        <v>1357</v>
      </c>
    </row>
    <row r="12157" spans="1:13">
      <c r="A12157" t="s">
        <v>10821</v>
      </c>
      <c r="B12157">
        <f>HYPERLINK("https://android.googlesource.com/platform/cts/+/756e78f3db6dba07e830cdf67953460cad225e4e", "756e78f3db6dba07e830cdf67953460cad225e4e")</f>
        <v>0</v>
      </c>
      <c r="C12157">
        <f>HYPERLINK("https://android.googlesource.com/platform/cts/+/cbf8be0b50d70f4ff51bbfc8f1342a10deb5c86e", "cbf8be0b50d70f4ff51bbfc8f1342a10deb5c86e")</f>
        <v>0</v>
      </c>
      <c r="D12157" t="s">
        <v>12102</v>
      </c>
      <c r="E12157" t="s">
        <v>13359</v>
      </c>
      <c r="F12157" t="s">
        <v>16337</v>
      </c>
      <c r="G12157" t="s">
        <v>19006</v>
      </c>
      <c r="H12157" t="s">
        <v>23229</v>
      </c>
      <c r="I12157" t="s">
        <v>1357</v>
      </c>
      <c r="J12157" t="s">
        <v>1357</v>
      </c>
      <c r="K12157" t="s">
        <v>1357</v>
      </c>
      <c r="L12157" t="s">
        <v>1357</v>
      </c>
    </row>
    <row r="12158" spans="1:13">
      <c r="F12158" t="s">
        <v>16426</v>
      </c>
      <c r="G12158" t="s">
        <v>19090</v>
      </c>
      <c r="H12158" t="s">
        <v>23230</v>
      </c>
      <c r="I12158" t="s">
        <v>1357</v>
      </c>
      <c r="J12158" t="s">
        <v>1357</v>
      </c>
      <c r="K12158" t="s">
        <v>1357</v>
      </c>
      <c r="L12158" t="s">
        <v>1357</v>
      </c>
    </row>
    <row r="12159" spans="1:13">
      <c r="A12159" t="s">
        <v>10822</v>
      </c>
      <c r="B12159">
        <f>HYPERLINK("https://android.googlesource.com/platform/cts/+/f8ee864e2f403f55a39262ea9b5bc2d41815c9a5", "f8ee864e2f403f55a39262ea9b5bc2d41815c9a5")</f>
        <v>0</v>
      </c>
      <c r="C12159">
        <f>HYPERLINK("https://android.googlesource.com/platform/cts/+/4241d4a3ca12764c063cd0c712a4f79e6b34853c", "4241d4a3ca12764c063cd0c712a4f79e6b34853c")</f>
        <v>0</v>
      </c>
      <c r="D12159" t="s">
        <v>12137</v>
      </c>
      <c r="E12159" t="s">
        <v>13360</v>
      </c>
      <c r="F12159" t="s">
        <v>16489</v>
      </c>
      <c r="G12159" t="s">
        <v>19148</v>
      </c>
      <c r="H12159" t="s">
        <v>23231</v>
      </c>
      <c r="I12159" t="s">
        <v>1357</v>
      </c>
      <c r="J12159" t="s">
        <v>1357</v>
      </c>
      <c r="K12159" t="s">
        <v>1357</v>
      </c>
      <c r="L12159" t="s">
        <v>1357</v>
      </c>
    </row>
    <row r="12160" spans="1:13">
      <c r="H12160" t="s">
        <v>23232</v>
      </c>
      <c r="I12160" t="s">
        <v>1357</v>
      </c>
      <c r="J12160" t="s">
        <v>1357</v>
      </c>
      <c r="K12160" t="s">
        <v>1357</v>
      </c>
      <c r="L12160" t="s">
        <v>1357</v>
      </c>
    </row>
    <row r="12161" spans="6:12">
      <c r="H12161" t="s">
        <v>23233</v>
      </c>
      <c r="I12161" t="s">
        <v>1357</v>
      </c>
      <c r="J12161" t="s">
        <v>1357</v>
      </c>
      <c r="K12161" t="s">
        <v>1357</v>
      </c>
      <c r="L12161" t="s">
        <v>1357</v>
      </c>
    </row>
    <row r="12162" spans="6:12">
      <c r="H12162" t="s">
        <v>23234</v>
      </c>
      <c r="I12162" t="s">
        <v>1357</v>
      </c>
      <c r="J12162" t="s">
        <v>1357</v>
      </c>
      <c r="K12162" t="s">
        <v>1357</v>
      </c>
      <c r="L12162" t="s">
        <v>1357</v>
      </c>
    </row>
    <row r="12163" spans="6:12">
      <c r="H12163" t="s">
        <v>23235</v>
      </c>
      <c r="I12163" t="s">
        <v>1357</v>
      </c>
      <c r="J12163" t="s">
        <v>1357</v>
      </c>
      <c r="K12163" t="s">
        <v>1357</v>
      </c>
      <c r="L12163" t="s">
        <v>1357</v>
      </c>
    </row>
    <row r="12164" spans="6:12">
      <c r="H12164" t="s">
        <v>23236</v>
      </c>
      <c r="I12164" t="s">
        <v>1357</v>
      </c>
      <c r="J12164" t="s">
        <v>1357</v>
      </c>
      <c r="K12164" t="s">
        <v>1357</v>
      </c>
      <c r="L12164" t="s">
        <v>1357</v>
      </c>
    </row>
    <row r="12165" spans="6:12">
      <c r="H12165" t="s">
        <v>4116</v>
      </c>
      <c r="I12165" t="s">
        <v>1357</v>
      </c>
      <c r="J12165" t="s">
        <v>1357</v>
      </c>
      <c r="K12165" t="s">
        <v>1357</v>
      </c>
      <c r="L12165" t="s">
        <v>1357</v>
      </c>
    </row>
    <row r="12166" spans="6:12">
      <c r="H12166" t="s">
        <v>23237</v>
      </c>
      <c r="I12166" t="s">
        <v>1357</v>
      </c>
      <c r="J12166" t="s">
        <v>1357</v>
      </c>
      <c r="K12166" t="s">
        <v>1357</v>
      </c>
      <c r="L12166" t="s">
        <v>1357</v>
      </c>
    </row>
    <row r="12167" spans="6:12">
      <c r="H12167" t="s">
        <v>23238</v>
      </c>
      <c r="I12167" t="s">
        <v>1357</v>
      </c>
      <c r="J12167" t="s">
        <v>1357</v>
      </c>
      <c r="K12167" t="s">
        <v>1357</v>
      </c>
      <c r="L12167" t="s">
        <v>1357</v>
      </c>
    </row>
    <row r="12168" spans="6:12">
      <c r="H12168" t="s">
        <v>23239</v>
      </c>
      <c r="I12168" t="s">
        <v>1357</v>
      </c>
      <c r="J12168" t="s">
        <v>1357</v>
      </c>
      <c r="K12168" t="s">
        <v>1357</v>
      </c>
      <c r="L12168" t="s">
        <v>1357</v>
      </c>
    </row>
    <row r="12169" spans="6:12">
      <c r="H12169" t="s">
        <v>23240</v>
      </c>
      <c r="I12169" t="s">
        <v>1357</v>
      </c>
      <c r="J12169" t="s">
        <v>1357</v>
      </c>
      <c r="K12169" t="s">
        <v>1357</v>
      </c>
      <c r="L12169" t="s">
        <v>1357</v>
      </c>
    </row>
    <row r="12170" spans="6:12">
      <c r="H12170" t="s">
        <v>23241</v>
      </c>
      <c r="I12170" t="s">
        <v>1357</v>
      </c>
      <c r="J12170" t="s">
        <v>1357</v>
      </c>
      <c r="K12170" t="s">
        <v>1357</v>
      </c>
      <c r="L12170" t="s">
        <v>1357</v>
      </c>
    </row>
    <row r="12171" spans="6:12">
      <c r="F12171" t="s">
        <v>16490</v>
      </c>
      <c r="G12171" t="s">
        <v>19149</v>
      </c>
      <c r="H12171" t="s">
        <v>23242</v>
      </c>
      <c r="I12171" t="s">
        <v>1357</v>
      </c>
      <c r="J12171" t="s">
        <v>1357</v>
      </c>
      <c r="K12171" t="s">
        <v>1357</v>
      </c>
      <c r="L12171" t="s">
        <v>1357</v>
      </c>
    </row>
    <row r="12172" spans="6:12">
      <c r="H12172" t="s">
        <v>23243</v>
      </c>
      <c r="I12172" t="s">
        <v>1357</v>
      </c>
      <c r="J12172" t="s">
        <v>1357</v>
      </c>
      <c r="K12172" t="s">
        <v>1357</v>
      </c>
      <c r="L12172" t="s">
        <v>1357</v>
      </c>
    </row>
    <row r="12173" spans="6:12">
      <c r="H12173" t="s">
        <v>23244</v>
      </c>
      <c r="I12173" t="s">
        <v>1357</v>
      </c>
      <c r="J12173" t="s">
        <v>1357</v>
      </c>
      <c r="K12173" t="s">
        <v>1357</v>
      </c>
      <c r="L12173" t="s">
        <v>1357</v>
      </c>
    </row>
    <row r="12174" spans="6:12">
      <c r="H12174" t="s">
        <v>23245</v>
      </c>
      <c r="I12174" t="s">
        <v>1357</v>
      </c>
      <c r="J12174" t="s">
        <v>1357</v>
      </c>
      <c r="K12174" t="s">
        <v>1357</v>
      </c>
      <c r="L12174" t="s">
        <v>1357</v>
      </c>
    </row>
    <row r="12175" spans="6:12">
      <c r="H12175" t="s">
        <v>23246</v>
      </c>
      <c r="I12175" t="s">
        <v>1357</v>
      </c>
      <c r="J12175" t="s">
        <v>1357</v>
      </c>
      <c r="K12175" t="s">
        <v>1357</v>
      </c>
      <c r="L12175" t="s">
        <v>1357</v>
      </c>
    </row>
    <row r="12176" spans="6:12">
      <c r="H12176" t="s">
        <v>23247</v>
      </c>
      <c r="I12176" t="s">
        <v>1357</v>
      </c>
      <c r="J12176" t="s">
        <v>1357</v>
      </c>
      <c r="K12176" t="s">
        <v>1357</v>
      </c>
      <c r="L12176" t="s">
        <v>1357</v>
      </c>
    </row>
    <row r="12177" spans="8:12">
      <c r="H12177" t="s">
        <v>23248</v>
      </c>
      <c r="I12177" t="s">
        <v>1357</v>
      </c>
      <c r="J12177" t="s">
        <v>1357</v>
      </c>
      <c r="K12177" t="s">
        <v>1357</v>
      </c>
      <c r="L12177" t="s">
        <v>1357</v>
      </c>
    </row>
    <row r="12178" spans="8:12">
      <c r="H12178" t="s">
        <v>23249</v>
      </c>
      <c r="I12178" t="s">
        <v>1357</v>
      </c>
      <c r="J12178" t="s">
        <v>1357</v>
      </c>
      <c r="K12178" t="s">
        <v>1357</v>
      </c>
      <c r="L12178" t="s">
        <v>1357</v>
      </c>
    </row>
    <row r="12179" spans="8:12">
      <c r="H12179" t="s">
        <v>23250</v>
      </c>
      <c r="I12179" t="s">
        <v>1357</v>
      </c>
      <c r="J12179" t="s">
        <v>1357</v>
      </c>
      <c r="K12179" t="s">
        <v>1357</v>
      </c>
      <c r="L12179" t="s">
        <v>1357</v>
      </c>
    </row>
    <row r="12180" spans="8:12">
      <c r="H12180" t="s">
        <v>23251</v>
      </c>
      <c r="I12180" t="s">
        <v>1357</v>
      </c>
      <c r="J12180" t="s">
        <v>1357</v>
      </c>
      <c r="K12180" t="s">
        <v>1357</v>
      </c>
      <c r="L12180" t="s">
        <v>1357</v>
      </c>
    </row>
    <row r="12181" spans="8:12">
      <c r="H12181" t="s">
        <v>23252</v>
      </c>
      <c r="I12181" t="s">
        <v>1357</v>
      </c>
      <c r="J12181" t="s">
        <v>1357</v>
      </c>
      <c r="K12181" t="s">
        <v>1357</v>
      </c>
      <c r="L12181" t="s">
        <v>1357</v>
      </c>
    </row>
    <row r="12182" spans="8:12">
      <c r="H12182" t="s">
        <v>23253</v>
      </c>
      <c r="I12182" t="s">
        <v>1357</v>
      </c>
      <c r="J12182" t="s">
        <v>1357</v>
      </c>
      <c r="K12182" t="s">
        <v>1357</v>
      </c>
      <c r="L12182" t="s">
        <v>1357</v>
      </c>
    </row>
    <row r="12183" spans="8:12">
      <c r="H12183" t="s">
        <v>23254</v>
      </c>
      <c r="I12183" t="s">
        <v>1357</v>
      </c>
      <c r="J12183" t="s">
        <v>1357</v>
      </c>
      <c r="K12183" t="s">
        <v>1357</v>
      </c>
      <c r="L12183" t="s">
        <v>1357</v>
      </c>
    </row>
    <row r="12184" spans="8:12">
      <c r="H12184" t="s">
        <v>23255</v>
      </c>
      <c r="I12184" t="s">
        <v>1357</v>
      </c>
      <c r="J12184" t="s">
        <v>1357</v>
      </c>
      <c r="K12184" t="s">
        <v>1357</v>
      </c>
      <c r="L12184" t="s">
        <v>1357</v>
      </c>
    </row>
    <row r="12185" spans="8:12">
      <c r="H12185" t="s">
        <v>23256</v>
      </c>
      <c r="I12185" t="s">
        <v>1357</v>
      </c>
      <c r="J12185" t="s">
        <v>1357</v>
      </c>
      <c r="K12185" t="s">
        <v>1357</v>
      </c>
      <c r="L12185" t="s">
        <v>1357</v>
      </c>
    </row>
    <row r="12186" spans="8:12">
      <c r="H12186" t="s">
        <v>23257</v>
      </c>
      <c r="I12186" t="s">
        <v>1357</v>
      </c>
      <c r="J12186" t="s">
        <v>1357</v>
      </c>
      <c r="K12186" t="s">
        <v>1357</v>
      </c>
      <c r="L12186" t="s">
        <v>1357</v>
      </c>
    </row>
    <row r="12187" spans="8:12">
      <c r="H12187" t="s">
        <v>23258</v>
      </c>
      <c r="I12187" t="s">
        <v>1357</v>
      </c>
      <c r="J12187" t="s">
        <v>1357</v>
      </c>
      <c r="K12187" t="s">
        <v>1357</v>
      </c>
      <c r="L12187" t="s">
        <v>1357</v>
      </c>
    </row>
    <row r="12188" spans="8:12">
      <c r="H12188" t="s">
        <v>23259</v>
      </c>
      <c r="I12188" t="s">
        <v>1357</v>
      </c>
      <c r="J12188" t="s">
        <v>1357</v>
      </c>
      <c r="K12188" t="s">
        <v>1357</v>
      </c>
      <c r="L12188" t="s">
        <v>1357</v>
      </c>
    </row>
    <row r="12189" spans="8:12">
      <c r="H12189" t="s">
        <v>23260</v>
      </c>
      <c r="I12189" t="s">
        <v>1357</v>
      </c>
      <c r="J12189" t="s">
        <v>1357</v>
      </c>
      <c r="K12189" t="s">
        <v>1357</v>
      </c>
      <c r="L12189" t="s">
        <v>1357</v>
      </c>
    </row>
    <row r="12190" spans="8:12">
      <c r="H12190" t="s">
        <v>23261</v>
      </c>
      <c r="I12190" t="s">
        <v>1357</v>
      </c>
      <c r="J12190" t="s">
        <v>1357</v>
      </c>
      <c r="K12190" t="s">
        <v>1357</v>
      </c>
      <c r="L12190" t="s">
        <v>1357</v>
      </c>
    </row>
    <row r="12191" spans="8:12">
      <c r="H12191" t="s">
        <v>23262</v>
      </c>
      <c r="I12191" t="s">
        <v>1357</v>
      </c>
      <c r="J12191" t="s">
        <v>1357</v>
      </c>
      <c r="K12191" t="s">
        <v>1357</v>
      </c>
      <c r="L12191" t="s">
        <v>1357</v>
      </c>
    </row>
    <row r="12192" spans="8:12">
      <c r="H12192" t="s">
        <v>23263</v>
      </c>
      <c r="I12192" t="s">
        <v>1357</v>
      </c>
      <c r="J12192" t="s">
        <v>1357</v>
      </c>
      <c r="K12192" t="s">
        <v>1357</v>
      </c>
      <c r="L12192" t="s">
        <v>1357</v>
      </c>
    </row>
    <row r="12193" spans="8:13">
      <c r="H12193" t="s">
        <v>23264</v>
      </c>
      <c r="I12193" t="s">
        <v>1357</v>
      </c>
      <c r="J12193" t="s">
        <v>1357</v>
      </c>
      <c r="K12193" t="s">
        <v>1357</v>
      </c>
      <c r="L12193" t="s">
        <v>1357</v>
      </c>
    </row>
    <row r="12194" spans="8:13">
      <c r="H12194" t="s">
        <v>23265</v>
      </c>
      <c r="I12194" t="s">
        <v>1357</v>
      </c>
      <c r="J12194" t="s">
        <v>1357</v>
      </c>
      <c r="K12194" t="s">
        <v>1357</v>
      </c>
      <c r="L12194" t="s">
        <v>1357</v>
      </c>
    </row>
    <row r="12195" spans="8:13">
      <c r="H12195" t="s">
        <v>23266</v>
      </c>
      <c r="I12195" t="s">
        <v>1357</v>
      </c>
      <c r="J12195" t="s">
        <v>1357</v>
      </c>
      <c r="K12195" t="s">
        <v>1357</v>
      </c>
      <c r="L12195" t="s">
        <v>1357</v>
      </c>
    </row>
    <row r="12196" spans="8:13">
      <c r="H12196" t="s">
        <v>23267</v>
      </c>
      <c r="I12196" t="s">
        <v>1357</v>
      </c>
      <c r="J12196" t="s">
        <v>1357</v>
      </c>
      <c r="K12196" t="s">
        <v>1357</v>
      </c>
      <c r="L12196" t="s">
        <v>1357</v>
      </c>
    </row>
    <row r="12197" spans="8:13">
      <c r="H12197" t="s">
        <v>23268</v>
      </c>
      <c r="I12197" t="s">
        <v>1357</v>
      </c>
      <c r="J12197" t="s">
        <v>1357</v>
      </c>
      <c r="K12197" t="s">
        <v>1357</v>
      </c>
      <c r="L12197" t="s">
        <v>1357</v>
      </c>
    </row>
    <row r="12198" spans="8:13">
      <c r="H12198" t="s">
        <v>23269</v>
      </c>
      <c r="I12198" t="s">
        <v>1357</v>
      </c>
      <c r="J12198" t="s">
        <v>1357</v>
      </c>
      <c r="K12198" t="s">
        <v>1357</v>
      </c>
      <c r="L12198" t="s">
        <v>1357</v>
      </c>
    </row>
    <row r="12199" spans="8:13">
      <c r="H12199" t="s">
        <v>23270</v>
      </c>
      <c r="I12199" t="s">
        <v>1357</v>
      </c>
      <c r="J12199" t="s">
        <v>1357</v>
      </c>
      <c r="K12199" t="s">
        <v>1357</v>
      </c>
      <c r="L12199" t="s">
        <v>1357</v>
      </c>
    </row>
    <row r="12200" spans="8:13">
      <c r="H12200" t="s">
        <v>23271</v>
      </c>
      <c r="I12200" t="s">
        <v>1357</v>
      </c>
      <c r="J12200" t="s">
        <v>1357</v>
      </c>
      <c r="K12200" t="s">
        <v>1357</v>
      </c>
      <c r="L12200" t="s">
        <v>1357</v>
      </c>
    </row>
    <row r="12201" spans="8:13">
      <c r="H12201" t="s">
        <v>23272</v>
      </c>
      <c r="I12201" t="s">
        <v>1357</v>
      </c>
      <c r="J12201" t="s">
        <v>1357</v>
      </c>
      <c r="K12201" t="s">
        <v>1357</v>
      </c>
      <c r="L12201" t="s">
        <v>1357</v>
      </c>
    </row>
    <row r="12202" spans="8:13">
      <c r="H12202" t="s">
        <v>23273</v>
      </c>
      <c r="I12202" t="s">
        <v>1357</v>
      </c>
      <c r="J12202" t="s">
        <v>1357</v>
      </c>
      <c r="K12202" t="s">
        <v>1357</v>
      </c>
      <c r="L12202" t="s">
        <v>1357</v>
      </c>
    </row>
    <row r="12203" spans="8:13">
      <c r="H12203" t="s">
        <v>23274</v>
      </c>
      <c r="I12203" t="s">
        <v>1357</v>
      </c>
      <c r="J12203" t="s">
        <v>1357</v>
      </c>
      <c r="K12203" t="s">
        <v>1357</v>
      </c>
      <c r="L12203" t="s">
        <v>1357</v>
      </c>
    </row>
    <row r="12204" spans="8:13">
      <c r="H12204" t="s">
        <v>23275</v>
      </c>
      <c r="I12204" t="s">
        <v>1358</v>
      </c>
      <c r="J12204" t="s">
        <v>1358</v>
      </c>
      <c r="K12204" t="s">
        <v>1358</v>
      </c>
      <c r="L12204" t="s">
        <v>1358</v>
      </c>
      <c r="M12204" t="s">
        <v>27488</v>
      </c>
    </row>
    <row r="12205" spans="8:13">
      <c r="H12205" t="s">
        <v>23276</v>
      </c>
      <c r="I12205" t="s">
        <v>1357</v>
      </c>
      <c r="J12205" t="s">
        <v>1357</v>
      </c>
      <c r="K12205" t="s">
        <v>1357</v>
      </c>
      <c r="L12205" t="s">
        <v>1357</v>
      </c>
    </row>
    <row r="12206" spans="8:13">
      <c r="H12206" t="s">
        <v>23277</v>
      </c>
      <c r="I12206" t="s">
        <v>1357</v>
      </c>
      <c r="J12206" t="s">
        <v>1357</v>
      </c>
      <c r="K12206" t="s">
        <v>1357</v>
      </c>
      <c r="L12206" t="s">
        <v>1357</v>
      </c>
    </row>
    <row r="12207" spans="8:13">
      <c r="H12207" t="s">
        <v>23278</v>
      </c>
      <c r="I12207" t="s">
        <v>1357</v>
      </c>
      <c r="J12207" t="s">
        <v>1357</v>
      </c>
      <c r="K12207" t="s">
        <v>1357</v>
      </c>
      <c r="L12207" t="s">
        <v>1357</v>
      </c>
    </row>
    <row r="12208" spans="8:13">
      <c r="H12208" t="s">
        <v>23279</v>
      </c>
      <c r="I12208" t="s">
        <v>1357</v>
      </c>
      <c r="J12208" t="s">
        <v>1357</v>
      </c>
      <c r="K12208" t="s">
        <v>1357</v>
      </c>
      <c r="L12208" t="s">
        <v>1357</v>
      </c>
    </row>
    <row r="12209" spans="6:12">
      <c r="H12209" t="s">
        <v>23280</v>
      </c>
      <c r="I12209" t="s">
        <v>1357</v>
      </c>
      <c r="J12209" t="s">
        <v>1357</v>
      </c>
      <c r="K12209" t="s">
        <v>1357</v>
      </c>
      <c r="L12209" t="s">
        <v>1357</v>
      </c>
    </row>
    <row r="12210" spans="6:12">
      <c r="H12210" t="s">
        <v>23281</v>
      </c>
      <c r="I12210" t="s">
        <v>1357</v>
      </c>
      <c r="J12210" t="s">
        <v>1357</v>
      </c>
      <c r="K12210" t="s">
        <v>1357</v>
      </c>
      <c r="L12210" t="s">
        <v>1357</v>
      </c>
    </row>
    <row r="12211" spans="6:12">
      <c r="F12211" t="s">
        <v>16491</v>
      </c>
      <c r="G12211" t="s">
        <v>19150</v>
      </c>
      <c r="H12211" t="s">
        <v>23282</v>
      </c>
      <c r="I12211" t="s">
        <v>1357</v>
      </c>
      <c r="J12211" t="s">
        <v>1357</v>
      </c>
      <c r="K12211" t="s">
        <v>1357</v>
      </c>
      <c r="L12211" t="s">
        <v>1357</v>
      </c>
    </row>
    <row r="12212" spans="6:12">
      <c r="F12212" t="s">
        <v>16492</v>
      </c>
      <c r="G12212" t="s">
        <v>19151</v>
      </c>
      <c r="H12212" t="s">
        <v>23282</v>
      </c>
      <c r="I12212" t="s">
        <v>1357</v>
      </c>
      <c r="J12212" t="s">
        <v>1357</v>
      </c>
      <c r="K12212" t="s">
        <v>1357</v>
      </c>
      <c r="L12212" t="s">
        <v>1357</v>
      </c>
    </row>
    <row r="12213" spans="6:12">
      <c r="H12213" t="s">
        <v>23283</v>
      </c>
      <c r="I12213" t="s">
        <v>1357</v>
      </c>
      <c r="J12213" t="s">
        <v>1357</v>
      </c>
      <c r="K12213" t="s">
        <v>1357</v>
      </c>
      <c r="L12213" t="s">
        <v>1357</v>
      </c>
    </row>
    <row r="12214" spans="6:12">
      <c r="H12214" t="s">
        <v>23284</v>
      </c>
      <c r="I12214" t="s">
        <v>1357</v>
      </c>
      <c r="J12214" t="s">
        <v>1357</v>
      </c>
      <c r="K12214" t="s">
        <v>1357</v>
      </c>
      <c r="L12214" t="s">
        <v>1357</v>
      </c>
    </row>
    <row r="12215" spans="6:12">
      <c r="H12215" t="s">
        <v>23242</v>
      </c>
      <c r="I12215" t="s">
        <v>1357</v>
      </c>
      <c r="J12215" t="s">
        <v>1357</v>
      </c>
      <c r="K12215" t="s">
        <v>1357</v>
      </c>
      <c r="L12215" t="s">
        <v>1357</v>
      </c>
    </row>
    <row r="12216" spans="6:12">
      <c r="H12216" t="s">
        <v>23243</v>
      </c>
      <c r="I12216" t="s">
        <v>1357</v>
      </c>
      <c r="J12216" t="s">
        <v>1357</v>
      </c>
      <c r="K12216" t="s">
        <v>1357</v>
      </c>
      <c r="L12216" t="s">
        <v>1357</v>
      </c>
    </row>
    <row r="12217" spans="6:12">
      <c r="H12217" t="s">
        <v>23246</v>
      </c>
      <c r="I12217" t="s">
        <v>1357</v>
      </c>
      <c r="J12217" t="s">
        <v>1357</v>
      </c>
      <c r="K12217" t="s">
        <v>1357</v>
      </c>
      <c r="L12217" t="s">
        <v>1357</v>
      </c>
    </row>
    <row r="12218" spans="6:12">
      <c r="H12218" t="s">
        <v>23245</v>
      </c>
      <c r="I12218" t="s">
        <v>1357</v>
      </c>
      <c r="J12218" t="s">
        <v>1357</v>
      </c>
      <c r="K12218" t="s">
        <v>1357</v>
      </c>
      <c r="L12218" t="s">
        <v>1357</v>
      </c>
    </row>
    <row r="12219" spans="6:12">
      <c r="H12219" t="s">
        <v>23244</v>
      </c>
      <c r="I12219" t="s">
        <v>1357</v>
      </c>
      <c r="J12219" t="s">
        <v>1357</v>
      </c>
      <c r="K12219" t="s">
        <v>1357</v>
      </c>
      <c r="L12219" t="s">
        <v>1357</v>
      </c>
    </row>
    <row r="12220" spans="6:12">
      <c r="H12220" t="s">
        <v>23285</v>
      </c>
      <c r="I12220" t="s">
        <v>1357</v>
      </c>
      <c r="J12220" t="s">
        <v>1357</v>
      </c>
      <c r="K12220" t="s">
        <v>1357</v>
      </c>
      <c r="L12220" t="s">
        <v>1357</v>
      </c>
    </row>
    <row r="12221" spans="6:12">
      <c r="H12221" t="s">
        <v>23286</v>
      </c>
      <c r="I12221" t="s">
        <v>1357</v>
      </c>
      <c r="J12221" t="s">
        <v>1357</v>
      </c>
      <c r="K12221" t="s">
        <v>1357</v>
      </c>
      <c r="L12221" t="s">
        <v>1357</v>
      </c>
    </row>
    <row r="12222" spans="6:12">
      <c r="H12222" t="s">
        <v>23287</v>
      </c>
      <c r="I12222" t="s">
        <v>1357</v>
      </c>
      <c r="J12222" t="s">
        <v>1357</v>
      </c>
      <c r="K12222" t="s">
        <v>1357</v>
      </c>
      <c r="L12222" t="s">
        <v>1357</v>
      </c>
    </row>
    <row r="12223" spans="6:12">
      <c r="H12223" t="s">
        <v>23288</v>
      </c>
      <c r="I12223" t="s">
        <v>1357</v>
      </c>
      <c r="J12223" t="s">
        <v>1357</v>
      </c>
      <c r="K12223" t="s">
        <v>1357</v>
      </c>
      <c r="L12223" t="s">
        <v>1357</v>
      </c>
    </row>
    <row r="12224" spans="6:12">
      <c r="H12224" t="s">
        <v>23289</v>
      </c>
      <c r="I12224" t="s">
        <v>1357</v>
      </c>
      <c r="J12224" t="s">
        <v>1357</v>
      </c>
      <c r="K12224" t="s">
        <v>1357</v>
      </c>
      <c r="L12224" t="s">
        <v>1357</v>
      </c>
    </row>
    <row r="12225" spans="1:13">
      <c r="H12225" t="s">
        <v>23290</v>
      </c>
      <c r="I12225" t="s">
        <v>1357</v>
      </c>
      <c r="J12225" t="s">
        <v>1357</v>
      </c>
      <c r="K12225" t="s">
        <v>1357</v>
      </c>
      <c r="L12225" t="s">
        <v>1357</v>
      </c>
    </row>
    <row r="12226" spans="1:13">
      <c r="H12226" t="s">
        <v>23291</v>
      </c>
      <c r="I12226" t="s">
        <v>1357</v>
      </c>
      <c r="J12226" t="s">
        <v>1357</v>
      </c>
      <c r="K12226" t="s">
        <v>1357</v>
      </c>
      <c r="L12226" t="s">
        <v>1357</v>
      </c>
    </row>
    <row r="12227" spans="1:13">
      <c r="H12227" t="s">
        <v>23292</v>
      </c>
      <c r="I12227" t="s">
        <v>1357</v>
      </c>
      <c r="J12227" t="s">
        <v>1357</v>
      </c>
      <c r="K12227" t="s">
        <v>1357</v>
      </c>
      <c r="L12227" t="s">
        <v>1357</v>
      </c>
    </row>
    <row r="12228" spans="1:13">
      <c r="F12228" t="s">
        <v>16493</v>
      </c>
      <c r="G12228" t="s">
        <v>19152</v>
      </c>
      <c r="H12228" t="s">
        <v>23293</v>
      </c>
      <c r="I12228" t="s">
        <v>1357</v>
      </c>
      <c r="J12228" t="s">
        <v>1357</v>
      </c>
      <c r="K12228" t="s">
        <v>1357</v>
      </c>
      <c r="L12228" t="s">
        <v>1357</v>
      </c>
    </row>
    <row r="12229" spans="1:13">
      <c r="H12229" t="s">
        <v>23294</v>
      </c>
      <c r="I12229" t="s">
        <v>1357</v>
      </c>
      <c r="J12229" t="s">
        <v>1357</v>
      </c>
      <c r="K12229" t="s">
        <v>1357</v>
      </c>
      <c r="L12229" t="s">
        <v>1357</v>
      </c>
    </row>
    <row r="12230" spans="1:13">
      <c r="A12230" t="s">
        <v>10823</v>
      </c>
      <c r="B12230">
        <f>HYPERLINK("https://android.googlesource.com/platform/cts/+/a53385fe82d8f569fc0cf6cc91fee60749c7ced2", "a53385fe82d8f569fc0cf6cc91fee60749c7ced2")</f>
        <v>0</v>
      </c>
      <c r="C12230">
        <f>HYPERLINK("https://android.googlesource.com/platform/cts/+/aa7171d9987238b20bacd7e651e3aad3a86dd74d", "aa7171d9987238b20bacd7e651e3aad3a86dd74d")</f>
        <v>0</v>
      </c>
      <c r="D12230" t="s">
        <v>12229</v>
      </c>
      <c r="E12230" t="s">
        <v>13361</v>
      </c>
      <c r="F12230" t="s">
        <v>16494</v>
      </c>
      <c r="G12230" t="s">
        <v>19153</v>
      </c>
      <c r="H12230" t="s">
        <v>23295</v>
      </c>
      <c r="I12230" t="s">
        <v>1358</v>
      </c>
      <c r="J12230" t="s">
        <v>1358</v>
      </c>
      <c r="K12230" t="s">
        <v>1358</v>
      </c>
      <c r="L12230" t="s">
        <v>1358</v>
      </c>
    </row>
    <row r="12231" spans="1:13">
      <c r="A12231" t="s">
        <v>10824</v>
      </c>
      <c r="B12231">
        <f>HYPERLINK("https://android.googlesource.com/platform/cts/+/5b51ce3002e1a6e1bc94e42bc9788a0b8d32b1eb", "5b51ce3002e1a6e1bc94e42bc9788a0b8d32b1eb")</f>
        <v>0</v>
      </c>
      <c r="C12231">
        <f>HYPERLINK("https://android.googlesource.com/platform/cts/+/47ff52cab976338b5db19e2f646a7703dcecc830", "47ff52cab976338b5db19e2f646a7703dcecc830")</f>
        <v>0</v>
      </c>
      <c r="D12231" t="s">
        <v>12122</v>
      </c>
      <c r="E12231" t="s">
        <v>13362</v>
      </c>
      <c r="F12231" t="s">
        <v>16495</v>
      </c>
      <c r="G12231" t="s">
        <v>19154</v>
      </c>
      <c r="H12231" t="s">
        <v>23296</v>
      </c>
      <c r="I12231" t="s">
        <v>1357</v>
      </c>
      <c r="J12231" t="s">
        <v>1357</v>
      </c>
      <c r="K12231" t="s">
        <v>1357</v>
      </c>
      <c r="L12231" t="s">
        <v>1357</v>
      </c>
    </row>
    <row r="12232" spans="1:13">
      <c r="A12232" t="s">
        <v>10825</v>
      </c>
      <c r="B12232">
        <f>HYPERLINK("https://android.googlesource.com/platform/cts/+/17cd23fa6d9784467051916d0495e633cbf02f31", "17cd23fa6d9784467051916d0495e633cbf02f31")</f>
        <v>0</v>
      </c>
      <c r="C12232">
        <f>HYPERLINK("https://android.googlesource.com/platform/cts/+/74a0dc8acb34356a69ea77167f304583fbbd41b7", "74a0dc8acb34356a69ea77167f304583fbbd41b7")</f>
        <v>0</v>
      </c>
      <c r="D12232" t="s">
        <v>12099</v>
      </c>
      <c r="E12232" t="s">
        <v>13363</v>
      </c>
      <c r="F12232" t="s">
        <v>16496</v>
      </c>
      <c r="G12232" t="s">
        <v>19155</v>
      </c>
      <c r="H12232" t="s">
        <v>23297</v>
      </c>
      <c r="I12232" t="s">
        <v>1357</v>
      </c>
      <c r="J12232" t="s">
        <v>1357</v>
      </c>
      <c r="K12232" t="s">
        <v>1357</v>
      </c>
      <c r="L12232" t="s">
        <v>1357</v>
      </c>
    </row>
    <row r="12233" spans="1:13">
      <c r="H12233" t="s">
        <v>23298</v>
      </c>
      <c r="I12233" t="s">
        <v>1357</v>
      </c>
      <c r="J12233" t="s">
        <v>1357</v>
      </c>
      <c r="K12233" t="s">
        <v>1357</v>
      </c>
      <c r="L12233" t="s">
        <v>1357</v>
      </c>
    </row>
    <row r="12234" spans="1:13">
      <c r="A12234" t="s">
        <v>10826</v>
      </c>
      <c r="B12234">
        <f>HYPERLINK("https://android.googlesource.com/platform/cts/+/088c5fcfa0f412d632b4f8127adbc2821f9b1b51", "088c5fcfa0f412d632b4f8127adbc2821f9b1b51")</f>
        <v>0</v>
      </c>
      <c r="C12234">
        <f>HYPERLINK("https://android.googlesource.com/platform/cts/+/bf6ca540b31d8f9a2184fd00b93cc775cc8a0c11", "bf6ca540b31d8f9a2184fd00b93cc775cc8a0c11")</f>
        <v>0</v>
      </c>
      <c r="D12234" t="s">
        <v>12180</v>
      </c>
      <c r="E12234" t="s">
        <v>13260</v>
      </c>
      <c r="F12234" t="s">
        <v>15180</v>
      </c>
      <c r="G12234" t="s">
        <v>17882</v>
      </c>
      <c r="H12234" t="s">
        <v>23041</v>
      </c>
      <c r="I12234" t="s">
        <v>1358</v>
      </c>
      <c r="J12234" t="s">
        <v>1358</v>
      </c>
      <c r="K12234" t="s">
        <v>1358</v>
      </c>
      <c r="L12234" t="s">
        <v>1358</v>
      </c>
      <c r="M12234" t="s">
        <v>9957</v>
      </c>
    </row>
    <row r="12235" spans="1:13">
      <c r="A12235" t="s">
        <v>10827</v>
      </c>
      <c r="B12235">
        <f>HYPERLINK("https://android.googlesource.com/platform/cts/+/d91dbd832273ba506c5d2fc648f0504ff7b6b5e2", "d91dbd832273ba506c5d2fc648f0504ff7b6b5e2")</f>
        <v>0</v>
      </c>
      <c r="C12235">
        <f>HYPERLINK("https://android.googlesource.com/platform/cts/+/ddf263ced807b1611300115134f8a8b16622dfe5", "ddf263ced807b1611300115134f8a8b16622dfe5")</f>
        <v>0</v>
      </c>
      <c r="D12235" t="s">
        <v>12099</v>
      </c>
      <c r="E12235" t="s">
        <v>13364</v>
      </c>
      <c r="F12235" t="s">
        <v>16496</v>
      </c>
      <c r="G12235" t="s">
        <v>19155</v>
      </c>
      <c r="H12235" t="s">
        <v>23299</v>
      </c>
      <c r="I12235" t="s">
        <v>1357</v>
      </c>
      <c r="J12235" t="s">
        <v>1357</v>
      </c>
      <c r="K12235" t="s">
        <v>1357</v>
      </c>
      <c r="L12235" t="s">
        <v>1357</v>
      </c>
    </row>
    <row r="12236" spans="1:13">
      <c r="A12236" t="s">
        <v>10828</v>
      </c>
      <c r="B12236">
        <f>HYPERLINK("https://android.googlesource.com/platform/cts/+/9bcce19398e895110eaf7d630c94f403a5cbddf6", "9bcce19398e895110eaf7d630c94f403a5cbddf6")</f>
        <v>0</v>
      </c>
      <c r="C12236">
        <f>HYPERLINK("https://android.googlesource.com/platform/cts/+/c15a6dee26ba117c61e482778f478bb16b32a1c8", "c15a6dee26ba117c61e482778f478bb16b32a1c8")</f>
        <v>0</v>
      </c>
      <c r="D12236" t="s">
        <v>12137</v>
      </c>
      <c r="E12236" t="s">
        <v>13365</v>
      </c>
      <c r="F12236" t="s">
        <v>16490</v>
      </c>
      <c r="G12236" t="s">
        <v>19149</v>
      </c>
      <c r="H12236" t="s">
        <v>23256</v>
      </c>
      <c r="I12236" t="s">
        <v>1357</v>
      </c>
      <c r="J12236" t="s">
        <v>1357</v>
      </c>
      <c r="K12236" t="s">
        <v>1357</v>
      </c>
      <c r="L12236" t="s">
        <v>1357</v>
      </c>
    </row>
    <row r="12237" spans="1:13">
      <c r="F12237" t="s">
        <v>16492</v>
      </c>
      <c r="G12237" t="s">
        <v>19151</v>
      </c>
      <c r="H12237" t="s">
        <v>23287</v>
      </c>
      <c r="I12237" t="s">
        <v>1357</v>
      </c>
      <c r="J12237" t="s">
        <v>1357</v>
      </c>
      <c r="K12237" t="s">
        <v>1357</v>
      </c>
      <c r="L12237" t="s">
        <v>1357</v>
      </c>
    </row>
    <row r="12238" spans="1:13">
      <c r="A12238" t="s">
        <v>10829</v>
      </c>
      <c r="B12238">
        <f>HYPERLINK("https://android.googlesource.com/platform/cts/+/759ad0a1239a9bf031ac6592b1ab1069d494bd45", "759ad0a1239a9bf031ac6592b1ab1069d494bd45")</f>
        <v>0</v>
      </c>
      <c r="C12238">
        <f>HYPERLINK("https://android.googlesource.com/platform/cts/+/74a0dc8acb34356a69ea77167f304583fbbd41b7", "74a0dc8acb34356a69ea77167f304583fbbd41b7")</f>
        <v>0</v>
      </c>
      <c r="D12238" t="s">
        <v>12230</v>
      </c>
      <c r="E12238" t="s">
        <v>13366</v>
      </c>
      <c r="F12238" t="s">
        <v>16497</v>
      </c>
      <c r="G12238" t="s">
        <v>19156</v>
      </c>
      <c r="H12238" t="s">
        <v>23300</v>
      </c>
      <c r="I12238" t="s">
        <v>1357</v>
      </c>
      <c r="J12238" t="s">
        <v>1357</v>
      </c>
      <c r="K12238" t="s">
        <v>1357</v>
      </c>
      <c r="L12238" t="s">
        <v>1357</v>
      </c>
    </row>
    <row r="12239" spans="1:13">
      <c r="A12239" t="s">
        <v>10830</v>
      </c>
      <c r="B12239">
        <f>HYPERLINK("https://android.googlesource.com/platform/cts/+/2171101ef129d9b6e0c941204038b17ffe560e7c", "2171101ef129d9b6e0c941204038b17ffe560e7c")</f>
        <v>0</v>
      </c>
      <c r="C12239">
        <f>HYPERLINK("https://android.googlesource.com/platform/cts/+/d413d2095eb2e30ab08bb9dc4a9cba3a845401c3", "d413d2095eb2e30ab08bb9dc4a9cba3a845401c3")</f>
        <v>0</v>
      </c>
      <c r="D12239" t="s">
        <v>12231</v>
      </c>
      <c r="E12239" t="s">
        <v>13367</v>
      </c>
      <c r="F12239" t="s">
        <v>16498</v>
      </c>
      <c r="G12239" t="s">
        <v>19157</v>
      </c>
      <c r="H12239" t="s">
        <v>23286</v>
      </c>
      <c r="I12239" t="s">
        <v>1357</v>
      </c>
      <c r="J12239" t="s">
        <v>1357</v>
      </c>
      <c r="K12239" t="s">
        <v>1357</v>
      </c>
      <c r="L12239" t="s">
        <v>1357</v>
      </c>
    </row>
    <row r="12240" spans="1:13">
      <c r="A12240" t="s">
        <v>10831</v>
      </c>
      <c r="B12240">
        <f>HYPERLINK("https://android.googlesource.com/platform/cts/+/97f475f92dff10849f09e1b1a341a94dba2da855", "97f475f92dff10849f09e1b1a341a94dba2da855")</f>
        <v>0</v>
      </c>
      <c r="C12240">
        <f>HYPERLINK("https://android.googlesource.com/platform/cts/+/7c1fa37b3aa710cd145ca048cf125dfbba62bad0", "7c1fa37b3aa710cd145ca048cf125dfbba62bad0")</f>
        <v>0</v>
      </c>
      <c r="D12240" t="s">
        <v>12228</v>
      </c>
      <c r="E12240" t="s">
        <v>13368</v>
      </c>
      <c r="F12240" t="s">
        <v>16499</v>
      </c>
      <c r="G12240" t="s">
        <v>19158</v>
      </c>
      <c r="H12240" t="s">
        <v>23301</v>
      </c>
      <c r="I12240" t="s">
        <v>1357</v>
      </c>
      <c r="J12240" t="s">
        <v>1357</v>
      </c>
      <c r="K12240" t="s">
        <v>1357</v>
      </c>
      <c r="L12240" t="s">
        <v>1357</v>
      </c>
    </row>
    <row r="12241" spans="1:13">
      <c r="A12241" t="s">
        <v>10832</v>
      </c>
      <c r="B12241">
        <f>HYPERLINK("https://android.googlesource.com/platform/cts/+/41c9292ded58ea61d14ea263e70d44e5b6d524f2", "41c9292ded58ea61d14ea263e70d44e5b6d524f2")</f>
        <v>0</v>
      </c>
      <c r="C12241">
        <f>HYPERLINK("https://android.googlesource.com/platform/cts/+/d88102d92d872d562d56c3c64b91d952a76d8b45", "d88102d92d872d562d56c3c64b91d952a76d8b45")</f>
        <v>0</v>
      </c>
      <c r="D12241" t="s">
        <v>12228</v>
      </c>
      <c r="E12241" t="s">
        <v>13369</v>
      </c>
      <c r="F12241" t="s">
        <v>16499</v>
      </c>
      <c r="G12241" t="s">
        <v>19158</v>
      </c>
      <c r="H12241" t="s">
        <v>23301</v>
      </c>
      <c r="I12241" t="s">
        <v>1357</v>
      </c>
      <c r="J12241" t="s">
        <v>1357</v>
      </c>
      <c r="K12241" t="s">
        <v>1357</v>
      </c>
      <c r="L12241" t="s">
        <v>1357</v>
      </c>
      <c r="M12241" t="s">
        <v>9957</v>
      </c>
    </row>
    <row r="12242" spans="1:13">
      <c r="A12242" t="s">
        <v>10833</v>
      </c>
      <c r="B12242">
        <f>HYPERLINK("https://android.googlesource.com/platform/cts/+/e124269509f91ecae170db8eba71cc29f638c94f", "e124269509f91ecae170db8eba71cc29f638c94f")</f>
        <v>0</v>
      </c>
      <c r="C12242">
        <f>HYPERLINK("https://android.googlesource.com/platform/cts/+/8b2b45404e3d7220911703db6c238eeb73d53dde", "8b2b45404e3d7220911703db6c238eeb73d53dde")</f>
        <v>0</v>
      </c>
      <c r="D12242" t="s">
        <v>12218</v>
      </c>
      <c r="E12242" t="s">
        <v>13370</v>
      </c>
      <c r="F12242" t="s">
        <v>16500</v>
      </c>
      <c r="G12242" t="s">
        <v>19159</v>
      </c>
      <c r="H12242" t="s">
        <v>23302</v>
      </c>
      <c r="I12242" t="s">
        <v>1357</v>
      </c>
      <c r="J12242" t="s">
        <v>1357</v>
      </c>
      <c r="K12242" t="s">
        <v>1357</v>
      </c>
      <c r="L12242" t="s">
        <v>1357</v>
      </c>
    </row>
    <row r="12243" spans="1:13">
      <c r="A12243" t="s">
        <v>10834</v>
      </c>
      <c r="B12243">
        <f>HYPERLINK("https://android.googlesource.com/platform/cts/+/b431c251965eadd6206812df66a1b63ab8e952d0", "b431c251965eadd6206812df66a1b63ab8e952d0")</f>
        <v>0</v>
      </c>
      <c r="C12243">
        <f>HYPERLINK("https://android.googlesource.com/platform/cts/+/2b60832a126adcb73d1d57e9e2460aa51baf9631", "2b60832a126adcb73d1d57e9e2460aa51baf9631")</f>
        <v>0</v>
      </c>
      <c r="D12243" t="s">
        <v>12231</v>
      </c>
      <c r="E12243" t="s">
        <v>13371</v>
      </c>
      <c r="F12243" t="s">
        <v>16490</v>
      </c>
      <c r="G12243" t="s">
        <v>19149</v>
      </c>
      <c r="H12243" t="s">
        <v>23252</v>
      </c>
      <c r="I12243" t="s">
        <v>1357</v>
      </c>
      <c r="J12243" t="s">
        <v>1357</v>
      </c>
      <c r="K12243" t="s">
        <v>1357</v>
      </c>
      <c r="L12243" t="s">
        <v>1357</v>
      </c>
    </row>
    <row r="12244" spans="1:13">
      <c r="F12244" t="s">
        <v>16492</v>
      </c>
      <c r="G12244" t="s">
        <v>19151</v>
      </c>
      <c r="H12244" t="s">
        <v>23286</v>
      </c>
      <c r="I12244" t="s">
        <v>1357</v>
      </c>
      <c r="J12244" t="s">
        <v>1357</v>
      </c>
      <c r="K12244" t="s">
        <v>1357</v>
      </c>
      <c r="L12244" t="s">
        <v>1357</v>
      </c>
    </row>
    <row r="12245" spans="1:13">
      <c r="A12245" t="s">
        <v>10835</v>
      </c>
      <c r="B12245">
        <f>HYPERLINK("https://android.googlesource.com/platform/cts/+/bdf29769f0c7750eda72926adfc33cbae3ae3273", "bdf29769f0c7750eda72926adfc33cbae3ae3273")</f>
        <v>0</v>
      </c>
      <c r="C12245">
        <f>HYPERLINK("https://android.googlesource.com/platform/cts/+/04d14540a4766c1b96eb26c98d7a0d99bad24e47", "04d14540a4766c1b96eb26c98d7a0d99bad24e47")</f>
        <v>0</v>
      </c>
      <c r="D12245" t="s">
        <v>12108</v>
      </c>
      <c r="E12245" t="s">
        <v>13372</v>
      </c>
      <c r="F12245" t="s">
        <v>16483</v>
      </c>
      <c r="G12245" t="s">
        <v>19143</v>
      </c>
      <c r="H12245" t="s">
        <v>23303</v>
      </c>
      <c r="I12245" t="s">
        <v>1357</v>
      </c>
      <c r="J12245" t="s">
        <v>1357</v>
      </c>
      <c r="K12245" t="s">
        <v>1357</v>
      </c>
      <c r="L12245" t="s">
        <v>1357</v>
      </c>
    </row>
    <row r="12246" spans="1:13">
      <c r="H12246" t="s">
        <v>23304</v>
      </c>
      <c r="I12246" t="s">
        <v>1357</v>
      </c>
      <c r="J12246" t="s">
        <v>1357</v>
      </c>
      <c r="K12246" t="s">
        <v>1357</v>
      </c>
      <c r="L12246" t="s">
        <v>1357</v>
      </c>
    </row>
    <row r="12247" spans="1:13">
      <c r="H12247" t="s">
        <v>23305</v>
      </c>
      <c r="I12247" t="s">
        <v>1357</v>
      </c>
      <c r="J12247" t="s">
        <v>1357</v>
      </c>
      <c r="K12247" t="s">
        <v>1357</v>
      </c>
      <c r="L12247" t="s">
        <v>1357</v>
      </c>
    </row>
    <row r="12248" spans="1:13">
      <c r="A12248" t="s">
        <v>10836</v>
      </c>
      <c r="B12248">
        <f>HYPERLINK("https://android.googlesource.com/platform/cts/+/67f2265a7b5f2631ac2a13469af1625ba7565d8b", "67f2265a7b5f2631ac2a13469af1625ba7565d8b")</f>
        <v>0</v>
      </c>
      <c r="C12248">
        <f>HYPERLINK("https://android.googlesource.com/platform/cts/+/0ef85f828a31f1ad3c3dbcd73a46fbd5f052e42e", "0ef85f828a31f1ad3c3dbcd73a46fbd5f052e42e")</f>
        <v>0</v>
      </c>
      <c r="D12248" t="s">
        <v>12203</v>
      </c>
      <c r="E12248" t="s">
        <v>13373</v>
      </c>
      <c r="F12248" t="s">
        <v>16483</v>
      </c>
      <c r="G12248" t="s">
        <v>19143</v>
      </c>
      <c r="H12248" t="s">
        <v>23303</v>
      </c>
      <c r="I12248" t="s">
        <v>1357</v>
      </c>
      <c r="J12248" t="s">
        <v>1357</v>
      </c>
      <c r="K12248" t="s">
        <v>1357</v>
      </c>
      <c r="L12248" t="s">
        <v>1357</v>
      </c>
    </row>
    <row r="12249" spans="1:13">
      <c r="H12249" t="s">
        <v>23304</v>
      </c>
      <c r="I12249" t="s">
        <v>1357</v>
      </c>
      <c r="J12249" t="s">
        <v>1357</v>
      </c>
      <c r="K12249" t="s">
        <v>1357</v>
      </c>
      <c r="L12249" t="s">
        <v>1357</v>
      </c>
      <c r="M12249" t="s">
        <v>9957</v>
      </c>
    </row>
    <row r="12250" spans="1:13">
      <c r="H12250" t="s">
        <v>23305</v>
      </c>
      <c r="I12250" t="s">
        <v>1357</v>
      </c>
      <c r="J12250" t="s">
        <v>1357</v>
      </c>
      <c r="K12250" t="s">
        <v>1357</v>
      </c>
      <c r="L12250" t="s">
        <v>1357</v>
      </c>
    </row>
    <row r="12251" spans="1:13">
      <c r="A12251" t="s">
        <v>10837</v>
      </c>
      <c r="B12251">
        <f>HYPERLINK("https://android.googlesource.com/platform/cts/+/c9ec3b31d4cd6b064f59400fbe1f01695efee77e", "c9ec3b31d4cd6b064f59400fbe1f01695efee77e")</f>
        <v>0</v>
      </c>
      <c r="C12251">
        <f>HYPERLINK("https://android.googlesource.com/platform/cts/+/1106a1fd641972a38b97417ef598f4b3a5bf8df0", "1106a1fd641972a38b97417ef598f4b3a5bf8df0")</f>
        <v>0</v>
      </c>
      <c r="D12251" t="s">
        <v>12099</v>
      </c>
      <c r="E12251" t="s">
        <v>13374</v>
      </c>
      <c r="F12251" t="s">
        <v>16501</v>
      </c>
      <c r="G12251" t="s">
        <v>19160</v>
      </c>
      <c r="H12251" t="s">
        <v>23306</v>
      </c>
      <c r="I12251" t="s">
        <v>1357</v>
      </c>
      <c r="J12251" t="s">
        <v>1357</v>
      </c>
      <c r="K12251" t="s">
        <v>1357</v>
      </c>
      <c r="L12251" t="s">
        <v>1357</v>
      </c>
    </row>
    <row r="12252" spans="1:13">
      <c r="H12252" t="s">
        <v>23307</v>
      </c>
      <c r="I12252" t="s">
        <v>1357</v>
      </c>
      <c r="J12252" t="s">
        <v>1357</v>
      </c>
      <c r="K12252" t="s">
        <v>1357</v>
      </c>
      <c r="L12252" t="s">
        <v>1357</v>
      </c>
    </row>
    <row r="12253" spans="1:13">
      <c r="H12253" t="s">
        <v>23308</v>
      </c>
      <c r="I12253" t="s">
        <v>1357</v>
      </c>
      <c r="J12253" t="s">
        <v>1357</v>
      </c>
      <c r="K12253" t="s">
        <v>1357</v>
      </c>
      <c r="L12253" t="s">
        <v>1357</v>
      </c>
    </row>
    <row r="12254" spans="1:13">
      <c r="H12254" t="s">
        <v>23309</v>
      </c>
      <c r="I12254" t="s">
        <v>1357</v>
      </c>
      <c r="J12254" t="s">
        <v>1357</v>
      </c>
      <c r="K12254" t="s">
        <v>1357</v>
      </c>
      <c r="L12254" t="s">
        <v>1357</v>
      </c>
    </row>
    <row r="12255" spans="1:13">
      <c r="H12255" t="s">
        <v>23310</v>
      </c>
      <c r="I12255" t="s">
        <v>1357</v>
      </c>
      <c r="J12255" t="s">
        <v>1357</v>
      </c>
      <c r="K12255" t="s">
        <v>1357</v>
      </c>
      <c r="L12255" t="s">
        <v>1357</v>
      </c>
    </row>
    <row r="12256" spans="1:13">
      <c r="H12256" t="s">
        <v>23311</v>
      </c>
      <c r="I12256" t="s">
        <v>1357</v>
      </c>
      <c r="J12256" t="s">
        <v>1357</v>
      </c>
      <c r="K12256" t="s">
        <v>1357</v>
      </c>
      <c r="L12256" t="s">
        <v>1357</v>
      </c>
    </row>
    <row r="12257" spans="1:13">
      <c r="H12257" t="s">
        <v>23312</v>
      </c>
      <c r="I12257" t="s">
        <v>1357</v>
      </c>
      <c r="J12257" t="s">
        <v>1357</v>
      </c>
      <c r="K12257" t="s">
        <v>1357</v>
      </c>
      <c r="L12257" t="s">
        <v>1357</v>
      </c>
    </row>
    <row r="12258" spans="1:13">
      <c r="H12258" t="s">
        <v>23313</v>
      </c>
      <c r="I12258" t="s">
        <v>1357</v>
      </c>
      <c r="J12258" t="s">
        <v>1357</v>
      </c>
      <c r="K12258" t="s">
        <v>1357</v>
      </c>
      <c r="L12258" t="s">
        <v>1357</v>
      </c>
    </row>
    <row r="12259" spans="1:13">
      <c r="A12259" t="s">
        <v>10838</v>
      </c>
      <c r="B12259">
        <f>HYPERLINK("https://android.googlesource.com/platform/cts/+/3b9071a2280d021e41c800ac3b77ed44cdc98d5e", "3b9071a2280d021e41c800ac3b77ed44cdc98d5e")</f>
        <v>0</v>
      </c>
      <c r="C12259">
        <f>HYPERLINK("https://android.googlesource.com/platform/cts/+/d7a8f7f6d7f46f5d51353613c40467dc97996d3d", "d7a8f7f6d7f46f5d51353613c40467dc97996d3d")</f>
        <v>0</v>
      </c>
      <c r="D12259" t="s">
        <v>12232</v>
      </c>
      <c r="E12259" t="s">
        <v>13375</v>
      </c>
      <c r="F12259" t="s">
        <v>16409</v>
      </c>
      <c r="G12259" t="s">
        <v>19075</v>
      </c>
      <c r="H12259" t="s">
        <v>23314</v>
      </c>
      <c r="I12259" t="s">
        <v>1357</v>
      </c>
      <c r="J12259" t="s">
        <v>1357</v>
      </c>
      <c r="K12259" t="s">
        <v>1357</v>
      </c>
      <c r="L12259" t="s">
        <v>1357</v>
      </c>
    </row>
    <row r="12260" spans="1:13">
      <c r="H12260" t="s">
        <v>23315</v>
      </c>
      <c r="I12260" t="s">
        <v>1357</v>
      </c>
      <c r="J12260" t="s">
        <v>1357</v>
      </c>
      <c r="K12260" t="s">
        <v>1357</v>
      </c>
      <c r="L12260" t="s">
        <v>1357</v>
      </c>
    </row>
    <row r="12261" spans="1:13">
      <c r="A12261" t="s">
        <v>10839</v>
      </c>
      <c r="B12261">
        <f>HYPERLINK("https://android.googlesource.com/platform/cts/+/a5d51afb0a17fc016643e32d1d6576c859c63fa4", "a5d51afb0a17fc016643e32d1d6576c859c63fa4")</f>
        <v>0</v>
      </c>
      <c r="C12261">
        <f>HYPERLINK("https://android.googlesource.com/platform/cts/+/4d72daf5244e50984d30fd02cbe756eee437ac09", "4d72daf5244e50984d30fd02cbe756eee437ac09")</f>
        <v>0</v>
      </c>
      <c r="D12261" t="s">
        <v>12232</v>
      </c>
      <c r="E12261" t="s">
        <v>13376</v>
      </c>
      <c r="F12261" t="s">
        <v>16409</v>
      </c>
      <c r="G12261" t="s">
        <v>19075</v>
      </c>
      <c r="H12261" t="s">
        <v>23314</v>
      </c>
      <c r="I12261" t="s">
        <v>1357</v>
      </c>
      <c r="J12261" t="s">
        <v>1357</v>
      </c>
      <c r="K12261" t="s">
        <v>1357</v>
      </c>
      <c r="L12261" t="s">
        <v>1357</v>
      </c>
    </row>
    <row r="12262" spans="1:13">
      <c r="H12262" t="s">
        <v>23315</v>
      </c>
      <c r="I12262" t="s">
        <v>1357</v>
      </c>
      <c r="J12262" t="s">
        <v>1357</v>
      </c>
      <c r="K12262" t="s">
        <v>1357</v>
      </c>
      <c r="L12262" t="s">
        <v>1357</v>
      </c>
      <c r="M12262" t="s">
        <v>9957</v>
      </c>
    </row>
    <row r="12263" spans="1:13">
      <c r="A12263" t="s">
        <v>10840</v>
      </c>
      <c r="B12263">
        <f>HYPERLINK("https://android.googlesource.com/platform/cts/+/ad83784f70886874ee11cddc672fb29f061bfd56", "ad83784f70886874ee11cddc672fb29f061bfd56")</f>
        <v>0</v>
      </c>
      <c r="C12263">
        <f>HYPERLINK("https://android.googlesource.com/platform/cts/+/17a54627dc94f195a1d5a29b4e885eed1cf3da38", "17a54627dc94f195a1d5a29b4e885eed1cf3da38")</f>
        <v>0</v>
      </c>
      <c r="D12263" t="s">
        <v>12232</v>
      </c>
      <c r="E12263" t="s">
        <v>13377</v>
      </c>
      <c r="F12263" t="s">
        <v>16409</v>
      </c>
      <c r="G12263" t="s">
        <v>19075</v>
      </c>
      <c r="H12263" t="s">
        <v>23314</v>
      </c>
      <c r="I12263" t="s">
        <v>1357</v>
      </c>
      <c r="J12263" t="s">
        <v>1357</v>
      </c>
      <c r="K12263" t="s">
        <v>1357</v>
      </c>
      <c r="L12263" t="s">
        <v>1357</v>
      </c>
    </row>
    <row r="12264" spans="1:13">
      <c r="H12264" t="s">
        <v>23315</v>
      </c>
      <c r="I12264" t="s">
        <v>1357</v>
      </c>
      <c r="J12264" t="s">
        <v>1357</v>
      </c>
      <c r="K12264" t="s">
        <v>1357</v>
      </c>
      <c r="L12264" t="s">
        <v>1357</v>
      </c>
      <c r="M12264" t="s">
        <v>9957</v>
      </c>
    </row>
    <row r="12265" spans="1:13">
      <c r="A12265" t="s">
        <v>10841</v>
      </c>
      <c r="B12265">
        <f>HYPERLINK("https://android.googlesource.com/platform/cts/+/90363eeabae5a3b97dc2f6c04f88ba404e877833", "90363eeabae5a3b97dc2f6c04f88ba404e877833")</f>
        <v>0</v>
      </c>
      <c r="C12265">
        <f>HYPERLINK("https://android.googlesource.com/platform/cts/+/ca2f49e4fd9037b22e91615be58be96f3774a149", "ca2f49e4fd9037b22e91615be58be96f3774a149")</f>
        <v>0</v>
      </c>
      <c r="D12265" t="s">
        <v>12233</v>
      </c>
      <c r="E12265" t="s">
        <v>13378</v>
      </c>
      <c r="F12265" t="s">
        <v>16399</v>
      </c>
      <c r="G12265" t="s">
        <v>19065</v>
      </c>
      <c r="H12265" t="s">
        <v>9402</v>
      </c>
      <c r="I12265" t="s">
        <v>1357</v>
      </c>
      <c r="J12265" t="s">
        <v>1357</v>
      </c>
      <c r="K12265" t="s">
        <v>1357</v>
      </c>
      <c r="L12265" t="s">
        <v>1357</v>
      </c>
    </row>
    <row r="12266" spans="1:13">
      <c r="A12266" t="s">
        <v>10842</v>
      </c>
      <c r="B12266">
        <f>HYPERLINK("https://android.googlesource.com/platform/cts/+/9e0b35e8b30cecfc6c911663e3cab0963ae16e8c", "9e0b35e8b30cecfc6c911663e3cab0963ae16e8c")</f>
        <v>0</v>
      </c>
      <c r="C12266">
        <f>HYPERLINK("https://android.googlesource.com/platform/cts/+/c7da12619c079c45a2d6ef95d8ac16bfdb7405d4", "c7da12619c079c45a2d6ef95d8ac16bfdb7405d4")</f>
        <v>0</v>
      </c>
      <c r="D12266" t="s">
        <v>12232</v>
      </c>
      <c r="E12266" t="s">
        <v>13376</v>
      </c>
      <c r="F12266" t="s">
        <v>16409</v>
      </c>
      <c r="G12266" t="s">
        <v>19075</v>
      </c>
      <c r="H12266" t="s">
        <v>23314</v>
      </c>
      <c r="I12266" t="s">
        <v>1357</v>
      </c>
      <c r="J12266" t="s">
        <v>1357</v>
      </c>
      <c r="K12266" t="s">
        <v>1357</v>
      </c>
      <c r="L12266" t="s">
        <v>1357</v>
      </c>
    </row>
    <row r="12267" spans="1:13">
      <c r="H12267" t="s">
        <v>23315</v>
      </c>
      <c r="I12267" t="s">
        <v>1357</v>
      </c>
      <c r="J12267" t="s">
        <v>1357</v>
      </c>
      <c r="K12267" t="s">
        <v>1357</v>
      </c>
      <c r="L12267" t="s">
        <v>1357</v>
      </c>
      <c r="M12267" t="s">
        <v>9957</v>
      </c>
    </row>
    <row r="12268" spans="1:13">
      <c r="A12268" t="s">
        <v>10843</v>
      </c>
      <c r="B12268">
        <f>HYPERLINK("https://android.googlesource.com/platform/cts/+/a54f36953bca823296434f6563fcfac142bf4e4e", "a54f36953bca823296434f6563fcfac142bf4e4e")</f>
        <v>0</v>
      </c>
      <c r="C12268">
        <f>HYPERLINK("https://android.googlesource.com/platform/cts/+/498fae8550d8f0b1d2d75299b33c57285dc0c3f6", "498fae8550d8f0b1d2d75299b33c57285dc0c3f6")</f>
        <v>0</v>
      </c>
      <c r="D12268" t="s">
        <v>12122</v>
      </c>
      <c r="E12268" t="s">
        <v>13379</v>
      </c>
      <c r="F12268" t="s">
        <v>16502</v>
      </c>
      <c r="G12268" t="s">
        <v>18993</v>
      </c>
      <c r="H12268" t="s">
        <v>22689</v>
      </c>
      <c r="I12268" t="s">
        <v>1357</v>
      </c>
      <c r="J12268" t="s">
        <v>1357</v>
      </c>
      <c r="K12268" t="s">
        <v>1357</v>
      </c>
      <c r="L12268" t="s">
        <v>1357</v>
      </c>
    </row>
    <row r="12269" spans="1:13">
      <c r="A12269" t="s">
        <v>10844</v>
      </c>
      <c r="B12269">
        <f>HYPERLINK("https://android.googlesource.com/platform/cts/+/b4fa0373b298d92eea4dfb209ab4dda6b1ef1c07", "b4fa0373b298d92eea4dfb209ab4dda6b1ef1c07")</f>
        <v>0</v>
      </c>
      <c r="C12269">
        <f>HYPERLINK("https://android.googlesource.com/platform/cts/+/4f8f314f1f0286b942f061896dd43cdca05d61b1", "4f8f314f1f0286b942f061896dd43cdca05d61b1")</f>
        <v>0</v>
      </c>
      <c r="D12269" t="s">
        <v>12219</v>
      </c>
      <c r="E12269" t="s">
        <v>13380</v>
      </c>
      <c r="F12269" t="s">
        <v>14536</v>
      </c>
      <c r="G12269" t="s">
        <v>17381</v>
      </c>
      <c r="H12269" t="s">
        <v>23316</v>
      </c>
      <c r="I12269" t="s">
        <v>1357</v>
      </c>
      <c r="J12269" t="s">
        <v>1357</v>
      </c>
      <c r="K12269" t="s">
        <v>1357</v>
      </c>
      <c r="L12269" t="s">
        <v>1357</v>
      </c>
    </row>
    <row r="12270" spans="1:13">
      <c r="H12270" t="s">
        <v>23317</v>
      </c>
      <c r="I12270" t="s">
        <v>1357</v>
      </c>
      <c r="J12270" t="s">
        <v>1357</v>
      </c>
      <c r="K12270" t="s">
        <v>1357</v>
      </c>
      <c r="L12270" t="s">
        <v>1357</v>
      </c>
    </row>
    <row r="12271" spans="1:13">
      <c r="A12271" t="s">
        <v>10845</v>
      </c>
      <c r="B12271">
        <f>HYPERLINK("https://android.googlesource.com/platform/cts/+/eaa2bbee9517de527137c0ca5488545124ba7e1c", "eaa2bbee9517de527137c0ca5488545124ba7e1c")</f>
        <v>0</v>
      </c>
      <c r="C12271">
        <f>HYPERLINK("https://android.googlesource.com/platform/cts/+/e907b0ac85ef8640a5e285256d4319b06b4add6d", "e907b0ac85ef8640a5e285256d4319b06b4add6d")</f>
        <v>0</v>
      </c>
      <c r="D12271" t="s">
        <v>12231</v>
      </c>
      <c r="E12271" t="s">
        <v>13381</v>
      </c>
      <c r="F12271" t="s">
        <v>16383</v>
      </c>
      <c r="G12271" t="s">
        <v>17408</v>
      </c>
      <c r="H12271" t="s">
        <v>23318</v>
      </c>
      <c r="I12271" t="s">
        <v>1357</v>
      </c>
      <c r="J12271" t="s">
        <v>1357</v>
      </c>
      <c r="K12271" t="s">
        <v>1357</v>
      </c>
      <c r="L12271" t="s">
        <v>1357</v>
      </c>
    </row>
    <row r="12272" spans="1:13">
      <c r="A12272" t="s">
        <v>10846</v>
      </c>
      <c r="B12272">
        <f>HYPERLINK("https://android.googlesource.com/platform/cts/+/b22c4ea6428a357cfc50928def4f6c42d684ffce", "b22c4ea6428a357cfc50928def4f6c42d684ffce")</f>
        <v>0</v>
      </c>
      <c r="C12272">
        <f>HYPERLINK("https://android.googlesource.com/platform/cts/+/2e63d86c2da34f4fdd19bf347b4c02449518cb28", "2e63d86c2da34f4fdd19bf347b4c02449518cb28")</f>
        <v>0</v>
      </c>
      <c r="D12272" t="s">
        <v>12231</v>
      </c>
      <c r="E12272" t="s">
        <v>13382</v>
      </c>
      <c r="F12272" t="s">
        <v>16492</v>
      </c>
      <c r="G12272" t="s">
        <v>19151</v>
      </c>
      <c r="H12272" t="s">
        <v>23248</v>
      </c>
      <c r="I12272" t="s">
        <v>1357</v>
      </c>
      <c r="J12272" t="s">
        <v>1357</v>
      </c>
      <c r="K12272" t="s">
        <v>1357</v>
      </c>
      <c r="L12272" t="s">
        <v>1357</v>
      </c>
    </row>
    <row r="12273" spans="1:12">
      <c r="H12273" t="s">
        <v>23249</v>
      </c>
      <c r="I12273" t="s">
        <v>1357</v>
      </c>
      <c r="J12273" t="s">
        <v>1357</v>
      </c>
      <c r="K12273" t="s">
        <v>1357</v>
      </c>
      <c r="L12273" t="s">
        <v>1357</v>
      </c>
    </row>
    <row r="12274" spans="1:12">
      <c r="A12274" t="s">
        <v>10847</v>
      </c>
      <c r="B12274">
        <f>HYPERLINK("https://android.googlesource.com/platform/cts/+/e11b314c0abd734e2e659490ddb556b36e53e6ab", "e11b314c0abd734e2e659490ddb556b36e53e6ab")</f>
        <v>0</v>
      </c>
      <c r="C12274">
        <f>HYPERLINK("https://android.googlesource.com/platform/cts/+/814f1d8184f1b52323015351a308b4f0e437295a", "814f1d8184f1b52323015351a308b4f0e437295a")</f>
        <v>0</v>
      </c>
      <c r="D12274" t="s">
        <v>12107</v>
      </c>
      <c r="E12274" t="s">
        <v>13383</v>
      </c>
      <c r="F12274" t="s">
        <v>14481</v>
      </c>
      <c r="G12274" t="s">
        <v>17328</v>
      </c>
      <c r="H12274" t="s">
        <v>23319</v>
      </c>
      <c r="I12274" t="s">
        <v>1357</v>
      </c>
      <c r="J12274" t="s">
        <v>1357</v>
      </c>
      <c r="K12274" t="s">
        <v>1357</v>
      </c>
      <c r="L12274" t="s">
        <v>1357</v>
      </c>
    </row>
    <row r="12275" spans="1:12">
      <c r="H12275" t="s">
        <v>23320</v>
      </c>
      <c r="I12275" t="s">
        <v>1357</v>
      </c>
      <c r="J12275" t="s">
        <v>1357</v>
      </c>
      <c r="K12275" t="s">
        <v>1357</v>
      </c>
      <c r="L12275" t="s">
        <v>1357</v>
      </c>
    </row>
    <row r="12276" spans="1:12">
      <c r="H12276" t="s">
        <v>23321</v>
      </c>
      <c r="I12276" t="s">
        <v>1357</v>
      </c>
      <c r="J12276" t="s">
        <v>1357</v>
      </c>
      <c r="K12276" t="s">
        <v>1357</v>
      </c>
      <c r="L12276" t="s">
        <v>1357</v>
      </c>
    </row>
    <row r="12277" spans="1:12">
      <c r="H12277" t="s">
        <v>23322</v>
      </c>
      <c r="I12277" t="s">
        <v>1357</v>
      </c>
      <c r="J12277" t="s">
        <v>1357</v>
      </c>
      <c r="K12277" t="s">
        <v>1357</v>
      </c>
      <c r="L12277" t="s">
        <v>1357</v>
      </c>
    </row>
    <row r="12278" spans="1:12">
      <c r="H12278" t="s">
        <v>23323</v>
      </c>
      <c r="I12278" t="s">
        <v>1357</v>
      </c>
      <c r="J12278" t="s">
        <v>1357</v>
      </c>
      <c r="K12278" t="s">
        <v>1357</v>
      </c>
      <c r="L12278" t="s">
        <v>1357</v>
      </c>
    </row>
    <row r="12279" spans="1:12">
      <c r="H12279" t="s">
        <v>23324</v>
      </c>
      <c r="I12279" t="s">
        <v>1357</v>
      </c>
      <c r="J12279" t="s">
        <v>1357</v>
      </c>
      <c r="K12279" t="s">
        <v>1357</v>
      </c>
      <c r="L12279" t="s">
        <v>1357</v>
      </c>
    </row>
    <row r="12280" spans="1:12">
      <c r="H12280" t="s">
        <v>23325</v>
      </c>
      <c r="I12280" t="s">
        <v>1357</v>
      </c>
      <c r="J12280" t="s">
        <v>1357</v>
      </c>
      <c r="K12280" t="s">
        <v>1357</v>
      </c>
      <c r="L12280" t="s">
        <v>1357</v>
      </c>
    </row>
    <row r="12281" spans="1:12">
      <c r="H12281" t="s">
        <v>23326</v>
      </c>
      <c r="I12281" t="s">
        <v>1357</v>
      </c>
      <c r="J12281" t="s">
        <v>1357</v>
      </c>
      <c r="K12281" t="s">
        <v>1357</v>
      </c>
      <c r="L12281" t="s">
        <v>1357</v>
      </c>
    </row>
    <row r="12282" spans="1:12">
      <c r="H12282" t="s">
        <v>23327</v>
      </c>
      <c r="I12282" t="s">
        <v>1357</v>
      </c>
      <c r="J12282" t="s">
        <v>1357</v>
      </c>
      <c r="K12282" t="s">
        <v>1357</v>
      </c>
      <c r="L12282" t="s">
        <v>1357</v>
      </c>
    </row>
    <row r="12283" spans="1:12">
      <c r="H12283" t="s">
        <v>23328</v>
      </c>
      <c r="I12283" t="s">
        <v>1357</v>
      </c>
      <c r="J12283" t="s">
        <v>1357</v>
      </c>
      <c r="K12283" t="s">
        <v>1357</v>
      </c>
      <c r="L12283" t="s">
        <v>1357</v>
      </c>
    </row>
    <row r="12284" spans="1:12">
      <c r="H12284" t="s">
        <v>23329</v>
      </c>
      <c r="I12284" t="s">
        <v>1357</v>
      </c>
      <c r="J12284" t="s">
        <v>1357</v>
      </c>
      <c r="K12284" t="s">
        <v>1357</v>
      </c>
      <c r="L12284" t="s">
        <v>1357</v>
      </c>
    </row>
    <row r="12285" spans="1:12">
      <c r="A12285" t="s">
        <v>10848</v>
      </c>
      <c r="B12285">
        <f>HYPERLINK("https://android.googlesource.com/platform/cts/+/f2e0092e0858c3257dca4fdea419f08051346419", "f2e0092e0858c3257dca4fdea419f08051346419")</f>
        <v>0</v>
      </c>
      <c r="C12285">
        <f>HYPERLINK("https://android.googlesource.com/platform/cts/+/afe3d3ee615bfea1a1aa6e46a5ede9c9f582faca", "afe3d3ee615bfea1a1aa6e46a5ede9c9f582faca")</f>
        <v>0</v>
      </c>
      <c r="D12285" t="s">
        <v>12234</v>
      </c>
      <c r="E12285" t="s">
        <v>13384</v>
      </c>
      <c r="F12285" t="s">
        <v>14496</v>
      </c>
      <c r="G12285" t="s">
        <v>17342</v>
      </c>
      <c r="H12285" t="s">
        <v>23330</v>
      </c>
      <c r="I12285" t="s">
        <v>1358</v>
      </c>
      <c r="J12285" t="s">
        <v>1358</v>
      </c>
      <c r="K12285" t="s">
        <v>1358</v>
      </c>
      <c r="L12285" t="s">
        <v>1358</v>
      </c>
    </row>
    <row r="12286" spans="1:12">
      <c r="A12286" t="s">
        <v>10849</v>
      </c>
      <c r="B12286">
        <f>HYPERLINK("https://android.googlesource.com/platform/cts/+/b3394f2c9fc07f8ad73541b42e7972ffd2ec0444", "b3394f2c9fc07f8ad73541b42e7972ffd2ec0444")</f>
        <v>0</v>
      </c>
      <c r="C12286">
        <f>HYPERLINK("https://android.googlesource.com/platform/cts/+/677fc6381fac76f77bfa20af89b4adf2127c439d", "677fc6381fac76f77bfa20af89b4adf2127c439d")</f>
        <v>0</v>
      </c>
      <c r="D12286" t="s">
        <v>12235</v>
      </c>
      <c r="E12286" t="s">
        <v>13385</v>
      </c>
      <c r="F12286" t="s">
        <v>16460</v>
      </c>
      <c r="G12286" t="s">
        <v>19123</v>
      </c>
      <c r="H12286" t="s">
        <v>23141</v>
      </c>
      <c r="I12286" t="s">
        <v>1357</v>
      </c>
      <c r="J12286" t="s">
        <v>1357</v>
      </c>
      <c r="K12286" t="s">
        <v>1357</v>
      </c>
      <c r="L12286" t="s">
        <v>1357</v>
      </c>
    </row>
    <row r="12287" spans="1:12">
      <c r="F12287" t="s">
        <v>16461</v>
      </c>
      <c r="G12287" t="s">
        <v>19124</v>
      </c>
      <c r="H12287" t="s">
        <v>23142</v>
      </c>
      <c r="I12287" t="s">
        <v>1357</v>
      </c>
      <c r="J12287" t="s">
        <v>1357</v>
      </c>
      <c r="K12287" t="s">
        <v>1357</v>
      </c>
      <c r="L12287" t="s">
        <v>1357</v>
      </c>
    </row>
    <row r="12288" spans="1:12">
      <c r="A12288" t="s">
        <v>10850</v>
      </c>
      <c r="B12288">
        <f>HYPERLINK("https://android.googlesource.com/platform/cts/+/3151f8d0a27659e826f8338e7ebe598ba82b4a76", "3151f8d0a27659e826f8338e7ebe598ba82b4a76")</f>
        <v>0</v>
      </c>
      <c r="C12288">
        <f>HYPERLINK("https://android.googlesource.com/platform/cts/+/e33d09d45b475bdd9d7cc7532b2c750fa3790faf", "e33d09d45b475bdd9d7cc7532b2c750fa3790faf")</f>
        <v>0</v>
      </c>
      <c r="D12288" t="s">
        <v>12236</v>
      </c>
      <c r="E12288" t="s">
        <v>13386</v>
      </c>
      <c r="F12288" t="s">
        <v>16503</v>
      </c>
      <c r="G12288" t="s">
        <v>19161</v>
      </c>
      <c r="H12288" t="s">
        <v>23331</v>
      </c>
      <c r="I12288" t="s">
        <v>1358</v>
      </c>
      <c r="J12288" t="s">
        <v>1358</v>
      </c>
      <c r="K12288" t="s">
        <v>1358</v>
      </c>
      <c r="L12288" t="s">
        <v>1358</v>
      </c>
    </row>
    <row r="12289" spans="1:12">
      <c r="A12289" t="s">
        <v>10851</v>
      </c>
      <c r="B12289">
        <f>HYPERLINK("https://android.googlesource.com/platform/cts/+/ffe52878f6ee7695de02412d4a46f93abe3748ed", "ffe52878f6ee7695de02412d4a46f93abe3748ed")</f>
        <v>0</v>
      </c>
      <c r="C12289">
        <f>HYPERLINK("https://android.googlesource.com/platform/cts/+/38d5bec8b7cc788383c61ef48d6e9cb0afb038a0", "38d5bec8b7cc788383c61ef48d6e9cb0afb038a0")</f>
        <v>0</v>
      </c>
      <c r="D12289" t="s">
        <v>12164</v>
      </c>
      <c r="E12289" t="s">
        <v>13387</v>
      </c>
      <c r="F12289" t="s">
        <v>16504</v>
      </c>
      <c r="G12289" t="s">
        <v>19162</v>
      </c>
      <c r="H12289" t="s">
        <v>23332</v>
      </c>
      <c r="I12289" t="s">
        <v>1357</v>
      </c>
      <c r="J12289" t="s">
        <v>1357</v>
      </c>
      <c r="K12289" t="s">
        <v>1357</v>
      </c>
      <c r="L12289" t="s">
        <v>1357</v>
      </c>
    </row>
    <row r="12290" spans="1:12">
      <c r="H12290" t="s">
        <v>23333</v>
      </c>
      <c r="I12290" t="s">
        <v>1357</v>
      </c>
      <c r="J12290" t="s">
        <v>1357</v>
      </c>
      <c r="K12290" t="s">
        <v>1357</v>
      </c>
      <c r="L12290" t="s">
        <v>1357</v>
      </c>
    </row>
    <row r="12291" spans="1:12">
      <c r="H12291" t="s">
        <v>23334</v>
      </c>
      <c r="I12291" t="s">
        <v>1357</v>
      </c>
      <c r="J12291" t="s">
        <v>1357</v>
      </c>
      <c r="K12291" t="s">
        <v>1357</v>
      </c>
      <c r="L12291" t="s">
        <v>1357</v>
      </c>
    </row>
    <row r="12292" spans="1:12">
      <c r="H12292" t="s">
        <v>23335</v>
      </c>
      <c r="I12292" t="s">
        <v>1357</v>
      </c>
      <c r="J12292" t="s">
        <v>1357</v>
      </c>
      <c r="K12292" t="s">
        <v>1357</v>
      </c>
      <c r="L12292" t="s">
        <v>1357</v>
      </c>
    </row>
    <row r="12293" spans="1:12">
      <c r="H12293" t="s">
        <v>23336</v>
      </c>
      <c r="I12293" t="s">
        <v>1357</v>
      </c>
      <c r="J12293" t="s">
        <v>1357</v>
      </c>
      <c r="K12293" t="s">
        <v>1357</v>
      </c>
      <c r="L12293" t="s">
        <v>1357</v>
      </c>
    </row>
    <row r="12294" spans="1:12">
      <c r="F12294" t="s">
        <v>16384</v>
      </c>
      <c r="G12294" t="s">
        <v>19051</v>
      </c>
      <c r="H12294" t="s">
        <v>23337</v>
      </c>
      <c r="I12294" t="s">
        <v>1357</v>
      </c>
      <c r="J12294" t="s">
        <v>1357</v>
      </c>
      <c r="K12294" t="s">
        <v>1357</v>
      </c>
      <c r="L12294" t="s">
        <v>1357</v>
      </c>
    </row>
    <row r="12295" spans="1:12">
      <c r="H12295" t="s">
        <v>23338</v>
      </c>
      <c r="I12295" t="s">
        <v>1357</v>
      </c>
      <c r="J12295" t="s">
        <v>1357</v>
      </c>
      <c r="K12295" t="s">
        <v>1357</v>
      </c>
      <c r="L12295" t="s">
        <v>1357</v>
      </c>
    </row>
    <row r="12296" spans="1:12">
      <c r="A12296" t="s">
        <v>10852</v>
      </c>
      <c r="B12296">
        <f>HYPERLINK("https://android.googlesource.com/platform/cts/+/a9fe06c1f87e5df88942cf694672a4e41df5502e", "a9fe06c1f87e5df88942cf694672a4e41df5502e")</f>
        <v>0</v>
      </c>
      <c r="C12296">
        <f>HYPERLINK("https://android.googlesource.com/platform/cts/+/bdf7a2099c7a2e63881ae362414f2ee1aa6a0e2a", "bdf7a2099c7a2e63881ae362414f2ee1aa6a0e2a")</f>
        <v>0</v>
      </c>
      <c r="D12296" t="s">
        <v>12237</v>
      </c>
      <c r="E12296" t="s">
        <v>13388</v>
      </c>
      <c r="F12296" t="s">
        <v>16171</v>
      </c>
      <c r="G12296" t="s">
        <v>18734</v>
      </c>
      <c r="H12296" t="s">
        <v>23339</v>
      </c>
      <c r="I12296" t="s">
        <v>1357</v>
      </c>
      <c r="J12296" t="s">
        <v>1357</v>
      </c>
      <c r="K12296" t="s">
        <v>1357</v>
      </c>
      <c r="L12296" t="s">
        <v>1357</v>
      </c>
    </row>
    <row r="12297" spans="1:12">
      <c r="H12297" t="s">
        <v>23340</v>
      </c>
      <c r="I12297" t="s">
        <v>1357</v>
      </c>
      <c r="J12297" t="s">
        <v>1357</v>
      </c>
      <c r="K12297" t="s">
        <v>1357</v>
      </c>
      <c r="L12297" t="s">
        <v>1357</v>
      </c>
    </row>
    <row r="12298" spans="1:12">
      <c r="A12298" t="s">
        <v>10853</v>
      </c>
      <c r="B12298">
        <f>HYPERLINK("https://android.googlesource.com/platform/cts/+/5788d466601e202fb81eaffda73c4e99fd8ad269", "5788d466601e202fb81eaffda73c4e99fd8ad269")</f>
        <v>0</v>
      </c>
      <c r="C12298">
        <f>HYPERLINK("https://android.googlesource.com/platform/cts/+/3c74c0ebc468b879d7fac9f7638fff2f6e8e2eed", "3c74c0ebc468b879d7fac9f7638fff2f6e8e2eed")</f>
        <v>0</v>
      </c>
      <c r="D12298" t="s">
        <v>12163</v>
      </c>
      <c r="E12298" t="s">
        <v>13389</v>
      </c>
      <c r="F12298" t="s">
        <v>16505</v>
      </c>
      <c r="G12298" t="s">
        <v>19163</v>
      </c>
      <c r="H12298" t="s">
        <v>23341</v>
      </c>
      <c r="I12298" t="s">
        <v>1357</v>
      </c>
      <c r="J12298" t="s">
        <v>1357</v>
      </c>
      <c r="K12298" t="s">
        <v>1357</v>
      </c>
      <c r="L12298" t="s">
        <v>1357</v>
      </c>
    </row>
    <row r="12299" spans="1:12">
      <c r="H12299" t="s">
        <v>23342</v>
      </c>
      <c r="I12299" t="s">
        <v>1357</v>
      </c>
      <c r="J12299" t="s">
        <v>1357</v>
      </c>
      <c r="K12299" t="s">
        <v>1357</v>
      </c>
      <c r="L12299" t="s">
        <v>1357</v>
      </c>
    </row>
    <row r="12300" spans="1:12">
      <c r="H12300" t="s">
        <v>23343</v>
      </c>
      <c r="I12300" t="s">
        <v>1357</v>
      </c>
      <c r="J12300" t="s">
        <v>1357</v>
      </c>
      <c r="K12300" t="s">
        <v>1357</v>
      </c>
      <c r="L12300" t="s">
        <v>1357</v>
      </c>
    </row>
    <row r="12301" spans="1:12">
      <c r="H12301" t="s">
        <v>23344</v>
      </c>
      <c r="I12301" t="s">
        <v>1357</v>
      </c>
      <c r="J12301" t="s">
        <v>1357</v>
      </c>
      <c r="K12301" t="s">
        <v>1357</v>
      </c>
      <c r="L12301" t="s">
        <v>1357</v>
      </c>
    </row>
    <row r="12302" spans="1:12">
      <c r="H12302" t="s">
        <v>23345</v>
      </c>
      <c r="I12302" t="s">
        <v>1357</v>
      </c>
      <c r="J12302" t="s">
        <v>1357</v>
      </c>
      <c r="K12302" t="s">
        <v>1357</v>
      </c>
      <c r="L12302" t="s">
        <v>1357</v>
      </c>
    </row>
    <row r="12303" spans="1:12">
      <c r="H12303" t="s">
        <v>23346</v>
      </c>
      <c r="I12303" t="s">
        <v>1357</v>
      </c>
      <c r="J12303" t="s">
        <v>1357</v>
      </c>
      <c r="K12303" t="s">
        <v>1357</v>
      </c>
      <c r="L12303" t="s">
        <v>1357</v>
      </c>
    </row>
    <row r="12304" spans="1:12">
      <c r="H12304" t="s">
        <v>23347</v>
      </c>
      <c r="I12304" t="s">
        <v>1357</v>
      </c>
      <c r="J12304" t="s">
        <v>1357</v>
      </c>
      <c r="K12304" t="s">
        <v>1357</v>
      </c>
      <c r="L12304" t="s">
        <v>1357</v>
      </c>
    </row>
    <row r="12305" spans="1:12">
      <c r="H12305" t="s">
        <v>23348</v>
      </c>
      <c r="I12305" t="s">
        <v>1357</v>
      </c>
      <c r="J12305" t="s">
        <v>1357</v>
      </c>
      <c r="K12305" t="s">
        <v>1357</v>
      </c>
      <c r="L12305" t="s">
        <v>1357</v>
      </c>
    </row>
    <row r="12306" spans="1:12">
      <c r="H12306" t="s">
        <v>23349</v>
      </c>
      <c r="I12306" t="s">
        <v>1357</v>
      </c>
      <c r="J12306" t="s">
        <v>1357</v>
      </c>
      <c r="K12306" t="s">
        <v>1357</v>
      </c>
      <c r="L12306" t="s">
        <v>1357</v>
      </c>
    </row>
    <row r="12307" spans="1:12">
      <c r="H12307" t="s">
        <v>23350</v>
      </c>
      <c r="I12307" t="s">
        <v>1357</v>
      </c>
      <c r="J12307" t="s">
        <v>1357</v>
      </c>
      <c r="K12307" t="s">
        <v>1357</v>
      </c>
      <c r="L12307" t="s">
        <v>1357</v>
      </c>
    </row>
    <row r="12308" spans="1:12">
      <c r="H12308" t="s">
        <v>23351</v>
      </c>
      <c r="I12308" t="s">
        <v>1357</v>
      </c>
      <c r="J12308" t="s">
        <v>1357</v>
      </c>
      <c r="K12308" t="s">
        <v>1357</v>
      </c>
      <c r="L12308" t="s">
        <v>1357</v>
      </c>
    </row>
    <row r="12309" spans="1:12">
      <c r="H12309" t="s">
        <v>23352</v>
      </c>
      <c r="I12309" t="s">
        <v>1357</v>
      </c>
      <c r="J12309" t="s">
        <v>1357</v>
      </c>
      <c r="K12309" t="s">
        <v>1357</v>
      </c>
      <c r="L12309" t="s">
        <v>1357</v>
      </c>
    </row>
    <row r="12310" spans="1:12">
      <c r="H12310" t="s">
        <v>23353</v>
      </c>
      <c r="I12310" t="s">
        <v>1357</v>
      </c>
      <c r="J12310" t="s">
        <v>1357</v>
      </c>
      <c r="K12310" t="s">
        <v>1357</v>
      </c>
      <c r="L12310" t="s">
        <v>1357</v>
      </c>
    </row>
    <row r="12311" spans="1:12">
      <c r="H12311" t="s">
        <v>23354</v>
      </c>
      <c r="I12311" t="s">
        <v>1357</v>
      </c>
      <c r="J12311" t="s">
        <v>1357</v>
      </c>
      <c r="K12311" t="s">
        <v>1357</v>
      </c>
      <c r="L12311" t="s">
        <v>1357</v>
      </c>
    </row>
    <row r="12312" spans="1:12">
      <c r="H12312" t="s">
        <v>23355</v>
      </c>
      <c r="I12312" t="s">
        <v>1357</v>
      </c>
      <c r="J12312" t="s">
        <v>1357</v>
      </c>
      <c r="K12312" t="s">
        <v>1357</v>
      </c>
      <c r="L12312" t="s">
        <v>1357</v>
      </c>
    </row>
    <row r="12313" spans="1:12">
      <c r="H12313" t="s">
        <v>23356</v>
      </c>
      <c r="I12313" t="s">
        <v>1357</v>
      </c>
      <c r="J12313" t="s">
        <v>1357</v>
      </c>
      <c r="K12313" t="s">
        <v>1357</v>
      </c>
      <c r="L12313" t="s">
        <v>1357</v>
      </c>
    </row>
    <row r="12314" spans="1:12">
      <c r="H12314" t="s">
        <v>23357</v>
      </c>
      <c r="I12314" t="s">
        <v>1357</v>
      </c>
      <c r="J12314" t="s">
        <v>1357</v>
      </c>
      <c r="K12314" t="s">
        <v>1357</v>
      </c>
      <c r="L12314" t="s">
        <v>1357</v>
      </c>
    </row>
    <row r="12315" spans="1:12">
      <c r="F12315" t="s">
        <v>16138</v>
      </c>
      <c r="G12315" t="s">
        <v>18822</v>
      </c>
      <c r="H12315" t="s">
        <v>23358</v>
      </c>
      <c r="I12315" t="s">
        <v>1357</v>
      </c>
      <c r="J12315" t="s">
        <v>1357</v>
      </c>
      <c r="K12315" t="s">
        <v>1357</v>
      </c>
      <c r="L12315" t="s">
        <v>1357</v>
      </c>
    </row>
    <row r="12316" spans="1:12">
      <c r="F12316" t="s">
        <v>16147</v>
      </c>
      <c r="G12316" t="s">
        <v>17894</v>
      </c>
      <c r="H12316" t="s">
        <v>23359</v>
      </c>
      <c r="I12316" t="s">
        <v>1357</v>
      </c>
      <c r="J12316" t="s">
        <v>1357</v>
      </c>
      <c r="K12316" t="s">
        <v>1357</v>
      </c>
      <c r="L12316" t="s">
        <v>1357</v>
      </c>
    </row>
    <row r="12317" spans="1:12">
      <c r="H12317" t="s">
        <v>23360</v>
      </c>
      <c r="I12317" t="s">
        <v>1357</v>
      </c>
      <c r="J12317" t="s">
        <v>1357</v>
      </c>
      <c r="K12317" t="s">
        <v>1357</v>
      </c>
      <c r="L12317" t="s">
        <v>1357</v>
      </c>
    </row>
    <row r="12318" spans="1:12">
      <c r="A12318" t="s">
        <v>10854</v>
      </c>
      <c r="B12318">
        <f>HYPERLINK("https://android.googlesource.com/platform/cts/+/62df704ccbdd956a6018310d4e389223a436fe4e", "62df704ccbdd956a6018310d4e389223a436fe4e")</f>
        <v>0</v>
      </c>
      <c r="C12318">
        <f>HYPERLINK("https://android.googlesource.com/platform/cts/+/c3c270b6a9f795cd52975e3d6829e6e420300d64", "c3c270b6a9f795cd52975e3d6829e6e420300d64")</f>
        <v>0</v>
      </c>
      <c r="D12318" t="s">
        <v>12238</v>
      </c>
      <c r="E12318" t="s">
        <v>13390</v>
      </c>
      <c r="F12318" t="s">
        <v>16099</v>
      </c>
      <c r="G12318" t="s">
        <v>18788</v>
      </c>
      <c r="H12318" t="s">
        <v>23361</v>
      </c>
      <c r="I12318" t="s">
        <v>1358</v>
      </c>
      <c r="J12318" t="s">
        <v>1358</v>
      </c>
      <c r="K12318" t="s">
        <v>1358</v>
      </c>
      <c r="L12318" t="s">
        <v>1358</v>
      </c>
    </row>
    <row r="12319" spans="1:12">
      <c r="A12319" t="s">
        <v>10855</v>
      </c>
      <c r="B12319">
        <f>HYPERLINK("https://android.googlesource.com/platform/cts/+/ca860dfb4a56aae4871151bec87ebf7c8c21b054", "ca860dfb4a56aae4871151bec87ebf7c8c21b054")</f>
        <v>0</v>
      </c>
      <c r="C12319">
        <f>HYPERLINK("https://android.googlesource.com/platform/cts/+/425334c29c09fabcb7ced887234c682994d4c996", "425334c29c09fabcb7ced887234c682994d4c996")</f>
        <v>0</v>
      </c>
      <c r="D12319" t="s">
        <v>12164</v>
      </c>
      <c r="E12319" t="s">
        <v>13391</v>
      </c>
      <c r="F12319" t="s">
        <v>16180</v>
      </c>
      <c r="G12319" t="s">
        <v>18860</v>
      </c>
      <c r="H12319" t="s">
        <v>23362</v>
      </c>
      <c r="I12319" t="s">
        <v>1357</v>
      </c>
      <c r="J12319" t="s">
        <v>1357</v>
      </c>
      <c r="K12319" t="s">
        <v>1357</v>
      </c>
      <c r="L12319" t="s">
        <v>1357</v>
      </c>
    </row>
    <row r="12320" spans="1:12">
      <c r="F12320" t="s">
        <v>16506</v>
      </c>
      <c r="G12320" t="s">
        <v>19164</v>
      </c>
      <c r="H12320" t="s">
        <v>23363</v>
      </c>
      <c r="I12320" t="s">
        <v>1357</v>
      </c>
      <c r="J12320" t="s">
        <v>1357</v>
      </c>
      <c r="K12320" t="s">
        <v>1357</v>
      </c>
      <c r="L12320" t="s">
        <v>1357</v>
      </c>
    </row>
    <row r="12321" spans="1:13">
      <c r="H12321" t="s">
        <v>23364</v>
      </c>
      <c r="I12321" t="s">
        <v>1358</v>
      </c>
      <c r="J12321" t="s">
        <v>1358</v>
      </c>
      <c r="K12321" t="s">
        <v>1358</v>
      </c>
      <c r="L12321" t="s">
        <v>1358</v>
      </c>
    </row>
    <row r="12322" spans="1:13">
      <c r="H12322" t="s">
        <v>23365</v>
      </c>
      <c r="I12322" t="s">
        <v>1358</v>
      </c>
      <c r="J12322" t="s">
        <v>1358</v>
      </c>
      <c r="K12322" t="s">
        <v>1358</v>
      </c>
      <c r="L12322" t="s">
        <v>1358</v>
      </c>
    </row>
    <row r="12323" spans="1:13">
      <c r="A12323" t="s">
        <v>10856</v>
      </c>
      <c r="B12323">
        <f>HYPERLINK("https://android.googlesource.com/platform/cts/+/bba47e7e77e7ffc0fe0870679dca70c29ad1cde0", "bba47e7e77e7ffc0fe0870679dca70c29ad1cde0")</f>
        <v>0</v>
      </c>
      <c r="C12323">
        <f>HYPERLINK("https://android.googlesource.com/platform/cts/+/76b34c577d58d088426280d28fd223d0bf4bb4a8", "76b34c577d58d088426280d28fd223d0bf4bb4a8")</f>
        <v>0</v>
      </c>
      <c r="D12323" t="s">
        <v>12235</v>
      </c>
      <c r="E12323" t="s">
        <v>13392</v>
      </c>
      <c r="F12323" t="s">
        <v>16507</v>
      </c>
      <c r="G12323" t="s">
        <v>19165</v>
      </c>
      <c r="H12323" t="s">
        <v>23366</v>
      </c>
      <c r="I12323" t="s">
        <v>1357</v>
      </c>
      <c r="J12323" t="s">
        <v>1357</v>
      </c>
      <c r="K12323" t="s">
        <v>1357</v>
      </c>
      <c r="L12323" t="s">
        <v>1357</v>
      </c>
    </row>
    <row r="12324" spans="1:13">
      <c r="H12324" t="s">
        <v>23367</v>
      </c>
      <c r="I12324" t="s">
        <v>1357</v>
      </c>
      <c r="J12324" t="s">
        <v>1357</v>
      </c>
      <c r="K12324" t="s">
        <v>1357</v>
      </c>
      <c r="L12324" t="s">
        <v>1357</v>
      </c>
    </row>
    <row r="12325" spans="1:13">
      <c r="A12325" t="s">
        <v>10857</v>
      </c>
      <c r="B12325">
        <f>HYPERLINK("https://android.googlesource.com/platform/cts/+/e2fcb9d64ba10f07a69a6b96a7f7e1465856172a", "e2fcb9d64ba10f07a69a6b96a7f7e1465856172a")</f>
        <v>0</v>
      </c>
      <c r="C12325">
        <f>HYPERLINK("https://android.googlesource.com/platform/cts/+/7ee57eb05b56a186d67e7fb98a4a9bfaea722814", "7ee57eb05b56a186d67e7fb98a4a9bfaea722814")</f>
        <v>0</v>
      </c>
      <c r="D12325" t="s">
        <v>12239</v>
      </c>
      <c r="E12325" t="s">
        <v>13393</v>
      </c>
      <c r="F12325" t="s">
        <v>16396</v>
      </c>
      <c r="G12325" t="s">
        <v>19062</v>
      </c>
      <c r="H12325" t="s">
        <v>23368</v>
      </c>
      <c r="I12325" t="s">
        <v>1357</v>
      </c>
      <c r="J12325" t="s">
        <v>1357</v>
      </c>
      <c r="K12325" t="s">
        <v>1357</v>
      </c>
      <c r="L12325" t="s">
        <v>1357</v>
      </c>
    </row>
    <row r="12326" spans="1:13">
      <c r="A12326" t="s">
        <v>10858</v>
      </c>
      <c r="B12326">
        <f>HYPERLINK("https://android.googlesource.com/platform/cts/+/fbd9993b0a051e7076c4305f1b842122482dfe81", "fbd9993b0a051e7076c4305f1b842122482dfe81")</f>
        <v>0</v>
      </c>
      <c r="C12326">
        <f>HYPERLINK("https://android.googlesource.com/platform/cts/+/336b8768d7e88d33a81c0d062a64834afbce2b8f", "336b8768d7e88d33a81c0d062a64834afbce2b8f")</f>
        <v>0</v>
      </c>
      <c r="D12326" t="s">
        <v>12239</v>
      </c>
      <c r="E12326" t="s">
        <v>13394</v>
      </c>
      <c r="F12326" t="s">
        <v>16396</v>
      </c>
      <c r="G12326" t="s">
        <v>19062</v>
      </c>
      <c r="H12326" t="s">
        <v>23368</v>
      </c>
      <c r="I12326" t="s">
        <v>1357</v>
      </c>
      <c r="J12326" t="s">
        <v>1357</v>
      </c>
      <c r="K12326" t="s">
        <v>1357</v>
      </c>
      <c r="L12326" t="s">
        <v>1357</v>
      </c>
      <c r="M12326" t="s">
        <v>9957</v>
      </c>
    </row>
    <row r="12327" spans="1:13">
      <c r="A12327" t="s">
        <v>10859</v>
      </c>
      <c r="B12327">
        <f>HYPERLINK("https://android.googlesource.com/platform/cts/+/7cfffe08c841abdc01b0e29e90083493495df8a7", "7cfffe08c841abdc01b0e29e90083493495df8a7")</f>
        <v>0</v>
      </c>
      <c r="C12327">
        <f>HYPERLINK("https://android.googlesource.com/platform/cts/+/67e9da2b4df5f86501e9195e7d0f46017ddc5616", "67e9da2b4df5f86501e9195e7d0f46017ddc5616")</f>
        <v>0</v>
      </c>
      <c r="D12327" t="s">
        <v>12122</v>
      </c>
      <c r="E12327" t="s">
        <v>13395</v>
      </c>
      <c r="F12327" t="s">
        <v>15184</v>
      </c>
      <c r="G12327" t="s">
        <v>17886</v>
      </c>
      <c r="H12327" t="s">
        <v>23369</v>
      </c>
      <c r="I12327" t="s">
        <v>1359</v>
      </c>
      <c r="J12327" t="s">
        <v>1358</v>
      </c>
      <c r="K12327" t="s">
        <v>1357</v>
      </c>
      <c r="L12327" t="s">
        <v>1358</v>
      </c>
    </row>
    <row r="12328" spans="1:13">
      <c r="A12328" t="s">
        <v>10860</v>
      </c>
      <c r="B12328">
        <f>HYPERLINK("https://android.googlesource.com/platform/cts/+/ad7327c6b72caba39a2d8625f048d907715a911c", "ad7327c6b72caba39a2d8625f048d907715a911c")</f>
        <v>0</v>
      </c>
      <c r="C12328">
        <f>HYPERLINK("https://android.googlesource.com/platform/cts/+/e3b6ea84b938ed570f1088f94ad100558231b7dd", "e3b6ea84b938ed570f1088f94ad100558231b7dd")</f>
        <v>0</v>
      </c>
      <c r="D12328" t="s">
        <v>12108</v>
      </c>
      <c r="E12328" t="s">
        <v>13396</v>
      </c>
      <c r="F12328" t="s">
        <v>16483</v>
      </c>
      <c r="G12328" t="s">
        <v>19143</v>
      </c>
      <c r="H12328" t="s">
        <v>8338</v>
      </c>
      <c r="I12328" t="s">
        <v>1357</v>
      </c>
      <c r="J12328" t="s">
        <v>1357</v>
      </c>
      <c r="K12328" t="s">
        <v>1357</v>
      </c>
      <c r="L12328" t="s">
        <v>1357</v>
      </c>
    </row>
    <row r="12329" spans="1:13">
      <c r="A12329" t="s">
        <v>10861</v>
      </c>
      <c r="B12329">
        <f>HYPERLINK("https://android.googlesource.com/platform/cts/+/0e3b362d39e012c4c2a29c2319ee1b8c57ceb322", "0e3b362d39e012c4c2a29c2319ee1b8c57ceb322")</f>
        <v>0</v>
      </c>
      <c r="C12329">
        <f>HYPERLINK("https://android.googlesource.com/platform/cts/+/7532a8453a3013b9386d67b237e5f336c90d5e76", "7532a8453a3013b9386d67b237e5f336c90d5e76")</f>
        <v>0</v>
      </c>
      <c r="D12329" t="s">
        <v>12111</v>
      </c>
      <c r="E12329" t="s">
        <v>13397</v>
      </c>
      <c r="F12329" t="s">
        <v>16508</v>
      </c>
      <c r="G12329" t="s">
        <v>19166</v>
      </c>
      <c r="H12329" t="s">
        <v>23370</v>
      </c>
      <c r="I12329" t="s">
        <v>1357</v>
      </c>
      <c r="J12329" t="s">
        <v>1357</v>
      </c>
      <c r="K12329" t="s">
        <v>1357</v>
      </c>
      <c r="L12329" t="s">
        <v>1357</v>
      </c>
    </row>
    <row r="12330" spans="1:13">
      <c r="F12330" t="s">
        <v>16509</v>
      </c>
      <c r="G12330" t="s">
        <v>19167</v>
      </c>
      <c r="H12330" t="s">
        <v>23370</v>
      </c>
      <c r="I12330" t="s">
        <v>1357</v>
      </c>
      <c r="J12330" t="s">
        <v>1357</v>
      </c>
      <c r="K12330" t="s">
        <v>1357</v>
      </c>
      <c r="L12330" t="s">
        <v>1357</v>
      </c>
    </row>
    <row r="12331" spans="1:13">
      <c r="A12331" t="s">
        <v>10862</v>
      </c>
      <c r="B12331">
        <f>HYPERLINK("https://android.googlesource.com/platform/cts/+/1f1196586f2035e09377ba5da2b654617846177b", "1f1196586f2035e09377ba5da2b654617846177b")</f>
        <v>0</v>
      </c>
      <c r="C12331">
        <f>HYPERLINK("https://android.googlesource.com/platform/cts/+/4ab736571a2546da9015c2a82e49964f21602e9e", "4ab736571a2546da9015c2a82e49964f21602e9e")</f>
        <v>0</v>
      </c>
      <c r="D12331" t="s">
        <v>12115</v>
      </c>
      <c r="E12331" t="s">
        <v>13398</v>
      </c>
      <c r="F12331" t="s">
        <v>16510</v>
      </c>
      <c r="G12331" t="s">
        <v>19168</v>
      </c>
      <c r="H12331" t="s">
        <v>23371</v>
      </c>
      <c r="I12331" t="s">
        <v>1357</v>
      </c>
      <c r="J12331" t="s">
        <v>1357</v>
      </c>
      <c r="K12331" t="s">
        <v>1357</v>
      </c>
      <c r="L12331" t="s">
        <v>1357</v>
      </c>
    </row>
    <row r="12332" spans="1:13">
      <c r="H12332" t="s">
        <v>23372</v>
      </c>
      <c r="I12332" t="s">
        <v>1357</v>
      </c>
      <c r="J12332" t="s">
        <v>1357</v>
      </c>
      <c r="K12332" t="s">
        <v>1357</v>
      </c>
      <c r="L12332" t="s">
        <v>1357</v>
      </c>
    </row>
    <row r="12333" spans="1:13">
      <c r="H12333" t="s">
        <v>23373</v>
      </c>
      <c r="I12333" t="s">
        <v>1357</v>
      </c>
      <c r="J12333" t="s">
        <v>1357</v>
      </c>
      <c r="K12333" t="s">
        <v>1357</v>
      </c>
      <c r="L12333" t="s">
        <v>1357</v>
      </c>
    </row>
    <row r="12334" spans="1:13">
      <c r="H12334" t="s">
        <v>23374</v>
      </c>
      <c r="I12334" t="s">
        <v>1357</v>
      </c>
      <c r="J12334" t="s">
        <v>1357</v>
      </c>
      <c r="K12334" t="s">
        <v>1357</v>
      </c>
      <c r="L12334" t="s">
        <v>1357</v>
      </c>
    </row>
    <row r="12335" spans="1:13">
      <c r="H12335" t="s">
        <v>23375</v>
      </c>
      <c r="I12335" t="s">
        <v>1357</v>
      </c>
      <c r="J12335" t="s">
        <v>1357</v>
      </c>
      <c r="K12335" t="s">
        <v>1357</v>
      </c>
      <c r="L12335" t="s">
        <v>1357</v>
      </c>
    </row>
    <row r="12336" spans="1:13">
      <c r="H12336" t="s">
        <v>23376</v>
      </c>
      <c r="I12336" t="s">
        <v>1357</v>
      </c>
      <c r="J12336" t="s">
        <v>1357</v>
      </c>
      <c r="K12336" t="s">
        <v>1357</v>
      </c>
      <c r="L12336" t="s">
        <v>1357</v>
      </c>
    </row>
    <row r="12337" spans="1:12">
      <c r="H12337" t="s">
        <v>23377</v>
      </c>
      <c r="I12337" t="s">
        <v>1357</v>
      </c>
      <c r="J12337" t="s">
        <v>1357</v>
      </c>
      <c r="K12337" t="s">
        <v>1357</v>
      </c>
      <c r="L12337" t="s">
        <v>1357</v>
      </c>
    </row>
    <row r="12338" spans="1:12">
      <c r="H12338" t="s">
        <v>23378</v>
      </c>
      <c r="I12338" t="s">
        <v>1357</v>
      </c>
      <c r="J12338" t="s">
        <v>1357</v>
      </c>
      <c r="K12338" t="s">
        <v>1357</v>
      </c>
      <c r="L12338" t="s">
        <v>1357</v>
      </c>
    </row>
    <row r="12339" spans="1:12">
      <c r="H12339" t="s">
        <v>23379</v>
      </c>
      <c r="I12339" t="s">
        <v>1357</v>
      </c>
      <c r="J12339" t="s">
        <v>1357</v>
      </c>
      <c r="K12339" t="s">
        <v>1357</v>
      </c>
      <c r="L12339" t="s">
        <v>1357</v>
      </c>
    </row>
    <row r="12340" spans="1:12">
      <c r="H12340" t="s">
        <v>23380</v>
      </c>
      <c r="I12340" t="s">
        <v>1357</v>
      </c>
      <c r="J12340" t="s">
        <v>1357</v>
      </c>
      <c r="K12340" t="s">
        <v>1357</v>
      </c>
      <c r="L12340" t="s">
        <v>1357</v>
      </c>
    </row>
    <row r="12341" spans="1:12">
      <c r="F12341" t="s">
        <v>16511</v>
      </c>
      <c r="G12341" t="s">
        <v>19169</v>
      </c>
      <c r="H12341" t="s">
        <v>23381</v>
      </c>
      <c r="I12341" t="s">
        <v>1357</v>
      </c>
      <c r="J12341" t="s">
        <v>1357</v>
      </c>
      <c r="K12341" t="s">
        <v>1357</v>
      </c>
      <c r="L12341" t="s">
        <v>1357</v>
      </c>
    </row>
    <row r="12342" spans="1:12">
      <c r="A12342" t="s">
        <v>10863</v>
      </c>
      <c r="B12342">
        <f>HYPERLINK("https://android.googlesource.com/platform/cts/+/7ac93cd7f402475654367c47119f34b08de40b02", "7ac93cd7f402475654367c47119f34b08de40b02")</f>
        <v>0</v>
      </c>
      <c r="C12342">
        <f>HYPERLINK("https://android.googlesource.com/platform/cts/+/f25e7b6acdbd6c749656d8bf8d38f2e6ce0f4819", "f25e7b6acdbd6c749656d8bf8d38f2e6ce0f4819")</f>
        <v>0</v>
      </c>
      <c r="D12342" t="s">
        <v>12089</v>
      </c>
      <c r="E12342" t="s">
        <v>13399</v>
      </c>
      <c r="F12342" t="s">
        <v>16512</v>
      </c>
      <c r="G12342" t="s">
        <v>19170</v>
      </c>
      <c r="H12342" t="s">
        <v>23382</v>
      </c>
      <c r="I12342" t="s">
        <v>1357</v>
      </c>
      <c r="J12342" t="s">
        <v>1357</v>
      </c>
      <c r="K12342" t="s">
        <v>1357</v>
      </c>
      <c r="L12342" t="s">
        <v>1357</v>
      </c>
    </row>
    <row r="12343" spans="1:12">
      <c r="H12343" t="s">
        <v>23383</v>
      </c>
      <c r="I12343" t="s">
        <v>1357</v>
      </c>
      <c r="J12343" t="s">
        <v>1357</v>
      </c>
      <c r="K12343" t="s">
        <v>1357</v>
      </c>
      <c r="L12343" t="s">
        <v>1357</v>
      </c>
    </row>
    <row r="12344" spans="1:12">
      <c r="A12344" t="s">
        <v>10864</v>
      </c>
      <c r="B12344">
        <f>HYPERLINK("https://android.googlesource.com/platform/cts/+/d8de21b0f4f2cbe5790aa2395741308b0e257db6", "d8de21b0f4f2cbe5790aa2395741308b0e257db6")</f>
        <v>0</v>
      </c>
      <c r="C12344">
        <f>HYPERLINK("https://android.googlesource.com/platform/cts/+/ac893b69c1f75fa4b6fa0f38967c5cfae85e2bd0", "ac893b69c1f75fa4b6fa0f38967c5cfae85e2bd0")</f>
        <v>0</v>
      </c>
      <c r="D12344" t="s">
        <v>12240</v>
      </c>
      <c r="E12344" t="s">
        <v>13400</v>
      </c>
      <c r="F12344" t="s">
        <v>16513</v>
      </c>
      <c r="G12344" t="s">
        <v>19171</v>
      </c>
      <c r="H12344" t="s">
        <v>23384</v>
      </c>
      <c r="I12344" t="s">
        <v>1357</v>
      </c>
      <c r="J12344" t="s">
        <v>1357</v>
      </c>
      <c r="K12344" t="s">
        <v>1357</v>
      </c>
      <c r="L12344" t="s">
        <v>1357</v>
      </c>
    </row>
    <row r="12345" spans="1:12">
      <c r="H12345" t="s">
        <v>23385</v>
      </c>
      <c r="I12345" t="s">
        <v>1357</v>
      </c>
      <c r="J12345" t="s">
        <v>1357</v>
      </c>
      <c r="K12345" t="s">
        <v>1357</v>
      </c>
      <c r="L12345" t="s">
        <v>1357</v>
      </c>
    </row>
    <row r="12346" spans="1:12">
      <c r="H12346" t="s">
        <v>23386</v>
      </c>
      <c r="I12346" t="s">
        <v>1357</v>
      </c>
      <c r="J12346" t="s">
        <v>1357</v>
      </c>
      <c r="K12346" t="s">
        <v>1357</v>
      </c>
      <c r="L12346" t="s">
        <v>1357</v>
      </c>
    </row>
    <row r="12347" spans="1:12">
      <c r="A12347" t="s">
        <v>10865</v>
      </c>
      <c r="B12347">
        <f>HYPERLINK("https://android.googlesource.com/platform/cts/+/601ef229f895fdf7d8d482e194b9f9ff8df27c82", "601ef229f895fdf7d8d482e194b9f9ff8df27c82")</f>
        <v>0</v>
      </c>
      <c r="C12347">
        <f>HYPERLINK("https://android.googlesource.com/platform/cts/+/a31b7c55e1bb228420ead613b1bfe37d7fe0c119", "a31b7c55e1bb228420ead613b1bfe37d7fe0c119")</f>
        <v>0</v>
      </c>
      <c r="D12347" t="s">
        <v>12145</v>
      </c>
      <c r="E12347" t="s">
        <v>13401</v>
      </c>
      <c r="F12347" t="s">
        <v>16514</v>
      </c>
      <c r="G12347" t="s">
        <v>19172</v>
      </c>
      <c r="H12347" t="s">
        <v>23387</v>
      </c>
      <c r="I12347" t="s">
        <v>1357</v>
      </c>
      <c r="J12347" t="s">
        <v>1357</v>
      </c>
      <c r="K12347" t="s">
        <v>1357</v>
      </c>
      <c r="L12347" t="s">
        <v>1357</v>
      </c>
    </row>
    <row r="12348" spans="1:12">
      <c r="H12348" t="s">
        <v>23388</v>
      </c>
      <c r="I12348" t="s">
        <v>1357</v>
      </c>
      <c r="J12348" t="s">
        <v>1357</v>
      </c>
      <c r="K12348" t="s">
        <v>1357</v>
      </c>
      <c r="L12348" t="s">
        <v>1357</v>
      </c>
    </row>
    <row r="12349" spans="1:12">
      <c r="H12349" t="s">
        <v>23389</v>
      </c>
      <c r="I12349" t="s">
        <v>1357</v>
      </c>
      <c r="J12349" t="s">
        <v>1357</v>
      </c>
      <c r="K12349" t="s">
        <v>1357</v>
      </c>
      <c r="L12349" t="s">
        <v>1357</v>
      </c>
    </row>
    <row r="12350" spans="1:12">
      <c r="H12350" t="s">
        <v>23390</v>
      </c>
      <c r="I12350" t="s">
        <v>1357</v>
      </c>
      <c r="J12350" t="s">
        <v>1357</v>
      </c>
      <c r="K12350" t="s">
        <v>1357</v>
      </c>
      <c r="L12350" t="s">
        <v>1357</v>
      </c>
    </row>
    <row r="12351" spans="1:12">
      <c r="F12351" t="s">
        <v>16515</v>
      </c>
      <c r="G12351" t="s">
        <v>19173</v>
      </c>
      <c r="H12351" t="s">
        <v>23391</v>
      </c>
      <c r="I12351" t="s">
        <v>1357</v>
      </c>
      <c r="J12351" t="s">
        <v>1357</v>
      </c>
      <c r="K12351" t="s">
        <v>1357</v>
      </c>
      <c r="L12351" t="s">
        <v>1357</v>
      </c>
    </row>
    <row r="12352" spans="1:12">
      <c r="H12352" t="s">
        <v>23392</v>
      </c>
      <c r="I12352" t="s">
        <v>1357</v>
      </c>
      <c r="J12352" t="s">
        <v>1357</v>
      </c>
      <c r="K12352" t="s">
        <v>1357</v>
      </c>
      <c r="L12352" t="s">
        <v>1357</v>
      </c>
    </row>
    <row r="12353" spans="1:13">
      <c r="F12353" t="s">
        <v>16516</v>
      </c>
      <c r="G12353" t="s">
        <v>19174</v>
      </c>
      <c r="H12353" t="s">
        <v>23393</v>
      </c>
      <c r="I12353" t="s">
        <v>1357</v>
      </c>
      <c r="J12353" t="s">
        <v>1357</v>
      </c>
      <c r="K12353" t="s">
        <v>1357</v>
      </c>
      <c r="L12353" t="s">
        <v>1357</v>
      </c>
    </row>
    <row r="12354" spans="1:13">
      <c r="F12354" t="s">
        <v>16099</v>
      </c>
      <c r="G12354" t="s">
        <v>18788</v>
      </c>
      <c r="H12354" t="s">
        <v>23393</v>
      </c>
      <c r="I12354" t="s">
        <v>1357</v>
      </c>
      <c r="J12354" t="s">
        <v>1357</v>
      </c>
      <c r="K12354" t="s">
        <v>1357</v>
      </c>
      <c r="L12354" t="s">
        <v>1357</v>
      </c>
    </row>
    <row r="12355" spans="1:13">
      <c r="A12355" t="s">
        <v>10866</v>
      </c>
      <c r="B12355">
        <f>HYPERLINK("https://android.googlesource.com/platform/cts/+/bb780622d28bf567da45f32f2df4230730180508", "bb780622d28bf567da45f32f2df4230730180508")</f>
        <v>0</v>
      </c>
      <c r="C12355">
        <f>HYPERLINK("https://android.googlesource.com/platform/cts/+/892a77796ccf07bd0ff814f6075a1adb0aac4775", "892a77796ccf07bd0ff814f6075a1adb0aac4775")</f>
        <v>0</v>
      </c>
      <c r="D12355" t="s">
        <v>12220</v>
      </c>
      <c r="E12355" t="s">
        <v>13402</v>
      </c>
      <c r="F12355" t="s">
        <v>16338</v>
      </c>
      <c r="G12355" t="s">
        <v>19007</v>
      </c>
      <c r="H12355" t="s">
        <v>23394</v>
      </c>
      <c r="I12355" t="s">
        <v>1357</v>
      </c>
      <c r="J12355" t="s">
        <v>1357</v>
      </c>
      <c r="K12355" t="s">
        <v>1357</v>
      </c>
      <c r="L12355" t="s">
        <v>1357</v>
      </c>
    </row>
    <row r="12356" spans="1:13">
      <c r="A12356" t="s">
        <v>10867</v>
      </c>
      <c r="B12356">
        <f>HYPERLINK("https://android.googlesource.com/platform/cts/+/696e60e4922ea5a7b612d170303f4311b560900f", "696e60e4922ea5a7b612d170303f4311b560900f")</f>
        <v>0</v>
      </c>
      <c r="C12356">
        <f>HYPERLINK("https://android.googlesource.com/platform/cts/+/621f1d895b134099c0c95b86ba802c86332ecaca", "621f1d895b134099c0c95b86ba802c86332ecaca")</f>
        <v>0</v>
      </c>
      <c r="D12356" t="s">
        <v>12045</v>
      </c>
      <c r="E12356" t="s">
        <v>13403</v>
      </c>
      <c r="F12356" t="s">
        <v>16012</v>
      </c>
      <c r="G12356" t="s">
        <v>18704</v>
      </c>
      <c r="H12356" t="s">
        <v>23395</v>
      </c>
      <c r="I12356" t="s">
        <v>1357</v>
      </c>
      <c r="J12356" t="s">
        <v>1357</v>
      </c>
      <c r="K12356" t="s">
        <v>1357</v>
      </c>
      <c r="L12356" t="s">
        <v>1357</v>
      </c>
    </row>
    <row r="12357" spans="1:13">
      <c r="A12357" t="s">
        <v>10868</v>
      </c>
      <c r="B12357">
        <f>HYPERLINK("https://android.googlesource.com/platform/cts/+/a1707216056660ea278b2cbbfa5899b65576b058", "a1707216056660ea278b2cbbfa5899b65576b058")</f>
        <v>0</v>
      </c>
      <c r="C12357">
        <f>HYPERLINK("https://android.googlesource.com/platform/cts/+/3ba58b65fd2fdce6267c2a384f1275bd87ce0ff0", "3ba58b65fd2fdce6267c2a384f1275bd87ce0ff0")</f>
        <v>0</v>
      </c>
      <c r="D12357" t="s">
        <v>12045</v>
      </c>
      <c r="E12357" t="s">
        <v>13403</v>
      </c>
      <c r="F12357" t="s">
        <v>16012</v>
      </c>
      <c r="G12357" t="s">
        <v>18704</v>
      </c>
      <c r="H12357" t="s">
        <v>23395</v>
      </c>
      <c r="I12357" t="s">
        <v>1357</v>
      </c>
      <c r="J12357" t="s">
        <v>1357</v>
      </c>
      <c r="K12357" t="s">
        <v>1357</v>
      </c>
      <c r="L12357" t="s">
        <v>1357</v>
      </c>
      <c r="M12357" t="s">
        <v>9957</v>
      </c>
    </row>
    <row r="12358" spans="1:13">
      <c r="A12358" t="s">
        <v>10869</v>
      </c>
      <c r="B12358">
        <f>HYPERLINK("https://android.googlesource.com/platform/cts/+/dc8bb18c688d1c58142742c54166deca8eacb11e", "dc8bb18c688d1c58142742c54166deca8eacb11e")</f>
        <v>0</v>
      </c>
      <c r="C12358">
        <f>HYPERLINK("https://android.googlesource.com/platform/cts/+/0728ef972d1003a16ab1a30c34d873b06c4e09bd", "0728ef972d1003a16ab1a30c34d873b06c4e09bd")</f>
        <v>0</v>
      </c>
      <c r="D12358" t="s">
        <v>12045</v>
      </c>
      <c r="E12358" t="s">
        <v>13404</v>
      </c>
      <c r="F12358" t="s">
        <v>16012</v>
      </c>
      <c r="G12358" t="s">
        <v>18704</v>
      </c>
      <c r="H12358" t="s">
        <v>23395</v>
      </c>
      <c r="I12358" t="s">
        <v>1357</v>
      </c>
      <c r="J12358" t="s">
        <v>1357</v>
      </c>
      <c r="K12358" t="s">
        <v>1357</v>
      </c>
      <c r="L12358" t="s">
        <v>1357</v>
      </c>
      <c r="M12358" t="s">
        <v>9957</v>
      </c>
    </row>
    <row r="12359" spans="1:13">
      <c r="A12359" t="s">
        <v>10870</v>
      </c>
      <c r="B12359">
        <f>HYPERLINK("https://android.googlesource.com/platform/cts/+/6fe6ccb5066f81392dcca73bb22545c8a0df44da", "6fe6ccb5066f81392dcca73bb22545c8a0df44da")</f>
        <v>0</v>
      </c>
      <c r="C12359">
        <f>HYPERLINK("https://android.googlesource.com/platform/cts/+/911759ccf5085f1ce7fc3f45be1343e1714bac49", "911759ccf5085f1ce7fc3f45be1343e1714bac49")</f>
        <v>0</v>
      </c>
      <c r="D12359" t="s">
        <v>12045</v>
      </c>
      <c r="E12359" t="s">
        <v>13404</v>
      </c>
      <c r="F12359" t="s">
        <v>16012</v>
      </c>
      <c r="G12359" t="s">
        <v>18704</v>
      </c>
      <c r="H12359" t="s">
        <v>23395</v>
      </c>
      <c r="I12359" t="s">
        <v>1357</v>
      </c>
      <c r="J12359" t="s">
        <v>1357</v>
      </c>
      <c r="K12359" t="s">
        <v>1357</v>
      </c>
      <c r="L12359" t="s">
        <v>1357</v>
      </c>
      <c r="M12359" t="s">
        <v>9957</v>
      </c>
    </row>
    <row r="12360" spans="1:13">
      <c r="A12360" t="s">
        <v>10871</v>
      </c>
      <c r="B12360">
        <f>HYPERLINK("https://android.googlesource.com/platform/cts/+/dcea493184e52509cf119aa288433ad37ed35335", "dcea493184e52509cf119aa288433ad37ed35335")</f>
        <v>0</v>
      </c>
      <c r="C12360">
        <f>HYPERLINK("https://android.googlesource.com/platform/cts/+/7b17d6f1abb4bce4b9bec3be7ef21b84c81bc4c6", "7b17d6f1abb4bce4b9bec3be7ef21b84c81bc4c6")</f>
        <v>0</v>
      </c>
      <c r="D12360" t="s">
        <v>12045</v>
      </c>
      <c r="E12360" t="s">
        <v>13404</v>
      </c>
      <c r="F12360" t="s">
        <v>16012</v>
      </c>
      <c r="G12360" t="s">
        <v>18704</v>
      </c>
      <c r="H12360" t="s">
        <v>23395</v>
      </c>
      <c r="I12360" t="s">
        <v>1357</v>
      </c>
      <c r="J12360" t="s">
        <v>1357</v>
      </c>
      <c r="K12360" t="s">
        <v>1357</v>
      </c>
      <c r="L12360" t="s">
        <v>1357</v>
      </c>
      <c r="M12360" t="s">
        <v>9957</v>
      </c>
    </row>
    <row r="12361" spans="1:13">
      <c r="A12361" t="s">
        <v>10872</v>
      </c>
      <c r="B12361">
        <f>HYPERLINK("https://android.googlesource.com/platform/cts/+/fa3e2f4288ecc0a865ecb84f5e76132b5207cd6b", "fa3e2f4288ecc0a865ecb84f5e76132b5207cd6b")</f>
        <v>0</v>
      </c>
      <c r="C12361">
        <f>HYPERLINK("https://android.googlesource.com/platform/cts/+/79fbdf440d32149b074504c9aa086e304f8b2cd6", "79fbdf440d32149b074504c9aa086e304f8b2cd6")</f>
        <v>0</v>
      </c>
      <c r="D12361" t="s">
        <v>12241</v>
      </c>
      <c r="E12361" t="s">
        <v>13405</v>
      </c>
      <c r="F12361" t="s">
        <v>16517</v>
      </c>
      <c r="G12361" t="s">
        <v>19175</v>
      </c>
      <c r="H12361" t="s">
        <v>23396</v>
      </c>
      <c r="I12361" t="s">
        <v>1357</v>
      </c>
      <c r="J12361" t="s">
        <v>1357</v>
      </c>
      <c r="K12361" t="s">
        <v>1357</v>
      </c>
      <c r="L12361" t="s">
        <v>1357</v>
      </c>
    </row>
    <row r="12362" spans="1:13">
      <c r="H12362" t="s">
        <v>23397</v>
      </c>
      <c r="I12362" t="s">
        <v>1357</v>
      </c>
      <c r="J12362" t="s">
        <v>1357</v>
      </c>
      <c r="K12362" t="s">
        <v>1357</v>
      </c>
      <c r="L12362" t="s">
        <v>1357</v>
      </c>
    </row>
    <row r="12363" spans="1:13">
      <c r="H12363" t="s">
        <v>23398</v>
      </c>
      <c r="I12363" t="s">
        <v>1357</v>
      </c>
      <c r="J12363" t="s">
        <v>1357</v>
      </c>
      <c r="K12363" t="s">
        <v>1357</v>
      </c>
      <c r="L12363" t="s">
        <v>1357</v>
      </c>
    </row>
    <row r="12364" spans="1:13">
      <c r="H12364" t="s">
        <v>23399</v>
      </c>
      <c r="I12364" t="s">
        <v>1357</v>
      </c>
      <c r="J12364" t="s">
        <v>1357</v>
      </c>
      <c r="K12364" t="s">
        <v>1357</v>
      </c>
      <c r="L12364" t="s">
        <v>1357</v>
      </c>
    </row>
    <row r="12365" spans="1:13">
      <c r="H12365" t="s">
        <v>23400</v>
      </c>
      <c r="I12365" t="s">
        <v>1357</v>
      </c>
      <c r="J12365" t="s">
        <v>1357</v>
      </c>
      <c r="K12365" t="s">
        <v>1357</v>
      </c>
      <c r="L12365" t="s">
        <v>1357</v>
      </c>
    </row>
    <row r="12366" spans="1:13">
      <c r="H12366" t="s">
        <v>23401</v>
      </c>
      <c r="I12366" t="s">
        <v>1357</v>
      </c>
      <c r="J12366" t="s">
        <v>1357</v>
      </c>
      <c r="K12366" t="s">
        <v>1357</v>
      </c>
      <c r="L12366" t="s">
        <v>1357</v>
      </c>
    </row>
    <row r="12367" spans="1:13">
      <c r="F12367" t="s">
        <v>16518</v>
      </c>
      <c r="G12367" t="s">
        <v>19176</v>
      </c>
      <c r="H12367" t="s">
        <v>23402</v>
      </c>
      <c r="I12367" t="s">
        <v>1357</v>
      </c>
      <c r="J12367" t="s">
        <v>1357</v>
      </c>
      <c r="K12367" t="s">
        <v>1357</v>
      </c>
      <c r="L12367" t="s">
        <v>1357</v>
      </c>
    </row>
    <row r="12368" spans="1:13">
      <c r="H12368" t="s">
        <v>23403</v>
      </c>
      <c r="I12368" t="s">
        <v>1357</v>
      </c>
      <c r="J12368" t="s">
        <v>1357</v>
      </c>
      <c r="K12368" t="s">
        <v>1357</v>
      </c>
      <c r="L12368" t="s">
        <v>1357</v>
      </c>
    </row>
    <row r="12369" spans="1:12">
      <c r="H12369" t="s">
        <v>23404</v>
      </c>
      <c r="I12369" t="s">
        <v>1357</v>
      </c>
      <c r="J12369" t="s">
        <v>1357</v>
      </c>
      <c r="K12369" t="s">
        <v>1357</v>
      </c>
      <c r="L12369" t="s">
        <v>1357</v>
      </c>
    </row>
    <row r="12370" spans="1:12">
      <c r="H12370" t="s">
        <v>23405</v>
      </c>
      <c r="I12370" t="s">
        <v>1357</v>
      </c>
      <c r="J12370" t="s">
        <v>1357</v>
      </c>
      <c r="K12370" t="s">
        <v>1357</v>
      </c>
      <c r="L12370" t="s">
        <v>1357</v>
      </c>
    </row>
    <row r="12371" spans="1:12">
      <c r="H12371" t="s">
        <v>23406</v>
      </c>
      <c r="I12371" t="s">
        <v>1357</v>
      </c>
      <c r="J12371" t="s">
        <v>1357</v>
      </c>
      <c r="K12371" t="s">
        <v>1357</v>
      </c>
      <c r="L12371" t="s">
        <v>1357</v>
      </c>
    </row>
    <row r="12372" spans="1:12">
      <c r="H12372" t="s">
        <v>23407</v>
      </c>
      <c r="I12372" t="s">
        <v>1357</v>
      </c>
      <c r="J12372" t="s">
        <v>1357</v>
      </c>
      <c r="K12372" t="s">
        <v>1357</v>
      </c>
      <c r="L12372" t="s">
        <v>1357</v>
      </c>
    </row>
    <row r="12373" spans="1:12">
      <c r="F12373" t="s">
        <v>16519</v>
      </c>
      <c r="G12373" t="s">
        <v>19177</v>
      </c>
      <c r="H12373" t="s">
        <v>23408</v>
      </c>
      <c r="I12373" t="s">
        <v>1357</v>
      </c>
      <c r="J12373" t="s">
        <v>1357</v>
      </c>
      <c r="K12373" t="s">
        <v>1357</v>
      </c>
      <c r="L12373" t="s">
        <v>1357</v>
      </c>
    </row>
    <row r="12374" spans="1:12">
      <c r="H12374" t="s">
        <v>23409</v>
      </c>
      <c r="I12374" t="s">
        <v>1357</v>
      </c>
      <c r="J12374" t="s">
        <v>1357</v>
      </c>
      <c r="K12374" t="s">
        <v>1357</v>
      </c>
      <c r="L12374" t="s">
        <v>1357</v>
      </c>
    </row>
    <row r="12375" spans="1:12">
      <c r="A12375" t="s">
        <v>10873</v>
      </c>
      <c r="B12375">
        <f>HYPERLINK("https://android.googlesource.com/platform/cts/+/c6fdbfb44670545ce1083d02adcdfb85ac8aa9f2", "c6fdbfb44670545ce1083d02adcdfb85ac8aa9f2")</f>
        <v>0</v>
      </c>
      <c r="C12375">
        <f>HYPERLINK("https://android.googlesource.com/platform/cts/+/d9d2de0755c97a700e2e5613903fb681ec606f3b", "d9d2de0755c97a700e2e5613903fb681ec606f3b")</f>
        <v>0</v>
      </c>
      <c r="D12375" t="s">
        <v>12102</v>
      </c>
      <c r="E12375" t="s">
        <v>13406</v>
      </c>
      <c r="F12375" t="s">
        <v>16477</v>
      </c>
      <c r="G12375" t="s">
        <v>19138</v>
      </c>
      <c r="H12375" t="s">
        <v>23410</v>
      </c>
      <c r="I12375" t="s">
        <v>1357</v>
      </c>
      <c r="J12375" t="s">
        <v>1357</v>
      </c>
      <c r="K12375" t="s">
        <v>1357</v>
      </c>
      <c r="L12375" t="s">
        <v>1357</v>
      </c>
    </row>
    <row r="12376" spans="1:12">
      <c r="A12376" t="s">
        <v>10874</v>
      </c>
      <c r="B12376">
        <f>HYPERLINK("https://android.googlesource.com/platform/cts/+/6480e20315b40a4c3081b2b08247429462b99ffd", "6480e20315b40a4c3081b2b08247429462b99ffd")</f>
        <v>0</v>
      </c>
      <c r="C12376">
        <f>HYPERLINK("https://android.googlesource.com/platform/cts/+/d78f76f20eea814b1c5ffae38c796c38e8d6eb54", "d78f76f20eea814b1c5ffae38c796c38e8d6eb54")</f>
        <v>0</v>
      </c>
      <c r="D12376" t="s">
        <v>12242</v>
      </c>
      <c r="E12376" t="s">
        <v>13407</v>
      </c>
      <c r="F12376" t="s">
        <v>16520</v>
      </c>
      <c r="G12376" t="s">
        <v>19178</v>
      </c>
      <c r="H12376" t="s">
        <v>23411</v>
      </c>
      <c r="I12376" t="s">
        <v>1357</v>
      </c>
      <c r="J12376" t="s">
        <v>1357</v>
      </c>
      <c r="K12376" t="s">
        <v>1357</v>
      </c>
      <c r="L12376" t="s">
        <v>1357</v>
      </c>
    </row>
    <row r="12377" spans="1:12">
      <c r="A12377" t="s">
        <v>10875</v>
      </c>
      <c r="B12377">
        <f>HYPERLINK("https://android.googlesource.com/platform/cts/+/a065c04eef3682374b0442674ee8225e8bc9abde", "a065c04eef3682374b0442674ee8225e8bc9abde")</f>
        <v>0</v>
      </c>
      <c r="C12377">
        <f>HYPERLINK("https://android.googlesource.com/platform/cts/+/a2bd05c1af762adc0536324e6defba8f3bc12934", "a2bd05c1af762adc0536324e6defba8f3bc12934")</f>
        <v>0</v>
      </c>
      <c r="D12377" t="s">
        <v>12102</v>
      </c>
      <c r="E12377" t="s">
        <v>13408</v>
      </c>
      <c r="F12377" t="s">
        <v>16521</v>
      </c>
      <c r="G12377" t="s">
        <v>19179</v>
      </c>
      <c r="H12377" t="s">
        <v>23412</v>
      </c>
      <c r="I12377" t="s">
        <v>1357</v>
      </c>
      <c r="J12377" t="s">
        <v>1357</v>
      </c>
      <c r="K12377" t="s">
        <v>1357</v>
      </c>
      <c r="L12377" t="s">
        <v>1357</v>
      </c>
    </row>
    <row r="12378" spans="1:12">
      <c r="H12378" t="s">
        <v>23413</v>
      </c>
      <c r="I12378" t="s">
        <v>1357</v>
      </c>
      <c r="J12378" t="s">
        <v>1357</v>
      </c>
      <c r="K12378" t="s">
        <v>1357</v>
      </c>
      <c r="L12378" t="s">
        <v>1357</v>
      </c>
    </row>
    <row r="12379" spans="1:12">
      <c r="A12379" t="s">
        <v>10876</v>
      </c>
      <c r="B12379">
        <f>HYPERLINK("https://android.googlesource.com/platform/cts/+/1d551a383eee23de704aa721e56c0251e1e50f75", "1d551a383eee23de704aa721e56c0251e1e50f75")</f>
        <v>0</v>
      </c>
      <c r="C12379">
        <f>HYPERLINK("https://android.googlesource.com/platform/cts/+/9c2005a0e798a72d27f696cd9ef52fc628dde752", "9c2005a0e798a72d27f696cd9ef52fc628dde752")</f>
        <v>0</v>
      </c>
      <c r="D12379" t="s">
        <v>12219</v>
      </c>
      <c r="E12379" t="s">
        <v>13409</v>
      </c>
      <c r="F12379" t="s">
        <v>16522</v>
      </c>
      <c r="G12379" t="s">
        <v>19180</v>
      </c>
      <c r="H12379" t="s">
        <v>23414</v>
      </c>
      <c r="I12379" t="s">
        <v>1358</v>
      </c>
      <c r="J12379" t="s">
        <v>1358</v>
      </c>
      <c r="K12379" t="s">
        <v>1358</v>
      </c>
      <c r="L12379" t="s">
        <v>1358</v>
      </c>
    </row>
    <row r="12380" spans="1:12">
      <c r="A12380" t="s">
        <v>10877</v>
      </c>
      <c r="B12380">
        <f>HYPERLINK("https://android.googlesource.com/platform/cts/+/3bda23003206500de60bc67e247d2bf4d85c73b1", "3bda23003206500de60bc67e247d2bf4d85c73b1")</f>
        <v>0</v>
      </c>
      <c r="C12380">
        <f>HYPERLINK("https://android.googlesource.com/platform/cts/+/0db3fbf059c97df7f872948e5eba0f564eb425d0", "0db3fbf059c97df7f872948e5eba0f564eb425d0")</f>
        <v>0</v>
      </c>
      <c r="D12380" t="s">
        <v>12117</v>
      </c>
      <c r="E12380" t="s">
        <v>13410</v>
      </c>
      <c r="F12380" t="s">
        <v>14518</v>
      </c>
      <c r="G12380" t="s">
        <v>17363</v>
      </c>
      <c r="H12380" t="s">
        <v>23415</v>
      </c>
      <c r="I12380" t="s">
        <v>1357</v>
      </c>
      <c r="J12380" t="s">
        <v>1357</v>
      </c>
      <c r="K12380" t="s">
        <v>1357</v>
      </c>
      <c r="L12380" t="s">
        <v>1357</v>
      </c>
    </row>
    <row r="12381" spans="1:12">
      <c r="F12381" t="s">
        <v>16523</v>
      </c>
      <c r="G12381" t="s">
        <v>19181</v>
      </c>
      <c r="H12381" t="s">
        <v>23416</v>
      </c>
      <c r="I12381" t="s">
        <v>1357</v>
      </c>
      <c r="J12381" t="s">
        <v>1357</v>
      </c>
      <c r="K12381" t="s">
        <v>1357</v>
      </c>
      <c r="L12381" t="s">
        <v>1357</v>
      </c>
    </row>
    <row r="12382" spans="1:12">
      <c r="F12382" t="s">
        <v>16524</v>
      </c>
      <c r="G12382" t="s">
        <v>19182</v>
      </c>
      <c r="H12382" t="s">
        <v>23416</v>
      </c>
      <c r="I12382" t="s">
        <v>1357</v>
      </c>
      <c r="J12382" t="s">
        <v>1357</v>
      </c>
      <c r="K12382" t="s">
        <v>1357</v>
      </c>
      <c r="L12382" t="s">
        <v>1357</v>
      </c>
    </row>
    <row r="12383" spans="1:12">
      <c r="H12383" t="s">
        <v>23417</v>
      </c>
      <c r="I12383" t="s">
        <v>1357</v>
      </c>
      <c r="J12383" t="s">
        <v>1357</v>
      </c>
      <c r="K12383" t="s">
        <v>1357</v>
      </c>
      <c r="L12383" t="s">
        <v>1357</v>
      </c>
    </row>
    <row r="12384" spans="1:12">
      <c r="F12384" t="s">
        <v>16525</v>
      </c>
      <c r="G12384" t="s">
        <v>19183</v>
      </c>
      <c r="H12384" t="s">
        <v>23418</v>
      </c>
      <c r="I12384" t="s">
        <v>1357</v>
      </c>
      <c r="J12384" t="s">
        <v>1357</v>
      </c>
      <c r="K12384" t="s">
        <v>1357</v>
      </c>
      <c r="L12384" t="s">
        <v>1357</v>
      </c>
    </row>
    <row r="12385" spans="1:12">
      <c r="H12385" t="s">
        <v>23419</v>
      </c>
      <c r="I12385" t="s">
        <v>1357</v>
      </c>
      <c r="J12385" t="s">
        <v>1357</v>
      </c>
      <c r="K12385" t="s">
        <v>1357</v>
      </c>
      <c r="L12385" t="s">
        <v>1357</v>
      </c>
    </row>
    <row r="12386" spans="1:12">
      <c r="A12386" t="s">
        <v>10878</v>
      </c>
      <c r="B12386">
        <f>HYPERLINK("https://android.googlesource.com/platform/cts/+/24f453a13d35fec32fded688a902003321c88961", "24f453a13d35fec32fded688a902003321c88961")</f>
        <v>0</v>
      </c>
      <c r="C12386">
        <f>HYPERLINK("https://android.googlesource.com/platform/cts/+/d1860181cb5cbe60ae590c8a549ef25386d5b9c8", "d1860181cb5cbe60ae590c8a549ef25386d5b9c8")</f>
        <v>0</v>
      </c>
      <c r="D12386" t="s">
        <v>12240</v>
      </c>
      <c r="E12386" t="s">
        <v>13411</v>
      </c>
      <c r="F12386" t="s">
        <v>16526</v>
      </c>
      <c r="G12386" t="s">
        <v>19184</v>
      </c>
      <c r="H12386" t="s">
        <v>23420</v>
      </c>
      <c r="I12386" t="s">
        <v>1357</v>
      </c>
      <c r="J12386" t="s">
        <v>1357</v>
      </c>
      <c r="K12386" t="s">
        <v>1357</v>
      </c>
      <c r="L12386" t="s">
        <v>1357</v>
      </c>
    </row>
    <row r="12387" spans="1:12">
      <c r="H12387" t="s">
        <v>23421</v>
      </c>
      <c r="I12387" t="s">
        <v>1357</v>
      </c>
      <c r="J12387" t="s">
        <v>1357</v>
      </c>
      <c r="K12387" t="s">
        <v>1357</v>
      </c>
      <c r="L12387" t="s">
        <v>1357</v>
      </c>
    </row>
    <row r="12388" spans="1:12">
      <c r="A12388" t="s">
        <v>10879</v>
      </c>
      <c r="B12388">
        <f>HYPERLINK("https://android.googlesource.com/platform/cts/+/4ff4d32eb076dbb3cad80aada0000d4dc84ac40b", "4ff4d32eb076dbb3cad80aada0000d4dc84ac40b")</f>
        <v>0</v>
      </c>
      <c r="C12388">
        <f>HYPERLINK("https://android.googlesource.com/platform/cts/+/be215eac7d741a20ae06ea0e5bb4f36a32ae42a5", "be215eac7d741a20ae06ea0e5bb4f36a32ae42a5")</f>
        <v>0</v>
      </c>
      <c r="D12388" t="s">
        <v>12161</v>
      </c>
      <c r="E12388" t="s">
        <v>13412</v>
      </c>
      <c r="F12388" t="s">
        <v>16523</v>
      </c>
      <c r="G12388" t="s">
        <v>19181</v>
      </c>
      <c r="H12388" t="s">
        <v>23416</v>
      </c>
      <c r="I12388" t="s">
        <v>1357</v>
      </c>
      <c r="J12388" t="s">
        <v>1357</v>
      </c>
      <c r="K12388" t="s">
        <v>1357</v>
      </c>
      <c r="L12388" t="s">
        <v>1357</v>
      </c>
    </row>
    <row r="12389" spans="1:12">
      <c r="A12389" t="s">
        <v>10880</v>
      </c>
      <c r="B12389">
        <f>HYPERLINK("https://android.googlesource.com/platform/cts/+/c4dc6918abd1e3558d0df10e94a9fd5f99d9e0a4", "c4dc6918abd1e3558d0df10e94a9fd5f99d9e0a4")</f>
        <v>0</v>
      </c>
      <c r="C12389">
        <f>HYPERLINK("https://android.googlesource.com/platform/cts/+/6f5696320483e7e849c4121ee94738f84e22368b", "6f5696320483e7e849c4121ee94738f84e22368b")</f>
        <v>0</v>
      </c>
      <c r="D12389" t="s">
        <v>12219</v>
      </c>
      <c r="E12389" t="s">
        <v>13413</v>
      </c>
      <c r="F12389" t="s">
        <v>14475</v>
      </c>
      <c r="G12389" t="s">
        <v>17322</v>
      </c>
      <c r="H12389" t="s">
        <v>23422</v>
      </c>
      <c r="I12389" t="s">
        <v>1357</v>
      </c>
      <c r="J12389" t="s">
        <v>1357</v>
      </c>
      <c r="K12389" t="s">
        <v>1357</v>
      </c>
      <c r="L12389" t="s">
        <v>1357</v>
      </c>
    </row>
    <row r="12390" spans="1:12">
      <c r="A12390" t="s">
        <v>10881</v>
      </c>
      <c r="B12390">
        <f>HYPERLINK("https://android.googlesource.com/platform/cts/+/4a53881b2650669471b8acc610cdf515f5bfc7bb", "4a53881b2650669471b8acc610cdf515f5bfc7bb")</f>
        <v>0</v>
      </c>
      <c r="C12390">
        <f>HYPERLINK("https://android.googlesource.com/platform/cts/+/2efafca4896c3fc616610e0858d847eaf7823372", "2efafca4896c3fc616610e0858d847eaf7823372")</f>
        <v>0</v>
      </c>
      <c r="D12390" t="s">
        <v>12091</v>
      </c>
      <c r="E12390" t="s">
        <v>13414</v>
      </c>
      <c r="F12390" t="s">
        <v>16527</v>
      </c>
      <c r="G12390" t="s">
        <v>19185</v>
      </c>
      <c r="H12390" t="s">
        <v>23423</v>
      </c>
      <c r="I12390" t="s">
        <v>1359</v>
      </c>
      <c r="J12390" t="s">
        <v>1358</v>
      </c>
      <c r="K12390" t="s">
        <v>1357</v>
      </c>
      <c r="L12390" t="s">
        <v>1358</v>
      </c>
    </row>
    <row r="12391" spans="1:12">
      <c r="H12391" t="s">
        <v>23424</v>
      </c>
      <c r="I12391" t="s">
        <v>1358</v>
      </c>
      <c r="J12391" t="s">
        <v>1358</v>
      </c>
      <c r="K12391" t="s">
        <v>1358</v>
      </c>
      <c r="L12391" t="s">
        <v>1358</v>
      </c>
    </row>
    <row r="12392" spans="1:12">
      <c r="A12392" t="s">
        <v>10882</v>
      </c>
      <c r="B12392">
        <f>HYPERLINK("https://android.googlesource.com/platform/cts/+/d8fc67cbc5ef8c922a737bd1d27fc9a2ccb0a975", "d8fc67cbc5ef8c922a737bd1d27fc9a2ccb0a975")</f>
        <v>0</v>
      </c>
      <c r="C12392">
        <f>HYPERLINK("https://android.googlesource.com/platform/cts/+/1574189f36cf8149bdbc65986352dd310f417bd1", "1574189f36cf8149bdbc65986352dd310f417bd1")</f>
        <v>0</v>
      </c>
      <c r="D12392" t="s">
        <v>12242</v>
      </c>
      <c r="E12392" t="s">
        <v>13415</v>
      </c>
      <c r="F12392" t="s">
        <v>14721</v>
      </c>
      <c r="G12392" t="s">
        <v>17565</v>
      </c>
      <c r="H12392" t="s">
        <v>23425</v>
      </c>
      <c r="I12392" t="s">
        <v>1357</v>
      </c>
      <c r="J12392" t="s">
        <v>1357</v>
      </c>
      <c r="K12392" t="s">
        <v>1357</v>
      </c>
      <c r="L12392" t="s">
        <v>1357</v>
      </c>
    </row>
    <row r="12393" spans="1:12">
      <c r="H12393" t="s">
        <v>23426</v>
      </c>
      <c r="I12393" t="s">
        <v>1357</v>
      </c>
      <c r="J12393" t="s">
        <v>1357</v>
      </c>
      <c r="K12393" t="s">
        <v>1357</v>
      </c>
      <c r="L12393" t="s">
        <v>1357</v>
      </c>
    </row>
    <row r="12394" spans="1:12">
      <c r="A12394" t="s">
        <v>10883</v>
      </c>
      <c r="B12394">
        <f>HYPERLINK("https://android.googlesource.com/platform/cts/+/a72063cfbae501fa4d7b2dfb23c1b588d8eb74ce", "a72063cfbae501fa4d7b2dfb23c1b588d8eb74ce")</f>
        <v>0</v>
      </c>
      <c r="C12394">
        <f>HYPERLINK("https://android.googlesource.com/platform/cts/+/0ac0251c90072d03bd1524ea8657a2936538f3c2", "0ac0251c90072d03bd1524ea8657a2936538f3c2")</f>
        <v>0</v>
      </c>
      <c r="D12394" t="s">
        <v>11989</v>
      </c>
      <c r="E12394" t="s">
        <v>13416</v>
      </c>
      <c r="F12394" t="s">
        <v>16528</v>
      </c>
      <c r="G12394" t="s">
        <v>19186</v>
      </c>
      <c r="H12394" t="s">
        <v>23427</v>
      </c>
      <c r="I12394" t="s">
        <v>1357</v>
      </c>
      <c r="J12394" t="s">
        <v>1357</v>
      </c>
      <c r="K12394" t="s">
        <v>1357</v>
      </c>
      <c r="L12394" t="s">
        <v>1357</v>
      </c>
    </row>
    <row r="12395" spans="1:12">
      <c r="H12395" t="s">
        <v>23428</v>
      </c>
      <c r="I12395" t="s">
        <v>1357</v>
      </c>
      <c r="J12395" t="s">
        <v>1357</v>
      </c>
      <c r="K12395" t="s">
        <v>1357</v>
      </c>
      <c r="L12395" t="s">
        <v>1357</v>
      </c>
    </row>
    <row r="12396" spans="1:12">
      <c r="H12396" t="s">
        <v>23429</v>
      </c>
      <c r="I12396" t="s">
        <v>1357</v>
      </c>
      <c r="J12396" t="s">
        <v>1357</v>
      </c>
      <c r="K12396" t="s">
        <v>1357</v>
      </c>
      <c r="L12396" t="s">
        <v>1357</v>
      </c>
    </row>
    <row r="12397" spans="1:12">
      <c r="H12397" t="s">
        <v>23430</v>
      </c>
      <c r="I12397" t="s">
        <v>1357</v>
      </c>
      <c r="J12397" t="s">
        <v>1357</v>
      </c>
      <c r="K12397" t="s">
        <v>1357</v>
      </c>
      <c r="L12397" t="s">
        <v>1357</v>
      </c>
    </row>
    <row r="12398" spans="1:12">
      <c r="H12398" t="s">
        <v>23431</v>
      </c>
      <c r="I12398" t="s">
        <v>1357</v>
      </c>
      <c r="J12398" t="s">
        <v>1357</v>
      </c>
      <c r="K12398" t="s">
        <v>1357</v>
      </c>
      <c r="L12398" t="s">
        <v>1357</v>
      </c>
    </row>
    <row r="12399" spans="1:12">
      <c r="A12399" t="s">
        <v>10884</v>
      </c>
      <c r="B12399">
        <f>HYPERLINK("https://android.googlesource.com/platform/cts/+/bda4fa92a84de697a2595a281223243c40f7eee2", "bda4fa92a84de697a2595a281223243c40f7eee2")</f>
        <v>0</v>
      </c>
      <c r="C12399">
        <f>HYPERLINK("https://android.googlesource.com/platform/cts/+/00645d98f82d577b5cd9702247ffc99d644c1401", "00645d98f82d577b5cd9702247ffc99d644c1401")</f>
        <v>0</v>
      </c>
      <c r="D12399" t="s">
        <v>12243</v>
      </c>
      <c r="E12399" t="s">
        <v>13417</v>
      </c>
      <c r="F12399" t="s">
        <v>16041</v>
      </c>
      <c r="G12399" t="s">
        <v>18732</v>
      </c>
      <c r="H12399" t="s">
        <v>23432</v>
      </c>
      <c r="I12399" t="s">
        <v>1357</v>
      </c>
      <c r="J12399" t="s">
        <v>1357</v>
      </c>
      <c r="K12399" t="s">
        <v>1357</v>
      </c>
      <c r="L12399" t="s">
        <v>1357</v>
      </c>
    </row>
    <row r="12400" spans="1:12">
      <c r="A12400" t="s">
        <v>10885</v>
      </c>
      <c r="B12400">
        <f>HYPERLINK("https://android.googlesource.com/platform/cts/+/a51b8b5095cf7d63f8bcd527f6f9c75888dfa2d5", "a51b8b5095cf7d63f8bcd527f6f9c75888dfa2d5")</f>
        <v>0</v>
      </c>
      <c r="C12400">
        <f>HYPERLINK("https://android.googlesource.com/platform/cts/+/15b0e26d5558a889c5b58012dfb4771076ee6e67", "15b0e26d5558a889c5b58012dfb4771076ee6e67")</f>
        <v>0</v>
      </c>
      <c r="D12400" t="s">
        <v>12244</v>
      </c>
      <c r="E12400" t="s">
        <v>13418</v>
      </c>
      <c r="F12400" t="s">
        <v>16529</v>
      </c>
      <c r="G12400" t="s">
        <v>19187</v>
      </c>
      <c r="H12400" t="s">
        <v>23433</v>
      </c>
      <c r="I12400" t="s">
        <v>1357</v>
      </c>
      <c r="J12400" t="s">
        <v>1357</v>
      </c>
      <c r="K12400" t="s">
        <v>1357</v>
      </c>
      <c r="L12400" t="s">
        <v>1357</v>
      </c>
    </row>
    <row r="12401" spans="6:12">
      <c r="F12401" t="s">
        <v>16530</v>
      </c>
      <c r="G12401" t="s">
        <v>19188</v>
      </c>
      <c r="H12401" t="s">
        <v>21935</v>
      </c>
      <c r="I12401" t="s">
        <v>1357</v>
      </c>
      <c r="J12401" t="s">
        <v>1357</v>
      </c>
      <c r="K12401" t="s">
        <v>1357</v>
      </c>
      <c r="L12401" t="s">
        <v>1357</v>
      </c>
    </row>
    <row r="12402" spans="6:12">
      <c r="F12402" t="s">
        <v>16531</v>
      </c>
      <c r="G12402" t="s">
        <v>18805</v>
      </c>
      <c r="H12402" t="s">
        <v>23434</v>
      </c>
      <c r="I12402" t="s">
        <v>1357</v>
      </c>
      <c r="J12402" t="s">
        <v>1357</v>
      </c>
      <c r="K12402" t="s">
        <v>1357</v>
      </c>
      <c r="L12402" t="s">
        <v>1357</v>
      </c>
    </row>
    <row r="12403" spans="6:12">
      <c r="H12403" t="s">
        <v>23435</v>
      </c>
      <c r="I12403" t="s">
        <v>1357</v>
      </c>
      <c r="J12403" t="s">
        <v>1357</v>
      </c>
      <c r="K12403" t="s">
        <v>1357</v>
      </c>
      <c r="L12403" t="s">
        <v>1357</v>
      </c>
    </row>
    <row r="12404" spans="6:12">
      <c r="H12404" t="s">
        <v>23436</v>
      </c>
      <c r="I12404" t="s">
        <v>1357</v>
      </c>
      <c r="J12404" t="s">
        <v>1357</v>
      </c>
      <c r="K12404" t="s">
        <v>1357</v>
      </c>
      <c r="L12404" t="s">
        <v>1357</v>
      </c>
    </row>
    <row r="12405" spans="6:12">
      <c r="H12405" t="s">
        <v>23437</v>
      </c>
      <c r="I12405" t="s">
        <v>1357</v>
      </c>
      <c r="J12405" t="s">
        <v>1357</v>
      </c>
      <c r="K12405" t="s">
        <v>1357</v>
      </c>
      <c r="L12405" t="s">
        <v>1357</v>
      </c>
    </row>
    <row r="12406" spans="6:12">
      <c r="H12406" t="s">
        <v>23438</v>
      </c>
      <c r="I12406" t="s">
        <v>1357</v>
      </c>
      <c r="J12406" t="s">
        <v>1357</v>
      </c>
      <c r="K12406" t="s">
        <v>1357</v>
      </c>
      <c r="L12406" t="s">
        <v>1357</v>
      </c>
    </row>
    <row r="12407" spans="6:12">
      <c r="H12407" t="s">
        <v>23439</v>
      </c>
      <c r="I12407" t="s">
        <v>1357</v>
      </c>
      <c r="J12407" t="s">
        <v>1357</v>
      </c>
      <c r="K12407" t="s">
        <v>1357</v>
      </c>
      <c r="L12407" t="s">
        <v>1357</v>
      </c>
    </row>
    <row r="12408" spans="6:12">
      <c r="H12408" t="s">
        <v>23440</v>
      </c>
      <c r="I12408" t="s">
        <v>1357</v>
      </c>
      <c r="J12408" t="s">
        <v>1357</v>
      </c>
      <c r="K12408" t="s">
        <v>1357</v>
      </c>
      <c r="L12408" t="s">
        <v>1357</v>
      </c>
    </row>
    <row r="12409" spans="6:12">
      <c r="F12409" t="s">
        <v>16532</v>
      </c>
      <c r="G12409" t="s">
        <v>18761</v>
      </c>
      <c r="H12409" t="s">
        <v>23441</v>
      </c>
      <c r="I12409" t="s">
        <v>1357</v>
      </c>
      <c r="J12409" t="s">
        <v>1357</v>
      </c>
      <c r="K12409" t="s">
        <v>1357</v>
      </c>
      <c r="L12409" t="s">
        <v>1357</v>
      </c>
    </row>
    <row r="12410" spans="6:12">
      <c r="H12410" t="s">
        <v>23442</v>
      </c>
      <c r="I12410" t="s">
        <v>1357</v>
      </c>
      <c r="J12410" t="s">
        <v>1357</v>
      </c>
      <c r="K12410" t="s">
        <v>1357</v>
      </c>
      <c r="L12410" t="s">
        <v>1357</v>
      </c>
    </row>
    <row r="12411" spans="6:12">
      <c r="H12411" t="s">
        <v>23443</v>
      </c>
      <c r="I12411" t="s">
        <v>1357</v>
      </c>
      <c r="J12411" t="s">
        <v>1357</v>
      </c>
      <c r="K12411" t="s">
        <v>1357</v>
      </c>
      <c r="L12411" t="s">
        <v>1357</v>
      </c>
    </row>
    <row r="12412" spans="6:12">
      <c r="F12412" t="s">
        <v>16533</v>
      </c>
      <c r="G12412" t="s">
        <v>18971</v>
      </c>
      <c r="H12412" t="s">
        <v>23444</v>
      </c>
      <c r="I12412" t="s">
        <v>1357</v>
      </c>
      <c r="J12412" t="s">
        <v>1357</v>
      </c>
      <c r="K12412" t="s">
        <v>1357</v>
      </c>
      <c r="L12412" t="s">
        <v>1357</v>
      </c>
    </row>
    <row r="12413" spans="6:12">
      <c r="F12413" t="s">
        <v>16534</v>
      </c>
      <c r="G12413" t="s">
        <v>19189</v>
      </c>
      <c r="H12413" t="s">
        <v>23445</v>
      </c>
      <c r="I12413" t="s">
        <v>1357</v>
      </c>
      <c r="J12413" t="s">
        <v>1357</v>
      </c>
      <c r="K12413" t="s">
        <v>1357</v>
      </c>
      <c r="L12413" t="s">
        <v>1357</v>
      </c>
    </row>
    <row r="12414" spans="6:12">
      <c r="H12414" t="s">
        <v>23446</v>
      </c>
      <c r="I12414" t="s">
        <v>1357</v>
      </c>
      <c r="J12414" t="s">
        <v>1357</v>
      </c>
      <c r="K12414" t="s">
        <v>1357</v>
      </c>
      <c r="L12414" t="s">
        <v>1357</v>
      </c>
    </row>
    <row r="12415" spans="6:12">
      <c r="F12415" t="s">
        <v>16535</v>
      </c>
      <c r="G12415" t="s">
        <v>19190</v>
      </c>
      <c r="H12415" t="s">
        <v>23447</v>
      </c>
      <c r="I12415" t="s">
        <v>1357</v>
      </c>
      <c r="J12415" t="s">
        <v>1357</v>
      </c>
      <c r="K12415" t="s">
        <v>1357</v>
      </c>
      <c r="L12415" t="s">
        <v>1357</v>
      </c>
    </row>
    <row r="12416" spans="6:12">
      <c r="F12416" t="s">
        <v>16536</v>
      </c>
      <c r="G12416" t="s">
        <v>19191</v>
      </c>
      <c r="H12416" t="s">
        <v>23448</v>
      </c>
      <c r="I12416" t="s">
        <v>1357</v>
      </c>
      <c r="J12416" t="s">
        <v>1357</v>
      </c>
      <c r="K12416" t="s">
        <v>1357</v>
      </c>
      <c r="L12416" t="s">
        <v>1357</v>
      </c>
    </row>
    <row r="12417" spans="6:12">
      <c r="H12417" t="s">
        <v>23449</v>
      </c>
      <c r="I12417" t="s">
        <v>1357</v>
      </c>
      <c r="J12417" t="s">
        <v>1357</v>
      </c>
      <c r="K12417" t="s">
        <v>1357</v>
      </c>
      <c r="L12417" t="s">
        <v>1357</v>
      </c>
    </row>
    <row r="12418" spans="6:12">
      <c r="H12418" t="s">
        <v>23450</v>
      </c>
      <c r="I12418" t="s">
        <v>1357</v>
      </c>
      <c r="J12418" t="s">
        <v>1357</v>
      </c>
      <c r="K12418" t="s">
        <v>1357</v>
      </c>
      <c r="L12418" t="s">
        <v>1357</v>
      </c>
    </row>
    <row r="12419" spans="6:12">
      <c r="H12419" t="s">
        <v>23451</v>
      </c>
      <c r="I12419" t="s">
        <v>1357</v>
      </c>
      <c r="J12419" t="s">
        <v>1357</v>
      </c>
      <c r="K12419" t="s">
        <v>1357</v>
      </c>
      <c r="L12419" t="s">
        <v>1357</v>
      </c>
    </row>
    <row r="12420" spans="6:12">
      <c r="H12420" t="s">
        <v>23452</v>
      </c>
      <c r="I12420" t="s">
        <v>1357</v>
      </c>
      <c r="J12420" t="s">
        <v>1357</v>
      </c>
      <c r="K12420" t="s">
        <v>1357</v>
      </c>
      <c r="L12420" t="s">
        <v>1357</v>
      </c>
    </row>
    <row r="12421" spans="6:12">
      <c r="H12421" t="s">
        <v>23453</v>
      </c>
      <c r="I12421" t="s">
        <v>1357</v>
      </c>
      <c r="J12421" t="s">
        <v>1357</v>
      </c>
      <c r="K12421" t="s">
        <v>1357</v>
      </c>
      <c r="L12421" t="s">
        <v>1357</v>
      </c>
    </row>
    <row r="12422" spans="6:12">
      <c r="H12422" t="s">
        <v>23454</v>
      </c>
      <c r="I12422" t="s">
        <v>1357</v>
      </c>
      <c r="J12422" t="s">
        <v>1357</v>
      </c>
      <c r="K12422" t="s">
        <v>1357</v>
      </c>
      <c r="L12422" t="s">
        <v>1357</v>
      </c>
    </row>
    <row r="12423" spans="6:12">
      <c r="H12423" t="s">
        <v>23455</v>
      </c>
      <c r="I12423" t="s">
        <v>1357</v>
      </c>
      <c r="J12423" t="s">
        <v>1357</v>
      </c>
      <c r="K12423" t="s">
        <v>1357</v>
      </c>
      <c r="L12423" t="s">
        <v>1357</v>
      </c>
    </row>
    <row r="12424" spans="6:12">
      <c r="H12424" t="s">
        <v>23456</v>
      </c>
      <c r="I12424" t="s">
        <v>1357</v>
      </c>
      <c r="J12424" t="s">
        <v>1357</v>
      </c>
      <c r="K12424" t="s">
        <v>1357</v>
      </c>
      <c r="L12424" t="s">
        <v>1357</v>
      </c>
    </row>
    <row r="12425" spans="6:12">
      <c r="F12425" t="s">
        <v>16537</v>
      </c>
      <c r="G12425" t="s">
        <v>19192</v>
      </c>
      <c r="H12425" t="s">
        <v>23457</v>
      </c>
      <c r="I12425" t="s">
        <v>1357</v>
      </c>
      <c r="J12425" t="s">
        <v>1357</v>
      </c>
      <c r="K12425" t="s">
        <v>1357</v>
      </c>
      <c r="L12425" t="s">
        <v>1357</v>
      </c>
    </row>
    <row r="12426" spans="6:12">
      <c r="H12426" t="s">
        <v>23458</v>
      </c>
      <c r="I12426" t="s">
        <v>1357</v>
      </c>
      <c r="J12426" t="s">
        <v>1357</v>
      </c>
      <c r="K12426" t="s">
        <v>1357</v>
      </c>
      <c r="L12426" t="s">
        <v>1357</v>
      </c>
    </row>
    <row r="12427" spans="6:12">
      <c r="H12427" t="s">
        <v>23459</v>
      </c>
      <c r="I12427" t="s">
        <v>1357</v>
      </c>
      <c r="J12427" t="s">
        <v>1357</v>
      </c>
      <c r="K12427" t="s">
        <v>1357</v>
      </c>
      <c r="L12427" t="s">
        <v>1357</v>
      </c>
    </row>
    <row r="12428" spans="6:12">
      <c r="H12428" t="s">
        <v>23460</v>
      </c>
      <c r="I12428" t="s">
        <v>1357</v>
      </c>
      <c r="J12428" t="s">
        <v>1357</v>
      </c>
      <c r="K12428" t="s">
        <v>1357</v>
      </c>
      <c r="L12428" t="s">
        <v>1357</v>
      </c>
    </row>
    <row r="12429" spans="6:12">
      <c r="F12429" t="s">
        <v>16538</v>
      </c>
      <c r="G12429" t="s">
        <v>19193</v>
      </c>
      <c r="H12429" t="s">
        <v>23461</v>
      </c>
      <c r="I12429" t="s">
        <v>1357</v>
      </c>
      <c r="J12429" t="s">
        <v>1357</v>
      </c>
      <c r="K12429" t="s">
        <v>1357</v>
      </c>
      <c r="L12429" t="s">
        <v>1357</v>
      </c>
    </row>
    <row r="12430" spans="6:12">
      <c r="H12430" t="s">
        <v>23462</v>
      </c>
      <c r="I12430" t="s">
        <v>1357</v>
      </c>
      <c r="J12430" t="s">
        <v>1357</v>
      </c>
      <c r="K12430" t="s">
        <v>1357</v>
      </c>
      <c r="L12430" t="s">
        <v>1357</v>
      </c>
    </row>
    <row r="12431" spans="6:12">
      <c r="F12431" t="s">
        <v>16539</v>
      </c>
      <c r="G12431" t="s">
        <v>19194</v>
      </c>
      <c r="H12431" t="s">
        <v>23463</v>
      </c>
      <c r="I12431" t="s">
        <v>1357</v>
      </c>
      <c r="J12431" t="s">
        <v>1357</v>
      </c>
      <c r="K12431" t="s">
        <v>1357</v>
      </c>
      <c r="L12431" t="s">
        <v>1357</v>
      </c>
    </row>
    <row r="12432" spans="6:12">
      <c r="H12432" t="s">
        <v>23464</v>
      </c>
      <c r="I12432" t="s">
        <v>1357</v>
      </c>
      <c r="J12432" t="s">
        <v>1357</v>
      </c>
      <c r="K12432" t="s">
        <v>1357</v>
      </c>
      <c r="L12432" t="s">
        <v>1357</v>
      </c>
    </row>
    <row r="12433" spans="6:12">
      <c r="F12433" t="s">
        <v>16540</v>
      </c>
      <c r="G12433" t="s">
        <v>19195</v>
      </c>
      <c r="H12433" t="s">
        <v>23465</v>
      </c>
      <c r="I12433" t="s">
        <v>1357</v>
      </c>
      <c r="J12433" t="s">
        <v>1357</v>
      </c>
      <c r="K12433" t="s">
        <v>1357</v>
      </c>
      <c r="L12433" t="s">
        <v>1357</v>
      </c>
    </row>
    <row r="12434" spans="6:12">
      <c r="F12434" t="s">
        <v>16541</v>
      </c>
      <c r="G12434" t="s">
        <v>18814</v>
      </c>
      <c r="H12434" t="s">
        <v>23466</v>
      </c>
      <c r="I12434" t="s">
        <v>1357</v>
      </c>
      <c r="J12434" t="s">
        <v>1357</v>
      </c>
      <c r="K12434" t="s">
        <v>1357</v>
      </c>
      <c r="L12434" t="s">
        <v>1357</v>
      </c>
    </row>
    <row r="12435" spans="6:12">
      <c r="H12435" t="s">
        <v>23467</v>
      </c>
      <c r="I12435" t="s">
        <v>1357</v>
      </c>
      <c r="J12435" t="s">
        <v>1357</v>
      </c>
      <c r="K12435" t="s">
        <v>1357</v>
      </c>
      <c r="L12435" t="s">
        <v>1357</v>
      </c>
    </row>
    <row r="12436" spans="6:12">
      <c r="H12436" t="s">
        <v>21942</v>
      </c>
      <c r="I12436" t="s">
        <v>1357</v>
      </c>
      <c r="J12436" t="s">
        <v>1357</v>
      </c>
      <c r="K12436" t="s">
        <v>1357</v>
      </c>
      <c r="L12436" t="s">
        <v>1357</v>
      </c>
    </row>
    <row r="12437" spans="6:12">
      <c r="H12437" t="s">
        <v>23468</v>
      </c>
      <c r="I12437" t="s">
        <v>1357</v>
      </c>
      <c r="J12437" t="s">
        <v>1357</v>
      </c>
      <c r="K12437" t="s">
        <v>1357</v>
      </c>
      <c r="L12437" t="s">
        <v>1357</v>
      </c>
    </row>
    <row r="12438" spans="6:12">
      <c r="H12438" t="s">
        <v>23469</v>
      </c>
      <c r="I12438" t="s">
        <v>1357</v>
      </c>
      <c r="J12438" t="s">
        <v>1357</v>
      </c>
      <c r="K12438" t="s">
        <v>1357</v>
      </c>
      <c r="L12438" t="s">
        <v>1357</v>
      </c>
    </row>
    <row r="12439" spans="6:12">
      <c r="H12439" t="s">
        <v>23470</v>
      </c>
      <c r="I12439" t="s">
        <v>1357</v>
      </c>
      <c r="J12439" t="s">
        <v>1357</v>
      </c>
      <c r="K12439" t="s">
        <v>1357</v>
      </c>
      <c r="L12439" t="s">
        <v>1357</v>
      </c>
    </row>
    <row r="12440" spans="6:12">
      <c r="H12440" t="s">
        <v>23471</v>
      </c>
      <c r="I12440" t="s">
        <v>1357</v>
      </c>
      <c r="J12440" t="s">
        <v>1357</v>
      </c>
      <c r="K12440" t="s">
        <v>1357</v>
      </c>
      <c r="L12440" t="s">
        <v>1357</v>
      </c>
    </row>
    <row r="12441" spans="6:12">
      <c r="H12441" t="s">
        <v>23472</v>
      </c>
      <c r="I12441" t="s">
        <v>1357</v>
      </c>
      <c r="J12441" t="s">
        <v>1357</v>
      </c>
      <c r="K12441" t="s">
        <v>1357</v>
      </c>
      <c r="L12441" t="s">
        <v>1357</v>
      </c>
    </row>
    <row r="12442" spans="6:12">
      <c r="H12442" t="s">
        <v>23473</v>
      </c>
      <c r="I12442" t="s">
        <v>1357</v>
      </c>
      <c r="J12442" t="s">
        <v>1357</v>
      </c>
      <c r="K12442" t="s">
        <v>1357</v>
      </c>
      <c r="L12442" t="s">
        <v>1357</v>
      </c>
    </row>
    <row r="12443" spans="6:12">
      <c r="H12443" t="s">
        <v>23474</v>
      </c>
      <c r="I12443" t="s">
        <v>1357</v>
      </c>
      <c r="J12443" t="s">
        <v>1357</v>
      </c>
      <c r="K12443" t="s">
        <v>1357</v>
      </c>
      <c r="L12443" t="s">
        <v>1357</v>
      </c>
    </row>
    <row r="12444" spans="6:12">
      <c r="H12444" t="s">
        <v>23475</v>
      </c>
      <c r="I12444" t="s">
        <v>1357</v>
      </c>
      <c r="J12444" t="s">
        <v>1357</v>
      </c>
      <c r="K12444" t="s">
        <v>1357</v>
      </c>
      <c r="L12444" t="s">
        <v>1357</v>
      </c>
    </row>
    <row r="12445" spans="6:12">
      <c r="H12445" t="s">
        <v>23476</v>
      </c>
      <c r="I12445" t="s">
        <v>1357</v>
      </c>
      <c r="J12445" t="s">
        <v>1357</v>
      </c>
      <c r="K12445" t="s">
        <v>1357</v>
      </c>
      <c r="L12445" t="s">
        <v>1357</v>
      </c>
    </row>
    <row r="12446" spans="6:12">
      <c r="F12446" t="s">
        <v>16542</v>
      </c>
      <c r="G12446" t="s">
        <v>19046</v>
      </c>
      <c r="H12446" t="s">
        <v>22827</v>
      </c>
      <c r="I12446" t="s">
        <v>1357</v>
      </c>
      <c r="J12446" t="s">
        <v>1357</v>
      </c>
      <c r="K12446" t="s">
        <v>1357</v>
      </c>
      <c r="L12446" t="s">
        <v>1357</v>
      </c>
    </row>
    <row r="12447" spans="6:12">
      <c r="H12447" t="s">
        <v>23477</v>
      </c>
      <c r="I12447" t="s">
        <v>1357</v>
      </c>
      <c r="J12447" t="s">
        <v>1357</v>
      </c>
      <c r="K12447" t="s">
        <v>1357</v>
      </c>
      <c r="L12447" t="s">
        <v>1357</v>
      </c>
    </row>
    <row r="12448" spans="6:12">
      <c r="H12448" t="s">
        <v>23478</v>
      </c>
      <c r="I12448" t="s">
        <v>1357</v>
      </c>
      <c r="J12448" t="s">
        <v>1357</v>
      </c>
      <c r="K12448" t="s">
        <v>1357</v>
      </c>
      <c r="L12448" t="s">
        <v>1357</v>
      </c>
    </row>
    <row r="12449" spans="6:12">
      <c r="H12449" t="s">
        <v>23479</v>
      </c>
      <c r="I12449" t="s">
        <v>1357</v>
      </c>
      <c r="J12449" t="s">
        <v>1357</v>
      </c>
      <c r="K12449" t="s">
        <v>1357</v>
      </c>
      <c r="L12449" t="s">
        <v>1357</v>
      </c>
    </row>
    <row r="12450" spans="6:12">
      <c r="H12450" t="s">
        <v>23480</v>
      </c>
      <c r="I12450" t="s">
        <v>1357</v>
      </c>
      <c r="J12450" t="s">
        <v>1357</v>
      </c>
      <c r="K12450" t="s">
        <v>1357</v>
      </c>
      <c r="L12450" t="s">
        <v>1357</v>
      </c>
    </row>
    <row r="12451" spans="6:12">
      <c r="F12451" t="s">
        <v>16543</v>
      </c>
      <c r="G12451" t="s">
        <v>19196</v>
      </c>
      <c r="H12451" t="s">
        <v>23481</v>
      </c>
      <c r="I12451" t="s">
        <v>1357</v>
      </c>
      <c r="J12451" t="s">
        <v>1357</v>
      </c>
      <c r="K12451" t="s">
        <v>1357</v>
      </c>
      <c r="L12451" t="s">
        <v>1357</v>
      </c>
    </row>
    <row r="12452" spans="6:12">
      <c r="F12452" t="s">
        <v>16544</v>
      </c>
      <c r="G12452" t="s">
        <v>19197</v>
      </c>
      <c r="H12452" t="s">
        <v>23482</v>
      </c>
      <c r="I12452" t="s">
        <v>1357</v>
      </c>
      <c r="J12452" t="s">
        <v>1357</v>
      </c>
      <c r="K12452" t="s">
        <v>1357</v>
      </c>
      <c r="L12452" t="s">
        <v>1357</v>
      </c>
    </row>
    <row r="12453" spans="6:12">
      <c r="H12453" t="s">
        <v>23483</v>
      </c>
      <c r="I12453" t="s">
        <v>1357</v>
      </c>
      <c r="J12453" t="s">
        <v>1357</v>
      </c>
      <c r="K12453" t="s">
        <v>1357</v>
      </c>
      <c r="L12453" t="s">
        <v>1357</v>
      </c>
    </row>
    <row r="12454" spans="6:12">
      <c r="H12454" t="s">
        <v>23484</v>
      </c>
      <c r="I12454" t="s">
        <v>1357</v>
      </c>
      <c r="J12454" t="s">
        <v>1357</v>
      </c>
      <c r="K12454" t="s">
        <v>1357</v>
      </c>
      <c r="L12454" t="s">
        <v>1357</v>
      </c>
    </row>
    <row r="12455" spans="6:12">
      <c r="H12455" t="s">
        <v>23485</v>
      </c>
      <c r="I12455" t="s">
        <v>1357</v>
      </c>
      <c r="J12455" t="s">
        <v>1357</v>
      </c>
      <c r="K12455" t="s">
        <v>1357</v>
      </c>
      <c r="L12455" t="s">
        <v>1357</v>
      </c>
    </row>
    <row r="12456" spans="6:12">
      <c r="H12456" t="s">
        <v>23486</v>
      </c>
      <c r="I12456" t="s">
        <v>1357</v>
      </c>
      <c r="J12456" t="s">
        <v>1357</v>
      </c>
      <c r="K12456" t="s">
        <v>1357</v>
      </c>
      <c r="L12456" t="s">
        <v>1357</v>
      </c>
    </row>
    <row r="12457" spans="6:12">
      <c r="H12457" t="s">
        <v>20242</v>
      </c>
      <c r="I12457" t="s">
        <v>1357</v>
      </c>
      <c r="J12457" t="s">
        <v>1357</v>
      </c>
      <c r="K12457" t="s">
        <v>1357</v>
      </c>
      <c r="L12457" t="s">
        <v>1357</v>
      </c>
    </row>
    <row r="12458" spans="6:12">
      <c r="F12458" t="s">
        <v>16545</v>
      </c>
      <c r="G12458" t="s">
        <v>18970</v>
      </c>
      <c r="H12458" t="s">
        <v>23487</v>
      </c>
      <c r="I12458" t="s">
        <v>1357</v>
      </c>
      <c r="J12458" t="s">
        <v>1357</v>
      </c>
      <c r="K12458" t="s">
        <v>1357</v>
      </c>
      <c r="L12458" t="s">
        <v>1357</v>
      </c>
    </row>
    <row r="12459" spans="6:12">
      <c r="H12459" t="s">
        <v>23488</v>
      </c>
      <c r="I12459" t="s">
        <v>1357</v>
      </c>
      <c r="J12459" t="s">
        <v>1357</v>
      </c>
      <c r="K12459" t="s">
        <v>1357</v>
      </c>
      <c r="L12459" t="s">
        <v>1357</v>
      </c>
    </row>
    <row r="12460" spans="6:12">
      <c r="H12460" t="s">
        <v>23489</v>
      </c>
      <c r="I12460" t="s">
        <v>1357</v>
      </c>
      <c r="J12460" t="s">
        <v>1357</v>
      </c>
      <c r="K12460" t="s">
        <v>1357</v>
      </c>
      <c r="L12460" t="s">
        <v>1357</v>
      </c>
    </row>
    <row r="12461" spans="6:12">
      <c r="H12461" t="s">
        <v>23490</v>
      </c>
      <c r="I12461" t="s">
        <v>1357</v>
      </c>
      <c r="J12461" t="s">
        <v>1357</v>
      </c>
      <c r="K12461" t="s">
        <v>1357</v>
      </c>
      <c r="L12461" t="s">
        <v>1357</v>
      </c>
    </row>
    <row r="12462" spans="6:12">
      <c r="H12462" t="s">
        <v>21954</v>
      </c>
      <c r="I12462" t="s">
        <v>1357</v>
      </c>
      <c r="J12462" t="s">
        <v>1357</v>
      </c>
      <c r="K12462" t="s">
        <v>1357</v>
      </c>
      <c r="L12462" t="s">
        <v>1357</v>
      </c>
    </row>
    <row r="12463" spans="6:12">
      <c r="F12463" t="s">
        <v>16546</v>
      </c>
      <c r="G12463" t="s">
        <v>19198</v>
      </c>
      <c r="H12463" t="s">
        <v>23491</v>
      </c>
      <c r="I12463" t="s">
        <v>1357</v>
      </c>
      <c r="J12463" t="s">
        <v>1357</v>
      </c>
      <c r="K12463" t="s">
        <v>1357</v>
      </c>
      <c r="L12463" t="s">
        <v>1357</v>
      </c>
    </row>
    <row r="12464" spans="6:12">
      <c r="H12464" t="s">
        <v>23492</v>
      </c>
      <c r="I12464" t="s">
        <v>1357</v>
      </c>
      <c r="J12464" t="s">
        <v>1357</v>
      </c>
      <c r="K12464" t="s">
        <v>1357</v>
      </c>
      <c r="L12464" t="s">
        <v>1357</v>
      </c>
    </row>
    <row r="12465" spans="6:12">
      <c r="H12465" t="s">
        <v>23493</v>
      </c>
      <c r="I12465" t="s">
        <v>1357</v>
      </c>
      <c r="J12465" t="s">
        <v>1357</v>
      </c>
      <c r="K12465" t="s">
        <v>1357</v>
      </c>
      <c r="L12465" t="s">
        <v>1357</v>
      </c>
    </row>
    <row r="12466" spans="6:12">
      <c r="H12466" t="s">
        <v>23494</v>
      </c>
      <c r="I12466" t="s">
        <v>1357</v>
      </c>
      <c r="J12466" t="s">
        <v>1357</v>
      </c>
      <c r="K12466" t="s">
        <v>1357</v>
      </c>
      <c r="L12466" t="s">
        <v>1357</v>
      </c>
    </row>
    <row r="12467" spans="6:12">
      <c r="F12467" t="s">
        <v>16547</v>
      </c>
      <c r="G12467" t="s">
        <v>19199</v>
      </c>
      <c r="H12467" t="s">
        <v>23495</v>
      </c>
      <c r="I12467" t="s">
        <v>1357</v>
      </c>
      <c r="J12467" t="s">
        <v>1357</v>
      </c>
      <c r="K12467" t="s">
        <v>1357</v>
      </c>
      <c r="L12467" t="s">
        <v>1357</v>
      </c>
    </row>
    <row r="12468" spans="6:12">
      <c r="H12468" t="s">
        <v>23496</v>
      </c>
      <c r="I12468" t="s">
        <v>1357</v>
      </c>
      <c r="J12468" t="s">
        <v>1357</v>
      </c>
      <c r="K12468" t="s">
        <v>1357</v>
      </c>
      <c r="L12468" t="s">
        <v>1357</v>
      </c>
    </row>
    <row r="12469" spans="6:12">
      <c r="H12469" t="s">
        <v>23497</v>
      </c>
      <c r="I12469" t="s">
        <v>1357</v>
      </c>
      <c r="J12469" t="s">
        <v>1357</v>
      </c>
      <c r="K12469" t="s">
        <v>1357</v>
      </c>
      <c r="L12469" t="s">
        <v>1357</v>
      </c>
    </row>
    <row r="12470" spans="6:12">
      <c r="H12470" t="s">
        <v>23498</v>
      </c>
      <c r="I12470" t="s">
        <v>1357</v>
      </c>
      <c r="J12470" t="s">
        <v>1357</v>
      </c>
      <c r="K12470" t="s">
        <v>1357</v>
      </c>
      <c r="L12470" t="s">
        <v>1357</v>
      </c>
    </row>
    <row r="12471" spans="6:12">
      <c r="H12471" t="s">
        <v>23499</v>
      </c>
      <c r="I12471" t="s">
        <v>1357</v>
      </c>
      <c r="J12471" t="s">
        <v>1357</v>
      </c>
      <c r="K12471" t="s">
        <v>1357</v>
      </c>
      <c r="L12471" t="s">
        <v>1357</v>
      </c>
    </row>
    <row r="12472" spans="6:12">
      <c r="H12472" t="s">
        <v>23500</v>
      </c>
      <c r="I12472" t="s">
        <v>1357</v>
      </c>
      <c r="J12472" t="s">
        <v>1357</v>
      </c>
      <c r="K12472" t="s">
        <v>1357</v>
      </c>
      <c r="L12472" t="s">
        <v>1357</v>
      </c>
    </row>
    <row r="12473" spans="6:12">
      <c r="H12473" t="s">
        <v>23501</v>
      </c>
      <c r="I12473" t="s">
        <v>1357</v>
      </c>
      <c r="J12473" t="s">
        <v>1357</v>
      </c>
      <c r="K12473" t="s">
        <v>1357</v>
      </c>
      <c r="L12473" t="s">
        <v>1357</v>
      </c>
    </row>
    <row r="12474" spans="6:12">
      <c r="F12474" t="s">
        <v>16548</v>
      </c>
      <c r="G12474" t="s">
        <v>19200</v>
      </c>
      <c r="H12474" t="s">
        <v>23089</v>
      </c>
      <c r="I12474" t="s">
        <v>1357</v>
      </c>
      <c r="J12474" t="s">
        <v>1357</v>
      </c>
      <c r="K12474" t="s">
        <v>1357</v>
      </c>
      <c r="L12474" t="s">
        <v>1357</v>
      </c>
    </row>
    <row r="12475" spans="6:12">
      <c r="H12475" t="s">
        <v>23090</v>
      </c>
      <c r="I12475" t="s">
        <v>1357</v>
      </c>
      <c r="J12475" t="s">
        <v>1357</v>
      </c>
      <c r="K12475" t="s">
        <v>1357</v>
      </c>
      <c r="L12475" t="s">
        <v>1357</v>
      </c>
    </row>
    <row r="12476" spans="6:12">
      <c r="H12476" t="s">
        <v>23091</v>
      </c>
      <c r="I12476" t="s">
        <v>1357</v>
      </c>
      <c r="J12476" t="s">
        <v>1357</v>
      </c>
      <c r="K12476" t="s">
        <v>1357</v>
      </c>
      <c r="L12476" t="s">
        <v>1357</v>
      </c>
    </row>
    <row r="12477" spans="6:12">
      <c r="H12477" t="s">
        <v>23092</v>
      </c>
      <c r="I12477" t="s">
        <v>1357</v>
      </c>
      <c r="J12477" t="s">
        <v>1357</v>
      </c>
      <c r="K12477" t="s">
        <v>1357</v>
      </c>
      <c r="L12477" t="s">
        <v>1357</v>
      </c>
    </row>
    <row r="12478" spans="6:12">
      <c r="H12478" t="s">
        <v>23093</v>
      </c>
      <c r="I12478" t="s">
        <v>1357</v>
      </c>
      <c r="J12478" t="s">
        <v>1357</v>
      </c>
      <c r="K12478" t="s">
        <v>1357</v>
      </c>
      <c r="L12478" t="s">
        <v>1357</v>
      </c>
    </row>
    <row r="12479" spans="6:12">
      <c r="H12479" t="s">
        <v>23094</v>
      </c>
      <c r="I12479" t="s">
        <v>1357</v>
      </c>
      <c r="J12479" t="s">
        <v>1357</v>
      </c>
      <c r="K12479" t="s">
        <v>1357</v>
      </c>
      <c r="L12479" t="s">
        <v>1357</v>
      </c>
    </row>
    <row r="12480" spans="6:12">
      <c r="H12480" t="s">
        <v>23502</v>
      </c>
      <c r="I12480" t="s">
        <v>1357</v>
      </c>
      <c r="J12480" t="s">
        <v>1357</v>
      </c>
      <c r="K12480" t="s">
        <v>1357</v>
      </c>
      <c r="L12480" t="s">
        <v>1357</v>
      </c>
    </row>
    <row r="12481" spans="6:12">
      <c r="H12481" t="s">
        <v>23503</v>
      </c>
      <c r="I12481" t="s">
        <v>1357</v>
      </c>
      <c r="J12481" t="s">
        <v>1357</v>
      </c>
      <c r="K12481" t="s">
        <v>1357</v>
      </c>
      <c r="L12481" t="s">
        <v>1357</v>
      </c>
    </row>
    <row r="12482" spans="6:12">
      <c r="H12482" t="s">
        <v>23504</v>
      </c>
      <c r="I12482" t="s">
        <v>1357</v>
      </c>
      <c r="J12482" t="s">
        <v>1357</v>
      </c>
      <c r="K12482" t="s">
        <v>1357</v>
      </c>
      <c r="L12482" t="s">
        <v>1357</v>
      </c>
    </row>
    <row r="12483" spans="6:12">
      <c r="H12483" t="s">
        <v>23505</v>
      </c>
      <c r="I12483" t="s">
        <v>1357</v>
      </c>
      <c r="J12483" t="s">
        <v>1357</v>
      </c>
      <c r="K12483" t="s">
        <v>1357</v>
      </c>
      <c r="L12483" t="s">
        <v>1357</v>
      </c>
    </row>
    <row r="12484" spans="6:12">
      <c r="H12484" t="s">
        <v>23506</v>
      </c>
      <c r="I12484" t="s">
        <v>1357</v>
      </c>
      <c r="J12484" t="s">
        <v>1357</v>
      </c>
      <c r="K12484" t="s">
        <v>1357</v>
      </c>
      <c r="L12484" t="s">
        <v>1357</v>
      </c>
    </row>
    <row r="12485" spans="6:12">
      <c r="H12485" t="s">
        <v>23507</v>
      </c>
      <c r="I12485" t="s">
        <v>1357</v>
      </c>
      <c r="J12485" t="s">
        <v>1357</v>
      </c>
      <c r="K12485" t="s">
        <v>1357</v>
      </c>
      <c r="L12485" t="s">
        <v>1357</v>
      </c>
    </row>
    <row r="12486" spans="6:12">
      <c r="H12486" t="s">
        <v>23508</v>
      </c>
      <c r="I12486" t="s">
        <v>1357</v>
      </c>
      <c r="J12486" t="s">
        <v>1357</v>
      </c>
      <c r="K12486" t="s">
        <v>1357</v>
      </c>
      <c r="L12486" t="s">
        <v>1357</v>
      </c>
    </row>
    <row r="12487" spans="6:12">
      <c r="H12487" t="s">
        <v>23509</v>
      </c>
      <c r="I12487" t="s">
        <v>1357</v>
      </c>
      <c r="J12487" t="s">
        <v>1357</v>
      </c>
      <c r="K12487" t="s">
        <v>1357</v>
      </c>
      <c r="L12487" t="s">
        <v>1357</v>
      </c>
    </row>
    <row r="12488" spans="6:12">
      <c r="H12488" t="s">
        <v>23510</v>
      </c>
      <c r="I12488" t="s">
        <v>1357</v>
      </c>
      <c r="J12488" t="s">
        <v>1357</v>
      </c>
      <c r="K12488" t="s">
        <v>1357</v>
      </c>
      <c r="L12488" t="s">
        <v>1357</v>
      </c>
    </row>
    <row r="12489" spans="6:12">
      <c r="F12489" t="s">
        <v>16549</v>
      </c>
      <c r="G12489" t="s">
        <v>18955</v>
      </c>
      <c r="H12489" t="s">
        <v>23511</v>
      </c>
      <c r="I12489" t="s">
        <v>1357</v>
      </c>
      <c r="J12489" t="s">
        <v>1357</v>
      </c>
      <c r="K12489" t="s">
        <v>1357</v>
      </c>
      <c r="L12489" t="s">
        <v>1357</v>
      </c>
    </row>
    <row r="12490" spans="6:12">
      <c r="H12490" t="s">
        <v>23512</v>
      </c>
      <c r="I12490" t="s">
        <v>1357</v>
      </c>
      <c r="J12490" t="s">
        <v>1357</v>
      </c>
      <c r="K12490" t="s">
        <v>1357</v>
      </c>
      <c r="L12490" t="s">
        <v>1357</v>
      </c>
    </row>
    <row r="12491" spans="6:12">
      <c r="H12491" t="s">
        <v>23513</v>
      </c>
      <c r="I12491" t="s">
        <v>1357</v>
      </c>
      <c r="J12491" t="s">
        <v>1357</v>
      </c>
      <c r="K12491" t="s">
        <v>1357</v>
      </c>
      <c r="L12491" t="s">
        <v>1357</v>
      </c>
    </row>
    <row r="12492" spans="6:12">
      <c r="H12492" t="s">
        <v>23514</v>
      </c>
      <c r="I12492" t="s">
        <v>1357</v>
      </c>
      <c r="J12492" t="s">
        <v>1357</v>
      </c>
      <c r="K12492" t="s">
        <v>1357</v>
      </c>
      <c r="L12492" t="s">
        <v>1357</v>
      </c>
    </row>
    <row r="12493" spans="6:12">
      <c r="H12493" t="s">
        <v>23515</v>
      </c>
      <c r="I12493" t="s">
        <v>1357</v>
      </c>
      <c r="J12493" t="s">
        <v>1357</v>
      </c>
      <c r="K12493" t="s">
        <v>1357</v>
      </c>
      <c r="L12493" t="s">
        <v>1357</v>
      </c>
    </row>
    <row r="12494" spans="6:12">
      <c r="H12494" t="s">
        <v>23516</v>
      </c>
      <c r="I12494" t="s">
        <v>1357</v>
      </c>
      <c r="J12494" t="s">
        <v>1357</v>
      </c>
      <c r="K12494" t="s">
        <v>1357</v>
      </c>
      <c r="L12494" t="s">
        <v>1357</v>
      </c>
    </row>
    <row r="12495" spans="6:12">
      <c r="H12495" t="s">
        <v>23517</v>
      </c>
      <c r="I12495" t="s">
        <v>1357</v>
      </c>
      <c r="J12495" t="s">
        <v>1357</v>
      </c>
      <c r="K12495" t="s">
        <v>1357</v>
      </c>
      <c r="L12495" t="s">
        <v>1357</v>
      </c>
    </row>
    <row r="12496" spans="6:12">
      <c r="F12496" t="s">
        <v>16550</v>
      </c>
      <c r="G12496" t="s">
        <v>18785</v>
      </c>
      <c r="H12496" t="s">
        <v>4574</v>
      </c>
      <c r="I12496" t="s">
        <v>1357</v>
      </c>
      <c r="J12496" t="s">
        <v>1357</v>
      </c>
      <c r="K12496" t="s">
        <v>1357</v>
      </c>
      <c r="L12496" t="s">
        <v>1357</v>
      </c>
    </row>
    <row r="12497" spans="6:12">
      <c r="H12497" t="s">
        <v>23518</v>
      </c>
      <c r="I12497" t="s">
        <v>1357</v>
      </c>
      <c r="J12497" t="s">
        <v>1357</v>
      </c>
      <c r="K12497" t="s">
        <v>1357</v>
      </c>
      <c r="L12497" t="s">
        <v>1357</v>
      </c>
    </row>
    <row r="12498" spans="6:12">
      <c r="F12498" t="s">
        <v>16551</v>
      </c>
      <c r="G12498" t="s">
        <v>18968</v>
      </c>
      <c r="H12498" t="s">
        <v>4208</v>
      </c>
      <c r="I12498" t="s">
        <v>1357</v>
      </c>
      <c r="J12498" t="s">
        <v>1357</v>
      </c>
      <c r="K12498" t="s">
        <v>1357</v>
      </c>
      <c r="L12498" t="s">
        <v>1357</v>
      </c>
    </row>
    <row r="12499" spans="6:12">
      <c r="H12499" t="s">
        <v>23519</v>
      </c>
      <c r="I12499" t="s">
        <v>1357</v>
      </c>
      <c r="J12499" t="s">
        <v>1357</v>
      </c>
      <c r="K12499" t="s">
        <v>1357</v>
      </c>
      <c r="L12499" t="s">
        <v>1357</v>
      </c>
    </row>
    <row r="12500" spans="6:12">
      <c r="H12500" t="s">
        <v>23520</v>
      </c>
      <c r="I12500" t="s">
        <v>1357</v>
      </c>
      <c r="J12500" t="s">
        <v>1357</v>
      </c>
      <c r="K12500" t="s">
        <v>1357</v>
      </c>
      <c r="L12500" t="s">
        <v>1357</v>
      </c>
    </row>
    <row r="12501" spans="6:12">
      <c r="H12501" t="s">
        <v>23521</v>
      </c>
      <c r="I12501" t="s">
        <v>1357</v>
      </c>
      <c r="J12501" t="s">
        <v>1357</v>
      </c>
      <c r="K12501" t="s">
        <v>1357</v>
      </c>
      <c r="L12501" t="s">
        <v>1357</v>
      </c>
    </row>
    <row r="12502" spans="6:12">
      <c r="H12502" t="s">
        <v>23522</v>
      </c>
      <c r="I12502" t="s">
        <v>1357</v>
      </c>
      <c r="J12502" t="s">
        <v>1357</v>
      </c>
      <c r="K12502" t="s">
        <v>1357</v>
      </c>
      <c r="L12502" t="s">
        <v>1357</v>
      </c>
    </row>
    <row r="12503" spans="6:12">
      <c r="H12503" t="s">
        <v>23523</v>
      </c>
      <c r="I12503" t="s">
        <v>1357</v>
      </c>
      <c r="J12503" t="s">
        <v>1357</v>
      </c>
      <c r="K12503" t="s">
        <v>1357</v>
      </c>
      <c r="L12503" t="s">
        <v>1357</v>
      </c>
    </row>
    <row r="12504" spans="6:12">
      <c r="H12504" t="s">
        <v>23524</v>
      </c>
      <c r="I12504" t="s">
        <v>1357</v>
      </c>
      <c r="J12504" t="s">
        <v>1357</v>
      </c>
      <c r="K12504" t="s">
        <v>1357</v>
      </c>
      <c r="L12504" t="s">
        <v>1357</v>
      </c>
    </row>
    <row r="12505" spans="6:12">
      <c r="H12505" t="s">
        <v>23525</v>
      </c>
      <c r="I12505" t="s">
        <v>1357</v>
      </c>
      <c r="J12505" t="s">
        <v>1357</v>
      </c>
      <c r="K12505" t="s">
        <v>1357</v>
      </c>
      <c r="L12505" t="s">
        <v>1357</v>
      </c>
    </row>
    <row r="12506" spans="6:12">
      <c r="H12506" t="s">
        <v>23526</v>
      </c>
      <c r="I12506" t="s">
        <v>1357</v>
      </c>
      <c r="J12506" t="s">
        <v>1357</v>
      </c>
      <c r="K12506" t="s">
        <v>1357</v>
      </c>
      <c r="L12506" t="s">
        <v>1357</v>
      </c>
    </row>
    <row r="12507" spans="6:12">
      <c r="H12507" t="s">
        <v>23527</v>
      </c>
      <c r="I12507" t="s">
        <v>1357</v>
      </c>
      <c r="J12507" t="s">
        <v>1357</v>
      </c>
      <c r="K12507" t="s">
        <v>1357</v>
      </c>
      <c r="L12507" t="s">
        <v>1357</v>
      </c>
    </row>
    <row r="12508" spans="6:12">
      <c r="H12508" t="s">
        <v>9196</v>
      </c>
      <c r="I12508" t="s">
        <v>1357</v>
      </c>
      <c r="J12508" t="s">
        <v>1357</v>
      </c>
      <c r="K12508" t="s">
        <v>1357</v>
      </c>
      <c r="L12508" t="s">
        <v>1357</v>
      </c>
    </row>
    <row r="12509" spans="6:12">
      <c r="H12509" t="s">
        <v>23502</v>
      </c>
      <c r="I12509" t="s">
        <v>1357</v>
      </c>
      <c r="J12509" t="s">
        <v>1357</v>
      </c>
      <c r="K12509" t="s">
        <v>1357</v>
      </c>
      <c r="L12509" t="s">
        <v>1357</v>
      </c>
    </row>
    <row r="12510" spans="6:12">
      <c r="H12510" t="s">
        <v>23528</v>
      </c>
      <c r="I12510" t="s">
        <v>1357</v>
      </c>
      <c r="J12510" t="s">
        <v>1357</v>
      </c>
      <c r="K12510" t="s">
        <v>1357</v>
      </c>
      <c r="L12510" t="s">
        <v>1357</v>
      </c>
    </row>
    <row r="12511" spans="6:12">
      <c r="H12511" t="s">
        <v>23529</v>
      </c>
      <c r="I12511" t="s">
        <v>1357</v>
      </c>
      <c r="J12511" t="s">
        <v>1357</v>
      </c>
      <c r="K12511" t="s">
        <v>1357</v>
      </c>
      <c r="L12511" t="s">
        <v>1357</v>
      </c>
    </row>
    <row r="12512" spans="6:12">
      <c r="H12512" t="s">
        <v>23530</v>
      </c>
      <c r="I12512" t="s">
        <v>1357</v>
      </c>
      <c r="J12512" t="s">
        <v>1357</v>
      </c>
      <c r="K12512" t="s">
        <v>1357</v>
      </c>
      <c r="L12512" t="s">
        <v>1357</v>
      </c>
    </row>
    <row r="12513" spans="8:12">
      <c r="H12513" t="s">
        <v>23095</v>
      </c>
      <c r="I12513" t="s">
        <v>1357</v>
      </c>
      <c r="J12513" t="s">
        <v>1357</v>
      </c>
      <c r="K12513" t="s">
        <v>1357</v>
      </c>
      <c r="L12513" t="s">
        <v>1357</v>
      </c>
    </row>
    <row r="12514" spans="8:12">
      <c r="H12514" t="s">
        <v>23096</v>
      </c>
      <c r="I12514" t="s">
        <v>1357</v>
      </c>
      <c r="J12514" t="s">
        <v>1357</v>
      </c>
      <c r="K12514" t="s">
        <v>1357</v>
      </c>
      <c r="L12514" t="s">
        <v>1357</v>
      </c>
    </row>
    <row r="12515" spans="8:12">
      <c r="H12515" t="s">
        <v>23097</v>
      </c>
      <c r="I12515" t="s">
        <v>1357</v>
      </c>
      <c r="J12515" t="s">
        <v>1357</v>
      </c>
      <c r="K12515" t="s">
        <v>1357</v>
      </c>
      <c r="L12515" t="s">
        <v>1357</v>
      </c>
    </row>
    <row r="12516" spans="8:12">
      <c r="H12516" t="s">
        <v>23098</v>
      </c>
      <c r="I12516" t="s">
        <v>1357</v>
      </c>
      <c r="J12516" t="s">
        <v>1357</v>
      </c>
      <c r="K12516" t="s">
        <v>1357</v>
      </c>
      <c r="L12516" t="s">
        <v>1357</v>
      </c>
    </row>
    <row r="12517" spans="8:12">
      <c r="H12517" t="s">
        <v>23099</v>
      </c>
      <c r="I12517" t="s">
        <v>1357</v>
      </c>
      <c r="J12517" t="s">
        <v>1357</v>
      </c>
      <c r="K12517" t="s">
        <v>1357</v>
      </c>
      <c r="L12517" t="s">
        <v>1357</v>
      </c>
    </row>
    <row r="12518" spans="8:12">
      <c r="H12518" t="s">
        <v>23100</v>
      </c>
      <c r="I12518" t="s">
        <v>1357</v>
      </c>
      <c r="J12518" t="s">
        <v>1357</v>
      </c>
      <c r="K12518" t="s">
        <v>1357</v>
      </c>
      <c r="L12518" t="s">
        <v>1357</v>
      </c>
    </row>
    <row r="12519" spans="8:12">
      <c r="H12519" t="s">
        <v>23101</v>
      </c>
      <c r="I12519" t="s">
        <v>1357</v>
      </c>
      <c r="J12519" t="s">
        <v>1357</v>
      </c>
      <c r="K12519" t="s">
        <v>1357</v>
      </c>
      <c r="L12519" t="s">
        <v>1357</v>
      </c>
    </row>
    <row r="12520" spans="8:12">
      <c r="H12520" t="s">
        <v>23102</v>
      </c>
      <c r="I12520" t="s">
        <v>1357</v>
      </c>
      <c r="J12520" t="s">
        <v>1357</v>
      </c>
      <c r="K12520" t="s">
        <v>1357</v>
      </c>
      <c r="L12520" t="s">
        <v>1357</v>
      </c>
    </row>
    <row r="12521" spans="8:12">
      <c r="H12521" t="s">
        <v>23103</v>
      </c>
      <c r="I12521" t="s">
        <v>1357</v>
      </c>
      <c r="J12521" t="s">
        <v>1357</v>
      </c>
      <c r="K12521" t="s">
        <v>1357</v>
      </c>
      <c r="L12521" t="s">
        <v>1357</v>
      </c>
    </row>
    <row r="12522" spans="8:12">
      <c r="H12522" t="s">
        <v>23104</v>
      </c>
      <c r="I12522" t="s">
        <v>1357</v>
      </c>
      <c r="J12522" t="s">
        <v>1357</v>
      </c>
      <c r="K12522" t="s">
        <v>1357</v>
      </c>
      <c r="L12522" t="s">
        <v>1357</v>
      </c>
    </row>
    <row r="12523" spans="8:12">
      <c r="H12523" t="s">
        <v>23105</v>
      </c>
      <c r="I12523" t="s">
        <v>1357</v>
      </c>
      <c r="J12523" t="s">
        <v>1357</v>
      </c>
      <c r="K12523" t="s">
        <v>1357</v>
      </c>
      <c r="L12523" t="s">
        <v>1357</v>
      </c>
    </row>
    <row r="12524" spans="8:12">
      <c r="H12524" t="s">
        <v>23106</v>
      </c>
      <c r="I12524" t="s">
        <v>1357</v>
      </c>
      <c r="J12524" t="s">
        <v>1357</v>
      </c>
      <c r="K12524" t="s">
        <v>1357</v>
      </c>
      <c r="L12524" t="s">
        <v>1357</v>
      </c>
    </row>
    <row r="12525" spans="8:12">
      <c r="H12525" t="s">
        <v>23107</v>
      </c>
      <c r="I12525" t="s">
        <v>1357</v>
      </c>
      <c r="J12525" t="s">
        <v>1357</v>
      </c>
      <c r="K12525" t="s">
        <v>1357</v>
      </c>
      <c r="L12525" t="s">
        <v>1357</v>
      </c>
    </row>
    <row r="12526" spans="8:12">
      <c r="H12526" t="s">
        <v>23108</v>
      </c>
      <c r="I12526" t="s">
        <v>1357</v>
      </c>
      <c r="J12526" t="s">
        <v>1357</v>
      </c>
      <c r="K12526" t="s">
        <v>1357</v>
      </c>
      <c r="L12526" t="s">
        <v>1357</v>
      </c>
    </row>
    <row r="12527" spans="8:12">
      <c r="H12527" t="s">
        <v>23109</v>
      </c>
      <c r="I12527" t="s">
        <v>1357</v>
      </c>
      <c r="J12527" t="s">
        <v>1357</v>
      </c>
      <c r="K12527" t="s">
        <v>1357</v>
      </c>
      <c r="L12527" t="s">
        <v>1357</v>
      </c>
    </row>
    <row r="12528" spans="8:12">
      <c r="H12528" t="s">
        <v>23169</v>
      </c>
      <c r="I12528" t="s">
        <v>1357</v>
      </c>
      <c r="J12528" t="s">
        <v>1357</v>
      </c>
      <c r="K12528" t="s">
        <v>1357</v>
      </c>
      <c r="L12528" t="s">
        <v>1357</v>
      </c>
    </row>
    <row r="12529" spans="6:12">
      <c r="F12529" t="s">
        <v>16552</v>
      </c>
      <c r="G12529" t="s">
        <v>19201</v>
      </c>
      <c r="H12529" t="s">
        <v>906</v>
      </c>
      <c r="I12529" t="s">
        <v>1357</v>
      </c>
      <c r="J12529" t="s">
        <v>1357</v>
      </c>
      <c r="K12529" t="s">
        <v>1357</v>
      </c>
      <c r="L12529" t="s">
        <v>1357</v>
      </c>
    </row>
    <row r="12530" spans="6:12">
      <c r="H12530" t="s">
        <v>9196</v>
      </c>
      <c r="I12530" t="s">
        <v>1357</v>
      </c>
      <c r="J12530" t="s">
        <v>1357</v>
      </c>
      <c r="K12530" t="s">
        <v>1357</v>
      </c>
      <c r="L12530" t="s">
        <v>1357</v>
      </c>
    </row>
    <row r="12531" spans="6:12">
      <c r="F12531" t="s">
        <v>16553</v>
      </c>
      <c r="G12531" t="s">
        <v>19202</v>
      </c>
      <c r="H12531" t="s">
        <v>23531</v>
      </c>
      <c r="I12531" t="s">
        <v>1357</v>
      </c>
      <c r="J12531" t="s">
        <v>1357</v>
      </c>
      <c r="K12531" t="s">
        <v>1357</v>
      </c>
      <c r="L12531" t="s">
        <v>1357</v>
      </c>
    </row>
    <row r="12532" spans="6:12">
      <c r="H12532" t="s">
        <v>23532</v>
      </c>
      <c r="I12532" t="s">
        <v>1357</v>
      </c>
      <c r="J12532" t="s">
        <v>1357</v>
      </c>
      <c r="K12532" t="s">
        <v>1357</v>
      </c>
      <c r="L12532" t="s">
        <v>1357</v>
      </c>
    </row>
    <row r="12533" spans="6:12">
      <c r="H12533" t="s">
        <v>23436</v>
      </c>
      <c r="I12533" t="s">
        <v>1357</v>
      </c>
      <c r="J12533" t="s">
        <v>1357</v>
      </c>
      <c r="K12533" t="s">
        <v>1357</v>
      </c>
      <c r="L12533" t="s">
        <v>1357</v>
      </c>
    </row>
    <row r="12534" spans="6:12">
      <c r="F12534" t="s">
        <v>16554</v>
      </c>
      <c r="G12534" t="s">
        <v>19203</v>
      </c>
      <c r="H12534" t="s">
        <v>23533</v>
      </c>
      <c r="I12534" t="s">
        <v>1357</v>
      </c>
      <c r="J12534" t="s">
        <v>1357</v>
      </c>
      <c r="K12534" t="s">
        <v>1357</v>
      </c>
      <c r="L12534" t="s">
        <v>1357</v>
      </c>
    </row>
    <row r="12535" spans="6:12">
      <c r="F12535" t="s">
        <v>16555</v>
      </c>
      <c r="G12535" t="s">
        <v>19204</v>
      </c>
      <c r="H12535" t="s">
        <v>23534</v>
      </c>
      <c r="I12535" t="s">
        <v>1357</v>
      </c>
      <c r="J12535" t="s">
        <v>1357</v>
      </c>
      <c r="K12535" t="s">
        <v>1357</v>
      </c>
      <c r="L12535" t="s">
        <v>1357</v>
      </c>
    </row>
    <row r="12536" spans="6:12">
      <c r="H12536" t="s">
        <v>23535</v>
      </c>
      <c r="I12536" t="s">
        <v>1357</v>
      </c>
      <c r="J12536" t="s">
        <v>1357</v>
      </c>
      <c r="K12536" t="s">
        <v>1357</v>
      </c>
      <c r="L12536" t="s">
        <v>1357</v>
      </c>
    </row>
    <row r="12537" spans="6:12">
      <c r="H12537" t="s">
        <v>23536</v>
      </c>
      <c r="I12537" t="s">
        <v>1357</v>
      </c>
      <c r="J12537" t="s">
        <v>1357</v>
      </c>
      <c r="K12537" t="s">
        <v>1357</v>
      </c>
      <c r="L12537" t="s">
        <v>1357</v>
      </c>
    </row>
    <row r="12538" spans="6:12">
      <c r="H12538" t="s">
        <v>23537</v>
      </c>
      <c r="I12538" t="s">
        <v>1357</v>
      </c>
      <c r="J12538" t="s">
        <v>1357</v>
      </c>
      <c r="K12538" t="s">
        <v>1357</v>
      </c>
      <c r="L12538" t="s">
        <v>1357</v>
      </c>
    </row>
    <row r="12539" spans="6:12">
      <c r="H12539" t="s">
        <v>23538</v>
      </c>
      <c r="I12539" t="s">
        <v>1357</v>
      </c>
      <c r="J12539" t="s">
        <v>1357</v>
      </c>
      <c r="K12539" t="s">
        <v>1357</v>
      </c>
      <c r="L12539" t="s">
        <v>1357</v>
      </c>
    </row>
    <row r="12540" spans="6:12">
      <c r="F12540" t="s">
        <v>16556</v>
      </c>
      <c r="G12540" t="s">
        <v>19205</v>
      </c>
      <c r="H12540" t="s">
        <v>23539</v>
      </c>
      <c r="I12540" t="s">
        <v>1357</v>
      </c>
      <c r="J12540" t="s">
        <v>1357</v>
      </c>
      <c r="K12540" t="s">
        <v>1357</v>
      </c>
      <c r="L12540" t="s">
        <v>1357</v>
      </c>
    </row>
    <row r="12541" spans="6:12">
      <c r="H12541" t="s">
        <v>23540</v>
      </c>
      <c r="I12541" t="s">
        <v>1357</v>
      </c>
      <c r="J12541" t="s">
        <v>1357</v>
      </c>
      <c r="K12541" t="s">
        <v>1357</v>
      </c>
      <c r="L12541" t="s">
        <v>1357</v>
      </c>
    </row>
    <row r="12542" spans="6:12">
      <c r="H12542" t="s">
        <v>23541</v>
      </c>
      <c r="I12542" t="s">
        <v>1357</v>
      </c>
      <c r="J12542" t="s">
        <v>1357</v>
      </c>
      <c r="K12542" t="s">
        <v>1357</v>
      </c>
      <c r="L12542" t="s">
        <v>1357</v>
      </c>
    </row>
    <row r="12543" spans="6:12">
      <c r="F12543" t="s">
        <v>16557</v>
      </c>
      <c r="G12543" t="s">
        <v>19047</v>
      </c>
      <c r="H12543" t="s">
        <v>22828</v>
      </c>
      <c r="I12543" t="s">
        <v>1357</v>
      </c>
      <c r="J12543" t="s">
        <v>1357</v>
      </c>
      <c r="K12543" t="s">
        <v>1357</v>
      </c>
      <c r="L12543" t="s">
        <v>1357</v>
      </c>
    </row>
    <row r="12544" spans="6:12">
      <c r="H12544" t="s">
        <v>22829</v>
      </c>
      <c r="I12544" t="s">
        <v>1357</v>
      </c>
      <c r="J12544" t="s">
        <v>1357</v>
      </c>
      <c r="K12544" t="s">
        <v>1357</v>
      </c>
      <c r="L12544" t="s">
        <v>1357</v>
      </c>
    </row>
    <row r="12545" spans="6:12">
      <c r="F12545" t="s">
        <v>16558</v>
      </c>
      <c r="G12545" t="s">
        <v>19206</v>
      </c>
      <c r="H12545" t="s">
        <v>23542</v>
      </c>
      <c r="I12545" t="s">
        <v>1357</v>
      </c>
      <c r="J12545" t="s">
        <v>1357</v>
      </c>
      <c r="K12545" t="s">
        <v>1357</v>
      </c>
      <c r="L12545" t="s">
        <v>1357</v>
      </c>
    </row>
    <row r="12546" spans="6:12">
      <c r="H12546" t="s">
        <v>23543</v>
      </c>
      <c r="I12546" t="s">
        <v>1357</v>
      </c>
      <c r="J12546" t="s">
        <v>1357</v>
      </c>
      <c r="K12546" t="s">
        <v>1357</v>
      </c>
      <c r="L12546" t="s">
        <v>1357</v>
      </c>
    </row>
    <row r="12547" spans="6:12">
      <c r="H12547" t="s">
        <v>23544</v>
      </c>
      <c r="I12547" t="s">
        <v>1357</v>
      </c>
      <c r="J12547" t="s">
        <v>1357</v>
      </c>
      <c r="K12547" t="s">
        <v>1357</v>
      </c>
      <c r="L12547" t="s">
        <v>1357</v>
      </c>
    </row>
    <row r="12548" spans="6:12">
      <c r="H12548" t="s">
        <v>23545</v>
      </c>
      <c r="I12548" t="s">
        <v>1357</v>
      </c>
      <c r="J12548" t="s">
        <v>1357</v>
      </c>
      <c r="K12548" t="s">
        <v>1357</v>
      </c>
      <c r="L12548" t="s">
        <v>1357</v>
      </c>
    </row>
    <row r="12549" spans="6:12">
      <c r="F12549" t="s">
        <v>16559</v>
      </c>
      <c r="G12549" t="s">
        <v>19207</v>
      </c>
      <c r="H12549" t="s">
        <v>23546</v>
      </c>
      <c r="I12549" t="s">
        <v>1357</v>
      </c>
      <c r="J12549" t="s">
        <v>1357</v>
      </c>
      <c r="K12549" t="s">
        <v>1357</v>
      </c>
      <c r="L12549" t="s">
        <v>1357</v>
      </c>
    </row>
    <row r="12550" spans="6:12">
      <c r="H12550" t="s">
        <v>23547</v>
      </c>
      <c r="I12550" t="s">
        <v>1357</v>
      </c>
      <c r="J12550" t="s">
        <v>1357</v>
      </c>
      <c r="K12550" t="s">
        <v>1357</v>
      </c>
      <c r="L12550" t="s">
        <v>1357</v>
      </c>
    </row>
    <row r="12551" spans="6:12">
      <c r="H12551" t="s">
        <v>23548</v>
      </c>
      <c r="I12551" t="s">
        <v>1357</v>
      </c>
      <c r="J12551" t="s">
        <v>1357</v>
      </c>
      <c r="K12551" t="s">
        <v>1357</v>
      </c>
      <c r="L12551" t="s">
        <v>1357</v>
      </c>
    </row>
    <row r="12552" spans="6:12">
      <c r="H12552" t="s">
        <v>23549</v>
      </c>
      <c r="I12552" t="s">
        <v>1357</v>
      </c>
      <c r="J12552" t="s">
        <v>1357</v>
      </c>
      <c r="K12552" t="s">
        <v>1357</v>
      </c>
      <c r="L12552" t="s">
        <v>1357</v>
      </c>
    </row>
    <row r="12553" spans="6:12">
      <c r="H12553" t="s">
        <v>23550</v>
      </c>
      <c r="I12553" t="s">
        <v>1357</v>
      </c>
      <c r="J12553" t="s">
        <v>1357</v>
      </c>
      <c r="K12553" t="s">
        <v>1357</v>
      </c>
      <c r="L12553" t="s">
        <v>1357</v>
      </c>
    </row>
    <row r="12554" spans="6:12">
      <c r="H12554" t="s">
        <v>23551</v>
      </c>
      <c r="I12554" t="s">
        <v>1357</v>
      </c>
      <c r="J12554" t="s">
        <v>1357</v>
      </c>
      <c r="K12554" t="s">
        <v>1357</v>
      </c>
      <c r="L12554" t="s">
        <v>1357</v>
      </c>
    </row>
    <row r="12555" spans="6:12">
      <c r="H12555" t="s">
        <v>23552</v>
      </c>
      <c r="I12555" t="s">
        <v>1357</v>
      </c>
      <c r="J12555" t="s">
        <v>1357</v>
      </c>
      <c r="K12555" t="s">
        <v>1357</v>
      </c>
      <c r="L12555" t="s">
        <v>1357</v>
      </c>
    </row>
    <row r="12556" spans="6:12">
      <c r="H12556" t="s">
        <v>23553</v>
      </c>
      <c r="I12556" t="s">
        <v>1357</v>
      </c>
      <c r="J12556" t="s">
        <v>1357</v>
      </c>
      <c r="K12556" t="s">
        <v>1357</v>
      </c>
      <c r="L12556" t="s">
        <v>1357</v>
      </c>
    </row>
    <row r="12557" spans="6:12">
      <c r="H12557" t="s">
        <v>23554</v>
      </c>
      <c r="I12557" t="s">
        <v>1357</v>
      </c>
      <c r="J12557" t="s">
        <v>1357</v>
      </c>
      <c r="K12557" t="s">
        <v>1357</v>
      </c>
      <c r="L12557" t="s">
        <v>1357</v>
      </c>
    </row>
    <row r="12558" spans="6:12">
      <c r="H12558" t="s">
        <v>23555</v>
      </c>
      <c r="I12558" t="s">
        <v>1357</v>
      </c>
      <c r="J12558" t="s">
        <v>1357</v>
      </c>
      <c r="K12558" t="s">
        <v>1357</v>
      </c>
      <c r="L12558" t="s">
        <v>1357</v>
      </c>
    </row>
    <row r="12559" spans="6:12">
      <c r="H12559" t="s">
        <v>23556</v>
      </c>
      <c r="I12559" t="s">
        <v>1357</v>
      </c>
      <c r="J12559" t="s">
        <v>1357</v>
      </c>
      <c r="K12559" t="s">
        <v>1357</v>
      </c>
      <c r="L12559" t="s">
        <v>1357</v>
      </c>
    </row>
    <row r="12560" spans="6:12">
      <c r="H12560" t="s">
        <v>23557</v>
      </c>
      <c r="I12560" t="s">
        <v>1357</v>
      </c>
      <c r="J12560" t="s">
        <v>1357</v>
      </c>
      <c r="K12560" t="s">
        <v>1357</v>
      </c>
      <c r="L12560" t="s">
        <v>1357</v>
      </c>
    </row>
    <row r="12561" spans="6:12">
      <c r="H12561" t="s">
        <v>23558</v>
      </c>
      <c r="I12561" t="s">
        <v>1357</v>
      </c>
      <c r="J12561" t="s">
        <v>1357</v>
      </c>
      <c r="K12561" t="s">
        <v>1357</v>
      </c>
      <c r="L12561" t="s">
        <v>1357</v>
      </c>
    </row>
    <row r="12562" spans="6:12">
      <c r="H12562" t="s">
        <v>23559</v>
      </c>
      <c r="I12562" t="s">
        <v>1357</v>
      </c>
      <c r="J12562" t="s">
        <v>1357</v>
      </c>
      <c r="K12562" t="s">
        <v>1357</v>
      </c>
      <c r="L12562" t="s">
        <v>1357</v>
      </c>
    </row>
    <row r="12563" spans="6:12">
      <c r="H12563" t="s">
        <v>23560</v>
      </c>
      <c r="I12563" t="s">
        <v>1357</v>
      </c>
      <c r="J12563" t="s">
        <v>1357</v>
      </c>
      <c r="K12563" t="s">
        <v>1357</v>
      </c>
      <c r="L12563" t="s">
        <v>1357</v>
      </c>
    </row>
    <row r="12564" spans="6:12">
      <c r="H12564" t="s">
        <v>23561</v>
      </c>
      <c r="I12564" t="s">
        <v>1357</v>
      </c>
      <c r="J12564" t="s">
        <v>1357</v>
      </c>
      <c r="K12564" t="s">
        <v>1357</v>
      </c>
      <c r="L12564" t="s">
        <v>1357</v>
      </c>
    </row>
    <row r="12565" spans="6:12">
      <c r="H12565" t="s">
        <v>23562</v>
      </c>
      <c r="I12565" t="s">
        <v>1357</v>
      </c>
      <c r="J12565" t="s">
        <v>1357</v>
      </c>
      <c r="K12565" t="s">
        <v>1357</v>
      </c>
      <c r="L12565" t="s">
        <v>1357</v>
      </c>
    </row>
    <row r="12566" spans="6:12">
      <c r="H12566" t="s">
        <v>23563</v>
      </c>
      <c r="I12566" t="s">
        <v>1357</v>
      </c>
      <c r="J12566" t="s">
        <v>1357</v>
      </c>
      <c r="K12566" t="s">
        <v>1357</v>
      </c>
      <c r="L12566" t="s">
        <v>1357</v>
      </c>
    </row>
    <row r="12567" spans="6:12">
      <c r="H12567" t="s">
        <v>23564</v>
      </c>
      <c r="I12567" t="s">
        <v>1357</v>
      </c>
      <c r="J12567" t="s">
        <v>1357</v>
      </c>
      <c r="K12567" t="s">
        <v>1357</v>
      </c>
      <c r="L12567" t="s">
        <v>1357</v>
      </c>
    </row>
    <row r="12568" spans="6:12">
      <c r="H12568" t="s">
        <v>23565</v>
      </c>
      <c r="I12568" t="s">
        <v>1357</v>
      </c>
      <c r="J12568" t="s">
        <v>1357</v>
      </c>
      <c r="K12568" t="s">
        <v>1357</v>
      </c>
      <c r="L12568" t="s">
        <v>1357</v>
      </c>
    </row>
    <row r="12569" spans="6:12">
      <c r="F12569" t="s">
        <v>16560</v>
      </c>
      <c r="G12569" t="s">
        <v>19208</v>
      </c>
      <c r="H12569" t="s">
        <v>23566</v>
      </c>
      <c r="I12569" t="s">
        <v>1357</v>
      </c>
      <c r="J12569" t="s">
        <v>1357</v>
      </c>
      <c r="K12569" t="s">
        <v>1357</v>
      </c>
      <c r="L12569" t="s">
        <v>1357</v>
      </c>
    </row>
    <row r="12570" spans="6:12">
      <c r="F12570" t="s">
        <v>16561</v>
      </c>
      <c r="G12570" t="s">
        <v>19209</v>
      </c>
      <c r="H12570" t="s">
        <v>4574</v>
      </c>
      <c r="I12570" t="s">
        <v>1357</v>
      </c>
      <c r="J12570" t="s">
        <v>1357</v>
      </c>
      <c r="K12570" t="s">
        <v>1357</v>
      </c>
      <c r="L12570" t="s">
        <v>1357</v>
      </c>
    </row>
    <row r="12571" spans="6:12">
      <c r="H12571" t="s">
        <v>23567</v>
      </c>
      <c r="I12571" t="s">
        <v>1357</v>
      </c>
      <c r="J12571" t="s">
        <v>1357</v>
      </c>
      <c r="K12571" t="s">
        <v>1357</v>
      </c>
      <c r="L12571" t="s">
        <v>1357</v>
      </c>
    </row>
    <row r="12572" spans="6:12">
      <c r="H12572" t="s">
        <v>23568</v>
      </c>
      <c r="I12572" t="s">
        <v>1357</v>
      </c>
      <c r="J12572" t="s">
        <v>1357</v>
      </c>
      <c r="K12572" t="s">
        <v>1357</v>
      </c>
      <c r="L12572" t="s">
        <v>1357</v>
      </c>
    </row>
    <row r="12573" spans="6:12">
      <c r="H12573" t="s">
        <v>23569</v>
      </c>
      <c r="I12573" t="s">
        <v>1357</v>
      </c>
      <c r="J12573" t="s">
        <v>1357</v>
      </c>
      <c r="K12573" t="s">
        <v>1357</v>
      </c>
      <c r="L12573" t="s">
        <v>1357</v>
      </c>
    </row>
    <row r="12574" spans="6:12">
      <c r="H12574" t="s">
        <v>23570</v>
      </c>
      <c r="I12574" t="s">
        <v>1357</v>
      </c>
      <c r="J12574" t="s">
        <v>1357</v>
      </c>
      <c r="K12574" t="s">
        <v>1357</v>
      </c>
      <c r="L12574" t="s">
        <v>1357</v>
      </c>
    </row>
    <row r="12575" spans="6:12">
      <c r="H12575" t="s">
        <v>23571</v>
      </c>
      <c r="I12575" t="s">
        <v>1357</v>
      </c>
      <c r="J12575" t="s">
        <v>1357</v>
      </c>
      <c r="K12575" t="s">
        <v>1357</v>
      </c>
      <c r="L12575" t="s">
        <v>1357</v>
      </c>
    </row>
    <row r="12576" spans="6:12">
      <c r="F12576" t="s">
        <v>16562</v>
      </c>
      <c r="G12576" t="s">
        <v>18786</v>
      </c>
      <c r="H12576" t="s">
        <v>23572</v>
      </c>
      <c r="I12576" t="s">
        <v>1357</v>
      </c>
      <c r="J12576" t="s">
        <v>1357</v>
      </c>
      <c r="K12576" t="s">
        <v>1357</v>
      </c>
      <c r="L12576" t="s">
        <v>1357</v>
      </c>
    </row>
    <row r="12577" spans="6:12">
      <c r="H12577" t="s">
        <v>23573</v>
      </c>
      <c r="I12577" t="s">
        <v>1357</v>
      </c>
      <c r="J12577" t="s">
        <v>1357</v>
      </c>
      <c r="K12577" t="s">
        <v>1357</v>
      </c>
      <c r="L12577" t="s">
        <v>1357</v>
      </c>
    </row>
    <row r="12578" spans="6:12">
      <c r="H12578" t="s">
        <v>23574</v>
      </c>
      <c r="I12578" t="s">
        <v>1357</v>
      </c>
      <c r="J12578" t="s">
        <v>1357</v>
      </c>
      <c r="K12578" t="s">
        <v>1357</v>
      </c>
      <c r="L12578" t="s">
        <v>1357</v>
      </c>
    </row>
    <row r="12579" spans="6:12">
      <c r="H12579" t="s">
        <v>23575</v>
      </c>
      <c r="I12579" t="s">
        <v>1357</v>
      </c>
      <c r="J12579" t="s">
        <v>1357</v>
      </c>
      <c r="K12579" t="s">
        <v>1357</v>
      </c>
      <c r="L12579" t="s">
        <v>1357</v>
      </c>
    </row>
    <row r="12580" spans="6:12">
      <c r="H12580" t="s">
        <v>23576</v>
      </c>
      <c r="I12580" t="s">
        <v>1357</v>
      </c>
      <c r="J12580" t="s">
        <v>1357</v>
      </c>
      <c r="K12580" t="s">
        <v>1357</v>
      </c>
      <c r="L12580" t="s">
        <v>1357</v>
      </c>
    </row>
    <row r="12581" spans="6:12">
      <c r="H12581" t="s">
        <v>23577</v>
      </c>
      <c r="I12581" t="s">
        <v>1357</v>
      </c>
      <c r="J12581" t="s">
        <v>1357</v>
      </c>
      <c r="K12581" t="s">
        <v>1357</v>
      </c>
      <c r="L12581" t="s">
        <v>1357</v>
      </c>
    </row>
    <row r="12582" spans="6:12">
      <c r="H12582" t="s">
        <v>23578</v>
      </c>
      <c r="I12582" t="s">
        <v>1357</v>
      </c>
      <c r="J12582" t="s">
        <v>1357</v>
      </c>
      <c r="K12582" t="s">
        <v>1357</v>
      </c>
      <c r="L12582" t="s">
        <v>1357</v>
      </c>
    </row>
    <row r="12583" spans="6:12">
      <c r="H12583" t="s">
        <v>23579</v>
      </c>
      <c r="I12583" t="s">
        <v>1357</v>
      </c>
      <c r="J12583" t="s">
        <v>1357</v>
      </c>
      <c r="K12583" t="s">
        <v>1357</v>
      </c>
      <c r="L12583" t="s">
        <v>1357</v>
      </c>
    </row>
    <row r="12584" spans="6:12">
      <c r="F12584" t="s">
        <v>16563</v>
      </c>
      <c r="G12584" t="s">
        <v>19210</v>
      </c>
      <c r="H12584" t="s">
        <v>23580</v>
      </c>
      <c r="I12584" t="s">
        <v>1357</v>
      </c>
      <c r="J12584" t="s">
        <v>1357</v>
      </c>
      <c r="K12584" t="s">
        <v>1357</v>
      </c>
      <c r="L12584" t="s">
        <v>1357</v>
      </c>
    </row>
    <row r="12585" spans="6:12">
      <c r="H12585" t="s">
        <v>23581</v>
      </c>
      <c r="I12585" t="s">
        <v>1357</v>
      </c>
      <c r="J12585" t="s">
        <v>1357</v>
      </c>
      <c r="K12585" t="s">
        <v>1357</v>
      </c>
      <c r="L12585" t="s">
        <v>1357</v>
      </c>
    </row>
    <row r="12586" spans="6:12">
      <c r="F12586" t="s">
        <v>16564</v>
      </c>
      <c r="G12586" t="s">
        <v>19211</v>
      </c>
      <c r="H12586" t="s">
        <v>4574</v>
      </c>
      <c r="I12586" t="s">
        <v>1357</v>
      </c>
      <c r="J12586" t="s">
        <v>1357</v>
      </c>
      <c r="K12586" t="s">
        <v>1357</v>
      </c>
      <c r="L12586" t="s">
        <v>1357</v>
      </c>
    </row>
    <row r="12587" spans="6:12">
      <c r="H12587" t="s">
        <v>23567</v>
      </c>
      <c r="I12587" t="s">
        <v>1357</v>
      </c>
      <c r="J12587" t="s">
        <v>1357</v>
      </c>
      <c r="K12587" t="s">
        <v>1357</v>
      </c>
      <c r="L12587" t="s">
        <v>1357</v>
      </c>
    </row>
    <row r="12588" spans="6:12">
      <c r="H12588" t="s">
        <v>23467</v>
      </c>
      <c r="I12588" t="s">
        <v>1357</v>
      </c>
      <c r="J12588" t="s">
        <v>1357</v>
      </c>
      <c r="K12588" t="s">
        <v>1357</v>
      </c>
      <c r="L12588" t="s">
        <v>1357</v>
      </c>
    </row>
    <row r="12589" spans="6:12">
      <c r="H12589" t="s">
        <v>23568</v>
      </c>
      <c r="I12589" t="s">
        <v>1357</v>
      </c>
      <c r="J12589" t="s">
        <v>1357</v>
      </c>
      <c r="K12589" t="s">
        <v>1357</v>
      </c>
      <c r="L12589" t="s">
        <v>1357</v>
      </c>
    </row>
    <row r="12590" spans="6:12">
      <c r="H12590" t="s">
        <v>23582</v>
      </c>
      <c r="I12590" t="s">
        <v>1357</v>
      </c>
      <c r="J12590" t="s">
        <v>1357</v>
      </c>
      <c r="K12590" t="s">
        <v>1357</v>
      </c>
      <c r="L12590" t="s">
        <v>1357</v>
      </c>
    </row>
    <row r="12591" spans="6:12">
      <c r="H12591" t="s">
        <v>23583</v>
      </c>
      <c r="I12591" t="s">
        <v>1357</v>
      </c>
      <c r="J12591" t="s">
        <v>1357</v>
      </c>
      <c r="K12591" t="s">
        <v>1357</v>
      </c>
      <c r="L12591" t="s">
        <v>1357</v>
      </c>
    </row>
    <row r="12592" spans="6:12">
      <c r="H12592" t="s">
        <v>23584</v>
      </c>
      <c r="I12592" t="s">
        <v>1357</v>
      </c>
      <c r="J12592" t="s">
        <v>1357</v>
      </c>
      <c r="K12592" t="s">
        <v>1357</v>
      </c>
      <c r="L12592" t="s">
        <v>1357</v>
      </c>
    </row>
    <row r="12593" spans="6:12">
      <c r="F12593" t="s">
        <v>16565</v>
      </c>
      <c r="G12593" t="s">
        <v>19212</v>
      </c>
      <c r="H12593" t="s">
        <v>23585</v>
      </c>
      <c r="I12593" t="s">
        <v>1357</v>
      </c>
      <c r="J12593" t="s">
        <v>1357</v>
      </c>
      <c r="K12593" t="s">
        <v>1357</v>
      </c>
      <c r="L12593" t="s">
        <v>1357</v>
      </c>
    </row>
    <row r="12594" spans="6:12">
      <c r="H12594" t="s">
        <v>23586</v>
      </c>
      <c r="I12594" t="s">
        <v>1357</v>
      </c>
      <c r="J12594" t="s">
        <v>1357</v>
      </c>
      <c r="K12594" t="s">
        <v>1357</v>
      </c>
      <c r="L12594" t="s">
        <v>1357</v>
      </c>
    </row>
    <row r="12595" spans="6:12">
      <c r="F12595" t="s">
        <v>16566</v>
      </c>
      <c r="G12595" t="s">
        <v>19213</v>
      </c>
      <c r="H12595" t="s">
        <v>23587</v>
      </c>
      <c r="I12595" t="s">
        <v>1357</v>
      </c>
      <c r="J12595" t="s">
        <v>1357</v>
      </c>
      <c r="K12595" t="s">
        <v>1357</v>
      </c>
      <c r="L12595" t="s">
        <v>1357</v>
      </c>
    </row>
    <row r="12596" spans="6:12">
      <c r="F12596" t="s">
        <v>16567</v>
      </c>
      <c r="G12596" t="s">
        <v>19214</v>
      </c>
      <c r="H12596" t="s">
        <v>23588</v>
      </c>
      <c r="I12596" t="s">
        <v>1357</v>
      </c>
      <c r="J12596" t="s">
        <v>1357</v>
      </c>
      <c r="K12596" t="s">
        <v>1357</v>
      </c>
      <c r="L12596" t="s">
        <v>1357</v>
      </c>
    </row>
    <row r="12597" spans="6:12">
      <c r="H12597" t="s">
        <v>23589</v>
      </c>
      <c r="I12597" t="s">
        <v>1357</v>
      </c>
      <c r="J12597" t="s">
        <v>1357</v>
      </c>
      <c r="K12597" t="s">
        <v>1357</v>
      </c>
      <c r="L12597" t="s">
        <v>1357</v>
      </c>
    </row>
    <row r="12598" spans="6:12">
      <c r="H12598" t="s">
        <v>3960</v>
      </c>
      <c r="I12598" t="s">
        <v>1357</v>
      </c>
      <c r="J12598" t="s">
        <v>1357</v>
      </c>
      <c r="K12598" t="s">
        <v>1357</v>
      </c>
      <c r="L12598" t="s">
        <v>1357</v>
      </c>
    </row>
    <row r="12599" spans="6:12">
      <c r="F12599" t="s">
        <v>16568</v>
      </c>
      <c r="G12599" t="s">
        <v>19215</v>
      </c>
      <c r="H12599" t="s">
        <v>23590</v>
      </c>
      <c r="I12599" t="s">
        <v>1357</v>
      </c>
      <c r="J12599" t="s">
        <v>1357</v>
      </c>
      <c r="K12599" t="s">
        <v>1357</v>
      </c>
      <c r="L12599" t="s">
        <v>1357</v>
      </c>
    </row>
    <row r="12600" spans="6:12">
      <c r="F12600" t="s">
        <v>16569</v>
      </c>
      <c r="G12600" t="s">
        <v>18782</v>
      </c>
      <c r="H12600" t="s">
        <v>23588</v>
      </c>
      <c r="I12600" t="s">
        <v>1357</v>
      </c>
      <c r="J12600" t="s">
        <v>1357</v>
      </c>
      <c r="K12600" t="s">
        <v>1357</v>
      </c>
      <c r="L12600" t="s">
        <v>1357</v>
      </c>
    </row>
    <row r="12601" spans="6:12">
      <c r="H12601" t="s">
        <v>23589</v>
      </c>
      <c r="I12601" t="s">
        <v>1357</v>
      </c>
      <c r="J12601" t="s">
        <v>1357</v>
      </c>
      <c r="K12601" t="s">
        <v>1357</v>
      </c>
      <c r="L12601" t="s">
        <v>1357</v>
      </c>
    </row>
    <row r="12602" spans="6:12">
      <c r="H12602" t="s">
        <v>23591</v>
      </c>
      <c r="I12602" t="s">
        <v>1357</v>
      </c>
      <c r="J12602" t="s">
        <v>1357</v>
      </c>
      <c r="K12602" t="s">
        <v>1357</v>
      </c>
      <c r="L12602" t="s">
        <v>1357</v>
      </c>
    </row>
    <row r="12603" spans="6:12">
      <c r="H12603" t="s">
        <v>23592</v>
      </c>
      <c r="I12603" t="s">
        <v>1357</v>
      </c>
      <c r="J12603" t="s">
        <v>1357</v>
      </c>
      <c r="K12603" t="s">
        <v>1357</v>
      </c>
      <c r="L12603" t="s">
        <v>1357</v>
      </c>
    </row>
    <row r="12604" spans="6:12">
      <c r="H12604" t="s">
        <v>23593</v>
      </c>
      <c r="I12604" t="s">
        <v>1357</v>
      </c>
      <c r="J12604" t="s">
        <v>1357</v>
      </c>
      <c r="K12604" t="s">
        <v>1357</v>
      </c>
      <c r="L12604" t="s">
        <v>1357</v>
      </c>
    </row>
    <row r="12605" spans="6:12">
      <c r="H12605" t="s">
        <v>23594</v>
      </c>
      <c r="I12605" t="s">
        <v>1357</v>
      </c>
      <c r="J12605" t="s">
        <v>1357</v>
      </c>
      <c r="K12605" t="s">
        <v>1357</v>
      </c>
      <c r="L12605" t="s">
        <v>1357</v>
      </c>
    </row>
    <row r="12606" spans="6:12">
      <c r="H12606" t="s">
        <v>22603</v>
      </c>
      <c r="I12606" t="s">
        <v>1357</v>
      </c>
      <c r="J12606" t="s">
        <v>1357</v>
      </c>
      <c r="K12606" t="s">
        <v>1357</v>
      </c>
      <c r="L12606" t="s">
        <v>1357</v>
      </c>
    </row>
    <row r="12607" spans="6:12">
      <c r="H12607" t="s">
        <v>23595</v>
      </c>
      <c r="I12607" t="s">
        <v>1357</v>
      </c>
      <c r="J12607" t="s">
        <v>1357</v>
      </c>
      <c r="K12607" t="s">
        <v>1357</v>
      </c>
      <c r="L12607" t="s">
        <v>1357</v>
      </c>
    </row>
    <row r="12608" spans="6:12">
      <c r="H12608" t="s">
        <v>23596</v>
      </c>
      <c r="I12608" t="s">
        <v>1357</v>
      </c>
      <c r="J12608" t="s">
        <v>1357</v>
      </c>
      <c r="K12608" t="s">
        <v>1357</v>
      </c>
      <c r="L12608" t="s">
        <v>1357</v>
      </c>
    </row>
    <row r="12609" spans="1:13">
      <c r="H12609" t="s">
        <v>23597</v>
      </c>
      <c r="I12609" t="s">
        <v>1357</v>
      </c>
      <c r="J12609" t="s">
        <v>1357</v>
      </c>
      <c r="K12609" t="s">
        <v>1357</v>
      </c>
      <c r="L12609" t="s">
        <v>1357</v>
      </c>
    </row>
    <row r="12610" spans="1:13">
      <c r="H12610" t="s">
        <v>23598</v>
      </c>
      <c r="I12610" t="s">
        <v>1357</v>
      </c>
      <c r="J12610" t="s">
        <v>1357</v>
      </c>
      <c r="K12610" t="s">
        <v>1357</v>
      </c>
      <c r="L12610" t="s">
        <v>1357</v>
      </c>
    </row>
    <row r="12611" spans="1:13">
      <c r="H12611" t="s">
        <v>23599</v>
      </c>
      <c r="I12611" t="s">
        <v>1357</v>
      </c>
      <c r="J12611" t="s">
        <v>1357</v>
      </c>
      <c r="K12611" t="s">
        <v>1357</v>
      </c>
      <c r="L12611" t="s">
        <v>1357</v>
      </c>
    </row>
    <row r="12612" spans="1:13">
      <c r="F12612" t="s">
        <v>16570</v>
      </c>
      <c r="G12612" t="s">
        <v>19216</v>
      </c>
      <c r="H12612" t="s">
        <v>906</v>
      </c>
      <c r="I12612" t="s">
        <v>1357</v>
      </c>
      <c r="J12612" t="s">
        <v>1357</v>
      </c>
      <c r="K12612" t="s">
        <v>1357</v>
      </c>
      <c r="L12612" t="s">
        <v>1357</v>
      </c>
    </row>
    <row r="12613" spans="1:13">
      <c r="H12613" t="s">
        <v>9196</v>
      </c>
      <c r="I12613" t="s">
        <v>1357</v>
      </c>
      <c r="J12613" t="s">
        <v>1357</v>
      </c>
      <c r="K12613" t="s">
        <v>1357</v>
      </c>
      <c r="L12613" t="s">
        <v>1357</v>
      </c>
    </row>
    <row r="12614" spans="1:13">
      <c r="H12614" t="s">
        <v>23600</v>
      </c>
      <c r="I12614" t="s">
        <v>1357</v>
      </c>
      <c r="J12614" t="s">
        <v>1357</v>
      </c>
      <c r="K12614" t="s">
        <v>1357</v>
      </c>
      <c r="L12614" t="s">
        <v>1357</v>
      </c>
    </row>
    <row r="12615" spans="1:13">
      <c r="H12615" t="s">
        <v>23601</v>
      </c>
      <c r="I12615" t="s">
        <v>1357</v>
      </c>
      <c r="J12615" t="s">
        <v>1357</v>
      </c>
      <c r="K12615" t="s">
        <v>1357</v>
      </c>
      <c r="L12615" t="s">
        <v>1357</v>
      </c>
    </row>
    <row r="12616" spans="1:13">
      <c r="H12616" t="s">
        <v>23602</v>
      </c>
      <c r="I12616" t="s">
        <v>1357</v>
      </c>
      <c r="J12616" t="s">
        <v>1357</v>
      </c>
      <c r="K12616" t="s">
        <v>1357</v>
      </c>
      <c r="L12616" t="s">
        <v>1357</v>
      </c>
    </row>
    <row r="12617" spans="1:13">
      <c r="F12617" t="s">
        <v>16571</v>
      </c>
      <c r="G12617" t="s">
        <v>18781</v>
      </c>
      <c r="H12617" t="s">
        <v>23603</v>
      </c>
      <c r="I12617" t="s">
        <v>1357</v>
      </c>
      <c r="J12617" t="s">
        <v>1357</v>
      </c>
      <c r="K12617" t="s">
        <v>1357</v>
      </c>
      <c r="L12617" t="s">
        <v>1357</v>
      </c>
    </row>
    <row r="12618" spans="1:13">
      <c r="H12618" t="s">
        <v>9254</v>
      </c>
      <c r="I12618" t="s">
        <v>1357</v>
      </c>
      <c r="J12618" t="s">
        <v>1357</v>
      </c>
      <c r="K12618" t="s">
        <v>1357</v>
      </c>
      <c r="L12618" t="s">
        <v>1357</v>
      </c>
    </row>
    <row r="12619" spans="1:13">
      <c r="H12619" t="s">
        <v>3525</v>
      </c>
      <c r="I12619" t="s">
        <v>1357</v>
      </c>
      <c r="J12619" t="s">
        <v>1357</v>
      </c>
      <c r="K12619" t="s">
        <v>1357</v>
      </c>
      <c r="L12619" t="s">
        <v>1357</v>
      </c>
    </row>
    <row r="12620" spans="1:13">
      <c r="F12620" t="s">
        <v>16572</v>
      </c>
      <c r="G12620" t="s">
        <v>19217</v>
      </c>
      <c r="H12620" t="s">
        <v>4574</v>
      </c>
      <c r="I12620" t="s">
        <v>1357</v>
      </c>
      <c r="J12620" t="s">
        <v>1357</v>
      </c>
      <c r="K12620" t="s">
        <v>1357</v>
      </c>
      <c r="L12620" t="s">
        <v>1357</v>
      </c>
    </row>
    <row r="12621" spans="1:13">
      <c r="F12621" t="s">
        <v>16573</v>
      </c>
      <c r="G12621" t="s">
        <v>19218</v>
      </c>
      <c r="H12621" t="s">
        <v>23434</v>
      </c>
      <c r="I12621" t="s">
        <v>1357</v>
      </c>
      <c r="J12621" t="s">
        <v>1357</v>
      </c>
      <c r="K12621" t="s">
        <v>1357</v>
      </c>
      <c r="L12621" t="s">
        <v>1357</v>
      </c>
    </row>
    <row r="12622" spans="1:13">
      <c r="A12622" t="s">
        <v>10886</v>
      </c>
      <c r="B12622">
        <f>HYPERLINK("https://android.googlesource.com/platform/cts/+/dbc2e98f56fe79d07b9ac2f299388f314340c94b", "dbc2e98f56fe79d07b9ac2f299388f314340c94b")</f>
        <v>0</v>
      </c>
      <c r="C12622">
        <f>HYPERLINK("https://android.googlesource.com/platform/cts/+/ea174456d821a8464447c3f8fdc40ed8f57ed67f", "ea174456d821a8464447c3f8fdc40ed8f57ed67f")</f>
        <v>0</v>
      </c>
      <c r="D12622" t="s">
        <v>12244</v>
      </c>
      <c r="E12622" t="s">
        <v>13419</v>
      </c>
      <c r="F12622" t="s">
        <v>16529</v>
      </c>
      <c r="G12622" t="s">
        <v>19187</v>
      </c>
      <c r="H12622" t="s">
        <v>23433</v>
      </c>
      <c r="I12622" t="s">
        <v>1357</v>
      </c>
      <c r="J12622" t="s">
        <v>1357</v>
      </c>
      <c r="K12622" t="s">
        <v>1357</v>
      </c>
      <c r="L12622" t="s">
        <v>1357</v>
      </c>
      <c r="M12622" t="s">
        <v>9957</v>
      </c>
    </row>
    <row r="12623" spans="1:13">
      <c r="F12623" t="s">
        <v>16530</v>
      </c>
      <c r="G12623" t="s">
        <v>19188</v>
      </c>
      <c r="H12623" t="s">
        <v>21935</v>
      </c>
      <c r="I12623" t="s">
        <v>1357</v>
      </c>
      <c r="J12623" t="s">
        <v>1357</v>
      </c>
      <c r="K12623" t="s">
        <v>1357</v>
      </c>
      <c r="L12623" t="s">
        <v>1357</v>
      </c>
    </row>
    <row r="12624" spans="1:13">
      <c r="F12624" t="s">
        <v>16531</v>
      </c>
      <c r="G12624" t="s">
        <v>18805</v>
      </c>
      <c r="H12624" t="s">
        <v>23434</v>
      </c>
      <c r="I12624" t="s">
        <v>1357</v>
      </c>
      <c r="J12624" t="s">
        <v>1357</v>
      </c>
      <c r="K12624" t="s">
        <v>1357</v>
      </c>
      <c r="L12624" t="s">
        <v>1357</v>
      </c>
    </row>
    <row r="12625" spans="6:12">
      <c r="H12625" t="s">
        <v>23435</v>
      </c>
      <c r="I12625" t="s">
        <v>1357</v>
      </c>
      <c r="J12625" t="s">
        <v>1357</v>
      </c>
      <c r="K12625" t="s">
        <v>1357</v>
      </c>
      <c r="L12625" t="s">
        <v>1357</v>
      </c>
    </row>
    <row r="12626" spans="6:12">
      <c r="H12626" t="s">
        <v>23436</v>
      </c>
      <c r="I12626" t="s">
        <v>1357</v>
      </c>
      <c r="J12626" t="s">
        <v>1357</v>
      </c>
      <c r="K12626" t="s">
        <v>1357</v>
      </c>
      <c r="L12626" t="s">
        <v>1357</v>
      </c>
    </row>
    <row r="12627" spans="6:12">
      <c r="H12627" t="s">
        <v>23437</v>
      </c>
      <c r="I12627" t="s">
        <v>1357</v>
      </c>
      <c r="J12627" t="s">
        <v>1357</v>
      </c>
      <c r="K12627" t="s">
        <v>1357</v>
      </c>
      <c r="L12627" t="s">
        <v>1357</v>
      </c>
    </row>
    <row r="12628" spans="6:12">
      <c r="H12628" t="s">
        <v>23438</v>
      </c>
      <c r="I12628" t="s">
        <v>1357</v>
      </c>
      <c r="J12628" t="s">
        <v>1357</v>
      </c>
      <c r="K12628" t="s">
        <v>1357</v>
      </c>
      <c r="L12628" t="s">
        <v>1357</v>
      </c>
    </row>
    <row r="12629" spans="6:12">
      <c r="H12629" t="s">
        <v>23439</v>
      </c>
      <c r="I12629" t="s">
        <v>1357</v>
      </c>
      <c r="J12629" t="s">
        <v>1357</v>
      </c>
      <c r="K12629" t="s">
        <v>1357</v>
      </c>
      <c r="L12629" t="s">
        <v>1357</v>
      </c>
    </row>
    <row r="12630" spans="6:12">
      <c r="H12630" t="s">
        <v>23440</v>
      </c>
      <c r="I12630" t="s">
        <v>1357</v>
      </c>
      <c r="J12630" t="s">
        <v>1357</v>
      </c>
      <c r="K12630" t="s">
        <v>1357</v>
      </c>
      <c r="L12630" t="s">
        <v>1357</v>
      </c>
    </row>
    <row r="12631" spans="6:12">
      <c r="F12631" t="s">
        <v>16532</v>
      </c>
      <c r="G12631" t="s">
        <v>18761</v>
      </c>
      <c r="H12631" t="s">
        <v>23441</v>
      </c>
      <c r="I12631" t="s">
        <v>1357</v>
      </c>
      <c r="J12631" t="s">
        <v>1357</v>
      </c>
      <c r="K12631" t="s">
        <v>1357</v>
      </c>
      <c r="L12631" t="s">
        <v>1357</v>
      </c>
    </row>
    <row r="12632" spans="6:12">
      <c r="H12632" t="s">
        <v>23442</v>
      </c>
      <c r="I12632" t="s">
        <v>1357</v>
      </c>
      <c r="J12632" t="s">
        <v>1357</v>
      </c>
      <c r="K12632" t="s">
        <v>1357</v>
      </c>
      <c r="L12632" t="s">
        <v>1357</v>
      </c>
    </row>
    <row r="12633" spans="6:12">
      <c r="H12633" t="s">
        <v>23443</v>
      </c>
      <c r="I12633" t="s">
        <v>1357</v>
      </c>
      <c r="J12633" t="s">
        <v>1357</v>
      </c>
      <c r="K12633" t="s">
        <v>1357</v>
      </c>
      <c r="L12633" t="s">
        <v>1357</v>
      </c>
    </row>
    <row r="12634" spans="6:12">
      <c r="F12634" t="s">
        <v>16533</v>
      </c>
      <c r="G12634" t="s">
        <v>18971</v>
      </c>
      <c r="H12634" t="s">
        <v>23444</v>
      </c>
      <c r="I12634" t="s">
        <v>1357</v>
      </c>
      <c r="J12634" t="s">
        <v>1357</v>
      </c>
      <c r="K12634" t="s">
        <v>1357</v>
      </c>
      <c r="L12634" t="s">
        <v>1357</v>
      </c>
    </row>
    <row r="12635" spans="6:12">
      <c r="F12635" t="s">
        <v>16534</v>
      </c>
      <c r="G12635" t="s">
        <v>19189</v>
      </c>
      <c r="H12635" t="s">
        <v>23445</v>
      </c>
      <c r="I12635" t="s">
        <v>1357</v>
      </c>
      <c r="J12635" t="s">
        <v>1357</v>
      </c>
      <c r="K12635" t="s">
        <v>1357</v>
      </c>
      <c r="L12635" t="s">
        <v>1357</v>
      </c>
    </row>
    <row r="12636" spans="6:12">
      <c r="H12636" t="s">
        <v>23446</v>
      </c>
      <c r="I12636" t="s">
        <v>1357</v>
      </c>
      <c r="J12636" t="s">
        <v>1357</v>
      </c>
      <c r="K12636" t="s">
        <v>1357</v>
      </c>
      <c r="L12636" t="s">
        <v>1357</v>
      </c>
    </row>
    <row r="12637" spans="6:12">
      <c r="F12637" t="s">
        <v>16535</v>
      </c>
      <c r="G12637" t="s">
        <v>19190</v>
      </c>
      <c r="H12637" t="s">
        <v>23447</v>
      </c>
      <c r="I12637" t="s">
        <v>1357</v>
      </c>
      <c r="J12637" t="s">
        <v>1357</v>
      </c>
      <c r="K12637" t="s">
        <v>1357</v>
      </c>
      <c r="L12637" t="s">
        <v>1357</v>
      </c>
    </row>
    <row r="12638" spans="6:12">
      <c r="F12638" t="s">
        <v>16536</v>
      </c>
      <c r="G12638" t="s">
        <v>19191</v>
      </c>
      <c r="H12638" t="s">
        <v>23448</v>
      </c>
      <c r="I12638" t="s">
        <v>1357</v>
      </c>
      <c r="J12638" t="s">
        <v>1357</v>
      </c>
      <c r="K12638" t="s">
        <v>1357</v>
      </c>
      <c r="L12638" t="s">
        <v>1357</v>
      </c>
    </row>
    <row r="12639" spans="6:12">
      <c r="H12639" t="s">
        <v>23449</v>
      </c>
      <c r="I12639" t="s">
        <v>1357</v>
      </c>
      <c r="J12639" t="s">
        <v>1357</v>
      </c>
      <c r="K12639" t="s">
        <v>1357</v>
      </c>
      <c r="L12639" t="s">
        <v>1357</v>
      </c>
    </row>
    <row r="12640" spans="6:12">
      <c r="H12640" t="s">
        <v>23450</v>
      </c>
      <c r="I12640" t="s">
        <v>1357</v>
      </c>
      <c r="J12640" t="s">
        <v>1357</v>
      </c>
      <c r="K12640" t="s">
        <v>1357</v>
      </c>
      <c r="L12640" t="s">
        <v>1357</v>
      </c>
    </row>
    <row r="12641" spans="6:12">
      <c r="H12641" t="s">
        <v>23451</v>
      </c>
      <c r="I12641" t="s">
        <v>1357</v>
      </c>
      <c r="J12641" t="s">
        <v>1357</v>
      </c>
      <c r="K12641" t="s">
        <v>1357</v>
      </c>
      <c r="L12641" t="s">
        <v>1357</v>
      </c>
    </row>
    <row r="12642" spans="6:12">
      <c r="H12642" t="s">
        <v>23452</v>
      </c>
      <c r="I12642" t="s">
        <v>1357</v>
      </c>
      <c r="J12642" t="s">
        <v>1357</v>
      </c>
      <c r="K12642" t="s">
        <v>1357</v>
      </c>
      <c r="L12642" t="s">
        <v>1357</v>
      </c>
    </row>
    <row r="12643" spans="6:12">
      <c r="H12643" t="s">
        <v>23453</v>
      </c>
      <c r="I12643" t="s">
        <v>1357</v>
      </c>
      <c r="J12643" t="s">
        <v>1357</v>
      </c>
      <c r="K12643" t="s">
        <v>1357</v>
      </c>
      <c r="L12643" t="s">
        <v>1357</v>
      </c>
    </row>
    <row r="12644" spans="6:12">
      <c r="H12644" t="s">
        <v>23454</v>
      </c>
      <c r="I12644" t="s">
        <v>1357</v>
      </c>
      <c r="J12644" t="s">
        <v>1357</v>
      </c>
      <c r="K12644" t="s">
        <v>1357</v>
      </c>
      <c r="L12644" t="s">
        <v>1357</v>
      </c>
    </row>
    <row r="12645" spans="6:12">
      <c r="H12645" t="s">
        <v>23455</v>
      </c>
      <c r="I12645" t="s">
        <v>1357</v>
      </c>
      <c r="J12645" t="s">
        <v>1357</v>
      </c>
      <c r="K12645" t="s">
        <v>1357</v>
      </c>
      <c r="L12645" t="s">
        <v>1357</v>
      </c>
    </row>
    <row r="12646" spans="6:12">
      <c r="H12646" t="s">
        <v>23456</v>
      </c>
      <c r="I12646" t="s">
        <v>1357</v>
      </c>
      <c r="J12646" t="s">
        <v>1357</v>
      </c>
      <c r="K12646" t="s">
        <v>1357</v>
      </c>
      <c r="L12646" t="s">
        <v>1357</v>
      </c>
    </row>
    <row r="12647" spans="6:12">
      <c r="F12647" t="s">
        <v>16537</v>
      </c>
      <c r="G12647" t="s">
        <v>19192</v>
      </c>
      <c r="H12647" t="s">
        <v>23457</v>
      </c>
      <c r="I12647" t="s">
        <v>1357</v>
      </c>
      <c r="J12647" t="s">
        <v>1357</v>
      </c>
      <c r="K12647" t="s">
        <v>1357</v>
      </c>
      <c r="L12647" t="s">
        <v>1357</v>
      </c>
    </row>
    <row r="12648" spans="6:12">
      <c r="H12648" t="s">
        <v>23458</v>
      </c>
      <c r="I12648" t="s">
        <v>1357</v>
      </c>
      <c r="J12648" t="s">
        <v>1357</v>
      </c>
      <c r="K12648" t="s">
        <v>1357</v>
      </c>
      <c r="L12648" t="s">
        <v>1357</v>
      </c>
    </row>
    <row r="12649" spans="6:12">
      <c r="H12649" t="s">
        <v>23459</v>
      </c>
      <c r="I12649" t="s">
        <v>1357</v>
      </c>
      <c r="J12649" t="s">
        <v>1357</v>
      </c>
      <c r="K12649" t="s">
        <v>1357</v>
      </c>
      <c r="L12649" t="s">
        <v>1357</v>
      </c>
    </row>
    <row r="12650" spans="6:12">
      <c r="H12650" t="s">
        <v>23460</v>
      </c>
      <c r="I12650" t="s">
        <v>1357</v>
      </c>
      <c r="J12650" t="s">
        <v>1357</v>
      </c>
      <c r="K12650" t="s">
        <v>1357</v>
      </c>
      <c r="L12650" t="s">
        <v>1357</v>
      </c>
    </row>
    <row r="12651" spans="6:12">
      <c r="F12651" t="s">
        <v>16538</v>
      </c>
      <c r="G12651" t="s">
        <v>19193</v>
      </c>
      <c r="H12651" t="s">
        <v>23461</v>
      </c>
      <c r="I12651" t="s">
        <v>1357</v>
      </c>
      <c r="J12651" t="s">
        <v>1357</v>
      </c>
      <c r="K12651" t="s">
        <v>1357</v>
      </c>
      <c r="L12651" t="s">
        <v>1357</v>
      </c>
    </row>
    <row r="12652" spans="6:12">
      <c r="H12652" t="s">
        <v>23462</v>
      </c>
      <c r="I12652" t="s">
        <v>1357</v>
      </c>
      <c r="J12652" t="s">
        <v>1357</v>
      </c>
      <c r="K12652" t="s">
        <v>1357</v>
      </c>
      <c r="L12652" t="s">
        <v>1357</v>
      </c>
    </row>
    <row r="12653" spans="6:12">
      <c r="F12653" t="s">
        <v>16539</v>
      </c>
      <c r="G12653" t="s">
        <v>19194</v>
      </c>
      <c r="H12653" t="s">
        <v>23463</v>
      </c>
      <c r="I12653" t="s">
        <v>1357</v>
      </c>
      <c r="J12653" t="s">
        <v>1357</v>
      </c>
      <c r="K12653" t="s">
        <v>1357</v>
      </c>
      <c r="L12653" t="s">
        <v>1357</v>
      </c>
    </row>
    <row r="12654" spans="6:12">
      <c r="H12654" t="s">
        <v>23464</v>
      </c>
      <c r="I12654" t="s">
        <v>1357</v>
      </c>
      <c r="J12654" t="s">
        <v>1357</v>
      </c>
      <c r="K12654" t="s">
        <v>1357</v>
      </c>
      <c r="L12654" t="s">
        <v>1357</v>
      </c>
    </row>
    <row r="12655" spans="6:12">
      <c r="F12655" t="s">
        <v>16540</v>
      </c>
      <c r="G12655" t="s">
        <v>19195</v>
      </c>
      <c r="H12655" t="s">
        <v>23465</v>
      </c>
      <c r="I12655" t="s">
        <v>1357</v>
      </c>
      <c r="J12655" t="s">
        <v>1357</v>
      </c>
      <c r="K12655" t="s">
        <v>1357</v>
      </c>
      <c r="L12655" t="s">
        <v>1357</v>
      </c>
    </row>
    <row r="12656" spans="6:12">
      <c r="F12656" t="s">
        <v>16541</v>
      </c>
      <c r="G12656" t="s">
        <v>18814</v>
      </c>
      <c r="H12656" t="s">
        <v>23466</v>
      </c>
      <c r="I12656" t="s">
        <v>1357</v>
      </c>
      <c r="J12656" t="s">
        <v>1357</v>
      </c>
      <c r="K12656" t="s">
        <v>1357</v>
      </c>
      <c r="L12656" t="s">
        <v>1357</v>
      </c>
    </row>
    <row r="12657" spans="6:12">
      <c r="H12657" t="s">
        <v>23467</v>
      </c>
      <c r="I12657" t="s">
        <v>1357</v>
      </c>
      <c r="J12657" t="s">
        <v>1357</v>
      </c>
      <c r="K12657" t="s">
        <v>1357</v>
      </c>
      <c r="L12657" t="s">
        <v>1357</v>
      </c>
    </row>
    <row r="12658" spans="6:12">
      <c r="H12658" t="s">
        <v>21942</v>
      </c>
      <c r="I12658" t="s">
        <v>1357</v>
      </c>
      <c r="J12658" t="s">
        <v>1357</v>
      </c>
      <c r="K12658" t="s">
        <v>1357</v>
      </c>
      <c r="L12658" t="s">
        <v>1357</v>
      </c>
    </row>
    <row r="12659" spans="6:12">
      <c r="H12659" t="s">
        <v>23468</v>
      </c>
      <c r="I12659" t="s">
        <v>1357</v>
      </c>
      <c r="J12659" t="s">
        <v>1357</v>
      </c>
      <c r="K12659" t="s">
        <v>1357</v>
      </c>
      <c r="L12659" t="s">
        <v>1357</v>
      </c>
    </row>
    <row r="12660" spans="6:12">
      <c r="H12660" t="s">
        <v>23469</v>
      </c>
      <c r="I12660" t="s">
        <v>1357</v>
      </c>
      <c r="J12660" t="s">
        <v>1357</v>
      </c>
      <c r="K12660" t="s">
        <v>1357</v>
      </c>
      <c r="L12660" t="s">
        <v>1357</v>
      </c>
    </row>
    <row r="12661" spans="6:12">
      <c r="H12661" t="s">
        <v>23470</v>
      </c>
      <c r="I12661" t="s">
        <v>1357</v>
      </c>
      <c r="J12661" t="s">
        <v>1357</v>
      </c>
      <c r="K12661" t="s">
        <v>1357</v>
      </c>
      <c r="L12661" t="s">
        <v>1357</v>
      </c>
    </row>
    <row r="12662" spans="6:12">
      <c r="H12662" t="s">
        <v>23471</v>
      </c>
      <c r="I12662" t="s">
        <v>1357</v>
      </c>
      <c r="J12662" t="s">
        <v>1357</v>
      </c>
      <c r="K12662" t="s">
        <v>1357</v>
      </c>
      <c r="L12662" t="s">
        <v>1357</v>
      </c>
    </row>
    <row r="12663" spans="6:12">
      <c r="H12663" t="s">
        <v>23472</v>
      </c>
      <c r="I12663" t="s">
        <v>1357</v>
      </c>
      <c r="J12663" t="s">
        <v>1357</v>
      </c>
      <c r="K12663" t="s">
        <v>1357</v>
      </c>
      <c r="L12663" t="s">
        <v>1357</v>
      </c>
    </row>
    <row r="12664" spans="6:12">
      <c r="H12664" t="s">
        <v>23473</v>
      </c>
      <c r="I12664" t="s">
        <v>1357</v>
      </c>
      <c r="J12664" t="s">
        <v>1357</v>
      </c>
      <c r="K12664" t="s">
        <v>1357</v>
      </c>
      <c r="L12664" t="s">
        <v>1357</v>
      </c>
    </row>
    <row r="12665" spans="6:12">
      <c r="H12665" t="s">
        <v>23474</v>
      </c>
      <c r="I12665" t="s">
        <v>1357</v>
      </c>
      <c r="J12665" t="s">
        <v>1357</v>
      </c>
      <c r="K12665" t="s">
        <v>1357</v>
      </c>
      <c r="L12665" t="s">
        <v>1357</v>
      </c>
    </row>
    <row r="12666" spans="6:12">
      <c r="H12666" t="s">
        <v>23475</v>
      </c>
      <c r="I12666" t="s">
        <v>1357</v>
      </c>
      <c r="J12666" t="s">
        <v>1357</v>
      </c>
      <c r="K12666" t="s">
        <v>1357</v>
      </c>
      <c r="L12666" t="s">
        <v>1357</v>
      </c>
    </row>
    <row r="12667" spans="6:12">
      <c r="H12667" t="s">
        <v>23476</v>
      </c>
      <c r="I12667" t="s">
        <v>1357</v>
      </c>
      <c r="J12667" t="s">
        <v>1357</v>
      </c>
      <c r="K12667" t="s">
        <v>1357</v>
      </c>
      <c r="L12667" t="s">
        <v>1357</v>
      </c>
    </row>
    <row r="12668" spans="6:12">
      <c r="F12668" t="s">
        <v>16542</v>
      </c>
      <c r="G12668" t="s">
        <v>19046</v>
      </c>
      <c r="H12668" t="s">
        <v>22827</v>
      </c>
      <c r="I12668" t="s">
        <v>1357</v>
      </c>
      <c r="J12668" t="s">
        <v>1357</v>
      </c>
      <c r="K12668" t="s">
        <v>1357</v>
      </c>
      <c r="L12668" t="s">
        <v>1357</v>
      </c>
    </row>
    <row r="12669" spans="6:12">
      <c r="H12669" t="s">
        <v>23477</v>
      </c>
      <c r="I12669" t="s">
        <v>1357</v>
      </c>
      <c r="J12669" t="s">
        <v>1357</v>
      </c>
      <c r="K12669" t="s">
        <v>1357</v>
      </c>
      <c r="L12669" t="s">
        <v>1357</v>
      </c>
    </row>
    <row r="12670" spans="6:12">
      <c r="H12670" t="s">
        <v>23478</v>
      </c>
      <c r="I12670" t="s">
        <v>1357</v>
      </c>
      <c r="J12670" t="s">
        <v>1357</v>
      </c>
      <c r="K12670" t="s">
        <v>1357</v>
      </c>
      <c r="L12670" t="s">
        <v>1357</v>
      </c>
    </row>
    <row r="12671" spans="6:12">
      <c r="H12671" t="s">
        <v>23479</v>
      </c>
      <c r="I12671" t="s">
        <v>1357</v>
      </c>
      <c r="J12671" t="s">
        <v>1357</v>
      </c>
      <c r="K12671" t="s">
        <v>1357</v>
      </c>
      <c r="L12671" t="s">
        <v>1357</v>
      </c>
    </row>
    <row r="12672" spans="6:12">
      <c r="H12672" t="s">
        <v>23480</v>
      </c>
      <c r="I12672" t="s">
        <v>1357</v>
      </c>
      <c r="J12672" t="s">
        <v>1357</v>
      </c>
      <c r="K12672" t="s">
        <v>1357</v>
      </c>
      <c r="L12672" t="s">
        <v>1357</v>
      </c>
    </row>
    <row r="12673" spans="6:12">
      <c r="F12673" t="s">
        <v>16543</v>
      </c>
      <c r="G12673" t="s">
        <v>19196</v>
      </c>
      <c r="H12673" t="s">
        <v>23481</v>
      </c>
      <c r="I12673" t="s">
        <v>1357</v>
      </c>
      <c r="J12673" t="s">
        <v>1357</v>
      </c>
      <c r="K12673" t="s">
        <v>1357</v>
      </c>
      <c r="L12673" t="s">
        <v>1357</v>
      </c>
    </row>
    <row r="12674" spans="6:12">
      <c r="F12674" t="s">
        <v>16544</v>
      </c>
      <c r="G12674" t="s">
        <v>19197</v>
      </c>
      <c r="H12674" t="s">
        <v>23482</v>
      </c>
      <c r="I12674" t="s">
        <v>1357</v>
      </c>
      <c r="J12674" t="s">
        <v>1357</v>
      </c>
      <c r="K12674" t="s">
        <v>1357</v>
      </c>
      <c r="L12674" t="s">
        <v>1357</v>
      </c>
    </row>
    <row r="12675" spans="6:12">
      <c r="H12675" t="s">
        <v>23483</v>
      </c>
      <c r="I12675" t="s">
        <v>1357</v>
      </c>
      <c r="J12675" t="s">
        <v>1357</v>
      </c>
      <c r="K12675" t="s">
        <v>1357</v>
      </c>
      <c r="L12675" t="s">
        <v>1357</v>
      </c>
    </row>
    <row r="12676" spans="6:12">
      <c r="H12676" t="s">
        <v>23484</v>
      </c>
      <c r="I12676" t="s">
        <v>1357</v>
      </c>
      <c r="J12676" t="s">
        <v>1357</v>
      </c>
      <c r="K12676" t="s">
        <v>1357</v>
      </c>
      <c r="L12676" t="s">
        <v>1357</v>
      </c>
    </row>
    <row r="12677" spans="6:12">
      <c r="H12677" t="s">
        <v>23485</v>
      </c>
      <c r="I12677" t="s">
        <v>1357</v>
      </c>
      <c r="J12677" t="s">
        <v>1357</v>
      </c>
      <c r="K12677" t="s">
        <v>1357</v>
      </c>
      <c r="L12677" t="s">
        <v>1357</v>
      </c>
    </row>
    <row r="12678" spans="6:12">
      <c r="H12678" t="s">
        <v>23486</v>
      </c>
      <c r="I12678" t="s">
        <v>1357</v>
      </c>
      <c r="J12678" t="s">
        <v>1357</v>
      </c>
      <c r="K12678" t="s">
        <v>1357</v>
      </c>
      <c r="L12678" t="s">
        <v>1357</v>
      </c>
    </row>
    <row r="12679" spans="6:12">
      <c r="H12679" t="s">
        <v>20242</v>
      </c>
      <c r="I12679" t="s">
        <v>1357</v>
      </c>
      <c r="J12679" t="s">
        <v>1357</v>
      </c>
      <c r="K12679" t="s">
        <v>1357</v>
      </c>
      <c r="L12679" t="s">
        <v>1357</v>
      </c>
    </row>
    <row r="12680" spans="6:12">
      <c r="F12680" t="s">
        <v>16545</v>
      </c>
      <c r="G12680" t="s">
        <v>18970</v>
      </c>
      <c r="H12680" t="s">
        <v>23487</v>
      </c>
      <c r="I12680" t="s">
        <v>1357</v>
      </c>
      <c r="J12680" t="s">
        <v>1357</v>
      </c>
      <c r="K12680" t="s">
        <v>1357</v>
      </c>
      <c r="L12680" t="s">
        <v>1357</v>
      </c>
    </row>
    <row r="12681" spans="6:12">
      <c r="H12681" t="s">
        <v>23488</v>
      </c>
      <c r="I12681" t="s">
        <v>1357</v>
      </c>
      <c r="J12681" t="s">
        <v>1357</v>
      </c>
      <c r="K12681" t="s">
        <v>1357</v>
      </c>
      <c r="L12681" t="s">
        <v>1357</v>
      </c>
    </row>
    <row r="12682" spans="6:12">
      <c r="H12682" t="s">
        <v>23489</v>
      </c>
      <c r="I12682" t="s">
        <v>1357</v>
      </c>
      <c r="J12682" t="s">
        <v>1357</v>
      </c>
      <c r="K12682" t="s">
        <v>1357</v>
      </c>
      <c r="L12682" t="s">
        <v>1357</v>
      </c>
    </row>
    <row r="12683" spans="6:12">
      <c r="H12683" t="s">
        <v>23490</v>
      </c>
      <c r="I12683" t="s">
        <v>1357</v>
      </c>
      <c r="J12683" t="s">
        <v>1357</v>
      </c>
      <c r="K12683" t="s">
        <v>1357</v>
      </c>
      <c r="L12683" t="s">
        <v>1357</v>
      </c>
    </row>
    <row r="12684" spans="6:12">
      <c r="H12684" t="s">
        <v>21954</v>
      </c>
      <c r="I12684" t="s">
        <v>1357</v>
      </c>
      <c r="J12684" t="s">
        <v>1357</v>
      </c>
      <c r="K12684" t="s">
        <v>1357</v>
      </c>
      <c r="L12684" t="s">
        <v>1357</v>
      </c>
    </row>
    <row r="12685" spans="6:12">
      <c r="F12685" t="s">
        <v>16546</v>
      </c>
      <c r="G12685" t="s">
        <v>19198</v>
      </c>
      <c r="H12685" t="s">
        <v>23491</v>
      </c>
      <c r="I12685" t="s">
        <v>1357</v>
      </c>
      <c r="J12685" t="s">
        <v>1357</v>
      </c>
      <c r="K12685" t="s">
        <v>1357</v>
      </c>
      <c r="L12685" t="s">
        <v>1357</v>
      </c>
    </row>
    <row r="12686" spans="6:12">
      <c r="H12686" t="s">
        <v>23492</v>
      </c>
      <c r="I12686" t="s">
        <v>1357</v>
      </c>
      <c r="J12686" t="s">
        <v>1357</v>
      </c>
      <c r="K12686" t="s">
        <v>1357</v>
      </c>
      <c r="L12686" t="s">
        <v>1357</v>
      </c>
    </row>
    <row r="12687" spans="6:12">
      <c r="H12687" t="s">
        <v>23493</v>
      </c>
      <c r="I12687" t="s">
        <v>1357</v>
      </c>
      <c r="J12687" t="s">
        <v>1357</v>
      </c>
      <c r="K12687" t="s">
        <v>1357</v>
      </c>
      <c r="L12687" t="s">
        <v>1357</v>
      </c>
    </row>
    <row r="12688" spans="6:12">
      <c r="H12688" t="s">
        <v>23494</v>
      </c>
      <c r="I12688" t="s">
        <v>1357</v>
      </c>
      <c r="J12688" t="s">
        <v>1357</v>
      </c>
      <c r="K12688" t="s">
        <v>1357</v>
      </c>
      <c r="L12688" t="s">
        <v>1357</v>
      </c>
    </row>
    <row r="12689" spans="6:12">
      <c r="F12689" t="s">
        <v>16547</v>
      </c>
      <c r="G12689" t="s">
        <v>19199</v>
      </c>
      <c r="H12689" t="s">
        <v>23495</v>
      </c>
      <c r="I12689" t="s">
        <v>1357</v>
      </c>
      <c r="J12689" t="s">
        <v>1357</v>
      </c>
      <c r="K12689" t="s">
        <v>1357</v>
      </c>
      <c r="L12689" t="s">
        <v>1357</v>
      </c>
    </row>
    <row r="12690" spans="6:12">
      <c r="H12690" t="s">
        <v>23496</v>
      </c>
      <c r="I12690" t="s">
        <v>1357</v>
      </c>
      <c r="J12690" t="s">
        <v>1357</v>
      </c>
      <c r="K12690" t="s">
        <v>1357</v>
      </c>
      <c r="L12690" t="s">
        <v>1357</v>
      </c>
    </row>
    <row r="12691" spans="6:12">
      <c r="H12691" t="s">
        <v>23497</v>
      </c>
      <c r="I12691" t="s">
        <v>1357</v>
      </c>
      <c r="J12691" t="s">
        <v>1357</v>
      </c>
      <c r="K12691" t="s">
        <v>1357</v>
      </c>
      <c r="L12691" t="s">
        <v>1357</v>
      </c>
    </row>
    <row r="12692" spans="6:12">
      <c r="H12692" t="s">
        <v>23498</v>
      </c>
      <c r="I12692" t="s">
        <v>1357</v>
      </c>
      <c r="J12692" t="s">
        <v>1357</v>
      </c>
      <c r="K12692" t="s">
        <v>1357</v>
      </c>
      <c r="L12692" t="s">
        <v>1357</v>
      </c>
    </row>
    <row r="12693" spans="6:12">
      <c r="H12693" t="s">
        <v>23499</v>
      </c>
      <c r="I12693" t="s">
        <v>1357</v>
      </c>
      <c r="J12693" t="s">
        <v>1357</v>
      </c>
      <c r="K12693" t="s">
        <v>1357</v>
      </c>
      <c r="L12693" t="s">
        <v>1357</v>
      </c>
    </row>
    <row r="12694" spans="6:12">
      <c r="H12694" t="s">
        <v>23500</v>
      </c>
      <c r="I12694" t="s">
        <v>1357</v>
      </c>
      <c r="J12694" t="s">
        <v>1357</v>
      </c>
      <c r="K12694" t="s">
        <v>1357</v>
      </c>
      <c r="L12694" t="s">
        <v>1357</v>
      </c>
    </row>
    <row r="12695" spans="6:12">
      <c r="H12695" t="s">
        <v>23501</v>
      </c>
      <c r="I12695" t="s">
        <v>1357</v>
      </c>
      <c r="J12695" t="s">
        <v>1357</v>
      </c>
      <c r="K12695" t="s">
        <v>1357</v>
      </c>
      <c r="L12695" t="s">
        <v>1357</v>
      </c>
    </row>
    <row r="12696" spans="6:12">
      <c r="F12696" t="s">
        <v>16548</v>
      </c>
      <c r="G12696" t="s">
        <v>19200</v>
      </c>
      <c r="H12696" t="s">
        <v>23089</v>
      </c>
      <c r="I12696" t="s">
        <v>1357</v>
      </c>
      <c r="J12696" t="s">
        <v>1357</v>
      </c>
      <c r="K12696" t="s">
        <v>1357</v>
      </c>
      <c r="L12696" t="s">
        <v>1357</v>
      </c>
    </row>
    <row r="12697" spans="6:12">
      <c r="H12697" t="s">
        <v>23090</v>
      </c>
      <c r="I12697" t="s">
        <v>1357</v>
      </c>
      <c r="J12697" t="s">
        <v>1357</v>
      </c>
      <c r="K12697" t="s">
        <v>1357</v>
      </c>
      <c r="L12697" t="s">
        <v>1357</v>
      </c>
    </row>
    <row r="12698" spans="6:12">
      <c r="H12698" t="s">
        <v>23091</v>
      </c>
      <c r="I12698" t="s">
        <v>1357</v>
      </c>
      <c r="J12698" t="s">
        <v>1357</v>
      </c>
      <c r="K12698" t="s">
        <v>1357</v>
      </c>
      <c r="L12698" t="s">
        <v>1357</v>
      </c>
    </row>
    <row r="12699" spans="6:12">
      <c r="H12699" t="s">
        <v>23092</v>
      </c>
      <c r="I12699" t="s">
        <v>1357</v>
      </c>
      <c r="J12699" t="s">
        <v>1357</v>
      </c>
      <c r="K12699" t="s">
        <v>1357</v>
      </c>
      <c r="L12699" t="s">
        <v>1357</v>
      </c>
    </row>
    <row r="12700" spans="6:12">
      <c r="H12700" t="s">
        <v>23093</v>
      </c>
      <c r="I12700" t="s">
        <v>1357</v>
      </c>
      <c r="J12700" t="s">
        <v>1357</v>
      </c>
      <c r="K12700" t="s">
        <v>1357</v>
      </c>
      <c r="L12700" t="s">
        <v>1357</v>
      </c>
    </row>
    <row r="12701" spans="6:12">
      <c r="H12701" t="s">
        <v>23094</v>
      </c>
      <c r="I12701" t="s">
        <v>1357</v>
      </c>
      <c r="J12701" t="s">
        <v>1357</v>
      </c>
      <c r="K12701" t="s">
        <v>1357</v>
      </c>
      <c r="L12701" t="s">
        <v>1357</v>
      </c>
    </row>
    <row r="12702" spans="6:12">
      <c r="H12702" t="s">
        <v>23502</v>
      </c>
      <c r="I12702" t="s">
        <v>1357</v>
      </c>
      <c r="J12702" t="s">
        <v>1357</v>
      </c>
      <c r="K12702" t="s">
        <v>1357</v>
      </c>
      <c r="L12702" t="s">
        <v>1357</v>
      </c>
    </row>
    <row r="12703" spans="6:12">
      <c r="H12703" t="s">
        <v>23503</v>
      </c>
      <c r="I12703" t="s">
        <v>1357</v>
      </c>
      <c r="J12703" t="s">
        <v>1357</v>
      </c>
      <c r="K12703" t="s">
        <v>1357</v>
      </c>
      <c r="L12703" t="s">
        <v>1357</v>
      </c>
    </row>
    <row r="12704" spans="6:12">
      <c r="H12704" t="s">
        <v>23504</v>
      </c>
      <c r="I12704" t="s">
        <v>1357</v>
      </c>
      <c r="J12704" t="s">
        <v>1357</v>
      </c>
      <c r="K12704" t="s">
        <v>1357</v>
      </c>
      <c r="L12704" t="s">
        <v>1357</v>
      </c>
    </row>
    <row r="12705" spans="6:12">
      <c r="H12705" t="s">
        <v>23505</v>
      </c>
      <c r="I12705" t="s">
        <v>1357</v>
      </c>
      <c r="J12705" t="s">
        <v>1357</v>
      </c>
      <c r="K12705" t="s">
        <v>1357</v>
      </c>
      <c r="L12705" t="s">
        <v>1357</v>
      </c>
    </row>
    <row r="12706" spans="6:12">
      <c r="H12706" t="s">
        <v>23506</v>
      </c>
      <c r="I12706" t="s">
        <v>1357</v>
      </c>
      <c r="J12706" t="s">
        <v>1357</v>
      </c>
      <c r="K12706" t="s">
        <v>1357</v>
      </c>
      <c r="L12706" t="s">
        <v>1357</v>
      </c>
    </row>
    <row r="12707" spans="6:12">
      <c r="H12707" t="s">
        <v>23507</v>
      </c>
      <c r="I12707" t="s">
        <v>1357</v>
      </c>
      <c r="J12707" t="s">
        <v>1357</v>
      </c>
      <c r="K12707" t="s">
        <v>1357</v>
      </c>
      <c r="L12707" t="s">
        <v>1357</v>
      </c>
    </row>
    <row r="12708" spans="6:12">
      <c r="H12708" t="s">
        <v>23508</v>
      </c>
      <c r="I12708" t="s">
        <v>1357</v>
      </c>
      <c r="J12708" t="s">
        <v>1357</v>
      </c>
      <c r="K12708" t="s">
        <v>1357</v>
      </c>
      <c r="L12708" t="s">
        <v>1357</v>
      </c>
    </row>
    <row r="12709" spans="6:12">
      <c r="H12709" t="s">
        <v>23509</v>
      </c>
      <c r="I12709" t="s">
        <v>1357</v>
      </c>
      <c r="J12709" t="s">
        <v>1357</v>
      </c>
      <c r="K12709" t="s">
        <v>1357</v>
      </c>
      <c r="L12709" t="s">
        <v>1357</v>
      </c>
    </row>
    <row r="12710" spans="6:12">
      <c r="H12710" t="s">
        <v>23510</v>
      </c>
      <c r="I12710" t="s">
        <v>1357</v>
      </c>
      <c r="J12710" t="s">
        <v>1357</v>
      </c>
      <c r="K12710" t="s">
        <v>1357</v>
      </c>
      <c r="L12710" t="s">
        <v>1357</v>
      </c>
    </row>
    <row r="12711" spans="6:12">
      <c r="F12711" t="s">
        <v>16549</v>
      </c>
      <c r="G12711" t="s">
        <v>18955</v>
      </c>
      <c r="H12711" t="s">
        <v>23511</v>
      </c>
      <c r="I12711" t="s">
        <v>1357</v>
      </c>
      <c r="J12711" t="s">
        <v>1357</v>
      </c>
      <c r="K12711" t="s">
        <v>1357</v>
      </c>
      <c r="L12711" t="s">
        <v>1357</v>
      </c>
    </row>
    <row r="12712" spans="6:12">
      <c r="H12712" t="s">
        <v>23512</v>
      </c>
      <c r="I12712" t="s">
        <v>1357</v>
      </c>
      <c r="J12712" t="s">
        <v>1357</v>
      </c>
      <c r="K12712" t="s">
        <v>1357</v>
      </c>
      <c r="L12712" t="s">
        <v>1357</v>
      </c>
    </row>
    <row r="12713" spans="6:12">
      <c r="H12713" t="s">
        <v>23513</v>
      </c>
      <c r="I12713" t="s">
        <v>1357</v>
      </c>
      <c r="J12713" t="s">
        <v>1357</v>
      </c>
      <c r="K12713" t="s">
        <v>1357</v>
      </c>
      <c r="L12713" t="s">
        <v>1357</v>
      </c>
    </row>
    <row r="12714" spans="6:12">
      <c r="H12714" t="s">
        <v>23514</v>
      </c>
      <c r="I12714" t="s">
        <v>1357</v>
      </c>
      <c r="J12714" t="s">
        <v>1357</v>
      </c>
      <c r="K12714" t="s">
        <v>1357</v>
      </c>
      <c r="L12714" t="s">
        <v>1357</v>
      </c>
    </row>
    <row r="12715" spans="6:12">
      <c r="H12715" t="s">
        <v>23515</v>
      </c>
      <c r="I12715" t="s">
        <v>1357</v>
      </c>
      <c r="J12715" t="s">
        <v>1357</v>
      </c>
      <c r="K12715" t="s">
        <v>1357</v>
      </c>
      <c r="L12715" t="s">
        <v>1357</v>
      </c>
    </row>
    <row r="12716" spans="6:12">
      <c r="H12716" t="s">
        <v>23516</v>
      </c>
      <c r="I12716" t="s">
        <v>1357</v>
      </c>
      <c r="J12716" t="s">
        <v>1357</v>
      </c>
      <c r="K12716" t="s">
        <v>1357</v>
      </c>
      <c r="L12716" t="s">
        <v>1357</v>
      </c>
    </row>
    <row r="12717" spans="6:12">
      <c r="H12717" t="s">
        <v>23517</v>
      </c>
      <c r="I12717" t="s">
        <v>1357</v>
      </c>
      <c r="J12717" t="s">
        <v>1357</v>
      </c>
      <c r="K12717" t="s">
        <v>1357</v>
      </c>
      <c r="L12717" t="s">
        <v>1357</v>
      </c>
    </row>
    <row r="12718" spans="6:12">
      <c r="F12718" t="s">
        <v>16550</v>
      </c>
      <c r="G12718" t="s">
        <v>18785</v>
      </c>
      <c r="H12718" t="s">
        <v>4574</v>
      </c>
      <c r="I12718" t="s">
        <v>1357</v>
      </c>
      <c r="J12718" t="s">
        <v>1357</v>
      </c>
      <c r="K12718" t="s">
        <v>1357</v>
      </c>
      <c r="L12718" t="s">
        <v>1357</v>
      </c>
    </row>
    <row r="12719" spans="6:12">
      <c r="H12719" t="s">
        <v>23518</v>
      </c>
      <c r="I12719" t="s">
        <v>1357</v>
      </c>
      <c r="J12719" t="s">
        <v>1357</v>
      </c>
      <c r="K12719" t="s">
        <v>1357</v>
      </c>
      <c r="L12719" t="s">
        <v>1357</v>
      </c>
    </row>
    <row r="12720" spans="6:12">
      <c r="F12720" t="s">
        <v>16551</v>
      </c>
      <c r="G12720" t="s">
        <v>18968</v>
      </c>
      <c r="H12720" t="s">
        <v>4208</v>
      </c>
      <c r="I12720" t="s">
        <v>1357</v>
      </c>
      <c r="J12720" t="s">
        <v>1357</v>
      </c>
      <c r="K12720" t="s">
        <v>1357</v>
      </c>
      <c r="L12720" t="s">
        <v>1357</v>
      </c>
    </row>
    <row r="12721" spans="8:12">
      <c r="H12721" t="s">
        <v>23519</v>
      </c>
      <c r="I12721" t="s">
        <v>1357</v>
      </c>
      <c r="J12721" t="s">
        <v>1357</v>
      </c>
      <c r="K12721" t="s">
        <v>1357</v>
      </c>
      <c r="L12721" t="s">
        <v>1357</v>
      </c>
    </row>
    <row r="12722" spans="8:12">
      <c r="H12722" t="s">
        <v>23520</v>
      </c>
      <c r="I12722" t="s">
        <v>1357</v>
      </c>
      <c r="J12722" t="s">
        <v>1357</v>
      </c>
      <c r="K12722" t="s">
        <v>1357</v>
      </c>
      <c r="L12722" t="s">
        <v>1357</v>
      </c>
    </row>
    <row r="12723" spans="8:12">
      <c r="H12723" t="s">
        <v>23521</v>
      </c>
      <c r="I12723" t="s">
        <v>1357</v>
      </c>
      <c r="J12723" t="s">
        <v>1357</v>
      </c>
      <c r="K12723" t="s">
        <v>1357</v>
      </c>
      <c r="L12723" t="s">
        <v>1357</v>
      </c>
    </row>
    <row r="12724" spans="8:12">
      <c r="H12724" t="s">
        <v>23522</v>
      </c>
      <c r="I12724" t="s">
        <v>1357</v>
      </c>
      <c r="J12724" t="s">
        <v>1357</v>
      </c>
      <c r="K12724" t="s">
        <v>1357</v>
      </c>
      <c r="L12724" t="s">
        <v>1357</v>
      </c>
    </row>
    <row r="12725" spans="8:12">
      <c r="H12725" t="s">
        <v>23523</v>
      </c>
      <c r="I12725" t="s">
        <v>1357</v>
      </c>
      <c r="J12725" t="s">
        <v>1357</v>
      </c>
      <c r="K12725" t="s">
        <v>1357</v>
      </c>
      <c r="L12725" t="s">
        <v>1357</v>
      </c>
    </row>
    <row r="12726" spans="8:12">
      <c r="H12726" t="s">
        <v>23524</v>
      </c>
      <c r="I12726" t="s">
        <v>1357</v>
      </c>
      <c r="J12726" t="s">
        <v>1357</v>
      </c>
      <c r="K12726" t="s">
        <v>1357</v>
      </c>
      <c r="L12726" t="s">
        <v>1357</v>
      </c>
    </row>
    <row r="12727" spans="8:12">
      <c r="H12727" t="s">
        <v>23525</v>
      </c>
      <c r="I12727" t="s">
        <v>1357</v>
      </c>
      <c r="J12727" t="s">
        <v>1357</v>
      </c>
      <c r="K12727" t="s">
        <v>1357</v>
      </c>
      <c r="L12727" t="s">
        <v>1357</v>
      </c>
    </row>
    <row r="12728" spans="8:12">
      <c r="H12728" t="s">
        <v>23526</v>
      </c>
      <c r="I12728" t="s">
        <v>1357</v>
      </c>
      <c r="J12728" t="s">
        <v>1357</v>
      </c>
      <c r="K12728" t="s">
        <v>1357</v>
      </c>
      <c r="L12728" t="s">
        <v>1357</v>
      </c>
    </row>
    <row r="12729" spans="8:12">
      <c r="H12729" t="s">
        <v>23527</v>
      </c>
      <c r="I12729" t="s">
        <v>1357</v>
      </c>
      <c r="J12729" t="s">
        <v>1357</v>
      </c>
      <c r="K12729" t="s">
        <v>1357</v>
      </c>
      <c r="L12729" t="s">
        <v>1357</v>
      </c>
    </row>
    <row r="12730" spans="8:12">
      <c r="H12730" t="s">
        <v>9196</v>
      </c>
      <c r="I12730" t="s">
        <v>1357</v>
      </c>
      <c r="J12730" t="s">
        <v>1357</v>
      </c>
      <c r="K12730" t="s">
        <v>1357</v>
      </c>
      <c r="L12730" t="s">
        <v>1357</v>
      </c>
    </row>
    <row r="12731" spans="8:12">
      <c r="H12731" t="s">
        <v>23502</v>
      </c>
      <c r="I12731" t="s">
        <v>1357</v>
      </c>
      <c r="J12731" t="s">
        <v>1357</v>
      </c>
      <c r="K12731" t="s">
        <v>1357</v>
      </c>
      <c r="L12731" t="s">
        <v>1357</v>
      </c>
    </row>
    <row r="12732" spans="8:12">
      <c r="H12732" t="s">
        <v>23528</v>
      </c>
      <c r="I12732" t="s">
        <v>1357</v>
      </c>
      <c r="J12732" t="s">
        <v>1357</v>
      </c>
      <c r="K12732" t="s">
        <v>1357</v>
      </c>
      <c r="L12732" t="s">
        <v>1357</v>
      </c>
    </row>
    <row r="12733" spans="8:12">
      <c r="H12733" t="s">
        <v>23529</v>
      </c>
      <c r="I12733" t="s">
        <v>1357</v>
      </c>
      <c r="J12733" t="s">
        <v>1357</v>
      </c>
      <c r="K12733" t="s">
        <v>1357</v>
      </c>
      <c r="L12733" t="s">
        <v>1357</v>
      </c>
    </row>
    <row r="12734" spans="8:12">
      <c r="H12734" t="s">
        <v>23530</v>
      </c>
      <c r="I12734" t="s">
        <v>1357</v>
      </c>
      <c r="J12734" t="s">
        <v>1357</v>
      </c>
      <c r="K12734" t="s">
        <v>1357</v>
      </c>
      <c r="L12734" t="s">
        <v>1357</v>
      </c>
    </row>
    <row r="12735" spans="8:12">
      <c r="H12735" t="s">
        <v>23095</v>
      </c>
      <c r="I12735" t="s">
        <v>1357</v>
      </c>
      <c r="J12735" t="s">
        <v>1357</v>
      </c>
      <c r="K12735" t="s">
        <v>1357</v>
      </c>
      <c r="L12735" t="s">
        <v>1357</v>
      </c>
    </row>
    <row r="12736" spans="8:12">
      <c r="H12736" t="s">
        <v>23096</v>
      </c>
      <c r="I12736" t="s">
        <v>1357</v>
      </c>
      <c r="J12736" t="s">
        <v>1357</v>
      </c>
      <c r="K12736" t="s">
        <v>1357</v>
      </c>
      <c r="L12736" t="s">
        <v>1357</v>
      </c>
    </row>
    <row r="12737" spans="6:12">
      <c r="H12737" t="s">
        <v>23097</v>
      </c>
      <c r="I12737" t="s">
        <v>1357</v>
      </c>
      <c r="J12737" t="s">
        <v>1357</v>
      </c>
      <c r="K12737" t="s">
        <v>1357</v>
      </c>
      <c r="L12737" t="s">
        <v>1357</v>
      </c>
    </row>
    <row r="12738" spans="6:12">
      <c r="H12738" t="s">
        <v>23098</v>
      </c>
      <c r="I12738" t="s">
        <v>1357</v>
      </c>
      <c r="J12738" t="s">
        <v>1357</v>
      </c>
      <c r="K12738" t="s">
        <v>1357</v>
      </c>
      <c r="L12738" t="s">
        <v>1357</v>
      </c>
    </row>
    <row r="12739" spans="6:12">
      <c r="H12739" t="s">
        <v>23099</v>
      </c>
      <c r="I12739" t="s">
        <v>1357</v>
      </c>
      <c r="J12739" t="s">
        <v>1357</v>
      </c>
      <c r="K12739" t="s">
        <v>1357</v>
      </c>
      <c r="L12739" t="s">
        <v>1357</v>
      </c>
    </row>
    <row r="12740" spans="6:12">
      <c r="H12740" t="s">
        <v>23100</v>
      </c>
      <c r="I12740" t="s">
        <v>1357</v>
      </c>
      <c r="J12740" t="s">
        <v>1357</v>
      </c>
      <c r="K12740" t="s">
        <v>1357</v>
      </c>
      <c r="L12740" t="s">
        <v>1357</v>
      </c>
    </row>
    <row r="12741" spans="6:12">
      <c r="H12741" t="s">
        <v>23101</v>
      </c>
      <c r="I12741" t="s">
        <v>1357</v>
      </c>
      <c r="J12741" t="s">
        <v>1357</v>
      </c>
      <c r="K12741" t="s">
        <v>1357</v>
      </c>
      <c r="L12741" t="s">
        <v>1357</v>
      </c>
    </row>
    <row r="12742" spans="6:12">
      <c r="H12742" t="s">
        <v>23102</v>
      </c>
      <c r="I12742" t="s">
        <v>1357</v>
      </c>
      <c r="J12742" t="s">
        <v>1357</v>
      </c>
      <c r="K12742" t="s">
        <v>1357</v>
      </c>
      <c r="L12742" t="s">
        <v>1357</v>
      </c>
    </row>
    <row r="12743" spans="6:12">
      <c r="H12743" t="s">
        <v>23103</v>
      </c>
      <c r="I12743" t="s">
        <v>1357</v>
      </c>
      <c r="J12743" t="s">
        <v>1357</v>
      </c>
      <c r="K12743" t="s">
        <v>1357</v>
      </c>
      <c r="L12743" t="s">
        <v>1357</v>
      </c>
    </row>
    <row r="12744" spans="6:12">
      <c r="H12744" t="s">
        <v>23104</v>
      </c>
      <c r="I12744" t="s">
        <v>1357</v>
      </c>
      <c r="J12744" t="s">
        <v>1357</v>
      </c>
      <c r="K12744" t="s">
        <v>1357</v>
      </c>
      <c r="L12744" t="s">
        <v>1357</v>
      </c>
    </row>
    <row r="12745" spans="6:12">
      <c r="H12745" t="s">
        <v>23105</v>
      </c>
      <c r="I12745" t="s">
        <v>1357</v>
      </c>
      <c r="J12745" t="s">
        <v>1357</v>
      </c>
      <c r="K12745" t="s">
        <v>1357</v>
      </c>
      <c r="L12745" t="s">
        <v>1357</v>
      </c>
    </row>
    <row r="12746" spans="6:12">
      <c r="H12746" t="s">
        <v>23106</v>
      </c>
      <c r="I12746" t="s">
        <v>1357</v>
      </c>
      <c r="J12746" t="s">
        <v>1357</v>
      </c>
      <c r="K12746" t="s">
        <v>1357</v>
      </c>
      <c r="L12746" t="s">
        <v>1357</v>
      </c>
    </row>
    <row r="12747" spans="6:12">
      <c r="H12747" t="s">
        <v>23107</v>
      </c>
      <c r="I12747" t="s">
        <v>1357</v>
      </c>
      <c r="J12747" t="s">
        <v>1357</v>
      </c>
      <c r="K12747" t="s">
        <v>1357</v>
      </c>
      <c r="L12747" t="s">
        <v>1357</v>
      </c>
    </row>
    <row r="12748" spans="6:12">
      <c r="H12748" t="s">
        <v>23108</v>
      </c>
      <c r="I12748" t="s">
        <v>1357</v>
      </c>
      <c r="J12748" t="s">
        <v>1357</v>
      </c>
      <c r="K12748" t="s">
        <v>1357</v>
      </c>
      <c r="L12748" t="s">
        <v>1357</v>
      </c>
    </row>
    <row r="12749" spans="6:12">
      <c r="H12749" t="s">
        <v>23109</v>
      </c>
      <c r="I12749" t="s">
        <v>1357</v>
      </c>
      <c r="J12749" t="s">
        <v>1357</v>
      </c>
      <c r="K12749" t="s">
        <v>1357</v>
      </c>
      <c r="L12749" t="s">
        <v>1357</v>
      </c>
    </row>
    <row r="12750" spans="6:12">
      <c r="H12750" t="s">
        <v>23169</v>
      </c>
      <c r="I12750" t="s">
        <v>1357</v>
      </c>
      <c r="J12750" t="s">
        <v>1357</v>
      </c>
      <c r="K12750" t="s">
        <v>1357</v>
      </c>
      <c r="L12750" t="s">
        <v>1357</v>
      </c>
    </row>
    <row r="12751" spans="6:12">
      <c r="F12751" t="s">
        <v>16552</v>
      </c>
      <c r="G12751" t="s">
        <v>19201</v>
      </c>
      <c r="H12751" t="s">
        <v>906</v>
      </c>
      <c r="I12751" t="s">
        <v>1357</v>
      </c>
      <c r="J12751" t="s">
        <v>1357</v>
      </c>
      <c r="K12751" t="s">
        <v>1357</v>
      </c>
      <c r="L12751" t="s">
        <v>1357</v>
      </c>
    </row>
    <row r="12752" spans="6:12">
      <c r="H12752" t="s">
        <v>9196</v>
      </c>
      <c r="I12752" t="s">
        <v>1357</v>
      </c>
      <c r="J12752" t="s">
        <v>1357</v>
      </c>
      <c r="K12752" t="s">
        <v>1357</v>
      </c>
      <c r="L12752" t="s">
        <v>1357</v>
      </c>
    </row>
    <row r="12753" spans="6:12">
      <c r="F12753" t="s">
        <v>16553</v>
      </c>
      <c r="G12753" t="s">
        <v>19202</v>
      </c>
      <c r="H12753" t="s">
        <v>23531</v>
      </c>
      <c r="I12753" t="s">
        <v>1357</v>
      </c>
      <c r="J12753" t="s">
        <v>1357</v>
      </c>
      <c r="K12753" t="s">
        <v>1357</v>
      </c>
      <c r="L12753" t="s">
        <v>1357</v>
      </c>
    </row>
    <row r="12754" spans="6:12">
      <c r="H12754" t="s">
        <v>23532</v>
      </c>
      <c r="I12754" t="s">
        <v>1357</v>
      </c>
      <c r="J12754" t="s">
        <v>1357</v>
      </c>
      <c r="K12754" t="s">
        <v>1357</v>
      </c>
      <c r="L12754" t="s">
        <v>1357</v>
      </c>
    </row>
    <row r="12755" spans="6:12">
      <c r="H12755" t="s">
        <v>23436</v>
      </c>
      <c r="I12755" t="s">
        <v>1357</v>
      </c>
      <c r="J12755" t="s">
        <v>1357</v>
      </c>
      <c r="K12755" t="s">
        <v>1357</v>
      </c>
      <c r="L12755" t="s">
        <v>1357</v>
      </c>
    </row>
    <row r="12756" spans="6:12">
      <c r="F12756" t="s">
        <v>16554</v>
      </c>
      <c r="G12756" t="s">
        <v>19203</v>
      </c>
      <c r="H12756" t="s">
        <v>23533</v>
      </c>
      <c r="I12756" t="s">
        <v>1357</v>
      </c>
      <c r="J12756" t="s">
        <v>1357</v>
      </c>
      <c r="K12756" t="s">
        <v>1357</v>
      </c>
      <c r="L12756" t="s">
        <v>1357</v>
      </c>
    </row>
    <row r="12757" spans="6:12">
      <c r="F12757" t="s">
        <v>16555</v>
      </c>
      <c r="G12757" t="s">
        <v>19204</v>
      </c>
      <c r="H12757" t="s">
        <v>23534</v>
      </c>
      <c r="I12757" t="s">
        <v>1357</v>
      </c>
      <c r="J12757" t="s">
        <v>1357</v>
      </c>
      <c r="K12757" t="s">
        <v>1357</v>
      </c>
      <c r="L12757" t="s">
        <v>1357</v>
      </c>
    </row>
    <row r="12758" spans="6:12">
      <c r="H12758" t="s">
        <v>23535</v>
      </c>
      <c r="I12758" t="s">
        <v>1357</v>
      </c>
      <c r="J12758" t="s">
        <v>1357</v>
      </c>
      <c r="K12758" t="s">
        <v>1357</v>
      </c>
      <c r="L12758" t="s">
        <v>1357</v>
      </c>
    </row>
    <row r="12759" spans="6:12">
      <c r="H12759" t="s">
        <v>23536</v>
      </c>
      <c r="I12759" t="s">
        <v>1357</v>
      </c>
      <c r="J12759" t="s">
        <v>1357</v>
      </c>
      <c r="K12759" t="s">
        <v>1357</v>
      </c>
      <c r="L12759" t="s">
        <v>1357</v>
      </c>
    </row>
    <row r="12760" spans="6:12">
      <c r="H12760" t="s">
        <v>23537</v>
      </c>
      <c r="I12760" t="s">
        <v>1357</v>
      </c>
      <c r="J12760" t="s">
        <v>1357</v>
      </c>
      <c r="K12760" t="s">
        <v>1357</v>
      </c>
      <c r="L12760" t="s">
        <v>1357</v>
      </c>
    </row>
    <row r="12761" spans="6:12">
      <c r="H12761" t="s">
        <v>23538</v>
      </c>
      <c r="I12761" t="s">
        <v>1357</v>
      </c>
      <c r="J12761" t="s">
        <v>1357</v>
      </c>
      <c r="K12761" t="s">
        <v>1357</v>
      </c>
      <c r="L12761" t="s">
        <v>1357</v>
      </c>
    </row>
    <row r="12762" spans="6:12">
      <c r="F12762" t="s">
        <v>16556</v>
      </c>
      <c r="G12762" t="s">
        <v>19205</v>
      </c>
      <c r="H12762" t="s">
        <v>23539</v>
      </c>
      <c r="I12762" t="s">
        <v>1357</v>
      </c>
      <c r="J12762" t="s">
        <v>1357</v>
      </c>
      <c r="K12762" t="s">
        <v>1357</v>
      </c>
      <c r="L12762" t="s">
        <v>1357</v>
      </c>
    </row>
    <row r="12763" spans="6:12">
      <c r="H12763" t="s">
        <v>23540</v>
      </c>
      <c r="I12763" t="s">
        <v>1357</v>
      </c>
      <c r="J12763" t="s">
        <v>1357</v>
      </c>
      <c r="K12763" t="s">
        <v>1357</v>
      </c>
      <c r="L12763" t="s">
        <v>1357</v>
      </c>
    </row>
    <row r="12764" spans="6:12">
      <c r="H12764" t="s">
        <v>23541</v>
      </c>
      <c r="I12764" t="s">
        <v>1357</v>
      </c>
      <c r="J12764" t="s">
        <v>1357</v>
      </c>
      <c r="K12764" t="s">
        <v>1357</v>
      </c>
      <c r="L12764" t="s">
        <v>1357</v>
      </c>
    </row>
    <row r="12765" spans="6:12">
      <c r="F12765" t="s">
        <v>16557</v>
      </c>
      <c r="G12765" t="s">
        <v>19047</v>
      </c>
      <c r="H12765" t="s">
        <v>22828</v>
      </c>
      <c r="I12765" t="s">
        <v>1357</v>
      </c>
      <c r="J12765" t="s">
        <v>1357</v>
      </c>
      <c r="K12765" t="s">
        <v>1357</v>
      </c>
      <c r="L12765" t="s">
        <v>1357</v>
      </c>
    </row>
    <row r="12766" spans="6:12">
      <c r="H12766" t="s">
        <v>22829</v>
      </c>
      <c r="I12766" t="s">
        <v>1357</v>
      </c>
      <c r="J12766" t="s">
        <v>1357</v>
      </c>
      <c r="K12766" t="s">
        <v>1357</v>
      </c>
      <c r="L12766" t="s">
        <v>1357</v>
      </c>
    </row>
    <row r="12767" spans="6:12">
      <c r="F12767" t="s">
        <v>16558</v>
      </c>
      <c r="G12767" t="s">
        <v>19206</v>
      </c>
      <c r="H12767" t="s">
        <v>23542</v>
      </c>
      <c r="I12767" t="s">
        <v>1357</v>
      </c>
      <c r="J12767" t="s">
        <v>1357</v>
      </c>
      <c r="K12767" t="s">
        <v>1357</v>
      </c>
      <c r="L12767" t="s">
        <v>1357</v>
      </c>
    </row>
    <row r="12768" spans="6:12">
      <c r="H12768" t="s">
        <v>23543</v>
      </c>
      <c r="I12768" t="s">
        <v>1357</v>
      </c>
      <c r="J12768" t="s">
        <v>1357</v>
      </c>
      <c r="K12768" t="s">
        <v>1357</v>
      </c>
      <c r="L12768" t="s">
        <v>1357</v>
      </c>
    </row>
    <row r="12769" spans="6:12">
      <c r="H12769" t="s">
        <v>23544</v>
      </c>
      <c r="I12769" t="s">
        <v>1357</v>
      </c>
      <c r="J12769" t="s">
        <v>1357</v>
      </c>
      <c r="K12769" t="s">
        <v>1357</v>
      </c>
      <c r="L12769" t="s">
        <v>1357</v>
      </c>
    </row>
    <row r="12770" spans="6:12">
      <c r="H12770" t="s">
        <v>23545</v>
      </c>
      <c r="I12770" t="s">
        <v>1357</v>
      </c>
      <c r="J12770" t="s">
        <v>1357</v>
      </c>
      <c r="K12770" t="s">
        <v>1357</v>
      </c>
      <c r="L12770" t="s">
        <v>1357</v>
      </c>
    </row>
    <row r="12771" spans="6:12">
      <c r="F12771" t="s">
        <v>16559</v>
      </c>
      <c r="G12771" t="s">
        <v>19207</v>
      </c>
      <c r="H12771" t="s">
        <v>23546</v>
      </c>
      <c r="I12771" t="s">
        <v>1357</v>
      </c>
      <c r="J12771" t="s">
        <v>1357</v>
      </c>
      <c r="K12771" t="s">
        <v>1357</v>
      </c>
      <c r="L12771" t="s">
        <v>1357</v>
      </c>
    </row>
    <row r="12772" spans="6:12">
      <c r="H12772" t="s">
        <v>23547</v>
      </c>
      <c r="I12772" t="s">
        <v>1357</v>
      </c>
      <c r="J12772" t="s">
        <v>1357</v>
      </c>
      <c r="K12772" t="s">
        <v>1357</v>
      </c>
      <c r="L12772" t="s">
        <v>1357</v>
      </c>
    </row>
    <row r="12773" spans="6:12">
      <c r="H12773" t="s">
        <v>23548</v>
      </c>
      <c r="I12773" t="s">
        <v>1357</v>
      </c>
      <c r="J12773" t="s">
        <v>1357</v>
      </c>
      <c r="K12773" t="s">
        <v>1357</v>
      </c>
      <c r="L12773" t="s">
        <v>1357</v>
      </c>
    </row>
    <row r="12774" spans="6:12">
      <c r="H12774" t="s">
        <v>23549</v>
      </c>
      <c r="I12774" t="s">
        <v>1357</v>
      </c>
      <c r="J12774" t="s">
        <v>1357</v>
      </c>
      <c r="K12774" t="s">
        <v>1357</v>
      </c>
      <c r="L12774" t="s">
        <v>1357</v>
      </c>
    </row>
    <row r="12775" spans="6:12">
      <c r="H12775" t="s">
        <v>23550</v>
      </c>
      <c r="I12775" t="s">
        <v>1357</v>
      </c>
      <c r="J12775" t="s">
        <v>1357</v>
      </c>
      <c r="K12775" t="s">
        <v>1357</v>
      </c>
      <c r="L12775" t="s">
        <v>1357</v>
      </c>
    </row>
    <row r="12776" spans="6:12">
      <c r="H12776" t="s">
        <v>23551</v>
      </c>
      <c r="I12776" t="s">
        <v>1357</v>
      </c>
      <c r="J12776" t="s">
        <v>1357</v>
      </c>
      <c r="K12776" t="s">
        <v>1357</v>
      </c>
      <c r="L12776" t="s">
        <v>1357</v>
      </c>
    </row>
    <row r="12777" spans="6:12">
      <c r="H12777" t="s">
        <v>23552</v>
      </c>
      <c r="I12777" t="s">
        <v>1357</v>
      </c>
      <c r="J12777" t="s">
        <v>1357</v>
      </c>
      <c r="K12777" t="s">
        <v>1357</v>
      </c>
      <c r="L12777" t="s">
        <v>1357</v>
      </c>
    </row>
    <row r="12778" spans="6:12">
      <c r="H12778" t="s">
        <v>23553</v>
      </c>
      <c r="I12778" t="s">
        <v>1357</v>
      </c>
      <c r="J12778" t="s">
        <v>1357</v>
      </c>
      <c r="K12778" t="s">
        <v>1357</v>
      </c>
      <c r="L12778" t="s">
        <v>1357</v>
      </c>
    </row>
    <row r="12779" spans="6:12">
      <c r="H12779" t="s">
        <v>23554</v>
      </c>
      <c r="I12779" t="s">
        <v>1357</v>
      </c>
      <c r="J12779" t="s">
        <v>1357</v>
      </c>
      <c r="K12779" t="s">
        <v>1357</v>
      </c>
      <c r="L12779" t="s">
        <v>1357</v>
      </c>
    </row>
    <row r="12780" spans="6:12">
      <c r="H12780" t="s">
        <v>23555</v>
      </c>
      <c r="I12780" t="s">
        <v>1357</v>
      </c>
      <c r="J12780" t="s">
        <v>1357</v>
      </c>
      <c r="K12780" t="s">
        <v>1357</v>
      </c>
      <c r="L12780" t="s">
        <v>1357</v>
      </c>
    </row>
    <row r="12781" spans="6:12">
      <c r="H12781" t="s">
        <v>23556</v>
      </c>
      <c r="I12781" t="s">
        <v>1357</v>
      </c>
      <c r="J12781" t="s">
        <v>1357</v>
      </c>
      <c r="K12781" t="s">
        <v>1357</v>
      </c>
      <c r="L12781" t="s">
        <v>1357</v>
      </c>
    </row>
    <row r="12782" spans="6:12">
      <c r="H12782" t="s">
        <v>23557</v>
      </c>
      <c r="I12782" t="s">
        <v>1357</v>
      </c>
      <c r="J12782" t="s">
        <v>1357</v>
      </c>
      <c r="K12782" t="s">
        <v>1357</v>
      </c>
      <c r="L12782" t="s">
        <v>1357</v>
      </c>
    </row>
    <row r="12783" spans="6:12">
      <c r="H12783" t="s">
        <v>23558</v>
      </c>
      <c r="I12783" t="s">
        <v>1357</v>
      </c>
      <c r="J12783" t="s">
        <v>1357</v>
      </c>
      <c r="K12783" t="s">
        <v>1357</v>
      </c>
      <c r="L12783" t="s">
        <v>1357</v>
      </c>
    </row>
    <row r="12784" spans="6:12">
      <c r="H12784" t="s">
        <v>23559</v>
      </c>
      <c r="I12784" t="s">
        <v>1357</v>
      </c>
      <c r="J12784" t="s">
        <v>1357</v>
      </c>
      <c r="K12784" t="s">
        <v>1357</v>
      </c>
      <c r="L12784" t="s">
        <v>1357</v>
      </c>
    </row>
    <row r="12785" spans="6:12">
      <c r="H12785" t="s">
        <v>23560</v>
      </c>
      <c r="I12785" t="s">
        <v>1357</v>
      </c>
      <c r="J12785" t="s">
        <v>1357</v>
      </c>
      <c r="K12785" t="s">
        <v>1357</v>
      </c>
      <c r="L12785" t="s">
        <v>1357</v>
      </c>
    </row>
    <row r="12786" spans="6:12">
      <c r="H12786" t="s">
        <v>23561</v>
      </c>
      <c r="I12786" t="s">
        <v>1357</v>
      </c>
      <c r="J12786" t="s">
        <v>1357</v>
      </c>
      <c r="K12786" t="s">
        <v>1357</v>
      </c>
      <c r="L12786" t="s">
        <v>1357</v>
      </c>
    </row>
    <row r="12787" spans="6:12">
      <c r="H12787" t="s">
        <v>23562</v>
      </c>
      <c r="I12787" t="s">
        <v>1357</v>
      </c>
      <c r="J12787" t="s">
        <v>1357</v>
      </c>
      <c r="K12787" t="s">
        <v>1357</v>
      </c>
      <c r="L12787" t="s">
        <v>1357</v>
      </c>
    </row>
    <row r="12788" spans="6:12">
      <c r="H12788" t="s">
        <v>23563</v>
      </c>
      <c r="I12788" t="s">
        <v>1357</v>
      </c>
      <c r="J12788" t="s">
        <v>1357</v>
      </c>
      <c r="K12788" t="s">
        <v>1357</v>
      </c>
      <c r="L12788" t="s">
        <v>1357</v>
      </c>
    </row>
    <row r="12789" spans="6:12">
      <c r="H12789" t="s">
        <v>23564</v>
      </c>
      <c r="I12789" t="s">
        <v>1357</v>
      </c>
      <c r="J12789" t="s">
        <v>1357</v>
      </c>
      <c r="K12789" t="s">
        <v>1357</v>
      </c>
      <c r="L12789" t="s">
        <v>1357</v>
      </c>
    </row>
    <row r="12790" spans="6:12">
      <c r="H12790" t="s">
        <v>23565</v>
      </c>
      <c r="I12790" t="s">
        <v>1357</v>
      </c>
      <c r="J12790" t="s">
        <v>1357</v>
      </c>
      <c r="K12790" t="s">
        <v>1357</v>
      </c>
      <c r="L12790" t="s">
        <v>1357</v>
      </c>
    </row>
    <row r="12791" spans="6:12">
      <c r="F12791" t="s">
        <v>16560</v>
      </c>
      <c r="G12791" t="s">
        <v>19208</v>
      </c>
      <c r="H12791" t="s">
        <v>23566</v>
      </c>
      <c r="I12791" t="s">
        <v>1357</v>
      </c>
      <c r="J12791" t="s">
        <v>1357</v>
      </c>
      <c r="K12791" t="s">
        <v>1357</v>
      </c>
      <c r="L12791" t="s">
        <v>1357</v>
      </c>
    </row>
    <row r="12792" spans="6:12">
      <c r="F12792" t="s">
        <v>16561</v>
      </c>
      <c r="G12792" t="s">
        <v>19209</v>
      </c>
      <c r="H12792" t="s">
        <v>4574</v>
      </c>
      <c r="I12792" t="s">
        <v>1357</v>
      </c>
      <c r="J12792" t="s">
        <v>1357</v>
      </c>
      <c r="K12792" t="s">
        <v>1357</v>
      </c>
      <c r="L12792" t="s">
        <v>1357</v>
      </c>
    </row>
    <row r="12793" spans="6:12">
      <c r="H12793" t="s">
        <v>23567</v>
      </c>
      <c r="I12793" t="s">
        <v>1357</v>
      </c>
      <c r="J12793" t="s">
        <v>1357</v>
      </c>
      <c r="K12793" t="s">
        <v>1357</v>
      </c>
      <c r="L12793" t="s">
        <v>1357</v>
      </c>
    </row>
    <row r="12794" spans="6:12">
      <c r="H12794" t="s">
        <v>23568</v>
      </c>
      <c r="I12794" t="s">
        <v>1357</v>
      </c>
      <c r="J12794" t="s">
        <v>1357</v>
      </c>
      <c r="K12794" t="s">
        <v>1357</v>
      </c>
      <c r="L12794" t="s">
        <v>1357</v>
      </c>
    </row>
    <row r="12795" spans="6:12">
      <c r="H12795" t="s">
        <v>23569</v>
      </c>
      <c r="I12795" t="s">
        <v>1357</v>
      </c>
      <c r="J12795" t="s">
        <v>1357</v>
      </c>
      <c r="K12795" t="s">
        <v>1357</v>
      </c>
      <c r="L12795" t="s">
        <v>1357</v>
      </c>
    </row>
    <row r="12796" spans="6:12">
      <c r="H12796" t="s">
        <v>23570</v>
      </c>
      <c r="I12796" t="s">
        <v>1357</v>
      </c>
      <c r="J12796" t="s">
        <v>1357</v>
      </c>
      <c r="K12796" t="s">
        <v>1357</v>
      </c>
      <c r="L12796" t="s">
        <v>1357</v>
      </c>
    </row>
    <row r="12797" spans="6:12">
      <c r="H12797" t="s">
        <v>23571</v>
      </c>
      <c r="I12797" t="s">
        <v>1357</v>
      </c>
      <c r="J12797" t="s">
        <v>1357</v>
      </c>
      <c r="K12797" t="s">
        <v>1357</v>
      </c>
      <c r="L12797" t="s">
        <v>1357</v>
      </c>
    </row>
    <row r="12798" spans="6:12">
      <c r="F12798" t="s">
        <v>16562</v>
      </c>
      <c r="G12798" t="s">
        <v>18786</v>
      </c>
      <c r="H12798" t="s">
        <v>23572</v>
      </c>
      <c r="I12798" t="s">
        <v>1357</v>
      </c>
      <c r="J12798" t="s">
        <v>1357</v>
      </c>
      <c r="K12798" t="s">
        <v>1357</v>
      </c>
      <c r="L12798" t="s">
        <v>1357</v>
      </c>
    </row>
    <row r="12799" spans="6:12">
      <c r="H12799" t="s">
        <v>23573</v>
      </c>
      <c r="I12799" t="s">
        <v>1357</v>
      </c>
      <c r="J12799" t="s">
        <v>1357</v>
      </c>
      <c r="K12799" t="s">
        <v>1357</v>
      </c>
      <c r="L12799" t="s">
        <v>1357</v>
      </c>
    </row>
    <row r="12800" spans="6:12">
      <c r="H12800" t="s">
        <v>23574</v>
      </c>
      <c r="I12800" t="s">
        <v>1357</v>
      </c>
      <c r="J12800" t="s">
        <v>1357</v>
      </c>
      <c r="K12800" t="s">
        <v>1357</v>
      </c>
      <c r="L12800" t="s">
        <v>1357</v>
      </c>
    </row>
    <row r="12801" spans="6:12">
      <c r="H12801" t="s">
        <v>23575</v>
      </c>
      <c r="I12801" t="s">
        <v>1357</v>
      </c>
      <c r="J12801" t="s">
        <v>1357</v>
      </c>
      <c r="K12801" t="s">
        <v>1357</v>
      </c>
      <c r="L12801" t="s">
        <v>1357</v>
      </c>
    </row>
    <row r="12802" spans="6:12">
      <c r="H12802" t="s">
        <v>23576</v>
      </c>
      <c r="I12802" t="s">
        <v>1357</v>
      </c>
      <c r="J12802" t="s">
        <v>1357</v>
      </c>
      <c r="K12802" t="s">
        <v>1357</v>
      </c>
      <c r="L12802" t="s">
        <v>1357</v>
      </c>
    </row>
    <row r="12803" spans="6:12">
      <c r="H12803" t="s">
        <v>23577</v>
      </c>
      <c r="I12803" t="s">
        <v>1357</v>
      </c>
      <c r="J12803" t="s">
        <v>1357</v>
      </c>
      <c r="K12803" t="s">
        <v>1357</v>
      </c>
      <c r="L12803" t="s">
        <v>1357</v>
      </c>
    </row>
    <row r="12804" spans="6:12">
      <c r="H12804" t="s">
        <v>23578</v>
      </c>
      <c r="I12804" t="s">
        <v>1357</v>
      </c>
      <c r="J12804" t="s">
        <v>1357</v>
      </c>
      <c r="K12804" t="s">
        <v>1357</v>
      </c>
      <c r="L12804" t="s">
        <v>1357</v>
      </c>
    </row>
    <row r="12805" spans="6:12">
      <c r="H12805" t="s">
        <v>23579</v>
      </c>
      <c r="I12805" t="s">
        <v>1357</v>
      </c>
      <c r="J12805" t="s">
        <v>1357</v>
      </c>
      <c r="K12805" t="s">
        <v>1357</v>
      </c>
      <c r="L12805" t="s">
        <v>1357</v>
      </c>
    </row>
    <row r="12806" spans="6:12">
      <c r="F12806" t="s">
        <v>16563</v>
      </c>
      <c r="G12806" t="s">
        <v>19210</v>
      </c>
      <c r="H12806" t="s">
        <v>23580</v>
      </c>
      <c r="I12806" t="s">
        <v>1357</v>
      </c>
      <c r="J12806" t="s">
        <v>1357</v>
      </c>
      <c r="K12806" t="s">
        <v>1357</v>
      </c>
      <c r="L12806" t="s">
        <v>1357</v>
      </c>
    </row>
    <row r="12807" spans="6:12">
      <c r="H12807" t="s">
        <v>23581</v>
      </c>
      <c r="I12807" t="s">
        <v>1357</v>
      </c>
      <c r="J12807" t="s">
        <v>1357</v>
      </c>
      <c r="K12807" t="s">
        <v>1357</v>
      </c>
      <c r="L12807" t="s">
        <v>1357</v>
      </c>
    </row>
    <row r="12808" spans="6:12">
      <c r="F12808" t="s">
        <v>16564</v>
      </c>
      <c r="G12808" t="s">
        <v>19211</v>
      </c>
      <c r="H12808" t="s">
        <v>4574</v>
      </c>
      <c r="I12808" t="s">
        <v>1357</v>
      </c>
      <c r="J12808" t="s">
        <v>1357</v>
      </c>
      <c r="K12808" t="s">
        <v>1357</v>
      </c>
      <c r="L12808" t="s">
        <v>1357</v>
      </c>
    </row>
    <row r="12809" spans="6:12">
      <c r="H12809" t="s">
        <v>23567</v>
      </c>
      <c r="I12809" t="s">
        <v>1357</v>
      </c>
      <c r="J12809" t="s">
        <v>1357</v>
      </c>
      <c r="K12809" t="s">
        <v>1357</v>
      </c>
      <c r="L12809" t="s">
        <v>1357</v>
      </c>
    </row>
    <row r="12810" spans="6:12">
      <c r="H12810" t="s">
        <v>23467</v>
      </c>
      <c r="I12810" t="s">
        <v>1357</v>
      </c>
      <c r="J12810" t="s">
        <v>1357</v>
      </c>
      <c r="K12810" t="s">
        <v>1357</v>
      </c>
      <c r="L12810" t="s">
        <v>1357</v>
      </c>
    </row>
    <row r="12811" spans="6:12">
      <c r="H12811" t="s">
        <v>23568</v>
      </c>
      <c r="I12811" t="s">
        <v>1357</v>
      </c>
      <c r="J12811" t="s">
        <v>1357</v>
      </c>
      <c r="K12811" t="s">
        <v>1357</v>
      </c>
      <c r="L12811" t="s">
        <v>1357</v>
      </c>
    </row>
    <row r="12812" spans="6:12">
      <c r="H12812" t="s">
        <v>23582</v>
      </c>
      <c r="I12812" t="s">
        <v>1357</v>
      </c>
      <c r="J12812" t="s">
        <v>1357</v>
      </c>
      <c r="K12812" t="s">
        <v>1357</v>
      </c>
      <c r="L12812" t="s">
        <v>1357</v>
      </c>
    </row>
    <row r="12813" spans="6:12">
      <c r="H12813" t="s">
        <v>23583</v>
      </c>
      <c r="I12813" t="s">
        <v>1357</v>
      </c>
      <c r="J12813" t="s">
        <v>1357</v>
      </c>
      <c r="K12813" t="s">
        <v>1357</v>
      </c>
      <c r="L12813" t="s">
        <v>1357</v>
      </c>
    </row>
    <row r="12814" spans="6:12">
      <c r="H12814" t="s">
        <v>23584</v>
      </c>
      <c r="I12814" t="s">
        <v>1357</v>
      </c>
      <c r="J12814" t="s">
        <v>1357</v>
      </c>
      <c r="K12814" t="s">
        <v>1357</v>
      </c>
      <c r="L12814" t="s">
        <v>1357</v>
      </c>
    </row>
    <row r="12815" spans="6:12">
      <c r="F12815" t="s">
        <v>16565</v>
      </c>
      <c r="G12815" t="s">
        <v>19212</v>
      </c>
      <c r="H12815" t="s">
        <v>23585</v>
      </c>
      <c r="I12815" t="s">
        <v>1357</v>
      </c>
      <c r="J12815" t="s">
        <v>1357</v>
      </c>
      <c r="K12815" t="s">
        <v>1357</v>
      </c>
      <c r="L12815" t="s">
        <v>1357</v>
      </c>
    </row>
    <row r="12816" spans="6:12">
      <c r="H12816" t="s">
        <v>23586</v>
      </c>
      <c r="I12816" t="s">
        <v>1357</v>
      </c>
      <c r="J12816" t="s">
        <v>1357</v>
      </c>
      <c r="K12816" t="s">
        <v>1357</v>
      </c>
      <c r="L12816" t="s">
        <v>1357</v>
      </c>
    </row>
    <row r="12817" spans="6:12">
      <c r="F12817" t="s">
        <v>16566</v>
      </c>
      <c r="G12817" t="s">
        <v>19213</v>
      </c>
      <c r="H12817" t="s">
        <v>23587</v>
      </c>
      <c r="I12817" t="s">
        <v>1357</v>
      </c>
      <c r="J12817" t="s">
        <v>1357</v>
      </c>
      <c r="K12817" t="s">
        <v>1357</v>
      </c>
      <c r="L12817" t="s">
        <v>1357</v>
      </c>
    </row>
    <row r="12818" spans="6:12">
      <c r="F12818" t="s">
        <v>16567</v>
      </c>
      <c r="G12818" t="s">
        <v>19214</v>
      </c>
      <c r="H12818" t="s">
        <v>23588</v>
      </c>
      <c r="I12818" t="s">
        <v>1357</v>
      </c>
      <c r="J12818" t="s">
        <v>1357</v>
      </c>
      <c r="K12818" t="s">
        <v>1357</v>
      </c>
      <c r="L12818" t="s">
        <v>1357</v>
      </c>
    </row>
    <row r="12819" spans="6:12">
      <c r="H12819" t="s">
        <v>23589</v>
      </c>
      <c r="I12819" t="s">
        <v>1357</v>
      </c>
      <c r="J12819" t="s">
        <v>1357</v>
      </c>
      <c r="K12819" t="s">
        <v>1357</v>
      </c>
      <c r="L12819" t="s">
        <v>1357</v>
      </c>
    </row>
    <row r="12820" spans="6:12">
      <c r="H12820" t="s">
        <v>3960</v>
      </c>
      <c r="I12820" t="s">
        <v>1357</v>
      </c>
      <c r="J12820" t="s">
        <v>1357</v>
      </c>
      <c r="K12820" t="s">
        <v>1357</v>
      </c>
      <c r="L12820" t="s">
        <v>1357</v>
      </c>
    </row>
    <row r="12821" spans="6:12">
      <c r="F12821" t="s">
        <v>16568</v>
      </c>
      <c r="G12821" t="s">
        <v>19215</v>
      </c>
      <c r="H12821" t="s">
        <v>23590</v>
      </c>
      <c r="I12821" t="s">
        <v>1357</v>
      </c>
      <c r="J12821" t="s">
        <v>1357</v>
      </c>
      <c r="K12821" t="s">
        <v>1357</v>
      </c>
      <c r="L12821" t="s">
        <v>1357</v>
      </c>
    </row>
    <row r="12822" spans="6:12">
      <c r="F12822" t="s">
        <v>16569</v>
      </c>
      <c r="G12822" t="s">
        <v>18782</v>
      </c>
      <c r="H12822" t="s">
        <v>23588</v>
      </c>
      <c r="I12822" t="s">
        <v>1357</v>
      </c>
      <c r="J12822" t="s">
        <v>1357</v>
      </c>
      <c r="K12822" t="s">
        <v>1357</v>
      </c>
      <c r="L12822" t="s">
        <v>1357</v>
      </c>
    </row>
    <row r="12823" spans="6:12">
      <c r="H12823" t="s">
        <v>23589</v>
      </c>
      <c r="I12823" t="s">
        <v>1357</v>
      </c>
      <c r="J12823" t="s">
        <v>1357</v>
      </c>
      <c r="K12823" t="s">
        <v>1357</v>
      </c>
      <c r="L12823" t="s">
        <v>1357</v>
      </c>
    </row>
    <row r="12824" spans="6:12">
      <c r="H12824" t="s">
        <v>23591</v>
      </c>
      <c r="I12824" t="s">
        <v>1357</v>
      </c>
      <c r="J12824" t="s">
        <v>1357</v>
      </c>
      <c r="K12824" t="s">
        <v>1357</v>
      </c>
      <c r="L12824" t="s">
        <v>1357</v>
      </c>
    </row>
    <row r="12825" spans="6:12">
      <c r="H12825" t="s">
        <v>23592</v>
      </c>
      <c r="I12825" t="s">
        <v>1357</v>
      </c>
      <c r="J12825" t="s">
        <v>1357</v>
      </c>
      <c r="K12825" t="s">
        <v>1357</v>
      </c>
      <c r="L12825" t="s">
        <v>1357</v>
      </c>
    </row>
    <row r="12826" spans="6:12">
      <c r="H12826" t="s">
        <v>23593</v>
      </c>
      <c r="I12826" t="s">
        <v>1357</v>
      </c>
      <c r="J12826" t="s">
        <v>1357</v>
      </c>
      <c r="K12826" t="s">
        <v>1357</v>
      </c>
      <c r="L12826" t="s">
        <v>1357</v>
      </c>
    </row>
    <row r="12827" spans="6:12">
      <c r="H12827" t="s">
        <v>23594</v>
      </c>
      <c r="I12827" t="s">
        <v>1357</v>
      </c>
      <c r="J12827" t="s">
        <v>1357</v>
      </c>
      <c r="K12827" t="s">
        <v>1357</v>
      </c>
      <c r="L12827" t="s">
        <v>1357</v>
      </c>
    </row>
    <row r="12828" spans="6:12">
      <c r="H12828" t="s">
        <v>22603</v>
      </c>
      <c r="I12828" t="s">
        <v>1357</v>
      </c>
      <c r="J12828" t="s">
        <v>1357</v>
      </c>
      <c r="K12828" t="s">
        <v>1357</v>
      </c>
      <c r="L12828" t="s">
        <v>1357</v>
      </c>
    </row>
    <row r="12829" spans="6:12">
      <c r="H12829" t="s">
        <v>23595</v>
      </c>
      <c r="I12829" t="s">
        <v>1357</v>
      </c>
      <c r="J12829" t="s">
        <v>1357</v>
      </c>
      <c r="K12829" t="s">
        <v>1357</v>
      </c>
      <c r="L12829" t="s">
        <v>1357</v>
      </c>
    </row>
    <row r="12830" spans="6:12">
      <c r="H12830" t="s">
        <v>23596</v>
      </c>
      <c r="I12830" t="s">
        <v>1357</v>
      </c>
      <c r="J12830" t="s">
        <v>1357</v>
      </c>
      <c r="K12830" t="s">
        <v>1357</v>
      </c>
      <c r="L12830" t="s">
        <v>1357</v>
      </c>
    </row>
    <row r="12831" spans="6:12">
      <c r="H12831" t="s">
        <v>23597</v>
      </c>
      <c r="I12831" t="s">
        <v>1357</v>
      </c>
      <c r="J12831" t="s">
        <v>1357</v>
      </c>
      <c r="K12831" t="s">
        <v>1357</v>
      </c>
      <c r="L12831" t="s">
        <v>1357</v>
      </c>
    </row>
    <row r="12832" spans="6:12">
      <c r="H12832" t="s">
        <v>23598</v>
      </c>
      <c r="I12832" t="s">
        <v>1357</v>
      </c>
      <c r="J12832" t="s">
        <v>1357</v>
      </c>
      <c r="K12832" t="s">
        <v>1357</v>
      </c>
      <c r="L12832" t="s">
        <v>1357</v>
      </c>
    </row>
    <row r="12833" spans="1:13">
      <c r="H12833" t="s">
        <v>23599</v>
      </c>
      <c r="I12833" t="s">
        <v>1357</v>
      </c>
      <c r="J12833" t="s">
        <v>1357</v>
      </c>
      <c r="K12833" t="s">
        <v>1357</v>
      </c>
      <c r="L12833" t="s">
        <v>1357</v>
      </c>
    </row>
    <row r="12834" spans="1:13">
      <c r="F12834" t="s">
        <v>16570</v>
      </c>
      <c r="G12834" t="s">
        <v>19216</v>
      </c>
      <c r="H12834" t="s">
        <v>906</v>
      </c>
      <c r="I12834" t="s">
        <v>1357</v>
      </c>
      <c r="J12834" t="s">
        <v>1357</v>
      </c>
      <c r="K12834" t="s">
        <v>1357</v>
      </c>
      <c r="L12834" t="s">
        <v>1357</v>
      </c>
    </row>
    <row r="12835" spans="1:13">
      <c r="H12835" t="s">
        <v>9196</v>
      </c>
      <c r="I12835" t="s">
        <v>1357</v>
      </c>
      <c r="J12835" t="s">
        <v>1357</v>
      </c>
      <c r="K12835" t="s">
        <v>1357</v>
      </c>
      <c r="L12835" t="s">
        <v>1357</v>
      </c>
    </row>
    <row r="12836" spans="1:13">
      <c r="H12836" t="s">
        <v>23600</v>
      </c>
      <c r="I12836" t="s">
        <v>1357</v>
      </c>
      <c r="J12836" t="s">
        <v>1357</v>
      </c>
      <c r="K12836" t="s">
        <v>1357</v>
      </c>
      <c r="L12836" t="s">
        <v>1357</v>
      </c>
    </row>
    <row r="12837" spans="1:13">
      <c r="H12837" t="s">
        <v>23601</v>
      </c>
      <c r="I12837" t="s">
        <v>1357</v>
      </c>
      <c r="J12837" t="s">
        <v>1357</v>
      </c>
      <c r="K12837" t="s">
        <v>1357</v>
      </c>
      <c r="L12837" t="s">
        <v>1357</v>
      </c>
    </row>
    <row r="12838" spans="1:13">
      <c r="H12838" t="s">
        <v>23602</v>
      </c>
      <c r="I12838" t="s">
        <v>1357</v>
      </c>
      <c r="J12838" t="s">
        <v>1357</v>
      </c>
      <c r="K12838" t="s">
        <v>1357</v>
      </c>
      <c r="L12838" t="s">
        <v>1357</v>
      </c>
    </row>
    <row r="12839" spans="1:13">
      <c r="F12839" t="s">
        <v>16571</v>
      </c>
      <c r="G12839" t="s">
        <v>18781</v>
      </c>
      <c r="H12839" t="s">
        <v>23603</v>
      </c>
      <c r="I12839" t="s">
        <v>1357</v>
      </c>
      <c r="J12839" t="s">
        <v>1357</v>
      </c>
      <c r="K12839" t="s">
        <v>1357</v>
      </c>
      <c r="L12839" t="s">
        <v>1357</v>
      </c>
    </row>
    <row r="12840" spans="1:13">
      <c r="H12840" t="s">
        <v>9254</v>
      </c>
      <c r="I12840" t="s">
        <v>1357</v>
      </c>
      <c r="J12840" t="s">
        <v>1357</v>
      </c>
      <c r="K12840" t="s">
        <v>1357</v>
      </c>
      <c r="L12840" t="s">
        <v>1357</v>
      </c>
    </row>
    <row r="12841" spans="1:13">
      <c r="H12841" t="s">
        <v>3525</v>
      </c>
      <c r="I12841" t="s">
        <v>1357</v>
      </c>
      <c r="J12841" t="s">
        <v>1357</v>
      </c>
      <c r="K12841" t="s">
        <v>1357</v>
      </c>
      <c r="L12841" t="s">
        <v>1357</v>
      </c>
    </row>
    <row r="12842" spans="1:13">
      <c r="F12842" t="s">
        <v>16572</v>
      </c>
      <c r="G12842" t="s">
        <v>19217</v>
      </c>
      <c r="H12842" t="s">
        <v>4574</v>
      </c>
      <c r="I12842" t="s">
        <v>1357</v>
      </c>
      <c r="J12842" t="s">
        <v>1357</v>
      </c>
      <c r="K12842" t="s">
        <v>1357</v>
      </c>
      <c r="L12842" t="s">
        <v>1357</v>
      </c>
    </row>
    <row r="12843" spans="1:13">
      <c r="F12843" t="s">
        <v>16573</v>
      </c>
      <c r="G12843" t="s">
        <v>19218</v>
      </c>
      <c r="H12843" t="s">
        <v>23434</v>
      </c>
      <c r="I12843" t="s">
        <v>1357</v>
      </c>
      <c r="J12843" t="s">
        <v>1357</v>
      </c>
      <c r="K12843" t="s">
        <v>1357</v>
      </c>
      <c r="L12843" t="s">
        <v>1357</v>
      </c>
    </row>
    <row r="12844" spans="1:13">
      <c r="A12844" t="s">
        <v>10887</v>
      </c>
      <c r="B12844">
        <f>HYPERLINK("https://android.googlesource.com/platform/cts/+/7c45ef23464d75996ff8f7a3a3013770dfe34753", "7c45ef23464d75996ff8f7a3a3013770dfe34753")</f>
        <v>0</v>
      </c>
      <c r="C12844">
        <f>HYPERLINK("https://android.googlesource.com/platform/cts/+/2076ba66b0838a1960e1ade90decbaef9eb2728e", "2076ba66b0838a1960e1ade90decbaef9eb2728e")</f>
        <v>0</v>
      </c>
      <c r="D12844" t="s">
        <v>12111</v>
      </c>
      <c r="E12844" t="s">
        <v>13420</v>
      </c>
      <c r="F12844" t="s">
        <v>16398</v>
      </c>
      <c r="G12844" t="s">
        <v>19064</v>
      </c>
      <c r="H12844" t="s">
        <v>23604</v>
      </c>
      <c r="I12844" t="s">
        <v>1357</v>
      </c>
      <c r="J12844" t="s">
        <v>1357</v>
      </c>
      <c r="K12844" t="s">
        <v>1357</v>
      </c>
      <c r="L12844" t="s">
        <v>1357</v>
      </c>
    </row>
    <row r="12845" spans="1:13">
      <c r="A12845" t="s">
        <v>10888</v>
      </c>
      <c r="B12845">
        <f>HYPERLINK("https://android.googlesource.com/platform/cts/+/ba785743db70b7c69db08109a285083ead05bf99", "ba785743db70b7c69db08109a285083ead05bf99")</f>
        <v>0</v>
      </c>
      <c r="C12845">
        <f>HYPERLINK("https://android.googlesource.com/platform/cts/+/628980712d5fa82520dd98692f559f8a6d8b46e1", "628980712d5fa82520dd98692f559f8a6d8b46e1")</f>
        <v>0</v>
      </c>
      <c r="D12845" t="s">
        <v>12245</v>
      </c>
      <c r="E12845" t="s">
        <v>13421</v>
      </c>
      <c r="F12845" t="s">
        <v>16477</v>
      </c>
      <c r="G12845" t="s">
        <v>19138</v>
      </c>
      <c r="H12845" t="s">
        <v>23410</v>
      </c>
      <c r="I12845" t="s">
        <v>1357</v>
      </c>
      <c r="J12845" t="s">
        <v>1357</v>
      </c>
      <c r="K12845" t="s">
        <v>1357</v>
      </c>
      <c r="L12845" t="s">
        <v>1357</v>
      </c>
    </row>
    <row r="12846" spans="1:13">
      <c r="A12846" t="s">
        <v>10889</v>
      </c>
      <c r="B12846">
        <f>HYPERLINK("https://android.googlesource.com/platform/cts/+/3e753f74127b87ca83fab047530992d29480e10c", "3e753f74127b87ca83fab047530992d29480e10c")</f>
        <v>0</v>
      </c>
      <c r="C12846">
        <f>HYPERLINK("https://android.googlesource.com/platform/cts/+/c23c0c20b926e4f4c6f41697a3655b487ad48c5e", "c23c0c20b926e4f4c6f41697a3655b487ad48c5e")</f>
        <v>0</v>
      </c>
      <c r="D12846" t="s">
        <v>12245</v>
      </c>
      <c r="E12846" t="s">
        <v>13422</v>
      </c>
      <c r="F12846" t="s">
        <v>16477</v>
      </c>
      <c r="G12846" t="s">
        <v>19138</v>
      </c>
      <c r="H12846" t="s">
        <v>23410</v>
      </c>
      <c r="I12846" t="s">
        <v>1357</v>
      </c>
      <c r="J12846" t="s">
        <v>1357</v>
      </c>
      <c r="K12846" t="s">
        <v>1357</v>
      </c>
      <c r="L12846" t="s">
        <v>1357</v>
      </c>
      <c r="M12846" t="s">
        <v>9957</v>
      </c>
    </row>
    <row r="12847" spans="1:13">
      <c r="A12847" t="s">
        <v>10890</v>
      </c>
      <c r="B12847">
        <f>HYPERLINK("https://android.googlesource.com/platform/cts/+/03584e83442e5e31e8dccf171a39c9960686511d", "03584e83442e5e31e8dccf171a39c9960686511d")</f>
        <v>0</v>
      </c>
      <c r="C12847">
        <f>HYPERLINK("https://android.googlesource.com/platform/cts/+/5ac3d526e6588de64cd2340da2d2faf3ab2db8e4", "5ac3d526e6588de64cd2340da2d2faf3ab2db8e4")</f>
        <v>0</v>
      </c>
      <c r="D12847" t="s">
        <v>12243</v>
      </c>
      <c r="E12847" t="s">
        <v>13423</v>
      </c>
      <c r="F12847" t="s">
        <v>16041</v>
      </c>
      <c r="G12847" t="s">
        <v>18732</v>
      </c>
      <c r="H12847" t="s">
        <v>23432</v>
      </c>
      <c r="I12847" t="s">
        <v>1357</v>
      </c>
      <c r="J12847" t="s">
        <v>1357</v>
      </c>
      <c r="K12847" t="s">
        <v>1357</v>
      </c>
      <c r="L12847" t="s">
        <v>1357</v>
      </c>
    </row>
    <row r="12848" spans="1:13">
      <c r="A12848" t="s">
        <v>10891</v>
      </c>
      <c r="B12848">
        <f>HYPERLINK("https://android.googlesource.com/platform/cts/+/094f6abf1cd1cc35e66f7d841da928442a3118c1", "094f6abf1cd1cc35e66f7d841da928442a3118c1")</f>
        <v>0</v>
      </c>
      <c r="C12848">
        <f>HYPERLINK("https://android.googlesource.com/platform/cts/+/b19203e123f30bf454d49a8dfc8abbda3d438b9a", "b19203e123f30bf454d49a8dfc8abbda3d438b9a")</f>
        <v>0</v>
      </c>
      <c r="D12848" t="s">
        <v>12145</v>
      </c>
      <c r="E12848" t="s">
        <v>13424</v>
      </c>
      <c r="F12848" t="s">
        <v>16574</v>
      </c>
      <c r="G12848" t="s">
        <v>19219</v>
      </c>
      <c r="H12848" t="s">
        <v>23605</v>
      </c>
      <c r="I12848" t="s">
        <v>1357</v>
      </c>
      <c r="J12848" t="s">
        <v>1357</v>
      </c>
      <c r="K12848" t="s">
        <v>1357</v>
      </c>
      <c r="L12848" t="s">
        <v>1357</v>
      </c>
    </row>
    <row r="12849" spans="1:14">
      <c r="H12849" t="s">
        <v>23606</v>
      </c>
      <c r="I12849" t="s">
        <v>1357</v>
      </c>
      <c r="J12849" t="s">
        <v>1357</v>
      </c>
      <c r="K12849" t="s">
        <v>1357</v>
      </c>
      <c r="L12849" t="s">
        <v>1357</v>
      </c>
    </row>
    <row r="12850" spans="1:14">
      <c r="F12850" t="s">
        <v>16099</v>
      </c>
      <c r="G12850" t="s">
        <v>18788</v>
      </c>
      <c r="H12850" t="s">
        <v>23605</v>
      </c>
      <c r="I12850" t="s">
        <v>1357</v>
      </c>
      <c r="J12850" t="s">
        <v>1357</v>
      </c>
      <c r="K12850" t="s">
        <v>1357</v>
      </c>
      <c r="L12850" t="s">
        <v>1357</v>
      </c>
    </row>
    <row r="12851" spans="1:14">
      <c r="H12851" t="s">
        <v>23607</v>
      </c>
      <c r="I12851" t="s">
        <v>1357</v>
      </c>
      <c r="J12851" t="s">
        <v>1357</v>
      </c>
      <c r="K12851" t="s">
        <v>1357</v>
      </c>
      <c r="L12851" t="s">
        <v>1357</v>
      </c>
    </row>
    <row r="12852" spans="1:14">
      <c r="H12852" t="s">
        <v>23608</v>
      </c>
      <c r="I12852" t="s">
        <v>1357</v>
      </c>
      <c r="J12852" t="s">
        <v>1357</v>
      </c>
      <c r="K12852" t="s">
        <v>1357</v>
      </c>
      <c r="L12852" t="s">
        <v>1357</v>
      </c>
    </row>
    <row r="12853" spans="1:14">
      <c r="H12853" t="s">
        <v>23609</v>
      </c>
      <c r="I12853" t="s">
        <v>1357</v>
      </c>
      <c r="J12853" t="s">
        <v>1357</v>
      </c>
      <c r="K12853" t="s">
        <v>1357</v>
      </c>
      <c r="L12853" t="s">
        <v>1357</v>
      </c>
    </row>
    <row r="12854" spans="1:14">
      <c r="H12854" t="s">
        <v>23610</v>
      </c>
      <c r="I12854" t="s">
        <v>1357</v>
      </c>
      <c r="J12854" t="s">
        <v>1357</v>
      </c>
      <c r="K12854" t="s">
        <v>1357</v>
      </c>
      <c r="L12854" t="s">
        <v>1357</v>
      </c>
    </row>
    <row r="12855" spans="1:14">
      <c r="A12855" t="s">
        <v>10892</v>
      </c>
      <c r="B12855">
        <f>HYPERLINK("https://android.googlesource.com/platform/cts/+/7825c39aca72b2ed63c11b2326003899a7767d6f", "7825c39aca72b2ed63c11b2326003899a7767d6f")</f>
        <v>0</v>
      </c>
      <c r="C12855">
        <f>HYPERLINK("https://android.googlesource.com/platform/cts/+/ce605f2a2c842cc644a2f353bc5984ff04681387", "ce605f2a2c842cc644a2f353bc5984ff04681387")</f>
        <v>0</v>
      </c>
      <c r="D12855" t="s">
        <v>12246</v>
      </c>
      <c r="E12855" t="s">
        <v>13425</v>
      </c>
      <c r="F12855" t="s">
        <v>14542</v>
      </c>
      <c r="G12855" t="s">
        <v>17387</v>
      </c>
      <c r="H12855" t="s">
        <v>23611</v>
      </c>
      <c r="I12855" t="s">
        <v>1357</v>
      </c>
      <c r="J12855" t="s">
        <v>1357</v>
      </c>
      <c r="K12855" t="s">
        <v>1357</v>
      </c>
      <c r="L12855" t="s">
        <v>1357</v>
      </c>
    </row>
    <row r="12856" spans="1:14">
      <c r="A12856" t="s">
        <v>10893</v>
      </c>
      <c r="B12856">
        <f>HYPERLINK("https://android.googlesource.com/platform/cts/+/28ecbad5cefdf6899ba4422b499267f8f3a30be4", "28ecbad5cefdf6899ba4422b499267f8f3a30be4")</f>
        <v>0</v>
      </c>
      <c r="C12856">
        <f>HYPERLINK("https://android.googlesource.com/platform/cts/+/47cc67efb0950515729c10337f64c4b41f7ac98f", "47cc67efb0950515729c10337f64c4b41f7ac98f")</f>
        <v>0</v>
      </c>
      <c r="D12856" t="s">
        <v>12246</v>
      </c>
      <c r="E12856" t="s">
        <v>13425</v>
      </c>
      <c r="F12856" t="s">
        <v>14542</v>
      </c>
      <c r="G12856" t="s">
        <v>17387</v>
      </c>
      <c r="H12856" t="s">
        <v>23611</v>
      </c>
      <c r="I12856" t="s">
        <v>1357</v>
      </c>
      <c r="J12856" t="s">
        <v>1357</v>
      </c>
      <c r="K12856" t="s">
        <v>1357</v>
      </c>
      <c r="L12856" t="s">
        <v>1357</v>
      </c>
      <c r="M12856" t="s">
        <v>9957</v>
      </c>
    </row>
    <row r="12857" spans="1:14">
      <c r="A12857" t="s">
        <v>10894</v>
      </c>
      <c r="B12857">
        <f>HYPERLINK("https://android.googlesource.com/platform/cts/+/3b8e8a72da86e50492fb7769f2e30e9a1e24c654", "3b8e8a72da86e50492fb7769f2e30e9a1e24c654")</f>
        <v>0</v>
      </c>
      <c r="C12857">
        <f>HYPERLINK("https://android.googlesource.com/platform/cts/+/4e3f64e3a25c08f9a3ec8f38fa1114310b141799", "4e3f64e3a25c08f9a3ec8f38fa1114310b141799")</f>
        <v>0</v>
      </c>
      <c r="D12857" t="s">
        <v>12247</v>
      </c>
      <c r="E12857" t="s">
        <v>13426</v>
      </c>
      <c r="F12857" t="s">
        <v>16575</v>
      </c>
      <c r="G12857" t="s">
        <v>19077</v>
      </c>
      <c r="H12857" t="s">
        <v>23035</v>
      </c>
      <c r="I12857" t="s">
        <v>1357</v>
      </c>
      <c r="J12857" t="s">
        <v>1357</v>
      </c>
      <c r="K12857" t="s">
        <v>1357</v>
      </c>
      <c r="L12857" t="s">
        <v>1357</v>
      </c>
    </row>
    <row r="12858" spans="1:14">
      <c r="A12858" t="s">
        <v>10895</v>
      </c>
      <c r="B12858">
        <f>HYPERLINK("https://android.googlesource.com/platform/cts/+/b630a8980abf4736df56fdab7c194bdb5c0bf28f", "b630a8980abf4736df56fdab7c194bdb5c0bf28f")</f>
        <v>0</v>
      </c>
      <c r="C12858">
        <f>HYPERLINK("https://android.googlesource.com/platform/cts/+/971433bb42e7d2321f0c61a0f048070d1099c582", "971433bb42e7d2321f0c61a0f048070d1099c582")</f>
        <v>0</v>
      </c>
      <c r="D12858" t="s">
        <v>12117</v>
      </c>
      <c r="E12858" t="s">
        <v>13427</v>
      </c>
      <c r="F12858" t="s">
        <v>16576</v>
      </c>
      <c r="G12858" t="s">
        <v>19220</v>
      </c>
      <c r="H12858" t="s">
        <v>23612</v>
      </c>
      <c r="I12858" t="s">
        <v>1359</v>
      </c>
      <c r="J12858" t="s">
        <v>1358</v>
      </c>
      <c r="K12858" t="s">
        <v>1357</v>
      </c>
      <c r="L12858" t="s">
        <v>1358</v>
      </c>
      <c r="N12858" t="s">
        <v>27524</v>
      </c>
    </row>
    <row r="12859" spans="1:14">
      <c r="H12859" t="s">
        <v>23613</v>
      </c>
      <c r="I12859" t="s">
        <v>1359</v>
      </c>
      <c r="J12859" t="s">
        <v>1358</v>
      </c>
      <c r="K12859" t="s">
        <v>1357</v>
      </c>
      <c r="L12859" t="s">
        <v>1358</v>
      </c>
      <c r="N12859" t="s">
        <v>27524</v>
      </c>
    </row>
    <row r="12860" spans="1:14">
      <c r="H12860" t="s">
        <v>23614</v>
      </c>
      <c r="I12860" t="s">
        <v>1359</v>
      </c>
      <c r="J12860" t="s">
        <v>1358</v>
      </c>
      <c r="K12860" t="s">
        <v>1357</v>
      </c>
      <c r="L12860" t="s">
        <v>1358</v>
      </c>
      <c r="N12860" t="s">
        <v>27524</v>
      </c>
    </row>
    <row r="12861" spans="1:14">
      <c r="F12861" t="s">
        <v>16577</v>
      </c>
      <c r="G12861" t="s">
        <v>19221</v>
      </c>
      <c r="H12861" t="s">
        <v>23612</v>
      </c>
      <c r="I12861" t="s">
        <v>1359</v>
      </c>
      <c r="J12861" t="s">
        <v>1358</v>
      </c>
      <c r="K12861" t="s">
        <v>1357</v>
      </c>
      <c r="L12861" t="s">
        <v>1358</v>
      </c>
      <c r="N12861" t="s">
        <v>27524</v>
      </c>
    </row>
    <row r="12862" spans="1:14">
      <c r="H12862" t="s">
        <v>23613</v>
      </c>
      <c r="I12862" t="s">
        <v>1359</v>
      </c>
      <c r="J12862" t="s">
        <v>1358</v>
      </c>
      <c r="K12862" t="s">
        <v>1357</v>
      </c>
      <c r="L12862" t="s">
        <v>1358</v>
      </c>
      <c r="N12862" t="s">
        <v>27524</v>
      </c>
    </row>
    <row r="12863" spans="1:14">
      <c r="H12863" t="s">
        <v>23614</v>
      </c>
      <c r="I12863" t="s">
        <v>1359</v>
      </c>
      <c r="J12863" t="s">
        <v>1358</v>
      </c>
      <c r="K12863" t="s">
        <v>1357</v>
      </c>
      <c r="L12863" t="s">
        <v>1358</v>
      </c>
      <c r="N12863" t="s">
        <v>27524</v>
      </c>
    </row>
    <row r="12864" spans="1:14">
      <c r="H12864" t="s">
        <v>23615</v>
      </c>
      <c r="I12864" t="s">
        <v>1359</v>
      </c>
      <c r="J12864" t="s">
        <v>1358</v>
      </c>
      <c r="K12864" t="s">
        <v>1357</v>
      </c>
      <c r="L12864" t="s">
        <v>1358</v>
      </c>
      <c r="N12864" t="s">
        <v>27524</v>
      </c>
    </row>
    <row r="12865" spans="1:13">
      <c r="A12865" t="s">
        <v>10896</v>
      </c>
      <c r="B12865">
        <f>HYPERLINK("https://android.googlesource.com/platform/cts/+/9348c7db0c61e1be414c24cc24a40b6bf7c99fe9", "9348c7db0c61e1be414c24cc24a40b6bf7c99fe9")</f>
        <v>0</v>
      </c>
      <c r="C12865">
        <f>HYPERLINK("https://android.googlesource.com/platform/cts/+/30404131f75131fba975b74981c0cb1231c96638", "30404131f75131fba975b74981c0cb1231c96638")</f>
        <v>0</v>
      </c>
      <c r="D12865" t="s">
        <v>12163</v>
      </c>
      <c r="E12865" t="s">
        <v>13428</v>
      </c>
      <c r="F12865" t="s">
        <v>16578</v>
      </c>
      <c r="G12865" t="s">
        <v>19222</v>
      </c>
      <c r="H12865" t="s">
        <v>23616</v>
      </c>
      <c r="I12865" t="s">
        <v>1358</v>
      </c>
      <c r="J12865" t="s">
        <v>1358</v>
      </c>
      <c r="K12865" t="s">
        <v>1358</v>
      </c>
      <c r="L12865" t="s">
        <v>1358</v>
      </c>
    </row>
    <row r="12866" spans="1:13">
      <c r="F12866" t="s">
        <v>16579</v>
      </c>
      <c r="G12866" t="s">
        <v>19223</v>
      </c>
      <c r="H12866" t="s">
        <v>23617</v>
      </c>
      <c r="I12866" t="s">
        <v>1357</v>
      </c>
      <c r="J12866" t="s">
        <v>1357</v>
      </c>
      <c r="K12866" t="s">
        <v>1357</v>
      </c>
      <c r="L12866" t="s">
        <v>1357</v>
      </c>
    </row>
    <row r="12867" spans="1:13">
      <c r="A12867" t="s">
        <v>10897</v>
      </c>
      <c r="B12867">
        <f>HYPERLINK("https://android.googlesource.com/platform/cts/+/d8643fabad317fd027d8d2f9b33a9ebe769b65e6", "d8643fabad317fd027d8d2f9b33a9ebe769b65e6")</f>
        <v>0</v>
      </c>
      <c r="C12867">
        <f>HYPERLINK("https://android.googlesource.com/platform/cts/+/9cabcc170e3bf5ad32c3ba2017ed0afdf3f5c7e0", "9cabcc170e3bf5ad32c3ba2017ed0afdf3f5c7e0")</f>
        <v>0</v>
      </c>
      <c r="D12867" t="s">
        <v>12232</v>
      </c>
      <c r="E12867" t="s">
        <v>13429</v>
      </c>
      <c r="F12867" t="s">
        <v>16409</v>
      </c>
      <c r="G12867" t="s">
        <v>19075</v>
      </c>
      <c r="H12867" t="s">
        <v>23618</v>
      </c>
      <c r="I12867" t="s">
        <v>1357</v>
      </c>
      <c r="J12867" t="s">
        <v>1357</v>
      </c>
      <c r="K12867" t="s">
        <v>1357</v>
      </c>
      <c r="L12867" t="s">
        <v>1357</v>
      </c>
    </row>
    <row r="12868" spans="1:13">
      <c r="A12868" t="s">
        <v>10898</v>
      </c>
      <c r="B12868">
        <f>HYPERLINK("https://android.googlesource.com/platform/cts/+/c90bb4b67f6b202c4c4d73702ad4fc07cd4e196d", "c90bb4b67f6b202c4c4d73702ad4fc07cd4e196d")</f>
        <v>0</v>
      </c>
      <c r="C12868">
        <f>HYPERLINK("https://android.googlesource.com/platform/cts/+/480e5be10ac8e7b307a1987a0806058a83e50b53", "480e5be10ac8e7b307a1987a0806058a83e50b53")</f>
        <v>0</v>
      </c>
      <c r="D12868" t="s">
        <v>12181</v>
      </c>
      <c r="E12868" t="s">
        <v>13430</v>
      </c>
      <c r="F12868" t="s">
        <v>16403</v>
      </c>
      <c r="G12868" t="s">
        <v>19069</v>
      </c>
      <c r="H12868" t="s">
        <v>23619</v>
      </c>
      <c r="I12868" t="s">
        <v>1357</v>
      </c>
      <c r="J12868" t="s">
        <v>1357</v>
      </c>
      <c r="K12868" t="s">
        <v>1357</v>
      </c>
      <c r="L12868" t="s">
        <v>1357</v>
      </c>
    </row>
    <row r="12869" spans="1:13">
      <c r="A12869" t="s">
        <v>10899</v>
      </c>
      <c r="B12869">
        <f>HYPERLINK("https://android.googlesource.com/platform/cts/+/37972d530a566db0d68f6a367b4302671e5b02bc", "37972d530a566db0d68f6a367b4302671e5b02bc")</f>
        <v>0</v>
      </c>
      <c r="C12869">
        <f>HYPERLINK("https://android.googlesource.com/platform/cts/+/306c88bd58c581ed6710b881523cf88cbd49ae4f", "306c88bd58c581ed6710b881523cf88cbd49ae4f")</f>
        <v>0</v>
      </c>
      <c r="D12869" t="s">
        <v>12248</v>
      </c>
      <c r="E12869" t="s">
        <v>13431</v>
      </c>
      <c r="F12869" t="s">
        <v>16580</v>
      </c>
      <c r="G12869" t="s">
        <v>17386</v>
      </c>
      <c r="H12869" t="s">
        <v>23620</v>
      </c>
      <c r="I12869" t="s">
        <v>1357</v>
      </c>
      <c r="J12869" t="s">
        <v>1357</v>
      </c>
      <c r="K12869" t="s">
        <v>1357</v>
      </c>
      <c r="L12869" t="s">
        <v>1357</v>
      </c>
    </row>
    <row r="12870" spans="1:13">
      <c r="A12870" t="s">
        <v>10900</v>
      </c>
      <c r="B12870">
        <f>HYPERLINK("https://android.googlesource.com/platform/cts/+/b6ba44e26d97d5df59b657694e7ec1c2a7001a0d", "b6ba44e26d97d5df59b657694e7ec1c2a7001a0d")</f>
        <v>0</v>
      </c>
      <c r="C12870">
        <f>HYPERLINK("https://android.googlesource.com/platform/cts/+/6ebd08b079ba3f75b78c99c4fab7e89e7e4a5c13", "6ebd08b079ba3f75b78c99c4fab7e89e7e4a5c13")</f>
        <v>0</v>
      </c>
      <c r="D12870" t="s">
        <v>12187</v>
      </c>
      <c r="E12870" t="s">
        <v>13432</v>
      </c>
      <c r="F12870" t="s">
        <v>16403</v>
      </c>
      <c r="G12870" t="s">
        <v>19069</v>
      </c>
      <c r="H12870" t="s">
        <v>23621</v>
      </c>
      <c r="I12870" t="s">
        <v>1357</v>
      </c>
      <c r="J12870" t="s">
        <v>1357</v>
      </c>
      <c r="K12870" t="s">
        <v>1357</v>
      </c>
      <c r="L12870" t="s">
        <v>1357</v>
      </c>
    </row>
    <row r="12871" spans="1:13">
      <c r="A12871" t="s">
        <v>10901</v>
      </c>
      <c r="B12871">
        <f>HYPERLINK("https://android.googlesource.com/platform/cts/+/52a3ab25986ac0332139140bfa8fbb575bdb92c5", "52a3ab25986ac0332139140bfa8fbb575bdb92c5")</f>
        <v>0</v>
      </c>
      <c r="C12871">
        <f>HYPERLINK("https://android.googlesource.com/platform/cts/+/d49f63fe6f7746fe0bc08b78bce082d89052f9e9", "d49f63fe6f7746fe0bc08b78bce082d89052f9e9")</f>
        <v>0</v>
      </c>
      <c r="D12871" t="s">
        <v>12028</v>
      </c>
      <c r="E12871" t="s">
        <v>13433</v>
      </c>
      <c r="F12871" t="s">
        <v>16581</v>
      </c>
      <c r="G12871" t="s">
        <v>19224</v>
      </c>
      <c r="H12871" t="s">
        <v>4029</v>
      </c>
      <c r="I12871" t="s">
        <v>1357</v>
      </c>
      <c r="J12871" t="s">
        <v>1357</v>
      </c>
      <c r="K12871" t="s">
        <v>1357</v>
      </c>
      <c r="L12871" t="s">
        <v>1357</v>
      </c>
      <c r="M12871" t="s">
        <v>1360</v>
      </c>
    </row>
    <row r="12872" spans="1:13">
      <c r="A12872" t="s">
        <v>10902</v>
      </c>
      <c r="B12872">
        <f>HYPERLINK("https://android.googlesource.com/platform/cts/+/9bb06a0118cd578a33635491afc4844649e05eeb", "9bb06a0118cd578a33635491afc4844649e05eeb")</f>
        <v>0</v>
      </c>
      <c r="C12872">
        <f>HYPERLINK("https://android.googlesource.com/platform/cts/+/7f58167a26b4376ff39bdfaed5ed1e11c6087efa", "7f58167a26b4376ff39bdfaed5ed1e11c6087efa")</f>
        <v>0</v>
      </c>
      <c r="D12872" t="s">
        <v>12249</v>
      </c>
      <c r="E12872" t="s">
        <v>13434</v>
      </c>
      <c r="F12872" t="s">
        <v>16582</v>
      </c>
      <c r="G12872" t="s">
        <v>18689</v>
      </c>
      <c r="H12872" t="s">
        <v>23622</v>
      </c>
      <c r="I12872" t="s">
        <v>1357</v>
      </c>
      <c r="J12872" t="s">
        <v>1357</v>
      </c>
      <c r="K12872" t="s">
        <v>1357</v>
      </c>
      <c r="L12872" t="s">
        <v>1357</v>
      </c>
    </row>
    <row r="12873" spans="1:13">
      <c r="H12873" t="s">
        <v>23623</v>
      </c>
      <c r="I12873" t="s">
        <v>1357</v>
      </c>
      <c r="J12873" t="s">
        <v>1357</v>
      </c>
      <c r="K12873" t="s">
        <v>1357</v>
      </c>
      <c r="L12873" t="s">
        <v>1357</v>
      </c>
    </row>
    <row r="12874" spans="1:13">
      <c r="A12874" t="s">
        <v>10903</v>
      </c>
      <c r="B12874">
        <f>HYPERLINK("https://android.googlesource.com/platform/cts/+/abd5160f44411d964978137b5fbdee8da12d45aa", "abd5160f44411d964978137b5fbdee8da12d45aa")</f>
        <v>0</v>
      </c>
      <c r="C12874">
        <f>HYPERLINK("https://android.googlesource.com/platform/cts/+/8f4976d7d7cc2d11c4f92027d75ff1911a16c7a3", "8f4976d7d7cc2d11c4f92027d75ff1911a16c7a3")</f>
        <v>0</v>
      </c>
      <c r="D12874" t="s">
        <v>12250</v>
      </c>
      <c r="E12874" t="s">
        <v>13435</v>
      </c>
      <c r="F12874" t="s">
        <v>14721</v>
      </c>
      <c r="G12874" t="s">
        <v>17565</v>
      </c>
      <c r="H12874" t="s">
        <v>23425</v>
      </c>
      <c r="I12874" t="s">
        <v>1357</v>
      </c>
      <c r="J12874" t="s">
        <v>1357</v>
      </c>
      <c r="K12874" t="s">
        <v>1357</v>
      </c>
      <c r="L12874" t="s">
        <v>1357</v>
      </c>
    </row>
    <row r="12875" spans="1:13">
      <c r="H12875" t="s">
        <v>23426</v>
      </c>
      <c r="I12875" t="s">
        <v>1357</v>
      </c>
      <c r="J12875" t="s">
        <v>1357</v>
      </c>
      <c r="K12875" t="s">
        <v>1357</v>
      </c>
      <c r="L12875" t="s">
        <v>1357</v>
      </c>
    </row>
    <row r="12876" spans="1:13">
      <c r="A12876" t="s">
        <v>10904</v>
      </c>
      <c r="B12876">
        <f>HYPERLINK("https://android.googlesource.com/platform/cts/+/20523ea303f48fd18811c13bd0e6c422fffc86db", "20523ea303f48fd18811c13bd0e6c422fffc86db")</f>
        <v>0</v>
      </c>
      <c r="C12876">
        <f>HYPERLINK("https://android.googlesource.com/platform/cts/+/3e0797fd6826d8fdc093b25db4dbca5c9b308440", "3e0797fd6826d8fdc093b25db4dbca5c9b308440")</f>
        <v>0</v>
      </c>
      <c r="D12876" t="s">
        <v>12249</v>
      </c>
      <c r="E12876" t="s">
        <v>13434</v>
      </c>
      <c r="F12876" t="s">
        <v>16582</v>
      </c>
      <c r="G12876" t="s">
        <v>18689</v>
      </c>
      <c r="H12876" t="s">
        <v>23622</v>
      </c>
      <c r="I12876" t="s">
        <v>1357</v>
      </c>
      <c r="J12876" t="s">
        <v>1357</v>
      </c>
      <c r="K12876" t="s">
        <v>1357</v>
      </c>
      <c r="L12876" t="s">
        <v>1357</v>
      </c>
    </row>
    <row r="12877" spans="1:13">
      <c r="H12877" t="s">
        <v>23623</v>
      </c>
      <c r="I12877" t="s">
        <v>1357</v>
      </c>
      <c r="J12877" t="s">
        <v>1357</v>
      </c>
      <c r="K12877" t="s">
        <v>1357</v>
      </c>
      <c r="L12877" t="s">
        <v>1357</v>
      </c>
      <c r="M12877" t="s">
        <v>9957</v>
      </c>
    </row>
    <row r="12878" spans="1:13">
      <c r="A12878" t="s">
        <v>10905</v>
      </c>
      <c r="B12878">
        <f>HYPERLINK("https://android.googlesource.com/platform/cts/+/89925ec62138d6b48c40a3886c8d179285ae1349", "89925ec62138d6b48c40a3886c8d179285ae1349")</f>
        <v>0</v>
      </c>
      <c r="C12878">
        <f>HYPERLINK("https://android.googlesource.com/platform/cts/+/ce743c9c3509f6635c9f34dcc50bb2f97154e47b", "ce743c9c3509f6635c9f34dcc50bb2f97154e47b")</f>
        <v>0</v>
      </c>
      <c r="D12878" t="s">
        <v>12224</v>
      </c>
      <c r="E12878" t="s">
        <v>13436</v>
      </c>
      <c r="F12878" t="s">
        <v>14558</v>
      </c>
      <c r="G12878" t="s">
        <v>17402</v>
      </c>
      <c r="H12878" t="s">
        <v>23624</v>
      </c>
      <c r="I12878" t="s">
        <v>1357</v>
      </c>
      <c r="J12878" t="s">
        <v>1357</v>
      </c>
      <c r="K12878" t="s">
        <v>1357</v>
      </c>
      <c r="L12878" t="s">
        <v>1357</v>
      </c>
    </row>
    <row r="12879" spans="1:13">
      <c r="A12879" t="s">
        <v>10906</v>
      </c>
      <c r="B12879">
        <f>HYPERLINK("https://android.googlesource.com/platform/cts/+/8c594981ee154508e5e24c210d9c30ef9e4ee35f", "8c594981ee154508e5e24c210d9c30ef9e4ee35f")</f>
        <v>0</v>
      </c>
      <c r="C12879">
        <f>HYPERLINK("https://android.googlesource.com/platform/cts/+/ca9d167c53d093ab09ba978bfed23ef756764b3f", "ca9d167c53d093ab09ba978bfed23ef756764b3f")</f>
        <v>0</v>
      </c>
      <c r="D12879" t="s">
        <v>12203</v>
      </c>
      <c r="E12879" t="s">
        <v>13437</v>
      </c>
      <c r="F12879" t="s">
        <v>16582</v>
      </c>
      <c r="G12879" t="s">
        <v>18689</v>
      </c>
      <c r="H12879" t="s">
        <v>23622</v>
      </c>
      <c r="I12879" t="s">
        <v>1357</v>
      </c>
      <c r="J12879" t="s">
        <v>1357</v>
      </c>
      <c r="K12879" t="s">
        <v>1357</v>
      </c>
      <c r="L12879" t="s">
        <v>1357</v>
      </c>
    </row>
    <row r="12880" spans="1:13">
      <c r="H12880" t="s">
        <v>23623</v>
      </c>
      <c r="I12880" t="s">
        <v>1357</v>
      </c>
      <c r="J12880" t="s">
        <v>1357</v>
      </c>
      <c r="K12880" t="s">
        <v>1357</v>
      </c>
      <c r="L12880" t="s">
        <v>1357</v>
      </c>
      <c r="M12880" t="s">
        <v>9957</v>
      </c>
    </row>
    <row r="12881" spans="1:13">
      <c r="A12881" t="s">
        <v>10907</v>
      </c>
      <c r="B12881">
        <f>HYPERLINK("https://android.googlesource.com/platform/cts/+/8f42d8cd939af4aa2bd696ad6f87e10fe297c7a7", "8f42d8cd939af4aa2bd696ad6f87e10fe297c7a7")</f>
        <v>0</v>
      </c>
      <c r="C12881">
        <f>HYPERLINK("https://android.googlesource.com/platform/cts/+/e68ca48d224c8f3f0c112192ff57777f82e631f5", "e68ca48d224c8f3f0c112192ff57777f82e631f5")</f>
        <v>0</v>
      </c>
      <c r="D12881" t="s">
        <v>12202</v>
      </c>
      <c r="E12881" t="s">
        <v>13438</v>
      </c>
      <c r="F12881" t="s">
        <v>16210</v>
      </c>
      <c r="G12881" t="s">
        <v>18888</v>
      </c>
      <c r="H12881" t="s">
        <v>22208</v>
      </c>
      <c r="I12881" t="s">
        <v>1357</v>
      </c>
      <c r="J12881" t="s">
        <v>1357</v>
      </c>
      <c r="K12881" t="s">
        <v>1357</v>
      </c>
      <c r="L12881" t="s">
        <v>1357</v>
      </c>
    </row>
    <row r="12882" spans="1:13">
      <c r="F12882" t="s">
        <v>16099</v>
      </c>
      <c r="G12882" t="s">
        <v>18788</v>
      </c>
      <c r="H12882" t="s">
        <v>22208</v>
      </c>
      <c r="I12882" t="s">
        <v>1357</v>
      </c>
      <c r="J12882" t="s">
        <v>1357</v>
      </c>
      <c r="K12882" t="s">
        <v>1357</v>
      </c>
      <c r="L12882" t="s">
        <v>1357</v>
      </c>
    </row>
    <row r="12883" spans="1:13">
      <c r="A12883" t="s">
        <v>10908</v>
      </c>
      <c r="B12883">
        <f>HYPERLINK("https://android.googlesource.com/platform/cts/+/330cbd18e6cd92df3510ad985f60dbaf349bb767", "330cbd18e6cd92df3510ad985f60dbaf349bb767")</f>
        <v>0</v>
      </c>
      <c r="C12883">
        <f>HYPERLINK("https://android.googlesource.com/platform/cts/+/542156bd4afaf77c3ad6fd08d3b1b0605d3f7e1c", "542156bd4afaf77c3ad6fd08d3b1b0605d3f7e1c")</f>
        <v>0</v>
      </c>
      <c r="D12883" t="s">
        <v>12022</v>
      </c>
      <c r="E12883" t="s">
        <v>13439</v>
      </c>
      <c r="F12883" t="s">
        <v>16583</v>
      </c>
      <c r="G12883" t="s">
        <v>19225</v>
      </c>
      <c r="H12883" t="s">
        <v>23625</v>
      </c>
      <c r="I12883" t="s">
        <v>1357</v>
      </c>
      <c r="J12883" t="s">
        <v>1357</v>
      </c>
      <c r="K12883" t="s">
        <v>1357</v>
      </c>
      <c r="L12883" t="s">
        <v>1357</v>
      </c>
    </row>
    <row r="12884" spans="1:13">
      <c r="H12884" t="s">
        <v>23626</v>
      </c>
      <c r="I12884" t="s">
        <v>1357</v>
      </c>
      <c r="J12884" t="s">
        <v>1357</v>
      </c>
      <c r="K12884" t="s">
        <v>1357</v>
      </c>
      <c r="L12884" t="s">
        <v>1357</v>
      </c>
    </row>
    <row r="12885" spans="1:13">
      <c r="A12885" t="s">
        <v>10909</v>
      </c>
      <c r="B12885">
        <f>HYPERLINK("https://android.googlesource.com/platform/cts/+/614ee878edea1bdeb5d114d6b443e8a4918808ee", "614ee878edea1bdeb5d114d6b443e8a4918808ee")</f>
        <v>0</v>
      </c>
      <c r="C12885">
        <f>HYPERLINK("https://android.googlesource.com/platform/cts/+/34c5f99bcc0d439446460293e90a810a39f88385", "34c5f99bcc0d439446460293e90a810a39f88385")</f>
        <v>0</v>
      </c>
      <c r="D12885" t="s">
        <v>12082</v>
      </c>
      <c r="E12885" t="s">
        <v>13440</v>
      </c>
      <c r="F12885" t="s">
        <v>16180</v>
      </c>
      <c r="G12885" t="s">
        <v>18860</v>
      </c>
      <c r="H12885" t="s">
        <v>23627</v>
      </c>
      <c r="I12885" t="s">
        <v>1357</v>
      </c>
      <c r="J12885" t="s">
        <v>1357</v>
      </c>
      <c r="K12885" t="s">
        <v>1357</v>
      </c>
      <c r="L12885" t="s">
        <v>1357</v>
      </c>
    </row>
    <row r="12886" spans="1:13">
      <c r="H12886" t="s">
        <v>23628</v>
      </c>
      <c r="I12886" t="s">
        <v>1357</v>
      </c>
      <c r="J12886" t="s">
        <v>1357</v>
      </c>
      <c r="K12886" t="s">
        <v>1357</v>
      </c>
      <c r="L12886" t="s">
        <v>1357</v>
      </c>
    </row>
    <row r="12887" spans="1:13">
      <c r="H12887" t="s">
        <v>23629</v>
      </c>
      <c r="I12887" t="s">
        <v>1357</v>
      </c>
      <c r="J12887" t="s">
        <v>1357</v>
      </c>
      <c r="K12887" t="s">
        <v>1357</v>
      </c>
      <c r="L12887" t="s">
        <v>1357</v>
      </c>
    </row>
    <row r="12888" spans="1:13">
      <c r="A12888" t="s">
        <v>10910</v>
      </c>
      <c r="B12888">
        <f>HYPERLINK("https://android.googlesource.com/platform/cts/+/ae65fd8ebb17b8686aa02c8fcf784aaf01419eef", "ae65fd8ebb17b8686aa02c8fcf784aaf01419eef")</f>
        <v>0</v>
      </c>
      <c r="C12888">
        <f>HYPERLINK("https://android.googlesource.com/platform/cts/+/ee7a193ea70c64c72c69796365f1c7dff52621ee", "ee7a193ea70c64c72c69796365f1c7dff52621ee")</f>
        <v>0</v>
      </c>
      <c r="D12888" t="s">
        <v>12251</v>
      </c>
      <c r="E12888" t="s">
        <v>13441</v>
      </c>
      <c r="F12888" t="s">
        <v>16584</v>
      </c>
      <c r="G12888" t="s">
        <v>19226</v>
      </c>
      <c r="H12888" t="s">
        <v>23630</v>
      </c>
      <c r="I12888" t="s">
        <v>1357</v>
      </c>
      <c r="J12888" t="s">
        <v>1357</v>
      </c>
      <c r="K12888" t="s">
        <v>1357</v>
      </c>
      <c r="L12888" t="s">
        <v>1357</v>
      </c>
    </row>
    <row r="12889" spans="1:13">
      <c r="H12889" t="s">
        <v>23631</v>
      </c>
      <c r="I12889" t="s">
        <v>1358</v>
      </c>
      <c r="J12889" t="s">
        <v>1358</v>
      </c>
      <c r="K12889" t="s">
        <v>1358</v>
      </c>
      <c r="L12889" t="s">
        <v>1358</v>
      </c>
    </row>
    <row r="12890" spans="1:13">
      <c r="H12890" t="s">
        <v>23632</v>
      </c>
      <c r="I12890" t="s">
        <v>1358</v>
      </c>
      <c r="J12890" t="s">
        <v>1358</v>
      </c>
      <c r="K12890" t="s">
        <v>1358</v>
      </c>
      <c r="L12890" t="s">
        <v>1358</v>
      </c>
    </row>
    <row r="12891" spans="1:13">
      <c r="A12891" t="s">
        <v>10911</v>
      </c>
      <c r="B12891">
        <f>HYPERLINK("https://android.googlesource.com/platform/cts/+/7fd2a1b4bcc8b3485c5ed88b8824620a1cec584d", "7fd2a1b4bcc8b3485c5ed88b8824620a1cec584d")</f>
        <v>0</v>
      </c>
      <c r="C12891">
        <f>HYPERLINK("https://android.googlesource.com/platform/cts/+/6551f1f0ead0366619091235401073993cdfe220", "6551f1f0ead0366619091235401073993cdfe220")</f>
        <v>0</v>
      </c>
      <c r="D12891" t="s">
        <v>12181</v>
      </c>
      <c r="E12891" t="s">
        <v>13442</v>
      </c>
      <c r="F12891" t="s">
        <v>16584</v>
      </c>
      <c r="G12891" t="s">
        <v>19226</v>
      </c>
      <c r="H12891" t="s">
        <v>23633</v>
      </c>
      <c r="I12891" t="s">
        <v>1357</v>
      </c>
      <c r="J12891" t="s">
        <v>1357</v>
      </c>
      <c r="K12891" t="s">
        <v>1357</v>
      </c>
      <c r="L12891" t="s">
        <v>1357</v>
      </c>
    </row>
    <row r="12892" spans="1:13">
      <c r="A12892" t="s">
        <v>10912</v>
      </c>
      <c r="B12892">
        <f>HYPERLINK("https://android.googlesource.com/platform/cts/+/787d67a1c7609cb60ef558b07a067c1fdaa610aa", "787d67a1c7609cb60ef558b07a067c1fdaa610aa")</f>
        <v>0</v>
      </c>
      <c r="C12892">
        <f>HYPERLINK("https://android.googlesource.com/platform/cts/+/dabaaeaae7298057b0b208d59ede4359b9221a7a", "dabaaeaae7298057b0b208d59ede4359b9221a7a")</f>
        <v>0</v>
      </c>
      <c r="D12892" t="s">
        <v>12181</v>
      </c>
      <c r="E12892" t="s">
        <v>13443</v>
      </c>
      <c r="F12892" t="s">
        <v>16584</v>
      </c>
      <c r="G12892" t="s">
        <v>19226</v>
      </c>
      <c r="H12892" t="s">
        <v>23633</v>
      </c>
      <c r="I12892" t="s">
        <v>1357</v>
      </c>
      <c r="J12892" t="s">
        <v>1357</v>
      </c>
      <c r="K12892" t="s">
        <v>1357</v>
      </c>
      <c r="L12892" t="s">
        <v>1357</v>
      </c>
      <c r="M12892" t="s">
        <v>9957</v>
      </c>
    </row>
    <row r="12893" spans="1:13">
      <c r="A12893" t="s">
        <v>10913</v>
      </c>
      <c r="B12893">
        <f>HYPERLINK("https://android.googlesource.com/platform/cts/+/6ed653922659e5c1ec21b35d97ef625942660cd0", "6ed653922659e5c1ec21b35d97ef625942660cd0")</f>
        <v>0</v>
      </c>
      <c r="C12893">
        <f>HYPERLINK("https://android.googlesource.com/platform/cts/+/27896e90fb8e3f211c241073673c8303ce32bac1", "27896e90fb8e3f211c241073673c8303ce32bac1")</f>
        <v>0</v>
      </c>
      <c r="D12893" t="s">
        <v>12181</v>
      </c>
      <c r="E12893" t="s">
        <v>13444</v>
      </c>
      <c r="F12893" t="s">
        <v>16584</v>
      </c>
      <c r="G12893" t="s">
        <v>19226</v>
      </c>
      <c r="H12893" t="s">
        <v>23633</v>
      </c>
      <c r="I12893" t="s">
        <v>1357</v>
      </c>
      <c r="J12893" t="s">
        <v>1357</v>
      </c>
      <c r="K12893" t="s">
        <v>1357</v>
      </c>
      <c r="L12893" t="s">
        <v>1357</v>
      </c>
      <c r="M12893" t="s">
        <v>9957</v>
      </c>
    </row>
    <row r="12894" spans="1:13">
      <c r="A12894" t="s">
        <v>10914</v>
      </c>
      <c r="B12894">
        <f>HYPERLINK("https://android.googlesource.com/platform/cts/+/4d382c5fb54556a224d106e5852260c18ad57d13", "4d382c5fb54556a224d106e5852260c18ad57d13")</f>
        <v>0</v>
      </c>
      <c r="C12894">
        <f>HYPERLINK("https://android.googlesource.com/platform/cts/+/1a783969edc184bf059c1bbc873d210149e7c59f", "1a783969edc184bf059c1bbc873d210149e7c59f")</f>
        <v>0</v>
      </c>
      <c r="D12894" t="s">
        <v>12181</v>
      </c>
      <c r="E12894" t="s">
        <v>13445</v>
      </c>
      <c r="F12894" t="s">
        <v>16584</v>
      </c>
      <c r="G12894" t="s">
        <v>19226</v>
      </c>
      <c r="H12894" t="s">
        <v>23632</v>
      </c>
      <c r="I12894" t="s">
        <v>1357</v>
      </c>
      <c r="J12894" t="s">
        <v>1357</v>
      </c>
      <c r="K12894" t="s">
        <v>1357</v>
      </c>
      <c r="L12894" t="s">
        <v>1357</v>
      </c>
      <c r="M12894" t="s">
        <v>9957</v>
      </c>
    </row>
    <row r="12895" spans="1:13">
      <c r="A12895" t="s">
        <v>10915</v>
      </c>
      <c r="B12895">
        <f>HYPERLINK("https://android.googlesource.com/platform/cts/+/49cdceaeb2e8723e84b035f4efed3a709392d302", "49cdceaeb2e8723e84b035f4efed3a709392d302")</f>
        <v>0</v>
      </c>
      <c r="C12895">
        <f>HYPERLINK("https://android.googlesource.com/platform/cts/+/ea59d40acfb0c76786c9f977370dbf52391e695b", "ea59d40acfb0c76786c9f977370dbf52391e695b")</f>
        <v>0</v>
      </c>
      <c r="D12895" t="s">
        <v>12236</v>
      </c>
      <c r="E12895" t="s">
        <v>13446</v>
      </c>
      <c r="F12895" t="s">
        <v>16503</v>
      </c>
      <c r="G12895" t="s">
        <v>19161</v>
      </c>
      <c r="H12895" t="s">
        <v>23634</v>
      </c>
      <c r="I12895" t="s">
        <v>1357</v>
      </c>
      <c r="J12895" t="s">
        <v>1357</v>
      </c>
      <c r="K12895" t="s">
        <v>1357</v>
      </c>
      <c r="L12895" t="s">
        <v>1357</v>
      </c>
    </row>
    <row r="12896" spans="1:13">
      <c r="A12896" t="s">
        <v>10916</v>
      </c>
      <c r="B12896">
        <f>HYPERLINK("https://android.googlesource.com/platform/cts/+/5cb02a22a13ecfddcb5f4d47c07cf152b2b43fc8", "5cb02a22a13ecfddcb5f4d47c07cf152b2b43fc8")</f>
        <v>0</v>
      </c>
      <c r="C12896">
        <f>HYPERLINK("https://android.googlesource.com/platform/cts/+/fc22935557650934e8bb54b528ec8839fc885e1c", "fc22935557650934e8bb54b528ec8839fc885e1c")</f>
        <v>0</v>
      </c>
      <c r="D12896" t="s">
        <v>12236</v>
      </c>
      <c r="E12896" t="s">
        <v>13446</v>
      </c>
      <c r="F12896" t="s">
        <v>16503</v>
      </c>
      <c r="G12896" t="s">
        <v>19161</v>
      </c>
      <c r="H12896" t="s">
        <v>23634</v>
      </c>
      <c r="I12896" t="s">
        <v>1357</v>
      </c>
      <c r="J12896" t="s">
        <v>1357</v>
      </c>
      <c r="K12896" t="s">
        <v>1357</v>
      </c>
      <c r="L12896" t="s">
        <v>1357</v>
      </c>
      <c r="M12896" t="s">
        <v>9957</v>
      </c>
    </row>
    <row r="12897" spans="1:13">
      <c r="A12897" t="s">
        <v>10917</v>
      </c>
      <c r="B12897">
        <f>HYPERLINK("https://android.googlesource.com/platform/cts/+/6355ff378a6e6e211a57c41f11f802424ec0a2ea", "6355ff378a6e6e211a57c41f11f802424ec0a2ea")</f>
        <v>0</v>
      </c>
      <c r="C12897">
        <f>HYPERLINK("https://android.googlesource.com/platform/cts/+/889cf9295bd14c47f6e03b820d20c33e19fdbf28", "889cf9295bd14c47f6e03b820d20c33e19fdbf28")</f>
        <v>0</v>
      </c>
      <c r="D12897" t="s">
        <v>12181</v>
      </c>
      <c r="E12897" t="s">
        <v>13447</v>
      </c>
      <c r="F12897" t="s">
        <v>16584</v>
      </c>
      <c r="G12897" t="s">
        <v>19226</v>
      </c>
      <c r="H12897" t="s">
        <v>23633</v>
      </c>
      <c r="I12897" t="s">
        <v>1357</v>
      </c>
      <c r="J12897" t="s">
        <v>1357</v>
      </c>
      <c r="K12897" t="s">
        <v>1357</v>
      </c>
      <c r="L12897" t="s">
        <v>1357</v>
      </c>
      <c r="M12897" t="s">
        <v>9957</v>
      </c>
    </row>
    <row r="12898" spans="1:13">
      <c r="A12898" t="s">
        <v>10918</v>
      </c>
      <c r="B12898">
        <f>HYPERLINK("https://android.googlesource.com/platform/cts/+/49a35715580d1e2b81773453afb877dbcc5b6115", "49a35715580d1e2b81773453afb877dbcc5b6115")</f>
        <v>0</v>
      </c>
      <c r="C12898">
        <f>HYPERLINK("https://android.googlesource.com/platform/cts/+/7bad9982003616cc4e3e553df713b9c9aefdeda9", "7bad9982003616cc4e3e553df713b9c9aefdeda9")</f>
        <v>0</v>
      </c>
      <c r="D12898" t="s">
        <v>12022</v>
      </c>
      <c r="E12898" t="s">
        <v>13448</v>
      </c>
      <c r="F12898" t="s">
        <v>16585</v>
      </c>
      <c r="G12898" t="s">
        <v>19227</v>
      </c>
      <c r="H12898" t="s">
        <v>9403</v>
      </c>
      <c r="I12898" t="s">
        <v>1357</v>
      </c>
      <c r="J12898" t="s">
        <v>1357</v>
      </c>
      <c r="K12898" t="s">
        <v>1357</v>
      </c>
      <c r="L12898" t="s">
        <v>1357</v>
      </c>
    </row>
    <row r="12899" spans="1:13">
      <c r="A12899" t="s">
        <v>10919</v>
      </c>
      <c r="B12899">
        <f>HYPERLINK("https://android.googlesource.com/platform/cts/+/fc6f3d001b46e5c5d40d16c9180a8b0fc3753608", "fc6f3d001b46e5c5d40d16c9180a8b0fc3753608")</f>
        <v>0</v>
      </c>
      <c r="C12899">
        <f>HYPERLINK("https://android.googlesource.com/platform/cts/+/0d5f6d5cd05713bac06c6edd84ee4ae24fc8c085", "0d5f6d5cd05713bac06c6edd84ee4ae24fc8c085")</f>
        <v>0</v>
      </c>
      <c r="D12899" t="s">
        <v>12203</v>
      </c>
      <c r="E12899" t="s">
        <v>13449</v>
      </c>
      <c r="F12899" t="s">
        <v>16585</v>
      </c>
      <c r="G12899" t="s">
        <v>19227</v>
      </c>
      <c r="H12899" t="s">
        <v>9403</v>
      </c>
      <c r="I12899" t="s">
        <v>1357</v>
      </c>
      <c r="J12899" t="s">
        <v>1357</v>
      </c>
      <c r="K12899" t="s">
        <v>1357</v>
      </c>
      <c r="L12899" t="s">
        <v>1357</v>
      </c>
      <c r="M12899" t="s">
        <v>9957</v>
      </c>
    </row>
    <row r="12900" spans="1:13">
      <c r="A12900" t="s">
        <v>10920</v>
      </c>
      <c r="B12900">
        <f>HYPERLINK("https://android.googlesource.com/platform/cts/+/b1805d386d9f0aef22b909d1ef1e3e7ff9e7ba80", "b1805d386d9f0aef22b909d1ef1e3e7ff9e7ba80")</f>
        <v>0</v>
      </c>
      <c r="C12900">
        <f>HYPERLINK("https://android.googlesource.com/platform/cts/+/f36bf11ca3d149b4bdae4ed46a8c8bb329a336dc", "f36bf11ca3d149b4bdae4ed46a8c8bb329a336dc")</f>
        <v>0</v>
      </c>
      <c r="D12900" t="s">
        <v>12252</v>
      </c>
      <c r="E12900" t="s">
        <v>13450</v>
      </c>
      <c r="F12900" t="s">
        <v>16586</v>
      </c>
      <c r="G12900" t="s">
        <v>19228</v>
      </c>
      <c r="H12900" t="s">
        <v>23635</v>
      </c>
      <c r="I12900" t="s">
        <v>1357</v>
      </c>
      <c r="J12900" t="s">
        <v>1357</v>
      </c>
      <c r="K12900" t="s">
        <v>1357</v>
      </c>
      <c r="L12900" t="s">
        <v>1357</v>
      </c>
    </row>
    <row r="12901" spans="1:13">
      <c r="H12901" t="s">
        <v>23636</v>
      </c>
      <c r="I12901" t="s">
        <v>1357</v>
      </c>
      <c r="J12901" t="s">
        <v>1357</v>
      </c>
      <c r="K12901" t="s">
        <v>1357</v>
      </c>
      <c r="L12901" t="s">
        <v>1357</v>
      </c>
    </row>
    <row r="12902" spans="1:13">
      <c r="F12902" t="s">
        <v>16587</v>
      </c>
      <c r="G12902" t="s">
        <v>19229</v>
      </c>
      <c r="H12902" t="s">
        <v>23635</v>
      </c>
      <c r="I12902" t="s">
        <v>1357</v>
      </c>
      <c r="J12902" t="s">
        <v>1357</v>
      </c>
      <c r="K12902" t="s">
        <v>1357</v>
      </c>
      <c r="L12902" t="s">
        <v>1357</v>
      </c>
    </row>
    <row r="12903" spans="1:13">
      <c r="H12903" t="s">
        <v>23636</v>
      </c>
      <c r="I12903" t="s">
        <v>1357</v>
      </c>
      <c r="J12903" t="s">
        <v>1357</v>
      </c>
      <c r="K12903" t="s">
        <v>1357</v>
      </c>
      <c r="L12903" t="s">
        <v>1357</v>
      </c>
    </row>
    <row r="12904" spans="1:13">
      <c r="A12904" t="s">
        <v>10921</v>
      </c>
      <c r="B12904">
        <f>HYPERLINK("https://android.googlesource.com/platform/cts/+/8b21abe5919b4788e9fc0e7cd94919b06ff9c2ec", "8b21abe5919b4788e9fc0e7cd94919b06ff9c2ec")</f>
        <v>0</v>
      </c>
      <c r="C12904">
        <f>HYPERLINK("https://android.googlesource.com/platform/cts/+/4db221c5f048754ef4fb5c1dcbc94a72553c6ce5", "4db221c5f048754ef4fb5c1dcbc94a72553c6ce5")</f>
        <v>0</v>
      </c>
      <c r="D12904" t="s">
        <v>12251</v>
      </c>
      <c r="E12904" t="s">
        <v>13451</v>
      </c>
      <c r="F12904" t="s">
        <v>16584</v>
      </c>
      <c r="G12904" t="s">
        <v>19226</v>
      </c>
      <c r="H12904" t="s">
        <v>23630</v>
      </c>
      <c r="I12904" t="s">
        <v>1357</v>
      </c>
      <c r="J12904" t="s">
        <v>1357</v>
      </c>
      <c r="K12904" t="s">
        <v>1357</v>
      </c>
      <c r="L12904" t="s">
        <v>1357</v>
      </c>
    </row>
    <row r="12905" spans="1:13">
      <c r="H12905" t="s">
        <v>23637</v>
      </c>
      <c r="I12905" t="s">
        <v>1357</v>
      </c>
      <c r="J12905" t="s">
        <v>1357</v>
      </c>
      <c r="K12905" t="s">
        <v>1357</v>
      </c>
      <c r="L12905" t="s">
        <v>1357</v>
      </c>
    </row>
    <row r="12906" spans="1:13">
      <c r="H12906" t="s">
        <v>23631</v>
      </c>
      <c r="I12906" t="s">
        <v>1358</v>
      </c>
      <c r="J12906" t="s">
        <v>1358</v>
      </c>
      <c r="K12906" t="s">
        <v>1358</v>
      </c>
      <c r="L12906" t="s">
        <v>1358</v>
      </c>
    </row>
    <row r="12907" spans="1:13">
      <c r="H12907" t="s">
        <v>23632</v>
      </c>
      <c r="I12907" t="s">
        <v>1358</v>
      </c>
      <c r="J12907" t="s">
        <v>1358</v>
      </c>
      <c r="K12907" t="s">
        <v>1358</v>
      </c>
      <c r="L12907" t="s">
        <v>1358</v>
      </c>
    </row>
    <row r="12908" spans="1:13">
      <c r="A12908" t="s">
        <v>10922</v>
      </c>
      <c r="B12908">
        <f>HYPERLINK("https://android.googlesource.com/platform/cts/+/b86772daee6915549a02db62508ce593f5e44315", "b86772daee6915549a02db62508ce593f5e44315")</f>
        <v>0</v>
      </c>
      <c r="C12908">
        <f>HYPERLINK("https://android.googlesource.com/platform/cts/+/ac638e0f5f287d2baef0bbb150712a4fc761220d", "ac638e0f5f287d2baef0bbb150712a4fc761220d")</f>
        <v>0</v>
      </c>
      <c r="D12908" t="s">
        <v>12106</v>
      </c>
      <c r="E12908" t="s">
        <v>13452</v>
      </c>
      <c r="F12908" t="s">
        <v>16588</v>
      </c>
      <c r="G12908" t="s">
        <v>19230</v>
      </c>
      <c r="H12908" t="s">
        <v>23638</v>
      </c>
      <c r="I12908" t="s">
        <v>1357</v>
      </c>
      <c r="J12908" t="s">
        <v>1357</v>
      </c>
      <c r="K12908" t="s">
        <v>1357</v>
      </c>
      <c r="L12908" t="s">
        <v>1357</v>
      </c>
    </row>
    <row r="12909" spans="1:13">
      <c r="H12909" t="s">
        <v>23639</v>
      </c>
      <c r="I12909" t="s">
        <v>1357</v>
      </c>
      <c r="J12909" t="s">
        <v>1357</v>
      </c>
      <c r="K12909" t="s">
        <v>1357</v>
      </c>
      <c r="L12909" t="s">
        <v>1357</v>
      </c>
    </row>
    <row r="12910" spans="1:13">
      <c r="A12910" t="s">
        <v>10923</v>
      </c>
      <c r="B12910">
        <f>HYPERLINK("https://android.googlesource.com/platform/cts/+/82cade3e78381475053b9691ef718a46a9a6dd24", "82cade3e78381475053b9691ef718a46a9a6dd24")</f>
        <v>0</v>
      </c>
      <c r="C12910">
        <f>HYPERLINK("https://android.googlesource.com/platform/cts/+/6864b4f0a98bcee87beb874eb6cdfde97b530ecb", "6864b4f0a98bcee87beb874eb6cdfde97b530ecb")</f>
        <v>0</v>
      </c>
      <c r="D12910" t="s">
        <v>12110</v>
      </c>
      <c r="E12910" t="s">
        <v>13453</v>
      </c>
      <c r="F12910" t="s">
        <v>16241</v>
      </c>
      <c r="G12910" t="s">
        <v>18917</v>
      </c>
      <c r="H12910" t="s">
        <v>23640</v>
      </c>
      <c r="I12910" t="s">
        <v>1357</v>
      </c>
      <c r="J12910" t="s">
        <v>1357</v>
      </c>
      <c r="K12910" t="s">
        <v>1357</v>
      </c>
      <c r="L12910" t="s">
        <v>1357</v>
      </c>
    </row>
    <row r="12911" spans="1:13">
      <c r="A12911" t="s">
        <v>10924</v>
      </c>
      <c r="B12911">
        <f>HYPERLINK("https://android.googlesource.com/platform/cts/+/ef0ad61e0db620e4b29307ac2a8ac7bd205118f6", "ef0ad61e0db620e4b29307ac2a8ac7bd205118f6")</f>
        <v>0</v>
      </c>
      <c r="C12911">
        <f>HYPERLINK("https://android.googlesource.com/platform/cts/+/0be23ea9bf3bbd75da1ec866da97ea51b40cd3c0", "0be23ea9bf3bbd75da1ec866da97ea51b40cd3c0")</f>
        <v>0</v>
      </c>
      <c r="D12911" t="s">
        <v>12175</v>
      </c>
      <c r="E12911" t="s">
        <v>13454</v>
      </c>
      <c r="F12911" t="s">
        <v>16589</v>
      </c>
      <c r="G12911" t="s">
        <v>19231</v>
      </c>
      <c r="H12911" t="s">
        <v>20280</v>
      </c>
      <c r="I12911" t="s">
        <v>1357</v>
      </c>
      <c r="J12911" t="s">
        <v>1357</v>
      </c>
      <c r="K12911" t="s">
        <v>1357</v>
      </c>
      <c r="L12911" t="s">
        <v>1357</v>
      </c>
    </row>
    <row r="12912" spans="1:13">
      <c r="H12912" t="s">
        <v>20233</v>
      </c>
      <c r="I12912" t="s">
        <v>1357</v>
      </c>
      <c r="J12912" t="s">
        <v>1357</v>
      </c>
      <c r="K12912" t="s">
        <v>1357</v>
      </c>
      <c r="L12912" t="s">
        <v>1357</v>
      </c>
    </row>
    <row r="12913" spans="6:12">
      <c r="H12913" t="s">
        <v>20230</v>
      </c>
      <c r="I12913" t="s">
        <v>1357</v>
      </c>
      <c r="J12913" t="s">
        <v>1357</v>
      </c>
      <c r="K12913" t="s">
        <v>1357</v>
      </c>
      <c r="L12913" t="s">
        <v>1357</v>
      </c>
    </row>
    <row r="12914" spans="6:12">
      <c r="H12914" t="s">
        <v>20296</v>
      </c>
      <c r="I12914" t="s">
        <v>1357</v>
      </c>
      <c r="J12914" t="s">
        <v>1357</v>
      </c>
      <c r="K12914" t="s">
        <v>1357</v>
      </c>
      <c r="L12914" t="s">
        <v>1357</v>
      </c>
    </row>
    <row r="12915" spans="6:12">
      <c r="H12915" t="s">
        <v>20297</v>
      </c>
      <c r="I12915" t="s">
        <v>1357</v>
      </c>
      <c r="J12915" t="s">
        <v>1357</v>
      </c>
      <c r="K12915" t="s">
        <v>1357</v>
      </c>
      <c r="L12915" t="s">
        <v>1357</v>
      </c>
    </row>
    <row r="12916" spans="6:12">
      <c r="H12916" t="s">
        <v>20234</v>
      </c>
      <c r="I12916" t="s">
        <v>1357</v>
      </c>
      <c r="J12916" t="s">
        <v>1357</v>
      </c>
      <c r="K12916" t="s">
        <v>1357</v>
      </c>
      <c r="L12916" t="s">
        <v>1357</v>
      </c>
    </row>
    <row r="12917" spans="6:12">
      <c r="H12917" t="s">
        <v>20235</v>
      </c>
      <c r="I12917" t="s">
        <v>1357</v>
      </c>
      <c r="J12917" t="s">
        <v>1357</v>
      </c>
      <c r="K12917" t="s">
        <v>1357</v>
      </c>
      <c r="L12917" t="s">
        <v>1357</v>
      </c>
    </row>
    <row r="12918" spans="6:12">
      <c r="H12918" t="s">
        <v>20298</v>
      </c>
      <c r="I12918" t="s">
        <v>1357</v>
      </c>
      <c r="J12918" t="s">
        <v>1357</v>
      </c>
      <c r="K12918" t="s">
        <v>1357</v>
      </c>
      <c r="L12918" t="s">
        <v>1357</v>
      </c>
    </row>
    <row r="12919" spans="6:12">
      <c r="H12919" t="s">
        <v>20299</v>
      </c>
      <c r="I12919" t="s">
        <v>1357</v>
      </c>
      <c r="J12919" t="s">
        <v>1357</v>
      </c>
      <c r="K12919" t="s">
        <v>1357</v>
      </c>
      <c r="L12919" t="s">
        <v>1357</v>
      </c>
    </row>
    <row r="12920" spans="6:12">
      <c r="H12920" t="s">
        <v>20300</v>
      </c>
      <c r="I12920" t="s">
        <v>1357</v>
      </c>
      <c r="J12920" t="s">
        <v>1357</v>
      </c>
      <c r="K12920" t="s">
        <v>1357</v>
      </c>
      <c r="L12920" t="s">
        <v>1357</v>
      </c>
    </row>
    <row r="12921" spans="6:12">
      <c r="H12921" t="s">
        <v>20301</v>
      </c>
      <c r="I12921" t="s">
        <v>1357</v>
      </c>
      <c r="J12921" t="s">
        <v>1357</v>
      </c>
      <c r="K12921" t="s">
        <v>1357</v>
      </c>
      <c r="L12921" t="s">
        <v>1357</v>
      </c>
    </row>
    <row r="12922" spans="6:12">
      <c r="H12922" t="s">
        <v>20302</v>
      </c>
      <c r="I12922" t="s">
        <v>1357</v>
      </c>
      <c r="J12922" t="s">
        <v>1357</v>
      </c>
      <c r="K12922" t="s">
        <v>1357</v>
      </c>
      <c r="L12922" t="s">
        <v>1357</v>
      </c>
    </row>
    <row r="12923" spans="6:12">
      <c r="F12923" t="s">
        <v>16590</v>
      </c>
      <c r="G12923" t="s">
        <v>19232</v>
      </c>
      <c r="H12923" t="s">
        <v>20280</v>
      </c>
      <c r="I12923" t="s">
        <v>1357</v>
      </c>
      <c r="J12923" t="s">
        <v>1357</v>
      </c>
      <c r="K12923" t="s">
        <v>1357</v>
      </c>
      <c r="L12923" t="s">
        <v>1357</v>
      </c>
    </row>
    <row r="12924" spans="6:12">
      <c r="H12924" t="s">
        <v>20233</v>
      </c>
      <c r="I12924" t="s">
        <v>1357</v>
      </c>
      <c r="J12924" t="s">
        <v>1357</v>
      </c>
      <c r="K12924" t="s">
        <v>1357</v>
      </c>
      <c r="L12924" t="s">
        <v>1357</v>
      </c>
    </row>
    <row r="12925" spans="6:12">
      <c r="H12925" t="s">
        <v>20230</v>
      </c>
      <c r="I12925" t="s">
        <v>1357</v>
      </c>
      <c r="J12925" t="s">
        <v>1357</v>
      </c>
      <c r="K12925" t="s">
        <v>1357</v>
      </c>
      <c r="L12925" t="s">
        <v>1357</v>
      </c>
    </row>
    <row r="12926" spans="6:12">
      <c r="H12926" t="s">
        <v>20296</v>
      </c>
      <c r="I12926" t="s">
        <v>1357</v>
      </c>
      <c r="J12926" t="s">
        <v>1357</v>
      </c>
      <c r="K12926" t="s">
        <v>1357</v>
      </c>
      <c r="L12926" t="s">
        <v>1357</v>
      </c>
    </row>
    <row r="12927" spans="6:12">
      <c r="H12927" t="s">
        <v>20297</v>
      </c>
      <c r="I12927" t="s">
        <v>1357</v>
      </c>
      <c r="J12927" t="s">
        <v>1357</v>
      </c>
      <c r="K12927" t="s">
        <v>1357</v>
      </c>
      <c r="L12927" t="s">
        <v>1357</v>
      </c>
    </row>
    <row r="12928" spans="6:12">
      <c r="H12928" t="s">
        <v>20234</v>
      </c>
      <c r="I12928" t="s">
        <v>1357</v>
      </c>
      <c r="J12928" t="s">
        <v>1357</v>
      </c>
      <c r="K12928" t="s">
        <v>1357</v>
      </c>
      <c r="L12928" t="s">
        <v>1357</v>
      </c>
    </row>
    <row r="12929" spans="6:12">
      <c r="H12929" t="s">
        <v>20235</v>
      </c>
      <c r="I12929" t="s">
        <v>1357</v>
      </c>
      <c r="J12929" t="s">
        <v>1357</v>
      </c>
      <c r="K12929" t="s">
        <v>1357</v>
      </c>
      <c r="L12929" t="s">
        <v>1357</v>
      </c>
    </row>
    <row r="12930" spans="6:12">
      <c r="H12930" t="s">
        <v>20298</v>
      </c>
      <c r="I12930" t="s">
        <v>1357</v>
      </c>
      <c r="J12930" t="s">
        <v>1357</v>
      </c>
      <c r="K12930" t="s">
        <v>1357</v>
      </c>
      <c r="L12930" t="s">
        <v>1357</v>
      </c>
    </row>
    <row r="12931" spans="6:12">
      <c r="H12931" t="s">
        <v>20299</v>
      </c>
      <c r="I12931" t="s">
        <v>1357</v>
      </c>
      <c r="J12931" t="s">
        <v>1357</v>
      </c>
      <c r="K12931" t="s">
        <v>1357</v>
      </c>
      <c r="L12931" t="s">
        <v>1357</v>
      </c>
    </row>
    <row r="12932" spans="6:12">
      <c r="H12932" t="s">
        <v>20300</v>
      </c>
      <c r="I12932" t="s">
        <v>1357</v>
      </c>
      <c r="J12932" t="s">
        <v>1357</v>
      </c>
      <c r="K12932" t="s">
        <v>1357</v>
      </c>
      <c r="L12932" t="s">
        <v>1357</v>
      </c>
    </row>
    <row r="12933" spans="6:12">
      <c r="H12933" t="s">
        <v>20301</v>
      </c>
      <c r="I12933" t="s">
        <v>1357</v>
      </c>
      <c r="J12933" t="s">
        <v>1357</v>
      </c>
      <c r="K12933" t="s">
        <v>1357</v>
      </c>
      <c r="L12933" t="s">
        <v>1357</v>
      </c>
    </row>
    <row r="12934" spans="6:12">
      <c r="H12934" t="s">
        <v>20302</v>
      </c>
      <c r="I12934" t="s">
        <v>1357</v>
      </c>
      <c r="J12934" t="s">
        <v>1357</v>
      </c>
      <c r="K12934" t="s">
        <v>1357</v>
      </c>
      <c r="L12934" t="s">
        <v>1357</v>
      </c>
    </row>
    <row r="12935" spans="6:12">
      <c r="F12935" t="s">
        <v>16591</v>
      </c>
      <c r="G12935" t="s">
        <v>19233</v>
      </c>
      <c r="H12935" t="s">
        <v>20280</v>
      </c>
      <c r="I12935" t="s">
        <v>1357</v>
      </c>
      <c r="J12935" t="s">
        <v>1357</v>
      </c>
      <c r="K12935" t="s">
        <v>1357</v>
      </c>
      <c r="L12935" t="s">
        <v>1357</v>
      </c>
    </row>
    <row r="12936" spans="6:12">
      <c r="H12936" t="s">
        <v>20233</v>
      </c>
      <c r="I12936" t="s">
        <v>1357</v>
      </c>
      <c r="J12936" t="s">
        <v>1357</v>
      </c>
      <c r="K12936" t="s">
        <v>1357</v>
      </c>
      <c r="L12936" t="s">
        <v>1357</v>
      </c>
    </row>
    <row r="12937" spans="6:12">
      <c r="H12937" t="s">
        <v>20230</v>
      </c>
      <c r="I12937" t="s">
        <v>1357</v>
      </c>
      <c r="J12937" t="s">
        <v>1357</v>
      </c>
      <c r="K12937" t="s">
        <v>1357</v>
      </c>
      <c r="L12937" t="s">
        <v>1357</v>
      </c>
    </row>
    <row r="12938" spans="6:12">
      <c r="H12938" t="s">
        <v>20296</v>
      </c>
      <c r="I12938" t="s">
        <v>1357</v>
      </c>
      <c r="J12938" t="s">
        <v>1357</v>
      </c>
      <c r="K12938" t="s">
        <v>1357</v>
      </c>
      <c r="L12938" t="s">
        <v>1357</v>
      </c>
    </row>
    <row r="12939" spans="6:12">
      <c r="H12939" t="s">
        <v>20297</v>
      </c>
      <c r="I12939" t="s">
        <v>1357</v>
      </c>
      <c r="J12939" t="s">
        <v>1357</v>
      </c>
      <c r="K12939" t="s">
        <v>1357</v>
      </c>
      <c r="L12939" t="s">
        <v>1357</v>
      </c>
    </row>
    <row r="12940" spans="6:12">
      <c r="H12940" t="s">
        <v>20234</v>
      </c>
      <c r="I12940" t="s">
        <v>1357</v>
      </c>
      <c r="J12940" t="s">
        <v>1357</v>
      </c>
      <c r="K12940" t="s">
        <v>1357</v>
      </c>
      <c r="L12940" t="s">
        <v>1357</v>
      </c>
    </row>
    <row r="12941" spans="6:12">
      <c r="H12941" t="s">
        <v>20235</v>
      </c>
      <c r="I12941" t="s">
        <v>1357</v>
      </c>
      <c r="J12941" t="s">
        <v>1357</v>
      </c>
      <c r="K12941" t="s">
        <v>1357</v>
      </c>
      <c r="L12941" t="s">
        <v>1357</v>
      </c>
    </row>
    <row r="12942" spans="6:12">
      <c r="H12942" t="s">
        <v>20298</v>
      </c>
      <c r="I12942" t="s">
        <v>1357</v>
      </c>
      <c r="J12942" t="s">
        <v>1357</v>
      </c>
      <c r="K12942" t="s">
        <v>1357</v>
      </c>
      <c r="L12942" t="s">
        <v>1357</v>
      </c>
    </row>
    <row r="12943" spans="6:12">
      <c r="H12943" t="s">
        <v>20299</v>
      </c>
      <c r="I12943" t="s">
        <v>1357</v>
      </c>
      <c r="J12943" t="s">
        <v>1357</v>
      </c>
      <c r="K12943" t="s">
        <v>1357</v>
      </c>
      <c r="L12943" t="s">
        <v>1357</v>
      </c>
    </row>
    <row r="12944" spans="6:12">
      <c r="H12944" t="s">
        <v>20300</v>
      </c>
      <c r="I12944" t="s">
        <v>1357</v>
      </c>
      <c r="J12944" t="s">
        <v>1357</v>
      </c>
      <c r="K12944" t="s">
        <v>1357</v>
      </c>
      <c r="L12944" t="s">
        <v>1357</v>
      </c>
    </row>
    <row r="12945" spans="6:12">
      <c r="H12945" t="s">
        <v>20301</v>
      </c>
      <c r="I12945" t="s">
        <v>1357</v>
      </c>
      <c r="J12945" t="s">
        <v>1357</v>
      </c>
      <c r="K12945" t="s">
        <v>1357</v>
      </c>
      <c r="L12945" t="s">
        <v>1357</v>
      </c>
    </row>
    <row r="12946" spans="6:12">
      <c r="H12946" t="s">
        <v>20302</v>
      </c>
      <c r="I12946" t="s">
        <v>1357</v>
      </c>
      <c r="J12946" t="s">
        <v>1357</v>
      </c>
      <c r="K12946" t="s">
        <v>1357</v>
      </c>
      <c r="L12946" t="s">
        <v>1357</v>
      </c>
    </row>
    <row r="12947" spans="6:12">
      <c r="F12947" t="s">
        <v>16592</v>
      </c>
      <c r="G12947" t="s">
        <v>19234</v>
      </c>
      <c r="H12947" t="s">
        <v>20280</v>
      </c>
      <c r="I12947" t="s">
        <v>1357</v>
      </c>
      <c r="J12947" t="s">
        <v>1357</v>
      </c>
      <c r="K12947" t="s">
        <v>1357</v>
      </c>
      <c r="L12947" t="s">
        <v>1357</v>
      </c>
    </row>
    <row r="12948" spans="6:12">
      <c r="H12948" t="s">
        <v>20233</v>
      </c>
      <c r="I12948" t="s">
        <v>1357</v>
      </c>
      <c r="J12948" t="s">
        <v>1357</v>
      </c>
      <c r="K12948" t="s">
        <v>1357</v>
      </c>
      <c r="L12948" t="s">
        <v>1357</v>
      </c>
    </row>
    <row r="12949" spans="6:12">
      <c r="H12949" t="s">
        <v>20230</v>
      </c>
      <c r="I12949" t="s">
        <v>1357</v>
      </c>
      <c r="J12949" t="s">
        <v>1357</v>
      </c>
      <c r="K12949" t="s">
        <v>1357</v>
      </c>
      <c r="L12949" t="s">
        <v>1357</v>
      </c>
    </row>
    <row r="12950" spans="6:12">
      <c r="H12950" t="s">
        <v>20296</v>
      </c>
      <c r="I12950" t="s">
        <v>1357</v>
      </c>
      <c r="J12950" t="s">
        <v>1357</v>
      </c>
      <c r="K12950" t="s">
        <v>1357</v>
      </c>
      <c r="L12950" t="s">
        <v>1357</v>
      </c>
    </row>
    <row r="12951" spans="6:12">
      <c r="H12951" t="s">
        <v>20297</v>
      </c>
      <c r="I12951" t="s">
        <v>1357</v>
      </c>
      <c r="J12951" t="s">
        <v>1357</v>
      </c>
      <c r="K12951" t="s">
        <v>1357</v>
      </c>
      <c r="L12951" t="s">
        <v>1357</v>
      </c>
    </row>
    <row r="12952" spans="6:12">
      <c r="H12952" t="s">
        <v>20234</v>
      </c>
      <c r="I12952" t="s">
        <v>1357</v>
      </c>
      <c r="J12952" t="s">
        <v>1357</v>
      </c>
      <c r="K12952" t="s">
        <v>1357</v>
      </c>
      <c r="L12952" t="s">
        <v>1357</v>
      </c>
    </row>
    <row r="12953" spans="6:12">
      <c r="H12953" t="s">
        <v>20235</v>
      </c>
      <c r="I12953" t="s">
        <v>1357</v>
      </c>
      <c r="J12953" t="s">
        <v>1357</v>
      </c>
      <c r="K12953" t="s">
        <v>1357</v>
      </c>
      <c r="L12953" t="s">
        <v>1357</v>
      </c>
    </row>
    <row r="12954" spans="6:12">
      <c r="H12954" t="s">
        <v>20298</v>
      </c>
      <c r="I12954" t="s">
        <v>1357</v>
      </c>
      <c r="J12954" t="s">
        <v>1357</v>
      </c>
      <c r="K12954" t="s">
        <v>1357</v>
      </c>
      <c r="L12954" t="s">
        <v>1357</v>
      </c>
    </row>
    <row r="12955" spans="6:12">
      <c r="H12955" t="s">
        <v>20299</v>
      </c>
      <c r="I12955" t="s">
        <v>1357</v>
      </c>
      <c r="J12955" t="s">
        <v>1357</v>
      </c>
      <c r="K12955" t="s">
        <v>1357</v>
      </c>
      <c r="L12955" t="s">
        <v>1357</v>
      </c>
    </row>
    <row r="12956" spans="6:12">
      <c r="H12956" t="s">
        <v>20300</v>
      </c>
      <c r="I12956" t="s">
        <v>1357</v>
      </c>
      <c r="J12956" t="s">
        <v>1357</v>
      </c>
      <c r="K12956" t="s">
        <v>1357</v>
      </c>
      <c r="L12956" t="s">
        <v>1357</v>
      </c>
    </row>
    <row r="12957" spans="6:12">
      <c r="H12957" t="s">
        <v>20301</v>
      </c>
      <c r="I12957" t="s">
        <v>1357</v>
      </c>
      <c r="J12957" t="s">
        <v>1357</v>
      </c>
      <c r="K12957" t="s">
        <v>1357</v>
      </c>
      <c r="L12957" t="s">
        <v>1357</v>
      </c>
    </row>
    <row r="12958" spans="6:12">
      <c r="H12958" t="s">
        <v>20302</v>
      </c>
      <c r="I12958" t="s">
        <v>1357</v>
      </c>
      <c r="J12958" t="s">
        <v>1357</v>
      </c>
      <c r="K12958" t="s">
        <v>1357</v>
      </c>
      <c r="L12958" t="s">
        <v>1357</v>
      </c>
    </row>
    <row r="12959" spans="6:12">
      <c r="F12959" t="s">
        <v>16593</v>
      </c>
      <c r="G12959" t="s">
        <v>19235</v>
      </c>
      <c r="H12959" t="s">
        <v>20280</v>
      </c>
      <c r="I12959" t="s">
        <v>1357</v>
      </c>
      <c r="J12959" t="s">
        <v>1357</v>
      </c>
      <c r="K12959" t="s">
        <v>1357</v>
      </c>
      <c r="L12959" t="s">
        <v>1357</v>
      </c>
    </row>
    <row r="12960" spans="6:12">
      <c r="H12960" t="s">
        <v>20233</v>
      </c>
      <c r="I12960" t="s">
        <v>1357</v>
      </c>
      <c r="J12960" t="s">
        <v>1357</v>
      </c>
      <c r="K12960" t="s">
        <v>1357</v>
      </c>
      <c r="L12960" t="s">
        <v>1357</v>
      </c>
    </row>
    <row r="12961" spans="6:12">
      <c r="H12961" t="s">
        <v>20230</v>
      </c>
      <c r="I12961" t="s">
        <v>1357</v>
      </c>
      <c r="J12961" t="s">
        <v>1357</v>
      </c>
      <c r="K12961" t="s">
        <v>1357</v>
      </c>
      <c r="L12961" t="s">
        <v>1357</v>
      </c>
    </row>
    <row r="12962" spans="6:12">
      <c r="H12962" t="s">
        <v>20227</v>
      </c>
      <c r="I12962" t="s">
        <v>1357</v>
      </c>
      <c r="J12962" t="s">
        <v>1357</v>
      </c>
      <c r="K12962" t="s">
        <v>1357</v>
      </c>
      <c r="L12962" t="s">
        <v>1357</v>
      </c>
    </row>
    <row r="12963" spans="6:12">
      <c r="H12963" t="s">
        <v>20228</v>
      </c>
      <c r="I12963" t="s">
        <v>1357</v>
      </c>
      <c r="J12963" t="s">
        <v>1357</v>
      </c>
      <c r="K12963" t="s">
        <v>1357</v>
      </c>
      <c r="L12963" t="s">
        <v>1357</v>
      </c>
    </row>
    <row r="12964" spans="6:12">
      <c r="H12964" t="s">
        <v>20232</v>
      </c>
      <c r="I12964" t="s">
        <v>1357</v>
      </c>
      <c r="J12964" t="s">
        <v>1357</v>
      </c>
      <c r="K12964" t="s">
        <v>1357</v>
      </c>
      <c r="L12964" t="s">
        <v>1357</v>
      </c>
    </row>
    <row r="12965" spans="6:12">
      <c r="H12965" t="s">
        <v>20296</v>
      </c>
      <c r="I12965" t="s">
        <v>1357</v>
      </c>
      <c r="J12965" t="s">
        <v>1357</v>
      </c>
      <c r="K12965" t="s">
        <v>1357</v>
      </c>
      <c r="L12965" t="s">
        <v>1357</v>
      </c>
    </row>
    <row r="12966" spans="6:12">
      <c r="H12966" t="s">
        <v>20297</v>
      </c>
      <c r="I12966" t="s">
        <v>1357</v>
      </c>
      <c r="J12966" t="s">
        <v>1357</v>
      </c>
      <c r="K12966" t="s">
        <v>1357</v>
      </c>
      <c r="L12966" t="s">
        <v>1357</v>
      </c>
    </row>
    <row r="12967" spans="6:12">
      <c r="H12967" t="s">
        <v>20234</v>
      </c>
      <c r="I12967" t="s">
        <v>1357</v>
      </c>
      <c r="J12967" t="s">
        <v>1357</v>
      </c>
      <c r="K12967" t="s">
        <v>1357</v>
      </c>
      <c r="L12967" t="s">
        <v>1357</v>
      </c>
    </row>
    <row r="12968" spans="6:12">
      <c r="H12968" t="s">
        <v>20235</v>
      </c>
      <c r="I12968" t="s">
        <v>1357</v>
      </c>
      <c r="J12968" t="s">
        <v>1357</v>
      </c>
      <c r="K12968" t="s">
        <v>1357</v>
      </c>
      <c r="L12968" t="s">
        <v>1357</v>
      </c>
    </row>
    <row r="12969" spans="6:12">
      <c r="H12969" t="s">
        <v>20298</v>
      </c>
      <c r="I12969" t="s">
        <v>1357</v>
      </c>
      <c r="J12969" t="s">
        <v>1357</v>
      </c>
      <c r="K12969" t="s">
        <v>1357</v>
      </c>
      <c r="L12969" t="s">
        <v>1357</v>
      </c>
    </row>
    <row r="12970" spans="6:12">
      <c r="H12970" t="s">
        <v>20299</v>
      </c>
      <c r="I12970" t="s">
        <v>1357</v>
      </c>
      <c r="J12970" t="s">
        <v>1357</v>
      </c>
      <c r="K12970" t="s">
        <v>1357</v>
      </c>
      <c r="L12970" t="s">
        <v>1357</v>
      </c>
    </row>
    <row r="12971" spans="6:12">
      <c r="F12971" t="s">
        <v>16594</v>
      </c>
      <c r="G12971" t="s">
        <v>19236</v>
      </c>
      <c r="H12971" t="s">
        <v>20280</v>
      </c>
      <c r="I12971" t="s">
        <v>1357</v>
      </c>
      <c r="J12971" t="s">
        <v>1357</v>
      </c>
      <c r="K12971" t="s">
        <v>1357</v>
      </c>
      <c r="L12971" t="s">
        <v>1357</v>
      </c>
    </row>
    <row r="12972" spans="6:12">
      <c r="H12972" t="s">
        <v>20233</v>
      </c>
      <c r="I12972" t="s">
        <v>1357</v>
      </c>
      <c r="J12972" t="s">
        <v>1357</v>
      </c>
      <c r="K12972" t="s">
        <v>1357</v>
      </c>
      <c r="L12972" t="s">
        <v>1357</v>
      </c>
    </row>
    <row r="12973" spans="6:12">
      <c r="H12973" t="s">
        <v>20230</v>
      </c>
      <c r="I12973" t="s">
        <v>1357</v>
      </c>
      <c r="J12973" t="s">
        <v>1357</v>
      </c>
      <c r="K12973" t="s">
        <v>1357</v>
      </c>
      <c r="L12973" t="s">
        <v>1357</v>
      </c>
    </row>
    <row r="12974" spans="6:12">
      <c r="H12974" t="s">
        <v>20227</v>
      </c>
      <c r="I12974" t="s">
        <v>1357</v>
      </c>
      <c r="J12974" t="s">
        <v>1357</v>
      </c>
      <c r="K12974" t="s">
        <v>1357</v>
      </c>
      <c r="L12974" t="s">
        <v>1357</v>
      </c>
    </row>
    <row r="12975" spans="6:12">
      <c r="H12975" t="s">
        <v>20228</v>
      </c>
      <c r="I12975" t="s">
        <v>1357</v>
      </c>
      <c r="J12975" t="s">
        <v>1357</v>
      </c>
      <c r="K12975" t="s">
        <v>1357</v>
      </c>
      <c r="L12975" t="s">
        <v>1357</v>
      </c>
    </row>
    <row r="12976" spans="6:12">
      <c r="H12976" t="s">
        <v>20232</v>
      </c>
      <c r="I12976" t="s">
        <v>1357</v>
      </c>
      <c r="J12976" t="s">
        <v>1357</v>
      </c>
      <c r="K12976" t="s">
        <v>1357</v>
      </c>
      <c r="L12976" t="s">
        <v>1357</v>
      </c>
    </row>
    <row r="12977" spans="6:12">
      <c r="H12977" t="s">
        <v>20296</v>
      </c>
      <c r="I12977" t="s">
        <v>1357</v>
      </c>
      <c r="J12977" t="s">
        <v>1357</v>
      </c>
      <c r="K12977" t="s">
        <v>1357</v>
      </c>
      <c r="L12977" t="s">
        <v>1357</v>
      </c>
    </row>
    <row r="12978" spans="6:12">
      <c r="H12978" t="s">
        <v>20297</v>
      </c>
      <c r="I12978" t="s">
        <v>1357</v>
      </c>
      <c r="J12978" t="s">
        <v>1357</v>
      </c>
      <c r="K12978" t="s">
        <v>1357</v>
      </c>
      <c r="L12978" t="s">
        <v>1357</v>
      </c>
    </row>
    <row r="12979" spans="6:12">
      <c r="H12979" t="s">
        <v>20234</v>
      </c>
      <c r="I12979" t="s">
        <v>1357</v>
      </c>
      <c r="J12979" t="s">
        <v>1357</v>
      </c>
      <c r="K12979" t="s">
        <v>1357</v>
      </c>
      <c r="L12979" t="s">
        <v>1357</v>
      </c>
    </row>
    <row r="12980" spans="6:12">
      <c r="H12980" t="s">
        <v>20235</v>
      </c>
      <c r="I12980" t="s">
        <v>1357</v>
      </c>
      <c r="J12980" t="s">
        <v>1357</v>
      </c>
      <c r="K12980" t="s">
        <v>1357</v>
      </c>
      <c r="L12980" t="s">
        <v>1357</v>
      </c>
    </row>
    <row r="12981" spans="6:12">
      <c r="H12981" t="s">
        <v>20298</v>
      </c>
      <c r="I12981" t="s">
        <v>1357</v>
      </c>
      <c r="J12981" t="s">
        <v>1357</v>
      </c>
      <c r="K12981" t="s">
        <v>1357</v>
      </c>
      <c r="L12981" t="s">
        <v>1357</v>
      </c>
    </row>
    <row r="12982" spans="6:12">
      <c r="H12982" t="s">
        <v>20299</v>
      </c>
      <c r="I12982" t="s">
        <v>1357</v>
      </c>
      <c r="J12982" t="s">
        <v>1357</v>
      </c>
      <c r="K12982" t="s">
        <v>1357</v>
      </c>
      <c r="L12982" t="s">
        <v>1357</v>
      </c>
    </row>
    <row r="12983" spans="6:12">
      <c r="F12983" t="s">
        <v>16595</v>
      </c>
      <c r="G12983" t="s">
        <v>19237</v>
      </c>
      <c r="H12983" t="s">
        <v>20280</v>
      </c>
      <c r="I12983" t="s">
        <v>1357</v>
      </c>
      <c r="J12983" t="s">
        <v>1357</v>
      </c>
      <c r="K12983" t="s">
        <v>1357</v>
      </c>
      <c r="L12983" t="s">
        <v>1357</v>
      </c>
    </row>
    <row r="12984" spans="6:12">
      <c r="H12984" t="s">
        <v>20233</v>
      </c>
      <c r="I12984" t="s">
        <v>1357</v>
      </c>
      <c r="J12984" t="s">
        <v>1357</v>
      </c>
      <c r="K12984" t="s">
        <v>1357</v>
      </c>
      <c r="L12984" t="s">
        <v>1357</v>
      </c>
    </row>
    <row r="12985" spans="6:12">
      <c r="H12985" t="s">
        <v>20230</v>
      </c>
      <c r="I12985" t="s">
        <v>1357</v>
      </c>
      <c r="J12985" t="s">
        <v>1357</v>
      </c>
      <c r="K12985" t="s">
        <v>1357</v>
      </c>
      <c r="L12985" t="s">
        <v>1357</v>
      </c>
    </row>
    <row r="12986" spans="6:12">
      <c r="H12986" t="s">
        <v>20227</v>
      </c>
      <c r="I12986" t="s">
        <v>1357</v>
      </c>
      <c r="J12986" t="s">
        <v>1357</v>
      </c>
      <c r="K12986" t="s">
        <v>1357</v>
      </c>
      <c r="L12986" t="s">
        <v>1357</v>
      </c>
    </row>
    <row r="12987" spans="6:12">
      <c r="H12987" t="s">
        <v>20228</v>
      </c>
      <c r="I12987" t="s">
        <v>1357</v>
      </c>
      <c r="J12987" t="s">
        <v>1357</v>
      </c>
      <c r="K12987" t="s">
        <v>1357</v>
      </c>
      <c r="L12987" t="s">
        <v>1357</v>
      </c>
    </row>
    <row r="12988" spans="6:12">
      <c r="H12988" t="s">
        <v>20232</v>
      </c>
      <c r="I12988" t="s">
        <v>1357</v>
      </c>
      <c r="J12988" t="s">
        <v>1357</v>
      </c>
      <c r="K12988" t="s">
        <v>1357</v>
      </c>
      <c r="L12988" t="s">
        <v>1357</v>
      </c>
    </row>
    <row r="12989" spans="6:12">
      <c r="H12989" t="s">
        <v>20296</v>
      </c>
      <c r="I12989" t="s">
        <v>1357</v>
      </c>
      <c r="J12989" t="s">
        <v>1357</v>
      </c>
      <c r="K12989" t="s">
        <v>1357</v>
      </c>
      <c r="L12989" t="s">
        <v>1357</v>
      </c>
    </row>
    <row r="12990" spans="6:12">
      <c r="H12990" t="s">
        <v>20297</v>
      </c>
      <c r="I12990" t="s">
        <v>1357</v>
      </c>
      <c r="J12990" t="s">
        <v>1357</v>
      </c>
      <c r="K12990" t="s">
        <v>1357</v>
      </c>
      <c r="L12990" t="s">
        <v>1357</v>
      </c>
    </row>
    <row r="12991" spans="6:12">
      <c r="H12991" t="s">
        <v>20234</v>
      </c>
      <c r="I12991" t="s">
        <v>1357</v>
      </c>
      <c r="J12991" t="s">
        <v>1357</v>
      </c>
      <c r="K12991" t="s">
        <v>1357</v>
      </c>
      <c r="L12991" t="s">
        <v>1357</v>
      </c>
    </row>
    <row r="12992" spans="6:12">
      <c r="H12992" t="s">
        <v>20235</v>
      </c>
      <c r="I12992" t="s">
        <v>1357</v>
      </c>
      <c r="J12992" t="s">
        <v>1357</v>
      </c>
      <c r="K12992" t="s">
        <v>1357</v>
      </c>
      <c r="L12992" t="s">
        <v>1357</v>
      </c>
    </row>
    <row r="12993" spans="6:12">
      <c r="H12993" t="s">
        <v>20298</v>
      </c>
      <c r="I12993" t="s">
        <v>1357</v>
      </c>
      <c r="J12993" t="s">
        <v>1357</v>
      </c>
      <c r="K12993" t="s">
        <v>1357</v>
      </c>
      <c r="L12993" t="s">
        <v>1357</v>
      </c>
    </row>
    <row r="12994" spans="6:12">
      <c r="H12994" t="s">
        <v>20299</v>
      </c>
      <c r="I12994" t="s">
        <v>1357</v>
      </c>
      <c r="J12994" t="s">
        <v>1357</v>
      </c>
      <c r="K12994" t="s">
        <v>1357</v>
      </c>
      <c r="L12994" t="s">
        <v>1357</v>
      </c>
    </row>
    <row r="12995" spans="6:12">
      <c r="F12995" t="s">
        <v>16596</v>
      </c>
      <c r="G12995" t="s">
        <v>19238</v>
      </c>
      <c r="H12995" t="s">
        <v>20280</v>
      </c>
      <c r="I12995" t="s">
        <v>1357</v>
      </c>
      <c r="J12995" t="s">
        <v>1357</v>
      </c>
      <c r="K12995" t="s">
        <v>1357</v>
      </c>
      <c r="L12995" t="s">
        <v>1357</v>
      </c>
    </row>
    <row r="12996" spans="6:12">
      <c r="H12996" t="s">
        <v>20233</v>
      </c>
      <c r="I12996" t="s">
        <v>1357</v>
      </c>
      <c r="J12996" t="s">
        <v>1357</v>
      </c>
      <c r="K12996" t="s">
        <v>1357</v>
      </c>
      <c r="L12996" t="s">
        <v>1357</v>
      </c>
    </row>
    <row r="12997" spans="6:12">
      <c r="H12997" t="s">
        <v>20230</v>
      </c>
      <c r="I12997" t="s">
        <v>1357</v>
      </c>
      <c r="J12997" t="s">
        <v>1357</v>
      </c>
      <c r="K12997" t="s">
        <v>1357</v>
      </c>
      <c r="L12997" t="s">
        <v>1357</v>
      </c>
    </row>
    <row r="12998" spans="6:12">
      <c r="H12998" t="s">
        <v>20296</v>
      </c>
      <c r="I12998" t="s">
        <v>1357</v>
      </c>
      <c r="J12998" t="s">
        <v>1357</v>
      </c>
      <c r="K12998" t="s">
        <v>1357</v>
      </c>
      <c r="L12998" t="s">
        <v>1357</v>
      </c>
    </row>
    <row r="12999" spans="6:12">
      <c r="H12999" t="s">
        <v>20297</v>
      </c>
      <c r="I12999" t="s">
        <v>1357</v>
      </c>
      <c r="J12999" t="s">
        <v>1357</v>
      </c>
      <c r="K12999" t="s">
        <v>1357</v>
      </c>
      <c r="L12999" t="s">
        <v>1357</v>
      </c>
    </row>
    <row r="13000" spans="6:12">
      <c r="H13000" t="s">
        <v>20234</v>
      </c>
      <c r="I13000" t="s">
        <v>1357</v>
      </c>
      <c r="J13000" t="s">
        <v>1357</v>
      </c>
      <c r="K13000" t="s">
        <v>1357</v>
      </c>
      <c r="L13000" t="s">
        <v>1357</v>
      </c>
    </row>
    <row r="13001" spans="6:12">
      <c r="H13001" t="s">
        <v>20235</v>
      </c>
      <c r="I13001" t="s">
        <v>1357</v>
      </c>
      <c r="J13001" t="s">
        <v>1357</v>
      </c>
      <c r="K13001" t="s">
        <v>1357</v>
      </c>
      <c r="L13001" t="s">
        <v>1357</v>
      </c>
    </row>
    <row r="13002" spans="6:12">
      <c r="H13002" t="s">
        <v>20298</v>
      </c>
      <c r="I13002" t="s">
        <v>1357</v>
      </c>
      <c r="J13002" t="s">
        <v>1357</v>
      </c>
      <c r="K13002" t="s">
        <v>1357</v>
      </c>
      <c r="L13002" t="s">
        <v>1357</v>
      </c>
    </row>
    <row r="13003" spans="6:12">
      <c r="H13003" t="s">
        <v>20299</v>
      </c>
      <c r="I13003" t="s">
        <v>1357</v>
      </c>
      <c r="J13003" t="s">
        <v>1357</v>
      </c>
      <c r="K13003" t="s">
        <v>1357</v>
      </c>
      <c r="L13003" t="s">
        <v>1357</v>
      </c>
    </row>
    <row r="13004" spans="6:12">
      <c r="H13004" t="s">
        <v>20300</v>
      </c>
      <c r="I13004" t="s">
        <v>1357</v>
      </c>
      <c r="J13004" t="s">
        <v>1357</v>
      </c>
      <c r="K13004" t="s">
        <v>1357</v>
      </c>
      <c r="L13004" t="s">
        <v>1357</v>
      </c>
    </row>
    <row r="13005" spans="6:12">
      <c r="H13005" t="s">
        <v>20301</v>
      </c>
      <c r="I13005" t="s">
        <v>1357</v>
      </c>
      <c r="J13005" t="s">
        <v>1357</v>
      </c>
      <c r="K13005" t="s">
        <v>1357</v>
      </c>
      <c r="L13005" t="s">
        <v>1357</v>
      </c>
    </row>
    <row r="13006" spans="6:12">
      <c r="F13006" t="s">
        <v>16597</v>
      </c>
      <c r="G13006" t="s">
        <v>19239</v>
      </c>
      <c r="H13006" t="s">
        <v>20280</v>
      </c>
      <c r="I13006" t="s">
        <v>1357</v>
      </c>
      <c r="J13006" t="s">
        <v>1357</v>
      </c>
      <c r="K13006" t="s">
        <v>1357</v>
      </c>
      <c r="L13006" t="s">
        <v>1357</v>
      </c>
    </row>
    <row r="13007" spans="6:12">
      <c r="H13007" t="s">
        <v>20233</v>
      </c>
      <c r="I13007" t="s">
        <v>1357</v>
      </c>
      <c r="J13007" t="s">
        <v>1357</v>
      </c>
      <c r="K13007" t="s">
        <v>1357</v>
      </c>
      <c r="L13007" t="s">
        <v>1357</v>
      </c>
    </row>
    <row r="13008" spans="6:12">
      <c r="H13008" t="s">
        <v>20230</v>
      </c>
      <c r="I13008" t="s">
        <v>1357</v>
      </c>
      <c r="J13008" t="s">
        <v>1357</v>
      </c>
      <c r="K13008" t="s">
        <v>1357</v>
      </c>
      <c r="L13008" t="s">
        <v>1357</v>
      </c>
    </row>
    <row r="13009" spans="1:12">
      <c r="H13009" t="s">
        <v>20296</v>
      </c>
      <c r="I13009" t="s">
        <v>1357</v>
      </c>
      <c r="J13009" t="s">
        <v>1357</v>
      </c>
      <c r="K13009" t="s">
        <v>1357</v>
      </c>
      <c r="L13009" t="s">
        <v>1357</v>
      </c>
    </row>
    <row r="13010" spans="1:12">
      <c r="H13010" t="s">
        <v>20297</v>
      </c>
      <c r="I13010" t="s">
        <v>1357</v>
      </c>
      <c r="J13010" t="s">
        <v>1357</v>
      </c>
      <c r="K13010" t="s">
        <v>1357</v>
      </c>
      <c r="L13010" t="s">
        <v>1357</v>
      </c>
    </row>
    <row r="13011" spans="1:12">
      <c r="H13011" t="s">
        <v>20234</v>
      </c>
      <c r="I13011" t="s">
        <v>1357</v>
      </c>
      <c r="J13011" t="s">
        <v>1357</v>
      </c>
      <c r="K13011" t="s">
        <v>1357</v>
      </c>
      <c r="L13011" t="s">
        <v>1357</v>
      </c>
    </row>
    <row r="13012" spans="1:12">
      <c r="H13012" t="s">
        <v>20235</v>
      </c>
      <c r="I13012" t="s">
        <v>1357</v>
      </c>
      <c r="J13012" t="s">
        <v>1357</v>
      </c>
      <c r="K13012" t="s">
        <v>1357</v>
      </c>
      <c r="L13012" t="s">
        <v>1357</v>
      </c>
    </row>
    <row r="13013" spans="1:12">
      <c r="H13013" t="s">
        <v>20298</v>
      </c>
      <c r="I13013" t="s">
        <v>1357</v>
      </c>
      <c r="J13013" t="s">
        <v>1357</v>
      </c>
      <c r="K13013" t="s">
        <v>1357</v>
      </c>
      <c r="L13013" t="s">
        <v>1357</v>
      </c>
    </row>
    <row r="13014" spans="1:12">
      <c r="H13014" t="s">
        <v>20299</v>
      </c>
      <c r="I13014" t="s">
        <v>1357</v>
      </c>
      <c r="J13014" t="s">
        <v>1357</v>
      </c>
      <c r="K13014" t="s">
        <v>1357</v>
      </c>
      <c r="L13014" t="s">
        <v>1357</v>
      </c>
    </row>
    <row r="13015" spans="1:12">
      <c r="H13015" t="s">
        <v>20300</v>
      </c>
      <c r="I13015" t="s">
        <v>1357</v>
      </c>
      <c r="J13015" t="s">
        <v>1357</v>
      </c>
      <c r="K13015" t="s">
        <v>1357</v>
      </c>
      <c r="L13015" t="s">
        <v>1357</v>
      </c>
    </row>
    <row r="13016" spans="1:12">
      <c r="H13016" t="s">
        <v>20301</v>
      </c>
      <c r="I13016" t="s">
        <v>1357</v>
      </c>
      <c r="J13016" t="s">
        <v>1357</v>
      </c>
      <c r="K13016" t="s">
        <v>1357</v>
      </c>
      <c r="L13016" t="s">
        <v>1357</v>
      </c>
    </row>
    <row r="13017" spans="1:12">
      <c r="A13017" t="s">
        <v>10925</v>
      </c>
      <c r="B13017">
        <f>HYPERLINK("https://android.googlesource.com/platform/cts/+/a3e3acf6c1da02dd6b11770d3a7d107b313e74e2", "a3e3acf6c1da02dd6b11770d3a7d107b313e74e2")</f>
        <v>0</v>
      </c>
      <c r="C13017">
        <f>HYPERLINK("https://android.googlesource.com/platform/cts/+/a355251d43a97f8c364bde6ff88500c2d672f0e5", "a355251d43a97f8c364bde6ff88500c2d672f0e5")</f>
        <v>0</v>
      </c>
      <c r="D13017" t="s">
        <v>12253</v>
      </c>
      <c r="E13017" t="s">
        <v>13455</v>
      </c>
      <c r="F13017" t="s">
        <v>16373</v>
      </c>
      <c r="G13017" t="s">
        <v>19042</v>
      </c>
      <c r="H13017" t="s">
        <v>23641</v>
      </c>
      <c r="I13017" t="s">
        <v>1358</v>
      </c>
      <c r="J13017" t="s">
        <v>1358</v>
      </c>
      <c r="K13017" t="s">
        <v>1358</v>
      </c>
      <c r="L13017" t="s">
        <v>1358</v>
      </c>
    </row>
    <row r="13018" spans="1:12">
      <c r="A13018" t="s">
        <v>10926</v>
      </c>
      <c r="B13018">
        <f>HYPERLINK("https://android.googlesource.com/platform/cts/+/1b77d561d522c0d872c3f1eb69e80a1d41370bd1", "1b77d561d522c0d872c3f1eb69e80a1d41370bd1")</f>
        <v>0</v>
      </c>
      <c r="C13018">
        <f>HYPERLINK("https://android.googlesource.com/platform/cts/+/ea2f11de3135e433a74ebbb0d360bc541b95faae", "ea2f11de3135e433a74ebbb0d360bc541b95faae")</f>
        <v>0</v>
      </c>
      <c r="D13018" t="s">
        <v>12117</v>
      </c>
      <c r="E13018" t="s">
        <v>13456</v>
      </c>
      <c r="F13018" t="s">
        <v>16598</v>
      </c>
      <c r="G13018" t="s">
        <v>19240</v>
      </c>
      <c r="H13018" t="s">
        <v>23642</v>
      </c>
      <c r="I13018" t="s">
        <v>1357</v>
      </c>
      <c r="J13018" t="s">
        <v>1357</v>
      </c>
      <c r="K13018" t="s">
        <v>1357</v>
      </c>
      <c r="L13018" t="s">
        <v>1357</v>
      </c>
    </row>
    <row r="13019" spans="1:12">
      <c r="A13019" t="s">
        <v>10927</v>
      </c>
      <c r="B13019">
        <f>HYPERLINK("https://android.googlesource.com/platform/cts/+/091dcfd67ad366fc3ebc319735abcc634dafff7b", "091dcfd67ad366fc3ebc319735abcc634dafff7b")</f>
        <v>0</v>
      </c>
      <c r="C13019">
        <f>HYPERLINK("https://android.googlesource.com/platform/cts/+/2440af297f0fe4102b297499361d909d51312df1", "2440af297f0fe4102b297499361d909d51312df1")</f>
        <v>0</v>
      </c>
      <c r="D13019" t="s">
        <v>12254</v>
      </c>
      <c r="E13019" t="s">
        <v>13457</v>
      </c>
      <c r="F13019" t="s">
        <v>16471</v>
      </c>
      <c r="G13019" t="s">
        <v>19132</v>
      </c>
      <c r="H13019" t="s">
        <v>23174</v>
      </c>
      <c r="I13019" t="s">
        <v>1357</v>
      </c>
      <c r="J13019" t="s">
        <v>1357</v>
      </c>
      <c r="K13019" t="s">
        <v>1357</v>
      </c>
      <c r="L13019" t="s">
        <v>1357</v>
      </c>
    </row>
    <row r="13020" spans="1:12">
      <c r="A13020" t="s">
        <v>10928</v>
      </c>
      <c r="B13020">
        <f>HYPERLINK("https://android.googlesource.com/platform/cts/+/7e1f50625214ae6ec16bdd98539180b7494ee26f", "7e1f50625214ae6ec16bdd98539180b7494ee26f")</f>
        <v>0</v>
      </c>
      <c r="C13020">
        <f>HYPERLINK("https://android.googlesource.com/platform/cts/+/80ad63a28cc803de4cd3ee9596ac64a5ce8e3521", "80ad63a28cc803de4cd3ee9596ac64a5ce8e3521")</f>
        <v>0</v>
      </c>
      <c r="D13020" t="s">
        <v>12102</v>
      </c>
      <c r="E13020" t="s">
        <v>13458</v>
      </c>
      <c r="F13020" t="s">
        <v>16599</v>
      </c>
      <c r="G13020" t="s">
        <v>19241</v>
      </c>
      <c r="H13020" t="s">
        <v>23643</v>
      </c>
      <c r="I13020" t="s">
        <v>1357</v>
      </c>
      <c r="J13020" t="s">
        <v>1357</v>
      </c>
      <c r="K13020" t="s">
        <v>1357</v>
      </c>
      <c r="L13020" t="s">
        <v>1357</v>
      </c>
    </row>
    <row r="13021" spans="1:12">
      <c r="H13021" t="s">
        <v>23644</v>
      </c>
      <c r="I13021" t="s">
        <v>1357</v>
      </c>
      <c r="J13021" t="s">
        <v>1357</v>
      </c>
      <c r="K13021" t="s">
        <v>1357</v>
      </c>
      <c r="L13021" t="s">
        <v>1357</v>
      </c>
    </row>
    <row r="13022" spans="1:12">
      <c r="A13022" t="s">
        <v>10929</v>
      </c>
      <c r="B13022">
        <f>HYPERLINK("https://android.googlesource.com/platform/cts/+/4e66220ff665dfc1f84679acfbbca71db656a17c", "4e66220ff665dfc1f84679acfbbca71db656a17c")</f>
        <v>0</v>
      </c>
      <c r="C13022">
        <f>HYPERLINK("https://android.googlesource.com/platform/cts/+/5711e85d02f5e46559b20338e0c8a05c187509c2", "5711e85d02f5e46559b20338e0c8a05c187509c2")</f>
        <v>0</v>
      </c>
      <c r="D13022" t="s">
        <v>12255</v>
      </c>
      <c r="E13022" t="s">
        <v>13459</v>
      </c>
      <c r="F13022" t="s">
        <v>16600</v>
      </c>
      <c r="G13022" t="s">
        <v>19242</v>
      </c>
      <c r="H13022" t="s">
        <v>23645</v>
      </c>
      <c r="I13022" t="s">
        <v>1357</v>
      </c>
      <c r="J13022" t="s">
        <v>1357</v>
      </c>
      <c r="K13022" t="s">
        <v>1357</v>
      </c>
      <c r="L13022" t="s">
        <v>1357</v>
      </c>
    </row>
    <row r="13023" spans="1:12">
      <c r="A13023" t="s">
        <v>10930</v>
      </c>
      <c r="B13023">
        <f>HYPERLINK("https://android.googlesource.com/platform/cts/+/6f71ec65409cdea4ed36d3c2f71fd6baffa81e18", "6f71ec65409cdea4ed36d3c2f71fd6baffa81e18")</f>
        <v>0</v>
      </c>
      <c r="C13023">
        <f>HYPERLINK("https://android.googlesource.com/platform/cts/+/b815e0a71d5a411f640b614bc9a4b4d3fe26dc00", "b815e0a71d5a411f640b614bc9a4b4d3fe26dc00")</f>
        <v>0</v>
      </c>
      <c r="D13023" t="s">
        <v>12256</v>
      </c>
      <c r="E13023" t="s">
        <v>13460</v>
      </c>
      <c r="F13023" t="s">
        <v>16601</v>
      </c>
      <c r="G13023" t="s">
        <v>19243</v>
      </c>
      <c r="H13023" t="s">
        <v>23646</v>
      </c>
      <c r="I13023" t="s">
        <v>1357</v>
      </c>
      <c r="J13023" t="s">
        <v>1357</v>
      </c>
      <c r="K13023" t="s">
        <v>1357</v>
      </c>
      <c r="L13023" t="s">
        <v>1357</v>
      </c>
    </row>
    <row r="13024" spans="1:12">
      <c r="H13024" t="s">
        <v>23647</v>
      </c>
      <c r="I13024" t="s">
        <v>1357</v>
      </c>
      <c r="J13024" t="s">
        <v>1357</v>
      </c>
      <c r="K13024" t="s">
        <v>1357</v>
      </c>
      <c r="L13024" t="s">
        <v>1357</v>
      </c>
    </row>
    <row r="13025" spans="1:14">
      <c r="H13025" t="s">
        <v>23648</v>
      </c>
      <c r="I13025" t="s">
        <v>1357</v>
      </c>
      <c r="J13025" t="s">
        <v>1357</v>
      </c>
      <c r="K13025" t="s">
        <v>1357</v>
      </c>
      <c r="L13025" t="s">
        <v>1357</v>
      </c>
    </row>
    <row r="13026" spans="1:14">
      <c r="A13026" t="s">
        <v>10931</v>
      </c>
      <c r="B13026">
        <f>HYPERLINK("https://android.googlesource.com/platform/cts/+/d3bfceba7af51900359649a5a8502c54d48118fa", "d3bfceba7af51900359649a5a8502c54d48118fa")</f>
        <v>0</v>
      </c>
      <c r="C13026">
        <f>HYPERLINK("https://android.googlesource.com/platform/cts/+/397c71276f5667bdf432dc113dbc23abacca5734", "397c71276f5667bdf432dc113dbc23abacca5734")</f>
        <v>0</v>
      </c>
      <c r="D13026" t="s">
        <v>12105</v>
      </c>
      <c r="E13026" t="s">
        <v>13461</v>
      </c>
      <c r="F13026" t="s">
        <v>16602</v>
      </c>
      <c r="G13026" t="s">
        <v>19244</v>
      </c>
      <c r="H13026" t="s">
        <v>23649</v>
      </c>
      <c r="I13026" t="s">
        <v>1358</v>
      </c>
      <c r="J13026" t="s">
        <v>1358</v>
      </c>
      <c r="K13026" t="s">
        <v>1358</v>
      </c>
      <c r="L13026" t="s">
        <v>1358</v>
      </c>
    </row>
    <row r="13027" spans="1:14">
      <c r="A13027" t="s">
        <v>10932</v>
      </c>
      <c r="B13027">
        <f>HYPERLINK("https://android.googlesource.com/platform/cts/+/1a5bf7bbf82a4f8ed323ab32b2612b8333d64742", "1a5bf7bbf82a4f8ed323ab32b2612b8333d64742")</f>
        <v>0</v>
      </c>
      <c r="C13027">
        <f>HYPERLINK("https://android.googlesource.com/platform/cts/+/5ac82de7bf7042dc965d9ea4a09b7e9b43fa2387", "5ac82de7bf7042dc965d9ea4a09b7e9b43fa2387")</f>
        <v>0</v>
      </c>
      <c r="D13027" t="s">
        <v>12257</v>
      </c>
      <c r="E13027" t="s">
        <v>13462</v>
      </c>
      <c r="F13027" t="s">
        <v>16171</v>
      </c>
      <c r="G13027" t="s">
        <v>18734</v>
      </c>
      <c r="H13027" t="s">
        <v>22775</v>
      </c>
      <c r="I13027" t="s">
        <v>1357</v>
      </c>
      <c r="J13027" t="s">
        <v>1357</v>
      </c>
      <c r="K13027" t="s">
        <v>1357</v>
      </c>
      <c r="L13027" t="s">
        <v>1357</v>
      </c>
    </row>
    <row r="13028" spans="1:14">
      <c r="A13028" t="s">
        <v>10933</v>
      </c>
      <c r="B13028">
        <f>HYPERLINK("https://android.googlesource.com/platform/cts/+/b1d786b775a892c92f3003fadcc0bdba860d793a", "b1d786b775a892c92f3003fadcc0bdba860d793a")</f>
        <v>0</v>
      </c>
      <c r="C13028">
        <f>HYPERLINK("https://android.googlesource.com/platform/cts/+/007e4d2085c4066edd4fd57ffcd08d6d1b1684f6", "007e4d2085c4066edd4fd57ffcd08d6d1b1684f6")</f>
        <v>0</v>
      </c>
      <c r="D13028" t="s">
        <v>12112</v>
      </c>
      <c r="E13028" t="s">
        <v>13463</v>
      </c>
      <c r="F13028" t="s">
        <v>14522</v>
      </c>
      <c r="G13028" t="s">
        <v>17367</v>
      </c>
      <c r="H13028" t="s">
        <v>23650</v>
      </c>
      <c r="I13028" t="s">
        <v>1359</v>
      </c>
      <c r="J13028" t="s">
        <v>1358</v>
      </c>
      <c r="K13028" t="s">
        <v>1357</v>
      </c>
      <c r="L13028" t="s">
        <v>1358</v>
      </c>
      <c r="N13028" t="s">
        <v>25001</v>
      </c>
    </row>
    <row r="13029" spans="1:14">
      <c r="H13029" t="s">
        <v>23651</v>
      </c>
      <c r="I13029" t="s">
        <v>1359</v>
      </c>
      <c r="J13029" t="s">
        <v>1358</v>
      </c>
      <c r="K13029" t="s">
        <v>1357</v>
      </c>
      <c r="L13029" t="s">
        <v>1358</v>
      </c>
    </row>
    <row r="13030" spans="1:14">
      <c r="H13030" t="s">
        <v>23652</v>
      </c>
      <c r="I13030" t="s">
        <v>1359</v>
      </c>
      <c r="J13030" t="s">
        <v>1358</v>
      </c>
      <c r="K13030" t="s">
        <v>1357</v>
      </c>
      <c r="L13030" t="s">
        <v>1358</v>
      </c>
      <c r="M13030" t="s">
        <v>1365</v>
      </c>
    </row>
    <row r="13031" spans="1:14">
      <c r="A13031" t="s">
        <v>10934</v>
      </c>
      <c r="B13031">
        <f>HYPERLINK("https://android.googlesource.com/platform/cts/+/45349ecfef242b3b61205df954c49792fce74710", "45349ecfef242b3b61205df954c49792fce74710")</f>
        <v>0</v>
      </c>
      <c r="C13031">
        <f>HYPERLINK("https://android.googlesource.com/platform/cts/+/4dce4146751513f24b4cb93668be05217075a1a0", "4dce4146751513f24b4cb93668be05217075a1a0")</f>
        <v>0</v>
      </c>
      <c r="D13031" t="s">
        <v>12258</v>
      </c>
      <c r="E13031" t="s">
        <v>13464</v>
      </c>
      <c r="F13031" t="s">
        <v>16603</v>
      </c>
      <c r="G13031" t="s">
        <v>19245</v>
      </c>
      <c r="H13031" t="s">
        <v>23653</v>
      </c>
      <c r="I13031" t="s">
        <v>1357</v>
      </c>
      <c r="J13031" t="s">
        <v>1357</v>
      </c>
      <c r="K13031" t="s">
        <v>1357</v>
      </c>
      <c r="L13031" t="s">
        <v>1357</v>
      </c>
    </row>
    <row r="13032" spans="1:14">
      <c r="A13032" t="s">
        <v>10935</v>
      </c>
      <c r="B13032">
        <f>HYPERLINK("https://android.googlesource.com/platform/cts/+/51610aef93901fce897e0ca502195848c981740d", "51610aef93901fce897e0ca502195848c981740d")</f>
        <v>0</v>
      </c>
      <c r="C13032">
        <f>HYPERLINK("https://android.googlesource.com/platform/cts/+/123e1413fed13c69421dae351fdd115dcd61b2bb", "123e1413fed13c69421dae351fdd115dcd61b2bb")</f>
        <v>0</v>
      </c>
      <c r="D13032" t="s">
        <v>12258</v>
      </c>
      <c r="E13032" t="s">
        <v>13465</v>
      </c>
      <c r="F13032" t="s">
        <v>16603</v>
      </c>
      <c r="G13032" t="s">
        <v>19245</v>
      </c>
      <c r="H13032" t="s">
        <v>23653</v>
      </c>
      <c r="I13032" t="s">
        <v>1357</v>
      </c>
      <c r="J13032" t="s">
        <v>1357</v>
      </c>
      <c r="K13032" t="s">
        <v>1357</v>
      </c>
      <c r="L13032" t="s">
        <v>1357</v>
      </c>
      <c r="M13032" t="s">
        <v>9957</v>
      </c>
    </row>
    <row r="13033" spans="1:14">
      <c r="A13033" t="s">
        <v>10936</v>
      </c>
      <c r="B13033">
        <f>HYPERLINK("https://android.googlesource.com/platform/cts/+/83a470242cdd0fe89b3d6bc92edf7f02ff784689", "83a470242cdd0fe89b3d6bc92edf7f02ff784689")</f>
        <v>0</v>
      </c>
      <c r="C13033">
        <f>HYPERLINK("https://android.googlesource.com/platform/cts/+/01b53c305fcd43352d1c592a75cda7ee5df78648", "01b53c305fcd43352d1c592a75cda7ee5df78648")</f>
        <v>0</v>
      </c>
      <c r="D13033" t="s">
        <v>12258</v>
      </c>
      <c r="E13033" t="s">
        <v>13466</v>
      </c>
      <c r="F13033" t="s">
        <v>16603</v>
      </c>
      <c r="G13033" t="s">
        <v>19245</v>
      </c>
      <c r="H13033" t="s">
        <v>23653</v>
      </c>
      <c r="I13033" t="s">
        <v>1357</v>
      </c>
      <c r="J13033" t="s">
        <v>1357</v>
      </c>
      <c r="K13033" t="s">
        <v>1357</v>
      </c>
      <c r="L13033" t="s">
        <v>1357</v>
      </c>
      <c r="M13033" t="s">
        <v>9957</v>
      </c>
    </row>
    <row r="13034" spans="1:14">
      <c r="A13034" t="s">
        <v>10937</v>
      </c>
      <c r="B13034">
        <f>HYPERLINK("https://android.googlesource.com/platform/cts/+/40a3152b9b51333aeaf618d9176316ade0766539", "40a3152b9b51333aeaf618d9176316ade0766539")</f>
        <v>0</v>
      </c>
      <c r="C13034">
        <f>HYPERLINK("https://android.googlesource.com/platform/cts/+/f36b3cb62025ff64ee01db77cceb9010870b5782", "f36b3cb62025ff64ee01db77cceb9010870b5782")</f>
        <v>0</v>
      </c>
      <c r="D13034" t="s">
        <v>12245</v>
      </c>
      <c r="E13034" t="s">
        <v>13467</v>
      </c>
      <c r="F13034" t="s">
        <v>16588</v>
      </c>
      <c r="G13034" t="s">
        <v>19230</v>
      </c>
      <c r="H13034" t="s">
        <v>23638</v>
      </c>
      <c r="I13034" t="s">
        <v>1357</v>
      </c>
      <c r="J13034" t="s">
        <v>1357</v>
      </c>
      <c r="K13034" t="s">
        <v>1357</v>
      </c>
      <c r="L13034" t="s">
        <v>1357</v>
      </c>
    </row>
    <row r="13035" spans="1:14">
      <c r="H13035" t="s">
        <v>23639</v>
      </c>
      <c r="I13035" t="s">
        <v>1357</v>
      </c>
      <c r="J13035" t="s">
        <v>1357</v>
      </c>
      <c r="K13035" t="s">
        <v>1357</v>
      </c>
      <c r="L13035" t="s">
        <v>1357</v>
      </c>
    </row>
    <row r="13036" spans="1:14">
      <c r="A13036" t="s">
        <v>10938</v>
      </c>
      <c r="B13036">
        <f>HYPERLINK("https://android.googlesource.com/platform/cts/+/6636907b037a817011c74fcf36636335760c939f", "6636907b037a817011c74fcf36636335760c939f")</f>
        <v>0</v>
      </c>
      <c r="C13036">
        <f>HYPERLINK("https://android.googlesource.com/platform/cts/+/e69d57706c20b217820bcb45fc860986468721cd", "e69d57706c20b217820bcb45fc860986468721cd")</f>
        <v>0</v>
      </c>
      <c r="D13036" t="s">
        <v>12100</v>
      </c>
      <c r="E13036" t="s">
        <v>13468</v>
      </c>
      <c r="F13036" t="s">
        <v>16604</v>
      </c>
      <c r="G13036" t="s">
        <v>19246</v>
      </c>
      <c r="H13036" t="s">
        <v>23654</v>
      </c>
      <c r="I13036" t="s">
        <v>1357</v>
      </c>
      <c r="J13036" t="s">
        <v>1357</v>
      </c>
      <c r="K13036" t="s">
        <v>1357</v>
      </c>
      <c r="L13036" t="s">
        <v>1357</v>
      </c>
    </row>
    <row r="13037" spans="1:14">
      <c r="A13037" t="s">
        <v>10939</v>
      </c>
      <c r="B13037">
        <f>HYPERLINK("https://android.googlesource.com/platform/cts/+/9286697901c3a39a449cd9b2f7d6478bc94ba5be", "9286697901c3a39a449cd9b2f7d6478bc94ba5be")</f>
        <v>0</v>
      </c>
      <c r="C13037">
        <f>HYPERLINK("https://android.googlesource.com/platform/cts/+/032e6c45051a10e2fcf583e4592c3fdce970f048", "032e6c45051a10e2fcf583e4592c3fdce970f048")</f>
        <v>0</v>
      </c>
      <c r="D13037" t="s">
        <v>12259</v>
      </c>
      <c r="E13037" t="s">
        <v>13469</v>
      </c>
      <c r="F13037" t="s">
        <v>14481</v>
      </c>
      <c r="G13037" t="s">
        <v>17328</v>
      </c>
      <c r="H13037" t="s">
        <v>23655</v>
      </c>
      <c r="I13037" t="s">
        <v>1358</v>
      </c>
      <c r="J13037" t="s">
        <v>1358</v>
      </c>
      <c r="K13037" t="s">
        <v>1358</v>
      </c>
      <c r="L13037" t="s">
        <v>1358</v>
      </c>
    </row>
    <row r="13038" spans="1:14">
      <c r="H13038" t="s">
        <v>23656</v>
      </c>
      <c r="I13038" t="s">
        <v>1358</v>
      </c>
      <c r="J13038" t="s">
        <v>1358</v>
      </c>
      <c r="K13038" t="s">
        <v>1358</v>
      </c>
      <c r="L13038" t="s">
        <v>1358</v>
      </c>
    </row>
    <row r="13039" spans="1:14">
      <c r="H13039" t="s">
        <v>23657</v>
      </c>
      <c r="I13039" t="s">
        <v>1357</v>
      </c>
      <c r="J13039" t="s">
        <v>1357</v>
      </c>
      <c r="K13039" t="s">
        <v>1357</v>
      </c>
      <c r="L13039" t="s">
        <v>1357</v>
      </c>
    </row>
    <row r="13040" spans="1:14">
      <c r="H13040" t="s">
        <v>22763</v>
      </c>
      <c r="I13040" t="s">
        <v>1357</v>
      </c>
      <c r="J13040" t="s">
        <v>1357</v>
      </c>
      <c r="K13040" t="s">
        <v>1357</v>
      </c>
      <c r="L13040" t="s">
        <v>1357</v>
      </c>
    </row>
    <row r="13041" spans="8:12">
      <c r="H13041" t="s">
        <v>22764</v>
      </c>
      <c r="I13041" t="s">
        <v>1357</v>
      </c>
      <c r="J13041" t="s">
        <v>1357</v>
      </c>
      <c r="K13041" t="s">
        <v>1357</v>
      </c>
      <c r="L13041" t="s">
        <v>1357</v>
      </c>
    </row>
    <row r="13042" spans="8:12">
      <c r="H13042" t="s">
        <v>23658</v>
      </c>
      <c r="I13042" t="s">
        <v>1357</v>
      </c>
      <c r="J13042" t="s">
        <v>1357</v>
      </c>
      <c r="K13042" t="s">
        <v>1357</v>
      </c>
      <c r="L13042" t="s">
        <v>1357</v>
      </c>
    </row>
    <row r="13043" spans="8:12">
      <c r="H13043" t="s">
        <v>23659</v>
      </c>
      <c r="I13043" t="s">
        <v>1358</v>
      </c>
      <c r="J13043" t="s">
        <v>1358</v>
      </c>
      <c r="K13043" t="s">
        <v>1358</v>
      </c>
      <c r="L13043" t="s">
        <v>1358</v>
      </c>
    </row>
    <row r="13044" spans="8:12">
      <c r="H13044" t="s">
        <v>23660</v>
      </c>
      <c r="I13044" t="s">
        <v>1357</v>
      </c>
      <c r="J13044" t="s">
        <v>1357</v>
      </c>
      <c r="K13044" t="s">
        <v>1357</v>
      </c>
      <c r="L13044" t="s">
        <v>1357</v>
      </c>
    </row>
    <row r="13045" spans="8:12">
      <c r="H13045" t="s">
        <v>23661</v>
      </c>
      <c r="I13045" t="s">
        <v>1357</v>
      </c>
      <c r="J13045" t="s">
        <v>1357</v>
      </c>
      <c r="K13045" t="s">
        <v>1357</v>
      </c>
      <c r="L13045" t="s">
        <v>1357</v>
      </c>
    </row>
    <row r="13046" spans="8:12">
      <c r="H13046" t="s">
        <v>23662</v>
      </c>
      <c r="I13046" t="s">
        <v>1357</v>
      </c>
      <c r="J13046" t="s">
        <v>1357</v>
      </c>
      <c r="K13046" t="s">
        <v>1357</v>
      </c>
      <c r="L13046" t="s">
        <v>1357</v>
      </c>
    </row>
    <row r="13047" spans="8:12">
      <c r="H13047" t="s">
        <v>23663</v>
      </c>
      <c r="I13047" t="s">
        <v>1357</v>
      </c>
      <c r="J13047" t="s">
        <v>1357</v>
      </c>
      <c r="K13047" t="s">
        <v>1357</v>
      </c>
      <c r="L13047" t="s">
        <v>1357</v>
      </c>
    </row>
    <row r="13048" spans="8:12">
      <c r="H13048" t="s">
        <v>23664</v>
      </c>
      <c r="I13048" t="s">
        <v>1357</v>
      </c>
      <c r="J13048" t="s">
        <v>1357</v>
      </c>
      <c r="K13048" t="s">
        <v>1357</v>
      </c>
      <c r="L13048" t="s">
        <v>1357</v>
      </c>
    </row>
    <row r="13049" spans="8:12">
      <c r="H13049" t="s">
        <v>23665</v>
      </c>
      <c r="I13049" t="s">
        <v>1357</v>
      </c>
      <c r="J13049" t="s">
        <v>1357</v>
      </c>
      <c r="K13049" t="s">
        <v>1357</v>
      </c>
      <c r="L13049" t="s">
        <v>1357</v>
      </c>
    </row>
    <row r="13050" spans="8:12">
      <c r="H13050" t="s">
        <v>23666</v>
      </c>
      <c r="I13050" t="s">
        <v>1357</v>
      </c>
      <c r="J13050" t="s">
        <v>1357</v>
      </c>
      <c r="K13050" t="s">
        <v>1357</v>
      </c>
      <c r="L13050" t="s">
        <v>1357</v>
      </c>
    </row>
    <row r="13051" spans="8:12">
      <c r="H13051" t="s">
        <v>23667</v>
      </c>
      <c r="I13051" t="s">
        <v>1358</v>
      </c>
      <c r="J13051" t="s">
        <v>1358</v>
      </c>
      <c r="K13051" t="s">
        <v>1358</v>
      </c>
      <c r="L13051" t="s">
        <v>1358</v>
      </c>
    </row>
    <row r="13052" spans="8:12">
      <c r="H13052" t="s">
        <v>23668</v>
      </c>
      <c r="I13052" t="s">
        <v>1357</v>
      </c>
      <c r="J13052" t="s">
        <v>1357</v>
      </c>
      <c r="K13052" t="s">
        <v>1357</v>
      </c>
      <c r="L13052" t="s">
        <v>1357</v>
      </c>
    </row>
    <row r="13053" spans="8:12">
      <c r="H13053" t="s">
        <v>23669</v>
      </c>
      <c r="I13053" t="s">
        <v>1357</v>
      </c>
      <c r="J13053" t="s">
        <v>1357</v>
      </c>
      <c r="K13053" t="s">
        <v>1357</v>
      </c>
      <c r="L13053" t="s">
        <v>1357</v>
      </c>
    </row>
    <row r="13054" spans="8:12">
      <c r="H13054" t="s">
        <v>23670</v>
      </c>
      <c r="I13054" t="s">
        <v>1357</v>
      </c>
      <c r="J13054" t="s">
        <v>1357</v>
      </c>
      <c r="K13054" t="s">
        <v>1357</v>
      </c>
      <c r="L13054" t="s">
        <v>1357</v>
      </c>
    </row>
    <row r="13055" spans="8:12">
      <c r="H13055" t="s">
        <v>23671</v>
      </c>
      <c r="I13055" t="s">
        <v>1357</v>
      </c>
      <c r="J13055" t="s">
        <v>1357</v>
      </c>
      <c r="K13055" t="s">
        <v>1357</v>
      </c>
      <c r="L13055" t="s">
        <v>1357</v>
      </c>
    </row>
    <row r="13056" spans="8:12">
      <c r="H13056" t="s">
        <v>989</v>
      </c>
      <c r="I13056" t="s">
        <v>1357</v>
      </c>
      <c r="J13056" t="s">
        <v>1357</v>
      </c>
      <c r="K13056" t="s">
        <v>1357</v>
      </c>
      <c r="L13056" t="s">
        <v>1357</v>
      </c>
    </row>
    <row r="13057" spans="8:12">
      <c r="H13057" t="s">
        <v>23672</v>
      </c>
      <c r="I13057" t="s">
        <v>1357</v>
      </c>
      <c r="J13057" t="s">
        <v>1357</v>
      </c>
      <c r="K13057" t="s">
        <v>1357</v>
      </c>
      <c r="L13057" t="s">
        <v>1357</v>
      </c>
    </row>
    <row r="13058" spans="8:12">
      <c r="H13058" t="s">
        <v>23673</v>
      </c>
      <c r="I13058" t="s">
        <v>1357</v>
      </c>
      <c r="J13058" t="s">
        <v>1357</v>
      </c>
      <c r="K13058" t="s">
        <v>1357</v>
      </c>
      <c r="L13058" t="s">
        <v>1357</v>
      </c>
    </row>
    <row r="13059" spans="8:12">
      <c r="H13059" t="s">
        <v>23674</v>
      </c>
      <c r="I13059" t="s">
        <v>1357</v>
      </c>
      <c r="J13059" t="s">
        <v>1357</v>
      </c>
      <c r="K13059" t="s">
        <v>1357</v>
      </c>
      <c r="L13059" t="s">
        <v>1357</v>
      </c>
    </row>
    <row r="13060" spans="8:12">
      <c r="H13060" t="s">
        <v>23675</v>
      </c>
      <c r="I13060" t="s">
        <v>1357</v>
      </c>
      <c r="J13060" t="s">
        <v>1357</v>
      </c>
      <c r="K13060" t="s">
        <v>1357</v>
      </c>
      <c r="L13060" t="s">
        <v>1357</v>
      </c>
    </row>
    <row r="13061" spans="8:12">
      <c r="H13061" t="s">
        <v>23676</v>
      </c>
      <c r="I13061" t="s">
        <v>1357</v>
      </c>
      <c r="J13061" t="s">
        <v>1357</v>
      </c>
      <c r="K13061" t="s">
        <v>1357</v>
      </c>
      <c r="L13061" t="s">
        <v>1357</v>
      </c>
    </row>
    <row r="13062" spans="8:12">
      <c r="H13062" t="s">
        <v>23677</v>
      </c>
      <c r="I13062" t="s">
        <v>1357</v>
      </c>
      <c r="J13062" t="s">
        <v>1357</v>
      </c>
      <c r="K13062" t="s">
        <v>1357</v>
      </c>
      <c r="L13062" t="s">
        <v>1357</v>
      </c>
    </row>
    <row r="13063" spans="8:12">
      <c r="H13063" t="s">
        <v>23678</v>
      </c>
      <c r="I13063" t="s">
        <v>1357</v>
      </c>
      <c r="J13063" t="s">
        <v>1357</v>
      </c>
      <c r="K13063" t="s">
        <v>1357</v>
      </c>
      <c r="L13063" t="s">
        <v>1357</v>
      </c>
    </row>
    <row r="13064" spans="8:12">
      <c r="H13064" t="s">
        <v>23679</v>
      </c>
      <c r="I13064" t="s">
        <v>1357</v>
      </c>
      <c r="J13064" t="s">
        <v>1357</v>
      </c>
      <c r="K13064" t="s">
        <v>1357</v>
      </c>
      <c r="L13064" t="s">
        <v>1357</v>
      </c>
    </row>
    <row r="13065" spans="8:12">
      <c r="H13065" t="s">
        <v>23680</v>
      </c>
      <c r="I13065" t="s">
        <v>1357</v>
      </c>
      <c r="J13065" t="s">
        <v>1357</v>
      </c>
      <c r="K13065" t="s">
        <v>1357</v>
      </c>
      <c r="L13065" t="s">
        <v>1357</v>
      </c>
    </row>
    <row r="13066" spans="8:12">
      <c r="H13066" t="s">
        <v>23681</v>
      </c>
      <c r="I13066" t="s">
        <v>1357</v>
      </c>
      <c r="J13066" t="s">
        <v>1357</v>
      </c>
      <c r="K13066" t="s">
        <v>1357</v>
      </c>
      <c r="L13066" t="s">
        <v>1357</v>
      </c>
    </row>
    <row r="13067" spans="8:12">
      <c r="H13067" t="s">
        <v>23682</v>
      </c>
      <c r="I13067" t="s">
        <v>1357</v>
      </c>
      <c r="J13067" t="s">
        <v>1357</v>
      </c>
      <c r="K13067" t="s">
        <v>1357</v>
      </c>
      <c r="L13067" t="s">
        <v>1357</v>
      </c>
    </row>
    <row r="13068" spans="8:12">
      <c r="H13068" t="s">
        <v>23683</v>
      </c>
      <c r="I13068" t="s">
        <v>1357</v>
      </c>
      <c r="J13068" t="s">
        <v>1357</v>
      </c>
      <c r="K13068" t="s">
        <v>1357</v>
      </c>
      <c r="L13068" t="s">
        <v>1357</v>
      </c>
    </row>
    <row r="13069" spans="8:12">
      <c r="H13069" t="s">
        <v>23684</v>
      </c>
      <c r="I13069" t="s">
        <v>1357</v>
      </c>
      <c r="J13069" t="s">
        <v>1357</v>
      </c>
      <c r="K13069" t="s">
        <v>1357</v>
      </c>
      <c r="L13069" t="s">
        <v>1357</v>
      </c>
    </row>
    <row r="13070" spans="8:12">
      <c r="H13070" t="s">
        <v>23685</v>
      </c>
      <c r="I13070" t="s">
        <v>1357</v>
      </c>
      <c r="J13070" t="s">
        <v>1357</v>
      </c>
      <c r="K13070" t="s">
        <v>1357</v>
      </c>
      <c r="L13070" t="s">
        <v>1357</v>
      </c>
    </row>
    <row r="13071" spans="8:12">
      <c r="H13071" t="s">
        <v>23686</v>
      </c>
      <c r="I13071" t="s">
        <v>1357</v>
      </c>
      <c r="J13071" t="s">
        <v>1357</v>
      </c>
      <c r="K13071" t="s">
        <v>1357</v>
      </c>
      <c r="L13071" t="s">
        <v>1357</v>
      </c>
    </row>
    <row r="13072" spans="8:12">
      <c r="H13072" t="s">
        <v>23687</v>
      </c>
      <c r="I13072" t="s">
        <v>1357</v>
      </c>
      <c r="J13072" t="s">
        <v>1357</v>
      </c>
      <c r="K13072" t="s">
        <v>1357</v>
      </c>
      <c r="L13072" t="s">
        <v>1357</v>
      </c>
    </row>
    <row r="13073" spans="8:12">
      <c r="H13073" t="s">
        <v>23688</v>
      </c>
      <c r="I13073" t="s">
        <v>1357</v>
      </c>
      <c r="J13073" t="s">
        <v>1357</v>
      </c>
      <c r="K13073" t="s">
        <v>1357</v>
      </c>
      <c r="L13073" t="s">
        <v>1357</v>
      </c>
    </row>
    <row r="13074" spans="8:12">
      <c r="H13074" t="s">
        <v>23689</v>
      </c>
      <c r="I13074" t="s">
        <v>1357</v>
      </c>
      <c r="J13074" t="s">
        <v>1357</v>
      </c>
      <c r="K13074" t="s">
        <v>1357</v>
      </c>
      <c r="L13074" t="s">
        <v>1357</v>
      </c>
    </row>
    <row r="13075" spans="8:12">
      <c r="H13075" t="s">
        <v>23690</v>
      </c>
      <c r="I13075" t="s">
        <v>1357</v>
      </c>
      <c r="J13075" t="s">
        <v>1357</v>
      </c>
      <c r="K13075" t="s">
        <v>1357</v>
      </c>
      <c r="L13075" t="s">
        <v>1357</v>
      </c>
    </row>
    <row r="13076" spans="8:12">
      <c r="H13076" t="s">
        <v>23691</v>
      </c>
      <c r="I13076" t="s">
        <v>1357</v>
      </c>
      <c r="J13076" t="s">
        <v>1357</v>
      </c>
      <c r="K13076" t="s">
        <v>1357</v>
      </c>
      <c r="L13076" t="s">
        <v>1357</v>
      </c>
    </row>
    <row r="13077" spans="8:12">
      <c r="H13077" t="s">
        <v>23692</v>
      </c>
      <c r="I13077" t="s">
        <v>1357</v>
      </c>
      <c r="J13077" t="s">
        <v>1357</v>
      </c>
      <c r="K13077" t="s">
        <v>1357</v>
      </c>
      <c r="L13077" t="s">
        <v>1357</v>
      </c>
    </row>
    <row r="13078" spans="8:12">
      <c r="H13078" t="s">
        <v>23693</v>
      </c>
      <c r="I13078" t="s">
        <v>1357</v>
      </c>
      <c r="J13078" t="s">
        <v>1357</v>
      </c>
      <c r="K13078" t="s">
        <v>1357</v>
      </c>
      <c r="L13078" t="s">
        <v>1357</v>
      </c>
    </row>
    <row r="13079" spans="8:12">
      <c r="H13079" t="s">
        <v>23694</v>
      </c>
      <c r="I13079" t="s">
        <v>1357</v>
      </c>
      <c r="J13079" t="s">
        <v>1357</v>
      </c>
      <c r="K13079" t="s">
        <v>1357</v>
      </c>
      <c r="L13079" t="s">
        <v>1357</v>
      </c>
    </row>
    <row r="13080" spans="8:12">
      <c r="H13080" t="s">
        <v>23695</v>
      </c>
      <c r="I13080" t="s">
        <v>1357</v>
      </c>
      <c r="J13080" t="s">
        <v>1357</v>
      </c>
      <c r="K13080" t="s">
        <v>1357</v>
      </c>
      <c r="L13080" t="s">
        <v>1357</v>
      </c>
    </row>
    <row r="13081" spans="8:12">
      <c r="H13081" t="s">
        <v>23696</v>
      </c>
      <c r="I13081" t="s">
        <v>1357</v>
      </c>
      <c r="J13081" t="s">
        <v>1357</v>
      </c>
      <c r="K13081" t="s">
        <v>1357</v>
      </c>
      <c r="L13081" t="s">
        <v>1357</v>
      </c>
    </row>
    <row r="13082" spans="8:12">
      <c r="H13082" t="s">
        <v>23697</v>
      </c>
      <c r="I13082" t="s">
        <v>1357</v>
      </c>
      <c r="J13082" t="s">
        <v>1357</v>
      </c>
      <c r="K13082" t="s">
        <v>1357</v>
      </c>
      <c r="L13082" t="s">
        <v>1357</v>
      </c>
    </row>
    <row r="13083" spans="8:12">
      <c r="H13083" t="s">
        <v>23698</v>
      </c>
      <c r="I13083" t="s">
        <v>1357</v>
      </c>
      <c r="J13083" t="s">
        <v>1357</v>
      </c>
      <c r="K13083" t="s">
        <v>1357</v>
      </c>
      <c r="L13083" t="s">
        <v>1357</v>
      </c>
    </row>
    <row r="13084" spans="8:12">
      <c r="H13084" t="s">
        <v>23699</v>
      </c>
      <c r="I13084" t="s">
        <v>1357</v>
      </c>
      <c r="J13084" t="s">
        <v>1357</v>
      </c>
      <c r="K13084" t="s">
        <v>1357</v>
      </c>
      <c r="L13084" t="s">
        <v>1357</v>
      </c>
    </row>
    <row r="13085" spans="8:12">
      <c r="H13085" t="s">
        <v>23700</v>
      </c>
      <c r="I13085" t="s">
        <v>1357</v>
      </c>
      <c r="J13085" t="s">
        <v>1357</v>
      </c>
      <c r="K13085" t="s">
        <v>1357</v>
      </c>
      <c r="L13085" t="s">
        <v>1357</v>
      </c>
    </row>
    <row r="13086" spans="8:12">
      <c r="H13086" t="s">
        <v>23701</v>
      </c>
      <c r="I13086" t="s">
        <v>1357</v>
      </c>
      <c r="J13086" t="s">
        <v>1357</v>
      </c>
      <c r="K13086" t="s">
        <v>1357</v>
      </c>
      <c r="L13086" t="s">
        <v>1357</v>
      </c>
    </row>
    <row r="13087" spans="8:12">
      <c r="H13087" t="s">
        <v>23702</v>
      </c>
      <c r="I13087" t="s">
        <v>1357</v>
      </c>
      <c r="J13087" t="s">
        <v>1357</v>
      </c>
      <c r="K13087" t="s">
        <v>1357</v>
      </c>
      <c r="L13087" t="s">
        <v>1357</v>
      </c>
    </row>
    <row r="13088" spans="8:12">
      <c r="H13088" t="s">
        <v>23703</v>
      </c>
      <c r="I13088" t="s">
        <v>1357</v>
      </c>
      <c r="J13088" t="s">
        <v>1357</v>
      </c>
      <c r="K13088" t="s">
        <v>1357</v>
      </c>
      <c r="L13088" t="s">
        <v>1357</v>
      </c>
    </row>
    <row r="13089" spans="8:12">
      <c r="H13089" t="s">
        <v>23704</v>
      </c>
      <c r="I13089" t="s">
        <v>1358</v>
      </c>
      <c r="J13089" t="s">
        <v>1358</v>
      </c>
      <c r="K13089" t="s">
        <v>1358</v>
      </c>
      <c r="L13089" t="s">
        <v>1358</v>
      </c>
    </row>
    <row r="13090" spans="8:12">
      <c r="H13090" t="s">
        <v>23705</v>
      </c>
      <c r="I13090" t="s">
        <v>1358</v>
      </c>
      <c r="J13090" t="s">
        <v>1358</v>
      </c>
      <c r="K13090" t="s">
        <v>1358</v>
      </c>
      <c r="L13090" t="s">
        <v>1358</v>
      </c>
    </row>
    <row r="13091" spans="8:12">
      <c r="H13091" t="s">
        <v>23706</v>
      </c>
      <c r="I13091" t="s">
        <v>1357</v>
      </c>
      <c r="J13091" t="s">
        <v>1357</v>
      </c>
      <c r="K13091" t="s">
        <v>1357</v>
      </c>
      <c r="L13091" t="s">
        <v>1357</v>
      </c>
    </row>
    <row r="13092" spans="8:12">
      <c r="H13092" t="s">
        <v>23707</v>
      </c>
      <c r="I13092" t="s">
        <v>1357</v>
      </c>
      <c r="J13092" t="s">
        <v>1357</v>
      </c>
      <c r="K13092" t="s">
        <v>1357</v>
      </c>
      <c r="L13092" t="s">
        <v>1357</v>
      </c>
    </row>
    <row r="13093" spans="8:12">
      <c r="H13093" t="s">
        <v>23708</v>
      </c>
      <c r="I13093" t="s">
        <v>1357</v>
      </c>
      <c r="J13093" t="s">
        <v>1357</v>
      </c>
      <c r="K13093" t="s">
        <v>1357</v>
      </c>
      <c r="L13093" t="s">
        <v>1357</v>
      </c>
    </row>
    <row r="13094" spans="8:12">
      <c r="H13094" t="s">
        <v>23709</v>
      </c>
      <c r="I13094" t="s">
        <v>1357</v>
      </c>
      <c r="J13094" t="s">
        <v>1357</v>
      </c>
      <c r="K13094" t="s">
        <v>1357</v>
      </c>
      <c r="L13094" t="s">
        <v>1357</v>
      </c>
    </row>
    <row r="13095" spans="8:12">
      <c r="H13095" t="s">
        <v>23710</v>
      </c>
      <c r="I13095" t="s">
        <v>1358</v>
      </c>
      <c r="J13095" t="s">
        <v>1358</v>
      </c>
      <c r="K13095" t="s">
        <v>1358</v>
      </c>
      <c r="L13095" t="s">
        <v>1358</v>
      </c>
    </row>
    <row r="13096" spans="8:12">
      <c r="H13096" t="s">
        <v>23711</v>
      </c>
      <c r="I13096" t="s">
        <v>1358</v>
      </c>
      <c r="J13096" t="s">
        <v>1358</v>
      </c>
      <c r="K13096" t="s">
        <v>1358</v>
      </c>
      <c r="L13096" t="s">
        <v>1358</v>
      </c>
    </row>
    <row r="13097" spans="8:12">
      <c r="H13097" t="s">
        <v>23712</v>
      </c>
      <c r="I13097" t="s">
        <v>1357</v>
      </c>
      <c r="J13097" t="s">
        <v>1357</v>
      </c>
      <c r="K13097" t="s">
        <v>1357</v>
      </c>
      <c r="L13097" t="s">
        <v>1357</v>
      </c>
    </row>
    <row r="13098" spans="8:12">
      <c r="H13098" t="s">
        <v>23713</v>
      </c>
      <c r="I13098" t="s">
        <v>1357</v>
      </c>
      <c r="J13098" t="s">
        <v>1357</v>
      </c>
      <c r="K13098" t="s">
        <v>1357</v>
      </c>
      <c r="L13098" t="s">
        <v>1357</v>
      </c>
    </row>
    <row r="13099" spans="8:12">
      <c r="H13099" t="s">
        <v>23714</v>
      </c>
      <c r="I13099" t="s">
        <v>1357</v>
      </c>
      <c r="J13099" t="s">
        <v>1357</v>
      </c>
      <c r="K13099" t="s">
        <v>1357</v>
      </c>
      <c r="L13099" t="s">
        <v>1357</v>
      </c>
    </row>
    <row r="13100" spans="8:12">
      <c r="H13100" t="s">
        <v>23715</v>
      </c>
      <c r="I13100" t="s">
        <v>1357</v>
      </c>
      <c r="J13100" t="s">
        <v>1357</v>
      </c>
      <c r="K13100" t="s">
        <v>1357</v>
      </c>
      <c r="L13100" t="s">
        <v>1357</v>
      </c>
    </row>
    <row r="13101" spans="8:12">
      <c r="H13101" t="s">
        <v>23716</v>
      </c>
      <c r="I13101" t="s">
        <v>1357</v>
      </c>
      <c r="J13101" t="s">
        <v>1357</v>
      </c>
      <c r="K13101" t="s">
        <v>1357</v>
      </c>
      <c r="L13101" t="s">
        <v>1357</v>
      </c>
    </row>
    <row r="13102" spans="8:12">
      <c r="H13102" t="s">
        <v>23717</v>
      </c>
      <c r="I13102" t="s">
        <v>1358</v>
      </c>
      <c r="J13102" t="s">
        <v>1358</v>
      </c>
      <c r="K13102" t="s">
        <v>1358</v>
      </c>
      <c r="L13102" t="s">
        <v>1358</v>
      </c>
    </row>
    <row r="13103" spans="8:12">
      <c r="H13103" t="s">
        <v>23718</v>
      </c>
      <c r="I13103" t="s">
        <v>1357</v>
      </c>
      <c r="J13103" t="s">
        <v>1357</v>
      </c>
      <c r="K13103" t="s">
        <v>1357</v>
      </c>
      <c r="L13103" t="s">
        <v>1357</v>
      </c>
    </row>
    <row r="13104" spans="8:12">
      <c r="H13104" t="s">
        <v>23719</v>
      </c>
      <c r="I13104" t="s">
        <v>1357</v>
      </c>
      <c r="J13104" t="s">
        <v>1357</v>
      </c>
      <c r="K13104" t="s">
        <v>1357</v>
      </c>
      <c r="L13104" t="s">
        <v>1357</v>
      </c>
    </row>
    <row r="13105" spans="8:12">
      <c r="H13105" t="s">
        <v>23720</v>
      </c>
      <c r="I13105" t="s">
        <v>1358</v>
      </c>
      <c r="J13105" t="s">
        <v>1358</v>
      </c>
      <c r="K13105" t="s">
        <v>1358</v>
      </c>
      <c r="L13105" t="s">
        <v>1358</v>
      </c>
    </row>
    <row r="13106" spans="8:12">
      <c r="H13106" t="s">
        <v>23721</v>
      </c>
      <c r="I13106" t="s">
        <v>1357</v>
      </c>
      <c r="J13106" t="s">
        <v>1357</v>
      </c>
      <c r="K13106" t="s">
        <v>1357</v>
      </c>
      <c r="L13106" t="s">
        <v>1357</v>
      </c>
    </row>
    <row r="13107" spans="8:12">
      <c r="H13107" t="s">
        <v>23722</v>
      </c>
      <c r="I13107" t="s">
        <v>1358</v>
      </c>
      <c r="J13107" t="s">
        <v>1358</v>
      </c>
      <c r="K13107" t="s">
        <v>1358</v>
      </c>
      <c r="L13107" t="s">
        <v>1358</v>
      </c>
    </row>
    <row r="13108" spans="8:12">
      <c r="H13108" t="s">
        <v>23723</v>
      </c>
      <c r="I13108" t="s">
        <v>1359</v>
      </c>
      <c r="J13108" t="s">
        <v>1357</v>
      </c>
      <c r="K13108" t="s">
        <v>1357</v>
      </c>
      <c r="L13108" t="s">
        <v>1358</v>
      </c>
    </row>
    <row r="13109" spans="8:12">
      <c r="H13109" t="s">
        <v>23724</v>
      </c>
      <c r="I13109" t="s">
        <v>1357</v>
      </c>
      <c r="J13109" t="s">
        <v>1357</v>
      </c>
      <c r="K13109" t="s">
        <v>1357</v>
      </c>
      <c r="L13109" t="s">
        <v>1357</v>
      </c>
    </row>
    <row r="13110" spans="8:12">
      <c r="H13110" t="s">
        <v>23725</v>
      </c>
      <c r="I13110" t="s">
        <v>1358</v>
      </c>
      <c r="J13110" t="s">
        <v>1358</v>
      </c>
      <c r="K13110" t="s">
        <v>1358</v>
      </c>
      <c r="L13110" t="s">
        <v>1358</v>
      </c>
    </row>
    <row r="13111" spans="8:12">
      <c r="H13111" t="s">
        <v>23726</v>
      </c>
      <c r="I13111" t="s">
        <v>1357</v>
      </c>
      <c r="J13111" t="s">
        <v>1357</v>
      </c>
      <c r="K13111" t="s">
        <v>1357</v>
      </c>
      <c r="L13111" t="s">
        <v>1357</v>
      </c>
    </row>
    <row r="13112" spans="8:12">
      <c r="H13112" t="s">
        <v>23727</v>
      </c>
      <c r="I13112" t="s">
        <v>1358</v>
      </c>
      <c r="J13112" t="s">
        <v>1358</v>
      </c>
      <c r="K13112" t="s">
        <v>1358</v>
      </c>
      <c r="L13112" t="s">
        <v>1358</v>
      </c>
    </row>
    <row r="13113" spans="8:12">
      <c r="H13113" t="s">
        <v>23728</v>
      </c>
      <c r="I13113" t="s">
        <v>1357</v>
      </c>
      <c r="J13113" t="s">
        <v>1357</v>
      </c>
      <c r="K13113" t="s">
        <v>1357</v>
      </c>
      <c r="L13113" t="s">
        <v>1357</v>
      </c>
    </row>
    <row r="13114" spans="8:12">
      <c r="H13114" t="s">
        <v>23729</v>
      </c>
      <c r="I13114" t="s">
        <v>1358</v>
      </c>
      <c r="J13114" t="s">
        <v>1358</v>
      </c>
      <c r="K13114" t="s">
        <v>1358</v>
      </c>
      <c r="L13114" t="s">
        <v>1358</v>
      </c>
    </row>
    <row r="13115" spans="8:12">
      <c r="H13115" t="s">
        <v>23730</v>
      </c>
      <c r="I13115" t="s">
        <v>1357</v>
      </c>
      <c r="J13115" t="s">
        <v>1357</v>
      </c>
      <c r="K13115" t="s">
        <v>1357</v>
      </c>
      <c r="L13115" t="s">
        <v>1357</v>
      </c>
    </row>
    <row r="13116" spans="8:12">
      <c r="H13116" t="s">
        <v>23731</v>
      </c>
      <c r="I13116" t="s">
        <v>1358</v>
      </c>
      <c r="J13116" t="s">
        <v>1358</v>
      </c>
      <c r="K13116" t="s">
        <v>1358</v>
      </c>
      <c r="L13116" t="s">
        <v>1358</v>
      </c>
    </row>
    <row r="13117" spans="8:12">
      <c r="H13117" t="s">
        <v>23732</v>
      </c>
      <c r="I13117" t="s">
        <v>1358</v>
      </c>
      <c r="J13117" t="s">
        <v>1358</v>
      </c>
      <c r="K13117" t="s">
        <v>1358</v>
      </c>
      <c r="L13117" t="s">
        <v>1358</v>
      </c>
    </row>
    <row r="13118" spans="8:12">
      <c r="H13118" t="s">
        <v>23733</v>
      </c>
      <c r="I13118" t="s">
        <v>1358</v>
      </c>
      <c r="J13118" t="s">
        <v>1358</v>
      </c>
      <c r="K13118" t="s">
        <v>1358</v>
      </c>
      <c r="L13118" t="s">
        <v>1358</v>
      </c>
    </row>
    <row r="13119" spans="8:12">
      <c r="H13119" t="s">
        <v>23734</v>
      </c>
      <c r="I13119" t="s">
        <v>1358</v>
      </c>
      <c r="J13119" t="s">
        <v>1358</v>
      </c>
      <c r="K13119" t="s">
        <v>1358</v>
      </c>
      <c r="L13119" t="s">
        <v>1358</v>
      </c>
    </row>
    <row r="13120" spans="8:12">
      <c r="H13120" t="s">
        <v>23735</v>
      </c>
      <c r="I13120" t="s">
        <v>1358</v>
      </c>
      <c r="J13120" t="s">
        <v>1358</v>
      </c>
      <c r="K13120" t="s">
        <v>1358</v>
      </c>
      <c r="L13120" t="s">
        <v>1358</v>
      </c>
    </row>
    <row r="13121" spans="8:12">
      <c r="H13121" t="s">
        <v>23736</v>
      </c>
      <c r="I13121" t="s">
        <v>1357</v>
      </c>
      <c r="J13121" t="s">
        <v>1357</v>
      </c>
      <c r="K13121" t="s">
        <v>1357</v>
      </c>
      <c r="L13121" t="s">
        <v>1357</v>
      </c>
    </row>
    <row r="13122" spans="8:12">
      <c r="H13122" t="s">
        <v>23737</v>
      </c>
      <c r="I13122" t="s">
        <v>1358</v>
      </c>
      <c r="J13122" t="s">
        <v>1358</v>
      </c>
      <c r="K13122" t="s">
        <v>1358</v>
      </c>
      <c r="L13122" t="s">
        <v>1358</v>
      </c>
    </row>
    <row r="13123" spans="8:12">
      <c r="H13123" t="s">
        <v>23738</v>
      </c>
      <c r="I13123" t="s">
        <v>1358</v>
      </c>
      <c r="J13123" t="s">
        <v>1358</v>
      </c>
      <c r="K13123" t="s">
        <v>1358</v>
      </c>
      <c r="L13123" t="s">
        <v>1358</v>
      </c>
    </row>
    <row r="13124" spans="8:12">
      <c r="H13124" t="s">
        <v>23739</v>
      </c>
      <c r="I13124" t="s">
        <v>1358</v>
      </c>
      <c r="J13124" t="s">
        <v>1358</v>
      </c>
      <c r="K13124" t="s">
        <v>1358</v>
      </c>
      <c r="L13124" t="s">
        <v>1358</v>
      </c>
    </row>
    <row r="13125" spans="8:12">
      <c r="H13125" t="s">
        <v>23740</v>
      </c>
      <c r="I13125" t="s">
        <v>1358</v>
      </c>
      <c r="J13125" t="s">
        <v>1358</v>
      </c>
      <c r="K13125" t="s">
        <v>1358</v>
      </c>
      <c r="L13125" t="s">
        <v>1358</v>
      </c>
    </row>
    <row r="13126" spans="8:12">
      <c r="H13126" t="s">
        <v>23741</v>
      </c>
      <c r="I13126" t="s">
        <v>1358</v>
      </c>
      <c r="J13126" t="s">
        <v>1358</v>
      </c>
      <c r="K13126" t="s">
        <v>1358</v>
      </c>
      <c r="L13126" t="s">
        <v>1358</v>
      </c>
    </row>
    <row r="13127" spans="8:12">
      <c r="H13127" t="s">
        <v>23742</v>
      </c>
      <c r="I13127" t="s">
        <v>1357</v>
      </c>
      <c r="J13127" t="s">
        <v>1357</v>
      </c>
      <c r="K13127" t="s">
        <v>1357</v>
      </c>
      <c r="L13127" t="s">
        <v>1357</v>
      </c>
    </row>
    <row r="13128" spans="8:12">
      <c r="H13128" t="s">
        <v>23743</v>
      </c>
      <c r="I13128" t="s">
        <v>1357</v>
      </c>
      <c r="J13128" t="s">
        <v>1357</v>
      </c>
      <c r="K13128" t="s">
        <v>1357</v>
      </c>
      <c r="L13128" t="s">
        <v>1357</v>
      </c>
    </row>
    <row r="13129" spans="8:12">
      <c r="H13129" t="s">
        <v>23744</v>
      </c>
      <c r="I13129" t="s">
        <v>1358</v>
      </c>
      <c r="J13129" t="s">
        <v>1358</v>
      </c>
      <c r="K13129" t="s">
        <v>1358</v>
      </c>
      <c r="L13129" t="s">
        <v>1358</v>
      </c>
    </row>
    <row r="13130" spans="8:12">
      <c r="H13130" t="s">
        <v>23745</v>
      </c>
      <c r="I13130" t="s">
        <v>1358</v>
      </c>
      <c r="J13130" t="s">
        <v>1358</v>
      </c>
      <c r="K13130" t="s">
        <v>1358</v>
      </c>
      <c r="L13130" t="s">
        <v>1358</v>
      </c>
    </row>
    <row r="13131" spans="8:12">
      <c r="H13131" t="s">
        <v>23746</v>
      </c>
      <c r="I13131" t="s">
        <v>1358</v>
      </c>
      <c r="J13131" t="s">
        <v>1358</v>
      </c>
      <c r="K13131" t="s">
        <v>1358</v>
      </c>
      <c r="L13131" t="s">
        <v>1358</v>
      </c>
    </row>
    <row r="13132" spans="8:12">
      <c r="H13132" t="s">
        <v>23747</v>
      </c>
      <c r="I13132" t="s">
        <v>1358</v>
      </c>
      <c r="J13132" t="s">
        <v>1358</v>
      </c>
      <c r="K13132" t="s">
        <v>1358</v>
      </c>
      <c r="L13132" t="s">
        <v>1358</v>
      </c>
    </row>
    <row r="13133" spans="8:12">
      <c r="H13133" t="s">
        <v>23748</v>
      </c>
      <c r="I13133" t="s">
        <v>1358</v>
      </c>
      <c r="J13133" t="s">
        <v>1358</v>
      </c>
      <c r="K13133" t="s">
        <v>1358</v>
      </c>
      <c r="L13133" t="s">
        <v>1358</v>
      </c>
    </row>
    <row r="13134" spans="8:12">
      <c r="H13134" t="s">
        <v>23749</v>
      </c>
      <c r="I13134" t="s">
        <v>1358</v>
      </c>
      <c r="J13134" t="s">
        <v>1358</v>
      </c>
      <c r="K13134" t="s">
        <v>1358</v>
      </c>
      <c r="L13134" t="s">
        <v>1358</v>
      </c>
    </row>
    <row r="13135" spans="8:12">
      <c r="H13135" t="s">
        <v>23750</v>
      </c>
      <c r="I13135" t="s">
        <v>1357</v>
      </c>
      <c r="J13135" t="s">
        <v>1357</v>
      </c>
      <c r="K13135" t="s">
        <v>1357</v>
      </c>
      <c r="L13135" t="s">
        <v>1357</v>
      </c>
    </row>
    <row r="13136" spans="8:12">
      <c r="H13136" t="s">
        <v>23751</v>
      </c>
      <c r="I13136" t="s">
        <v>1358</v>
      </c>
      <c r="J13136" t="s">
        <v>1358</v>
      </c>
      <c r="K13136" t="s">
        <v>1358</v>
      </c>
      <c r="L13136" t="s">
        <v>1358</v>
      </c>
    </row>
    <row r="13137" spans="8:12">
      <c r="H13137" t="s">
        <v>23752</v>
      </c>
      <c r="I13137" t="s">
        <v>1358</v>
      </c>
      <c r="J13137" t="s">
        <v>1358</v>
      </c>
      <c r="K13137" t="s">
        <v>1358</v>
      </c>
      <c r="L13137" t="s">
        <v>1358</v>
      </c>
    </row>
    <row r="13138" spans="8:12">
      <c r="H13138" t="s">
        <v>23753</v>
      </c>
      <c r="I13138" t="s">
        <v>1358</v>
      </c>
      <c r="J13138" t="s">
        <v>1358</v>
      </c>
      <c r="K13138" t="s">
        <v>1358</v>
      </c>
      <c r="L13138" t="s">
        <v>1358</v>
      </c>
    </row>
    <row r="13139" spans="8:12">
      <c r="H13139" t="s">
        <v>23754</v>
      </c>
      <c r="I13139" t="s">
        <v>1358</v>
      </c>
      <c r="J13139" t="s">
        <v>1358</v>
      </c>
      <c r="K13139" t="s">
        <v>1358</v>
      </c>
      <c r="L13139" t="s">
        <v>1358</v>
      </c>
    </row>
    <row r="13140" spans="8:12">
      <c r="H13140" t="s">
        <v>23755</v>
      </c>
      <c r="I13140" t="s">
        <v>1357</v>
      </c>
      <c r="J13140" t="s">
        <v>1357</v>
      </c>
      <c r="K13140" t="s">
        <v>1357</v>
      </c>
      <c r="L13140" t="s">
        <v>1357</v>
      </c>
    </row>
    <row r="13141" spans="8:12">
      <c r="H13141" t="s">
        <v>23756</v>
      </c>
      <c r="I13141" t="s">
        <v>1358</v>
      </c>
      <c r="J13141" t="s">
        <v>1358</v>
      </c>
      <c r="K13141" t="s">
        <v>1358</v>
      </c>
      <c r="L13141" t="s">
        <v>1358</v>
      </c>
    </row>
    <row r="13142" spans="8:12">
      <c r="H13142" t="s">
        <v>23757</v>
      </c>
      <c r="I13142" t="s">
        <v>1358</v>
      </c>
      <c r="J13142" t="s">
        <v>1358</v>
      </c>
      <c r="K13142" t="s">
        <v>1358</v>
      </c>
      <c r="L13142" t="s">
        <v>1358</v>
      </c>
    </row>
    <row r="13143" spans="8:12">
      <c r="H13143" t="s">
        <v>23758</v>
      </c>
      <c r="I13143" t="s">
        <v>1358</v>
      </c>
      <c r="J13143" t="s">
        <v>1358</v>
      </c>
      <c r="K13143" t="s">
        <v>1358</v>
      </c>
      <c r="L13143" t="s">
        <v>1358</v>
      </c>
    </row>
    <row r="13144" spans="8:12">
      <c r="H13144" t="s">
        <v>23759</v>
      </c>
      <c r="I13144" t="s">
        <v>1357</v>
      </c>
      <c r="J13144" t="s">
        <v>1357</v>
      </c>
      <c r="K13144" t="s">
        <v>1357</v>
      </c>
      <c r="L13144" t="s">
        <v>1357</v>
      </c>
    </row>
    <row r="13145" spans="8:12">
      <c r="H13145" t="s">
        <v>23760</v>
      </c>
      <c r="I13145" t="s">
        <v>1357</v>
      </c>
      <c r="J13145" t="s">
        <v>1357</v>
      </c>
      <c r="K13145" t="s">
        <v>1357</v>
      </c>
      <c r="L13145" t="s">
        <v>1357</v>
      </c>
    </row>
    <row r="13146" spans="8:12">
      <c r="H13146" t="s">
        <v>23761</v>
      </c>
      <c r="I13146" t="s">
        <v>1358</v>
      </c>
      <c r="J13146" t="s">
        <v>1358</v>
      </c>
      <c r="K13146" t="s">
        <v>1358</v>
      </c>
      <c r="L13146" t="s">
        <v>1358</v>
      </c>
    </row>
    <row r="13147" spans="8:12">
      <c r="H13147" t="s">
        <v>23762</v>
      </c>
      <c r="I13147" t="s">
        <v>1358</v>
      </c>
      <c r="J13147" t="s">
        <v>1358</v>
      </c>
      <c r="K13147" t="s">
        <v>1358</v>
      </c>
      <c r="L13147" t="s">
        <v>1358</v>
      </c>
    </row>
    <row r="13148" spans="8:12">
      <c r="H13148" t="s">
        <v>23763</v>
      </c>
      <c r="I13148" t="s">
        <v>1358</v>
      </c>
      <c r="J13148" t="s">
        <v>1358</v>
      </c>
      <c r="K13148" t="s">
        <v>1358</v>
      </c>
      <c r="L13148" t="s">
        <v>1358</v>
      </c>
    </row>
    <row r="13149" spans="8:12">
      <c r="H13149" t="s">
        <v>23764</v>
      </c>
      <c r="I13149" t="s">
        <v>1358</v>
      </c>
      <c r="J13149" t="s">
        <v>1358</v>
      </c>
      <c r="K13149" t="s">
        <v>1358</v>
      </c>
      <c r="L13149" t="s">
        <v>1358</v>
      </c>
    </row>
    <row r="13150" spans="8:12">
      <c r="H13150" t="s">
        <v>23765</v>
      </c>
      <c r="I13150" t="s">
        <v>1357</v>
      </c>
      <c r="J13150" t="s">
        <v>1357</v>
      </c>
      <c r="K13150" t="s">
        <v>1357</v>
      </c>
      <c r="L13150" t="s">
        <v>1357</v>
      </c>
    </row>
    <row r="13151" spans="8:12">
      <c r="H13151" t="s">
        <v>23766</v>
      </c>
      <c r="I13151" t="s">
        <v>1357</v>
      </c>
      <c r="J13151" t="s">
        <v>1357</v>
      </c>
      <c r="K13151" t="s">
        <v>1357</v>
      </c>
      <c r="L13151" t="s">
        <v>1357</v>
      </c>
    </row>
    <row r="13152" spans="8:12">
      <c r="H13152" t="s">
        <v>23767</v>
      </c>
      <c r="I13152" t="s">
        <v>1358</v>
      </c>
      <c r="J13152" t="s">
        <v>1358</v>
      </c>
      <c r="K13152" t="s">
        <v>1358</v>
      </c>
      <c r="L13152" t="s">
        <v>1358</v>
      </c>
    </row>
    <row r="13153" spans="8:12">
      <c r="H13153" t="s">
        <v>23768</v>
      </c>
      <c r="I13153" t="s">
        <v>1358</v>
      </c>
      <c r="J13153" t="s">
        <v>1358</v>
      </c>
      <c r="K13153" t="s">
        <v>1358</v>
      </c>
      <c r="L13153" t="s">
        <v>1358</v>
      </c>
    </row>
    <row r="13154" spans="8:12">
      <c r="H13154" t="s">
        <v>23769</v>
      </c>
      <c r="I13154" t="s">
        <v>1358</v>
      </c>
      <c r="J13154" t="s">
        <v>1358</v>
      </c>
      <c r="K13154" t="s">
        <v>1358</v>
      </c>
      <c r="L13154" t="s">
        <v>1358</v>
      </c>
    </row>
    <row r="13155" spans="8:12">
      <c r="H13155" t="s">
        <v>23770</v>
      </c>
      <c r="I13155" t="s">
        <v>1358</v>
      </c>
      <c r="J13155" t="s">
        <v>1358</v>
      </c>
      <c r="K13155" t="s">
        <v>1358</v>
      </c>
      <c r="L13155" t="s">
        <v>1358</v>
      </c>
    </row>
    <row r="13156" spans="8:12">
      <c r="H13156" t="s">
        <v>23771</v>
      </c>
      <c r="I13156" t="s">
        <v>1358</v>
      </c>
      <c r="J13156" t="s">
        <v>1358</v>
      </c>
      <c r="K13156" t="s">
        <v>1358</v>
      </c>
      <c r="L13156" t="s">
        <v>1358</v>
      </c>
    </row>
    <row r="13157" spans="8:12">
      <c r="H13157" t="s">
        <v>23772</v>
      </c>
      <c r="I13157" t="s">
        <v>1358</v>
      </c>
      <c r="J13157" t="s">
        <v>1358</v>
      </c>
      <c r="K13157" t="s">
        <v>1358</v>
      </c>
      <c r="L13157" t="s">
        <v>1358</v>
      </c>
    </row>
    <row r="13158" spans="8:12">
      <c r="H13158" t="s">
        <v>23773</v>
      </c>
      <c r="I13158" t="s">
        <v>1358</v>
      </c>
      <c r="J13158" t="s">
        <v>1358</v>
      </c>
      <c r="K13158" t="s">
        <v>1358</v>
      </c>
      <c r="L13158" t="s">
        <v>1358</v>
      </c>
    </row>
    <row r="13159" spans="8:12">
      <c r="H13159" t="s">
        <v>23774</v>
      </c>
      <c r="I13159" t="s">
        <v>1358</v>
      </c>
      <c r="J13159" t="s">
        <v>1358</v>
      </c>
      <c r="K13159" t="s">
        <v>1358</v>
      </c>
      <c r="L13159" t="s">
        <v>1358</v>
      </c>
    </row>
    <row r="13160" spans="8:12">
      <c r="H13160" t="s">
        <v>23775</v>
      </c>
      <c r="I13160" t="s">
        <v>1358</v>
      </c>
      <c r="J13160" t="s">
        <v>1358</v>
      </c>
      <c r="K13160" t="s">
        <v>1358</v>
      </c>
      <c r="L13160" t="s">
        <v>1358</v>
      </c>
    </row>
    <row r="13161" spans="8:12">
      <c r="H13161" t="s">
        <v>23776</v>
      </c>
      <c r="I13161" t="s">
        <v>1358</v>
      </c>
      <c r="J13161" t="s">
        <v>1358</v>
      </c>
      <c r="K13161" t="s">
        <v>1358</v>
      </c>
      <c r="L13161" t="s">
        <v>1358</v>
      </c>
    </row>
    <row r="13162" spans="8:12">
      <c r="H13162" t="s">
        <v>23777</v>
      </c>
      <c r="I13162" t="s">
        <v>1358</v>
      </c>
      <c r="J13162" t="s">
        <v>1358</v>
      </c>
      <c r="K13162" t="s">
        <v>1358</v>
      </c>
      <c r="L13162" t="s">
        <v>1358</v>
      </c>
    </row>
    <row r="13163" spans="8:12">
      <c r="H13163" t="s">
        <v>23778</v>
      </c>
      <c r="I13163" t="s">
        <v>1358</v>
      </c>
      <c r="J13163" t="s">
        <v>1358</v>
      </c>
      <c r="K13163" t="s">
        <v>1358</v>
      </c>
      <c r="L13163" t="s">
        <v>1358</v>
      </c>
    </row>
    <row r="13164" spans="8:12">
      <c r="H13164" t="s">
        <v>23779</v>
      </c>
      <c r="I13164" t="s">
        <v>1358</v>
      </c>
      <c r="J13164" t="s">
        <v>1358</v>
      </c>
      <c r="K13164" t="s">
        <v>1358</v>
      </c>
      <c r="L13164" t="s">
        <v>1358</v>
      </c>
    </row>
    <row r="13165" spans="8:12">
      <c r="H13165" t="s">
        <v>23780</v>
      </c>
      <c r="I13165" t="s">
        <v>1358</v>
      </c>
      <c r="J13165" t="s">
        <v>1358</v>
      </c>
      <c r="K13165" t="s">
        <v>1358</v>
      </c>
      <c r="L13165" t="s">
        <v>1358</v>
      </c>
    </row>
    <row r="13166" spans="8:12">
      <c r="H13166" t="s">
        <v>23781</v>
      </c>
      <c r="I13166" t="s">
        <v>1358</v>
      </c>
      <c r="J13166" t="s">
        <v>1358</v>
      </c>
      <c r="K13166" t="s">
        <v>1358</v>
      </c>
      <c r="L13166" t="s">
        <v>1358</v>
      </c>
    </row>
    <row r="13167" spans="8:12">
      <c r="H13167" t="s">
        <v>23782</v>
      </c>
      <c r="I13167" t="s">
        <v>1358</v>
      </c>
      <c r="J13167" t="s">
        <v>1358</v>
      </c>
      <c r="K13167" t="s">
        <v>1358</v>
      </c>
      <c r="L13167" t="s">
        <v>1358</v>
      </c>
    </row>
    <row r="13168" spans="8:12">
      <c r="H13168" t="s">
        <v>23783</v>
      </c>
      <c r="I13168" t="s">
        <v>1358</v>
      </c>
      <c r="J13168" t="s">
        <v>1358</v>
      </c>
      <c r="K13168" t="s">
        <v>1358</v>
      </c>
      <c r="L13168" t="s">
        <v>1358</v>
      </c>
    </row>
    <row r="13169" spans="8:12">
      <c r="H13169" t="s">
        <v>23784</v>
      </c>
      <c r="I13169" t="s">
        <v>1357</v>
      </c>
      <c r="J13169" t="s">
        <v>1357</v>
      </c>
      <c r="K13169" t="s">
        <v>1357</v>
      </c>
      <c r="L13169" t="s">
        <v>1357</v>
      </c>
    </row>
    <row r="13170" spans="8:12">
      <c r="H13170" t="s">
        <v>23785</v>
      </c>
      <c r="I13170" t="s">
        <v>1358</v>
      </c>
      <c r="J13170" t="s">
        <v>1358</v>
      </c>
      <c r="K13170" t="s">
        <v>1358</v>
      </c>
      <c r="L13170" t="s">
        <v>1358</v>
      </c>
    </row>
    <row r="13171" spans="8:12">
      <c r="H13171" t="s">
        <v>23786</v>
      </c>
      <c r="I13171" t="s">
        <v>1357</v>
      </c>
      <c r="J13171" t="s">
        <v>1357</v>
      </c>
      <c r="K13171" t="s">
        <v>1357</v>
      </c>
      <c r="L13171" t="s">
        <v>1357</v>
      </c>
    </row>
    <row r="13172" spans="8:12">
      <c r="H13172" t="s">
        <v>23787</v>
      </c>
      <c r="I13172" t="s">
        <v>1358</v>
      </c>
      <c r="J13172" t="s">
        <v>1358</v>
      </c>
      <c r="K13172" t="s">
        <v>1358</v>
      </c>
      <c r="L13172" t="s">
        <v>1358</v>
      </c>
    </row>
    <row r="13173" spans="8:12">
      <c r="H13173" t="s">
        <v>23788</v>
      </c>
      <c r="I13173" t="s">
        <v>1358</v>
      </c>
      <c r="J13173" t="s">
        <v>1358</v>
      </c>
      <c r="K13173" t="s">
        <v>1358</v>
      </c>
      <c r="L13173" t="s">
        <v>1358</v>
      </c>
    </row>
    <row r="13174" spans="8:12">
      <c r="H13174" t="s">
        <v>23789</v>
      </c>
      <c r="I13174" t="s">
        <v>1357</v>
      </c>
      <c r="J13174" t="s">
        <v>1357</v>
      </c>
      <c r="K13174" t="s">
        <v>1357</v>
      </c>
      <c r="L13174" t="s">
        <v>1357</v>
      </c>
    </row>
    <row r="13175" spans="8:12">
      <c r="H13175" t="s">
        <v>23790</v>
      </c>
      <c r="I13175" t="s">
        <v>1357</v>
      </c>
      <c r="J13175" t="s">
        <v>1357</v>
      </c>
      <c r="K13175" t="s">
        <v>1357</v>
      </c>
      <c r="L13175" t="s">
        <v>1357</v>
      </c>
    </row>
    <row r="13176" spans="8:12">
      <c r="H13176" t="s">
        <v>23791</v>
      </c>
      <c r="I13176" t="s">
        <v>1357</v>
      </c>
      <c r="J13176" t="s">
        <v>1357</v>
      </c>
      <c r="K13176" t="s">
        <v>1357</v>
      </c>
      <c r="L13176" t="s">
        <v>1357</v>
      </c>
    </row>
    <row r="13177" spans="8:12">
      <c r="H13177" t="s">
        <v>23792</v>
      </c>
      <c r="I13177" t="s">
        <v>1357</v>
      </c>
      <c r="J13177" t="s">
        <v>1357</v>
      </c>
      <c r="K13177" t="s">
        <v>1357</v>
      </c>
      <c r="L13177" t="s">
        <v>1357</v>
      </c>
    </row>
    <row r="13178" spans="8:12">
      <c r="H13178" t="s">
        <v>23793</v>
      </c>
      <c r="I13178" t="s">
        <v>1357</v>
      </c>
      <c r="J13178" t="s">
        <v>1357</v>
      </c>
      <c r="K13178" t="s">
        <v>1357</v>
      </c>
      <c r="L13178" t="s">
        <v>1357</v>
      </c>
    </row>
    <row r="13179" spans="8:12">
      <c r="H13179" t="s">
        <v>4542</v>
      </c>
      <c r="I13179" t="s">
        <v>1357</v>
      </c>
      <c r="J13179" t="s">
        <v>1357</v>
      </c>
      <c r="K13179" t="s">
        <v>1357</v>
      </c>
      <c r="L13179" t="s">
        <v>1357</v>
      </c>
    </row>
    <row r="13180" spans="8:12">
      <c r="H13180" t="s">
        <v>23794</v>
      </c>
      <c r="I13180" t="s">
        <v>1358</v>
      </c>
      <c r="J13180" t="s">
        <v>1358</v>
      </c>
      <c r="K13180" t="s">
        <v>1358</v>
      </c>
      <c r="L13180" t="s">
        <v>1358</v>
      </c>
    </row>
    <row r="13181" spans="8:12">
      <c r="H13181" t="s">
        <v>23795</v>
      </c>
      <c r="I13181" t="s">
        <v>1358</v>
      </c>
      <c r="J13181" t="s">
        <v>1358</v>
      </c>
      <c r="K13181" t="s">
        <v>1358</v>
      </c>
      <c r="L13181" t="s">
        <v>1358</v>
      </c>
    </row>
    <row r="13182" spans="8:12">
      <c r="H13182" t="s">
        <v>23796</v>
      </c>
      <c r="I13182" t="s">
        <v>1358</v>
      </c>
      <c r="J13182" t="s">
        <v>1358</v>
      </c>
      <c r="K13182" t="s">
        <v>1358</v>
      </c>
      <c r="L13182" t="s">
        <v>1358</v>
      </c>
    </row>
    <row r="13183" spans="8:12">
      <c r="H13183" t="s">
        <v>23797</v>
      </c>
      <c r="I13183" t="s">
        <v>1358</v>
      </c>
      <c r="J13183" t="s">
        <v>1358</v>
      </c>
      <c r="K13183" t="s">
        <v>1358</v>
      </c>
      <c r="L13183" t="s">
        <v>1358</v>
      </c>
    </row>
    <row r="13184" spans="8:12">
      <c r="H13184" t="s">
        <v>23798</v>
      </c>
      <c r="I13184" t="s">
        <v>1358</v>
      </c>
      <c r="J13184" t="s">
        <v>1358</v>
      </c>
      <c r="K13184" t="s">
        <v>1358</v>
      </c>
      <c r="L13184" t="s">
        <v>1358</v>
      </c>
    </row>
    <row r="13185" spans="1:12">
      <c r="H13185" t="s">
        <v>23799</v>
      </c>
      <c r="I13185" t="s">
        <v>1357</v>
      </c>
      <c r="J13185" t="s">
        <v>1357</v>
      </c>
      <c r="K13185" t="s">
        <v>1357</v>
      </c>
      <c r="L13185" t="s">
        <v>1357</v>
      </c>
    </row>
    <row r="13186" spans="1:12">
      <c r="H13186" t="s">
        <v>22886</v>
      </c>
      <c r="I13186" t="s">
        <v>1357</v>
      </c>
      <c r="J13186" t="s">
        <v>1357</v>
      </c>
      <c r="K13186" t="s">
        <v>1357</v>
      </c>
      <c r="L13186" t="s">
        <v>1357</v>
      </c>
    </row>
    <row r="13187" spans="1:12">
      <c r="A13187" t="s">
        <v>10940</v>
      </c>
      <c r="B13187">
        <f>HYPERLINK("https://android.googlesource.com/platform/cts/+/72f161c5b17442e227e4d2aec895aca863681fb5", "72f161c5b17442e227e4d2aec895aca863681fb5")</f>
        <v>0</v>
      </c>
      <c r="C13187">
        <f>HYPERLINK("https://android.googlesource.com/platform/cts/+/f9d5044212ec4529ee691544dd627943712aa83d", "f9d5044212ec4529ee691544dd627943712aa83d")</f>
        <v>0</v>
      </c>
      <c r="D13187" t="s">
        <v>12260</v>
      </c>
      <c r="E13187" t="s">
        <v>13470</v>
      </c>
      <c r="F13187" t="s">
        <v>16403</v>
      </c>
      <c r="G13187" t="s">
        <v>19069</v>
      </c>
      <c r="H13187" t="s">
        <v>23800</v>
      </c>
      <c r="I13187" t="s">
        <v>1357</v>
      </c>
      <c r="J13187" t="s">
        <v>1357</v>
      </c>
      <c r="K13187" t="s">
        <v>1357</v>
      </c>
      <c r="L13187" t="s">
        <v>1357</v>
      </c>
    </row>
    <row r="13188" spans="1:12">
      <c r="A13188" t="s">
        <v>10941</v>
      </c>
      <c r="B13188">
        <f>HYPERLINK("https://android.googlesource.com/platform/cts/+/5101344599c7407945461434853f491cae929480", "5101344599c7407945461434853f491cae929480")</f>
        <v>0</v>
      </c>
      <c r="C13188">
        <f>HYPERLINK("https://android.googlesource.com/platform/cts/+/15894f5be206541a5ad380aef49d6a4ce0c3232f", "15894f5be206541a5ad380aef49d6a4ce0c3232f")</f>
        <v>0</v>
      </c>
      <c r="D13188" t="s">
        <v>12261</v>
      </c>
      <c r="E13188" t="s">
        <v>13471</v>
      </c>
      <c r="F13188" t="s">
        <v>16403</v>
      </c>
      <c r="G13188" t="s">
        <v>19069</v>
      </c>
      <c r="H13188" t="s">
        <v>23801</v>
      </c>
      <c r="I13188" t="s">
        <v>1357</v>
      </c>
      <c r="J13188" t="s">
        <v>1357</v>
      </c>
      <c r="K13188" t="s">
        <v>1357</v>
      </c>
      <c r="L13188" t="s">
        <v>1357</v>
      </c>
    </row>
    <row r="13189" spans="1:12">
      <c r="A13189" t="s">
        <v>10942</v>
      </c>
      <c r="B13189">
        <f>HYPERLINK("https://android.googlesource.com/platform/cts/+/190c5a3c785aedd1fc5607ff322c06f298b9866a", "190c5a3c785aedd1fc5607ff322c06f298b9866a")</f>
        <v>0</v>
      </c>
      <c r="C13189">
        <f>HYPERLINK("https://android.googlesource.com/platform/cts/+/fc5c43cc0fabeadc300c377a487645a694b3e270", "fc5c43cc0fabeadc300c377a487645a694b3e270")</f>
        <v>0</v>
      </c>
      <c r="D13189" t="s">
        <v>12262</v>
      </c>
      <c r="E13189" t="s">
        <v>13472</v>
      </c>
      <c r="F13189" t="s">
        <v>16605</v>
      </c>
      <c r="G13189" t="s">
        <v>19247</v>
      </c>
      <c r="H13189" t="s">
        <v>23802</v>
      </c>
      <c r="I13189" t="s">
        <v>1357</v>
      </c>
      <c r="J13189" t="s">
        <v>1357</v>
      </c>
      <c r="K13189" t="s">
        <v>1357</v>
      </c>
      <c r="L13189" t="s">
        <v>1357</v>
      </c>
    </row>
    <row r="13190" spans="1:12">
      <c r="H13190" t="s">
        <v>23803</v>
      </c>
      <c r="I13190" t="s">
        <v>1357</v>
      </c>
      <c r="J13190" t="s">
        <v>1357</v>
      </c>
      <c r="K13190" t="s">
        <v>1357</v>
      </c>
      <c r="L13190" t="s">
        <v>1357</v>
      </c>
    </row>
    <row r="13191" spans="1:12">
      <c r="H13191" t="s">
        <v>23804</v>
      </c>
      <c r="I13191" t="s">
        <v>1357</v>
      </c>
      <c r="J13191" t="s">
        <v>1357</v>
      </c>
      <c r="K13191" t="s">
        <v>1357</v>
      </c>
      <c r="L13191" t="s">
        <v>1357</v>
      </c>
    </row>
    <row r="13192" spans="1:12">
      <c r="H13192" t="s">
        <v>23805</v>
      </c>
      <c r="I13192" t="s">
        <v>1357</v>
      </c>
      <c r="J13192" t="s">
        <v>1357</v>
      </c>
      <c r="K13192" t="s">
        <v>1357</v>
      </c>
      <c r="L13192" t="s">
        <v>1357</v>
      </c>
    </row>
    <row r="13193" spans="1:12">
      <c r="H13193" t="s">
        <v>23806</v>
      </c>
      <c r="I13193" t="s">
        <v>1357</v>
      </c>
      <c r="J13193" t="s">
        <v>1357</v>
      </c>
      <c r="K13193" t="s">
        <v>1357</v>
      </c>
      <c r="L13193" t="s">
        <v>1357</v>
      </c>
    </row>
    <row r="13194" spans="1:12">
      <c r="H13194" t="s">
        <v>23807</v>
      </c>
      <c r="I13194" t="s">
        <v>1357</v>
      </c>
      <c r="J13194" t="s">
        <v>1357</v>
      </c>
      <c r="K13194" t="s">
        <v>1357</v>
      </c>
      <c r="L13194" t="s">
        <v>1357</v>
      </c>
    </row>
    <row r="13195" spans="1:12">
      <c r="H13195" t="s">
        <v>23808</v>
      </c>
      <c r="I13195" t="s">
        <v>1357</v>
      </c>
      <c r="J13195" t="s">
        <v>1357</v>
      </c>
      <c r="K13195" t="s">
        <v>1357</v>
      </c>
      <c r="L13195" t="s">
        <v>1357</v>
      </c>
    </row>
    <row r="13196" spans="1:12">
      <c r="H13196" t="s">
        <v>23809</v>
      </c>
      <c r="I13196" t="s">
        <v>1357</v>
      </c>
      <c r="J13196" t="s">
        <v>1357</v>
      </c>
      <c r="K13196" t="s">
        <v>1357</v>
      </c>
      <c r="L13196" t="s">
        <v>1357</v>
      </c>
    </row>
    <row r="13197" spans="1:12">
      <c r="H13197" t="s">
        <v>23810</v>
      </c>
      <c r="I13197" t="s">
        <v>1357</v>
      </c>
      <c r="J13197" t="s">
        <v>1357</v>
      </c>
      <c r="K13197" t="s">
        <v>1357</v>
      </c>
      <c r="L13197" t="s">
        <v>1357</v>
      </c>
    </row>
    <row r="13198" spans="1:12">
      <c r="A13198" t="s">
        <v>10943</v>
      </c>
      <c r="B13198">
        <f>HYPERLINK("https://android.googlesource.com/platform/cts/+/fa3aeddd63c6632217e4367f3d173aeaa19de8c5", "fa3aeddd63c6632217e4367f3d173aeaa19de8c5")</f>
        <v>0</v>
      </c>
      <c r="C13198">
        <f>HYPERLINK("https://android.googlesource.com/platform/cts/+/3cdd31d49a16e66280ff6501e00c886ece3b2cc4", "3cdd31d49a16e66280ff6501e00c886ece3b2cc4")</f>
        <v>0</v>
      </c>
      <c r="D13198" t="s">
        <v>12203</v>
      </c>
      <c r="E13198" t="s">
        <v>13473</v>
      </c>
      <c r="F13198" t="s">
        <v>16605</v>
      </c>
      <c r="G13198" t="s">
        <v>19247</v>
      </c>
      <c r="H13198" t="s">
        <v>23802</v>
      </c>
      <c r="I13198" t="s">
        <v>1357</v>
      </c>
      <c r="J13198" t="s">
        <v>1357</v>
      </c>
      <c r="K13198" t="s">
        <v>1357</v>
      </c>
      <c r="L13198" t="s">
        <v>1357</v>
      </c>
    </row>
    <row r="13199" spans="1:12">
      <c r="H13199" t="s">
        <v>23803</v>
      </c>
      <c r="I13199" t="s">
        <v>1357</v>
      </c>
      <c r="J13199" t="s">
        <v>1357</v>
      </c>
      <c r="K13199" t="s">
        <v>1357</v>
      </c>
      <c r="L13199" t="s">
        <v>1357</v>
      </c>
    </row>
    <row r="13200" spans="1:12">
      <c r="H13200" t="s">
        <v>23804</v>
      </c>
      <c r="I13200" t="s">
        <v>1357</v>
      </c>
      <c r="J13200" t="s">
        <v>1357</v>
      </c>
      <c r="K13200" t="s">
        <v>1357</v>
      </c>
      <c r="L13200" t="s">
        <v>1357</v>
      </c>
    </row>
    <row r="13201" spans="1:13">
      <c r="H13201" t="s">
        <v>23805</v>
      </c>
      <c r="I13201" t="s">
        <v>1357</v>
      </c>
      <c r="J13201" t="s">
        <v>1357</v>
      </c>
      <c r="K13201" t="s">
        <v>1357</v>
      </c>
      <c r="L13201" t="s">
        <v>1357</v>
      </c>
    </row>
    <row r="13202" spans="1:13">
      <c r="H13202" t="s">
        <v>23806</v>
      </c>
      <c r="I13202" t="s">
        <v>1357</v>
      </c>
      <c r="J13202" t="s">
        <v>1357</v>
      </c>
      <c r="K13202" t="s">
        <v>1357</v>
      </c>
      <c r="L13202" t="s">
        <v>1357</v>
      </c>
    </row>
    <row r="13203" spans="1:13">
      <c r="H13203" t="s">
        <v>23807</v>
      </c>
      <c r="I13203" t="s">
        <v>1357</v>
      </c>
      <c r="J13203" t="s">
        <v>1357</v>
      </c>
      <c r="K13203" t="s">
        <v>1357</v>
      </c>
      <c r="L13203" t="s">
        <v>1357</v>
      </c>
    </row>
    <row r="13204" spans="1:13">
      <c r="H13204" t="s">
        <v>23808</v>
      </c>
      <c r="I13204" t="s">
        <v>1357</v>
      </c>
      <c r="J13204" t="s">
        <v>1357</v>
      </c>
      <c r="K13204" t="s">
        <v>1357</v>
      </c>
      <c r="L13204" t="s">
        <v>1357</v>
      </c>
      <c r="M13204" t="s">
        <v>9957</v>
      </c>
    </row>
    <row r="13205" spans="1:13">
      <c r="H13205" t="s">
        <v>23809</v>
      </c>
      <c r="I13205" t="s">
        <v>1357</v>
      </c>
      <c r="J13205" t="s">
        <v>1357</v>
      </c>
      <c r="K13205" t="s">
        <v>1357</v>
      </c>
      <c r="L13205" t="s">
        <v>1357</v>
      </c>
    </row>
    <row r="13206" spans="1:13">
      <c r="H13206" t="s">
        <v>23810</v>
      </c>
      <c r="I13206" t="s">
        <v>1357</v>
      </c>
      <c r="J13206" t="s">
        <v>1357</v>
      </c>
      <c r="K13206" t="s">
        <v>1357</v>
      </c>
      <c r="L13206" t="s">
        <v>1357</v>
      </c>
    </row>
    <row r="13207" spans="1:13">
      <c r="A13207" t="s">
        <v>10944</v>
      </c>
      <c r="B13207">
        <f>HYPERLINK("https://android.googlesource.com/platform/cts/+/4879e642c08d8b8207cb04c1a15aa34d62c2bfeb", "4879e642c08d8b8207cb04c1a15aa34d62c2bfeb")</f>
        <v>0</v>
      </c>
      <c r="C13207">
        <f>HYPERLINK("https://android.googlesource.com/platform/cts/+/c0e865ff53bc603ae329ee00980f2f7c38ec54dc", "c0e865ff53bc603ae329ee00980f2f7c38ec54dc")</f>
        <v>0</v>
      </c>
      <c r="D13207" t="s">
        <v>12263</v>
      </c>
      <c r="E13207" t="s">
        <v>13474</v>
      </c>
      <c r="F13207" t="s">
        <v>16053</v>
      </c>
      <c r="G13207" t="s">
        <v>18744</v>
      </c>
      <c r="H13207" t="s">
        <v>23811</v>
      </c>
      <c r="I13207" t="s">
        <v>1357</v>
      </c>
      <c r="J13207" t="s">
        <v>1357</v>
      </c>
      <c r="K13207" t="s">
        <v>1357</v>
      </c>
      <c r="L13207" t="s">
        <v>1357</v>
      </c>
    </row>
    <row r="13208" spans="1:13">
      <c r="A13208" t="s">
        <v>10945</v>
      </c>
      <c r="B13208">
        <f>HYPERLINK("https://android.googlesource.com/platform/cts/+/9987c4b40297a89d22222e22e6f7cb6918bcb877", "9987c4b40297a89d22222e22e6f7cb6918bcb877")</f>
        <v>0</v>
      </c>
      <c r="C13208">
        <f>HYPERLINK("https://android.googlesource.com/platform/cts/+/e1e00583d6a736f40e4e1a49239e3b3efdf11ac6", "e1e00583d6a736f40e4e1a49239e3b3efdf11ac6")</f>
        <v>0</v>
      </c>
      <c r="D13208" t="s">
        <v>12261</v>
      </c>
      <c r="E13208" t="s">
        <v>13475</v>
      </c>
      <c r="F13208" t="s">
        <v>16403</v>
      </c>
      <c r="G13208" t="s">
        <v>19069</v>
      </c>
      <c r="H13208" t="s">
        <v>23800</v>
      </c>
      <c r="I13208" t="s">
        <v>1357</v>
      </c>
      <c r="J13208" t="s">
        <v>1357</v>
      </c>
      <c r="K13208" t="s">
        <v>1357</v>
      </c>
      <c r="L13208" t="s">
        <v>1357</v>
      </c>
      <c r="M13208" t="s">
        <v>9957</v>
      </c>
    </row>
    <row r="13209" spans="1:13">
      <c r="A13209" t="s">
        <v>10946</v>
      </c>
      <c r="B13209">
        <f>HYPERLINK("https://android.googlesource.com/platform/cts/+/cd1ad722080039a38249175cb2e707a4cd18da73", "cd1ad722080039a38249175cb2e707a4cd18da73")</f>
        <v>0</v>
      </c>
      <c r="C13209">
        <f>HYPERLINK("https://android.googlesource.com/platform/cts/+/2c35e49fc446b0ab4dfee5fdcfe4a05631df552e", "2c35e49fc446b0ab4dfee5fdcfe4a05631df552e")</f>
        <v>0</v>
      </c>
      <c r="D13209" t="s">
        <v>12264</v>
      </c>
      <c r="E13209" t="s">
        <v>13476</v>
      </c>
      <c r="F13209" t="s">
        <v>16606</v>
      </c>
      <c r="G13209" t="s">
        <v>19248</v>
      </c>
      <c r="H13209" t="s">
        <v>23812</v>
      </c>
      <c r="I13209" t="s">
        <v>1357</v>
      </c>
      <c r="J13209" t="s">
        <v>1357</v>
      </c>
      <c r="K13209" t="s">
        <v>1357</v>
      </c>
      <c r="L13209" t="s">
        <v>1357</v>
      </c>
    </row>
    <row r="13210" spans="1:13">
      <c r="H13210" t="s">
        <v>23813</v>
      </c>
      <c r="I13210" t="s">
        <v>1357</v>
      </c>
      <c r="J13210" t="s">
        <v>1357</v>
      </c>
      <c r="K13210" t="s">
        <v>1357</v>
      </c>
      <c r="L13210" t="s">
        <v>1357</v>
      </c>
    </row>
    <row r="13211" spans="1:13">
      <c r="H13211" t="s">
        <v>23814</v>
      </c>
      <c r="I13211" t="s">
        <v>1357</v>
      </c>
      <c r="J13211" t="s">
        <v>1357</v>
      </c>
      <c r="K13211" t="s">
        <v>1357</v>
      </c>
      <c r="L13211" t="s">
        <v>1357</v>
      </c>
    </row>
    <row r="13212" spans="1:13">
      <c r="H13212" t="s">
        <v>23815</v>
      </c>
      <c r="I13212" t="s">
        <v>1357</v>
      </c>
      <c r="J13212" t="s">
        <v>1357</v>
      </c>
      <c r="K13212" t="s">
        <v>1357</v>
      </c>
      <c r="L13212" t="s">
        <v>1357</v>
      </c>
    </row>
    <row r="13213" spans="1:13">
      <c r="A13213" t="s">
        <v>10947</v>
      </c>
      <c r="B13213">
        <f>HYPERLINK("https://android.googlesource.com/platform/cts/+/5a564328c3c4a1e71e87ec2fbc3e0cc07714c846", "5a564328c3c4a1e71e87ec2fbc3e0cc07714c846")</f>
        <v>0</v>
      </c>
      <c r="C13213">
        <f>HYPERLINK("https://android.googlesource.com/platform/cts/+/0b6c2a5ad8fe399c592306b8de02eda59986e313", "0b6c2a5ad8fe399c592306b8de02eda59986e313")</f>
        <v>0</v>
      </c>
      <c r="D13213" t="s">
        <v>12261</v>
      </c>
      <c r="E13213" t="s">
        <v>13477</v>
      </c>
      <c r="F13213" t="s">
        <v>16403</v>
      </c>
      <c r="G13213" t="s">
        <v>19069</v>
      </c>
      <c r="H13213" t="s">
        <v>23800</v>
      </c>
      <c r="I13213" t="s">
        <v>1357</v>
      </c>
      <c r="J13213" t="s">
        <v>1357</v>
      </c>
      <c r="K13213" t="s">
        <v>1357</v>
      </c>
      <c r="L13213" t="s">
        <v>1357</v>
      </c>
      <c r="M13213" t="s">
        <v>9957</v>
      </c>
    </row>
    <row r="13214" spans="1:13">
      <c r="A13214" t="s">
        <v>10948</v>
      </c>
      <c r="B13214">
        <f>HYPERLINK("https://android.googlesource.com/platform/cts/+/7e54f3437fd9eb37e18de3b14ba1078fe5cf7f49", "7e54f3437fd9eb37e18de3b14ba1078fe5cf7f49")</f>
        <v>0</v>
      </c>
      <c r="C13214">
        <f>HYPERLINK("https://android.googlesource.com/platform/cts/+/207cb362a2973ed9f29a67e804365fb9d93a8b53", "207cb362a2973ed9f29a67e804365fb9d93a8b53")</f>
        <v>0</v>
      </c>
      <c r="D13214" t="s">
        <v>12261</v>
      </c>
      <c r="E13214" t="s">
        <v>13478</v>
      </c>
      <c r="F13214" t="s">
        <v>16403</v>
      </c>
      <c r="G13214" t="s">
        <v>19069</v>
      </c>
      <c r="H13214" t="s">
        <v>23800</v>
      </c>
      <c r="I13214" t="s">
        <v>1357</v>
      </c>
      <c r="J13214" t="s">
        <v>1357</v>
      </c>
      <c r="K13214" t="s">
        <v>1357</v>
      </c>
      <c r="L13214" t="s">
        <v>1357</v>
      </c>
      <c r="M13214" t="s">
        <v>9957</v>
      </c>
    </row>
    <row r="13215" spans="1:13">
      <c r="A13215" t="s">
        <v>10949</v>
      </c>
      <c r="B13215">
        <f>HYPERLINK("https://android.googlesource.com/platform/cts/+/ceb1866c29226f9703cbf63a5e155b00fd0c060c", "ceb1866c29226f9703cbf63a5e155b00fd0c060c")</f>
        <v>0</v>
      </c>
      <c r="C13215">
        <f>HYPERLINK("https://android.googlesource.com/platform/cts/+/068b2ab654ae1eaf8f4ca8fd783fe05d94f214d6", "068b2ab654ae1eaf8f4ca8fd783fe05d94f214d6")</f>
        <v>0</v>
      </c>
      <c r="D13215" t="s">
        <v>12119</v>
      </c>
      <c r="E13215" t="s">
        <v>13479</v>
      </c>
      <c r="F13215" t="s">
        <v>16607</v>
      </c>
      <c r="G13215" t="s">
        <v>19249</v>
      </c>
      <c r="H13215" t="s">
        <v>23816</v>
      </c>
      <c r="I13215" t="s">
        <v>1357</v>
      </c>
      <c r="J13215" t="s">
        <v>1357</v>
      </c>
      <c r="K13215" t="s">
        <v>1357</v>
      </c>
      <c r="L13215" t="s">
        <v>1357</v>
      </c>
    </row>
    <row r="13216" spans="1:13">
      <c r="A13216" t="s">
        <v>10950</v>
      </c>
      <c r="B13216">
        <f>HYPERLINK("https://android.googlesource.com/platform/cts/+/913b9144fe9d1594f9944a38f1a67bd5791cf169", "913b9144fe9d1594f9944a38f1a67bd5791cf169")</f>
        <v>0</v>
      </c>
      <c r="C13216">
        <f>HYPERLINK("https://android.googlesource.com/platform/cts/+/6e83813ff33d9236771386be698300cb4e65b309", "6e83813ff33d9236771386be698300cb4e65b309")</f>
        <v>0</v>
      </c>
      <c r="D13216" t="s">
        <v>12248</v>
      </c>
      <c r="E13216" t="s">
        <v>13480</v>
      </c>
      <c r="F13216" t="s">
        <v>16608</v>
      </c>
      <c r="G13216" t="s">
        <v>19250</v>
      </c>
      <c r="H13216" t="s">
        <v>23817</v>
      </c>
      <c r="I13216" t="s">
        <v>1357</v>
      </c>
      <c r="J13216" t="s">
        <v>1357</v>
      </c>
      <c r="K13216" t="s">
        <v>1357</v>
      </c>
      <c r="L13216" t="s">
        <v>1357</v>
      </c>
    </row>
    <row r="13217" spans="1:12">
      <c r="F13217" t="s">
        <v>16609</v>
      </c>
      <c r="G13217" t="s">
        <v>19250</v>
      </c>
      <c r="H13217" t="s">
        <v>23817</v>
      </c>
      <c r="I13217" t="s">
        <v>1357</v>
      </c>
      <c r="J13217" t="s">
        <v>1357</v>
      </c>
      <c r="K13217" t="s">
        <v>1357</v>
      </c>
      <c r="L13217" t="s">
        <v>1357</v>
      </c>
    </row>
    <row r="13218" spans="1:12">
      <c r="A13218" t="s">
        <v>10951</v>
      </c>
      <c r="B13218">
        <f>HYPERLINK("https://android.googlesource.com/platform/cts/+/611b91affbb7b90f18ec34c347a995718690c281", "611b91affbb7b90f18ec34c347a995718690c281")</f>
        <v>0</v>
      </c>
      <c r="C13218">
        <f>HYPERLINK("https://android.googlesource.com/platform/cts/+/19a9801d51b081e7a335b323b156554e58d195d7", "19a9801d51b081e7a335b323b156554e58d195d7")</f>
        <v>0</v>
      </c>
      <c r="D13218" t="s">
        <v>12185</v>
      </c>
      <c r="E13218" t="s">
        <v>13481</v>
      </c>
      <c r="F13218" t="s">
        <v>16610</v>
      </c>
      <c r="G13218" t="s">
        <v>19251</v>
      </c>
      <c r="H13218" t="s">
        <v>23818</v>
      </c>
      <c r="I13218" t="s">
        <v>1357</v>
      </c>
      <c r="J13218" t="s">
        <v>1357</v>
      </c>
      <c r="K13218" t="s">
        <v>1357</v>
      </c>
      <c r="L13218" t="s">
        <v>1357</v>
      </c>
    </row>
    <row r="13219" spans="1:12">
      <c r="A13219" t="s">
        <v>10952</v>
      </c>
      <c r="B13219">
        <f>HYPERLINK("https://android.googlesource.com/platform/cts/+/fe80fa41fe7d2f567614a70c4a8c064a852051d9", "fe80fa41fe7d2f567614a70c4a8c064a852051d9")</f>
        <v>0</v>
      </c>
      <c r="C13219">
        <f>HYPERLINK("https://android.googlesource.com/platform/cts/+/8551ca012dea78ffa3e4fad645b9c35622b49997", "8551ca012dea78ffa3e4fad645b9c35622b49997")</f>
        <v>0</v>
      </c>
      <c r="D13219" t="s">
        <v>12261</v>
      </c>
      <c r="E13219" t="s">
        <v>13482</v>
      </c>
      <c r="F13219" t="s">
        <v>16403</v>
      </c>
      <c r="G13219" t="s">
        <v>19069</v>
      </c>
      <c r="H13219" t="s">
        <v>23819</v>
      </c>
      <c r="I13219" t="s">
        <v>1357</v>
      </c>
      <c r="J13219" t="s">
        <v>1357</v>
      </c>
      <c r="K13219" t="s">
        <v>1357</v>
      </c>
      <c r="L13219" t="s">
        <v>1357</v>
      </c>
    </row>
    <row r="13220" spans="1:12">
      <c r="A13220" t="s">
        <v>10953</v>
      </c>
      <c r="B13220">
        <f>HYPERLINK("https://android.googlesource.com/platform/cts/+/1012df8405b6e0e03da3a73d82b2a2a8a098d3ef", "1012df8405b6e0e03da3a73d82b2a2a8a098d3ef")</f>
        <v>0</v>
      </c>
      <c r="C13220">
        <f>HYPERLINK("https://android.googlesource.com/platform/cts/+/fe80fa41fe7d2f567614a70c4a8c064a852051d9", "fe80fa41fe7d2f567614a70c4a8c064a852051d9")</f>
        <v>0</v>
      </c>
      <c r="D13220" t="s">
        <v>12261</v>
      </c>
      <c r="E13220" t="s">
        <v>13483</v>
      </c>
      <c r="F13220" t="s">
        <v>16403</v>
      </c>
      <c r="G13220" t="s">
        <v>19069</v>
      </c>
      <c r="H13220" t="s">
        <v>23801</v>
      </c>
      <c r="I13220" t="s">
        <v>1357</v>
      </c>
      <c r="J13220" t="s">
        <v>1357</v>
      </c>
      <c r="K13220" t="s">
        <v>1357</v>
      </c>
      <c r="L13220" t="s">
        <v>1357</v>
      </c>
    </row>
    <row r="13221" spans="1:12">
      <c r="A13221" t="s">
        <v>10954</v>
      </c>
      <c r="B13221">
        <f>HYPERLINK("https://android.googlesource.com/platform/cts/+/f4af5fa24fd367be9b692e4003b074dd28cf31af", "f4af5fa24fd367be9b692e4003b074dd28cf31af")</f>
        <v>0</v>
      </c>
      <c r="C13221">
        <f>HYPERLINK("https://android.googlesource.com/platform/cts/+/1012df8405b6e0e03da3a73d82b2a2a8a098d3ef", "1012df8405b6e0e03da3a73d82b2a2a8a098d3ef")</f>
        <v>0</v>
      </c>
      <c r="D13221" t="s">
        <v>12261</v>
      </c>
      <c r="E13221" t="s">
        <v>13484</v>
      </c>
      <c r="F13221" t="s">
        <v>16403</v>
      </c>
      <c r="G13221" t="s">
        <v>19069</v>
      </c>
      <c r="H13221" t="s">
        <v>23820</v>
      </c>
      <c r="I13221" t="s">
        <v>1357</v>
      </c>
      <c r="J13221" t="s">
        <v>1357</v>
      </c>
      <c r="K13221" t="s">
        <v>1357</v>
      </c>
      <c r="L13221" t="s">
        <v>1357</v>
      </c>
    </row>
    <row r="13222" spans="1:12">
      <c r="A13222" t="s">
        <v>10955</v>
      </c>
      <c r="B13222">
        <f>HYPERLINK("https://android.googlesource.com/platform/cts/+/35ac03a6eaebe585348391728b6523ee5fa80478", "35ac03a6eaebe585348391728b6523ee5fa80478")</f>
        <v>0</v>
      </c>
      <c r="C13222">
        <f>HYPERLINK("https://android.googlesource.com/platform/cts/+/1573b2a6613ddec885873e8b34c350f6a1f27d3d", "1573b2a6613ddec885873e8b34c350f6a1f27d3d")</f>
        <v>0</v>
      </c>
      <c r="D13222" t="s">
        <v>12265</v>
      </c>
      <c r="E13222" t="s">
        <v>13485</v>
      </c>
      <c r="F13222" t="s">
        <v>16611</v>
      </c>
      <c r="G13222" t="s">
        <v>19252</v>
      </c>
      <c r="H13222" t="s">
        <v>23821</v>
      </c>
      <c r="I13222" t="s">
        <v>1357</v>
      </c>
      <c r="J13222" t="s">
        <v>1357</v>
      </c>
      <c r="K13222" t="s">
        <v>1357</v>
      </c>
      <c r="L13222" t="s">
        <v>1357</v>
      </c>
    </row>
    <row r="13223" spans="1:12">
      <c r="H13223" t="s">
        <v>23822</v>
      </c>
      <c r="I13223" t="s">
        <v>1357</v>
      </c>
      <c r="J13223" t="s">
        <v>1357</v>
      </c>
      <c r="K13223" t="s">
        <v>1357</v>
      </c>
      <c r="L13223" t="s">
        <v>1357</v>
      </c>
    </row>
    <row r="13224" spans="1:12">
      <c r="H13224" t="s">
        <v>23823</v>
      </c>
      <c r="I13224" t="s">
        <v>1357</v>
      </c>
      <c r="J13224" t="s">
        <v>1357</v>
      </c>
      <c r="K13224" t="s">
        <v>1357</v>
      </c>
      <c r="L13224" t="s">
        <v>1357</v>
      </c>
    </row>
    <row r="13225" spans="1:12">
      <c r="H13225" t="s">
        <v>23824</v>
      </c>
      <c r="I13225" t="s">
        <v>1357</v>
      </c>
      <c r="J13225" t="s">
        <v>1357</v>
      </c>
      <c r="K13225" t="s">
        <v>1357</v>
      </c>
      <c r="L13225" t="s">
        <v>1357</v>
      </c>
    </row>
    <row r="13226" spans="1:12">
      <c r="H13226" t="s">
        <v>23825</v>
      </c>
      <c r="I13226" t="s">
        <v>1357</v>
      </c>
      <c r="J13226" t="s">
        <v>1357</v>
      </c>
      <c r="K13226" t="s">
        <v>1357</v>
      </c>
      <c r="L13226" t="s">
        <v>1357</v>
      </c>
    </row>
    <row r="13227" spans="1:12">
      <c r="H13227" t="s">
        <v>23826</v>
      </c>
      <c r="I13227" t="s">
        <v>1357</v>
      </c>
      <c r="J13227" t="s">
        <v>1357</v>
      </c>
      <c r="K13227" t="s">
        <v>1357</v>
      </c>
      <c r="L13227" t="s">
        <v>1357</v>
      </c>
    </row>
    <row r="13228" spans="1:12">
      <c r="H13228" t="s">
        <v>23827</v>
      </c>
      <c r="I13228" t="s">
        <v>1357</v>
      </c>
      <c r="J13228" t="s">
        <v>1357</v>
      </c>
      <c r="K13228" t="s">
        <v>1357</v>
      </c>
      <c r="L13228" t="s">
        <v>1357</v>
      </c>
    </row>
    <row r="13229" spans="1:12">
      <c r="F13229" t="s">
        <v>16612</v>
      </c>
      <c r="G13229" t="s">
        <v>19253</v>
      </c>
      <c r="H13229" t="s">
        <v>23828</v>
      </c>
      <c r="I13229" t="s">
        <v>1357</v>
      </c>
      <c r="J13229" t="s">
        <v>1357</v>
      </c>
      <c r="K13229" t="s">
        <v>1357</v>
      </c>
      <c r="L13229" t="s">
        <v>1357</v>
      </c>
    </row>
    <row r="13230" spans="1:12">
      <c r="H13230" t="s">
        <v>23829</v>
      </c>
      <c r="I13230" t="s">
        <v>1357</v>
      </c>
      <c r="J13230" t="s">
        <v>1357</v>
      </c>
      <c r="K13230" t="s">
        <v>1357</v>
      </c>
      <c r="L13230" t="s">
        <v>1357</v>
      </c>
    </row>
    <row r="13231" spans="1:12">
      <c r="H13231" t="s">
        <v>23822</v>
      </c>
      <c r="I13231" t="s">
        <v>1357</v>
      </c>
      <c r="J13231" t="s">
        <v>1357</v>
      </c>
      <c r="K13231" t="s">
        <v>1357</v>
      </c>
      <c r="L13231" t="s">
        <v>1357</v>
      </c>
    </row>
    <row r="13232" spans="1:12">
      <c r="H13232" t="s">
        <v>23830</v>
      </c>
      <c r="I13232" t="s">
        <v>1357</v>
      </c>
      <c r="J13232" t="s">
        <v>1357</v>
      </c>
      <c r="K13232" t="s">
        <v>1357</v>
      </c>
      <c r="L13232" t="s">
        <v>1357</v>
      </c>
    </row>
    <row r="13233" spans="1:13">
      <c r="H13233" t="s">
        <v>23824</v>
      </c>
      <c r="I13233" t="s">
        <v>1357</v>
      </c>
      <c r="J13233" t="s">
        <v>1357</v>
      </c>
      <c r="K13233" t="s">
        <v>1357</v>
      </c>
      <c r="L13233" t="s">
        <v>1357</v>
      </c>
    </row>
    <row r="13234" spans="1:13">
      <c r="H13234" t="s">
        <v>23825</v>
      </c>
      <c r="I13234" t="s">
        <v>1357</v>
      </c>
      <c r="J13234" t="s">
        <v>1357</v>
      </c>
      <c r="K13234" t="s">
        <v>1357</v>
      </c>
      <c r="L13234" t="s">
        <v>1357</v>
      </c>
    </row>
    <row r="13235" spans="1:13">
      <c r="H13235" t="s">
        <v>23831</v>
      </c>
      <c r="I13235" t="s">
        <v>1357</v>
      </c>
      <c r="J13235" t="s">
        <v>1357</v>
      </c>
      <c r="K13235" t="s">
        <v>1357</v>
      </c>
      <c r="L13235" t="s">
        <v>1357</v>
      </c>
    </row>
    <row r="13236" spans="1:13">
      <c r="H13236" t="s">
        <v>23832</v>
      </c>
      <c r="I13236" t="s">
        <v>1357</v>
      </c>
      <c r="J13236" t="s">
        <v>1357</v>
      </c>
      <c r="K13236" t="s">
        <v>1357</v>
      </c>
      <c r="L13236" t="s">
        <v>1357</v>
      </c>
    </row>
    <row r="13237" spans="1:13">
      <c r="H13237" t="s">
        <v>23826</v>
      </c>
      <c r="I13237" t="s">
        <v>1357</v>
      </c>
      <c r="J13237" t="s">
        <v>1357</v>
      </c>
      <c r="K13237" t="s">
        <v>1357</v>
      </c>
      <c r="L13237" t="s">
        <v>1357</v>
      </c>
    </row>
    <row r="13238" spans="1:13">
      <c r="H13238" t="s">
        <v>23827</v>
      </c>
      <c r="I13238" t="s">
        <v>1357</v>
      </c>
      <c r="J13238" t="s">
        <v>1357</v>
      </c>
      <c r="K13238" t="s">
        <v>1357</v>
      </c>
      <c r="L13238" t="s">
        <v>1357</v>
      </c>
    </row>
    <row r="13239" spans="1:13">
      <c r="A13239" t="s">
        <v>10956</v>
      </c>
      <c r="B13239">
        <f>HYPERLINK("https://android.googlesource.com/platform/cts/+/0b654f1f2ec31da6b04e42d0a79c7d0970cb0999", "0b654f1f2ec31da6b04e42d0a79c7d0970cb0999")</f>
        <v>0</v>
      </c>
      <c r="C13239">
        <f>HYPERLINK("https://android.googlesource.com/platform/cts/+/e47528b296da38c074dc2aefa365bd51ba570f2c", "e47528b296da38c074dc2aefa365bd51ba570f2c")</f>
        <v>0</v>
      </c>
      <c r="D13239" t="s">
        <v>12266</v>
      </c>
      <c r="E13239" t="s">
        <v>13486</v>
      </c>
      <c r="F13239" t="s">
        <v>16603</v>
      </c>
      <c r="G13239" t="s">
        <v>19245</v>
      </c>
      <c r="H13239" t="s">
        <v>23653</v>
      </c>
      <c r="I13239" t="s">
        <v>1357</v>
      </c>
      <c r="J13239" t="s">
        <v>1357</v>
      </c>
      <c r="K13239" t="s">
        <v>1357</v>
      </c>
      <c r="L13239" t="s">
        <v>1357</v>
      </c>
    </row>
    <row r="13240" spans="1:13">
      <c r="A13240" t="s">
        <v>10957</v>
      </c>
      <c r="B13240">
        <f>HYPERLINK("https://android.googlesource.com/platform/cts/+/1d7eef8d1421ab71182ff4f7f399276f23a42451", "1d7eef8d1421ab71182ff4f7f399276f23a42451")</f>
        <v>0</v>
      </c>
      <c r="C13240">
        <f>HYPERLINK("https://android.googlesource.com/platform/cts/+/5fa17a1be97aa3edca2f7d9ffd2d1e6bbecf4877", "5fa17a1be97aa3edca2f7d9ffd2d1e6bbecf4877")</f>
        <v>0</v>
      </c>
      <c r="D13240" t="s">
        <v>12267</v>
      </c>
      <c r="E13240" t="s">
        <v>13487</v>
      </c>
      <c r="F13240" t="s">
        <v>16613</v>
      </c>
      <c r="G13240" t="s">
        <v>18885</v>
      </c>
      <c r="H13240" t="s">
        <v>23833</v>
      </c>
      <c r="I13240" t="s">
        <v>1358</v>
      </c>
      <c r="J13240" t="s">
        <v>1358</v>
      </c>
      <c r="K13240" t="s">
        <v>1358</v>
      </c>
      <c r="L13240" t="s">
        <v>1358</v>
      </c>
    </row>
    <row r="13241" spans="1:13">
      <c r="A13241" t="s">
        <v>10958</v>
      </c>
      <c r="B13241">
        <f>HYPERLINK("https://android.googlesource.com/platform/cts/+/05b3c093bdc5e38715909d4a2f9e920586f37dd8", "05b3c093bdc5e38715909d4a2f9e920586f37dd8")</f>
        <v>0</v>
      </c>
      <c r="C13241">
        <f>HYPERLINK("https://android.googlesource.com/platform/cts/+/810c260130d1d8c7714d2949e8c2fdb3df444a76", "810c260130d1d8c7714d2949e8c2fdb3df444a76")</f>
        <v>0</v>
      </c>
      <c r="D13241" t="s">
        <v>12268</v>
      </c>
      <c r="E13241" t="s">
        <v>13488</v>
      </c>
      <c r="F13241" t="s">
        <v>16614</v>
      </c>
      <c r="G13241" t="s">
        <v>19254</v>
      </c>
      <c r="H13241" t="s">
        <v>23834</v>
      </c>
      <c r="I13241" t="s">
        <v>1357</v>
      </c>
      <c r="J13241" t="s">
        <v>1357</v>
      </c>
      <c r="K13241" t="s">
        <v>1357</v>
      </c>
      <c r="L13241" t="s">
        <v>1357</v>
      </c>
    </row>
    <row r="13242" spans="1:13">
      <c r="H13242" t="s">
        <v>23835</v>
      </c>
      <c r="I13242" t="s">
        <v>1357</v>
      </c>
      <c r="J13242" t="s">
        <v>1357</v>
      </c>
      <c r="K13242" t="s">
        <v>1357</v>
      </c>
      <c r="L13242" t="s">
        <v>1357</v>
      </c>
    </row>
    <row r="13243" spans="1:13">
      <c r="A13243" t="s">
        <v>10959</v>
      </c>
      <c r="B13243">
        <f>HYPERLINK("https://android.googlesource.com/platform/cts/+/d74032e199887177524cd40c4a9bbbbf2fe0377e", "d74032e199887177524cd40c4a9bbbbf2fe0377e")</f>
        <v>0</v>
      </c>
      <c r="C13243">
        <f>HYPERLINK("https://android.googlesource.com/platform/cts/+/24727ae6da40db8fb7f08d171f571b1ff27b5574", "24727ae6da40db8fb7f08d171f571b1ff27b5574")</f>
        <v>0</v>
      </c>
      <c r="D13243" t="s">
        <v>12268</v>
      </c>
      <c r="E13243" t="s">
        <v>13489</v>
      </c>
      <c r="F13243" t="s">
        <v>16614</v>
      </c>
      <c r="G13243" t="s">
        <v>19254</v>
      </c>
      <c r="H13243" t="s">
        <v>23834</v>
      </c>
      <c r="I13243" t="s">
        <v>1357</v>
      </c>
      <c r="J13243" t="s">
        <v>1357</v>
      </c>
      <c r="K13243" t="s">
        <v>1357</v>
      </c>
      <c r="L13243" t="s">
        <v>1357</v>
      </c>
    </row>
    <row r="13244" spans="1:13">
      <c r="H13244" t="s">
        <v>23835</v>
      </c>
      <c r="I13244" t="s">
        <v>1357</v>
      </c>
      <c r="J13244" t="s">
        <v>1357</v>
      </c>
      <c r="K13244" t="s">
        <v>1357</v>
      </c>
      <c r="L13244" t="s">
        <v>1357</v>
      </c>
      <c r="M13244" t="s">
        <v>9957</v>
      </c>
    </row>
    <row r="13245" spans="1:13">
      <c r="A13245" t="s">
        <v>10960</v>
      </c>
      <c r="B13245">
        <f>HYPERLINK("https://android.googlesource.com/platform/cts/+/6962ed73b6544e9975d44fe2f15150d0ebb7e224", "6962ed73b6544e9975d44fe2f15150d0ebb7e224")</f>
        <v>0</v>
      </c>
      <c r="C13245">
        <f>HYPERLINK("https://android.googlesource.com/platform/cts/+/f06589057f3eb1768d78e7ffe51dfcb6271c7019", "f06589057f3eb1768d78e7ffe51dfcb6271c7019")</f>
        <v>0</v>
      </c>
      <c r="D13245" t="s">
        <v>12269</v>
      </c>
      <c r="E13245" t="s">
        <v>13490</v>
      </c>
      <c r="F13245" t="s">
        <v>16403</v>
      </c>
      <c r="G13245" t="s">
        <v>19069</v>
      </c>
      <c r="H13245" t="s">
        <v>23836</v>
      </c>
      <c r="I13245" t="s">
        <v>1357</v>
      </c>
      <c r="J13245" t="s">
        <v>1357</v>
      </c>
      <c r="K13245" t="s">
        <v>1357</v>
      </c>
      <c r="L13245" t="s">
        <v>1357</v>
      </c>
    </row>
    <row r="13246" spans="1:13">
      <c r="A13246" t="s">
        <v>10961</v>
      </c>
      <c r="B13246">
        <f>HYPERLINK("https://android.googlesource.com/platform/cts/+/6a8bc649f745053964fa5c9f8d55f08d40d787d6", "6a8bc649f745053964fa5c9f8d55f08d40d787d6")</f>
        <v>0</v>
      </c>
      <c r="C13246">
        <f>HYPERLINK("https://android.googlesource.com/platform/cts/+/070ac7a2da8aa0dfc146fa40940dc5e4ed7d0d84", "070ac7a2da8aa0dfc146fa40940dc5e4ed7d0d84")</f>
        <v>0</v>
      </c>
      <c r="D13246" t="s">
        <v>12270</v>
      </c>
      <c r="E13246" t="s">
        <v>13491</v>
      </c>
      <c r="F13246" t="s">
        <v>14486</v>
      </c>
      <c r="G13246" t="s">
        <v>17332</v>
      </c>
      <c r="H13246" t="s">
        <v>23837</v>
      </c>
      <c r="I13246" t="s">
        <v>1357</v>
      </c>
      <c r="J13246" t="s">
        <v>1357</v>
      </c>
      <c r="K13246" t="s">
        <v>1357</v>
      </c>
      <c r="L13246" t="s">
        <v>1357</v>
      </c>
    </row>
    <row r="13247" spans="1:13">
      <c r="F13247" t="s">
        <v>14468</v>
      </c>
      <c r="G13247" t="s">
        <v>17315</v>
      </c>
      <c r="H13247" t="s">
        <v>23837</v>
      </c>
      <c r="I13247" t="s">
        <v>1357</v>
      </c>
      <c r="J13247" t="s">
        <v>1357</v>
      </c>
      <c r="K13247" t="s">
        <v>1357</v>
      </c>
      <c r="L13247" t="s">
        <v>1357</v>
      </c>
    </row>
    <row r="13248" spans="1:13">
      <c r="H13248" t="s">
        <v>19929</v>
      </c>
      <c r="I13248" t="s">
        <v>1357</v>
      </c>
      <c r="J13248" t="s">
        <v>1357</v>
      </c>
      <c r="K13248" t="s">
        <v>1357</v>
      </c>
      <c r="L13248" t="s">
        <v>1357</v>
      </c>
    </row>
    <row r="13249" spans="1:12">
      <c r="A13249" t="s">
        <v>10962</v>
      </c>
      <c r="B13249">
        <f>HYPERLINK("https://android.googlesource.com/platform/cts/+/486cf57860e8370aaa15d9b9e51f42015e08ebd1", "486cf57860e8370aaa15d9b9e51f42015e08ebd1")</f>
        <v>0</v>
      </c>
      <c r="C13249">
        <f>HYPERLINK("https://android.googlesource.com/platform/cts/+/a71fbada39924cd4717506a14b69a79d39952d0b", "a71fbada39924cd4717506a14b69a79d39952d0b")</f>
        <v>0</v>
      </c>
      <c r="D13249" t="s">
        <v>12088</v>
      </c>
      <c r="E13249" t="s">
        <v>13492</v>
      </c>
      <c r="F13249" t="s">
        <v>16615</v>
      </c>
      <c r="G13249" t="s">
        <v>19255</v>
      </c>
      <c r="H13249" t="s">
        <v>23838</v>
      </c>
      <c r="I13249" t="s">
        <v>1357</v>
      </c>
      <c r="J13249" t="s">
        <v>1357</v>
      </c>
      <c r="K13249" t="s">
        <v>1357</v>
      </c>
      <c r="L13249" t="s">
        <v>1357</v>
      </c>
    </row>
    <row r="13250" spans="1:12">
      <c r="H13250" t="s">
        <v>23839</v>
      </c>
      <c r="I13250" t="s">
        <v>1357</v>
      </c>
      <c r="J13250" t="s">
        <v>1357</v>
      </c>
      <c r="K13250" t="s">
        <v>1357</v>
      </c>
      <c r="L13250" t="s">
        <v>1357</v>
      </c>
    </row>
    <row r="13251" spans="1:12">
      <c r="H13251" t="s">
        <v>23840</v>
      </c>
      <c r="I13251" t="s">
        <v>1359</v>
      </c>
      <c r="J13251" t="s">
        <v>1358</v>
      </c>
      <c r="K13251" t="s">
        <v>1358</v>
      </c>
      <c r="L13251" t="s">
        <v>1357</v>
      </c>
    </row>
    <row r="13252" spans="1:12">
      <c r="A13252" t="s">
        <v>10963</v>
      </c>
      <c r="B13252">
        <f>HYPERLINK("https://android.googlesource.com/platform/cts/+/b1bc37ee4b886f1d979a9c6ebf0ebf3742314244", "b1bc37ee4b886f1d979a9c6ebf0ebf3742314244")</f>
        <v>0</v>
      </c>
      <c r="C13252">
        <f>HYPERLINK("https://android.googlesource.com/platform/cts/+/aca12a2af434a87b59a9500f64dba5797fca8fec", "aca12a2af434a87b59a9500f64dba5797fca8fec")</f>
        <v>0</v>
      </c>
      <c r="D13252" t="s">
        <v>12178</v>
      </c>
      <c r="E13252" t="s">
        <v>13493</v>
      </c>
      <c r="F13252" t="s">
        <v>16616</v>
      </c>
      <c r="G13252" t="s">
        <v>19256</v>
      </c>
      <c r="H13252" t="s">
        <v>795</v>
      </c>
      <c r="I13252" t="s">
        <v>1357</v>
      </c>
      <c r="J13252" t="s">
        <v>1357</v>
      </c>
      <c r="K13252" t="s">
        <v>1357</v>
      </c>
      <c r="L13252" t="s">
        <v>1357</v>
      </c>
    </row>
    <row r="13253" spans="1:12">
      <c r="H13253" t="s">
        <v>23841</v>
      </c>
      <c r="I13253" t="s">
        <v>1357</v>
      </c>
      <c r="J13253" t="s">
        <v>1357</v>
      </c>
      <c r="K13253" t="s">
        <v>1357</v>
      </c>
      <c r="L13253" t="s">
        <v>1357</v>
      </c>
    </row>
    <row r="13254" spans="1:12">
      <c r="H13254" t="s">
        <v>23842</v>
      </c>
      <c r="I13254" t="s">
        <v>1357</v>
      </c>
      <c r="J13254" t="s">
        <v>1357</v>
      </c>
      <c r="K13254" t="s">
        <v>1357</v>
      </c>
      <c r="L13254" t="s">
        <v>1357</v>
      </c>
    </row>
    <row r="13255" spans="1:12">
      <c r="A13255" t="s">
        <v>10964</v>
      </c>
      <c r="B13255">
        <f>HYPERLINK("https://android.googlesource.com/platform/cts/+/dec34053d18ca5cff7c482eadb7673818b5e8c8f", "dec34053d18ca5cff7c482eadb7673818b5e8c8f")</f>
        <v>0</v>
      </c>
      <c r="C13255">
        <f>HYPERLINK("https://android.googlesource.com/platform/cts/+/10b81daa165b7e6b182cf4457b7f919ad5680f73", "10b81daa165b7e6b182cf4457b7f919ad5680f73")</f>
        <v>0</v>
      </c>
      <c r="D13255" t="s">
        <v>12178</v>
      </c>
      <c r="E13255" t="s">
        <v>13494</v>
      </c>
      <c r="F13255" t="s">
        <v>16489</v>
      </c>
      <c r="G13255" t="s">
        <v>19148</v>
      </c>
      <c r="H13255" t="s">
        <v>23843</v>
      </c>
      <c r="I13255" t="s">
        <v>1357</v>
      </c>
      <c r="J13255" t="s">
        <v>1357</v>
      </c>
      <c r="K13255" t="s">
        <v>1357</v>
      </c>
      <c r="L13255" t="s">
        <v>1357</v>
      </c>
    </row>
    <row r="13256" spans="1:12">
      <c r="H13256" t="s">
        <v>23231</v>
      </c>
      <c r="I13256" t="s">
        <v>1357</v>
      </c>
      <c r="J13256" t="s">
        <v>1357</v>
      </c>
      <c r="K13256" t="s">
        <v>1357</v>
      </c>
      <c r="L13256" t="s">
        <v>1357</v>
      </c>
    </row>
    <row r="13257" spans="1:12">
      <c r="H13257" t="s">
        <v>23232</v>
      </c>
      <c r="I13257" t="s">
        <v>1357</v>
      </c>
      <c r="J13257" t="s">
        <v>1357</v>
      </c>
      <c r="K13257" t="s">
        <v>1357</v>
      </c>
      <c r="L13257" t="s">
        <v>1357</v>
      </c>
    </row>
    <row r="13258" spans="1:12">
      <c r="H13258" t="s">
        <v>23233</v>
      </c>
      <c r="I13258" t="s">
        <v>1357</v>
      </c>
      <c r="J13258" t="s">
        <v>1357</v>
      </c>
      <c r="K13258" t="s">
        <v>1357</v>
      </c>
      <c r="L13258" t="s">
        <v>1357</v>
      </c>
    </row>
    <row r="13259" spans="1:12">
      <c r="H13259" t="s">
        <v>23234</v>
      </c>
      <c r="I13259" t="s">
        <v>1357</v>
      </c>
      <c r="J13259" t="s">
        <v>1357</v>
      </c>
      <c r="K13259" t="s">
        <v>1357</v>
      </c>
      <c r="L13259" t="s">
        <v>1357</v>
      </c>
    </row>
    <row r="13260" spans="1:12">
      <c r="H13260" t="s">
        <v>23235</v>
      </c>
      <c r="I13260" t="s">
        <v>1357</v>
      </c>
      <c r="J13260" t="s">
        <v>1357</v>
      </c>
      <c r="K13260" t="s">
        <v>1357</v>
      </c>
      <c r="L13260" t="s">
        <v>1357</v>
      </c>
    </row>
    <row r="13261" spans="1:12">
      <c r="H13261" t="s">
        <v>23236</v>
      </c>
      <c r="I13261" t="s">
        <v>1357</v>
      </c>
      <c r="J13261" t="s">
        <v>1357</v>
      </c>
      <c r="K13261" t="s">
        <v>1357</v>
      </c>
      <c r="L13261" t="s">
        <v>1357</v>
      </c>
    </row>
    <row r="13262" spans="1:12">
      <c r="H13262" t="s">
        <v>4116</v>
      </c>
      <c r="I13262" t="s">
        <v>1357</v>
      </c>
      <c r="J13262" t="s">
        <v>1357</v>
      </c>
      <c r="K13262" t="s">
        <v>1357</v>
      </c>
      <c r="L13262" t="s">
        <v>1357</v>
      </c>
    </row>
    <row r="13263" spans="1:12">
      <c r="H13263" t="s">
        <v>23237</v>
      </c>
      <c r="I13263" t="s">
        <v>1357</v>
      </c>
      <c r="J13263" t="s">
        <v>1357</v>
      </c>
      <c r="K13263" t="s">
        <v>1357</v>
      </c>
      <c r="L13263" t="s">
        <v>1357</v>
      </c>
    </row>
    <row r="13264" spans="1:12">
      <c r="H13264" t="s">
        <v>23238</v>
      </c>
      <c r="I13264" t="s">
        <v>1357</v>
      </c>
      <c r="J13264" t="s">
        <v>1357</v>
      </c>
      <c r="K13264" t="s">
        <v>1357</v>
      </c>
      <c r="L13264" t="s">
        <v>1357</v>
      </c>
    </row>
    <row r="13265" spans="6:12">
      <c r="H13265" t="s">
        <v>23239</v>
      </c>
      <c r="I13265" t="s">
        <v>1357</v>
      </c>
      <c r="J13265" t="s">
        <v>1357</v>
      </c>
      <c r="K13265" t="s">
        <v>1357</v>
      </c>
      <c r="L13265" t="s">
        <v>1357</v>
      </c>
    </row>
    <row r="13266" spans="6:12">
      <c r="H13266" t="s">
        <v>23240</v>
      </c>
      <c r="I13266" t="s">
        <v>1357</v>
      </c>
      <c r="J13266" t="s">
        <v>1357</v>
      </c>
      <c r="K13266" t="s">
        <v>1357</v>
      </c>
      <c r="L13266" t="s">
        <v>1357</v>
      </c>
    </row>
    <row r="13267" spans="6:12">
      <c r="H13267" t="s">
        <v>23241</v>
      </c>
      <c r="I13267" t="s">
        <v>1357</v>
      </c>
      <c r="J13267" t="s">
        <v>1357</v>
      </c>
      <c r="K13267" t="s">
        <v>1357</v>
      </c>
      <c r="L13267" t="s">
        <v>1357</v>
      </c>
    </row>
    <row r="13268" spans="6:12">
      <c r="F13268" t="s">
        <v>16490</v>
      </c>
      <c r="G13268" t="s">
        <v>19149</v>
      </c>
      <c r="H13268" t="s">
        <v>23271</v>
      </c>
      <c r="I13268" t="s">
        <v>1357</v>
      </c>
      <c r="J13268" t="s">
        <v>1357</v>
      </c>
      <c r="K13268" t="s">
        <v>1357</v>
      </c>
      <c r="L13268" t="s">
        <v>1357</v>
      </c>
    </row>
    <row r="13269" spans="6:12">
      <c r="H13269" t="s">
        <v>23272</v>
      </c>
      <c r="I13269" t="s">
        <v>1357</v>
      </c>
      <c r="J13269" t="s">
        <v>1357</v>
      </c>
      <c r="K13269" t="s">
        <v>1357</v>
      </c>
      <c r="L13269" t="s">
        <v>1357</v>
      </c>
    </row>
    <row r="13270" spans="6:12">
      <c r="H13270" t="s">
        <v>23273</v>
      </c>
      <c r="I13270" t="s">
        <v>1357</v>
      </c>
      <c r="J13270" t="s">
        <v>1357</v>
      </c>
      <c r="K13270" t="s">
        <v>1357</v>
      </c>
      <c r="L13270" t="s">
        <v>1357</v>
      </c>
    </row>
    <row r="13271" spans="6:12">
      <c r="H13271" t="s">
        <v>23274</v>
      </c>
      <c r="I13271" t="s">
        <v>1357</v>
      </c>
      <c r="J13271" t="s">
        <v>1357</v>
      </c>
      <c r="K13271" t="s">
        <v>1357</v>
      </c>
      <c r="L13271" t="s">
        <v>1357</v>
      </c>
    </row>
    <row r="13272" spans="6:12">
      <c r="H13272" t="s">
        <v>23276</v>
      </c>
      <c r="I13272" t="s">
        <v>1357</v>
      </c>
      <c r="J13272" t="s">
        <v>1357</v>
      </c>
      <c r="K13272" t="s">
        <v>1357</v>
      </c>
      <c r="L13272" t="s">
        <v>1357</v>
      </c>
    </row>
    <row r="13273" spans="6:12">
      <c r="H13273" t="s">
        <v>23280</v>
      </c>
      <c r="I13273" t="s">
        <v>1357</v>
      </c>
      <c r="J13273" t="s">
        <v>1357</v>
      </c>
      <c r="K13273" t="s">
        <v>1357</v>
      </c>
      <c r="L13273" t="s">
        <v>1357</v>
      </c>
    </row>
    <row r="13274" spans="6:12">
      <c r="H13274" t="s">
        <v>23281</v>
      </c>
      <c r="I13274" t="s">
        <v>1357</v>
      </c>
      <c r="J13274" t="s">
        <v>1357</v>
      </c>
      <c r="K13274" t="s">
        <v>1357</v>
      </c>
      <c r="L13274" t="s">
        <v>1357</v>
      </c>
    </row>
    <row r="13275" spans="6:12">
      <c r="F13275" t="s">
        <v>16617</v>
      </c>
      <c r="G13275" t="s">
        <v>19257</v>
      </c>
      <c r="H13275" t="s">
        <v>23844</v>
      </c>
      <c r="I13275" t="s">
        <v>1357</v>
      </c>
      <c r="J13275" t="s">
        <v>1357</v>
      </c>
      <c r="K13275" t="s">
        <v>1357</v>
      </c>
      <c r="L13275" t="s">
        <v>1357</v>
      </c>
    </row>
    <row r="13276" spans="6:12">
      <c r="H13276" t="s">
        <v>23845</v>
      </c>
      <c r="I13276" t="s">
        <v>1357</v>
      </c>
      <c r="J13276" t="s">
        <v>1357</v>
      </c>
      <c r="K13276" t="s">
        <v>1357</v>
      </c>
      <c r="L13276" t="s">
        <v>1357</v>
      </c>
    </row>
    <row r="13277" spans="6:12">
      <c r="H13277" t="s">
        <v>23846</v>
      </c>
      <c r="I13277" t="s">
        <v>1357</v>
      </c>
      <c r="J13277" t="s">
        <v>1357</v>
      </c>
      <c r="K13277" t="s">
        <v>1357</v>
      </c>
      <c r="L13277" t="s">
        <v>1357</v>
      </c>
    </row>
    <row r="13278" spans="6:12">
      <c r="H13278" t="s">
        <v>23847</v>
      </c>
      <c r="I13278" t="s">
        <v>1357</v>
      </c>
      <c r="J13278" t="s">
        <v>1357</v>
      </c>
      <c r="K13278" t="s">
        <v>1357</v>
      </c>
      <c r="L13278" t="s">
        <v>1357</v>
      </c>
    </row>
    <row r="13279" spans="6:12">
      <c r="H13279" t="s">
        <v>23848</v>
      </c>
      <c r="I13279" t="s">
        <v>1357</v>
      </c>
      <c r="J13279" t="s">
        <v>1357</v>
      </c>
      <c r="K13279" t="s">
        <v>1357</v>
      </c>
      <c r="L13279" t="s">
        <v>1357</v>
      </c>
    </row>
    <row r="13280" spans="6:12">
      <c r="H13280" t="s">
        <v>23849</v>
      </c>
      <c r="I13280" t="s">
        <v>1357</v>
      </c>
      <c r="J13280" t="s">
        <v>1357</v>
      </c>
      <c r="K13280" t="s">
        <v>1357</v>
      </c>
      <c r="L13280" t="s">
        <v>1357</v>
      </c>
    </row>
    <row r="13281" spans="1:12">
      <c r="H13281" t="s">
        <v>23850</v>
      </c>
      <c r="I13281" t="s">
        <v>1357</v>
      </c>
      <c r="J13281" t="s">
        <v>1357</v>
      </c>
      <c r="K13281" t="s">
        <v>1357</v>
      </c>
      <c r="L13281" t="s">
        <v>1357</v>
      </c>
    </row>
    <row r="13282" spans="1:12">
      <c r="F13282" t="s">
        <v>16493</v>
      </c>
      <c r="G13282" t="s">
        <v>19152</v>
      </c>
      <c r="H13282" t="s">
        <v>23293</v>
      </c>
      <c r="I13282" t="s">
        <v>1357</v>
      </c>
      <c r="J13282" t="s">
        <v>1357</v>
      </c>
      <c r="K13282" t="s">
        <v>1357</v>
      </c>
      <c r="L13282" t="s">
        <v>1357</v>
      </c>
    </row>
    <row r="13283" spans="1:12">
      <c r="H13283" t="s">
        <v>23294</v>
      </c>
      <c r="I13283" t="s">
        <v>1357</v>
      </c>
      <c r="J13283" t="s">
        <v>1357</v>
      </c>
      <c r="K13283" t="s">
        <v>1357</v>
      </c>
      <c r="L13283" t="s">
        <v>1357</v>
      </c>
    </row>
    <row r="13284" spans="1:12">
      <c r="A13284" t="s">
        <v>10965</v>
      </c>
      <c r="B13284">
        <f>HYPERLINK("https://android.googlesource.com/platform/cts/+/d3dfe4f7b33630f6b51dccd8409136e91c7e8332", "d3dfe4f7b33630f6b51dccd8409136e91c7e8332")</f>
        <v>0</v>
      </c>
      <c r="C13284">
        <f>HYPERLINK("https://android.googlesource.com/platform/cts/+/136849cf31b240fd229e30887898677c0a063a41", "136849cf31b240fd229e30887898677c0a063a41")</f>
        <v>0</v>
      </c>
      <c r="D13284" t="s">
        <v>12271</v>
      </c>
      <c r="E13284" t="s">
        <v>13495</v>
      </c>
      <c r="F13284" t="s">
        <v>16618</v>
      </c>
      <c r="G13284" t="s">
        <v>19258</v>
      </c>
      <c r="H13284" t="s">
        <v>23851</v>
      </c>
      <c r="I13284" t="s">
        <v>1358</v>
      </c>
      <c r="J13284" t="s">
        <v>1358</v>
      </c>
      <c r="K13284" t="s">
        <v>1358</v>
      </c>
      <c r="L13284" t="s">
        <v>1358</v>
      </c>
    </row>
    <row r="13285" spans="1:12">
      <c r="H13285" t="s">
        <v>23852</v>
      </c>
      <c r="I13285" t="s">
        <v>1359</v>
      </c>
      <c r="J13285" t="s">
        <v>1358</v>
      </c>
      <c r="K13285" t="s">
        <v>1357</v>
      </c>
      <c r="L13285" t="s">
        <v>1358</v>
      </c>
    </row>
    <row r="13286" spans="1:12">
      <c r="H13286" t="s">
        <v>23853</v>
      </c>
      <c r="I13286" t="s">
        <v>1358</v>
      </c>
      <c r="J13286" t="s">
        <v>1358</v>
      </c>
      <c r="K13286" t="s">
        <v>1358</v>
      </c>
      <c r="L13286" t="s">
        <v>1358</v>
      </c>
    </row>
    <row r="13287" spans="1:12">
      <c r="H13287" t="s">
        <v>23854</v>
      </c>
      <c r="I13287" t="s">
        <v>1358</v>
      </c>
      <c r="J13287" t="s">
        <v>1358</v>
      </c>
      <c r="K13287" t="s">
        <v>1358</v>
      </c>
      <c r="L13287" t="s">
        <v>1358</v>
      </c>
    </row>
    <row r="13288" spans="1:12">
      <c r="A13288" t="s">
        <v>10966</v>
      </c>
      <c r="B13288">
        <f>HYPERLINK("https://android.googlesource.com/platform/cts/+/36ac203ccee730c89e7cd4dfa46ad4455719c19b", "36ac203ccee730c89e7cd4dfa46ad4455719c19b")</f>
        <v>0</v>
      </c>
      <c r="C13288">
        <f>HYPERLINK("https://android.googlesource.com/platform/cts/+/a46868fca645ed193ec15c6790ccb970dd81d495", "a46868fca645ed193ec15c6790ccb970dd81d495")</f>
        <v>0</v>
      </c>
      <c r="D13288" t="s">
        <v>12245</v>
      </c>
      <c r="E13288" t="s">
        <v>13496</v>
      </c>
      <c r="F13288" t="s">
        <v>15936</v>
      </c>
      <c r="G13288" t="s">
        <v>18628</v>
      </c>
      <c r="H13288" t="s">
        <v>20573</v>
      </c>
      <c r="I13288" t="s">
        <v>1357</v>
      </c>
      <c r="J13288" t="s">
        <v>1357</v>
      </c>
      <c r="K13288" t="s">
        <v>1357</v>
      </c>
      <c r="L13288" t="s">
        <v>1357</v>
      </c>
    </row>
    <row r="13289" spans="1:12">
      <c r="A13289" t="s">
        <v>10967</v>
      </c>
      <c r="B13289">
        <f>HYPERLINK("https://android.googlesource.com/platform/cts/+/16d6c358e5dfdc820d614a49fb686548d4a2886b", "16d6c358e5dfdc820d614a49fb686548d4a2886b")</f>
        <v>0</v>
      </c>
      <c r="C13289">
        <f>HYPERLINK("https://android.googlesource.com/platform/cts/+/308c221271dad29c89b5885fc0a5cc05d3419100", "308c221271dad29c89b5885fc0a5cc05d3419100")</f>
        <v>0</v>
      </c>
      <c r="D13289" t="s">
        <v>12178</v>
      </c>
      <c r="E13289" t="s">
        <v>13497</v>
      </c>
      <c r="F13289" t="s">
        <v>16490</v>
      </c>
      <c r="G13289" t="s">
        <v>19149</v>
      </c>
      <c r="H13289" t="s">
        <v>23855</v>
      </c>
      <c r="I13289" t="s">
        <v>1357</v>
      </c>
      <c r="J13289" t="s">
        <v>1357</v>
      </c>
      <c r="K13289" t="s">
        <v>1357</v>
      </c>
      <c r="L13289" t="s">
        <v>1357</v>
      </c>
    </row>
    <row r="13290" spans="1:12">
      <c r="H13290" t="s">
        <v>23242</v>
      </c>
      <c r="I13290" t="s">
        <v>1357</v>
      </c>
      <c r="J13290" t="s">
        <v>1357</v>
      </c>
      <c r="K13290" t="s">
        <v>1357</v>
      </c>
      <c r="L13290" t="s">
        <v>1357</v>
      </c>
    </row>
    <row r="13291" spans="1:12">
      <c r="H13291" t="s">
        <v>23243</v>
      </c>
      <c r="I13291" t="s">
        <v>1357</v>
      </c>
      <c r="J13291" t="s">
        <v>1357</v>
      </c>
      <c r="K13291" t="s">
        <v>1357</v>
      </c>
      <c r="L13291" t="s">
        <v>1357</v>
      </c>
    </row>
    <row r="13292" spans="1:12">
      <c r="H13292" t="s">
        <v>23246</v>
      </c>
      <c r="I13292" t="s">
        <v>1357</v>
      </c>
      <c r="J13292" t="s">
        <v>1357</v>
      </c>
      <c r="K13292" t="s">
        <v>1357</v>
      </c>
      <c r="L13292" t="s">
        <v>1357</v>
      </c>
    </row>
    <row r="13293" spans="1:12">
      <c r="H13293" t="s">
        <v>23247</v>
      </c>
      <c r="I13293" t="s">
        <v>1357</v>
      </c>
      <c r="J13293" t="s">
        <v>1357</v>
      </c>
      <c r="K13293" t="s">
        <v>1357</v>
      </c>
      <c r="L13293" t="s">
        <v>1357</v>
      </c>
    </row>
    <row r="13294" spans="1:12">
      <c r="H13294" t="s">
        <v>23248</v>
      </c>
      <c r="I13294" t="s">
        <v>1357</v>
      </c>
      <c r="J13294" t="s">
        <v>1357</v>
      </c>
      <c r="K13294" t="s">
        <v>1357</v>
      </c>
      <c r="L13294" t="s">
        <v>1357</v>
      </c>
    </row>
    <row r="13295" spans="1:12">
      <c r="H13295" t="s">
        <v>23249</v>
      </c>
      <c r="I13295" t="s">
        <v>1357</v>
      </c>
      <c r="J13295" t="s">
        <v>1357</v>
      </c>
      <c r="K13295" t="s">
        <v>1357</v>
      </c>
      <c r="L13295" t="s">
        <v>1357</v>
      </c>
    </row>
    <row r="13296" spans="1:12">
      <c r="H13296" t="s">
        <v>23250</v>
      </c>
      <c r="I13296" t="s">
        <v>1357</v>
      </c>
      <c r="J13296" t="s">
        <v>1357</v>
      </c>
      <c r="K13296" t="s">
        <v>1357</v>
      </c>
      <c r="L13296" t="s">
        <v>1357</v>
      </c>
    </row>
    <row r="13297" spans="8:12">
      <c r="H13297" t="s">
        <v>23856</v>
      </c>
      <c r="I13297" t="s">
        <v>1357</v>
      </c>
      <c r="J13297" t="s">
        <v>1357</v>
      </c>
      <c r="K13297" t="s">
        <v>1357</v>
      </c>
      <c r="L13297" t="s">
        <v>1357</v>
      </c>
    </row>
    <row r="13298" spans="8:12">
      <c r="H13298" t="s">
        <v>23251</v>
      </c>
      <c r="I13298" t="s">
        <v>1357</v>
      </c>
      <c r="J13298" t="s">
        <v>1357</v>
      </c>
      <c r="K13298" t="s">
        <v>1357</v>
      </c>
      <c r="L13298" t="s">
        <v>1357</v>
      </c>
    </row>
    <row r="13299" spans="8:12">
      <c r="H13299" t="s">
        <v>23285</v>
      </c>
      <c r="I13299" t="s">
        <v>1357</v>
      </c>
      <c r="J13299" t="s">
        <v>1357</v>
      </c>
      <c r="K13299" t="s">
        <v>1357</v>
      </c>
      <c r="L13299" t="s">
        <v>1357</v>
      </c>
    </row>
    <row r="13300" spans="8:12">
      <c r="H13300" t="s">
        <v>23857</v>
      </c>
      <c r="I13300" t="s">
        <v>1357</v>
      </c>
      <c r="J13300" t="s">
        <v>1357</v>
      </c>
      <c r="K13300" t="s">
        <v>1357</v>
      </c>
      <c r="L13300" t="s">
        <v>1357</v>
      </c>
    </row>
    <row r="13301" spans="8:12">
      <c r="H13301" t="s">
        <v>23858</v>
      </c>
      <c r="I13301" t="s">
        <v>1357</v>
      </c>
      <c r="J13301" t="s">
        <v>1357</v>
      </c>
      <c r="K13301" t="s">
        <v>1357</v>
      </c>
      <c r="L13301" t="s">
        <v>1357</v>
      </c>
    </row>
    <row r="13302" spans="8:12">
      <c r="H13302" t="s">
        <v>23859</v>
      </c>
      <c r="I13302" t="s">
        <v>1357</v>
      </c>
      <c r="J13302" t="s">
        <v>1357</v>
      </c>
      <c r="K13302" t="s">
        <v>1357</v>
      </c>
      <c r="L13302" t="s">
        <v>1357</v>
      </c>
    </row>
    <row r="13303" spans="8:12">
      <c r="H13303" t="s">
        <v>23860</v>
      </c>
      <c r="I13303" t="s">
        <v>1357</v>
      </c>
      <c r="J13303" t="s">
        <v>1357</v>
      </c>
      <c r="K13303" t="s">
        <v>1357</v>
      </c>
      <c r="L13303" t="s">
        <v>1357</v>
      </c>
    </row>
    <row r="13304" spans="8:12">
      <c r="H13304" t="s">
        <v>23861</v>
      </c>
      <c r="I13304" t="s">
        <v>1357</v>
      </c>
      <c r="J13304" t="s">
        <v>1357</v>
      </c>
      <c r="K13304" t="s">
        <v>1357</v>
      </c>
      <c r="L13304" t="s">
        <v>1357</v>
      </c>
    </row>
    <row r="13305" spans="8:12">
      <c r="H13305" t="s">
        <v>23862</v>
      </c>
      <c r="I13305" t="s">
        <v>1357</v>
      </c>
      <c r="J13305" t="s">
        <v>1357</v>
      </c>
      <c r="K13305" t="s">
        <v>1357</v>
      </c>
      <c r="L13305" t="s">
        <v>1357</v>
      </c>
    </row>
    <row r="13306" spans="8:12">
      <c r="H13306" t="s">
        <v>23863</v>
      </c>
      <c r="I13306" t="s">
        <v>1357</v>
      </c>
      <c r="J13306" t="s">
        <v>1357</v>
      </c>
      <c r="K13306" t="s">
        <v>1357</v>
      </c>
      <c r="L13306" t="s">
        <v>1357</v>
      </c>
    </row>
    <row r="13307" spans="8:12">
      <c r="H13307" t="s">
        <v>23864</v>
      </c>
      <c r="I13307" t="s">
        <v>1357</v>
      </c>
      <c r="J13307" t="s">
        <v>1357</v>
      </c>
      <c r="K13307" t="s">
        <v>1357</v>
      </c>
      <c r="L13307" t="s">
        <v>1357</v>
      </c>
    </row>
    <row r="13308" spans="8:12">
      <c r="H13308" t="s">
        <v>23865</v>
      </c>
      <c r="I13308" t="s">
        <v>1357</v>
      </c>
      <c r="J13308" t="s">
        <v>1357</v>
      </c>
      <c r="K13308" t="s">
        <v>1357</v>
      </c>
      <c r="L13308" t="s">
        <v>1357</v>
      </c>
    </row>
    <row r="13309" spans="8:12">
      <c r="H13309" t="s">
        <v>23866</v>
      </c>
      <c r="I13309" t="s">
        <v>1357</v>
      </c>
      <c r="J13309" t="s">
        <v>1357</v>
      </c>
      <c r="K13309" t="s">
        <v>1357</v>
      </c>
      <c r="L13309" t="s">
        <v>1357</v>
      </c>
    </row>
    <row r="13310" spans="8:12">
      <c r="H13310" t="s">
        <v>23867</v>
      </c>
      <c r="I13310" t="s">
        <v>1357</v>
      </c>
      <c r="J13310" t="s">
        <v>1357</v>
      </c>
      <c r="K13310" t="s">
        <v>1357</v>
      </c>
      <c r="L13310" t="s">
        <v>1357</v>
      </c>
    </row>
    <row r="13311" spans="8:12">
      <c r="H13311" t="s">
        <v>23868</v>
      </c>
      <c r="I13311" t="s">
        <v>1357</v>
      </c>
      <c r="J13311" t="s">
        <v>1357</v>
      </c>
      <c r="K13311" t="s">
        <v>1357</v>
      </c>
      <c r="L13311" t="s">
        <v>1357</v>
      </c>
    </row>
    <row r="13312" spans="8:12">
      <c r="H13312" t="s">
        <v>23869</v>
      </c>
      <c r="I13312" t="s">
        <v>1357</v>
      </c>
      <c r="J13312" t="s">
        <v>1357</v>
      </c>
      <c r="K13312" t="s">
        <v>1357</v>
      </c>
      <c r="L13312" t="s">
        <v>1357</v>
      </c>
    </row>
    <row r="13313" spans="8:12">
      <c r="H13313" t="s">
        <v>23870</v>
      </c>
      <c r="I13313" t="s">
        <v>1357</v>
      </c>
      <c r="J13313" t="s">
        <v>1357</v>
      </c>
      <c r="K13313" t="s">
        <v>1357</v>
      </c>
      <c r="L13313" t="s">
        <v>1357</v>
      </c>
    </row>
    <row r="13314" spans="8:12">
      <c r="H13314" t="s">
        <v>23253</v>
      </c>
      <c r="I13314" t="s">
        <v>1357</v>
      </c>
      <c r="J13314" t="s">
        <v>1357</v>
      </c>
      <c r="K13314" t="s">
        <v>1357</v>
      </c>
      <c r="L13314" t="s">
        <v>1357</v>
      </c>
    </row>
    <row r="13315" spans="8:12">
      <c r="H13315" t="s">
        <v>23254</v>
      </c>
      <c r="I13315" t="s">
        <v>1357</v>
      </c>
      <c r="J13315" t="s">
        <v>1357</v>
      </c>
      <c r="K13315" t="s">
        <v>1357</v>
      </c>
      <c r="L13315" t="s">
        <v>1357</v>
      </c>
    </row>
    <row r="13316" spans="8:12">
      <c r="H13316" t="s">
        <v>23255</v>
      </c>
      <c r="I13316" t="s">
        <v>1357</v>
      </c>
      <c r="J13316" t="s">
        <v>1357</v>
      </c>
      <c r="K13316" t="s">
        <v>1357</v>
      </c>
      <c r="L13316" t="s">
        <v>1357</v>
      </c>
    </row>
    <row r="13317" spans="8:12">
      <c r="H13317" t="s">
        <v>23257</v>
      </c>
      <c r="I13317" t="s">
        <v>1357</v>
      </c>
      <c r="J13317" t="s">
        <v>1357</v>
      </c>
      <c r="K13317" t="s">
        <v>1357</v>
      </c>
      <c r="L13317" t="s">
        <v>1357</v>
      </c>
    </row>
    <row r="13318" spans="8:12">
      <c r="H13318" t="s">
        <v>23258</v>
      </c>
      <c r="I13318" t="s">
        <v>1357</v>
      </c>
      <c r="J13318" t="s">
        <v>1357</v>
      </c>
      <c r="K13318" t="s">
        <v>1357</v>
      </c>
      <c r="L13318" t="s">
        <v>1357</v>
      </c>
    </row>
    <row r="13319" spans="8:12">
      <c r="H13319" t="s">
        <v>23259</v>
      </c>
      <c r="I13319" t="s">
        <v>1357</v>
      </c>
      <c r="J13319" t="s">
        <v>1357</v>
      </c>
      <c r="K13319" t="s">
        <v>1357</v>
      </c>
      <c r="L13319" t="s">
        <v>1357</v>
      </c>
    </row>
    <row r="13320" spans="8:12">
      <c r="H13320" t="s">
        <v>23260</v>
      </c>
      <c r="I13320" t="s">
        <v>1357</v>
      </c>
      <c r="J13320" t="s">
        <v>1357</v>
      </c>
      <c r="K13320" t="s">
        <v>1357</v>
      </c>
      <c r="L13320" t="s">
        <v>1357</v>
      </c>
    </row>
    <row r="13321" spans="8:12">
      <c r="H13321" t="s">
        <v>23261</v>
      </c>
      <c r="I13321" t="s">
        <v>1357</v>
      </c>
      <c r="J13321" t="s">
        <v>1357</v>
      </c>
      <c r="K13321" t="s">
        <v>1357</v>
      </c>
      <c r="L13321" t="s">
        <v>1357</v>
      </c>
    </row>
    <row r="13322" spans="8:12">
      <c r="H13322" t="s">
        <v>23262</v>
      </c>
      <c r="I13322" t="s">
        <v>1357</v>
      </c>
      <c r="J13322" t="s">
        <v>1357</v>
      </c>
      <c r="K13322" t="s">
        <v>1357</v>
      </c>
      <c r="L13322" t="s">
        <v>1357</v>
      </c>
    </row>
    <row r="13323" spans="8:12">
      <c r="H13323" t="s">
        <v>23263</v>
      </c>
      <c r="I13323" t="s">
        <v>1357</v>
      </c>
      <c r="J13323" t="s">
        <v>1357</v>
      </c>
      <c r="K13323" t="s">
        <v>1357</v>
      </c>
      <c r="L13323" t="s">
        <v>1357</v>
      </c>
    </row>
    <row r="13324" spans="8:12">
      <c r="H13324" t="s">
        <v>23264</v>
      </c>
      <c r="I13324" t="s">
        <v>1357</v>
      </c>
      <c r="J13324" t="s">
        <v>1357</v>
      </c>
      <c r="K13324" t="s">
        <v>1357</v>
      </c>
      <c r="L13324" t="s">
        <v>1357</v>
      </c>
    </row>
    <row r="13325" spans="8:12">
      <c r="H13325" t="s">
        <v>23265</v>
      </c>
      <c r="I13325" t="s">
        <v>1357</v>
      </c>
      <c r="J13325" t="s">
        <v>1357</v>
      </c>
      <c r="K13325" t="s">
        <v>1357</v>
      </c>
      <c r="L13325" t="s">
        <v>1357</v>
      </c>
    </row>
    <row r="13326" spans="8:12">
      <c r="H13326" t="s">
        <v>23266</v>
      </c>
      <c r="I13326" t="s">
        <v>1357</v>
      </c>
      <c r="J13326" t="s">
        <v>1357</v>
      </c>
      <c r="K13326" t="s">
        <v>1357</v>
      </c>
      <c r="L13326" t="s">
        <v>1357</v>
      </c>
    </row>
    <row r="13327" spans="8:12">
      <c r="H13327" t="s">
        <v>23267</v>
      </c>
      <c r="I13327" t="s">
        <v>1357</v>
      </c>
      <c r="J13327" t="s">
        <v>1357</v>
      </c>
      <c r="K13327" t="s">
        <v>1357</v>
      </c>
      <c r="L13327" t="s">
        <v>1357</v>
      </c>
    </row>
    <row r="13328" spans="8:12">
      <c r="H13328" t="s">
        <v>23268</v>
      </c>
      <c r="I13328" t="s">
        <v>1357</v>
      </c>
      <c r="J13328" t="s">
        <v>1357</v>
      </c>
      <c r="K13328" t="s">
        <v>1357</v>
      </c>
      <c r="L13328" t="s">
        <v>1357</v>
      </c>
    </row>
    <row r="13329" spans="6:12">
      <c r="H13329" t="s">
        <v>23269</v>
      </c>
      <c r="I13329" t="s">
        <v>1357</v>
      </c>
      <c r="J13329" t="s">
        <v>1357</v>
      </c>
      <c r="K13329" t="s">
        <v>1357</v>
      </c>
      <c r="L13329" t="s">
        <v>1357</v>
      </c>
    </row>
    <row r="13330" spans="6:12">
      <c r="H13330" t="s">
        <v>23270</v>
      </c>
      <c r="I13330" t="s">
        <v>1357</v>
      </c>
      <c r="J13330" t="s">
        <v>1357</v>
      </c>
      <c r="K13330" t="s">
        <v>1357</v>
      </c>
      <c r="L13330" t="s">
        <v>1357</v>
      </c>
    </row>
    <row r="13331" spans="6:12">
      <c r="H13331" t="s">
        <v>23275</v>
      </c>
      <c r="I13331" t="s">
        <v>1357</v>
      </c>
      <c r="J13331" t="s">
        <v>1357</v>
      </c>
      <c r="K13331" t="s">
        <v>1357</v>
      </c>
      <c r="L13331" t="s">
        <v>1357</v>
      </c>
    </row>
    <row r="13332" spans="6:12">
      <c r="H13332" t="s">
        <v>23277</v>
      </c>
      <c r="I13332" t="s">
        <v>1357</v>
      </c>
      <c r="J13332" t="s">
        <v>1357</v>
      </c>
      <c r="K13332" t="s">
        <v>1357</v>
      </c>
      <c r="L13332" t="s">
        <v>1357</v>
      </c>
    </row>
    <row r="13333" spans="6:12">
      <c r="H13333" t="s">
        <v>23278</v>
      </c>
      <c r="I13333" t="s">
        <v>1357</v>
      </c>
      <c r="J13333" t="s">
        <v>1357</v>
      </c>
      <c r="K13333" t="s">
        <v>1357</v>
      </c>
      <c r="L13333" t="s">
        <v>1357</v>
      </c>
    </row>
    <row r="13334" spans="6:12">
      <c r="H13334" t="s">
        <v>23279</v>
      </c>
      <c r="I13334" t="s">
        <v>1357</v>
      </c>
      <c r="J13334" t="s">
        <v>1357</v>
      </c>
      <c r="K13334" t="s">
        <v>1357</v>
      </c>
      <c r="L13334" t="s">
        <v>1357</v>
      </c>
    </row>
    <row r="13335" spans="6:12">
      <c r="F13335" t="s">
        <v>16491</v>
      </c>
      <c r="G13335" t="s">
        <v>19150</v>
      </c>
      <c r="H13335" t="s">
        <v>23282</v>
      </c>
      <c r="I13335" t="s">
        <v>1357</v>
      </c>
      <c r="J13335" t="s">
        <v>1357</v>
      </c>
      <c r="K13335" t="s">
        <v>1357</v>
      </c>
      <c r="L13335" t="s">
        <v>1357</v>
      </c>
    </row>
    <row r="13336" spans="6:12">
      <c r="F13336" t="s">
        <v>16492</v>
      </c>
      <c r="G13336" t="s">
        <v>19151</v>
      </c>
      <c r="H13336" t="s">
        <v>23282</v>
      </c>
      <c r="I13336" t="s">
        <v>1357</v>
      </c>
      <c r="J13336" t="s">
        <v>1357</v>
      </c>
      <c r="K13336" t="s">
        <v>1357</v>
      </c>
      <c r="L13336" t="s">
        <v>1357</v>
      </c>
    </row>
    <row r="13337" spans="6:12">
      <c r="H13337" t="s">
        <v>23871</v>
      </c>
      <c r="I13337" t="s">
        <v>1357</v>
      </c>
      <c r="J13337" t="s">
        <v>1357</v>
      </c>
      <c r="K13337" t="s">
        <v>1357</v>
      </c>
      <c r="L13337" t="s">
        <v>1357</v>
      </c>
    </row>
    <row r="13338" spans="6:12">
      <c r="H13338" t="s">
        <v>23872</v>
      </c>
      <c r="I13338" t="s">
        <v>1357</v>
      </c>
      <c r="J13338" t="s">
        <v>1357</v>
      </c>
      <c r="K13338" t="s">
        <v>1357</v>
      </c>
      <c r="L13338" t="s">
        <v>1357</v>
      </c>
    </row>
    <row r="13339" spans="6:12">
      <c r="H13339" t="s">
        <v>23873</v>
      </c>
      <c r="I13339" t="s">
        <v>1357</v>
      </c>
      <c r="J13339" t="s">
        <v>1357</v>
      </c>
      <c r="K13339" t="s">
        <v>1357</v>
      </c>
      <c r="L13339" t="s">
        <v>1357</v>
      </c>
    </row>
    <row r="13340" spans="6:12">
      <c r="H13340" t="s">
        <v>23874</v>
      </c>
      <c r="I13340" t="s">
        <v>1357</v>
      </c>
      <c r="J13340" t="s">
        <v>1357</v>
      </c>
      <c r="K13340" t="s">
        <v>1357</v>
      </c>
      <c r="L13340" t="s">
        <v>1357</v>
      </c>
    </row>
    <row r="13341" spans="6:12">
      <c r="H13341" t="s">
        <v>23875</v>
      </c>
      <c r="I13341" t="s">
        <v>1357</v>
      </c>
      <c r="J13341" t="s">
        <v>1357</v>
      </c>
      <c r="K13341" t="s">
        <v>1357</v>
      </c>
      <c r="L13341" t="s">
        <v>1357</v>
      </c>
    </row>
    <row r="13342" spans="6:12">
      <c r="H13342" t="s">
        <v>23284</v>
      </c>
      <c r="I13342" t="s">
        <v>1357</v>
      </c>
      <c r="J13342" t="s">
        <v>1357</v>
      </c>
      <c r="K13342" t="s">
        <v>1357</v>
      </c>
      <c r="L13342" t="s">
        <v>1357</v>
      </c>
    </row>
    <row r="13343" spans="6:12">
      <c r="H13343" t="s">
        <v>23242</v>
      </c>
      <c r="I13343" t="s">
        <v>1357</v>
      </c>
      <c r="J13343" t="s">
        <v>1357</v>
      </c>
      <c r="K13343" t="s">
        <v>1357</v>
      </c>
      <c r="L13343" t="s">
        <v>1357</v>
      </c>
    </row>
    <row r="13344" spans="6:12">
      <c r="H13344" t="s">
        <v>23243</v>
      </c>
      <c r="I13344" t="s">
        <v>1357</v>
      </c>
      <c r="J13344" t="s">
        <v>1357</v>
      </c>
      <c r="K13344" t="s">
        <v>1357</v>
      </c>
      <c r="L13344" t="s">
        <v>1357</v>
      </c>
    </row>
    <row r="13345" spans="8:12">
      <c r="H13345" t="s">
        <v>23246</v>
      </c>
      <c r="I13345" t="s">
        <v>1357</v>
      </c>
      <c r="J13345" t="s">
        <v>1357</v>
      </c>
      <c r="K13345" t="s">
        <v>1357</v>
      </c>
      <c r="L13345" t="s">
        <v>1357</v>
      </c>
    </row>
    <row r="13346" spans="8:12">
      <c r="H13346" t="s">
        <v>23864</v>
      </c>
      <c r="I13346" t="s">
        <v>1357</v>
      </c>
      <c r="J13346" t="s">
        <v>1357</v>
      </c>
      <c r="K13346" t="s">
        <v>1357</v>
      </c>
      <c r="L13346" t="s">
        <v>1357</v>
      </c>
    </row>
    <row r="13347" spans="8:12">
      <c r="H13347" t="s">
        <v>23865</v>
      </c>
      <c r="I13347" t="s">
        <v>1357</v>
      </c>
      <c r="J13347" t="s">
        <v>1357</v>
      </c>
      <c r="K13347" t="s">
        <v>1357</v>
      </c>
      <c r="L13347" t="s">
        <v>1357</v>
      </c>
    </row>
    <row r="13348" spans="8:12">
      <c r="H13348" t="s">
        <v>23866</v>
      </c>
      <c r="I13348" t="s">
        <v>1357</v>
      </c>
      <c r="J13348" t="s">
        <v>1357</v>
      </c>
      <c r="K13348" t="s">
        <v>1357</v>
      </c>
      <c r="L13348" t="s">
        <v>1357</v>
      </c>
    </row>
    <row r="13349" spans="8:12">
      <c r="H13349" t="s">
        <v>23876</v>
      </c>
      <c r="I13349" t="s">
        <v>1357</v>
      </c>
      <c r="J13349" t="s">
        <v>1357</v>
      </c>
      <c r="K13349" t="s">
        <v>1357</v>
      </c>
      <c r="L13349" t="s">
        <v>1357</v>
      </c>
    </row>
    <row r="13350" spans="8:12">
      <c r="H13350" t="s">
        <v>23877</v>
      </c>
      <c r="I13350" t="s">
        <v>1357</v>
      </c>
      <c r="J13350" t="s">
        <v>1357</v>
      </c>
      <c r="K13350" t="s">
        <v>1357</v>
      </c>
      <c r="L13350" t="s">
        <v>1357</v>
      </c>
    </row>
    <row r="13351" spans="8:12">
      <c r="H13351" t="s">
        <v>23878</v>
      </c>
      <c r="I13351" t="s">
        <v>1357</v>
      </c>
      <c r="J13351" t="s">
        <v>1357</v>
      </c>
      <c r="K13351" t="s">
        <v>1357</v>
      </c>
      <c r="L13351" t="s">
        <v>1357</v>
      </c>
    </row>
    <row r="13352" spans="8:12">
      <c r="H13352" t="s">
        <v>23285</v>
      </c>
      <c r="I13352" t="s">
        <v>1357</v>
      </c>
      <c r="J13352" t="s">
        <v>1357</v>
      </c>
      <c r="K13352" t="s">
        <v>1357</v>
      </c>
      <c r="L13352" t="s">
        <v>1357</v>
      </c>
    </row>
    <row r="13353" spans="8:12">
      <c r="H13353" t="s">
        <v>23857</v>
      </c>
      <c r="I13353" t="s">
        <v>1357</v>
      </c>
      <c r="J13353" t="s">
        <v>1357</v>
      </c>
      <c r="K13353" t="s">
        <v>1357</v>
      </c>
      <c r="L13353" t="s">
        <v>1357</v>
      </c>
    </row>
    <row r="13354" spans="8:12">
      <c r="H13354" t="s">
        <v>23858</v>
      </c>
      <c r="I13354" t="s">
        <v>1357</v>
      </c>
      <c r="J13354" t="s">
        <v>1357</v>
      </c>
      <c r="K13354" t="s">
        <v>1357</v>
      </c>
      <c r="L13354" t="s">
        <v>1357</v>
      </c>
    </row>
    <row r="13355" spans="8:12">
      <c r="H13355" t="s">
        <v>23859</v>
      </c>
      <c r="I13355" t="s">
        <v>1357</v>
      </c>
      <c r="J13355" t="s">
        <v>1357</v>
      </c>
      <c r="K13355" t="s">
        <v>1357</v>
      </c>
      <c r="L13355" t="s">
        <v>1357</v>
      </c>
    </row>
    <row r="13356" spans="8:12">
      <c r="H13356" t="s">
        <v>23879</v>
      </c>
      <c r="I13356" t="s">
        <v>1357</v>
      </c>
      <c r="J13356" t="s">
        <v>1357</v>
      </c>
      <c r="K13356" t="s">
        <v>1357</v>
      </c>
      <c r="L13356" t="s">
        <v>1357</v>
      </c>
    </row>
    <row r="13357" spans="8:12">
      <c r="H13357" t="s">
        <v>23861</v>
      </c>
      <c r="I13357" t="s">
        <v>1357</v>
      </c>
      <c r="J13357" t="s">
        <v>1357</v>
      </c>
      <c r="K13357" t="s">
        <v>1357</v>
      </c>
      <c r="L13357" t="s">
        <v>1357</v>
      </c>
    </row>
    <row r="13358" spans="8:12">
      <c r="H13358" t="s">
        <v>23862</v>
      </c>
      <c r="I13358" t="s">
        <v>1357</v>
      </c>
      <c r="J13358" t="s">
        <v>1357</v>
      </c>
      <c r="K13358" t="s">
        <v>1357</v>
      </c>
      <c r="L13358" t="s">
        <v>1357</v>
      </c>
    </row>
    <row r="13359" spans="8:12">
      <c r="H13359" t="s">
        <v>23863</v>
      </c>
      <c r="I13359" t="s">
        <v>1357</v>
      </c>
      <c r="J13359" t="s">
        <v>1357</v>
      </c>
      <c r="K13359" t="s">
        <v>1357</v>
      </c>
      <c r="L13359" t="s">
        <v>1357</v>
      </c>
    </row>
    <row r="13360" spans="8:12">
      <c r="H13360" t="s">
        <v>23867</v>
      </c>
      <c r="I13360" t="s">
        <v>1357</v>
      </c>
      <c r="J13360" t="s">
        <v>1357</v>
      </c>
      <c r="K13360" t="s">
        <v>1357</v>
      </c>
      <c r="L13360" t="s">
        <v>1357</v>
      </c>
    </row>
    <row r="13361" spans="6:12">
      <c r="H13361" t="s">
        <v>23868</v>
      </c>
      <c r="I13361" t="s">
        <v>1357</v>
      </c>
      <c r="J13361" t="s">
        <v>1357</v>
      </c>
      <c r="K13361" t="s">
        <v>1357</v>
      </c>
      <c r="L13361" t="s">
        <v>1357</v>
      </c>
    </row>
    <row r="13362" spans="6:12">
      <c r="H13362" t="s">
        <v>23869</v>
      </c>
      <c r="I13362" t="s">
        <v>1357</v>
      </c>
      <c r="J13362" t="s">
        <v>1357</v>
      </c>
      <c r="K13362" t="s">
        <v>1357</v>
      </c>
      <c r="L13362" t="s">
        <v>1357</v>
      </c>
    </row>
    <row r="13363" spans="6:12">
      <c r="H13363" t="s">
        <v>23870</v>
      </c>
      <c r="I13363" t="s">
        <v>1357</v>
      </c>
      <c r="J13363" t="s">
        <v>1357</v>
      </c>
      <c r="K13363" t="s">
        <v>1357</v>
      </c>
      <c r="L13363" t="s">
        <v>1357</v>
      </c>
    </row>
    <row r="13364" spans="6:12">
      <c r="H13364" t="s">
        <v>23288</v>
      </c>
      <c r="I13364" t="s">
        <v>1357</v>
      </c>
      <c r="J13364" t="s">
        <v>1357</v>
      </c>
      <c r="K13364" t="s">
        <v>1357</v>
      </c>
      <c r="L13364" t="s">
        <v>1357</v>
      </c>
    </row>
    <row r="13365" spans="6:12">
      <c r="H13365" t="s">
        <v>23289</v>
      </c>
      <c r="I13365" t="s">
        <v>1357</v>
      </c>
      <c r="J13365" t="s">
        <v>1357</v>
      </c>
      <c r="K13365" t="s">
        <v>1357</v>
      </c>
      <c r="L13365" t="s">
        <v>1357</v>
      </c>
    </row>
    <row r="13366" spans="6:12">
      <c r="H13366" t="s">
        <v>23290</v>
      </c>
      <c r="I13366" t="s">
        <v>1357</v>
      </c>
      <c r="J13366" t="s">
        <v>1357</v>
      </c>
      <c r="K13366" t="s">
        <v>1357</v>
      </c>
      <c r="L13366" t="s">
        <v>1357</v>
      </c>
    </row>
    <row r="13367" spans="6:12">
      <c r="H13367" t="s">
        <v>23880</v>
      </c>
      <c r="I13367" t="s">
        <v>1357</v>
      </c>
      <c r="J13367" t="s">
        <v>1357</v>
      </c>
      <c r="K13367" t="s">
        <v>1357</v>
      </c>
      <c r="L13367" t="s">
        <v>1357</v>
      </c>
    </row>
    <row r="13368" spans="6:12">
      <c r="H13368" t="s">
        <v>23291</v>
      </c>
      <c r="I13368" t="s">
        <v>1357</v>
      </c>
      <c r="J13368" t="s">
        <v>1357</v>
      </c>
      <c r="K13368" t="s">
        <v>1357</v>
      </c>
      <c r="L13368" t="s">
        <v>1357</v>
      </c>
    </row>
    <row r="13369" spans="6:12">
      <c r="H13369" t="s">
        <v>23881</v>
      </c>
      <c r="I13369" t="s">
        <v>1357</v>
      </c>
      <c r="J13369" t="s">
        <v>1357</v>
      </c>
      <c r="K13369" t="s">
        <v>1357</v>
      </c>
      <c r="L13369" t="s">
        <v>1357</v>
      </c>
    </row>
    <row r="13370" spans="6:12">
      <c r="H13370" t="s">
        <v>23292</v>
      </c>
      <c r="I13370" t="s">
        <v>1357</v>
      </c>
      <c r="J13370" t="s">
        <v>1357</v>
      </c>
      <c r="K13370" t="s">
        <v>1357</v>
      </c>
      <c r="L13370" t="s">
        <v>1357</v>
      </c>
    </row>
    <row r="13371" spans="6:12">
      <c r="H13371" t="s">
        <v>23882</v>
      </c>
      <c r="I13371" t="s">
        <v>1357</v>
      </c>
      <c r="J13371" t="s">
        <v>1357</v>
      </c>
      <c r="K13371" t="s">
        <v>1357</v>
      </c>
      <c r="L13371" t="s">
        <v>1357</v>
      </c>
    </row>
    <row r="13372" spans="6:12">
      <c r="F13372" t="s">
        <v>16498</v>
      </c>
      <c r="G13372" t="s">
        <v>19157</v>
      </c>
      <c r="H13372" t="s">
        <v>23242</v>
      </c>
      <c r="I13372" t="s">
        <v>1357</v>
      </c>
      <c r="J13372" t="s">
        <v>1357</v>
      </c>
      <c r="K13372" t="s">
        <v>1357</v>
      </c>
      <c r="L13372" t="s">
        <v>1357</v>
      </c>
    </row>
    <row r="13373" spans="6:12">
      <c r="H13373" t="s">
        <v>23243</v>
      </c>
      <c r="I13373" t="s">
        <v>1357</v>
      </c>
      <c r="J13373" t="s">
        <v>1357</v>
      </c>
      <c r="K13373" t="s">
        <v>1357</v>
      </c>
      <c r="L13373" t="s">
        <v>1357</v>
      </c>
    </row>
    <row r="13374" spans="6:12">
      <c r="H13374" t="s">
        <v>23246</v>
      </c>
      <c r="I13374" t="s">
        <v>1357</v>
      </c>
      <c r="J13374" t="s">
        <v>1357</v>
      </c>
      <c r="K13374" t="s">
        <v>1357</v>
      </c>
      <c r="L13374" t="s">
        <v>1357</v>
      </c>
    </row>
    <row r="13375" spans="6:12">
      <c r="H13375" t="s">
        <v>23248</v>
      </c>
      <c r="I13375" t="s">
        <v>1357</v>
      </c>
      <c r="J13375" t="s">
        <v>1357</v>
      </c>
      <c r="K13375" t="s">
        <v>1357</v>
      </c>
      <c r="L13375" t="s">
        <v>1357</v>
      </c>
    </row>
    <row r="13376" spans="6:12">
      <c r="H13376" t="s">
        <v>23249</v>
      </c>
      <c r="I13376" t="s">
        <v>1357</v>
      </c>
      <c r="J13376" t="s">
        <v>1357</v>
      </c>
      <c r="K13376" t="s">
        <v>1357</v>
      </c>
      <c r="L13376" t="s">
        <v>1357</v>
      </c>
    </row>
    <row r="13377" spans="8:12">
      <c r="H13377" t="s">
        <v>23250</v>
      </c>
      <c r="I13377" t="s">
        <v>1357</v>
      </c>
      <c r="J13377" t="s">
        <v>1357</v>
      </c>
      <c r="K13377" t="s">
        <v>1357</v>
      </c>
      <c r="L13377" t="s">
        <v>1357</v>
      </c>
    </row>
    <row r="13378" spans="8:12">
      <c r="H13378" t="s">
        <v>23245</v>
      </c>
      <c r="I13378" t="s">
        <v>1357</v>
      </c>
      <c r="J13378" t="s">
        <v>1357</v>
      </c>
      <c r="K13378" t="s">
        <v>1357</v>
      </c>
      <c r="L13378" t="s">
        <v>1357</v>
      </c>
    </row>
    <row r="13379" spans="8:12">
      <c r="H13379" t="s">
        <v>23244</v>
      </c>
      <c r="I13379" t="s">
        <v>1357</v>
      </c>
      <c r="J13379" t="s">
        <v>1357</v>
      </c>
      <c r="K13379" t="s">
        <v>1357</v>
      </c>
      <c r="L13379" t="s">
        <v>1357</v>
      </c>
    </row>
    <row r="13380" spans="8:12">
      <c r="H13380" t="s">
        <v>23866</v>
      </c>
      <c r="I13380" t="s">
        <v>1357</v>
      </c>
      <c r="J13380" t="s">
        <v>1357</v>
      </c>
      <c r="K13380" t="s">
        <v>1357</v>
      </c>
      <c r="L13380" t="s">
        <v>1357</v>
      </c>
    </row>
    <row r="13381" spans="8:12">
      <c r="H13381" t="s">
        <v>23285</v>
      </c>
      <c r="I13381" t="s">
        <v>1357</v>
      </c>
      <c r="J13381" t="s">
        <v>1357</v>
      </c>
      <c r="K13381" t="s">
        <v>1357</v>
      </c>
      <c r="L13381" t="s">
        <v>1357</v>
      </c>
    </row>
    <row r="13382" spans="8:12">
      <c r="H13382" t="s">
        <v>23858</v>
      </c>
      <c r="I13382" t="s">
        <v>1357</v>
      </c>
      <c r="J13382" t="s">
        <v>1357</v>
      </c>
      <c r="K13382" t="s">
        <v>1357</v>
      </c>
      <c r="L13382" t="s">
        <v>1357</v>
      </c>
    </row>
    <row r="13383" spans="8:12">
      <c r="H13383" t="s">
        <v>23861</v>
      </c>
      <c r="I13383" t="s">
        <v>1357</v>
      </c>
      <c r="J13383" t="s">
        <v>1357</v>
      </c>
      <c r="K13383" t="s">
        <v>1357</v>
      </c>
      <c r="L13383" t="s">
        <v>1357</v>
      </c>
    </row>
    <row r="13384" spans="8:12">
      <c r="H13384" t="s">
        <v>23862</v>
      </c>
      <c r="I13384" t="s">
        <v>1357</v>
      </c>
      <c r="J13384" t="s">
        <v>1357</v>
      </c>
      <c r="K13384" t="s">
        <v>1357</v>
      </c>
      <c r="L13384" t="s">
        <v>1357</v>
      </c>
    </row>
    <row r="13385" spans="8:12">
      <c r="H13385" t="s">
        <v>23863</v>
      </c>
      <c r="I13385" t="s">
        <v>1357</v>
      </c>
      <c r="J13385" t="s">
        <v>1357</v>
      </c>
      <c r="K13385" t="s">
        <v>1357</v>
      </c>
      <c r="L13385" t="s">
        <v>1357</v>
      </c>
    </row>
    <row r="13386" spans="8:12">
      <c r="H13386" t="s">
        <v>23883</v>
      </c>
      <c r="I13386" t="s">
        <v>1357</v>
      </c>
      <c r="J13386" t="s">
        <v>1357</v>
      </c>
      <c r="K13386" t="s">
        <v>1357</v>
      </c>
      <c r="L13386" t="s">
        <v>1357</v>
      </c>
    </row>
    <row r="13387" spans="8:12">
      <c r="H13387" t="s">
        <v>23264</v>
      </c>
      <c r="I13387" t="s">
        <v>1357</v>
      </c>
      <c r="J13387" t="s">
        <v>1357</v>
      </c>
      <c r="K13387" t="s">
        <v>1357</v>
      </c>
      <c r="L13387" t="s">
        <v>1357</v>
      </c>
    </row>
    <row r="13388" spans="8:12">
      <c r="H13388" t="s">
        <v>23263</v>
      </c>
      <c r="I13388" t="s">
        <v>1357</v>
      </c>
      <c r="J13388" t="s">
        <v>1357</v>
      </c>
      <c r="K13388" t="s">
        <v>1357</v>
      </c>
      <c r="L13388" t="s">
        <v>1357</v>
      </c>
    </row>
    <row r="13389" spans="8:12">
      <c r="H13389" t="s">
        <v>23262</v>
      </c>
      <c r="I13389" t="s">
        <v>1357</v>
      </c>
      <c r="J13389" t="s">
        <v>1357</v>
      </c>
      <c r="K13389" t="s">
        <v>1357</v>
      </c>
      <c r="L13389" t="s">
        <v>1357</v>
      </c>
    </row>
    <row r="13390" spans="8:12">
      <c r="H13390" t="s">
        <v>23267</v>
      </c>
      <c r="I13390" t="s">
        <v>1357</v>
      </c>
      <c r="J13390" t="s">
        <v>1357</v>
      </c>
      <c r="K13390" t="s">
        <v>1357</v>
      </c>
      <c r="L13390" t="s">
        <v>1357</v>
      </c>
    </row>
    <row r="13391" spans="8:12">
      <c r="H13391" t="s">
        <v>23266</v>
      </c>
      <c r="I13391" t="s">
        <v>1357</v>
      </c>
      <c r="J13391" t="s">
        <v>1357</v>
      </c>
      <c r="K13391" t="s">
        <v>1357</v>
      </c>
      <c r="L13391" t="s">
        <v>1357</v>
      </c>
    </row>
    <row r="13392" spans="8:12">
      <c r="H13392" t="s">
        <v>23265</v>
      </c>
      <c r="I13392" t="s">
        <v>1357</v>
      </c>
      <c r="J13392" t="s">
        <v>1357</v>
      </c>
      <c r="K13392" t="s">
        <v>1357</v>
      </c>
      <c r="L13392" t="s">
        <v>1357</v>
      </c>
    </row>
    <row r="13393" spans="1:13">
      <c r="H13393" t="s">
        <v>23884</v>
      </c>
      <c r="I13393" t="s">
        <v>1357</v>
      </c>
      <c r="J13393" t="s">
        <v>1357</v>
      </c>
      <c r="K13393" t="s">
        <v>1357</v>
      </c>
      <c r="L13393" t="s">
        <v>1357</v>
      </c>
    </row>
    <row r="13394" spans="1:13">
      <c r="A13394" t="s">
        <v>10968</v>
      </c>
      <c r="B13394">
        <f>HYPERLINK("https://android.googlesource.com/platform/cts/+/c43e9230fe4e25cae6e75f5f988a3031342b2985", "c43e9230fe4e25cae6e75f5f988a3031342b2985")</f>
        <v>0</v>
      </c>
      <c r="C13394">
        <f>HYPERLINK("https://android.googlesource.com/platform/cts/+/040243712635014fc5e65c434e918a6b6394031b", "040243712635014fc5e65c434e918a6b6394031b")</f>
        <v>0</v>
      </c>
      <c r="D13394" t="s">
        <v>12261</v>
      </c>
      <c r="E13394" t="s">
        <v>13498</v>
      </c>
      <c r="F13394" t="s">
        <v>16403</v>
      </c>
      <c r="G13394" t="s">
        <v>19069</v>
      </c>
      <c r="H13394" t="s">
        <v>23820</v>
      </c>
      <c r="I13394" t="s">
        <v>1357</v>
      </c>
      <c r="J13394" t="s">
        <v>1357</v>
      </c>
      <c r="K13394" t="s">
        <v>1357</v>
      </c>
      <c r="L13394" t="s">
        <v>1357</v>
      </c>
    </row>
    <row r="13395" spans="1:13">
      <c r="A13395" t="s">
        <v>10969</v>
      </c>
      <c r="B13395">
        <f>HYPERLINK("https://android.googlesource.com/platform/cts/+/1e62776d2bfef3d05f106aa9ff66637758b90836", "1e62776d2bfef3d05f106aa9ff66637758b90836")</f>
        <v>0</v>
      </c>
      <c r="C13395">
        <f>HYPERLINK("https://android.googlesource.com/platform/cts/+/9d79c255fc5c4b0e8ef4e394f764c10a36817d79", "9d79c255fc5c4b0e8ef4e394f764c10a36817d79")</f>
        <v>0</v>
      </c>
      <c r="D13395" t="s">
        <v>12261</v>
      </c>
      <c r="E13395" t="s">
        <v>13498</v>
      </c>
      <c r="F13395" t="s">
        <v>16403</v>
      </c>
      <c r="G13395" t="s">
        <v>19069</v>
      </c>
      <c r="H13395" t="s">
        <v>23820</v>
      </c>
      <c r="I13395" t="s">
        <v>1357</v>
      </c>
      <c r="J13395" t="s">
        <v>1357</v>
      </c>
      <c r="K13395" t="s">
        <v>1357</v>
      </c>
      <c r="L13395" t="s">
        <v>1357</v>
      </c>
    </row>
    <row r="13396" spans="1:13">
      <c r="A13396" t="s">
        <v>10970</v>
      </c>
      <c r="B13396">
        <f>HYPERLINK("https://android.googlesource.com/platform/cts/+/e9dcebaa79ba68e79386bd26a50b5fd80b44b128", "e9dcebaa79ba68e79386bd26a50b5fd80b44b128")</f>
        <v>0</v>
      </c>
      <c r="C13396">
        <f>HYPERLINK("https://android.googlesource.com/platform/cts/+/075556b827c47c475db6d6dced9100d9d6349deb", "075556b827c47c475db6d6dced9100d9d6349deb")</f>
        <v>0</v>
      </c>
      <c r="D13396" t="s">
        <v>12261</v>
      </c>
      <c r="E13396" t="s">
        <v>13499</v>
      </c>
      <c r="F13396" t="s">
        <v>16403</v>
      </c>
      <c r="G13396" t="s">
        <v>19069</v>
      </c>
      <c r="H13396" t="s">
        <v>23819</v>
      </c>
      <c r="I13396" t="s">
        <v>1357</v>
      </c>
      <c r="J13396" t="s">
        <v>1357</v>
      </c>
      <c r="K13396" t="s">
        <v>1357</v>
      </c>
      <c r="L13396" t="s">
        <v>1357</v>
      </c>
    </row>
    <row r="13397" spans="1:13">
      <c r="A13397" t="s">
        <v>10971</v>
      </c>
      <c r="B13397">
        <f>HYPERLINK("https://android.googlesource.com/platform/cts/+/557deac116bab0b6ffa57c9d295e4e0932df8fb8", "557deac116bab0b6ffa57c9d295e4e0932df8fb8")</f>
        <v>0</v>
      </c>
      <c r="C13397">
        <f>HYPERLINK("https://android.googlesource.com/platform/cts/+/8141d9b748bd6f849b2c4cd7347dd318e2ad1066", "8141d9b748bd6f849b2c4cd7347dd318e2ad1066")</f>
        <v>0</v>
      </c>
      <c r="D13397" t="s">
        <v>12261</v>
      </c>
      <c r="E13397" t="s">
        <v>13499</v>
      </c>
      <c r="F13397" t="s">
        <v>16403</v>
      </c>
      <c r="G13397" t="s">
        <v>19069</v>
      </c>
      <c r="H13397" t="s">
        <v>23819</v>
      </c>
      <c r="I13397" t="s">
        <v>1357</v>
      </c>
      <c r="J13397" t="s">
        <v>1357</v>
      </c>
      <c r="K13397" t="s">
        <v>1357</v>
      </c>
      <c r="L13397" t="s">
        <v>1357</v>
      </c>
    </row>
    <row r="13398" spans="1:13">
      <c r="A13398" t="s">
        <v>10972</v>
      </c>
      <c r="B13398">
        <f>HYPERLINK("https://android.googlesource.com/platform/cts/+/40495120a03a113bed24556da01d386d5557e81b", "40495120a03a113bed24556da01d386d5557e81b")</f>
        <v>0</v>
      </c>
      <c r="C13398">
        <f>HYPERLINK("https://android.googlesource.com/platform/cts/+/53797c14fde6a4002927e06f77ad28441f1f1dd6", "53797c14fde6a4002927e06f77ad28441f1f1dd6")</f>
        <v>0</v>
      </c>
      <c r="D13398" t="s">
        <v>12261</v>
      </c>
      <c r="E13398" t="s">
        <v>13500</v>
      </c>
      <c r="F13398" t="s">
        <v>16403</v>
      </c>
      <c r="G13398" t="s">
        <v>19069</v>
      </c>
      <c r="H13398" t="s">
        <v>23885</v>
      </c>
      <c r="I13398" t="s">
        <v>1357</v>
      </c>
      <c r="J13398" t="s">
        <v>1357</v>
      </c>
      <c r="K13398" t="s">
        <v>1357</v>
      </c>
      <c r="L13398" t="s">
        <v>1357</v>
      </c>
    </row>
    <row r="13399" spans="1:13">
      <c r="A13399" t="s">
        <v>10973</v>
      </c>
      <c r="B13399">
        <f>HYPERLINK("https://android.googlesource.com/platform/cts/+/5fd4c3970fb386b0e753dcee4c5d742476e71788", "5fd4c3970fb386b0e753dcee4c5d742476e71788")</f>
        <v>0</v>
      </c>
      <c r="C13399">
        <f>HYPERLINK("https://android.googlesource.com/platform/cts/+/437f4c508dc8292f1d835649393ab073ea634b9e", "437f4c508dc8292f1d835649393ab073ea634b9e")</f>
        <v>0</v>
      </c>
      <c r="D13399" t="s">
        <v>12272</v>
      </c>
      <c r="E13399" t="s">
        <v>13501</v>
      </c>
      <c r="F13399" t="s">
        <v>16619</v>
      </c>
      <c r="G13399" t="s">
        <v>19259</v>
      </c>
      <c r="H13399" t="s">
        <v>23886</v>
      </c>
      <c r="I13399" t="s">
        <v>1358</v>
      </c>
      <c r="J13399" t="s">
        <v>1358</v>
      </c>
      <c r="K13399" t="s">
        <v>1358</v>
      </c>
      <c r="L13399" t="s">
        <v>1358</v>
      </c>
    </row>
    <row r="13400" spans="1:13">
      <c r="H13400" t="s">
        <v>23887</v>
      </c>
      <c r="I13400" t="s">
        <v>1358</v>
      </c>
      <c r="J13400" t="s">
        <v>1358</v>
      </c>
      <c r="K13400" t="s">
        <v>1358</v>
      </c>
      <c r="L13400" t="s">
        <v>1358</v>
      </c>
    </row>
    <row r="13401" spans="1:13">
      <c r="A13401" t="s">
        <v>10974</v>
      </c>
      <c r="B13401">
        <f>HYPERLINK("https://android.googlesource.com/platform/cts/+/a16afd3dae0a8ae24de4a585ada8cec3c7816635", "a16afd3dae0a8ae24de4a585ada8cec3c7816635")</f>
        <v>0</v>
      </c>
      <c r="C13401">
        <f>HYPERLINK("https://android.googlesource.com/platform/cts/+/ac8c5e9ba9dcf9022a38b75f7bc812582b652e64", "ac8c5e9ba9dcf9022a38b75f7bc812582b652e64")</f>
        <v>0</v>
      </c>
      <c r="D13401" t="s">
        <v>12261</v>
      </c>
      <c r="E13401" t="s">
        <v>13502</v>
      </c>
      <c r="F13401" t="s">
        <v>16403</v>
      </c>
      <c r="G13401" t="s">
        <v>19069</v>
      </c>
      <c r="H13401" t="s">
        <v>23088</v>
      </c>
      <c r="I13401" t="s">
        <v>1357</v>
      </c>
      <c r="J13401" t="s">
        <v>1357</v>
      </c>
      <c r="K13401" t="s">
        <v>1357</v>
      </c>
      <c r="L13401" t="s">
        <v>1357</v>
      </c>
    </row>
    <row r="13402" spans="1:13">
      <c r="A13402" t="s">
        <v>10975</v>
      </c>
      <c r="B13402">
        <f>HYPERLINK("https://android.googlesource.com/platform/cts/+/6ca6442a18d645ceb2889f3e06eda6c9c41c76ef", "6ca6442a18d645ceb2889f3e06eda6c9c41c76ef")</f>
        <v>0</v>
      </c>
      <c r="C13402">
        <f>HYPERLINK("https://android.googlesource.com/platform/cts/+/b039c8494e91029faa9d6757a5231584dc596e15", "b039c8494e91029faa9d6757a5231584dc596e15")</f>
        <v>0</v>
      </c>
      <c r="D13402" t="s">
        <v>12261</v>
      </c>
      <c r="E13402" t="s">
        <v>13503</v>
      </c>
      <c r="F13402" t="s">
        <v>16403</v>
      </c>
      <c r="G13402" t="s">
        <v>19069</v>
      </c>
      <c r="H13402" t="s">
        <v>23836</v>
      </c>
      <c r="I13402" t="s">
        <v>1357</v>
      </c>
      <c r="J13402" t="s">
        <v>1357</v>
      </c>
      <c r="K13402" t="s">
        <v>1357</v>
      </c>
      <c r="L13402" t="s">
        <v>1357</v>
      </c>
    </row>
    <row r="13403" spans="1:13">
      <c r="A13403" t="s">
        <v>10976</v>
      </c>
      <c r="B13403">
        <f>HYPERLINK("https://android.googlesource.com/platform/cts/+/8dcd811d31adfbee4034dcbcaa5e2807db590529", "8dcd811d31adfbee4034dcbcaa5e2807db590529")</f>
        <v>0</v>
      </c>
      <c r="C13403">
        <f>HYPERLINK("https://android.googlesource.com/platform/cts/+/e4a0d76989a72e961a49617ccc299b316cbdfee2", "e4a0d76989a72e961a49617ccc299b316cbdfee2")</f>
        <v>0</v>
      </c>
      <c r="D13403" t="s">
        <v>12261</v>
      </c>
      <c r="E13403" t="s">
        <v>13504</v>
      </c>
      <c r="F13403" t="s">
        <v>16403</v>
      </c>
      <c r="G13403" t="s">
        <v>19069</v>
      </c>
      <c r="H13403" t="s">
        <v>23836</v>
      </c>
      <c r="I13403" t="s">
        <v>1357</v>
      </c>
      <c r="J13403" t="s">
        <v>1357</v>
      </c>
      <c r="K13403" t="s">
        <v>1357</v>
      </c>
      <c r="L13403" t="s">
        <v>1357</v>
      </c>
      <c r="M13403" t="s">
        <v>9957</v>
      </c>
    </row>
    <row r="13404" spans="1:13">
      <c r="A13404" t="s">
        <v>10977</v>
      </c>
      <c r="B13404">
        <f>HYPERLINK("https://android.googlesource.com/platform/cts/+/c8c9ddc1d53889c777ac77f2155d6ff1d646cc97", "c8c9ddc1d53889c777ac77f2155d6ff1d646cc97")</f>
        <v>0</v>
      </c>
      <c r="C13404">
        <f>HYPERLINK("https://android.googlesource.com/platform/cts/+/8ce8bacf87e1b6acaca9663f80d3cb3de87be1ba", "8ce8bacf87e1b6acaca9663f80d3cb3de87be1ba")</f>
        <v>0</v>
      </c>
      <c r="D13404" t="s">
        <v>12261</v>
      </c>
      <c r="E13404" t="s">
        <v>13505</v>
      </c>
      <c r="F13404" t="s">
        <v>16403</v>
      </c>
      <c r="G13404" t="s">
        <v>19069</v>
      </c>
      <c r="H13404" t="s">
        <v>23836</v>
      </c>
      <c r="I13404" t="s">
        <v>1357</v>
      </c>
      <c r="J13404" t="s">
        <v>1357</v>
      </c>
      <c r="K13404" t="s">
        <v>1357</v>
      </c>
      <c r="L13404" t="s">
        <v>1357</v>
      </c>
      <c r="M13404" t="s">
        <v>9957</v>
      </c>
    </row>
    <row r="13405" spans="1:13">
      <c r="A13405" t="s">
        <v>10978</v>
      </c>
      <c r="B13405">
        <f>HYPERLINK("https://android.googlesource.com/platform/cts/+/4f6721eccec8f51c8ec4555d310509f4570ba3b8", "4f6721eccec8f51c8ec4555d310509f4570ba3b8")</f>
        <v>0</v>
      </c>
      <c r="C13405">
        <f>HYPERLINK("https://android.googlesource.com/platform/cts/+/08434c07d24ad5f27d9d49476b1c2f97a2d1a62f", "08434c07d24ad5f27d9d49476b1c2f97a2d1a62f")</f>
        <v>0</v>
      </c>
      <c r="D13405" t="s">
        <v>12261</v>
      </c>
      <c r="E13405" t="s">
        <v>13506</v>
      </c>
      <c r="F13405" t="s">
        <v>16403</v>
      </c>
      <c r="G13405" t="s">
        <v>19069</v>
      </c>
      <c r="H13405" t="s">
        <v>23088</v>
      </c>
      <c r="I13405" t="s">
        <v>1357</v>
      </c>
      <c r="J13405" t="s">
        <v>1357</v>
      </c>
      <c r="K13405" t="s">
        <v>1357</v>
      </c>
      <c r="L13405" t="s">
        <v>1357</v>
      </c>
    </row>
    <row r="13406" spans="1:13">
      <c r="A13406" t="s">
        <v>10979</v>
      </c>
      <c r="B13406">
        <f>HYPERLINK("https://android.googlesource.com/platform/cts/+/3b108de29b1de33d1a02dd4d9f225df8e82f7260", "3b108de29b1de33d1a02dd4d9f225df8e82f7260")</f>
        <v>0</v>
      </c>
      <c r="C13406">
        <f>HYPERLINK("https://android.googlesource.com/platform/cts/+/1c5495adbfee486fd9b2d3c848f7d606bb696e0f", "1c5495adbfee486fd9b2d3c848f7d606bb696e0f")</f>
        <v>0</v>
      </c>
      <c r="D13406" t="s">
        <v>12261</v>
      </c>
      <c r="E13406" t="s">
        <v>13507</v>
      </c>
      <c r="F13406" t="s">
        <v>16403</v>
      </c>
      <c r="G13406" t="s">
        <v>19069</v>
      </c>
      <c r="H13406" t="s">
        <v>23088</v>
      </c>
      <c r="I13406" t="s">
        <v>1357</v>
      </c>
      <c r="J13406" t="s">
        <v>1357</v>
      </c>
      <c r="K13406" t="s">
        <v>1357</v>
      </c>
      <c r="L13406" t="s">
        <v>1357</v>
      </c>
      <c r="M13406" t="s">
        <v>9957</v>
      </c>
    </row>
    <row r="13407" spans="1:13">
      <c r="A13407" t="s">
        <v>10980</v>
      </c>
      <c r="B13407">
        <f>HYPERLINK("https://android.googlesource.com/platform/cts/+/e4140b01c65a28655766124813c880460729d56f", "e4140b01c65a28655766124813c880460729d56f")</f>
        <v>0</v>
      </c>
      <c r="C13407">
        <f>HYPERLINK("https://android.googlesource.com/platform/cts/+/a41f813eacf3c9accbf00fc195a81f3d662da7d7", "a41f813eacf3c9accbf00fc195a81f3d662da7d7")</f>
        <v>0</v>
      </c>
      <c r="D13407" t="s">
        <v>12261</v>
      </c>
      <c r="E13407" t="s">
        <v>13508</v>
      </c>
      <c r="F13407" t="s">
        <v>16403</v>
      </c>
      <c r="G13407" t="s">
        <v>19069</v>
      </c>
      <c r="H13407" t="s">
        <v>23088</v>
      </c>
      <c r="I13407" t="s">
        <v>1357</v>
      </c>
      <c r="J13407" t="s">
        <v>1357</v>
      </c>
      <c r="K13407" t="s">
        <v>1357</v>
      </c>
      <c r="L13407" t="s">
        <v>1357</v>
      </c>
      <c r="M13407" t="s">
        <v>9957</v>
      </c>
    </row>
    <row r="13408" spans="1:13">
      <c r="A13408" t="s">
        <v>10981</v>
      </c>
      <c r="B13408">
        <f>HYPERLINK("https://android.googlesource.com/platform/cts/+/dbbe76b15b806cf916db2f412899de2b4a78acd4", "dbbe76b15b806cf916db2f412899de2b4a78acd4")</f>
        <v>0</v>
      </c>
      <c r="C13408">
        <f>HYPERLINK("https://android.googlesource.com/platform/cts/+/762edcf69a7b86916230b932713281388a82d3ad", "762edcf69a7b86916230b932713281388a82d3ad")</f>
        <v>0</v>
      </c>
      <c r="D13408" t="s">
        <v>12103</v>
      </c>
      <c r="E13408" t="s">
        <v>13509</v>
      </c>
      <c r="F13408" t="s">
        <v>16620</v>
      </c>
      <c r="G13408" t="s">
        <v>19260</v>
      </c>
      <c r="H13408" t="s">
        <v>23888</v>
      </c>
      <c r="I13408" t="s">
        <v>1357</v>
      </c>
      <c r="J13408" t="s">
        <v>1357</v>
      </c>
      <c r="K13408" t="s">
        <v>1357</v>
      </c>
      <c r="L13408" t="s">
        <v>1357</v>
      </c>
    </row>
    <row r="13409" spans="1:12">
      <c r="A13409" t="s">
        <v>10982</v>
      </c>
      <c r="B13409">
        <f>HYPERLINK("https://android.googlesource.com/platform/cts/+/7a68b335b97a687d416b83d526596e3ea8d6e466", "7a68b335b97a687d416b83d526596e3ea8d6e466")</f>
        <v>0</v>
      </c>
      <c r="C13409">
        <f>HYPERLINK("https://android.googlesource.com/platform/cts/+/4dabd7f52b987bf9626bedf6b20fea559428359a", "4dabd7f52b987bf9626bedf6b20fea559428359a")</f>
        <v>0</v>
      </c>
      <c r="D13409" t="s">
        <v>12273</v>
      </c>
      <c r="E13409" t="s">
        <v>13510</v>
      </c>
      <c r="F13409" t="s">
        <v>16074</v>
      </c>
      <c r="G13409" t="s">
        <v>18764</v>
      </c>
      <c r="H13409" t="s">
        <v>23889</v>
      </c>
      <c r="I13409" t="s">
        <v>1357</v>
      </c>
      <c r="J13409" t="s">
        <v>1357</v>
      </c>
      <c r="K13409" t="s">
        <v>1357</v>
      </c>
      <c r="L13409" t="s">
        <v>1357</v>
      </c>
    </row>
    <row r="13410" spans="1:12">
      <c r="A13410" t="s">
        <v>10983</v>
      </c>
      <c r="B13410">
        <f>HYPERLINK("https://android.googlesource.com/platform/cts/+/d4482f89d50919f5b2c877e2e4bd9e8d4d8e519e", "d4482f89d50919f5b2c877e2e4bd9e8d4d8e519e")</f>
        <v>0</v>
      </c>
      <c r="C13410">
        <f>HYPERLINK("https://android.googlesource.com/platform/cts/+/40e8a005594e31e970ea64af430b96b20f95d32c", "40e8a005594e31e970ea64af430b96b20f95d32c")</f>
        <v>0</v>
      </c>
      <c r="D13410" t="s">
        <v>12108</v>
      </c>
      <c r="E13410" t="s">
        <v>13511</v>
      </c>
      <c r="F13410" t="s">
        <v>16602</v>
      </c>
      <c r="G13410" t="s">
        <v>19244</v>
      </c>
      <c r="H13410" t="s">
        <v>23890</v>
      </c>
      <c r="I13410" t="s">
        <v>1357</v>
      </c>
      <c r="J13410" t="s">
        <v>1357</v>
      </c>
      <c r="K13410" t="s">
        <v>1357</v>
      </c>
      <c r="L13410" t="s">
        <v>1357</v>
      </c>
    </row>
    <row r="13411" spans="1:12">
      <c r="H13411" t="s">
        <v>23891</v>
      </c>
      <c r="I13411" t="s">
        <v>1357</v>
      </c>
      <c r="J13411" t="s">
        <v>1357</v>
      </c>
      <c r="K13411" t="s">
        <v>1357</v>
      </c>
      <c r="L13411" t="s">
        <v>1357</v>
      </c>
    </row>
    <row r="13412" spans="1:12">
      <c r="A13412" t="s">
        <v>10984</v>
      </c>
      <c r="B13412">
        <f>HYPERLINK("https://android.googlesource.com/platform/cts/+/66b81c8cb962ac72163dd079e42f97e6abe58d67", "66b81c8cb962ac72163dd079e42f97e6abe58d67")</f>
        <v>0</v>
      </c>
      <c r="C13412">
        <f>HYPERLINK("https://android.googlesource.com/platform/cts/+/3524bf597d35361cc790c89f4d75691c366f566e", "3524bf597d35361cc790c89f4d75691c366f566e")</f>
        <v>0</v>
      </c>
      <c r="D13412" t="s">
        <v>12218</v>
      </c>
      <c r="E13412" t="s">
        <v>13512</v>
      </c>
      <c r="F13412" t="s">
        <v>16621</v>
      </c>
      <c r="G13412" t="s">
        <v>19261</v>
      </c>
      <c r="H13412" t="s">
        <v>23892</v>
      </c>
      <c r="I13412" t="s">
        <v>1357</v>
      </c>
      <c r="J13412" t="s">
        <v>1357</v>
      </c>
      <c r="K13412" t="s">
        <v>1357</v>
      </c>
      <c r="L13412" t="s">
        <v>1357</v>
      </c>
    </row>
    <row r="13413" spans="1:12">
      <c r="A13413" t="s">
        <v>10985</v>
      </c>
      <c r="B13413">
        <f>HYPERLINK("https://android.googlesource.com/platform/cts/+/dca9bf76d76aa9b2023f2ec3d22e1c61102539d1", "dca9bf76d76aa9b2023f2ec3d22e1c61102539d1")</f>
        <v>0</v>
      </c>
      <c r="C13413">
        <f>HYPERLINK("https://android.googlesource.com/platform/cts/+/c6b9d4351cc48c644a6ddd8b4c0250de84549f7b", "c6b9d4351cc48c644a6ddd8b4c0250de84549f7b")</f>
        <v>0</v>
      </c>
      <c r="D13413" t="s">
        <v>12274</v>
      </c>
      <c r="E13413" t="s">
        <v>13513</v>
      </c>
      <c r="F13413" t="s">
        <v>16622</v>
      </c>
      <c r="G13413" t="s">
        <v>17327</v>
      </c>
      <c r="H13413" t="s">
        <v>23893</v>
      </c>
      <c r="I13413" t="s">
        <v>1359</v>
      </c>
      <c r="J13413" t="s">
        <v>1358</v>
      </c>
      <c r="K13413" t="s">
        <v>1357</v>
      </c>
      <c r="L13413" t="s">
        <v>1358</v>
      </c>
    </row>
    <row r="13414" spans="1:12">
      <c r="A13414" t="s">
        <v>10986</v>
      </c>
      <c r="B13414">
        <f>HYPERLINK("https://android.googlesource.com/platform/cts/+/6190d13a522a0901a3cae568fe003f9cc4f58bc9", "6190d13a522a0901a3cae568fe003f9cc4f58bc9")</f>
        <v>0</v>
      </c>
      <c r="C13414">
        <f>HYPERLINK("https://android.googlesource.com/platform/cts/+/67b715293484e2c455150be0b9ddad96cc902db7", "67b715293484e2c455150be0b9ddad96cc902db7")</f>
        <v>0</v>
      </c>
      <c r="D13414" t="s">
        <v>12022</v>
      </c>
      <c r="E13414" t="s">
        <v>13514</v>
      </c>
      <c r="F13414" t="s">
        <v>16623</v>
      </c>
      <c r="G13414" t="s">
        <v>19262</v>
      </c>
      <c r="H13414" t="s">
        <v>23894</v>
      </c>
      <c r="I13414" t="s">
        <v>1357</v>
      </c>
      <c r="J13414" t="s">
        <v>1357</v>
      </c>
      <c r="K13414" t="s">
        <v>1357</v>
      </c>
      <c r="L13414" t="s">
        <v>1357</v>
      </c>
    </row>
    <row r="13415" spans="1:12">
      <c r="A13415" t="s">
        <v>10987</v>
      </c>
      <c r="B13415">
        <f>HYPERLINK("https://android.googlesource.com/platform/cts/+/f5b5cecb825d166fee6c92daa42c45973445c763", "f5b5cecb825d166fee6c92daa42c45973445c763")</f>
        <v>0</v>
      </c>
      <c r="C13415">
        <f>HYPERLINK("https://android.googlesource.com/platform/cts/+/11b56a4fe5944b0ced825622d155bfe8e2c4e652", "11b56a4fe5944b0ced825622d155bfe8e2c4e652")</f>
        <v>0</v>
      </c>
      <c r="D13415" t="s">
        <v>12270</v>
      </c>
      <c r="E13415" t="s">
        <v>13515</v>
      </c>
      <c r="F13415" t="s">
        <v>14486</v>
      </c>
      <c r="G13415" t="s">
        <v>17332</v>
      </c>
      <c r="H13415" t="s">
        <v>23895</v>
      </c>
      <c r="I13415" t="s">
        <v>1357</v>
      </c>
      <c r="J13415" t="s">
        <v>1357</v>
      </c>
      <c r="K13415" t="s">
        <v>1357</v>
      </c>
      <c r="L13415" t="s">
        <v>1357</v>
      </c>
    </row>
    <row r="13416" spans="1:12">
      <c r="A13416" t="s">
        <v>10988</v>
      </c>
      <c r="B13416">
        <f>HYPERLINK("https://android.googlesource.com/platform/cts/+/6d2ffaca4e8aeed90250680fe8f7d4a62862a3b0", "6d2ffaca4e8aeed90250680fe8f7d4a62862a3b0")</f>
        <v>0</v>
      </c>
      <c r="C13416">
        <f>HYPERLINK("https://android.googlesource.com/platform/cts/+/d564eb07cec8b5effda4ceaf76af0eb0de559d54", "d564eb07cec8b5effda4ceaf76af0eb0de559d54")</f>
        <v>0</v>
      </c>
      <c r="D13416" t="s">
        <v>12045</v>
      </c>
      <c r="E13416" t="s">
        <v>13516</v>
      </c>
      <c r="F13416" t="s">
        <v>16012</v>
      </c>
      <c r="G13416" t="s">
        <v>18704</v>
      </c>
      <c r="H13416" t="s">
        <v>23395</v>
      </c>
      <c r="I13416" t="s">
        <v>1357</v>
      </c>
      <c r="J13416" t="s">
        <v>1357</v>
      </c>
      <c r="K13416" t="s">
        <v>1357</v>
      </c>
      <c r="L13416" t="s">
        <v>1357</v>
      </c>
    </row>
    <row r="13417" spans="1:12">
      <c r="A13417" t="s">
        <v>10989</v>
      </c>
      <c r="B13417">
        <f>HYPERLINK("https://android.googlesource.com/platform/cts/+/7137ccad4f425a80832afaee8d82bbbfe1fa544a", "7137ccad4f425a80832afaee8d82bbbfe1fa544a")</f>
        <v>0</v>
      </c>
      <c r="C13417">
        <f>HYPERLINK("https://android.googlesource.com/platform/cts/+/2c65204a1e7db9267ef43d67f06e029e73ab43da", "2c65204a1e7db9267ef43d67f06e029e73ab43da")</f>
        <v>0</v>
      </c>
      <c r="D13417" t="s">
        <v>12271</v>
      </c>
      <c r="E13417" t="s">
        <v>13517</v>
      </c>
      <c r="F13417" t="s">
        <v>15184</v>
      </c>
      <c r="G13417" t="s">
        <v>17886</v>
      </c>
      <c r="H13417" t="s">
        <v>23896</v>
      </c>
      <c r="I13417" t="s">
        <v>1357</v>
      </c>
      <c r="J13417" t="s">
        <v>1357</v>
      </c>
      <c r="K13417" t="s">
        <v>1357</v>
      </c>
      <c r="L13417" t="s">
        <v>1357</v>
      </c>
    </row>
    <row r="13418" spans="1:12">
      <c r="H13418" t="s">
        <v>23897</v>
      </c>
      <c r="I13418" t="s">
        <v>1357</v>
      </c>
      <c r="J13418" t="s">
        <v>1357</v>
      </c>
      <c r="K13418" t="s">
        <v>1357</v>
      </c>
      <c r="L13418" t="s">
        <v>1357</v>
      </c>
    </row>
    <row r="13419" spans="1:12">
      <c r="H13419" t="s">
        <v>23898</v>
      </c>
      <c r="I13419" t="s">
        <v>1357</v>
      </c>
      <c r="J13419" t="s">
        <v>1357</v>
      </c>
      <c r="K13419" t="s">
        <v>1357</v>
      </c>
      <c r="L13419" t="s">
        <v>1357</v>
      </c>
    </row>
    <row r="13420" spans="1:12">
      <c r="H13420" t="s">
        <v>23899</v>
      </c>
      <c r="I13420" t="s">
        <v>1357</v>
      </c>
      <c r="J13420" t="s">
        <v>1357</v>
      </c>
      <c r="K13420" t="s">
        <v>1357</v>
      </c>
      <c r="L13420" t="s">
        <v>1357</v>
      </c>
    </row>
    <row r="13421" spans="1:12">
      <c r="A13421" t="s">
        <v>10990</v>
      </c>
      <c r="B13421">
        <f>HYPERLINK("https://android.googlesource.com/platform/cts/+/b04e27263001428b9f343010f422e71bd8713fe1", "b04e27263001428b9f343010f422e71bd8713fe1")</f>
        <v>0</v>
      </c>
      <c r="C13421">
        <f>HYPERLINK("https://android.googlesource.com/platform/cts/+/69bb567e68e3ea6ea9e8071b3d899da51ed996eb", "69bb567e68e3ea6ea9e8071b3d899da51ed996eb")</f>
        <v>0</v>
      </c>
      <c r="D13421" t="s">
        <v>12005</v>
      </c>
      <c r="E13421" t="s">
        <v>13518</v>
      </c>
      <c r="F13421" t="s">
        <v>16598</v>
      </c>
      <c r="G13421" t="s">
        <v>19240</v>
      </c>
      <c r="H13421" t="s">
        <v>23900</v>
      </c>
      <c r="I13421" t="s">
        <v>1357</v>
      </c>
      <c r="J13421" t="s">
        <v>1357</v>
      </c>
      <c r="K13421" t="s">
        <v>1357</v>
      </c>
      <c r="L13421" t="s">
        <v>1357</v>
      </c>
    </row>
    <row r="13422" spans="1:12">
      <c r="H13422" t="s">
        <v>23901</v>
      </c>
      <c r="I13422" t="s">
        <v>1357</v>
      </c>
      <c r="J13422" t="s">
        <v>1357</v>
      </c>
      <c r="K13422" t="s">
        <v>1357</v>
      </c>
      <c r="L13422" t="s">
        <v>1357</v>
      </c>
    </row>
    <row r="13423" spans="1:12">
      <c r="H13423" t="s">
        <v>23902</v>
      </c>
      <c r="I13423" t="s">
        <v>1357</v>
      </c>
      <c r="J13423" t="s">
        <v>1357</v>
      </c>
      <c r="K13423" t="s">
        <v>1357</v>
      </c>
      <c r="L13423" t="s">
        <v>1357</v>
      </c>
    </row>
    <row r="13424" spans="1:12">
      <c r="H13424" t="s">
        <v>23903</v>
      </c>
      <c r="I13424" t="s">
        <v>1357</v>
      </c>
      <c r="J13424" t="s">
        <v>1357</v>
      </c>
      <c r="K13424" t="s">
        <v>1357</v>
      </c>
      <c r="L13424" t="s">
        <v>1357</v>
      </c>
    </row>
    <row r="13425" spans="1:14">
      <c r="H13425" t="s">
        <v>23904</v>
      </c>
      <c r="I13425" t="s">
        <v>1357</v>
      </c>
      <c r="J13425" t="s">
        <v>1357</v>
      </c>
      <c r="K13425" t="s">
        <v>1357</v>
      </c>
      <c r="L13425" t="s">
        <v>1357</v>
      </c>
    </row>
    <row r="13426" spans="1:14">
      <c r="H13426" t="s">
        <v>23642</v>
      </c>
      <c r="I13426" t="s">
        <v>1357</v>
      </c>
      <c r="J13426" t="s">
        <v>1357</v>
      </c>
      <c r="K13426" t="s">
        <v>1357</v>
      </c>
      <c r="L13426" t="s">
        <v>1357</v>
      </c>
    </row>
    <row r="13427" spans="1:14">
      <c r="H13427" t="s">
        <v>23905</v>
      </c>
      <c r="I13427" t="s">
        <v>1357</v>
      </c>
      <c r="J13427" t="s">
        <v>1357</v>
      </c>
      <c r="K13427" t="s">
        <v>1357</v>
      </c>
      <c r="L13427" t="s">
        <v>1357</v>
      </c>
    </row>
    <row r="13428" spans="1:14">
      <c r="H13428" t="s">
        <v>23906</v>
      </c>
      <c r="I13428" t="s">
        <v>1357</v>
      </c>
      <c r="J13428" t="s">
        <v>1357</v>
      </c>
      <c r="K13428" t="s">
        <v>1357</v>
      </c>
      <c r="L13428" t="s">
        <v>1357</v>
      </c>
    </row>
    <row r="13429" spans="1:14">
      <c r="H13429" t="s">
        <v>23907</v>
      </c>
      <c r="I13429" t="s">
        <v>1357</v>
      </c>
      <c r="J13429" t="s">
        <v>1357</v>
      </c>
      <c r="K13429" t="s">
        <v>1357</v>
      </c>
      <c r="L13429" t="s">
        <v>1357</v>
      </c>
    </row>
    <row r="13430" spans="1:14">
      <c r="H13430" t="s">
        <v>23908</v>
      </c>
      <c r="I13430" t="s">
        <v>1357</v>
      </c>
      <c r="J13430" t="s">
        <v>1357</v>
      </c>
      <c r="K13430" t="s">
        <v>1357</v>
      </c>
      <c r="L13430" t="s">
        <v>1357</v>
      </c>
    </row>
    <row r="13431" spans="1:14">
      <c r="H13431" t="s">
        <v>23909</v>
      </c>
      <c r="I13431" t="s">
        <v>1357</v>
      </c>
      <c r="J13431" t="s">
        <v>1357</v>
      </c>
      <c r="K13431" t="s">
        <v>1357</v>
      </c>
      <c r="L13431" t="s">
        <v>1357</v>
      </c>
    </row>
    <row r="13432" spans="1:14">
      <c r="A13432" t="s">
        <v>10991</v>
      </c>
      <c r="B13432">
        <f>HYPERLINK("https://android.googlesource.com/platform/cts/+/5100ab9b0a698ff561ab95b3ba115e47302daccd", "5100ab9b0a698ff561ab95b3ba115e47302daccd")</f>
        <v>0</v>
      </c>
      <c r="C13432">
        <f>HYPERLINK("https://android.googlesource.com/platform/cts/+/eddcacf11881de9baec30662d61563f332c0edca", "eddcacf11881de9baec30662d61563f332c0edca")</f>
        <v>0</v>
      </c>
      <c r="D13432" t="s">
        <v>12105</v>
      </c>
      <c r="E13432" t="s">
        <v>13519</v>
      </c>
      <c r="F13432" t="s">
        <v>16180</v>
      </c>
      <c r="G13432" t="s">
        <v>18860</v>
      </c>
      <c r="H13432" t="s">
        <v>23629</v>
      </c>
      <c r="I13432" t="s">
        <v>1357</v>
      </c>
      <c r="J13432" t="s">
        <v>1357</v>
      </c>
      <c r="K13432" t="s">
        <v>1357</v>
      </c>
      <c r="L13432" t="s">
        <v>1357</v>
      </c>
    </row>
    <row r="13433" spans="1:14">
      <c r="A13433" t="s">
        <v>10992</v>
      </c>
      <c r="B13433">
        <f>HYPERLINK("https://android.googlesource.com/platform/cts/+/7e609b9d2e8b2875270c6747b141e913180f0059", "7e609b9d2e8b2875270c6747b141e913180f0059")</f>
        <v>0</v>
      </c>
      <c r="C13433">
        <f>HYPERLINK("https://android.googlesource.com/platform/cts/+/83b03f0cd86afea1e3b98fac119f1b943275c6fa", "83b03f0cd86afea1e3b98fac119f1b943275c6fa")</f>
        <v>0</v>
      </c>
      <c r="D13433" t="s">
        <v>12270</v>
      </c>
      <c r="E13433" t="s">
        <v>13520</v>
      </c>
      <c r="F13433" t="s">
        <v>16624</v>
      </c>
      <c r="G13433" t="s">
        <v>17315</v>
      </c>
      <c r="H13433" t="s">
        <v>19930</v>
      </c>
      <c r="I13433" t="s">
        <v>1357</v>
      </c>
      <c r="J13433" t="s">
        <v>1357</v>
      </c>
      <c r="K13433" t="s">
        <v>1357</v>
      </c>
      <c r="L13433" t="s">
        <v>1357</v>
      </c>
    </row>
    <row r="13434" spans="1:14">
      <c r="A13434" t="s">
        <v>10993</v>
      </c>
      <c r="B13434">
        <f>HYPERLINK("https://android.googlesource.com/platform/cts/+/45fb5484c9a882b8f0974e925075ecd46f3f6aa0", "45fb5484c9a882b8f0974e925075ecd46f3f6aa0")</f>
        <v>0</v>
      </c>
      <c r="C13434">
        <f>HYPERLINK("https://android.googlesource.com/platform/cts/+/de1a06a8c534d6ae497d022cc188be26d95089d0", "de1a06a8c534d6ae497d022cc188be26d95089d0")</f>
        <v>0</v>
      </c>
      <c r="D13434" t="s">
        <v>12275</v>
      </c>
      <c r="E13434" t="s">
        <v>13521</v>
      </c>
      <c r="F13434" t="s">
        <v>16625</v>
      </c>
      <c r="G13434" t="s">
        <v>19263</v>
      </c>
      <c r="H13434" t="s">
        <v>23910</v>
      </c>
      <c r="I13434" t="s">
        <v>1357</v>
      </c>
      <c r="J13434" t="s">
        <v>1357</v>
      </c>
      <c r="K13434" t="s">
        <v>1357</v>
      </c>
      <c r="L13434" t="s">
        <v>1357</v>
      </c>
    </row>
    <row r="13435" spans="1:14">
      <c r="A13435" t="s">
        <v>10994</v>
      </c>
      <c r="B13435">
        <f>HYPERLINK("https://android.googlesource.com/platform/cts/+/9381b17063063adcf07d795631ec0e81b2b9400d", "9381b17063063adcf07d795631ec0e81b2b9400d")</f>
        <v>0</v>
      </c>
      <c r="C13435">
        <f>HYPERLINK("https://android.googlesource.com/platform/cts/+/f9174105834b117674efb98a8a27ad435a196356", "f9174105834b117674efb98a8a27ad435a196356")</f>
        <v>0</v>
      </c>
      <c r="D13435" t="s">
        <v>12276</v>
      </c>
      <c r="E13435" t="s">
        <v>13522</v>
      </c>
      <c r="F13435" t="s">
        <v>16626</v>
      </c>
      <c r="G13435" t="s">
        <v>19264</v>
      </c>
      <c r="H13435" t="s">
        <v>23911</v>
      </c>
      <c r="I13435" t="s">
        <v>1357</v>
      </c>
      <c r="J13435" t="s">
        <v>1357</v>
      </c>
      <c r="K13435" t="s">
        <v>1357</v>
      </c>
      <c r="L13435" t="s">
        <v>1357</v>
      </c>
      <c r="N13435" t="s">
        <v>27505</v>
      </c>
    </row>
    <row r="13436" spans="1:14">
      <c r="H13436" t="s">
        <v>23912</v>
      </c>
      <c r="I13436" t="s">
        <v>1357</v>
      </c>
      <c r="J13436" t="s">
        <v>1357</v>
      </c>
      <c r="K13436" t="s">
        <v>1357</v>
      </c>
      <c r="L13436" t="s">
        <v>1357</v>
      </c>
      <c r="N13436" t="s">
        <v>27505</v>
      </c>
    </row>
    <row r="13437" spans="1:14">
      <c r="A13437" t="s">
        <v>10995</v>
      </c>
      <c r="B13437">
        <f>HYPERLINK("https://android.googlesource.com/platform/cts/+/d7d3dec1f179ec976a6d96836762ba22470db7e7", "d7d3dec1f179ec976a6d96836762ba22470db7e7")</f>
        <v>0</v>
      </c>
      <c r="C13437">
        <f>HYPERLINK("https://android.googlesource.com/platform/cts/+/b9fdc17992990aaba128915390dec168a0ce082a", "b9fdc17992990aaba128915390dec168a0ce082a")</f>
        <v>0</v>
      </c>
      <c r="D13437" t="s">
        <v>12276</v>
      </c>
      <c r="E13437" t="s">
        <v>13523</v>
      </c>
      <c r="F13437" t="s">
        <v>16626</v>
      </c>
      <c r="G13437" t="s">
        <v>19264</v>
      </c>
      <c r="H13437" t="s">
        <v>23911</v>
      </c>
      <c r="I13437" t="s">
        <v>1357</v>
      </c>
      <c r="J13437" t="s">
        <v>1357</v>
      </c>
      <c r="K13437" t="s">
        <v>1357</v>
      </c>
      <c r="L13437" t="s">
        <v>1357</v>
      </c>
      <c r="N13437" t="s">
        <v>27505</v>
      </c>
    </row>
    <row r="13438" spans="1:14">
      <c r="H13438" t="s">
        <v>23912</v>
      </c>
      <c r="I13438" t="s">
        <v>1357</v>
      </c>
      <c r="J13438" t="s">
        <v>1357</v>
      </c>
      <c r="K13438" t="s">
        <v>1357</v>
      </c>
      <c r="L13438" t="s">
        <v>1357</v>
      </c>
      <c r="M13438" t="s">
        <v>9957</v>
      </c>
      <c r="N13438" t="s">
        <v>27505</v>
      </c>
    </row>
    <row r="13439" spans="1:14">
      <c r="A13439" t="s">
        <v>10996</v>
      </c>
      <c r="B13439">
        <f>HYPERLINK("https://android.googlesource.com/platform/cts/+/7209dcd2cf7e13f7a1645ba9abdb1da1627fac76", "7209dcd2cf7e13f7a1645ba9abdb1da1627fac76")</f>
        <v>0</v>
      </c>
      <c r="C13439">
        <f>HYPERLINK("https://android.googlesource.com/platform/cts/+/7e7880da7b530fff2e0867ba7e9cc52783f7a28d", "7e7880da7b530fff2e0867ba7e9cc52783f7a28d")</f>
        <v>0</v>
      </c>
      <c r="D13439" t="s">
        <v>12270</v>
      </c>
      <c r="E13439" t="s">
        <v>13524</v>
      </c>
      <c r="F13439" t="s">
        <v>14486</v>
      </c>
      <c r="G13439" t="s">
        <v>17332</v>
      </c>
      <c r="H13439" t="s">
        <v>23913</v>
      </c>
      <c r="I13439" t="s">
        <v>1357</v>
      </c>
      <c r="J13439" t="s">
        <v>1357</v>
      </c>
      <c r="K13439" t="s">
        <v>1357</v>
      </c>
      <c r="L13439" t="s">
        <v>1357</v>
      </c>
    </row>
    <row r="13440" spans="1:14">
      <c r="A13440" t="s">
        <v>10997</v>
      </c>
      <c r="B13440">
        <f>HYPERLINK("https://android.googlesource.com/platform/cts/+/c0537b5d27438b175132bdc1f9feee52da96797c", "c0537b5d27438b175132bdc1f9feee52da96797c")</f>
        <v>0</v>
      </c>
      <c r="C13440">
        <f>HYPERLINK("https://android.googlesource.com/platform/cts/+/0ad6166affd9adcfd17624c5b20e3a29c04b9ccb", "0ad6166affd9adcfd17624c5b20e3a29c04b9ccb")</f>
        <v>0</v>
      </c>
      <c r="D13440" t="s">
        <v>12022</v>
      </c>
      <c r="E13440" t="s">
        <v>13525</v>
      </c>
      <c r="F13440" t="s">
        <v>16627</v>
      </c>
      <c r="G13440" t="s">
        <v>19265</v>
      </c>
      <c r="H13440" t="s">
        <v>23914</v>
      </c>
      <c r="I13440" t="s">
        <v>1358</v>
      </c>
      <c r="J13440" t="s">
        <v>1358</v>
      </c>
      <c r="K13440" t="s">
        <v>1358</v>
      </c>
      <c r="L13440" t="s">
        <v>1358</v>
      </c>
    </row>
    <row r="13441" spans="1:13">
      <c r="H13441" t="s">
        <v>23915</v>
      </c>
      <c r="I13441" t="s">
        <v>1358</v>
      </c>
      <c r="J13441" t="s">
        <v>1358</v>
      </c>
      <c r="K13441" t="s">
        <v>1358</v>
      </c>
      <c r="L13441" t="s">
        <v>1358</v>
      </c>
    </row>
    <row r="13442" spans="1:13">
      <c r="F13442" t="s">
        <v>16628</v>
      </c>
      <c r="G13442" t="s">
        <v>19266</v>
      </c>
      <c r="H13442" t="s">
        <v>23916</v>
      </c>
      <c r="I13442" t="s">
        <v>1358</v>
      </c>
      <c r="J13442" t="s">
        <v>1358</v>
      </c>
      <c r="K13442" t="s">
        <v>1358</v>
      </c>
      <c r="L13442" t="s">
        <v>1358</v>
      </c>
    </row>
    <row r="13443" spans="1:13">
      <c r="H13443" t="s">
        <v>23917</v>
      </c>
      <c r="I13443" t="s">
        <v>1358</v>
      </c>
      <c r="J13443" t="s">
        <v>1358</v>
      </c>
      <c r="K13443" t="s">
        <v>1358</v>
      </c>
      <c r="L13443" t="s">
        <v>1358</v>
      </c>
    </row>
    <row r="13444" spans="1:13">
      <c r="F13444" t="s">
        <v>16629</v>
      </c>
      <c r="G13444" t="s">
        <v>19267</v>
      </c>
      <c r="H13444" t="s">
        <v>23918</v>
      </c>
      <c r="I13444" t="s">
        <v>1358</v>
      </c>
      <c r="J13444" t="s">
        <v>1358</v>
      </c>
      <c r="K13444" t="s">
        <v>1358</v>
      </c>
      <c r="L13444" t="s">
        <v>1358</v>
      </c>
    </row>
    <row r="13445" spans="1:13">
      <c r="H13445" t="s">
        <v>23919</v>
      </c>
      <c r="I13445" t="s">
        <v>1358</v>
      </c>
      <c r="J13445" t="s">
        <v>1358</v>
      </c>
      <c r="K13445" t="s">
        <v>1358</v>
      </c>
      <c r="L13445" t="s">
        <v>1358</v>
      </c>
    </row>
    <row r="13446" spans="1:13">
      <c r="F13446" t="s">
        <v>16630</v>
      </c>
      <c r="G13446" t="s">
        <v>19268</v>
      </c>
      <c r="H13446" t="s">
        <v>23920</v>
      </c>
      <c r="I13446" t="s">
        <v>1358</v>
      </c>
      <c r="J13446" t="s">
        <v>1358</v>
      </c>
      <c r="K13446" t="s">
        <v>1358</v>
      </c>
      <c r="L13446" t="s">
        <v>1358</v>
      </c>
    </row>
    <row r="13447" spans="1:13">
      <c r="H13447" t="s">
        <v>23921</v>
      </c>
      <c r="I13447" t="s">
        <v>1358</v>
      </c>
      <c r="J13447" t="s">
        <v>1358</v>
      </c>
      <c r="K13447" t="s">
        <v>1358</v>
      </c>
      <c r="L13447" t="s">
        <v>1358</v>
      </c>
    </row>
    <row r="13448" spans="1:13">
      <c r="A13448" t="s">
        <v>10998</v>
      </c>
      <c r="B13448">
        <f>HYPERLINK("https://android.googlesource.com/platform/cts/+/1c2bbff7696e02fc7c20afc630be6a1ef635f153", "1c2bbff7696e02fc7c20afc630be6a1ef635f153")</f>
        <v>0</v>
      </c>
      <c r="C13448">
        <f>HYPERLINK("https://android.googlesource.com/platform/cts/+/3b4167f594d9829299a6690e2e1d0920520e5d6f", "3b4167f594d9829299a6690e2e1d0920520e5d6f")</f>
        <v>0</v>
      </c>
      <c r="D13448" t="s">
        <v>12277</v>
      </c>
      <c r="E13448" t="s">
        <v>13526</v>
      </c>
      <c r="F13448" t="s">
        <v>16631</v>
      </c>
      <c r="G13448" t="s">
        <v>19269</v>
      </c>
      <c r="H13448" t="s">
        <v>23922</v>
      </c>
      <c r="I13448" t="s">
        <v>1357</v>
      </c>
      <c r="J13448" t="s">
        <v>1357</v>
      </c>
      <c r="K13448" t="s">
        <v>1357</v>
      </c>
      <c r="L13448" t="s">
        <v>1357</v>
      </c>
    </row>
    <row r="13449" spans="1:13">
      <c r="A13449" t="s">
        <v>10999</v>
      </c>
      <c r="B13449">
        <f>HYPERLINK("https://android.googlesource.com/platform/cts/+/d6d609a42c9f4a28a9f9b0c69e0fbfcfdd99ce20", "d6d609a42c9f4a28a9f9b0c69e0fbfcfdd99ce20")</f>
        <v>0</v>
      </c>
      <c r="C13449">
        <f>HYPERLINK("https://android.googlesource.com/platform/cts/+/daedc89bb402d6ffa1a383b0b88916fd7b728605", "daedc89bb402d6ffa1a383b0b88916fd7b728605")</f>
        <v>0</v>
      </c>
      <c r="D13449" t="s">
        <v>12022</v>
      </c>
      <c r="E13449" t="s">
        <v>13527</v>
      </c>
      <c r="F13449" t="s">
        <v>16632</v>
      </c>
      <c r="G13449" t="s">
        <v>19270</v>
      </c>
      <c r="H13449" t="s">
        <v>23923</v>
      </c>
      <c r="I13449" t="s">
        <v>1357</v>
      </c>
      <c r="J13449" t="s">
        <v>1357</v>
      </c>
      <c r="K13449" t="s">
        <v>1357</v>
      </c>
      <c r="L13449" t="s">
        <v>1357</v>
      </c>
    </row>
    <row r="13450" spans="1:13">
      <c r="F13450" t="s">
        <v>16633</v>
      </c>
      <c r="G13450" t="s">
        <v>19271</v>
      </c>
      <c r="H13450" t="s">
        <v>23924</v>
      </c>
      <c r="I13450" t="s">
        <v>1357</v>
      </c>
      <c r="J13450" t="s">
        <v>1357</v>
      </c>
      <c r="K13450" t="s">
        <v>1357</v>
      </c>
      <c r="L13450" t="s">
        <v>1357</v>
      </c>
    </row>
    <row r="13451" spans="1:13">
      <c r="A13451" t="s">
        <v>11000</v>
      </c>
      <c r="B13451">
        <f>HYPERLINK("https://android.googlesource.com/platform/cts/+/8ed62f56415387ca4671068ffd2d08dfbc27d43e", "8ed62f56415387ca4671068ffd2d08dfbc27d43e")</f>
        <v>0</v>
      </c>
      <c r="C13451">
        <f>HYPERLINK("https://android.googlesource.com/platform/cts/+/7a94e257c39f67f7c61d23e6ea50078bdc0e20ae", "7a94e257c39f67f7c61d23e6ea50078bdc0e20ae")</f>
        <v>0</v>
      </c>
      <c r="D13451" t="s">
        <v>12278</v>
      </c>
      <c r="E13451" t="s">
        <v>13528</v>
      </c>
      <c r="F13451" t="s">
        <v>16634</v>
      </c>
      <c r="G13451" t="s">
        <v>19174</v>
      </c>
      <c r="H13451" t="s">
        <v>23925</v>
      </c>
      <c r="I13451" t="s">
        <v>1357</v>
      </c>
      <c r="J13451" t="s">
        <v>1357</v>
      </c>
      <c r="K13451" t="s">
        <v>1357</v>
      </c>
      <c r="L13451" t="s">
        <v>1357</v>
      </c>
    </row>
    <row r="13452" spans="1:13">
      <c r="F13452" t="s">
        <v>16273</v>
      </c>
      <c r="G13452" t="s">
        <v>18946</v>
      </c>
      <c r="H13452" t="s">
        <v>23926</v>
      </c>
      <c r="I13452" t="s">
        <v>1357</v>
      </c>
      <c r="J13452" t="s">
        <v>1357</v>
      </c>
      <c r="K13452" t="s">
        <v>1357</v>
      </c>
      <c r="L13452" t="s">
        <v>1357</v>
      </c>
    </row>
    <row r="13453" spans="1:13">
      <c r="A13453" t="s">
        <v>11001</v>
      </c>
      <c r="B13453">
        <f>HYPERLINK("https://android.googlesource.com/platform/cts/+/ab0cbcbada12d931a72ce2e82d4e1352bc9afe15", "ab0cbcbada12d931a72ce2e82d4e1352bc9afe15")</f>
        <v>0</v>
      </c>
      <c r="C13453">
        <f>HYPERLINK("https://android.googlesource.com/platform/cts/+/64e287ee3f2e05fcf9c77900eca6fe8dd64efc33", "64e287ee3f2e05fcf9c77900eca6fe8dd64efc33")</f>
        <v>0</v>
      </c>
      <c r="D13453" t="s">
        <v>12203</v>
      </c>
      <c r="E13453" t="s">
        <v>13529</v>
      </c>
      <c r="F13453" t="s">
        <v>16634</v>
      </c>
      <c r="G13453" t="s">
        <v>19174</v>
      </c>
      <c r="H13453" t="s">
        <v>23925</v>
      </c>
      <c r="I13453" t="s">
        <v>1357</v>
      </c>
      <c r="J13453" t="s">
        <v>1357</v>
      </c>
      <c r="K13453" t="s">
        <v>1357</v>
      </c>
      <c r="L13453" t="s">
        <v>1357</v>
      </c>
      <c r="M13453" t="s">
        <v>9957</v>
      </c>
    </row>
    <row r="13454" spans="1:13">
      <c r="F13454" t="s">
        <v>16273</v>
      </c>
      <c r="G13454" t="s">
        <v>18946</v>
      </c>
      <c r="H13454" t="s">
        <v>23926</v>
      </c>
      <c r="I13454" t="s">
        <v>1357</v>
      </c>
      <c r="J13454" t="s">
        <v>1357</v>
      </c>
      <c r="K13454" t="s">
        <v>1357</v>
      </c>
      <c r="L13454" t="s">
        <v>1357</v>
      </c>
    </row>
    <row r="13455" spans="1:13">
      <c r="A13455" t="s">
        <v>11002</v>
      </c>
      <c r="B13455">
        <f>HYPERLINK("https://android.googlesource.com/platform/cts/+/25e9b80303296b012d020961ddf34f44150cf60b", "25e9b80303296b012d020961ddf34f44150cf60b")</f>
        <v>0</v>
      </c>
      <c r="C13455">
        <f>HYPERLINK("https://android.googlesource.com/platform/cts/+/b6a914dc4ef14a018d3bddae1cc03eb860a74640", "b6a914dc4ef14a018d3bddae1cc03eb860a74640")</f>
        <v>0</v>
      </c>
      <c r="D13455" t="s">
        <v>12279</v>
      </c>
      <c r="E13455" t="s">
        <v>13530</v>
      </c>
      <c r="F13455" t="s">
        <v>16397</v>
      </c>
      <c r="G13455" t="s">
        <v>19063</v>
      </c>
      <c r="H13455" t="s">
        <v>23927</v>
      </c>
      <c r="I13455" t="s">
        <v>1357</v>
      </c>
      <c r="J13455" t="s">
        <v>1357</v>
      </c>
      <c r="K13455" t="s">
        <v>1357</v>
      </c>
      <c r="L13455" t="s">
        <v>1357</v>
      </c>
    </row>
    <row r="13456" spans="1:13">
      <c r="H13456" t="s">
        <v>23928</v>
      </c>
      <c r="I13456" t="s">
        <v>1357</v>
      </c>
      <c r="J13456" t="s">
        <v>1357</v>
      </c>
      <c r="K13456" t="s">
        <v>1357</v>
      </c>
      <c r="L13456" t="s">
        <v>1357</v>
      </c>
    </row>
    <row r="13457" spans="1:12">
      <c r="H13457" t="s">
        <v>23929</v>
      </c>
      <c r="I13457" t="s">
        <v>1357</v>
      </c>
      <c r="J13457" t="s">
        <v>1357</v>
      </c>
      <c r="K13457" t="s">
        <v>1357</v>
      </c>
      <c r="L13457" t="s">
        <v>1357</v>
      </c>
    </row>
    <row r="13458" spans="1:12">
      <c r="A13458" t="s">
        <v>11003</v>
      </c>
      <c r="B13458">
        <f>HYPERLINK("https://android.googlesource.com/platform/cts/+/32015bc6a975972f6d6424f18f7fc5ba020e4240", "32015bc6a975972f6d6424f18f7fc5ba020e4240")</f>
        <v>0</v>
      </c>
      <c r="C13458">
        <f>HYPERLINK("https://android.googlesource.com/platform/cts/+/d3e71df48b4f858e8fd681025dad93e6117572f8", "d3e71df48b4f858e8fd681025dad93e6117572f8")</f>
        <v>0</v>
      </c>
      <c r="D13458" t="s">
        <v>12022</v>
      </c>
      <c r="E13458" t="s">
        <v>13531</v>
      </c>
      <c r="F13458" t="s">
        <v>16635</v>
      </c>
      <c r="G13458" t="s">
        <v>19272</v>
      </c>
      <c r="H13458" t="s">
        <v>23930</v>
      </c>
      <c r="I13458" t="s">
        <v>1357</v>
      </c>
      <c r="J13458" t="s">
        <v>1357</v>
      </c>
      <c r="K13458" t="s">
        <v>1357</v>
      </c>
      <c r="L13458" t="s">
        <v>1357</v>
      </c>
    </row>
    <row r="13459" spans="1:12">
      <c r="H13459" t="s">
        <v>23931</v>
      </c>
      <c r="I13459" t="s">
        <v>1357</v>
      </c>
      <c r="J13459" t="s">
        <v>1357</v>
      </c>
      <c r="K13459" t="s">
        <v>1357</v>
      </c>
      <c r="L13459" t="s">
        <v>1357</v>
      </c>
    </row>
    <row r="13460" spans="1:12">
      <c r="F13460" t="s">
        <v>16636</v>
      </c>
      <c r="G13460" t="s">
        <v>19273</v>
      </c>
      <c r="H13460" t="s">
        <v>23930</v>
      </c>
      <c r="I13460" t="s">
        <v>1357</v>
      </c>
      <c r="J13460" t="s">
        <v>1357</v>
      </c>
      <c r="K13460" t="s">
        <v>1357</v>
      </c>
      <c r="L13460" t="s">
        <v>1357</v>
      </c>
    </row>
    <row r="13461" spans="1:12">
      <c r="H13461" t="s">
        <v>22359</v>
      </c>
      <c r="I13461" t="s">
        <v>1357</v>
      </c>
      <c r="J13461" t="s">
        <v>1357</v>
      </c>
      <c r="K13461" t="s">
        <v>1357</v>
      </c>
      <c r="L13461" t="s">
        <v>1357</v>
      </c>
    </row>
    <row r="13462" spans="1:12">
      <c r="A13462" t="s">
        <v>11004</v>
      </c>
      <c r="B13462">
        <f>HYPERLINK("https://android.googlesource.com/platform/cts/+/ab27d3418059c0a89767942a7c8555d4a6d6555a", "ab27d3418059c0a89767942a7c8555d4a6d6555a")</f>
        <v>0</v>
      </c>
      <c r="C13462">
        <f>HYPERLINK("https://android.googlesource.com/platform/cts/+/afea8423d7537d170546be57829986c3c5f21a2a", "afea8423d7537d170546be57829986c3c5f21a2a")</f>
        <v>0</v>
      </c>
      <c r="D13462" t="s">
        <v>12280</v>
      </c>
      <c r="E13462" t="s">
        <v>13532</v>
      </c>
      <c r="F13462" t="s">
        <v>16637</v>
      </c>
      <c r="G13462" t="s">
        <v>19274</v>
      </c>
      <c r="H13462" t="s">
        <v>23932</v>
      </c>
      <c r="I13462" t="s">
        <v>1357</v>
      </c>
      <c r="J13462" t="s">
        <v>1357</v>
      </c>
      <c r="K13462" t="s">
        <v>1357</v>
      </c>
      <c r="L13462" t="s">
        <v>1357</v>
      </c>
    </row>
    <row r="13463" spans="1:12">
      <c r="A13463" t="s">
        <v>11005</v>
      </c>
      <c r="B13463">
        <f>HYPERLINK("https://android.googlesource.com/platform/cts/+/6e7ba057839a7c2030703081ec7af34fc5d9828e", "6e7ba057839a7c2030703081ec7af34fc5d9828e")</f>
        <v>0</v>
      </c>
      <c r="C13463">
        <f>HYPERLINK("https://android.googlesource.com/platform/cts/+/334f23923d2d46f3e57f17015049d0fee2aceafa", "334f23923d2d46f3e57f17015049d0fee2aceafa")</f>
        <v>0</v>
      </c>
      <c r="D13463" t="s">
        <v>12271</v>
      </c>
      <c r="E13463" t="s">
        <v>13533</v>
      </c>
      <c r="F13463" t="s">
        <v>16618</v>
      </c>
      <c r="G13463" t="s">
        <v>19258</v>
      </c>
      <c r="H13463" t="s">
        <v>23933</v>
      </c>
      <c r="I13463" t="s">
        <v>1357</v>
      </c>
      <c r="J13463" t="s">
        <v>1357</v>
      </c>
      <c r="K13463" t="s">
        <v>1357</v>
      </c>
      <c r="L13463" t="s">
        <v>1357</v>
      </c>
    </row>
    <row r="13464" spans="1:12">
      <c r="A13464" t="s">
        <v>11006</v>
      </c>
      <c r="B13464">
        <f>HYPERLINK("https://android.googlesource.com/platform/cts/+/2e0f588fa1dcb486ee7a2a790b2f147d2449f892", "2e0f588fa1dcb486ee7a2a790b2f147d2449f892")</f>
        <v>0</v>
      </c>
      <c r="C13464">
        <f>HYPERLINK("https://android.googlesource.com/platform/cts/+/41dcf09dcf5d9832331d87424da46c21cdf590f6", "41dcf09dcf5d9832331d87424da46c21cdf590f6")</f>
        <v>0</v>
      </c>
      <c r="D13464" t="s">
        <v>12088</v>
      </c>
      <c r="E13464" t="s">
        <v>13534</v>
      </c>
      <c r="F13464" t="s">
        <v>16048</v>
      </c>
      <c r="G13464" t="s">
        <v>18739</v>
      </c>
      <c r="H13464" t="s">
        <v>23934</v>
      </c>
      <c r="I13464" t="s">
        <v>1357</v>
      </c>
      <c r="J13464" t="s">
        <v>1357</v>
      </c>
      <c r="K13464" t="s">
        <v>1357</v>
      </c>
      <c r="L13464" t="s">
        <v>1357</v>
      </c>
    </row>
    <row r="13465" spans="1:12">
      <c r="A13465" t="s">
        <v>11007</v>
      </c>
      <c r="B13465">
        <f>HYPERLINK("https://android.googlesource.com/platform/cts/+/e81877cca7ebbb4bc2f3d9fb46e3a6aef53a81ec", "e81877cca7ebbb4bc2f3d9fb46e3a6aef53a81ec")</f>
        <v>0</v>
      </c>
      <c r="C13465">
        <f>HYPERLINK("https://android.googlesource.com/platform/cts/+/0fc1b7851e546b06d34638ba6bd4719983635b9a", "0fc1b7851e546b06d34638ba6bd4719983635b9a")</f>
        <v>0</v>
      </c>
      <c r="D13465" t="s">
        <v>12281</v>
      </c>
      <c r="E13465" t="s">
        <v>13535</v>
      </c>
      <c r="F13465" t="s">
        <v>16638</v>
      </c>
      <c r="G13465" t="s">
        <v>19275</v>
      </c>
      <c r="H13465" t="s">
        <v>4882</v>
      </c>
      <c r="I13465" t="s">
        <v>1357</v>
      </c>
      <c r="J13465" t="s">
        <v>1357</v>
      </c>
      <c r="K13465" t="s">
        <v>1357</v>
      </c>
      <c r="L13465" t="s">
        <v>1357</v>
      </c>
    </row>
    <row r="13466" spans="1:12">
      <c r="A13466" t="s">
        <v>11008</v>
      </c>
      <c r="B13466">
        <f>HYPERLINK("https://android.googlesource.com/platform/cts/+/8c23de2732feaff86aa43cd32c659a32beafd7b6", "8c23de2732feaff86aa43cd32c659a32beafd7b6")</f>
        <v>0</v>
      </c>
      <c r="C13466">
        <f>HYPERLINK("https://android.googlesource.com/platform/cts/+/9284c6e1157295c95fe55c40f4c6bbbc2747ffd1", "9284c6e1157295c95fe55c40f4c6bbbc2747ffd1")</f>
        <v>0</v>
      </c>
      <c r="D13466" t="s">
        <v>12137</v>
      </c>
      <c r="E13466" t="s">
        <v>13536</v>
      </c>
      <c r="F13466" t="s">
        <v>16639</v>
      </c>
      <c r="G13466" t="s">
        <v>19276</v>
      </c>
      <c r="H13466" t="s">
        <v>23935</v>
      </c>
      <c r="I13466" t="s">
        <v>1357</v>
      </c>
      <c r="J13466" t="s">
        <v>1357</v>
      </c>
      <c r="K13466" t="s">
        <v>1357</v>
      </c>
      <c r="L13466" t="s">
        <v>1357</v>
      </c>
    </row>
    <row r="13467" spans="1:12">
      <c r="H13467" t="s">
        <v>23936</v>
      </c>
      <c r="I13467" t="s">
        <v>1357</v>
      </c>
      <c r="J13467" t="s">
        <v>1357</v>
      </c>
      <c r="K13467" t="s">
        <v>1357</v>
      </c>
      <c r="L13467" t="s">
        <v>1357</v>
      </c>
    </row>
    <row r="13468" spans="1:12">
      <c r="A13468" t="s">
        <v>11009</v>
      </c>
      <c r="B13468">
        <f>HYPERLINK("https://android.googlesource.com/platform/cts/+/c0c6d59aa09fc3e8f003a8e322d00846b3e6d316", "c0c6d59aa09fc3e8f003a8e322d00846b3e6d316")</f>
        <v>0</v>
      </c>
      <c r="C13468">
        <f>HYPERLINK("https://android.googlesource.com/platform/cts/+/a215eb85d4703cc2cfed58495a16be1c99c54830", "a215eb85d4703cc2cfed58495a16be1c99c54830")</f>
        <v>0</v>
      </c>
      <c r="D13468" t="s">
        <v>12102</v>
      </c>
      <c r="E13468" t="s">
        <v>13537</v>
      </c>
      <c r="F13468" t="s">
        <v>16640</v>
      </c>
      <c r="G13468" t="s">
        <v>19277</v>
      </c>
      <c r="H13468" t="s">
        <v>23937</v>
      </c>
      <c r="I13468" t="s">
        <v>1357</v>
      </c>
      <c r="J13468" t="s">
        <v>1357</v>
      </c>
      <c r="K13468" t="s">
        <v>1357</v>
      </c>
      <c r="L13468" t="s">
        <v>1357</v>
      </c>
    </row>
    <row r="13469" spans="1:12">
      <c r="F13469" t="s">
        <v>16641</v>
      </c>
      <c r="G13469" t="s">
        <v>19006</v>
      </c>
      <c r="H13469" t="s">
        <v>23938</v>
      </c>
      <c r="I13469" t="s">
        <v>1357</v>
      </c>
      <c r="J13469" t="s">
        <v>1357</v>
      </c>
      <c r="K13469" t="s">
        <v>1357</v>
      </c>
      <c r="L13469" t="s">
        <v>1357</v>
      </c>
    </row>
    <row r="13470" spans="1:12">
      <c r="H13470" t="s">
        <v>23939</v>
      </c>
      <c r="I13470" t="s">
        <v>1357</v>
      </c>
      <c r="J13470" t="s">
        <v>1357</v>
      </c>
      <c r="K13470" t="s">
        <v>1357</v>
      </c>
      <c r="L13470" t="s">
        <v>1357</v>
      </c>
    </row>
    <row r="13471" spans="1:12">
      <c r="H13471" t="s">
        <v>23940</v>
      </c>
      <c r="I13471" t="s">
        <v>1357</v>
      </c>
      <c r="J13471" t="s">
        <v>1357</v>
      </c>
      <c r="K13471" t="s">
        <v>1357</v>
      </c>
      <c r="L13471" t="s">
        <v>1357</v>
      </c>
    </row>
    <row r="13472" spans="1:12">
      <c r="A13472" t="s">
        <v>11010</v>
      </c>
      <c r="B13472">
        <f>HYPERLINK("https://android.googlesource.com/platform/cts/+/6f80be06c44349a4c1945c9ef298d5e4f7f28dc6", "6f80be06c44349a4c1945c9ef298d5e4f7f28dc6")</f>
        <v>0</v>
      </c>
      <c r="C13472">
        <f>HYPERLINK("https://android.googlesource.com/platform/cts/+/3d32635e90e7f3faf5916351555e1d9de59fb078", "3d32635e90e7f3faf5916351555e1d9de59fb078")</f>
        <v>0</v>
      </c>
      <c r="D13472" t="s">
        <v>12282</v>
      </c>
      <c r="E13472" t="s">
        <v>13538</v>
      </c>
      <c r="F13472" t="s">
        <v>16642</v>
      </c>
      <c r="G13472" t="s">
        <v>19278</v>
      </c>
      <c r="H13472" t="s">
        <v>23941</v>
      </c>
      <c r="I13472" t="s">
        <v>1357</v>
      </c>
      <c r="J13472" t="s">
        <v>1357</v>
      </c>
      <c r="K13472" t="s">
        <v>1357</v>
      </c>
      <c r="L13472" t="s">
        <v>1357</v>
      </c>
    </row>
    <row r="13473" spans="1:13">
      <c r="H13473" t="s">
        <v>23942</v>
      </c>
      <c r="I13473" t="s">
        <v>1357</v>
      </c>
      <c r="J13473" t="s">
        <v>1357</v>
      </c>
      <c r="K13473" t="s">
        <v>1357</v>
      </c>
      <c r="L13473" t="s">
        <v>1357</v>
      </c>
    </row>
    <row r="13474" spans="1:13">
      <c r="H13474" t="s">
        <v>23943</v>
      </c>
      <c r="I13474" t="s">
        <v>1357</v>
      </c>
      <c r="J13474" t="s">
        <v>1357</v>
      </c>
      <c r="K13474" t="s">
        <v>1357</v>
      </c>
      <c r="L13474" t="s">
        <v>1357</v>
      </c>
    </row>
    <row r="13475" spans="1:13">
      <c r="H13475" t="s">
        <v>23944</v>
      </c>
      <c r="I13475" t="s">
        <v>1357</v>
      </c>
      <c r="J13475" t="s">
        <v>1357</v>
      </c>
      <c r="K13475" t="s">
        <v>1357</v>
      </c>
      <c r="L13475" t="s">
        <v>1357</v>
      </c>
    </row>
    <row r="13476" spans="1:13">
      <c r="H13476" t="s">
        <v>23945</v>
      </c>
      <c r="I13476" t="s">
        <v>1357</v>
      </c>
      <c r="J13476" t="s">
        <v>1357</v>
      </c>
      <c r="K13476" t="s">
        <v>1357</v>
      </c>
      <c r="L13476" t="s">
        <v>1357</v>
      </c>
    </row>
    <row r="13477" spans="1:13">
      <c r="H13477" t="s">
        <v>23946</v>
      </c>
      <c r="I13477" t="s">
        <v>1357</v>
      </c>
      <c r="J13477" t="s">
        <v>1357</v>
      </c>
      <c r="K13477" t="s">
        <v>1357</v>
      </c>
      <c r="L13477" t="s">
        <v>1357</v>
      </c>
    </row>
    <row r="13478" spans="1:13">
      <c r="H13478" t="s">
        <v>23947</v>
      </c>
      <c r="I13478" t="s">
        <v>1357</v>
      </c>
      <c r="J13478" t="s">
        <v>1357</v>
      </c>
      <c r="K13478" t="s">
        <v>1357</v>
      </c>
      <c r="L13478" t="s">
        <v>1357</v>
      </c>
    </row>
    <row r="13479" spans="1:13">
      <c r="H13479" t="s">
        <v>23948</v>
      </c>
      <c r="I13479" t="s">
        <v>1357</v>
      </c>
      <c r="J13479" t="s">
        <v>1357</v>
      </c>
      <c r="K13479" t="s">
        <v>1357</v>
      </c>
      <c r="L13479" t="s">
        <v>1357</v>
      </c>
    </row>
    <row r="13480" spans="1:13">
      <c r="A13480" t="s">
        <v>11011</v>
      </c>
      <c r="B13480">
        <f>HYPERLINK("https://android.googlesource.com/platform/cts/+/4af30d7440df06d9779a2177283ed7a08e66af98", "4af30d7440df06d9779a2177283ed7a08e66af98")</f>
        <v>0</v>
      </c>
      <c r="C13480">
        <f>HYPERLINK("https://android.googlesource.com/platform/cts/+/8cfc3b6dc2e1bd4ae45bdfe56d410305bc4bd27b", "8cfc3b6dc2e1bd4ae45bdfe56d410305bc4bd27b")</f>
        <v>0</v>
      </c>
      <c r="D13480" t="s">
        <v>12282</v>
      </c>
      <c r="E13480" t="s">
        <v>13539</v>
      </c>
      <c r="F13480" t="s">
        <v>16642</v>
      </c>
      <c r="G13480" t="s">
        <v>19278</v>
      </c>
      <c r="H13480" t="s">
        <v>23941</v>
      </c>
      <c r="I13480" t="s">
        <v>1357</v>
      </c>
      <c r="J13480" t="s">
        <v>1357</v>
      </c>
      <c r="K13480" t="s">
        <v>1357</v>
      </c>
      <c r="L13480" t="s">
        <v>1357</v>
      </c>
    </row>
    <row r="13481" spans="1:13">
      <c r="H13481" t="s">
        <v>23942</v>
      </c>
      <c r="I13481" t="s">
        <v>1357</v>
      </c>
      <c r="J13481" t="s">
        <v>1357</v>
      </c>
      <c r="K13481" t="s">
        <v>1357</v>
      </c>
      <c r="L13481" t="s">
        <v>1357</v>
      </c>
    </row>
    <row r="13482" spans="1:13">
      <c r="H13482" t="s">
        <v>23943</v>
      </c>
      <c r="I13482" t="s">
        <v>1357</v>
      </c>
      <c r="J13482" t="s">
        <v>1357</v>
      </c>
      <c r="K13482" t="s">
        <v>1357</v>
      </c>
      <c r="L13482" t="s">
        <v>1357</v>
      </c>
    </row>
    <row r="13483" spans="1:13">
      <c r="H13483" t="s">
        <v>23944</v>
      </c>
      <c r="I13483" t="s">
        <v>1357</v>
      </c>
      <c r="J13483" t="s">
        <v>1357</v>
      </c>
      <c r="K13483" t="s">
        <v>1357</v>
      </c>
      <c r="L13483" t="s">
        <v>1357</v>
      </c>
    </row>
    <row r="13484" spans="1:13">
      <c r="H13484" t="s">
        <v>23945</v>
      </c>
      <c r="I13484" t="s">
        <v>1357</v>
      </c>
      <c r="J13484" t="s">
        <v>1357</v>
      </c>
      <c r="K13484" t="s">
        <v>1357</v>
      </c>
      <c r="L13484" t="s">
        <v>1357</v>
      </c>
    </row>
    <row r="13485" spans="1:13">
      <c r="H13485" t="s">
        <v>23946</v>
      </c>
      <c r="I13485" t="s">
        <v>1357</v>
      </c>
      <c r="J13485" t="s">
        <v>1357</v>
      </c>
      <c r="K13485" t="s">
        <v>1357</v>
      </c>
      <c r="L13485" t="s">
        <v>1357</v>
      </c>
      <c r="M13485" t="s">
        <v>9957</v>
      </c>
    </row>
    <row r="13486" spans="1:13">
      <c r="H13486" t="s">
        <v>23947</v>
      </c>
      <c r="I13486" t="s">
        <v>1357</v>
      </c>
      <c r="J13486" t="s">
        <v>1357</v>
      </c>
      <c r="K13486" t="s">
        <v>1357</v>
      </c>
      <c r="L13486" t="s">
        <v>1357</v>
      </c>
    </row>
    <row r="13487" spans="1:13">
      <c r="H13487" t="s">
        <v>23948</v>
      </c>
      <c r="I13487" t="s">
        <v>1357</v>
      </c>
      <c r="J13487" t="s">
        <v>1357</v>
      </c>
      <c r="K13487" t="s">
        <v>1357</v>
      </c>
      <c r="L13487" t="s">
        <v>1357</v>
      </c>
    </row>
    <row r="13488" spans="1:13">
      <c r="A13488" t="s">
        <v>11012</v>
      </c>
      <c r="B13488">
        <f>HYPERLINK("https://android.googlesource.com/platform/cts/+/b01752955ffac6640183feb36433033eb69d0232", "b01752955ffac6640183feb36433033eb69d0232")</f>
        <v>0</v>
      </c>
      <c r="C13488">
        <f>HYPERLINK("https://android.googlesource.com/platform/cts/+/6ed86fb21b871da99052bd1fcb8ff68f383160e9", "6ed86fb21b871da99052bd1fcb8ff68f383160e9")</f>
        <v>0</v>
      </c>
      <c r="D13488" t="s">
        <v>12282</v>
      </c>
      <c r="E13488" t="s">
        <v>13540</v>
      </c>
      <c r="F13488" t="s">
        <v>16642</v>
      </c>
      <c r="G13488" t="s">
        <v>19278</v>
      </c>
      <c r="H13488" t="s">
        <v>23941</v>
      </c>
      <c r="I13488" t="s">
        <v>1357</v>
      </c>
      <c r="J13488" t="s">
        <v>1357</v>
      </c>
      <c r="K13488" t="s">
        <v>1357</v>
      </c>
      <c r="L13488" t="s">
        <v>1357</v>
      </c>
    </row>
    <row r="13489" spans="1:13">
      <c r="H13489" t="s">
        <v>23942</v>
      </c>
      <c r="I13489" t="s">
        <v>1357</v>
      </c>
      <c r="J13489" t="s">
        <v>1357</v>
      </c>
      <c r="K13489" t="s">
        <v>1357</v>
      </c>
      <c r="L13489" t="s">
        <v>1357</v>
      </c>
    </row>
    <row r="13490" spans="1:13">
      <c r="H13490" t="s">
        <v>23943</v>
      </c>
      <c r="I13490" t="s">
        <v>1357</v>
      </c>
      <c r="J13490" t="s">
        <v>1357</v>
      </c>
      <c r="K13490" t="s">
        <v>1357</v>
      </c>
      <c r="L13490" t="s">
        <v>1357</v>
      </c>
    </row>
    <row r="13491" spans="1:13">
      <c r="H13491" t="s">
        <v>23944</v>
      </c>
      <c r="I13491" t="s">
        <v>1357</v>
      </c>
      <c r="J13491" t="s">
        <v>1357</v>
      </c>
      <c r="K13491" t="s">
        <v>1357</v>
      </c>
      <c r="L13491" t="s">
        <v>1357</v>
      </c>
    </row>
    <row r="13492" spans="1:13">
      <c r="H13492" t="s">
        <v>23945</v>
      </c>
      <c r="I13492" t="s">
        <v>1357</v>
      </c>
      <c r="J13492" t="s">
        <v>1357</v>
      </c>
      <c r="K13492" t="s">
        <v>1357</v>
      </c>
      <c r="L13492" t="s">
        <v>1357</v>
      </c>
    </row>
    <row r="13493" spans="1:13">
      <c r="H13493" t="s">
        <v>23946</v>
      </c>
      <c r="I13493" t="s">
        <v>1357</v>
      </c>
      <c r="J13493" t="s">
        <v>1357</v>
      </c>
      <c r="K13493" t="s">
        <v>1357</v>
      </c>
      <c r="L13493" t="s">
        <v>1357</v>
      </c>
      <c r="M13493" t="s">
        <v>9957</v>
      </c>
    </row>
    <row r="13494" spans="1:13">
      <c r="H13494" t="s">
        <v>23947</v>
      </c>
      <c r="I13494" t="s">
        <v>1357</v>
      </c>
      <c r="J13494" t="s">
        <v>1357</v>
      </c>
      <c r="K13494" t="s">
        <v>1357</v>
      </c>
      <c r="L13494" t="s">
        <v>1357</v>
      </c>
    </row>
    <row r="13495" spans="1:13">
      <c r="H13495" t="s">
        <v>23948</v>
      </c>
      <c r="I13495" t="s">
        <v>1357</v>
      </c>
      <c r="J13495" t="s">
        <v>1357</v>
      </c>
      <c r="K13495" t="s">
        <v>1357</v>
      </c>
      <c r="L13495" t="s">
        <v>1357</v>
      </c>
    </row>
    <row r="13496" spans="1:13">
      <c r="A13496" t="s">
        <v>11013</v>
      </c>
      <c r="B13496">
        <f>HYPERLINK("https://android.googlesource.com/platform/cts/+/a56c508c589f37cea9aa28cec18c26665aee2e39", "a56c508c589f37cea9aa28cec18c26665aee2e39")</f>
        <v>0</v>
      </c>
      <c r="C13496">
        <f>HYPERLINK("https://android.googlesource.com/platform/cts/+/3b4167f594d9829299a6690e2e1d0920520e5d6f", "3b4167f594d9829299a6690e2e1d0920520e5d6f")</f>
        <v>0</v>
      </c>
      <c r="D13496" t="s">
        <v>12277</v>
      </c>
      <c r="E13496" t="s">
        <v>13541</v>
      </c>
      <c r="F13496" t="s">
        <v>16631</v>
      </c>
      <c r="G13496" t="s">
        <v>19269</v>
      </c>
      <c r="H13496" t="s">
        <v>23922</v>
      </c>
      <c r="I13496" t="s">
        <v>1357</v>
      </c>
      <c r="J13496" t="s">
        <v>1357</v>
      </c>
      <c r="K13496" t="s">
        <v>1357</v>
      </c>
      <c r="L13496" t="s">
        <v>1357</v>
      </c>
    </row>
    <row r="13497" spans="1:13">
      <c r="A13497" t="s">
        <v>11014</v>
      </c>
      <c r="B13497">
        <f>HYPERLINK("https://android.googlesource.com/platform/cts/+/d834029ae5a4d29afb15c1e96a53c6be317209a8", "d834029ae5a4d29afb15c1e96a53c6be317209a8")</f>
        <v>0</v>
      </c>
      <c r="C13497">
        <f>HYPERLINK("https://android.googlesource.com/platform/cts/+/72919e867b673e218449b6edae714dda749cb573", "72919e867b673e218449b6edae714dda749cb573")</f>
        <v>0</v>
      </c>
      <c r="D13497" t="s">
        <v>12102</v>
      </c>
      <c r="E13497" t="s">
        <v>13542</v>
      </c>
      <c r="F13497" t="s">
        <v>16643</v>
      </c>
      <c r="G13497" t="s">
        <v>19279</v>
      </c>
      <c r="H13497" t="s">
        <v>23949</v>
      </c>
      <c r="I13497" t="s">
        <v>1357</v>
      </c>
      <c r="J13497" t="s">
        <v>1357</v>
      </c>
      <c r="K13497" t="s">
        <v>1357</v>
      </c>
      <c r="L13497" t="s">
        <v>1357</v>
      </c>
    </row>
    <row r="13498" spans="1:13">
      <c r="A13498" t="s">
        <v>11015</v>
      </c>
      <c r="B13498">
        <f>HYPERLINK("https://android.googlesource.com/platform/cts/+/83ea2a67c60155fdff8194474dee2d9178d48461", "83ea2a67c60155fdff8194474dee2d9178d48461")</f>
        <v>0</v>
      </c>
      <c r="C13498">
        <f>HYPERLINK("https://android.googlesource.com/platform/cts/+/de4ddc0452fdead5ded61d2bb47a8ef32274bade", "de4ddc0452fdead5ded61d2bb47a8ef32274bade")</f>
        <v>0</v>
      </c>
      <c r="D13498" t="s">
        <v>12119</v>
      </c>
      <c r="E13498" t="s">
        <v>13543</v>
      </c>
      <c r="F13498" t="s">
        <v>16644</v>
      </c>
      <c r="G13498" t="s">
        <v>19280</v>
      </c>
      <c r="H13498" t="s">
        <v>8337</v>
      </c>
      <c r="I13498" t="s">
        <v>1357</v>
      </c>
      <c r="J13498" t="s">
        <v>1357</v>
      </c>
      <c r="K13498" t="s">
        <v>1357</v>
      </c>
      <c r="L13498" t="s">
        <v>1357</v>
      </c>
    </row>
    <row r="13499" spans="1:13">
      <c r="H13499" t="s">
        <v>23950</v>
      </c>
      <c r="I13499" t="s">
        <v>1357</v>
      </c>
      <c r="J13499" t="s">
        <v>1357</v>
      </c>
      <c r="K13499" t="s">
        <v>1357</v>
      </c>
      <c r="L13499" t="s">
        <v>1357</v>
      </c>
    </row>
    <row r="13500" spans="1:13">
      <c r="H13500" t="s">
        <v>23951</v>
      </c>
      <c r="I13500" t="s">
        <v>1357</v>
      </c>
      <c r="J13500" t="s">
        <v>1357</v>
      </c>
      <c r="K13500" t="s">
        <v>1357</v>
      </c>
      <c r="L13500" t="s">
        <v>1357</v>
      </c>
    </row>
    <row r="13501" spans="1:13">
      <c r="H13501" t="s">
        <v>23952</v>
      </c>
      <c r="I13501" t="s">
        <v>1357</v>
      </c>
      <c r="J13501" t="s">
        <v>1357</v>
      </c>
      <c r="K13501" t="s">
        <v>1357</v>
      </c>
      <c r="L13501" t="s">
        <v>1357</v>
      </c>
    </row>
    <row r="13502" spans="1:13">
      <c r="H13502" t="s">
        <v>23953</v>
      </c>
      <c r="I13502" t="s">
        <v>1357</v>
      </c>
      <c r="J13502" t="s">
        <v>1357</v>
      </c>
      <c r="K13502" t="s">
        <v>1357</v>
      </c>
      <c r="L13502" t="s">
        <v>1357</v>
      </c>
    </row>
    <row r="13503" spans="1:13">
      <c r="A13503" t="s">
        <v>11016</v>
      </c>
      <c r="B13503">
        <f>HYPERLINK("https://android.googlesource.com/platform/cts/+/2ac8add1d429cdf0aa63d753a3f6cc96c5a0a65a", "2ac8add1d429cdf0aa63d753a3f6cc96c5a0a65a")</f>
        <v>0</v>
      </c>
      <c r="C13503">
        <f>HYPERLINK("https://android.googlesource.com/platform/cts/+/a6e1a886435bbbca18470f4370607e7e977f92e0", "a6e1a886435bbbca18470f4370607e7e977f92e0")</f>
        <v>0</v>
      </c>
      <c r="D13503" t="s">
        <v>12283</v>
      </c>
      <c r="E13503" t="s">
        <v>13544</v>
      </c>
      <c r="F13503" t="s">
        <v>16645</v>
      </c>
      <c r="G13503" t="s">
        <v>18720</v>
      </c>
      <c r="H13503" t="s">
        <v>21234</v>
      </c>
      <c r="I13503" t="s">
        <v>1357</v>
      </c>
      <c r="J13503" t="s">
        <v>1357</v>
      </c>
      <c r="K13503" t="s">
        <v>1357</v>
      </c>
      <c r="L13503" t="s">
        <v>1357</v>
      </c>
    </row>
    <row r="13504" spans="1:13">
      <c r="H13504" t="s">
        <v>21241</v>
      </c>
      <c r="I13504" t="s">
        <v>1357</v>
      </c>
      <c r="J13504" t="s">
        <v>1357</v>
      </c>
      <c r="K13504" t="s">
        <v>1357</v>
      </c>
      <c r="L13504" t="s">
        <v>1357</v>
      </c>
    </row>
    <row r="13505" spans="1:13">
      <c r="H13505" t="s">
        <v>21242</v>
      </c>
      <c r="I13505" t="s">
        <v>1357</v>
      </c>
      <c r="J13505" t="s">
        <v>1357</v>
      </c>
      <c r="K13505" t="s">
        <v>1357</v>
      </c>
      <c r="L13505" t="s">
        <v>1357</v>
      </c>
    </row>
    <row r="13506" spans="1:13">
      <c r="A13506" t="s">
        <v>11017</v>
      </c>
      <c r="B13506">
        <f>HYPERLINK("https://android.googlesource.com/platform/cts/+/8b435fab839564e52201b77f512903932d7b5c91", "8b435fab839564e52201b77f512903932d7b5c91")</f>
        <v>0</v>
      </c>
      <c r="C13506">
        <f>HYPERLINK("https://android.googlesource.com/platform/cts/+/175f4638037701375d9c7d4bdfa13f52dd7989c4", "175f4638037701375d9c7d4bdfa13f52dd7989c4")</f>
        <v>0</v>
      </c>
      <c r="D13506" t="s">
        <v>12283</v>
      </c>
      <c r="E13506" t="s">
        <v>13545</v>
      </c>
      <c r="F13506" t="s">
        <v>16645</v>
      </c>
      <c r="G13506" t="s">
        <v>18720</v>
      </c>
      <c r="H13506" t="s">
        <v>21234</v>
      </c>
      <c r="I13506" t="s">
        <v>1357</v>
      </c>
      <c r="J13506" t="s">
        <v>1357</v>
      </c>
      <c r="K13506" t="s">
        <v>1357</v>
      </c>
      <c r="L13506" t="s">
        <v>1357</v>
      </c>
    </row>
    <row r="13507" spans="1:13">
      <c r="H13507" t="s">
        <v>21241</v>
      </c>
      <c r="I13507" t="s">
        <v>1357</v>
      </c>
      <c r="J13507" t="s">
        <v>1357</v>
      </c>
      <c r="K13507" t="s">
        <v>1357</v>
      </c>
      <c r="L13507" t="s">
        <v>1357</v>
      </c>
      <c r="M13507" t="s">
        <v>9957</v>
      </c>
    </row>
    <row r="13508" spans="1:13">
      <c r="H13508" t="s">
        <v>21242</v>
      </c>
      <c r="I13508" t="s">
        <v>1357</v>
      </c>
      <c r="J13508" t="s">
        <v>1357</v>
      </c>
      <c r="K13508" t="s">
        <v>1357</v>
      </c>
      <c r="L13508" t="s">
        <v>1357</v>
      </c>
    </row>
    <row r="13509" spans="1:13">
      <c r="A13509" t="s">
        <v>11018</v>
      </c>
      <c r="B13509">
        <f>HYPERLINK("https://android.googlesource.com/platform/cts/+/15adc74127c14192af55ad176c7d341d257f7e53", "15adc74127c14192af55ad176c7d341d257f7e53")</f>
        <v>0</v>
      </c>
      <c r="C13509">
        <f>HYPERLINK("https://android.googlesource.com/platform/cts/+/065a4af81935925843c8af215faaef9d37ced9dd", "065a4af81935925843c8af215faaef9d37ced9dd")</f>
        <v>0</v>
      </c>
      <c r="D13509" t="s">
        <v>12022</v>
      </c>
      <c r="E13509" t="s">
        <v>13546</v>
      </c>
      <c r="F13509" t="s">
        <v>16610</v>
      </c>
      <c r="G13509" t="s">
        <v>19251</v>
      </c>
      <c r="H13509" t="s">
        <v>4710</v>
      </c>
      <c r="I13509" t="s">
        <v>1357</v>
      </c>
      <c r="J13509" t="s">
        <v>1357</v>
      </c>
      <c r="K13509" t="s">
        <v>1357</v>
      </c>
      <c r="L13509" t="s">
        <v>1357</v>
      </c>
    </row>
    <row r="13510" spans="1:13">
      <c r="F13510" t="s">
        <v>16646</v>
      </c>
      <c r="G13510" t="s">
        <v>19281</v>
      </c>
      <c r="H13510" t="s">
        <v>23954</v>
      </c>
      <c r="I13510" t="s">
        <v>1357</v>
      </c>
      <c r="J13510" t="s">
        <v>1357</v>
      </c>
      <c r="K13510" t="s">
        <v>1357</v>
      </c>
      <c r="L13510" t="s">
        <v>1357</v>
      </c>
    </row>
    <row r="13511" spans="1:13">
      <c r="H13511" t="s">
        <v>23955</v>
      </c>
      <c r="I13511" t="s">
        <v>1357</v>
      </c>
      <c r="J13511" t="s">
        <v>1357</v>
      </c>
      <c r="K13511" t="s">
        <v>1357</v>
      </c>
      <c r="L13511" t="s">
        <v>1357</v>
      </c>
    </row>
    <row r="13512" spans="1:13">
      <c r="A13512" t="s">
        <v>11019</v>
      </c>
      <c r="B13512">
        <f>HYPERLINK("https://android.googlesource.com/platform/cts/+/9266cc482e77c36e3770fe9ca0bafa2ba5efedf3", "9266cc482e77c36e3770fe9ca0bafa2ba5efedf3")</f>
        <v>0</v>
      </c>
      <c r="C13512">
        <f>HYPERLINK("https://android.googlesource.com/platform/cts/+/5490e152f631371feaf326124b9bf8494e004673", "5490e152f631371feaf326124b9bf8494e004673")</f>
        <v>0</v>
      </c>
      <c r="D13512" t="s">
        <v>12284</v>
      </c>
      <c r="E13512" t="s">
        <v>13547</v>
      </c>
      <c r="F13512" t="s">
        <v>16647</v>
      </c>
      <c r="G13512" t="s">
        <v>19282</v>
      </c>
      <c r="H13512" t="s">
        <v>23956</v>
      </c>
      <c r="I13512" t="s">
        <v>1357</v>
      </c>
      <c r="J13512" t="s">
        <v>1357</v>
      </c>
      <c r="K13512" t="s">
        <v>1357</v>
      </c>
      <c r="L13512" t="s">
        <v>1357</v>
      </c>
    </row>
    <row r="13513" spans="1:13">
      <c r="A13513" t="s">
        <v>11020</v>
      </c>
      <c r="B13513">
        <f>HYPERLINK("https://android.googlesource.com/platform/cts/+/89abe2222c580a3c53ed464f03079a7b6f6b65ef", "89abe2222c580a3c53ed464f03079a7b6f6b65ef")</f>
        <v>0</v>
      </c>
      <c r="C13513">
        <f>HYPERLINK("https://android.googlesource.com/platform/cts/+/b8c1e574fa53d17bd9698ea61a24ada0738ba5f3", "b8c1e574fa53d17bd9698ea61a24ada0738ba5f3")</f>
        <v>0</v>
      </c>
      <c r="D13513" t="s">
        <v>12285</v>
      </c>
      <c r="E13513" t="s">
        <v>13548</v>
      </c>
      <c r="F13513" t="s">
        <v>14519</v>
      </c>
      <c r="G13513" t="s">
        <v>17364</v>
      </c>
      <c r="H13513" t="s">
        <v>20115</v>
      </c>
      <c r="I13513" t="s">
        <v>1359</v>
      </c>
      <c r="J13513" t="s">
        <v>1358</v>
      </c>
      <c r="K13513" t="s">
        <v>1357</v>
      </c>
      <c r="L13513" t="s">
        <v>1358</v>
      </c>
    </row>
    <row r="13514" spans="1:13">
      <c r="H13514" t="s">
        <v>23957</v>
      </c>
      <c r="I13514" t="s">
        <v>1358</v>
      </c>
      <c r="J13514" t="s">
        <v>1358</v>
      </c>
      <c r="K13514" t="s">
        <v>1358</v>
      </c>
      <c r="L13514" t="s">
        <v>1358</v>
      </c>
    </row>
    <row r="13515" spans="1:13">
      <c r="A13515" t="s">
        <v>11021</v>
      </c>
      <c r="B13515">
        <f>HYPERLINK("https://android.googlesource.com/platform/cts/+/95cd19ec1ae583905ef4a6d3bb949bc41a84173d", "95cd19ec1ae583905ef4a6d3bb949bc41a84173d")</f>
        <v>0</v>
      </c>
      <c r="C13515">
        <f>HYPERLINK("https://android.googlesource.com/platform/cts/+/065a4af81935925843c8af215faaef9d37ced9dd", "065a4af81935925843c8af215faaef9d37ced9dd")</f>
        <v>0</v>
      </c>
      <c r="D13515" t="s">
        <v>12196</v>
      </c>
      <c r="E13515" t="s">
        <v>13549</v>
      </c>
      <c r="F13515" t="s">
        <v>14519</v>
      </c>
      <c r="G13515" t="s">
        <v>17364</v>
      </c>
      <c r="H13515" t="s">
        <v>23958</v>
      </c>
      <c r="I13515" t="s">
        <v>1358</v>
      </c>
      <c r="J13515" t="s">
        <v>1358</v>
      </c>
      <c r="K13515" t="s">
        <v>1358</v>
      </c>
      <c r="L13515" t="s">
        <v>1358</v>
      </c>
    </row>
    <row r="13516" spans="1:13">
      <c r="A13516" t="s">
        <v>11022</v>
      </c>
      <c r="B13516">
        <f>HYPERLINK("https://android.googlesource.com/platform/cts/+/99f6caabbfe25cd292362686f475756fd04430c9", "99f6caabbfe25cd292362686f475756fd04430c9")</f>
        <v>0</v>
      </c>
      <c r="C13516">
        <f>HYPERLINK("https://android.googlesource.com/platform/cts/+/462659424c433c84a2f0da1bc40404a1ded46856", "462659424c433c84a2f0da1bc40404a1ded46856")</f>
        <v>0</v>
      </c>
      <c r="D13516" t="s">
        <v>12286</v>
      </c>
      <c r="E13516" t="s">
        <v>13550</v>
      </c>
      <c r="F13516" t="s">
        <v>16648</v>
      </c>
      <c r="G13516" t="s">
        <v>17902</v>
      </c>
      <c r="H13516" t="s">
        <v>20442</v>
      </c>
      <c r="I13516" t="s">
        <v>1357</v>
      </c>
      <c r="J13516" t="s">
        <v>1357</v>
      </c>
      <c r="K13516" t="s">
        <v>1357</v>
      </c>
      <c r="L13516" t="s">
        <v>1357</v>
      </c>
    </row>
    <row r="13517" spans="1:13">
      <c r="A13517" t="s">
        <v>11023</v>
      </c>
      <c r="B13517">
        <f>HYPERLINK("https://android.googlesource.com/platform/cts/+/9eeedd679010c78c9c0fac6cea97ad4fc417bc28", "9eeedd679010c78c9c0fac6cea97ad4fc417bc28")</f>
        <v>0</v>
      </c>
      <c r="C13517">
        <f>HYPERLINK("https://android.googlesource.com/platform/cts/+/805c99940609fb19a0c1f9820619a148e4429c34", "805c99940609fb19a0c1f9820619a148e4429c34")</f>
        <v>0</v>
      </c>
      <c r="D13517" t="s">
        <v>12286</v>
      </c>
      <c r="E13517" t="s">
        <v>13551</v>
      </c>
      <c r="F13517" t="s">
        <v>16648</v>
      </c>
      <c r="G13517" t="s">
        <v>17902</v>
      </c>
      <c r="H13517" t="s">
        <v>20442</v>
      </c>
      <c r="I13517" t="s">
        <v>1357</v>
      </c>
      <c r="J13517" t="s">
        <v>1357</v>
      </c>
      <c r="K13517" t="s">
        <v>1357</v>
      </c>
      <c r="L13517" t="s">
        <v>1357</v>
      </c>
      <c r="M13517" t="s">
        <v>9957</v>
      </c>
    </row>
    <row r="13518" spans="1:13">
      <c r="A13518" t="s">
        <v>11024</v>
      </c>
      <c r="B13518">
        <f>HYPERLINK("https://android.googlesource.com/platform/cts/+/2e7d7929f8bdbc477882dba9bb5108e1235a4f43", "2e7d7929f8bdbc477882dba9bb5108e1235a4f43")</f>
        <v>0</v>
      </c>
      <c r="C13518">
        <f>HYPERLINK("https://android.googlesource.com/platform/cts/+/b733e464763564bf471eb2443199361b2b464460", "b733e464763564bf471eb2443199361b2b464460")</f>
        <v>0</v>
      </c>
      <c r="D13518" t="s">
        <v>12287</v>
      </c>
      <c r="E13518" t="s">
        <v>13552</v>
      </c>
      <c r="F13518" t="s">
        <v>16649</v>
      </c>
      <c r="G13518" t="s">
        <v>19283</v>
      </c>
      <c r="H13518" t="s">
        <v>23959</v>
      </c>
      <c r="I13518" t="s">
        <v>1357</v>
      </c>
      <c r="J13518" t="s">
        <v>1357</v>
      </c>
      <c r="K13518" t="s">
        <v>1357</v>
      </c>
      <c r="L13518" t="s">
        <v>1357</v>
      </c>
    </row>
    <row r="13519" spans="1:13">
      <c r="A13519" t="s">
        <v>11025</v>
      </c>
      <c r="B13519">
        <f>HYPERLINK("https://android.googlesource.com/platform/cts/+/2d0c7a10382fdedc4c2ede0498c9c6cf2ef73006", "2d0c7a10382fdedc4c2ede0498c9c6cf2ef73006")</f>
        <v>0</v>
      </c>
      <c r="C13519">
        <f>HYPERLINK("https://android.googlesource.com/platform/cts/+/5674d8e23177c06053b2081182cb192707a1fd6e", "5674d8e23177c06053b2081182cb192707a1fd6e")</f>
        <v>0</v>
      </c>
      <c r="D13519" t="s">
        <v>12102</v>
      </c>
      <c r="E13519" t="s">
        <v>13553</v>
      </c>
      <c r="F13519" t="s">
        <v>16650</v>
      </c>
      <c r="G13519" t="s">
        <v>19284</v>
      </c>
      <c r="H13519" t="s">
        <v>23960</v>
      </c>
      <c r="I13519" t="s">
        <v>1357</v>
      </c>
      <c r="J13519" t="s">
        <v>1357</v>
      </c>
      <c r="K13519" t="s">
        <v>1357</v>
      </c>
      <c r="L13519" t="s">
        <v>1357</v>
      </c>
    </row>
    <row r="13520" spans="1:13">
      <c r="H13520" t="s">
        <v>23961</v>
      </c>
      <c r="I13520" t="s">
        <v>1357</v>
      </c>
      <c r="J13520" t="s">
        <v>1357</v>
      </c>
      <c r="K13520" t="s">
        <v>1357</v>
      </c>
      <c r="L13520" t="s">
        <v>1357</v>
      </c>
    </row>
    <row r="13521" spans="1:13">
      <c r="H13521" t="s">
        <v>23962</v>
      </c>
      <c r="I13521" t="s">
        <v>1357</v>
      </c>
      <c r="J13521" t="s">
        <v>1357</v>
      </c>
      <c r="K13521" t="s">
        <v>1357</v>
      </c>
      <c r="L13521" t="s">
        <v>1357</v>
      </c>
    </row>
    <row r="13522" spans="1:13">
      <c r="H13522" t="s">
        <v>23963</v>
      </c>
      <c r="I13522" t="s">
        <v>1357</v>
      </c>
      <c r="J13522" t="s">
        <v>1357</v>
      </c>
      <c r="K13522" t="s">
        <v>1357</v>
      </c>
      <c r="L13522" t="s">
        <v>1357</v>
      </c>
    </row>
    <row r="13523" spans="1:13">
      <c r="H13523" t="s">
        <v>23964</v>
      </c>
      <c r="I13523" t="s">
        <v>1357</v>
      </c>
      <c r="J13523" t="s">
        <v>1357</v>
      </c>
      <c r="K13523" t="s">
        <v>1357</v>
      </c>
      <c r="L13523" t="s">
        <v>1357</v>
      </c>
    </row>
    <row r="13524" spans="1:13">
      <c r="A13524" t="s">
        <v>11026</v>
      </c>
      <c r="B13524">
        <f>HYPERLINK("https://android.googlesource.com/platform/cts/+/90e5b6bba4c9f5754a3c2cfe517c70c24b6f34e1", "90e5b6bba4c9f5754a3c2cfe517c70c24b6f34e1")</f>
        <v>0</v>
      </c>
      <c r="C13524">
        <f>HYPERLINK("https://android.googlesource.com/platform/cts/+/ffd1807fbf182f969fc022c7d13328ea2aa19860", "ffd1807fbf182f969fc022c7d13328ea2aa19860")</f>
        <v>0</v>
      </c>
      <c r="D13524" t="s">
        <v>12102</v>
      </c>
      <c r="E13524" t="s">
        <v>13554</v>
      </c>
      <c r="F13524" t="s">
        <v>16640</v>
      </c>
      <c r="G13524" t="s">
        <v>19277</v>
      </c>
      <c r="H13524" t="s">
        <v>23965</v>
      </c>
      <c r="I13524" t="s">
        <v>1357</v>
      </c>
      <c r="J13524" t="s">
        <v>1357</v>
      </c>
      <c r="K13524" t="s">
        <v>1357</v>
      </c>
      <c r="L13524" t="s">
        <v>1357</v>
      </c>
    </row>
    <row r="13525" spans="1:13">
      <c r="A13525" t="s">
        <v>11027</v>
      </c>
      <c r="B13525">
        <f>HYPERLINK("https://android.googlesource.com/platform/cts/+/c914f09595b760b16ae5897f843f4b05e2e2ce2e", "c914f09595b760b16ae5897f843f4b05e2e2ce2e")</f>
        <v>0</v>
      </c>
      <c r="C13525">
        <f>HYPERLINK("https://android.googlesource.com/platform/cts/+/4c9a008f627d23f85490a850b53060aae375019e", "4c9a008f627d23f85490a850b53060aae375019e")</f>
        <v>0</v>
      </c>
      <c r="D13525" t="s">
        <v>11996</v>
      </c>
      <c r="E13525" t="s">
        <v>13555</v>
      </c>
      <c r="F13525" t="s">
        <v>14513</v>
      </c>
      <c r="G13525" t="s">
        <v>17358</v>
      </c>
      <c r="H13525" t="s">
        <v>23966</v>
      </c>
      <c r="I13525" t="s">
        <v>1357</v>
      </c>
      <c r="J13525" t="s">
        <v>1357</v>
      </c>
      <c r="K13525" t="s">
        <v>1357</v>
      </c>
      <c r="L13525" t="s">
        <v>1357</v>
      </c>
    </row>
    <row r="13526" spans="1:13">
      <c r="A13526" t="s">
        <v>11028</v>
      </c>
      <c r="B13526">
        <f>HYPERLINK("https://android.googlesource.com/platform/cts/+/fdc5165862fc54337b714ab6f5c7df1b98eec0b3", "fdc5165862fc54337b714ab6f5c7df1b98eec0b3")</f>
        <v>0</v>
      </c>
      <c r="C13526">
        <f>HYPERLINK("https://android.googlesource.com/platform/cts/+/3d81df75ae6d04d0581a50b35e758279ed760b93", "3d81df75ae6d04d0581a50b35e758279ed760b93")</f>
        <v>0</v>
      </c>
      <c r="D13526" t="s">
        <v>12288</v>
      </c>
      <c r="E13526" t="s">
        <v>13556</v>
      </c>
      <c r="F13526" t="s">
        <v>14468</v>
      </c>
      <c r="G13526" t="s">
        <v>17315</v>
      </c>
      <c r="H13526" t="s">
        <v>23967</v>
      </c>
      <c r="I13526" t="s">
        <v>1357</v>
      </c>
      <c r="J13526" t="s">
        <v>1357</v>
      </c>
      <c r="K13526" t="s">
        <v>1357</v>
      </c>
      <c r="L13526" t="s">
        <v>1357</v>
      </c>
    </row>
    <row r="13527" spans="1:13">
      <c r="A13527" t="s">
        <v>11029</v>
      </c>
      <c r="B13527">
        <f>HYPERLINK("https://android.googlesource.com/platform/cts/+/5d6ca17d58062a6747d49af06a66a7cb3cb61f91", "5d6ca17d58062a6747d49af06a66a7cb3cb61f91")</f>
        <v>0</v>
      </c>
      <c r="C13527">
        <f>HYPERLINK("https://android.googlesource.com/platform/cts/+/a7d12a320775746cd9564f6d89e8d2b511ee4782", "a7d12a320775746cd9564f6d89e8d2b511ee4782")</f>
        <v>0</v>
      </c>
      <c r="D13527" t="s">
        <v>12289</v>
      </c>
      <c r="E13527" t="s">
        <v>13557</v>
      </c>
      <c r="F13527" t="s">
        <v>16651</v>
      </c>
      <c r="G13527" t="s">
        <v>19285</v>
      </c>
      <c r="H13527" t="s">
        <v>23968</v>
      </c>
      <c r="I13527" t="s">
        <v>1357</v>
      </c>
      <c r="J13527" t="s">
        <v>1357</v>
      </c>
      <c r="K13527" t="s">
        <v>1357</v>
      </c>
      <c r="L13527" t="s">
        <v>1357</v>
      </c>
    </row>
    <row r="13528" spans="1:13">
      <c r="H13528" t="s">
        <v>23969</v>
      </c>
      <c r="I13528" t="s">
        <v>1357</v>
      </c>
      <c r="J13528" t="s">
        <v>1357</v>
      </c>
      <c r="K13528" t="s">
        <v>1357</v>
      </c>
      <c r="L13528" t="s">
        <v>1357</v>
      </c>
    </row>
    <row r="13529" spans="1:13">
      <c r="H13529" t="s">
        <v>23970</v>
      </c>
      <c r="I13529" t="s">
        <v>1357</v>
      </c>
      <c r="J13529" t="s">
        <v>1357</v>
      </c>
      <c r="K13529" t="s">
        <v>1357</v>
      </c>
      <c r="L13529" t="s">
        <v>1357</v>
      </c>
    </row>
    <row r="13530" spans="1:13">
      <c r="A13530" t="s">
        <v>11030</v>
      </c>
      <c r="B13530">
        <f>HYPERLINK("https://android.googlesource.com/platform/cts/+/9e64e27feaed46f6c7d942fd3b45745d3ee64a9c", "9e64e27feaed46f6c7d942fd3b45745d3ee64a9c")</f>
        <v>0</v>
      </c>
      <c r="C13530">
        <f>HYPERLINK("https://android.googlesource.com/platform/cts/+/54526dee3443d0b16e12fe2665663f371087dc2d", "54526dee3443d0b16e12fe2665663f371087dc2d")</f>
        <v>0</v>
      </c>
      <c r="D13530" t="s">
        <v>12168</v>
      </c>
      <c r="E13530" t="s">
        <v>13558</v>
      </c>
      <c r="F13530" t="s">
        <v>16652</v>
      </c>
      <c r="G13530" t="s">
        <v>19286</v>
      </c>
      <c r="H13530" t="s">
        <v>8378</v>
      </c>
      <c r="I13530" t="s">
        <v>1357</v>
      </c>
      <c r="J13530" t="s">
        <v>1357</v>
      </c>
      <c r="K13530" t="s">
        <v>1357</v>
      </c>
      <c r="L13530" t="s">
        <v>1357</v>
      </c>
    </row>
    <row r="13531" spans="1:13">
      <c r="F13531" t="s">
        <v>16653</v>
      </c>
      <c r="G13531" t="s">
        <v>19287</v>
      </c>
      <c r="H13531" t="s">
        <v>8378</v>
      </c>
      <c r="I13531" t="s">
        <v>1357</v>
      </c>
      <c r="J13531" t="s">
        <v>1357</v>
      </c>
      <c r="K13531" t="s">
        <v>1357</v>
      </c>
      <c r="L13531" t="s">
        <v>1357</v>
      </c>
    </row>
    <row r="13532" spans="1:13">
      <c r="F13532" t="s">
        <v>16654</v>
      </c>
      <c r="G13532" t="s">
        <v>19288</v>
      </c>
      <c r="H13532" t="s">
        <v>8378</v>
      </c>
      <c r="I13532" t="s">
        <v>1357</v>
      </c>
      <c r="J13532" t="s">
        <v>1357</v>
      </c>
      <c r="K13532" t="s">
        <v>1357</v>
      </c>
      <c r="L13532" t="s">
        <v>1357</v>
      </c>
    </row>
    <row r="13533" spans="1:13">
      <c r="F13533" t="s">
        <v>16655</v>
      </c>
      <c r="G13533" t="s">
        <v>19289</v>
      </c>
      <c r="H13533" t="s">
        <v>8378</v>
      </c>
      <c r="I13533" t="s">
        <v>1357</v>
      </c>
      <c r="J13533" t="s">
        <v>1357</v>
      </c>
      <c r="K13533" t="s">
        <v>1357</v>
      </c>
      <c r="L13533" t="s">
        <v>1357</v>
      </c>
    </row>
    <row r="13534" spans="1:13">
      <c r="A13534" t="s">
        <v>11031</v>
      </c>
      <c r="B13534">
        <f>HYPERLINK("https://android.googlesource.com/platform/cts/+/02cbf990d01e6df12f5bc770f586f360331540c5", "02cbf990d01e6df12f5bc770f586f360331540c5")</f>
        <v>0</v>
      </c>
      <c r="C13534">
        <f>HYPERLINK("https://android.googlesource.com/platform/cts/+/5b8932706976547b5e931e7425ecddc99e65e9ab", "5b8932706976547b5e931e7425ecddc99e65e9ab")</f>
        <v>0</v>
      </c>
      <c r="D13534" t="s">
        <v>12168</v>
      </c>
      <c r="E13534" t="s">
        <v>13559</v>
      </c>
      <c r="F13534" t="s">
        <v>16652</v>
      </c>
      <c r="G13534" t="s">
        <v>19286</v>
      </c>
      <c r="H13534" t="s">
        <v>8378</v>
      </c>
      <c r="I13534" t="s">
        <v>1357</v>
      </c>
      <c r="J13534" t="s">
        <v>1357</v>
      </c>
      <c r="K13534" t="s">
        <v>1357</v>
      </c>
      <c r="L13534" t="s">
        <v>1357</v>
      </c>
      <c r="M13534" t="s">
        <v>9957</v>
      </c>
    </row>
    <row r="13535" spans="1:13">
      <c r="F13535" t="s">
        <v>16653</v>
      </c>
      <c r="G13535" t="s">
        <v>19287</v>
      </c>
      <c r="H13535" t="s">
        <v>8378</v>
      </c>
      <c r="I13535" t="s">
        <v>1357</v>
      </c>
      <c r="J13535" t="s">
        <v>1357</v>
      </c>
      <c r="K13535" t="s">
        <v>1357</v>
      </c>
      <c r="L13535" t="s">
        <v>1357</v>
      </c>
    </row>
    <row r="13536" spans="1:13">
      <c r="F13536" t="s">
        <v>16654</v>
      </c>
      <c r="G13536" t="s">
        <v>19288</v>
      </c>
      <c r="H13536" t="s">
        <v>8378</v>
      </c>
      <c r="I13536" t="s">
        <v>1357</v>
      </c>
      <c r="J13536" t="s">
        <v>1357</v>
      </c>
      <c r="K13536" t="s">
        <v>1357</v>
      </c>
      <c r="L13536" t="s">
        <v>1357</v>
      </c>
    </row>
    <row r="13537" spans="1:13">
      <c r="F13537" t="s">
        <v>16655</v>
      </c>
      <c r="G13537" t="s">
        <v>19289</v>
      </c>
      <c r="H13537" t="s">
        <v>8378</v>
      </c>
      <c r="I13537" t="s">
        <v>1357</v>
      </c>
      <c r="J13537" t="s">
        <v>1357</v>
      </c>
      <c r="K13537" t="s">
        <v>1357</v>
      </c>
      <c r="L13537" t="s">
        <v>1357</v>
      </c>
    </row>
    <row r="13538" spans="1:13">
      <c r="A13538" t="s">
        <v>11032</v>
      </c>
      <c r="B13538">
        <f>HYPERLINK("https://android.googlesource.com/platform/cts/+/d551acf22ffd8d62555d367ef6beac5c2f9c77d5", "d551acf22ffd8d62555d367ef6beac5c2f9c77d5")</f>
        <v>0</v>
      </c>
      <c r="C13538">
        <f>HYPERLINK("https://android.googlesource.com/platform/cts/+/f9a4592e8c79a4388009143df53574583f43c785", "f9a4592e8c79a4388009143df53574583f43c785")</f>
        <v>0</v>
      </c>
      <c r="D13538" t="s">
        <v>12290</v>
      </c>
      <c r="E13538" t="s">
        <v>13560</v>
      </c>
      <c r="F13538" t="s">
        <v>16656</v>
      </c>
      <c r="G13538" t="s">
        <v>19290</v>
      </c>
      <c r="H13538" t="s">
        <v>23971</v>
      </c>
      <c r="I13538" t="s">
        <v>1358</v>
      </c>
      <c r="J13538" t="s">
        <v>1358</v>
      </c>
      <c r="K13538" t="s">
        <v>1358</v>
      </c>
      <c r="L13538" t="s">
        <v>1358</v>
      </c>
      <c r="M13538" t="s">
        <v>27489</v>
      </c>
    </row>
    <row r="13539" spans="1:13">
      <c r="A13539" t="s">
        <v>11033</v>
      </c>
      <c r="B13539">
        <f>HYPERLINK("https://android.googlesource.com/platform/cts/+/6217410640d9d20fe453d4f31a2be8324eb3b4e5", "6217410640d9d20fe453d4f31a2be8324eb3b4e5")</f>
        <v>0</v>
      </c>
      <c r="C13539">
        <f>HYPERLINK("https://android.googlesource.com/platform/cts/+/5a72ff3e93ea1d83a78cd6b9d602ebbce1211590", "5a72ff3e93ea1d83a78cd6b9d602ebbce1211590")</f>
        <v>0</v>
      </c>
      <c r="D13539" t="s">
        <v>12117</v>
      </c>
      <c r="E13539" t="s">
        <v>13561</v>
      </c>
      <c r="F13539" t="s">
        <v>16657</v>
      </c>
      <c r="G13539" t="s">
        <v>19291</v>
      </c>
      <c r="H13539" t="s">
        <v>23972</v>
      </c>
      <c r="I13539" t="s">
        <v>1357</v>
      </c>
      <c r="J13539" t="s">
        <v>1357</v>
      </c>
      <c r="K13539" t="s">
        <v>1357</v>
      </c>
      <c r="L13539" t="s">
        <v>1357</v>
      </c>
    </row>
    <row r="13540" spans="1:13">
      <c r="A13540" t="s">
        <v>11034</v>
      </c>
      <c r="B13540">
        <f>HYPERLINK("https://android.googlesource.com/platform/cts/+/1a47a8bebbac45f67d05c718859a10909fdc7cb1", "1a47a8bebbac45f67d05c718859a10909fdc7cb1")</f>
        <v>0</v>
      </c>
      <c r="C13540">
        <f>HYPERLINK("https://android.googlesource.com/platform/cts/+/b87bcd54900dc4365cd53cb2d952c53a56be3918", "b87bcd54900dc4365cd53cb2d952c53a56be3918")</f>
        <v>0</v>
      </c>
      <c r="D13540" t="s">
        <v>12270</v>
      </c>
      <c r="E13540" t="s">
        <v>13562</v>
      </c>
      <c r="F13540" t="s">
        <v>16658</v>
      </c>
      <c r="G13540" t="s">
        <v>19292</v>
      </c>
      <c r="H13540" t="s">
        <v>23973</v>
      </c>
      <c r="I13540" t="s">
        <v>1357</v>
      </c>
      <c r="J13540" t="s">
        <v>1357</v>
      </c>
      <c r="K13540" t="s">
        <v>1357</v>
      </c>
      <c r="L13540" t="s">
        <v>1357</v>
      </c>
    </row>
    <row r="13541" spans="1:13">
      <c r="H13541" t="s">
        <v>23974</v>
      </c>
      <c r="I13541" t="s">
        <v>1357</v>
      </c>
      <c r="J13541" t="s">
        <v>1357</v>
      </c>
      <c r="K13541" t="s">
        <v>1357</v>
      </c>
      <c r="L13541" t="s">
        <v>1357</v>
      </c>
    </row>
    <row r="13542" spans="1:13">
      <c r="H13542" t="s">
        <v>23975</v>
      </c>
      <c r="I13542" t="s">
        <v>1357</v>
      </c>
      <c r="J13542" t="s">
        <v>1357</v>
      </c>
      <c r="K13542" t="s">
        <v>1357</v>
      </c>
      <c r="L13542" t="s">
        <v>1357</v>
      </c>
    </row>
    <row r="13543" spans="1:13">
      <c r="H13543" t="s">
        <v>23976</v>
      </c>
      <c r="I13543" t="s">
        <v>1357</v>
      </c>
      <c r="J13543" t="s">
        <v>1357</v>
      </c>
      <c r="K13543" t="s">
        <v>1357</v>
      </c>
      <c r="L13543" t="s">
        <v>1357</v>
      </c>
    </row>
    <row r="13544" spans="1:13">
      <c r="H13544" t="s">
        <v>23977</v>
      </c>
      <c r="I13544" t="s">
        <v>1357</v>
      </c>
      <c r="J13544" t="s">
        <v>1357</v>
      </c>
      <c r="K13544" t="s">
        <v>1357</v>
      </c>
      <c r="L13544" t="s">
        <v>1357</v>
      </c>
    </row>
    <row r="13545" spans="1:13">
      <c r="H13545" t="s">
        <v>23978</v>
      </c>
      <c r="I13545" t="s">
        <v>1357</v>
      </c>
      <c r="J13545" t="s">
        <v>1357</v>
      </c>
      <c r="K13545" t="s">
        <v>1357</v>
      </c>
      <c r="L13545" t="s">
        <v>1357</v>
      </c>
    </row>
    <row r="13546" spans="1:13">
      <c r="H13546" t="s">
        <v>23979</v>
      </c>
      <c r="I13546" t="s">
        <v>1357</v>
      </c>
      <c r="J13546" t="s">
        <v>1357</v>
      </c>
      <c r="K13546" t="s">
        <v>1357</v>
      </c>
      <c r="L13546" t="s">
        <v>1357</v>
      </c>
    </row>
    <row r="13547" spans="1:13">
      <c r="F13547" t="s">
        <v>16659</v>
      </c>
      <c r="G13547" t="s">
        <v>19293</v>
      </c>
      <c r="H13547" t="s">
        <v>23980</v>
      </c>
      <c r="I13547" t="s">
        <v>1357</v>
      </c>
      <c r="J13547" t="s">
        <v>1357</v>
      </c>
      <c r="K13547" t="s">
        <v>1357</v>
      </c>
      <c r="L13547" t="s">
        <v>1357</v>
      </c>
    </row>
    <row r="13548" spans="1:13">
      <c r="H13548" t="s">
        <v>23981</v>
      </c>
      <c r="I13548" t="s">
        <v>1357</v>
      </c>
      <c r="J13548" t="s">
        <v>1357</v>
      </c>
      <c r="K13548" t="s">
        <v>1357</v>
      </c>
      <c r="L13548" t="s">
        <v>1357</v>
      </c>
    </row>
    <row r="13549" spans="1:13">
      <c r="F13549" t="s">
        <v>14486</v>
      </c>
      <c r="G13549" t="s">
        <v>17332</v>
      </c>
      <c r="H13549" t="s">
        <v>23982</v>
      </c>
      <c r="I13549" t="s">
        <v>1357</v>
      </c>
      <c r="J13549" t="s">
        <v>1357</v>
      </c>
      <c r="K13549" t="s">
        <v>1357</v>
      </c>
      <c r="L13549" t="s">
        <v>1357</v>
      </c>
    </row>
    <row r="13550" spans="1:13">
      <c r="F13550" t="s">
        <v>15891</v>
      </c>
      <c r="G13550" t="s">
        <v>17332</v>
      </c>
      <c r="H13550" t="s">
        <v>23982</v>
      </c>
      <c r="I13550" t="s">
        <v>1357</v>
      </c>
      <c r="J13550" t="s">
        <v>1357</v>
      </c>
      <c r="K13550" t="s">
        <v>1357</v>
      </c>
      <c r="L13550" t="s">
        <v>1357</v>
      </c>
    </row>
    <row r="13551" spans="1:13">
      <c r="A13551" t="s">
        <v>11035</v>
      </c>
      <c r="B13551">
        <f>HYPERLINK("https://android.googlesource.com/platform/cts/+/7293b1224b2b96feed4aaaaf84d268e3e77d4b23", "7293b1224b2b96feed4aaaaf84d268e3e77d4b23")</f>
        <v>0</v>
      </c>
      <c r="C13551">
        <f>HYPERLINK("https://android.googlesource.com/platform/cts/+/4e522d6d9231c1ed79b118a6ca0cccc71854f2e1", "4e522d6d9231c1ed79b118a6ca0cccc71854f2e1")</f>
        <v>0</v>
      </c>
      <c r="D13551" t="s">
        <v>12291</v>
      </c>
      <c r="E13551" t="s">
        <v>13563</v>
      </c>
      <c r="F13551" t="s">
        <v>16149</v>
      </c>
      <c r="G13551" t="s">
        <v>18778</v>
      </c>
      <c r="H13551" t="s">
        <v>23983</v>
      </c>
      <c r="I13551" t="s">
        <v>1357</v>
      </c>
      <c r="J13551" t="s">
        <v>1357</v>
      </c>
      <c r="K13551" t="s">
        <v>1357</v>
      </c>
      <c r="L13551" t="s">
        <v>1357</v>
      </c>
    </row>
    <row r="13552" spans="1:13">
      <c r="A13552" t="s">
        <v>11036</v>
      </c>
      <c r="B13552">
        <f>HYPERLINK("https://android.googlesource.com/platform/cts/+/93767c370f0cde262c3f746b6cfea9b1d2475b48", "93767c370f0cde262c3f746b6cfea9b1d2475b48")</f>
        <v>0</v>
      </c>
      <c r="C13552">
        <f>HYPERLINK("https://android.googlesource.com/platform/cts/+/4d3fa970a0d5b6eae5f382afc9ef46012c72502c", "4d3fa970a0d5b6eae5f382afc9ef46012c72502c")</f>
        <v>0</v>
      </c>
      <c r="D13552" t="s">
        <v>12292</v>
      </c>
      <c r="E13552" t="s">
        <v>13564</v>
      </c>
      <c r="F13552" t="s">
        <v>16660</v>
      </c>
      <c r="G13552" t="s">
        <v>19294</v>
      </c>
      <c r="H13552" t="s">
        <v>23984</v>
      </c>
      <c r="I13552" t="s">
        <v>1357</v>
      </c>
      <c r="J13552" t="s">
        <v>1357</v>
      </c>
      <c r="K13552" t="s">
        <v>1357</v>
      </c>
      <c r="L13552" t="s">
        <v>1357</v>
      </c>
    </row>
    <row r="13553" spans="1:12">
      <c r="A13553" t="s">
        <v>11037</v>
      </c>
      <c r="B13553">
        <f>HYPERLINK("https://android.googlesource.com/platform/cts/+/1565e443df4bb1becb0d0a216a5659ed68a76093", "1565e443df4bb1becb0d0a216a5659ed68a76093")</f>
        <v>0</v>
      </c>
      <c r="C13553">
        <f>HYPERLINK("https://android.googlesource.com/platform/cts/+/6a10361096d695cca25a05a240ecf5aa6c364d67", "6a10361096d695cca25a05a240ecf5aa6c364d67")</f>
        <v>0</v>
      </c>
      <c r="D13553" t="s">
        <v>12103</v>
      </c>
      <c r="E13553" t="s">
        <v>13565</v>
      </c>
      <c r="F13553" t="s">
        <v>16363</v>
      </c>
      <c r="G13553" t="s">
        <v>19032</v>
      </c>
      <c r="H13553" t="s">
        <v>23985</v>
      </c>
      <c r="I13553" t="s">
        <v>1357</v>
      </c>
      <c r="J13553" t="s">
        <v>1357</v>
      </c>
      <c r="K13553" t="s">
        <v>1357</v>
      </c>
      <c r="L13553" t="s">
        <v>1357</v>
      </c>
    </row>
    <row r="13554" spans="1:12">
      <c r="H13554" t="s">
        <v>23986</v>
      </c>
      <c r="I13554" t="s">
        <v>1357</v>
      </c>
      <c r="J13554" t="s">
        <v>1357</v>
      </c>
      <c r="K13554" t="s">
        <v>1357</v>
      </c>
      <c r="L13554" t="s">
        <v>1357</v>
      </c>
    </row>
    <row r="13555" spans="1:12">
      <c r="H13555" t="s">
        <v>23987</v>
      </c>
      <c r="I13555" t="s">
        <v>1357</v>
      </c>
      <c r="J13555" t="s">
        <v>1357</v>
      </c>
      <c r="K13555" t="s">
        <v>1357</v>
      </c>
      <c r="L13555" t="s">
        <v>1357</v>
      </c>
    </row>
    <row r="13556" spans="1:12">
      <c r="H13556" t="s">
        <v>23988</v>
      </c>
      <c r="I13556" t="s">
        <v>1357</v>
      </c>
      <c r="J13556" t="s">
        <v>1357</v>
      </c>
      <c r="K13556" t="s">
        <v>1357</v>
      </c>
      <c r="L13556" t="s">
        <v>1357</v>
      </c>
    </row>
    <row r="13557" spans="1:12">
      <c r="H13557" t="s">
        <v>23989</v>
      </c>
      <c r="I13557" t="s">
        <v>1357</v>
      </c>
      <c r="J13557" t="s">
        <v>1357</v>
      </c>
      <c r="K13557" t="s">
        <v>1357</v>
      </c>
      <c r="L13557" t="s">
        <v>1357</v>
      </c>
    </row>
    <row r="13558" spans="1:12">
      <c r="H13558" t="s">
        <v>19948</v>
      </c>
      <c r="I13558" t="s">
        <v>1357</v>
      </c>
      <c r="J13558" t="s">
        <v>1357</v>
      </c>
      <c r="K13558" t="s">
        <v>1357</v>
      </c>
      <c r="L13558" t="s">
        <v>1357</v>
      </c>
    </row>
    <row r="13559" spans="1:12">
      <c r="H13559" t="s">
        <v>23990</v>
      </c>
      <c r="I13559" t="s">
        <v>1357</v>
      </c>
      <c r="J13559" t="s">
        <v>1357</v>
      </c>
      <c r="K13559" t="s">
        <v>1357</v>
      </c>
      <c r="L13559" t="s">
        <v>1357</v>
      </c>
    </row>
    <row r="13560" spans="1:12">
      <c r="F13560" t="s">
        <v>16661</v>
      </c>
      <c r="G13560" t="s">
        <v>19295</v>
      </c>
      <c r="H13560" t="s">
        <v>23991</v>
      </c>
      <c r="I13560" t="s">
        <v>1357</v>
      </c>
      <c r="J13560" t="s">
        <v>1357</v>
      </c>
      <c r="K13560" t="s">
        <v>1357</v>
      </c>
      <c r="L13560" t="s">
        <v>1357</v>
      </c>
    </row>
    <row r="13561" spans="1:12">
      <c r="H13561" t="s">
        <v>23992</v>
      </c>
      <c r="I13561" t="s">
        <v>1357</v>
      </c>
      <c r="J13561" t="s">
        <v>1357</v>
      </c>
      <c r="K13561" t="s">
        <v>1357</v>
      </c>
      <c r="L13561" t="s">
        <v>1357</v>
      </c>
    </row>
    <row r="13562" spans="1:12">
      <c r="H13562" t="s">
        <v>23993</v>
      </c>
      <c r="I13562" t="s">
        <v>1357</v>
      </c>
      <c r="J13562" t="s">
        <v>1357</v>
      </c>
      <c r="K13562" t="s">
        <v>1357</v>
      </c>
      <c r="L13562" t="s">
        <v>1357</v>
      </c>
    </row>
    <row r="13563" spans="1:12">
      <c r="H13563" t="s">
        <v>23994</v>
      </c>
      <c r="I13563" t="s">
        <v>1357</v>
      </c>
      <c r="J13563" t="s">
        <v>1357</v>
      </c>
      <c r="K13563" t="s">
        <v>1357</v>
      </c>
      <c r="L13563" t="s">
        <v>1357</v>
      </c>
    </row>
    <row r="13564" spans="1:12">
      <c r="H13564" t="s">
        <v>23995</v>
      </c>
      <c r="I13564" t="s">
        <v>1357</v>
      </c>
      <c r="J13564" t="s">
        <v>1357</v>
      </c>
      <c r="K13564" t="s">
        <v>1357</v>
      </c>
      <c r="L13564" t="s">
        <v>1357</v>
      </c>
    </row>
    <row r="13565" spans="1:12">
      <c r="H13565" t="s">
        <v>23996</v>
      </c>
      <c r="I13565" t="s">
        <v>1357</v>
      </c>
      <c r="J13565" t="s">
        <v>1357</v>
      </c>
      <c r="K13565" t="s">
        <v>1357</v>
      </c>
      <c r="L13565" t="s">
        <v>1357</v>
      </c>
    </row>
    <row r="13566" spans="1:12">
      <c r="H13566" t="s">
        <v>23997</v>
      </c>
      <c r="I13566" t="s">
        <v>1357</v>
      </c>
      <c r="J13566" t="s">
        <v>1357</v>
      </c>
      <c r="K13566" t="s">
        <v>1357</v>
      </c>
      <c r="L13566" t="s">
        <v>1357</v>
      </c>
    </row>
    <row r="13567" spans="1:12">
      <c r="H13567" t="s">
        <v>23998</v>
      </c>
      <c r="I13567" t="s">
        <v>1357</v>
      </c>
      <c r="J13567" t="s">
        <v>1357</v>
      </c>
      <c r="K13567" t="s">
        <v>1357</v>
      </c>
      <c r="L13567" t="s">
        <v>1357</v>
      </c>
    </row>
    <row r="13568" spans="1:12">
      <c r="H13568" t="s">
        <v>23999</v>
      </c>
      <c r="I13568" t="s">
        <v>1357</v>
      </c>
      <c r="J13568" t="s">
        <v>1357</v>
      </c>
      <c r="K13568" t="s">
        <v>1357</v>
      </c>
      <c r="L13568" t="s">
        <v>1357</v>
      </c>
    </row>
    <row r="13569" spans="1:12">
      <c r="H13569" t="s">
        <v>24000</v>
      </c>
      <c r="I13569" t="s">
        <v>1357</v>
      </c>
      <c r="J13569" t="s">
        <v>1357</v>
      </c>
      <c r="K13569" t="s">
        <v>1357</v>
      </c>
      <c r="L13569" t="s">
        <v>1357</v>
      </c>
    </row>
    <row r="13570" spans="1:12">
      <c r="A13570" t="s">
        <v>11038</v>
      </c>
      <c r="B13570">
        <f>HYPERLINK("https://android.googlesource.com/platform/cts/+/0a4b52835219a6dff395ad95caf159120dd1679b", "0a4b52835219a6dff395ad95caf159120dd1679b")</f>
        <v>0</v>
      </c>
      <c r="C13570">
        <f>HYPERLINK("https://android.googlesource.com/platform/cts/+/32086afe3ce09f24babba099c51dd6fefac5fe80", "32086afe3ce09f24babba099c51dd6fefac5fe80")</f>
        <v>0</v>
      </c>
      <c r="D13570" t="s">
        <v>12222</v>
      </c>
      <c r="E13570" t="s">
        <v>13566</v>
      </c>
      <c r="F13570" t="s">
        <v>16662</v>
      </c>
      <c r="G13570" t="s">
        <v>19296</v>
      </c>
      <c r="H13570" t="s">
        <v>24001</v>
      </c>
      <c r="I13570" t="s">
        <v>1357</v>
      </c>
      <c r="J13570" t="s">
        <v>1357</v>
      </c>
      <c r="K13570" t="s">
        <v>1357</v>
      </c>
      <c r="L13570" t="s">
        <v>1357</v>
      </c>
    </row>
    <row r="13571" spans="1:12">
      <c r="A13571" t="s">
        <v>11039</v>
      </c>
      <c r="B13571">
        <f>HYPERLINK("https://android.googlesource.com/platform/cts/+/2bbee6e1e5f35136311749b061a468b9b223d840", "2bbee6e1e5f35136311749b061a468b9b223d840")</f>
        <v>0</v>
      </c>
      <c r="C13571">
        <f>HYPERLINK("https://android.googlesource.com/platform/cts/+/be6d34f5c3b4e92204a1128d90b34e330e52f768", "be6d34f5c3b4e92204a1128d90b34e330e52f768")</f>
        <v>0</v>
      </c>
      <c r="D13571" t="s">
        <v>12293</v>
      </c>
      <c r="E13571" t="s">
        <v>13567</v>
      </c>
      <c r="F13571" t="s">
        <v>16615</v>
      </c>
      <c r="G13571" t="s">
        <v>19255</v>
      </c>
      <c r="H13571" t="s">
        <v>24002</v>
      </c>
      <c r="I13571" t="s">
        <v>1357</v>
      </c>
      <c r="J13571" t="s">
        <v>1357</v>
      </c>
      <c r="K13571" t="s">
        <v>1357</v>
      </c>
      <c r="L13571" t="s">
        <v>1357</v>
      </c>
    </row>
    <row r="13572" spans="1:12">
      <c r="H13572" t="s">
        <v>24003</v>
      </c>
      <c r="I13572" t="s">
        <v>1357</v>
      </c>
      <c r="J13572" t="s">
        <v>1357</v>
      </c>
      <c r="K13572" t="s">
        <v>1357</v>
      </c>
      <c r="L13572" t="s">
        <v>1357</v>
      </c>
    </row>
    <row r="13573" spans="1:12">
      <c r="H13573" t="s">
        <v>24004</v>
      </c>
      <c r="I13573" t="s">
        <v>1357</v>
      </c>
      <c r="J13573" t="s">
        <v>1357</v>
      </c>
      <c r="K13573" t="s">
        <v>1357</v>
      </c>
      <c r="L13573" t="s">
        <v>1357</v>
      </c>
    </row>
    <row r="13574" spans="1:12">
      <c r="A13574" t="s">
        <v>11040</v>
      </c>
      <c r="B13574">
        <f>HYPERLINK("https://android.googlesource.com/platform/cts/+/61097212329e37c755dddac701c56daee8916620", "61097212329e37c755dddac701c56daee8916620")</f>
        <v>0</v>
      </c>
      <c r="C13574">
        <f>HYPERLINK("https://android.googlesource.com/platform/cts/+/7a7a4d51783339d3fe1b8f861c9c104ad8d5127b", "7a7a4d51783339d3fe1b8f861c9c104ad8d5127b")</f>
        <v>0</v>
      </c>
      <c r="D13574" t="s">
        <v>12275</v>
      </c>
      <c r="E13574" t="s">
        <v>13568</v>
      </c>
      <c r="F13574" t="s">
        <v>16625</v>
      </c>
      <c r="G13574" t="s">
        <v>19263</v>
      </c>
      <c r="H13574" t="s">
        <v>24005</v>
      </c>
      <c r="I13574" t="s">
        <v>1357</v>
      </c>
      <c r="J13574" t="s">
        <v>1357</v>
      </c>
      <c r="K13574" t="s">
        <v>1357</v>
      </c>
      <c r="L13574" t="s">
        <v>1357</v>
      </c>
    </row>
    <row r="13575" spans="1:12">
      <c r="H13575" t="s">
        <v>24006</v>
      </c>
      <c r="I13575" t="s">
        <v>1357</v>
      </c>
      <c r="J13575" t="s">
        <v>1357</v>
      </c>
      <c r="K13575" t="s">
        <v>1357</v>
      </c>
      <c r="L13575" t="s">
        <v>1357</v>
      </c>
    </row>
    <row r="13576" spans="1:12">
      <c r="H13576" t="s">
        <v>24007</v>
      </c>
      <c r="I13576" t="s">
        <v>1357</v>
      </c>
      <c r="J13576" t="s">
        <v>1357</v>
      </c>
      <c r="K13576" t="s">
        <v>1357</v>
      </c>
      <c r="L13576" t="s">
        <v>1357</v>
      </c>
    </row>
    <row r="13577" spans="1:12">
      <c r="H13577" t="s">
        <v>9765</v>
      </c>
      <c r="I13577" t="s">
        <v>1357</v>
      </c>
      <c r="J13577" t="s">
        <v>1357</v>
      </c>
      <c r="K13577" t="s">
        <v>1357</v>
      </c>
      <c r="L13577" t="s">
        <v>1357</v>
      </c>
    </row>
    <row r="13578" spans="1:12">
      <c r="A13578" t="s">
        <v>11041</v>
      </c>
      <c r="B13578">
        <f>HYPERLINK("https://android.googlesource.com/platform/cts/+/e05ffed599d17559af16e04d17fcf74d075b7939", "e05ffed599d17559af16e04d17fcf74d075b7939")</f>
        <v>0</v>
      </c>
      <c r="C13578">
        <f>HYPERLINK("https://android.googlesource.com/platform/cts/+/b9b5147fcf9e2006cdac7baa91394a628439620a", "b9b5147fcf9e2006cdac7baa91394a628439620a")</f>
        <v>0</v>
      </c>
      <c r="D13578" t="s">
        <v>12294</v>
      </c>
      <c r="E13578" t="s">
        <v>13569</v>
      </c>
      <c r="F13578" t="s">
        <v>16663</v>
      </c>
      <c r="G13578" t="s">
        <v>19297</v>
      </c>
      <c r="H13578" t="s">
        <v>24008</v>
      </c>
      <c r="I13578" t="s">
        <v>1357</v>
      </c>
      <c r="J13578" t="s">
        <v>1357</v>
      </c>
      <c r="K13578" t="s">
        <v>1357</v>
      </c>
      <c r="L13578" t="s">
        <v>1357</v>
      </c>
    </row>
    <row r="13579" spans="1:12">
      <c r="F13579" t="s">
        <v>16138</v>
      </c>
      <c r="G13579" t="s">
        <v>18822</v>
      </c>
      <c r="H13579" t="s">
        <v>24008</v>
      </c>
      <c r="I13579" t="s">
        <v>1357</v>
      </c>
      <c r="J13579" t="s">
        <v>1357</v>
      </c>
      <c r="K13579" t="s">
        <v>1357</v>
      </c>
      <c r="L13579" t="s">
        <v>1357</v>
      </c>
    </row>
    <row r="13580" spans="1:12">
      <c r="A13580" t="s">
        <v>11042</v>
      </c>
      <c r="B13580">
        <f>HYPERLINK("https://android.googlesource.com/platform/cts/+/d4cb745ba90cc3238a7bdd66cfd7b449339dc00e", "d4cb745ba90cc3238a7bdd66cfd7b449339dc00e")</f>
        <v>0</v>
      </c>
      <c r="C13580">
        <f>HYPERLINK("https://android.googlesource.com/platform/cts/+/ed8e97f57d294609dc9322445c9d1989360eefb9", "ed8e97f57d294609dc9322445c9d1989360eefb9")</f>
        <v>0</v>
      </c>
      <c r="D13580" t="s">
        <v>12248</v>
      </c>
      <c r="E13580" t="s">
        <v>13570</v>
      </c>
      <c r="F13580" t="s">
        <v>16609</v>
      </c>
      <c r="G13580" t="s">
        <v>19250</v>
      </c>
      <c r="H13580" t="s">
        <v>24009</v>
      </c>
      <c r="I13580" t="s">
        <v>1357</v>
      </c>
      <c r="J13580" t="s">
        <v>1357</v>
      </c>
      <c r="K13580" t="s">
        <v>1357</v>
      </c>
      <c r="L13580" t="s">
        <v>1357</v>
      </c>
    </row>
    <row r="13581" spans="1:12">
      <c r="H13581" t="s">
        <v>21246</v>
      </c>
      <c r="I13581" t="s">
        <v>1357</v>
      </c>
      <c r="J13581" t="s">
        <v>1357</v>
      </c>
      <c r="K13581" t="s">
        <v>1357</v>
      </c>
      <c r="L13581" t="s">
        <v>1357</v>
      </c>
    </row>
    <row r="13582" spans="1:12">
      <c r="H13582" t="s">
        <v>24010</v>
      </c>
      <c r="I13582" t="s">
        <v>1357</v>
      </c>
      <c r="J13582" t="s">
        <v>1357</v>
      </c>
      <c r="K13582" t="s">
        <v>1357</v>
      </c>
      <c r="L13582" t="s">
        <v>1357</v>
      </c>
    </row>
    <row r="13583" spans="1:12">
      <c r="A13583" t="s">
        <v>11043</v>
      </c>
      <c r="B13583">
        <f>HYPERLINK("https://android.googlesource.com/platform/cts/+/58c1321beba42398115e525df60059df0a17e814", "58c1321beba42398115e525df60059df0a17e814")</f>
        <v>0</v>
      </c>
      <c r="C13583">
        <f>HYPERLINK("https://android.googlesource.com/platform/cts/+/f06f5486579e9214594ca76cd78fdea30ce5c287", "f06f5486579e9214594ca76cd78fdea30ce5c287")</f>
        <v>0</v>
      </c>
      <c r="D13583" t="s">
        <v>12108</v>
      </c>
      <c r="E13583" t="s">
        <v>13571</v>
      </c>
      <c r="F13583" t="s">
        <v>16664</v>
      </c>
      <c r="G13583" t="s">
        <v>19298</v>
      </c>
      <c r="H13583" t="s">
        <v>24011</v>
      </c>
      <c r="I13583" t="s">
        <v>1357</v>
      </c>
      <c r="J13583" t="s">
        <v>1357</v>
      </c>
      <c r="K13583" t="s">
        <v>1357</v>
      </c>
      <c r="L13583" t="s">
        <v>1357</v>
      </c>
    </row>
    <row r="13584" spans="1:12">
      <c r="F13584" t="s">
        <v>15184</v>
      </c>
      <c r="G13584" t="s">
        <v>17886</v>
      </c>
      <c r="H13584" t="s">
        <v>24012</v>
      </c>
      <c r="I13584" t="s">
        <v>1357</v>
      </c>
      <c r="J13584" t="s">
        <v>1357</v>
      </c>
      <c r="K13584" t="s">
        <v>1357</v>
      </c>
      <c r="L13584" t="s">
        <v>1357</v>
      </c>
    </row>
    <row r="13585" spans="1:12">
      <c r="A13585" t="s">
        <v>11044</v>
      </c>
      <c r="B13585">
        <f>HYPERLINK("https://android.googlesource.com/platform/cts/+/ce91955c966b69c05f299d60fca5a7ee3243c1a5", "ce91955c966b69c05f299d60fca5a7ee3243c1a5")</f>
        <v>0</v>
      </c>
      <c r="C13585">
        <f>HYPERLINK("https://android.googlesource.com/platform/cts/+/b52083dc1e389a8e6174514eb6893c6dd5c31fbb", "b52083dc1e389a8e6174514eb6893c6dd5c31fbb")</f>
        <v>0</v>
      </c>
      <c r="D13585" t="s">
        <v>12295</v>
      </c>
      <c r="E13585" t="s">
        <v>13572</v>
      </c>
      <c r="F13585" t="s">
        <v>16665</v>
      </c>
      <c r="G13585" t="s">
        <v>19299</v>
      </c>
      <c r="H13585" t="s">
        <v>24013</v>
      </c>
      <c r="I13585" t="s">
        <v>1358</v>
      </c>
      <c r="J13585" t="s">
        <v>1358</v>
      </c>
      <c r="K13585" t="s">
        <v>1358</v>
      </c>
      <c r="L13585" t="s">
        <v>1358</v>
      </c>
    </row>
    <row r="13586" spans="1:12">
      <c r="A13586" t="s">
        <v>11045</v>
      </c>
      <c r="B13586">
        <f>HYPERLINK("https://android.googlesource.com/platform/cts/+/6bd5826a807f5019d6275b006745c1b456522d63", "6bd5826a807f5019d6275b006745c1b456522d63")</f>
        <v>0</v>
      </c>
      <c r="C13586">
        <f>HYPERLINK("https://android.googlesource.com/platform/cts/+/3d15986fe0412e7bf631c484a595578484478897", "3d15986fe0412e7bf631c484a595578484478897")</f>
        <v>0</v>
      </c>
      <c r="D13586" t="s">
        <v>12296</v>
      </c>
      <c r="E13586" t="s">
        <v>13573</v>
      </c>
      <c r="F13586" t="s">
        <v>16666</v>
      </c>
      <c r="G13586" t="s">
        <v>18758</v>
      </c>
      <c r="H13586" t="s">
        <v>24014</v>
      </c>
      <c r="I13586" t="s">
        <v>1357</v>
      </c>
      <c r="J13586" t="s">
        <v>1357</v>
      </c>
      <c r="K13586" t="s">
        <v>1357</v>
      </c>
      <c r="L13586" t="s">
        <v>1357</v>
      </c>
    </row>
    <row r="13587" spans="1:12">
      <c r="A13587" t="s">
        <v>11046</v>
      </c>
      <c r="B13587">
        <f>HYPERLINK("https://android.googlesource.com/platform/cts/+/51fb83a17e721abcf9c606ec29e88dd9824ecb05", "51fb83a17e721abcf9c606ec29e88dd9824ecb05")</f>
        <v>0</v>
      </c>
      <c r="C13587">
        <f>HYPERLINK("https://android.googlesource.com/platform/cts/+/0a8e5dd7da2eba0094d91c05ec2f5c0886d48c21", "0a8e5dd7da2eba0094d91c05ec2f5c0886d48c21")</f>
        <v>0</v>
      </c>
      <c r="D13587" t="s">
        <v>12297</v>
      </c>
      <c r="E13587" t="s">
        <v>13574</v>
      </c>
      <c r="F13587" t="s">
        <v>16667</v>
      </c>
      <c r="G13587" t="s">
        <v>19300</v>
      </c>
      <c r="H13587" t="s">
        <v>24015</v>
      </c>
      <c r="I13587" t="s">
        <v>1358</v>
      </c>
      <c r="J13587" t="s">
        <v>1358</v>
      </c>
      <c r="K13587" t="s">
        <v>1358</v>
      </c>
      <c r="L13587" t="s">
        <v>1358</v>
      </c>
    </row>
    <row r="13588" spans="1:12">
      <c r="A13588" t="s">
        <v>11047</v>
      </c>
      <c r="B13588">
        <f>HYPERLINK("https://android.googlesource.com/platform/cts/+/7d4879a70546d47847b30e8845aa64a2b9fb883d", "7d4879a70546d47847b30e8845aa64a2b9fb883d")</f>
        <v>0</v>
      </c>
      <c r="C13588">
        <f>HYPERLINK("https://android.googlesource.com/platform/cts/+/e5f7c87e9dec9ad21bec25feec24050d247b2a08", "e5f7c87e9dec9ad21bec25feec24050d247b2a08")</f>
        <v>0</v>
      </c>
      <c r="D13588" t="s">
        <v>12080</v>
      </c>
      <c r="E13588" t="s">
        <v>13575</v>
      </c>
      <c r="F13588" t="s">
        <v>16668</v>
      </c>
      <c r="G13588" t="s">
        <v>19301</v>
      </c>
      <c r="H13588" t="s">
        <v>24016</v>
      </c>
      <c r="I13588" t="s">
        <v>1357</v>
      </c>
      <c r="J13588" t="s">
        <v>1357</v>
      </c>
      <c r="K13588" t="s">
        <v>1357</v>
      </c>
      <c r="L13588" t="s">
        <v>1357</v>
      </c>
    </row>
    <row r="13589" spans="1:12">
      <c r="F13589" t="s">
        <v>16669</v>
      </c>
      <c r="G13589" t="s">
        <v>19302</v>
      </c>
      <c r="H13589" t="s">
        <v>24017</v>
      </c>
      <c r="I13589" t="s">
        <v>1357</v>
      </c>
      <c r="J13589" t="s">
        <v>1357</v>
      </c>
      <c r="K13589" t="s">
        <v>1357</v>
      </c>
      <c r="L13589" t="s">
        <v>1357</v>
      </c>
    </row>
    <row r="13590" spans="1:12">
      <c r="F13590" t="s">
        <v>16670</v>
      </c>
      <c r="G13590" t="s">
        <v>19303</v>
      </c>
      <c r="H13590" t="s">
        <v>24018</v>
      </c>
      <c r="I13590" t="s">
        <v>1357</v>
      </c>
      <c r="J13590" t="s">
        <v>1357</v>
      </c>
      <c r="K13590" t="s">
        <v>1357</v>
      </c>
      <c r="L13590" t="s">
        <v>1357</v>
      </c>
    </row>
    <row r="13591" spans="1:12">
      <c r="A13591" t="s">
        <v>11048</v>
      </c>
      <c r="B13591">
        <f>HYPERLINK("https://android.googlesource.com/platform/cts/+/2c51332c2c4f7e8303cf1bf7f544623af2289899", "2c51332c2c4f7e8303cf1bf7f544623af2289899")</f>
        <v>0</v>
      </c>
      <c r="C13591">
        <f>HYPERLINK("https://android.googlesource.com/platform/cts/+/f4f7d59a8069c0769d4d7932059d6358923c9881", "f4f7d59a8069c0769d4d7932059d6358923c9881")</f>
        <v>0</v>
      </c>
      <c r="D13591" t="s">
        <v>12275</v>
      </c>
      <c r="E13591" t="s">
        <v>13576</v>
      </c>
      <c r="F13591" t="s">
        <v>16671</v>
      </c>
      <c r="G13591" t="s">
        <v>19304</v>
      </c>
      <c r="H13591" t="s">
        <v>24019</v>
      </c>
      <c r="I13591" t="s">
        <v>1357</v>
      </c>
      <c r="J13591" t="s">
        <v>1357</v>
      </c>
      <c r="K13591" t="s">
        <v>1357</v>
      </c>
      <c r="L13591" t="s">
        <v>1357</v>
      </c>
    </row>
    <row r="13592" spans="1:12">
      <c r="A13592" t="s">
        <v>11049</v>
      </c>
      <c r="B13592">
        <f>HYPERLINK("https://android.googlesource.com/platform/cts/+/51ca6c2113f8e64921ac108b19b862799891b3fa", "51ca6c2113f8e64921ac108b19b862799891b3fa")</f>
        <v>0</v>
      </c>
      <c r="C13592">
        <f>HYPERLINK("https://android.googlesource.com/platform/cts/+/f160a5db69338148d798f10bd0b40d087e661613", "f160a5db69338148d798f10bd0b40d087e661613")</f>
        <v>0</v>
      </c>
      <c r="D13592" t="s">
        <v>12080</v>
      </c>
      <c r="E13592" t="s">
        <v>13577</v>
      </c>
      <c r="F13592" t="s">
        <v>16672</v>
      </c>
      <c r="G13592" t="s">
        <v>19305</v>
      </c>
      <c r="H13592" t="s">
        <v>24020</v>
      </c>
      <c r="I13592" t="s">
        <v>1358</v>
      </c>
      <c r="J13592" t="s">
        <v>1358</v>
      </c>
      <c r="K13592" t="s">
        <v>1358</v>
      </c>
      <c r="L13592" t="s">
        <v>1358</v>
      </c>
    </row>
    <row r="13593" spans="1:12">
      <c r="H13593" t="s">
        <v>24021</v>
      </c>
      <c r="I13593" t="s">
        <v>1357</v>
      </c>
      <c r="J13593" t="s">
        <v>1357</v>
      </c>
      <c r="K13593" t="s">
        <v>1357</v>
      </c>
      <c r="L13593" t="s">
        <v>1357</v>
      </c>
    </row>
    <row r="13594" spans="1:12">
      <c r="A13594" t="s">
        <v>11050</v>
      </c>
      <c r="B13594">
        <f>HYPERLINK("https://android.googlesource.com/platform/cts/+/9808ee8a72f59bfb258ce9cbc7bdc0f8e40297d0", "9808ee8a72f59bfb258ce9cbc7bdc0f8e40297d0")</f>
        <v>0</v>
      </c>
      <c r="C13594">
        <f>HYPERLINK("https://android.googlesource.com/platform/cts/+/498adeb5ad1686b85916abfb36ec90aadd41e1a3", "498adeb5ad1686b85916abfb36ec90aadd41e1a3")</f>
        <v>0</v>
      </c>
      <c r="D13594" t="s">
        <v>12298</v>
      </c>
      <c r="E13594" t="s">
        <v>13578</v>
      </c>
      <c r="F13594" t="s">
        <v>16673</v>
      </c>
      <c r="G13594" t="s">
        <v>19306</v>
      </c>
      <c r="H13594" t="s">
        <v>24022</v>
      </c>
      <c r="I13594" t="s">
        <v>1357</v>
      </c>
      <c r="J13594" t="s">
        <v>1357</v>
      </c>
      <c r="K13594" t="s">
        <v>1357</v>
      </c>
      <c r="L13594" t="s">
        <v>1357</v>
      </c>
    </row>
    <row r="13595" spans="1:12">
      <c r="A13595" t="s">
        <v>11051</v>
      </c>
      <c r="B13595">
        <f>HYPERLINK("https://android.googlesource.com/platform/cts/+/cf3185badfb6618311b7ddf2676670a4a01f7bd7", "cf3185badfb6618311b7ddf2676670a4a01f7bd7")</f>
        <v>0</v>
      </c>
      <c r="C13595">
        <f>HYPERLINK("https://android.googlesource.com/platform/cts/+/5ba191c27cf50d56cd9d61144ec2b16c6fc7f483", "5ba191c27cf50d56cd9d61144ec2b16c6fc7f483")</f>
        <v>0</v>
      </c>
      <c r="D13595" t="s">
        <v>12178</v>
      </c>
      <c r="E13595" t="s">
        <v>13579</v>
      </c>
      <c r="F13595" t="s">
        <v>16489</v>
      </c>
      <c r="G13595" t="s">
        <v>19148</v>
      </c>
      <c r="H13595" t="s">
        <v>23843</v>
      </c>
      <c r="I13595" t="s">
        <v>1357</v>
      </c>
      <c r="J13595" t="s">
        <v>1357</v>
      </c>
      <c r="K13595" t="s">
        <v>1357</v>
      </c>
      <c r="L13595" t="s">
        <v>1357</v>
      </c>
    </row>
    <row r="13596" spans="1:12">
      <c r="H13596" t="s">
        <v>23231</v>
      </c>
      <c r="I13596" t="s">
        <v>1357</v>
      </c>
      <c r="J13596" t="s">
        <v>1357</v>
      </c>
      <c r="K13596" t="s">
        <v>1357</v>
      </c>
      <c r="L13596" t="s">
        <v>1357</v>
      </c>
    </row>
    <row r="13597" spans="1:12">
      <c r="H13597" t="s">
        <v>23232</v>
      </c>
      <c r="I13597" t="s">
        <v>1357</v>
      </c>
      <c r="J13597" t="s">
        <v>1357</v>
      </c>
      <c r="K13597" t="s">
        <v>1357</v>
      </c>
      <c r="L13597" t="s">
        <v>1357</v>
      </c>
    </row>
    <row r="13598" spans="1:12">
      <c r="H13598" t="s">
        <v>23233</v>
      </c>
      <c r="I13598" t="s">
        <v>1357</v>
      </c>
      <c r="J13598" t="s">
        <v>1357</v>
      </c>
      <c r="K13598" t="s">
        <v>1357</v>
      </c>
      <c r="L13598" t="s">
        <v>1357</v>
      </c>
    </row>
    <row r="13599" spans="1:12">
      <c r="H13599" t="s">
        <v>23234</v>
      </c>
      <c r="I13599" t="s">
        <v>1357</v>
      </c>
      <c r="J13599" t="s">
        <v>1357</v>
      </c>
      <c r="K13599" t="s">
        <v>1357</v>
      </c>
      <c r="L13599" t="s">
        <v>1357</v>
      </c>
    </row>
    <row r="13600" spans="1:12">
      <c r="H13600" t="s">
        <v>23235</v>
      </c>
      <c r="I13600" t="s">
        <v>1357</v>
      </c>
      <c r="J13600" t="s">
        <v>1357</v>
      </c>
      <c r="K13600" t="s">
        <v>1357</v>
      </c>
      <c r="L13600" t="s">
        <v>1357</v>
      </c>
    </row>
    <row r="13601" spans="6:13">
      <c r="H13601" t="s">
        <v>23236</v>
      </c>
      <c r="I13601" t="s">
        <v>1357</v>
      </c>
      <c r="J13601" t="s">
        <v>1357</v>
      </c>
      <c r="K13601" t="s">
        <v>1357</v>
      </c>
      <c r="L13601" t="s">
        <v>1357</v>
      </c>
    </row>
    <row r="13602" spans="6:13">
      <c r="H13602" t="s">
        <v>4116</v>
      </c>
      <c r="I13602" t="s">
        <v>1357</v>
      </c>
      <c r="J13602" t="s">
        <v>1357</v>
      </c>
      <c r="K13602" t="s">
        <v>1357</v>
      </c>
      <c r="L13602" t="s">
        <v>1357</v>
      </c>
    </row>
    <row r="13603" spans="6:13">
      <c r="H13603" t="s">
        <v>23237</v>
      </c>
      <c r="I13603" t="s">
        <v>1357</v>
      </c>
      <c r="J13603" t="s">
        <v>1357</v>
      </c>
      <c r="K13603" t="s">
        <v>1357</v>
      </c>
      <c r="L13603" t="s">
        <v>1357</v>
      </c>
    </row>
    <row r="13604" spans="6:13">
      <c r="H13604" t="s">
        <v>23238</v>
      </c>
      <c r="I13604" t="s">
        <v>1357</v>
      </c>
      <c r="J13604" t="s">
        <v>1357</v>
      </c>
      <c r="K13604" t="s">
        <v>1357</v>
      </c>
      <c r="L13604" t="s">
        <v>1357</v>
      </c>
      <c r="M13604" t="s">
        <v>9957</v>
      </c>
    </row>
    <row r="13605" spans="6:13">
      <c r="H13605" t="s">
        <v>23239</v>
      </c>
      <c r="I13605" t="s">
        <v>1357</v>
      </c>
      <c r="J13605" t="s">
        <v>1357</v>
      </c>
      <c r="K13605" t="s">
        <v>1357</v>
      </c>
      <c r="L13605" t="s">
        <v>1357</v>
      </c>
    </row>
    <row r="13606" spans="6:13">
      <c r="H13606" t="s">
        <v>23240</v>
      </c>
      <c r="I13606" t="s">
        <v>1357</v>
      </c>
      <c r="J13606" t="s">
        <v>1357</v>
      </c>
      <c r="K13606" t="s">
        <v>1357</v>
      </c>
      <c r="L13606" t="s">
        <v>1357</v>
      </c>
    </row>
    <row r="13607" spans="6:13">
      <c r="H13607" t="s">
        <v>23241</v>
      </c>
      <c r="I13607" t="s">
        <v>1357</v>
      </c>
      <c r="J13607" t="s">
        <v>1357</v>
      </c>
      <c r="K13607" t="s">
        <v>1357</v>
      </c>
      <c r="L13607" t="s">
        <v>1357</v>
      </c>
    </row>
    <row r="13608" spans="6:13">
      <c r="F13608" t="s">
        <v>16490</v>
      </c>
      <c r="G13608" t="s">
        <v>19149</v>
      </c>
      <c r="H13608" t="s">
        <v>23855</v>
      </c>
      <c r="I13608" t="s">
        <v>1357</v>
      </c>
      <c r="J13608" t="s">
        <v>1357</v>
      </c>
      <c r="K13608" t="s">
        <v>1357</v>
      </c>
      <c r="L13608" t="s">
        <v>1357</v>
      </c>
    </row>
    <row r="13609" spans="6:13">
      <c r="H13609" t="s">
        <v>23242</v>
      </c>
      <c r="I13609" t="s">
        <v>1357</v>
      </c>
      <c r="J13609" t="s">
        <v>1357</v>
      </c>
      <c r="K13609" t="s">
        <v>1357</v>
      </c>
      <c r="L13609" t="s">
        <v>1357</v>
      </c>
    </row>
    <row r="13610" spans="6:13">
      <c r="H13610" t="s">
        <v>23243</v>
      </c>
      <c r="I13610" t="s">
        <v>1357</v>
      </c>
      <c r="J13610" t="s">
        <v>1357</v>
      </c>
      <c r="K13610" t="s">
        <v>1357</v>
      </c>
      <c r="L13610" t="s">
        <v>1357</v>
      </c>
    </row>
    <row r="13611" spans="6:13">
      <c r="H13611" t="s">
        <v>23246</v>
      </c>
      <c r="I13611" t="s">
        <v>1357</v>
      </c>
      <c r="J13611" t="s">
        <v>1357</v>
      </c>
      <c r="K13611" t="s">
        <v>1357</v>
      </c>
      <c r="L13611" t="s">
        <v>1357</v>
      </c>
    </row>
    <row r="13612" spans="6:13">
      <c r="H13612" t="s">
        <v>23247</v>
      </c>
      <c r="I13612" t="s">
        <v>1357</v>
      </c>
      <c r="J13612" t="s">
        <v>1357</v>
      </c>
      <c r="K13612" t="s">
        <v>1357</v>
      </c>
      <c r="L13612" t="s">
        <v>1357</v>
      </c>
    </row>
    <row r="13613" spans="6:13">
      <c r="H13613" t="s">
        <v>23248</v>
      </c>
      <c r="I13613" t="s">
        <v>1357</v>
      </c>
      <c r="J13613" t="s">
        <v>1357</v>
      </c>
      <c r="K13613" t="s">
        <v>1357</v>
      </c>
      <c r="L13613" t="s">
        <v>1357</v>
      </c>
    </row>
    <row r="13614" spans="6:13">
      <c r="H13614" t="s">
        <v>23249</v>
      </c>
      <c r="I13614" t="s">
        <v>1357</v>
      </c>
      <c r="J13614" t="s">
        <v>1357</v>
      </c>
      <c r="K13614" t="s">
        <v>1357</v>
      </c>
      <c r="L13614" t="s">
        <v>1357</v>
      </c>
    </row>
    <row r="13615" spans="6:13">
      <c r="H13615" t="s">
        <v>23250</v>
      </c>
      <c r="I13615" t="s">
        <v>1357</v>
      </c>
      <c r="J13615" t="s">
        <v>1357</v>
      </c>
      <c r="K13615" t="s">
        <v>1357</v>
      </c>
      <c r="L13615" t="s">
        <v>1357</v>
      </c>
    </row>
    <row r="13616" spans="6:13">
      <c r="H13616" t="s">
        <v>23856</v>
      </c>
      <c r="I13616" t="s">
        <v>1357</v>
      </c>
      <c r="J13616" t="s">
        <v>1357</v>
      </c>
      <c r="K13616" t="s">
        <v>1357</v>
      </c>
      <c r="L13616" t="s">
        <v>1357</v>
      </c>
    </row>
    <row r="13617" spans="8:12">
      <c r="H13617" t="s">
        <v>23251</v>
      </c>
      <c r="I13617" t="s">
        <v>1357</v>
      </c>
      <c r="J13617" t="s">
        <v>1357</v>
      </c>
      <c r="K13617" t="s">
        <v>1357</v>
      </c>
      <c r="L13617" t="s">
        <v>1357</v>
      </c>
    </row>
    <row r="13618" spans="8:12">
      <c r="H13618" t="s">
        <v>23285</v>
      </c>
      <c r="I13618" t="s">
        <v>1357</v>
      </c>
      <c r="J13618" t="s">
        <v>1357</v>
      </c>
      <c r="K13618" t="s">
        <v>1357</v>
      </c>
      <c r="L13618" t="s">
        <v>1357</v>
      </c>
    </row>
    <row r="13619" spans="8:12">
      <c r="H13619" t="s">
        <v>23857</v>
      </c>
      <c r="I13619" t="s">
        <v>1357</v>
      </c>
      <c r="J13619" t="s">
        <v>1357</v>
      </c>
      <c r="K13619" t="s">
        <v>1357</v>
      </c>
      <c r="L13619" t="s">
        <v>1357</v>
      </c>
    </row>
    <row r="13620" spans="8:12">
      <c r="H13620" t="s">
        <v>23858</v>
      </c>
      <c r="I13620" t="s">
        <v>1357</v>
      </c>
      <c r="J13620" t="s">
        <v>1357</v>
      </c>
      <c r="K13620" t="s">
        <v>1357</v>
      </c>
      <c r="L13620" t="s">
        <v>1357</v>
      </c>
    </row>
    <row r="13621" spans="8:12">
      <c r="H13621" t="s">
        <v>23859</v>
      </c>
      <c r="I13621" t="s">
        <v>1357</v>
      </c>
      <c r="J13621" t="s">
        <v>1357</v>
      </c>
      <c r="K13621" t="s">
        <v>1357</v>
      </c>
      <c r="L13621" t="s">
        <v>1357</v>
      </c>
    </row>
    <row r="13622" spans="8:12">
      <c r="H13622" t="s">
        <v>23860</v>
      </c>
      <c r="I13622" t="s">
        <v>1357</v>
      </c>
      <c r="J13622" t="s">
        <v>1357</v>
      </c>
      <c r="K13622" t="s">
        <v>1357</v>
      </c>
      <c r="L13622" t="s">
        <v>1357</v>
      </c>
    </row>
    <row r="13623" spans="8:12">
      <c r="H13623" t="s">
        <v>23861</v>
      </c>
      <c r="I13623" t="s">
        <v>1357</v>
      </c>
      <c r="J13623" t="s">
        <v>1357</v>
      </c>
      <c r="K13623" t="s">
        <v>1357</v>
      </c>
      <c r="L13623" t="s">
        <v>1357</v>
      </c>
    </row>
    <row r="13624" spans="8:12">
      <c r="H13624" t="s">
        <v>23862</v>
      </c>
      <c r="I13624" t="s">
        <v>1357</v>
      </c>
      <c r="J13624" t="s">
        <v>1357</v>
      </c>
      <c r="K13624" t="s">
        <v>1357</v>
      </c>
      <c r="L13624" t="s">
        <v>1357</v>
      </c>
    </row>
    <row r="13625" spans="8:12">
      <c r="H13625" t="s">
        <v>23863</v>
      </c>
      <c r="I13625" t="s">
        <v>1357</v>
      </c>
      <c r="J13625" t="s">
        <v>1357</v>
      </c>
      <c r="K13625" t="s">
        <v>1357</v>
      </c>
      <c r="L13625" t="s">
        <v>1357</v>
      </c>
    </row>
    <row r="13626" spans="8:12">
      <c r="H13626" t="s">
        <v>23864</v>
      </c>
      <c r="I13626" t="s">
        <v>1357</v>
      </c>
      <c r="J13626" t="s">
        <v>1357</v>
      </c>
      <c r="K13626" t="s">
        <v>1357</v>
      </c>
      <c r="L13626" t="s">
        <v>1357</v>
      </c>
    </row>
    <row r="13627" spans="8:12">
      <c r="H13627" t="s">
        <v>23865</v>
      </c>
      <c r="I13627" t="s">
        <v>1357</v>
      </c>
      <c r="J13627" t="s">
        <v>1357</v>
      </c>
      <c r="K13627" t="s">
        <v>1357</v>
      </c>
      <c r="L13627" t="s">
        <v>1357</v>
      </c>
    </row>
    <row r="13628" spans="8:12">
      <c r="H13628" t="s">
        <v>23866</v>
      </c>
      <c r="I13628" t="s">
        <v>1357</v>
      </c>
      <c r="J13628" t="s">
        <v>1357</v>
      </c>
      <c r="K13628" t="s">
        <v>1357</v>
      </c>
      <c r="L13628" t="s">
        <v>1357</v>
      </c>
    </row>
    <row r="13629" spans="8:12">
      <c r="H13629" t="s">
        <v>23867</v>
      </c>
      <c r="I13629" t="s">
        <v>1357</v>
      </c>
      <c r="J13629" t="s">
        <v>1357</v>
      </c>
      <c r="K13629" t="s">
        <v>1357</v>
      </c>
      <c r="L13629" t="s">
        <v>1357</v>
      </c>
    </row>
    <row r="13630" spans="8:12">
      <c r="H13630" t="s">
        <v>23868</v>
      </c>
      <c r="I13630" t="s">
        <v>1357</v>
      </c>
      <c r="J13630" t="s">
        <v>1357</v>
      </c>
      <c r="K13630" t="s">
        <v>1357</v>
      </c>
      <c r="L13630" t="s">
        <v>1357</v>
      </c>
    </row>
    <row r="13631" spans="8:12">
      <c r="H13631" t="s">
        <v>23869</v>
      </c>
      <c r="I13631" t="s">
        <v>1357</v>
      </c>
      <c r="J13631" t="s">
        <v>1357</v>
      </c>
      <c r="K13631" t="s">
        <v>1357</v>
      </c>
      <c r="L13631" t="s">
        <v>1357</v>
      </c>
    </row>
    <row r="13632" spans="8:12">
      <c r="H13632" t="s">
        <v>23870</v>
      </c>
      <c r="I13632" t="s">
        <v>1357</v>
      </c>
      <c r="J13632" t="s">
        <v>1357</v>
      </c>
      <c r="K13632" t="s">
        <v>1357</v>
      </c>
      <c r="L13632" t="s">
        <v>1357</v>
      </c>
    </row>
    <row r="13633" spans="8:12">
      <c r="H13633" t="s">
        <v>23253</v>
      </c>
      <c r="I13633" t="s">
        <v>1357</v>
      </c>
      <c r="J13633" t="s">
        <v>1357</v>
      </c>
      <c r="K13633" t="s">
        <v>1357</v>
      </c>
      <c r="L13633" t="s">
        <v>1357</v>
      </c>
    </row>
    <row r="13634" spans="8:12">
      <c r="H13634" t="s">
        <v>23254</v>
      </c>
      <c r="I13634" t="s">
        <v>1357</v>
      </c>
      <c r="J13634" t="s">
        <v>1357</v>
      </c>
      <c r="K13634" t="s">
        <v>1357</v>
      </c>
      <c r="L13634" t="s">
        <v>1357</v>
      </c>
    </row>
    <row r="13635" spans="8:12">
      <c r="H13635" t="s">
        <v>23255</v>
      </c>
      <c r="I13635" t="s">
        <v>1357</v>
      </c>
      <c r="J13635" t="s">
        <v>1357</v>
      </c>
      <c r="K13635" t="s">
        <v>1357</v>
      </c>
      <c r="L13635" t="s">
        <v>1357</v>
      </c>
    </row>
    <row r="13636" spans="8:12">
      <c r="H13636" t="s">
        <v>23257</v>
      </c>
      <c r="I13636" t="s">
        <v>1357</v>
      </c>
      <c r="J13636" t="s">
        <v>1357</v>
      </c>
      <c r="K13636" t="s">
        <v>1357</v>
      </c>
      <c r="L13636" t="s">
        <v>1357</v>
      </c>
    </row>
    <row r="13637" spans="8:12">
      <c r="H13637" t="s">
        <v>23258</v>
      </c>
      <c r="I13637" t="s">
        <v>1357</v>
      </c>
      <c r="J13637" t="s">
        <v>1357</v>
      </c>
      <c r="K13637" t="s">
        <v>1357</v>
      </c>
      <c r="L13637" t="s">
        <v>1357</v>
      </c>
    </row>
    <row r="13638" spans="8:12">
      <c r="H13638" t="s">
        <v>23259</v>
      </c>
      <c r="I13638" t="s">
        <v>1357</v>
      </c>
      <c r="J13638" t="s">
        <v>1357</v>
      </c>
      <c r="K13638" t="s">
        <v>1357</v>
      </c>
      <c r="L13638" t="s">
        <v>1357</v>
      </c>
    </row>
    <row r="13639" spans="8:12">
      <c r="H13639" t="s">
        <v>23260</v>
      </c>
      <c r="I13639" t="s">
        <v>1357</v>
      </c>
      <c r="J13639" t="s">
        <v>1357</v>
      </c>
      <c r="K13639" t="s">
        <v>1357</v>
      </c>
      <c r="L13639" t="s">
        <v>1357</v>
      </c>
    </row>
    <row r="13640" spans="8:12">
      <c r="H13640" t="s">
        <v>23261</v>
      </c>
      <c r="I13640" t="s">
        <v>1357</v>
      </c>
      <c r="J13640" t="s">
        <v>1357</v>
      </c>
      <c r="K13640" t="s">
        <v>1357</v>
      </c>
      <c r="L13640" t="s">
        <v>1357</v>
      </c>
    </row>
    <row r="13641" spans="8:12">
      <c r="H13641" t="s">
        <v>23262</v>
      </c>
      <c r="I13641" t="s">
        <v>1357</v>
      </c>
      <c r="J13641" t="s">
        <v>1357</v>
      </c>
      <c r="K13641" t="s">
        <v>1357</v>
      </c>
      <c r="L13641" t="s">
        <v>1357</v>
      </c>
    </row>
    <row r="13642" spans="8:12">
      <c r="H13642" t="s">
        <v>23263</v>
      </c>
      <c r="I13642" t="s">
        <v>1357</v>
      </c>
      <c r="J13642" t="s">
        <v>1357</v>
      </c>
      <c r="K13642" t="s">
        <v>1357</v>
      </c>
      <c r="L13642" t="s">
        <v>1357</v>
      </c>
    </row>
    <row r="13643" spans="8:12">
      <c r="H13643" t="s">
        <v>23264</v>
      </c>
      <c r="I13643" t="s">
        <v>1357</v>
      </c>
      <c r="J13643" t="s">
        <v>1357</v>
      </c>
      <c r="K13643" t="s">
        <v>1357</v>
      </c>
      <c r="L13643" t="s">
        <v>1357</v>
      </c>
    </row>
    <row r="13644" spans="8:12">
      <c r="H13644" t="s">
        <v>23265</v>
      </c>
      <c r="I13644" t="s">
        <v>1357</v>
      </c>
      <c r="J13644" t="s">
        <v>1357</v>
      </c>
      <c r="K13644" t="s">
        <v>1357</v>
      </c>
      <c r="L13644" t="s">
        <v>1357</v>
      </c>
    </row>
    <row r="13645" spans="8:12">
      <c r="H13645" t="s">
        <v>23266</v>
      </c>
      <c r="I13645" t="s">
        <v>1357</v>
      </c>
      <c r="J13645" t="s">
        <v>1357</v>
      </c>
      <c r="K13645" t="s">
        <v>1357</v>
      </c>
      <c r="L13645" t="s">
        <v>1357</v>
      </c>
    </row>
    <row r="13646" spans="8:12">
      <c r="H13646" t="s">
        <v>23267</v>
      </c>
      <c r="I13646" t="s">
        <v>1357</v>
      </c>
      <c r="J13646" t="s">
        <v>1357</v>
      </c>
      <c r="K13646" t="s">
        <v>1357</v>
      </c>
      <c r="L13646" t="s">
        <v>1357</v>
      </c>
    </row>
    <row r="13647" spans="8:12">
      <c r="H13647" t="s">
        <v>23268</v>
      </c>
      <c r="I13647" t="s">
        <v>1357</v>
      </c>
      <c r="J13647" t="s">
        <v>1357</v>
      </c>
      <c r="K13647" t="s">
        <v>1357</v>
      </c>
      <c r="L13647" t="s">
        <v>1357</v>
      </c>
    </row>
    <row r="13648" spans="8:12">
      <c r="H13648" t="s">
        <v>23269</v>
      </c>
      <c r="I13648" t="s">
        <v>1357</v>
      </c>
      <c r="J13648" t="s">
        <v>1357</v>
      </c>
      <c r="K13648" t="s">
        <v>1357</v>
      </c>
      <c r="L13648" t="s">
        <v>1357</v>
      </c>
    </row>
    <row r="13649" spans="6:12">
      <c r="H13649" t="s">
        <v>23270</v>
      </c>
      <c r="I13649" t="s">
        <v>1357</v>
      </c>
      <c r="J13649" t="s">
        <v>1357</v>
      </c>
      <c r="K13649" t="s">
        <v>1357</v>
      </c>
      <c r="L13649" t="s">
        <v>1357</v>
      </c>
    </row>
    <row r="13650" spans="6:12">
      <c r="H13650" t="s">
        <v>23271</v>
      </c>
      <c r="I13650" t="s">
        <v>1357</v>
      </c>
      <c r="J13650" t="s">
        <v>1357</v>
      </c>
      <c r="K13650" t="s">
        <v>1357</v>
      </c>
      <c r="L13650" t="s">
        <v>1357</v>
      </c>
    </row>
    <row r="13651" spans="6:12">
      <c r="H13651" t="s">
        <v>23272</v>
      </c>
      <c r="I13651" t="s">
        <v>1357</v>
      </c>
      <c r="J13651" t="s">
        <v>1357</v>
      </c>
      <c r="K13651" t="s">
        <v>1357</v>
      </c>
      <c r="L13651" t="s">
        <v>1357</v>
      </c>
    </row>
    <row r="13652" spans="6:12">
      <c r="H13652" t="s">
        <v>23273</v>
      </c>
      <c r="I13652" t="s">
        <v>1357</v>
      </c>
      <c r="J13652" t="s">
        <v>1357</v>
      </c>
      <c r="K13652" t="s">
        <v>1357</v>
      </c>
      <c r="L13652" t="s">
        <v>1357</v>
      </c>
    </row>
    <row r="13653" spans="6:12">
      <c r="H13653" t="s">
        <v>23274</v>
      </c>
      <c r="I13653" t="s">
        <v>1357</v>
      </c>
      <c r="J13653" t="s">
        <v>1357</v>
      </c>
      <c r="K13653" t="s">
        <v>1357</v>
      </c>
      <c r="L13653" t="s">
        <v>1357</v>
      </c>
    </row>
    <row r="13654" spans="6:12">
      <c r="H13654" t="s">
        <v>23275</v>
      </c>
      <c r="I13654" t="s">
        <v>1357</v>
      </c>
      <c r="J13654" t="s">
        <v>1357</v>
      </c>
      <c r="K13654" t="s">
        <v>1357</v>
      </c>
      <c r="L13654" t="s">
        <v>1357</v>
      </c>
    </row>
    <row r="13655" spans="6:12">
      <c r="H13655" t="s">
        <v>23276</v>
      </c>
      <c r="I13655" t="s">
        <v>1357</v>
      </c>
      <c r="J13655" t="s">
        <v>1357</v>
      </c>
      <c r="K13655" t="s">
        <v>1357</v>
      </c>
      <c r="L13655" t="s">
        <v>1357</v>
      </c>
    </row>
    <row r="13656" spans="6:12">
      <c r="H13656" t="s">
        <v>23277</v>
      </c>
      <c r="I13656" t="s">
        <v>1357</v>
      </c>
      <c r="J13656" t="s">
        <v>1357</v>
      </c>
      <c r="K13656" t="s">
        <v>1357</v>
      </c>
      <c r="L13656" t="s">
        <v>1357</v>
      </c>
    </row>
    <row r="13657" spans="6:12">
      <c r="H13657" t="s">
        <v>23278</v>
      </c>
      <c r="I13657" t="s">
        <v>1357</v>
      </c>
      <c r="J13657" t="s">
        <v>1357</v>
      </c>
      <c r="K13657" t="s">
        <v>1357</v>
      </c>
      <c r="L13657" t="s">
        <v>1357</v>
      </c>
    </row>
    <row r="13658" spans="6:12">
      <c r="H13658" t="s">
        <v>23279</v>
      </c>
      <c r="I13658" t="s">
        <v>1357</v>
      </c>
      <c r="J13658" t="s">
        <v>1357</v>
      </c>
      <c r="K13658" t="s">
        <v>1357</v>
      </c>
      <c r="L13658" t="s">
        <v>1357</v>
      </c>
    </row>
    <row r="13659" spans="6:12">
      <c r="H13659" t="s">
        <v>23280</v>
      </c>
      <c r="I13659" t="s">
        <v>1357</v>
      </c>
      <c r="J13659" t="s">
        <v>1357</v>
      </c>
      <c r="K13659" t="s">
        <v>1357</v>
      </c>
      <c r="L13659" t="s">
        <v>1357</v>
      </c>
    </row>
    <row r="13660" spans="6:12">
      <c r="H13660" t="s">
        <v>23281</v>
      </c>
      <c r="I13660" t="s">
        <v>1357</v>
      </c>
      <c r="J13660" t="s">
        <v>1357</v>
      </c>
      <c r="K13660" t="s">
        <v>1357</v>
      </c>
      <c r="L13660" t="s">
        <v>1357</v>
      </c>
    </row>
    <row r="13661" spans="6:12">
      <c r="F13661" t="s">
        <v>16491</v>
      </c>
      <c r="G13661" t="s">
        <v>19150</v>
      </c>
      <c r="H13661" t="s">
        <v>23282</v>
      </c>
      <c r="I13661" t="s">
        <v>1357</v>
      </c>
      <c r="J13661" t="s">
        <v>1357</v>
      </c>
      <c r="K13661" t="s">
        <v>1357</v>
      </c>
      <c r="L13661" t="s">
        <v>1357</v>
      </c>
    </row>
    <row r="13662" spans="6:12">
      <c r="F13662" t="s">
        <v>16492</v>
      </c>
      <c r="G13662" t="s">
        <v>19151</v>
      </c>
      <c r="H13662" t="s">
        <v>23282</v>
      </c>
      <c r="I13662" t="s">
        <v>1357</v>
      </c>
      <c r="J13662" t="s">
        <v>1357</v>
      </c>
      <c r="K13662" t="s">
        <v>1357</v>
      </c>
      <c r="L13662" t="s">
        <v>1357</v>
      </c>
    </row>
    <row r="13663" spans="6:12">
      <c r="H13663" t="s">
        <v>23871</v>
      </c>
      <c r="I13663" t="s">
        <v>1357</v>
      </c>
      <c r="J13663" t="s">
        <v>1357</v>
      </c>
      <c r="K13663" t="s">
        <v>1357</v>
      </c>
      <c r="L13663" t="s">
        <v>1357</v>
      </c>
    </row>
    <row r="13664" spans="6:12">
      <c r="H13664" t="s">
        <v>23872</v>
      </c>
      <c r="I13664" t="s">
        <v>1357</v>
      </c>
      <c r="J13664" t="s">
        <v>1357</v>
      </c>
      <c r="K13664" t="s">
        <v>1357</v>
      </c>
      <c r="L13664" t="s">
        <v>1357</v>
      </c>
    </row>
    <row r="13665" spans="8:12">
      <c r="H13665" t="s">
        <v>23873</v>
      </c>
      <c r="I13665" t="s">
        <v>1357</v>
      </c>
      <c r="J13665" t="s">
        <v>1357</v>
      </c>
      <c r="K13665" t="s">
        <v>1357</v>
      </c>
      <c r="L13665" t="s">
        <v>1357</v>
      </c>
    </row>
    <row r="13666" spans="8:12">
      <c r="H13666" t="s">
        <v>23874</v>
      </c>
      <c r="I13666" t="s">
        <v>1357</v>
      </c>
      <c r="J13666" t="s">
        <v>1357</v>
      </c>
      <c r="K13666" t="s">
        <v>1357</v>
      </c>
      <c r="L13666" t="s">
        <v>1357</v>
      </c>
    </row>
    <row r="13667" spans="8:12">
      <c r="H13667" t="s">
        <v>23875</v>
      </c>
      <c r="I13667" t="s">
        <v>1357</v>
      </c>
      <c r="J13667" t="s">
        <v>1357</v>
      </c>
      <c r="K13667" t="s">
        <v>1357</v>
      </c>
      <c r="L13667" t="s">
        <v>1357</v>
      </c>
    </row>
    <row r="13668" spans="8:12">
      <c r="H13668" t="s">
        <v>23284</v>
      </c>
      <c r="I13668" t="s">
        <v>1357</v>
      </c>
      <c r="J13668" t="s">
        <v>1357</v>
      </c>
      <c r="K13668" t="s">
        <v>1357</v>
      </c>
      <c r="L13668" t="s">
        <v>1357</v>
      </c>
    </row>
    <row r="13669" spans="8:12">
      <c r="H13669" t="s">
        <v>23242</v>
      </c>
      <c r="I13669" t="s">
        <v>1357</v>
      </c>
      <c r="J13669" t="s">
        <v>1357</v>
      </c>
      <c r="K13669" t="s">
        <v>1357</v>
      </c>
      <c r="L13669" t="s">
        <v>1357</v>
      </c>
    </row>
    <row r="13670" spans="8:12">
      <c r="H13670" t="s">
        <v>23243</v>
      </c>
      <c r="I13670" t="s">
        <v>1357</v>
      </c>
      <c r="J13670" t="s">
        <v>1357</v>
      </c>
      <c r="K13670" t="s">
        <v>1357</v>
      </c>
      <c r="L13670" t="s">
        <v>1357</v>
      </c>
    </row>
    <row r="13671" spans="8:12">
      <c r="H13671" t="s">
        <v>23246</v>
      </c>
      <c r="I13671" t="s">
        <v>1357</v>
      </c>
      <c r="J13671" t="s">
        <v>1357</v>
      </c>
      <c r="K13671" t="s">
        <v>1357</v>
      </c>
      <c r="L13671" t="s">
        <v>1357</v>
      </c>
    </row>
    <row r="13672" spans="8:12">
      <c r="H13672" t="s">
        <v>23864</v>
      </c>
      <c r="I13672" t="s">
        <v>1357</v>
      </c>
      <c r="J13672" t="s">
        <v>1357</v>
      </c>
      <c r="K13672" t="s">
        <v>1357</v>
      </c>
      <c r="L13672" t="s">
        <v>1357</v>
      </c>
    </row>
    <row r="13673" spans="8:12">
      <c r="H13673" t="s">
        <v>23865</v>
      </c>
      <c r="I13673" t="s">
        <v>1357</v>
      </c>
      <c r="J13673" t="s">
        <v>1357</v>
      </c>
      <c r="K13673" t="s">
        <v>1357</v>
      </c>
      <c r="L13673" t="s">
        <v>1357</v>
      </c>
    </row>
    <row r="13674" spans="8:12">
      <c r="H13674" t="s">
        <v>23866</v>
      </c>
      <c r="I13674" t="s">
        <v>1357</v>
      </c>
      <c r="J13674" t="s">
        <v>1357</v>
      </c>
      <c r="K13674" t="s">
        <v>1357</v>
      </c>
      <c r="L13674" t="s">
        <v>1357</v>
      </c>
    </row>
    <row r="13675" spans="8:12">
      <c r="H13675" t="s">
        <v>23876</v>
      </c>
      <c r="I13675" t="s">
        <v>1357</v>
      </c>
      <c r="J13675" t="s">
        <v>1357</v>
      </c>
      <c r="K13675" t="s">
        <v>1357</v>
      </c>
      <c r="L13675" t="s">
        <v>1357</v>
      </c>
    </row>
    <row r="13676" spans="8:12">
      <c r="H13676" t="s">
        <v>23877</v>
      </c>
      <c r="I13676" t="s">
        <v>1357</v>
      </c>
      <c r="J13676" t="s">
        <v>1357</v>
      </c>
      <c r="K13676" t="s">
        <v>1357</v>
      </c>
      <c r="L13676" t="s">
        <v>1357</v>
      </c>
    </row>
    <row r="13677" spans="8:12">
      <c r="H13677" t="s">
        <v>23878</v>
      </c>
      <c r="I13677" t="s">
        <v>1357</v>
      </c>
      <c r="J13677" t="s">
        <v>1357</v>
      </c>
      <c r="K13677" t="s">
        <v>1357</v>
      </c>
      <c r="L13677" t="s">
        <v>1357</v>
      </c>
    </row>
    <row r="13678" spans="8:12">
      <c r="H13678" t="s">
        <v>23285</v>
      </c>
      <c r="I13678" t="s">
        <v>1357</v>
      </c>
      <c r="J13678" t="s">
        <v>1357</v>
      </c>
      <c r="K13678" t="s">
        <v>1357</v>
      </c>
      <c r="L13678" t="s">
        <v>1357</v>
      </c>
    </row>
    <row r="13679" spans="8:12">
      <c r="H13679" t="s">
        <v>23857</v>
      </c>
      <c r="I13679" t="s">
        <v>1357</v>
      </c>
      <c r="J13679" t="s">
        <v>1357</v>
      </c>
      <c r="K13679" t="s">
        <v>1357</v>
      </c>
      <c r="L13679" t="s">
        <v>1357</v>
      </c>
    </row>
    <row r="13680" spans="8:12">
      <c r="H13680" t="s">
        <v>23858</v>
      </c>
      <c r="I13680" t="s">
        <v>1357</v>
      </c>
      <c r="J13680" t="s">
        <v>1357</v>
      </c>
      <c r="K13680" t="s">
        <v>1357</v>
      </c>
      <c r="L13680" t="s">
        <v>1357</v>
      </c>
    </row>
    <row r="13681" spans="8:12">
      <c r="H13681" t="s">
        <v>23859</v>
      </c>
      <c r="I13681" t="s">
        <v>1357</v>
      </c>
      <c r="J13681" t="s">
        <v>1357</v>
      </c>
      <c r="K13681" t="s">
        <v>1357</v>
      </c>
      <c r="L13681" t="s">
        <v>1357</v>
      </c>
    </row>
    <row r="13682" spans="8:12">
      <c r="H13682" t="s">
        <v>23879</v>
      </c>
      <c r="I13682" t="s">
        <v>1357</v>
      </c>
      <c r="J13682" t="s">
        <v>1357</v>
      </c>
      <c r="K13682" t="s">
        <v>1357</v>
      </c>
      <c r="L13682" t="s">
        <v>1357</v>
      </c>
    </row>
    <row r="13683" spans="8:12">
      <c r="H13683" t="s">
        <v>23861</v>
      </c>
      <c r="I13683" t="s">
        <v>1357</v>
      </c>
      <c r="J13683" t="s">
        <v>1357</v>
      </c>
      <c r="K13683" t="s">
        <v>1357</v>
      </c>
      <c r="L13683" t="s">
        <v>1357</v>
      </c>
    </row>
    <row r="13684" spans="8:12">
      <c r="H13684" t="s">
        <v>23862</v>
      </c>
      <c r="I13684" t="s">
        <v>1357</v>
      </c>
      <c r="J13684" t="s">
        <v>1357</v>
      </c>
      <c r="K13684" t="s">
        <v>1357</v>
      </c>
      <c r="L13684" t="s">
        <v>1357</v>
      </c>
    </row>
    <row r="13685" spans="8:12">
      <c r="H13685" t="s">
        <v>23863</v>
      </c>
      <c r="I13685" t="s">
        <v>1357</v>
      </c>
      <c r="J13685" t="s">
        <v>1357</v>
      </c>
      <c r="K13685" t="s">
        <v>1357</v>
      </c>
      <c r="L13685" t="s">
        <v>1357</v>
      </c>
    </row>
    <row r="13686" spans="8:12">
      <c r="H13686" t="s">
        <v>23867</v>
      </c>
      <c r="I13686" t="s">
        <v>1357</v>
      </c>
      <c r="J13686" t="s">
        <v>1357</v>
      </c>
      <c r="K13686" t="s">
        <v>1357</v>
      </c>
      <c r="L13686" t="s">
        <v>1357</v>
      </c>
    </row>
    <row r="13687" spans="8:12">
      <c r="H13687" t="s">
        <v>23868</v>
      </c>
      <c r="I13687" t="s">
        <v>1357</v>
      </c>
      <c r="J13687" t="s">
        <v>1357</v>
      </c>
      <c r="K13687" t="s">
        <v>1357</v>
      </c>
      <c r="L13687" t="s">
        <v>1357</v>
      </c>
    </row>
    <row r="13688" spans="8:12">
      <c r="H13688" t="s">
        <v>23869</v>
      </c>
      <c r="I13688" t="s">
        <v>1357</v>
      </c>
      <c r="J13688" t="s">
        <v>1357</v>
      </c>
      <c r="K13688" t="s">
        <v>1357</v>
      </c>
      <c r="L13688" t="s">
        <v>1357</v>
      </c>
    </row>
    <row r="13689" spans="8:12">
      <c r="H13689" t="s">
        <v>23870</v>
      </c>
      <c r="I13689" t="s">
        <v>1357</v>
      </c>
      <c r="J13689" t="s">
        <v>1357</v>
      </c>
      <c r="K13689" t="s">
        <v>1357</v>
      </c>
      <c r="L13689" t="s">
        <v>1357</v>
      </c>
    </row>
    <row r="13690" spans="8:12">
      <c r="H13690" t="s">
        <v>23288</v>
      </c>
      <c r="I13690" t="s">
        <v>1357</v>
      </c>
      <c r="J13690" t="s">
        <v>1357</v>
      </c>
      <c r="K13690" t="s">
        <v>1357</v>
      </c>
      <c r="L13690" t="s">
        <v>1357</v>
      </c>
    </row>
    <row r="13691" spans="8:12">
      <c r="H13691" t="s">
        <v>23289</v>
      </c>
      <c r="I13691" t="s">
        <v>1357</v>
      </c>
      <c r="J13691" t="s">
        <v>1357</v>
      </c>
      <c r="K13691" t="s">
        <v>1357</v>
      </c>
      <c r="L13691" t="s">
        <v>1357</v>
      </c>
    </row>
    <row r="13692" spans="8:12">
      <c r="H13692" t="s">
        <v>23290</v>
      </c>
      <c r="I13692" t="s">
        <v>1357</v>
      </c>
      <c r="J13692" t="s">
        <v>1357</v>
      </c>
      <c r="K13692" t="s">
        <v>1357</v>
      </c>
      <c r="L13692" t="s">
        <v>1357</v>
      </c>
    </row>
    <row r="13693" spans="8:12">
      <c r="H13693" t="s">
        <v>23880</v>
      </c>
      <c r="I13693" t="s">
        <v>1357</v>
      </c>
      <c r="J13693" t="s">
        <v>1357</v>
      </c>
      <c r="K13693" t="s">
        <v>1357</v>
      </c>
      <c r="L13693" t="s">
        <v>1357</v>
      </c>
    </row>
    <row r="13694" spans="8:12">
      <c r="H13694" t="s">
        <v>23291</v>
      </c>
      <c r="I13694" t="s">
        <v>1357</v>
      </c>
      <c r="J13694" t="s">
        <v>1357</v>
      </c>
      <c r="K13694" t="s">
        <v>1357</v>
      </c>
      <c r="L13694" t="s">
        <v>1357</v>
      </c>
    </row>
    <row r="13695" spans="8:12">
      <c r="H13695" t="s">
        <v>23881</v>
      </c>
      <c r="I13695" t="s">
        <v>1357</v>
      </c>
      <c r="J13695" t="s">
        <v>1357</v>
      </c>
      <c r="K13695" t="s">
        <v>1357</v>
      </c>
      <c r="L13695" t="s">
        <v>1357</v>
      </c>
    </row>
    <row r="13696" spans="8:12">
      <c r="H13696" t="s">
        <v>23292</v>
      </c>
      <c r="I13696" t="s">
        <v>1357</v>
      </c>
      <c r="J13696" t="s">
        <v>1357</v>
      </c>
      <c r="K13696" t="s">
        <v>1357</v>
      </c>
      <c r="L13696" t="s">
        <v>1357</v>
      </c>
    </row>
    <row r="13697" spans="6:12">
      <c r="H13697" t="s">
        <v>23882</v>
      </c>
      <c r="I13697" t="s">
        <v>1357</v>
      </c>
      <c r="J13697" t="s">
        <v>1357</v>
      </c>
      <c r="K13697" t="s">
        <v>1357</v>
      </c>
      <c r="L13697" t="s">
        <v>1357</v>
      </c>
    </row>
    <row r="13698" spans="6:12">
      <c r="F13698" t="s">
        <v>16498</v>
      </c>
      <c r="G13698" t="s">
        <v>19157</v>
      </c>
      <c r="H13698" t="s">
        <v>23242</v>
      </c>
      <c r="I13698" t="s">
        <v>1357</v>
      </c>
      <c r="J13698" t="s">
        <v>1357</v>
      </c>
      <c r="K13698" t="s">
        <v>1357</v>
      </c>
      <c r="L13698" t="s">
        <v>1357</v>
      </c>
    </row>
    <row r="13699" spans="6:12">
      <c r="H13699" t="s">
        <v>23243</v>
      </c>
      <c r="I13699" t="s">
        <v>1357</v>
      </c>
      <c r="J13699" t="s">
        <v>1357</v>
      </c>
      <c r="K13699" t="s">
        <v>1357</v>
      </c>
      <c r="L13699" t="s">
        <v>1357</v>
      </c>
    </row>
    <row r="13700" spans="6:12">
      <c r="H13700" t="s">
        <v>23246</v>
      </c>
      <c r="I13700" t="s">
        <v>1357</v>
      </c>
      <c r="J13700" t="s">
        <v>1357</v>
      </c>
      <c r="K13700" t="s">
        <v>1357</v>
      </c>
      <c r="L13700" t="s">
        <v>1357</v>
      </c>
    </row>
    <row r="13701" spans="6:12">
      <c r="H13701" t="s">
        <v>23248</v>
      </c>
      <c r="I13701" t="s">
        <v>1357</v>
      </c>
      <c r="J13701" t="s">
        <v>1357</v>
      </c>
      <c r="K13701" t="s">
        <v>1357</v>
      </c>
      <c r="L13701" t="s">
        <v>1357</v>
      </c>
    </row>
    <row r="13702" spans="6:12">
      <c r="H13702" t="s">
        <v>23249</v>
      </c>
      <c r="I13702" t="s">
        <v>1357</v>
      </c>
      <c r="J13702" t="s">
        <v>1357</v>
      </c>
      <c r="K13702" t="s">
        <v>1357</v>
      </c>
      <c r="L13702" t="s">
        <v>1357</v>
      </c>
    </row>
    <row r="13703" spans="6:12">
      <c r="H13703" t="s">
        <v>23250</v>
      </c>
      <c r="I13703" t="s">
        <v>1357</v>
      </c>
      <c r="J13703" t="s">
        <v>1357</v>
      </c>
      <c r="K13703" t="s">
        <v>1357</v>
      </c>
      <c r="L13703" t="s">
        <v>1357</v>
      </c>
    </row>
    <row r="13704" spans="6:12">
      <c r="H13704" t="s">
        <v>23245</v>
      </c>
      <c r="I13704" t="s">
        <v>1357</v>
      </c>
      <c r="J13704" t="s">
        <v>1357</v>
      </c>
      <c r="K13704" t="s">
        <v>1357</v>
      </c>
      <c r="L13704" t="s">
        <v>1357</v>
      </c>
    </row>
    <row r="13705" spans="6:12">
      <c r="H13705" t="s">
        <v>23244</v>
      </c>
      <c r="I13705" t="s">
        <v>1357</v>
      </c>
      <c r="J13705" t="s">
        <v>1357</v>
      </c>
      <c r="K13705" t="s">
        <v>1357</v>
      </c>
      <c r="L13705" t="s">
        <v>1357</v>
      </c>
    </row>
    <row r="13706" spans="6:12">
      <c r="H13706" t="s">
        <v>23866</v>
      </c>
      <c r="I13706" t="s">
        <v>1357</v>
      </c>
      <c r="J13706" t="s">
        <v>1357</v>
      </c>
      <c r="K13706" t="s">
        <v>1357</v>
      </c>
      <c r="L13706" t="s">
        <v>1357</v>
      </c>
    </row>
    <row r="13707" spans="6:12">
      <c r="H13707" t="s">
        <v>23285</v>
      </c>
      <c r="I13707" t="s">
        <v>1357</v>
      </c>
      <c r="J13707" t="s">
        <v>1357</v>
      </c>
      <c r="K13707" t="s">
        <v>1357</v>
      </c>
      <c r="L13707" t="s">
        <v>1357</v>
      </c>
    </row>
    <row r="13708" spans="6:12">
      <c r="H13708" t="s">
        <v>23858</v>
      </c>
      <c r="I13708" t="s">
        <v>1357</v>
      </c>
      <c r="J13708" t="s">
        <v>1357</v>
      </c>
      <c r="K13708" t="s">
        <v>1357</v>
      </c>
      <c r="L13708" t="s">
        <v>1357</v>
      </c>
    </row>
    <row r="13709" spans="6:12">
      <c r="H13709" t="s">
        <v>23861</v>
      </c>
      <c r="I13709" t="s">
        <v>1357</v>
      </c>
      <c r="J13709" t="s">
        <v>1357</v>
      </c>
      <c r="K13709" t="s">
        <v>1357</v>
      </c>
      <c r="L13709" t="s">
        <v>1357</v>
      </c>
    </row>
    <row r="13710" spans="6:12">
      <c r="H13710" t="s">
        <v>23862</v>
      </c>
      <c r="I13710" t="s">
        <v>1357</v>
      </c>
      <c r="J13710" t="s">
        <v>1357</v>
      </c>
      <c r="K13710" t="s">
        <v>1357</v>
      </c>
      <c r="L13710" t="s">
        <v>1357</v>
      </c>
    </row>
    <row r="13711" spans="6:12">
      <c r="H13711" t="s">
        <v>23863</v>
      </c>
      <c r="I13711" t="s">
        <v>1357</v>
      </c>
      <c r="J13711" t="s">
        <v>1357</v>
      </c>
      <c r="K13711" t="s">
        <v>1357</v>
      </c>
      <c r="L13711" t="s">
        <v>1357</v>
      </c>
    </row>
    <row r="13712" spans="6:12">
      <c r="H13712" t="s">
        <v>23883</v>
      </c>
      <c r="I13712" t="s">
        <v>1357</v>
      </c>
      <c r="J13712" t="s">
        <v>1357</v>
      </c>
      <c r="K13712" t="s">
        <v>1357</v>
      </c>
      <c r="L13712" t="s">
        <v>1357</v>
      </c>
    </row>
    <row r="13713" spans="6:12">
      <c r="H13713" t="s">
        <v>23264</v>
      </c>
      <c r="I13713" t="s">
        <v>1357</v>
      </c>
      <c r="J13713" t="s">
        <v>1357</v>
      </c>
      <c r="K13713" t="s">
        <v>1357</v>
      </c>
      <c r="L13713" t="s">
        <v>1357</v>
      </c>
    </row>
    <row r="13714" spans="6:12">
      <c r="H13714" t="s">
        <v>23263</v>
      </c>
      <c r="I13714" t="s">
        <v>1357</v>
      </c>
      <c r="J13714" t="s">
        <v>1357</v>
      </c>
      <c r="K13714" t="s">
        <v>1357</v>
      </c>
      <c r="L13714" t="s">
        <v>1357</v>
      </c>
    </row>
    <row r="13715" spans="6:12">
      <c r="H13715" t="s">
        <v>23262</v>
      </c>
      <c r="I13715" t="s">
        <v>1357</v>
      </c>
      <c r="J13715" t="s">
        <v>1357</v>
      </c>
      <c r="K13715" t="s">
        <v>1357</v>
      </c>
      <c r="L13715" t="s">
        <v>1357</v>
      </c>
    </row>
    <row r="13716" spans="6:12">
      <c r="H13716" t="s">
        <v>23267</v>
      </c>
      <c r="I13716" t="s">
        <v>1357</v>
      </c>
      <c r="J13716" t="s">
        <v>1357</v>
      </c>
      <c r="K13716" t="s">
        <v>1357</v>
      </c>
      <c r="L13716" t="s">
        <v>1357</v>
      </c>
    </row>
    <row r="13717" spans="6:12">
      <c r="H13717" t="s">
        <v>23266</v>
      </c>
      <c r="I13717" t="s">
        <v>1357</v>
      </c>
      <c r="J13717" t="s">
        <v>1357</v>
      </c>
      <c r="K13717" t="s">
        <v>1357</v>
      </c>
      <c r="L13717" t="s">
        <v>1357</v>
      </c>
    </row>
    <row r="13718" spans="6:12">
      <c r="H13718" t="s">
        <v>23265</v>
      </c>
      <c r="I13718" t="s">
        <v>1357</v>
      </c>
      <c r="J13718" t="s">
        <v>1357</v>
      </c>
      <c r="K13718" t="s">
        <v>1357</v>
      </c>
      <c r="L13718" t="s">
        <v>1357</v>
      </c>
    </row>
    <row r="13719" spans="6:12">
      <c r="H13719" t="s">
        <v>23884</v>
      </c>
      <c r="I13719" t="s">
        <v>1357</v>
      </c>
      <c r="J13719" t="s">
        <v>1357</v>
      </c>
      <c r="K13719" t="s">
        <v>1357</v>
      </c>
      <c r="L13719" t="s">
        <v>1357</v>
      </c>
    </row>
    <row r="13720" spans="6:12">
      <c r="F13720" t="s">
        <v>16617</v>
      </c>
      <c r="G13720" t="s">
        <v>19257</v>
      </c>
      <c r="H13720" t="s">
        <v>23844</v>
      </c>
      <c r="I13720" t="s">
        <v>1357</v>
      </c>
      <c r="J13720" t="s">
        <v>1357</v>
      </c>
      <c r="K13720" t="s">
        <v>1357</v>
      </c>
      <c r="L13720" t="s">
        <v>1357</v>
      </c>
    </row>
    <row r="13721" spans="6:12">
      <c r="H13721" t="s">
        <v>23845</v>
      </c>
      <c r="I13721" t="s">
        <v>1357</v>
      </c>
      <c r="J13721" t="s">
        <v>1357</v>
      </c>
      <c r="K13721" t="s">
        <v>1357</v>
      </c>
      <c r="L13721" t="s">
        <v>1357</v>
      </c>
    </row>
    <row r="13722" spans="6:12">
      <c r="H13722" t="s">
        <v>23846</v>
      </c>
      <c r="I13722" t="s">
        <v>1357</v>
      </c>
      <c r="J13722" t="s">
        <v>1357</v>
      </c>
      <c r="K13722" t="s">
        <v>1357</v>
      </c>
      <c r="L13722" t="s">
        <v>1357</v>
      </c>
    </row>
    <row r="13723" spans="6:12">
      <c r="H13723" t="s">
        <v>23847</v>
      </c>
      <c r="I13723" t="s">
        <v>1357</v>
      </c>
      <c r="J13723" t="s">
        <v>1357</v>
      </c>
      <c r="K13723" t="s">
        <v>1357</v>
      </c>
      <c r="L13723" t="s">
        <v>1357</v>
      </c>
    </row>
    <row r="13724" spans="6:12">
      <c r="H13724" t="s">
        <v>23848</v>
      </c>
      <c r="I13724" t="s">
        <v>1357</v>
      </c>
      <c r="J13724" t="s">
        <v>1357</v>
      </c>
      <c r="K13724" t="s">
        <v>1357</v>
      </c>
      <c r="L13724" t="s">
        <v>1357</v>
      </c>
    </row>
    <row r="13725" spans="6:12">
      <c r="H13725" t="s">
        <v>23849</v>
      </c>
      <c r="I13725" t="s">
        <v>1357</v>
      </c>
      <c r="J13725" t="s">
        <v>1357</v>
      </c>
      <c r="K13725" t="s">
        <v>1357</v>
      </c>
      <c r="L13725" t="s">
        <v>1357</v>
      </c>
    </row>
    <row r="13726" spans="6:12">
      <c r="H13726" t="s">
        <v>23850</v>
      </c>
      <c r="I13726" t="s">
        <v>1357</v>
      </c>
      <c r="J13726" t="s">
        <v>1357</v>
      </c>
      <c r="K13726" t="s">
        <v>1357</v>
      </c>
      <c r="L13726" t="s">
        <v>1357</v>
      </c>
    </row>
    <row r="13727" spans="6:12">
      <c r="F13727" t="s">
        <v>16493</v>
      </c>
      <c r="G13727" t="s">
        <v>19152</v>
      </c>
      <c r="H13727" t="s">
        <v>23293</v>
      </c>
      <c r="I13727" t="s">
        <v>1357</v>
      </c>
      <c r="J13727" t="s">
        <v>1357</v>
      </c>
      <c r="K13727" t="s">
        <v>1357</v>
      </c>
      <c r="L13727" t="s">
        <v>1357</v>
      </c>
    </row>
    <row r="13728" spans="6:12">
      <c r="H13728" t="s">
        <v>23294</v>
      </c>
      <c r="I13728" t="s">
        <v>1357</v>
      </c>
      <c r="J13728" t="s">
        <v>1357</v>
      </c>
      <c r="K13728" t="s">
        <v>1357</v>
      </c>
      <c r="L13728" t="s">
        <v>1357</v>
      </c>
    </row>
    <row r="13729" spans="1:12">
      <c r="F13729" t="s">
        <v>16616</v>
      </c>
      <c r="G13729" t="s">
        <v>19256</v>
      </c>
      <c r="H13729" t="s">
        <v>795</v>
      </c>
      <c r="I13729" t="s">
        <v>1357</v>
      </c>
      <c r="J13729" t="s">
        <v>1357</v>
      </c>
      <c r="K13729" t="s">
        <v>1357</v>
      </c>
      <c r="L13729" t="s">
        <v>1357</v>
      </c>
    </row>
    <row r="13730" spans="1:12">
      <c r="H13730" t="s">
        <v>23841</v>
      </c>
      <c r="I13730" t="s">
        <v>1357</v>
      </c>
      <c r="J13730" t="s">
        <v>1357</v>
      </c>
      <c r="K13730" t="s">
        <v>1357</v>
      </c>
      <c r="L13730" t="s">
        <v>1357</v>
      </c>
    </row>
    <row r="13731" spans="1:12">
      <c r="H13731" t="s">
        <v>23842</v>
      </c>
      <c r="I13731" t="s">
        <v>1357</v>
      </c>
      <c r="J13731" t="s">
        <v>1357</v>
      </c>
      <c r="K13731" t="s">
        <v>1357</v>
      </c>
      <c r="L13731" t="s">
        <v>1357</v>
      </c>
    </row>
    <row r="13732" spans="1:12">
      <c r="A13732" t="s">
        <v>11052</v>
      </c>
      <c r="B13732">
        <f>HYPERLINK("https://android.googlesource.com/platform/cts/+/9237adeb4a6000c461bcdb8c78b8cf9e65e549e4", "9237adeb4a6000c461bcdb8c78b8cf9e65e549e4")</f>
        <v>0</v>
      </c>
      <c r="C13732">
        <f>HYPERLINK("https://android.googlesource.com/platform/cts/+/8120aad04030115551af13ac20d68f2557add000", "8120aad04030115551af13ac20d68f2557add000")</f>
        <v>0</v>
      </c>
      <c r="D13732" t="s">
        <v>12183</v>
      </c>
      <c r="E13732" t="s">
        <v>13580</v>
      </c>
      <c r="F13732" t="s">
        <v>16674</v>
      </c>
      <c r="G13732" t="s">
        <v>19307</v>
      </c>
      <c r="H13732" t="s">
        <v>901</v>
      </c>
      <c r="I13732" t="s">
        <v>1357</v>
      </c>
      <c r="J13732" t="s">
        <v>1357</v>
      </c>
      <c r="K13732" t="s">
        <v>1357</v>
      </c>
      <c r="L13732" t="s">
        <v>1357</v>
      </c>
    </row>
    <row r="13733" spans="1:12">
      <c r="A13733" t="s">
        <v>11053</v>
      </c>
      <c r="B13733">
        <f>HYPERLINK("https://android.googlesource.com/platform/cts/+/e17aa4c7c0ce302d86af83a8254e7fe037c794a6", "e17aa4c7c0ce302d86af83a8254e7fe037c794a6")</f>
        <v>0</v>
      </c>
      <c r="C13733">
        <f>HYPERLINK("https://android.googlesource.com/platform/cts/+/8120aad04030115551af13ac20d68f2557add000", "8120aad04030115551af13ac20d68f2557add000")</f>
        <v>0</v>
      </c>
      <c r="D13733" t="s">
        <v>12183</v>
      </c>
      <c r="E13733" t="s">
        <v>13581</v>
      </c>
      <c r="F13733" t="s">
        <v>16675</v>
      </c>
      <c r="G13733" t="s">
        <v>19308</v>
      </c>
      <c r="H13733" t="s">
        <v>24023</v>
      </c>
      <c r="I13733" t="s">
        <v>1357</v>
      </c>
      <c r="J13733" t="s">
        <v>1357</v>
      </c>
      <c r="K13733" t="s">
        <v>1357</v>
      </c>
      <c r="L13733" t="s">
        <v>1357</v>
      </c>
    </row>
    <row r="13734" spans="1:12">
      <c r="A13734" t="s">
        <v>11054</v>
      </c>
      <c r="B13734">
        <f>HYPERLINK("https://android.googlesource.com/platform/cts/+/5584f6efc6f454b053f4a4ac2ecdc4be0dff15be", "5584f6efc6f454b053f4a4ac2ecdc4be0dff15be")</f>
        <v>0</v>
      </c>
      <c r="C13734">
        <f>HYPERLINK("https://android.googlesource.com/platform/cts/+/0eff16732452266be698cae749d5bd47e4997d10", "0eff16732452266be698cae749d5bd47e4997d10")</f>
        <v>0</v>
      </c>
      <c r="D13734" t="s">
        <v>12102</v>
      </c>
      <c r="E13734" t="s">
        <v>13582</v>
      </c>
      <c r="F13734" t="s">
        <v>16676</v>
      </c>
      <c r="G13734" t="s">
        <v>19309</v>
      </c>
      <c r="H13734" t="s">
        <v>24024</v>
      </c>
      <c r="I13734" t="s">
        <v>1357</v>
      </c>
      <c r="J13734" t="s">
        <v>1357</v>
      </c>
      <c r="K13734" t="s">
        <v>1357</v>
      </c>
      <c r="L13734" t="s">
        <v>1357</v>
      </c>
    </row>
    <row r="13735" spans="1:12">
      <c r="A13735" t="s">
        <v>11055</v>
      </c>
      <c r="B13735">
        <f>HYPERLINK("https://android.googlesource.com/platform/cts/+/f254a057a51c7e3ca25496fd441b599526b5b3f9", "f254a057a51c7e3ca25496fd441b599526b5b3f9")</f>
        <v>0</v>
      </c>
      <c r="C13735">
        <f>HYPERLINK("https://android.googlesource.com/platform/cts/+/a6c3408430de80f61c5e7c10971266c08e32193b", "a6c3408430de80f61c5e7c10971266c08e32193b")</f>
        <v>0</v>
      </c>
      <c r="D13735" t="s">
        <v>12296</v>
      </c>
      <c r="E13735" t="s">
        <v>13583</v>
      </c>
      <c r="F13735" t="s">
        <v>16666</v>
      </c>
      <c r="G13735" t="s">
        <v>18758</v>
      </c>
      <c r="H13735" t="s">
        <v>24014</v>
      </c>
      <c r="I13735" t="s">
        <v>1357</v>
      </c>
      <c r="J13735" t="s">
        <v>1357</v>
      </c>
      <c r="K13735" t="s">
        <v>1357</v>
      </c>
      <c r="L13735" t="s">
        <v>1357</v>
      </c>
    </row>
    <row r="13736" spans="1:12">
      <c r="A13736" t="s">
        <v>11056</v>
      </c>
      <c r="B13736">
        <f>HYPERLINK("https://android.googlesource.com/platform/cts/+/4c2d2ae1919ef4ddc02cb964f9ef6a4cc1f5cbe7", "4c2d2ae1919ef4ddc02cb964f9ef6a4cc1f5cbe7")</f>
        <v>0</v>
      </c>
      <c r="C13736">
        <f>HYPERLINK("https://android.googlesource.com/platform/cts/+/3ccc176ac71fb14a9a64609d384276b886f9ae6e", "3ccc176ac71fb14a9a64609d384276b886f9ae6e")</f>
        <v>0</v>
      </c>
      <c r="D13736" t="s">
        <v>12118</v>
      </c>
      <c r="E13736" t="s">
        <v>13584</v>
      </c>
      <c r="F13736" t="s">
        <v>16677</v>
      </c>
      <c r="G13736" t="s">
        <v>19310</v>
      </c>
      <c r="H13736" t="s">
        <v>24025</v>
      </c>
      <c r="I13736" t="s">
        <v>1357</v>
      </c>
      <c r="J13736" t="s">
        <v>1357</v>
      </c>
      <c r="K13736" t="s">
        <v>1357</v>
      </c>
      <c r="L13736" t="s">
        <v>1357</v>
      </c>
    </row>
    <row r="13737" spans="1:12">
      <c r="H13737" t="s">
        <v>24026</v>
      </c>
      <c r="I13737" t="s">
        <v>1357</v>
      </c>
      <c r="J13737" t="s">
        <v>1357</v>
      </c>
      <c r="K13737" t="s">
        <v>1357</v>
      </c>
      <c r="L13737" t="s">
        <v>1357</v>
      </c>
    </row>
    <row r="13738" spans="1:12">
      <c r="H13738" t="s">
        <v>24027</v>
      </c>
      <c r="I13738" t="s">
        <v>1357</v>
      </c>
      <c r="J13738" t="s">
        <v>1357</v>
      </c>
      <c r="K13738" t="s">
        <v>1357</v>
      </c>
      <c r="L13738" t="s">
        <v>1357</v>
      </c>
    </row>
    <row r="13739" spans="1:12">
      <c r="H13739" t="s">
        <v>24028</v>
      </c>
      <c r="I13739" t="s">
        <v>1357</v>
      </c>
      <c r="J13739" t="s">
        <v>1357</v>
      </c>
      <c r="K13739" t="s">
        <v>1357</v>
      </c>
      <c r="L13739" t="s">
        <v>1357</v>
      </c>
    </row>
    <row r="13740" spans="1:12">
      <c r="H13740" t="s">
        <v>24029</v>
      </c>
      <c r="I13740" t="s">
        <v>1357</v>
      </c>
      <c r="J13740" t="s">
        <v>1357</v>
      </c>
      <c r="K13740" t="s">
        <v>1357</v>
      </c>
      <c r="L13740" t="s">
        <v>1357</v>
      </c>
    </row>
    <row r="13741" spans="1:12">
      <c r="A13741" t="s">
        <v>11057</v>
      </c>
      <c r="B13741">
        <f>HYPERLINK("https://android.googlesource.com/platform/cts/+/68d197d905293ed957c53eeeb8a5b6bf6ea79874", "68d197d905293ed957c53eeeb8a5b6bf6ea79874")</f>
        <v>0</v>
      </c>
      <c r="C13741">
        <f>HYPERLINK("https://android.googlesource.com/platform/cts/+/298e9fc1860f1e59b68d18eb92a061b4dbff7f30", "298e9fc1860f1e59b68d18eb92a061b4dbff7f30")</f>
        <v>0</v>
      </c>
      <c r="D13741" t="s">
        <v>12298</v>
      </c>
      <c r="E13741" t="s">
        <v>13585</v>
      </c>
      <c r="F13741" t="s">
        <v>16074</v>
      </c>
      <c r="G13741" t="s">
        <v>18764</v>
      </c>
      <c r="H13741" t="s">
        <v>24030</v>
      </c>
      <c r="I13741" t="s">
        <v>1358</v>
      </c>
      <c r="J13741" t="s">
        <v>1358</v>
      </c>
      <c r="K13741" t="s">
        <v>1358</v>
      </c>
      <c r="L13741" t="s">
        <v>1358</v>
      </c>
    </row>
    <row r="13742" spans="1:12">
      <c r="A13742" t="s">
        <v>11058</v>
      </c>
      <c r="B13742">
        <f>HYPERLINK("https://android.googlesource.com/platform/cts/+/9fd7be89f76935d526d08d34349ae0f036e54c7c", "9fd7be89f76935d526d08d34349ae0f036e54c7c")</f>
        <v>0</v>
      </c>
      <c r="C13742">
        <f>HYPERLINK("https://android.googlesource.com/platform/cts/+/5aabe5ef120a8b27405be157e865551098911c97", "5aabe5ef120a8b27405be157e865551098911c97")</f>
        <v>0</v>
      </c>
      <c r="D13742" t="s">
        <v>12299</v>
      </c>
      <c r="E13742" t="s">
        <v>13453</v>
      </c>
      <c r="F13742" t="s">
        <v>16241</v>
      </c>
      <c r="G13742" t="s">
        <v>18917</v>
      </c>
      <c r="H13742" t="s">
        <v>23640</v>
      </c>
      <c r="I13742" t="s">
        <v>1357</v>
      </c>
      <c r="J13742" t="s">
        <v>1357</v>
      </c>
      <c r="K13742" t="s">
        <v>1357</v>
      </c>
      <c r="L13742" t="s">
        <v>1357</v>
      </c>
    </row>
    <row r="13743" spans="1:12">
      <c r="A13743" t="s">
        <v>11059</v>
      </c>
      <c r="B13743">
        <f>HYPERLINK("https://android.googlesource.com/platform/cts/+/d62e80d63800df84590e2926451ccc76929431e4", "d62e80d63800df84590e2926451ccc76929431e4")</f>
        <v>0</v>
      </c>
      <c r="C13743">
        <f>HYPERLINK("https://android.googlesource.com/platform/cts/+/fdaa2581410956db77b46ae969dd70df75d04c29", "fdaa2581410956db77b46ae969dd70df75d04c29")</f>
        <v>0</v>
      </c>
      <c r="D13743" t="s">
        <v>12117</v>
      </c>
      <c r="E13743" t="s">
        <v>13586</v>
      </c>
      <c r="F13743" t="s">
        <v>16678</v>
      </c>
      <c r="G13743" t="s">
        <v>19311</v>
      </c>
      <c r="H13743" t="s">
        <v>24031</v>
      </c>
      <c r="I13743" t="s">
        <v>1357</v>
      </c>
      <c r="J13743" t="s">
        <v>1357</v>
      </c>
      <c r="K13743" t="s">
        <v>1357</v>
      </c>
      <c r="L13743" t="s">
        <v>1357</v>
      </c>
    </row>
    <row r="13744" spans="1:12">
      <c r="H13744" t="s">
        <v>24032</v>
      </c>
      <c r="I13744" t="s">
        <v>1357</v>
      </c>
      <c r="J13744" t="s">
        <v>1357</v>
      </c>
      <c r="K13744" t="s">
        <v>1357</v>
      </c>
      <c r="L13744" t="s">
        <v>1357</v>
      </c>
    </row>
    <row r="13745" spans="8:12">
      <c r="H13745" t="s">
        <v>24033</v>
      </c>
      <c r="I13745" t="s">
        <v>1357</v>
      </c>
      <c r="J13745" t="s">
        <v>1357</v>
      </c>
      <c r="K13745" t="s">
        <v>1357</v>
      </c>
      <c r="L13745" t="s">
        <v>1357</v>
      </c>
    </row>
    <row r="13746" spans="8:12">
      <c r="H13746" t="s">
        <v>24034</v>
      </c>
      <c r="I13746" t="s">
        <v>1357</v>
      </c>
      <c r="J13746" t="s">
        <v>1357</v>
      </c>
      <c r="K13746" t="s">
        <v>1357</v>
      </c>
      <c r="L13746" t="s">
        <v>1357</v>
      </c>
    </row>
    <row r="13747" spans="8:12">
      <c r="H13747" t="s">
        <v>24035</v>
      </c>
      <c r="I13747" t="s">
        <v>1357</v>
      </c>
      <c r="J13747" t="s">
        <v>1357</v>
      </c>
      <c r="K13747" t="s">
        <v>1357</v>
      </c>
      <c r="L13747" t="s">
        <v>1357</v>
      </c>
    </row>
    <row r="13748" spans="8:12">
      <c r="H13748" t="s">
        <v>24036</v>
      </c>
      <c r="I13748" t="s">
        <v>1357</v>
      </c>
      <c r="J13748" t="s">
        <v>1357</v>
      </c>
      <c r="K13748" t="s">
        <v>1357</v>
      </c>
      <c r="L13748" t="s">
        <v>1357</v>
      </c>
    </row>
    <row r="13749" spans="8:12">
      <c r="H13749" t="s">
        <v>24037</v>
      </c>
      <c r="I13749" t="s">
        <v>1357</v>
      </c>
      <c r="J13749" t="s">
        <v>1357</v>
      </c>
      <c r="K13749" t="s">
        <v>1357</v>
      </c>
      <c r="L13749" t="s">
        <v>1357</v>
      </c>
    </row>
    <row r="13750" spans="8:12">
      <c r="H13750" t="s">
        <v>24038</v>
      </c>
      <c r="I13750" t="s">
        <v>1357</v>
      </c>
      <c r="J13750" t="s">
        <v>1357</v>
      </c>
      <c r="K13750" t="s">
        <v>1357</v>
      </c>
      <c r="L13750" t="s">
        <v>1357</v>
      </c>
    </row>
    <row r="13751" spans="8:12">
      <c r="H13751" t="s">
        <v>24039</v>
      </c>
      <c r="I13751" t="s">
        <v>1357</v>
      </c>
      <c r="J13751" t="s">
        <v>1357</v>
      </c>
      <c r="K13751" t="s">
        <v>1357</v>
      </c>
      <c r="L13751" t="s">
        <v>1357</v>
      </c>
    </row>
    <row r="13752" spans="8:12">
      <c r="H13752" t="s">
        <v>24040</v>
      </c>
      <c r="I13752" t="s">
        <v>1357</v>
      </c>
      <c r="J13752" t="s">
        <v>1357</v>
      </c>
      <c r="K13752" t="s">
        <v>1357</v>
      </c>
      <c r="L13752" t="s">
        <v>1357</v>
      </c>
    </row>
    <row r="13753" spans="8:12">
      <c r="H13753" t="s">
        <v>24041</v>
      </c>
      <c r="I13753" t="s">
        <v>1357</v>
      </c>
      <c r="J13753" t="s">
        <v>1357</v>
      </c>
      <c r="K13753" t="s">
        <v>1357</v>
      </c>
      <c r="L13753" t="s">
        <v>1357</v>
      </c>
    </row>
    <row r="13754" spans="8:12">
      <c r="H13754" t="s">
        <v>24042</v>
      </c>
      <c r="I13754" t="s">
        <v>1357</v>
      </c>
      <c r="J13754" t="s">
        <v>1357</v>
      </c>
      <c r="K13754" t="s">
        <v>1357</v>
      </c>
      <c r="L13754" t="s">
        <v>1357</v>
      </c>
    </row>
    <row r="13755" spans="8:12">
      <c r="H13755" t="s">
        <v>24043</v>
      </c>
      <c r="I13755" t="s">
        <v>1357</v>
      </c>
      <c r="J13755" t="s">
        <v>1357</v>
      </c>
      <c r="K13755" t="s">
        <v>1357</v>
      </c>
      <c r="L13755" t="s">
        <v>1357</v>
      </c>
    </row>
    <row r="13756" spans="8:12">
      <c r="H13756" t="s">
        <v>24044</v>
      </c>
      <c r="I13756" t="s">
        <v>1357</v>
      </c>
      <c r="J13756" t="s">
        <v>1357</v>
      </c>
      <c r="K13756" t="s">
        <v>1357</v>
      </c>
      <c r="L13756" t="s">
        <v>1357</v>
      </c>
    </row>
    <row r="13757" spans="8:12">
      <c r="H13757" t="s">
        <v>24045</v>
      </c>
      <c r="I13757" t="s">
        <v>1357</v>
      </c>
      <c r="J13757" t="s">
        <v>1357</v>
      </c>
      <c r="K13757" t="s">
        <v>1357</v>
      </c>
      <c r="L13757" t="s">
        <v>1357</v>
      </c>
    </row>
    <row r="13758" spans="8:12">
      <c r="H13758" t="s">
        <v>24046</v>
      </c>
      <c r="I13758" t="s">
        <v>1357</v>
      </c>
      <c r="J13758" t="s">
        <v>1357</v>
      </c>
      <c r="K13758" t="s">
        <v>1357</v>
      </c>
      <c r="L13758" t="s">
        <v>1357</v>
      </c>
    </row>
    <row r="13759" spans="8:12">
      <c r="H13759" t="s">
        <v>24047</v>
      </c>
      <c r="I13759" t="s">
        <v>1357</v>
      </c>
      <c r="J13759" t="s">
        <v>1357</v>
      </c>
      <c r="K13759" t="s">
        <v>1357</v>
      </c>
      <c r="L13759" t="s">
        <v>1357</v>
      </c>
    </row>
    <row r="13760" spans="8:12">
      <c r="H13760" t="s">
        <v>24048</v>
      </c>
      <c r="I13760" t="s">
        <v>1357</v>
      </c>
      <c r="J13760" t="s">
        <v>1357</v>
      </c>
      <c r="K13760" t="s">
        <v>1357</v>
      </c>
      <c r="L13760" t="s">
        <v>1357</v>
      </c>
    </row>
    <row r="13761" spans="1:13">
      <c r="H13761" t="s">
        <v>24049</v>
      </c>
      <c r="I13761" t="s">
        <v>1357</v>
      </c>
      <c r="J13761" t="s">
        <v>1357</v>
      </c>
      <c r="K13761" t="s">
        <v>1357</v>
      </c>
      <c r="L13761" t="s">
        <v>1357</v>
      </c>
    </row>
    <row r="13762" spans="1:13">
      <c r="H13762" t="s">
        <v>24050</v>
      </c>
      <c r="I13762" t="s">
        <v>1357</v>
      </c>
      <c r="J13762" t="s">
        <v>1357</v>
      </c>
      <c r="K13762" t="s">
        <v>1357</v>
      </c>
      <c r="L13762" t="s">
        <v>1357</v>
      </c>
    </row>
    <row r="13763" spans="1:13">
      <c r="H13763" t="s">
        <v>24051</v>
      </c>
      <c r="I13763" t="s">
        <v>1357</v>
      </c>
      <c r="J13763" t="s">
        <v>1357</v>
      </c>
      <c r="K13763" t="s">
        <v>1357</v>
      </c>
      <c r="L13763" t="s">
        <v>1357</v>
      </c>
    </row>
    <row r="13764" spans="1:13">
      <c r="A13764" t="s">
        <v>11060</v>
      </c>
      <c r="B13764">
        <f>HYPERLINK("https://android.googlesource.com/platform/cts/+/7b461aa75d595e23a1bdecfff1dd7a5b279e2f37", "7b461aa75d595e23a1bdecfff1dd7a5b279e2f37")</f>
        <v>0</v>
      </c>
      <c r="C13764">
        <f>HYPERLINK("https://android.googlesource.com/platform/cts/+/a37bdc77455dc6be0be2b8321c8e2fc4bbd7c5e8", "a37bdc77455dc6be0be2b8321c8e2fc4bbd7c5e8")</f>
        <v>0</v>
      </c>
      <c r="D13764" t="s">
        <v>12300</v>
      </c>
      <c r="E13764" t="s">
        <v>13587</v>
      </c>
      <c r="F13764" t="s">
        <v>16679</v>
      </c>
      <c r="G13764" t="s">
        <v>17420</v>
      </c>
      <c r="H13764" t="s">
        <v>24052</v>
      </c>
      <c r="I13764" t="s">
        <v>1357</v>
      </c>
      <c r="J13764" t="s">
        <v>1357</v>
      </c>
      <c r="K13764" t="s">
        <v>1357</v>
      </c>
      <c r="L13764" t="s">
        <v>1357</v>
      </c>
    </row>
    <row r="13765" spans="1:13">
      <c r="A13765" t="s">
        <v>11061</v>
      </c>
      <c r="B13765">
        <f>HYPERLINK("https://android.googlesource.com/platform/cts/+/263fd9852838d90de620b8ca33e9d885f99339b6", "263fd9852838d90de620b8ca33e9d885f99339b6")</f>
        <v>0</v>
      </c>
      <c r="C13765">
        <f>HYPERLINK("https://android.googlesource.com/platform/cts/+/056907a75762e2beaaf0c2bb57b95f55a3d01b0e", "056907a75762e2beaaf0c2bb57b95f55a3d01b0e")</f>
        <v>0</v>
      </c>
      <c r="D13765" t="s">
        <v>12300</v>
      </c>
      <c r="E13765" t="s">
        <v>13588</v>
      </c>
      <c r="F13765" t="s">
        <v>16679</v>
      </c>
      <c r="G13765" t="s">
        <v>17420</v>
      </c>
      <c r="H13765" t="s">
        <v>24052</v>
      </c>
      <c r="I13765" t="s">
        <v>1357</v>
      </c>
      <c r="J13765" t="s">
        <v>1357</v>
      </c>
      <c r="K13765" t="s">
        <v>1357</v>
      </c>
      <c r="L13765" t="s">
        <v>1357</v>
      </c>
      <c r="M13765" t="s">
        <v>9957</v>
      </c>
    </row>
    <row r="13766" spans="1:13">
      <c r="A13766" t="s">
        <v>11062</v>
      </c>
      <c r="B13766">
        <f>HYPERLINK("https://android.googlesource.com/platform/cts/+/9d9091092eb19d636be723fb85ef95c89989343a", "9d9091092eb19d636be723fb85ef95c89989343a")</f>
        <v>0</v>
      </c>
      <c r="C13766">
        <f>HYPERLINK("https://android.googlesource.com/platform/cts/+/2f3ddc5630f9a06be9b1a4845323d353d26fccce", "2f3ddc5630f9a06be9b1a4845323d353d26fccce")</f>
        <v>0</v>
      </c>
      <c r="D13766" t="s">
        <v>12301</v>
      </c>
      <c r="E13766" t="s">
        <v>13589</v>
      </c>
      <c r="F13766" t="s">
        <v>16680</v>
      </c>
      <c r="G13766" t="s">
        <v>19312</v>
      </c>
      <c r="H13766" t="s">
        <v>24053</v>
      </c>
      <c r="I13766" t="s">
        <v>1357</v>
      </c>
      <c r="J13766" t="s">
        <v>1357</v>
      </c>
      <c r="K13766" t="s">
        <v>1357</v>
      </c>
      <c r="L13766" t="s">
        <v>1357</v>
      </c>
    </row>
    <row r="13767" spans="1:13">
      <c r="A13767" t="s">
        <v>11063</v>
      </c>
      <c r="B13767">
        <f>HYPERLINK("https://android.googlesource.com/platform/cts/+/6426497aac945a3b98c5f5191b9c2ac366d221e9", "6426497aac945a3b98c5f5191b9c2ac366d221e9")</f>
        <v>0</v>
      </c>
      <c r="C13767">
        <f>HYPERLINK("https://android.googlesource.com/platform/cts/+/a33cab94c9b1d11807afe3301034fca77879d9d4", "a33cab94c9b1d11807afe3301034fca77879d9d4")</f>
        <v>0</v>
      </c>
      <c r="D13767" t="s">
        <v>12302</v>
      </c>
      <c r="E13767" t="s">
        <v>13590</v>
      </c>
      <c r="F13767" t="s">
        <v>16681</v>
      </c>
      <c r="G13767" t="s">
        <v>19313</v>
      </c>
      <c r="H13767" t="s">
        <v>24054</v>
      </c>
      <c r="I13767" t="s">
        <v>1357</v>
      </c>
      <c r="J13767" t="s">
        <v>1357</v>
      </c>
      <c r="K13767" t="s">
        <v>1357</v>
      </c>
      <c r="L13767" t="s">
        <v>1357</v>
      </c>
    </row>
    <row r="13768" spans="1:13">
      <c r="A13768" t="s">
        <v>11064</v>
      </c>
      <c r="B13768">
        <f>HYPERLINK("https://android.googlesource.com/platform/cts/+/86a0e784f75d160243c12407843bd2f3974b4cd0", "86a0e784f75d160243c12407843bd2f3974b4cd0")</f>
        <v>0</v>
      </c>
      <c r="C13768">
        <f>HYPERLINK("https://android.googlesource.com/platform/cts/+/3838652df170db625544812a3e327b43b1b66d79", "3838652df170db625544812a3e327b43b1b66d79")</f>
        <v>0</v>
      </c>
      <c r="D13768" t="s">
        <v>12163</v>
      </c>
      <c r="E13768" t="s">
        <v>13591</v>
      </c>
      <c r="F13768" t="s">
        <v>16682</v>
      </c>
      <c r="G13768" t="s">
        <v>19314</v>
      </c>
      <c r="H13768" t="s">
        <v>24055</v>
      </c>
      <c r="I13768" t="s">
        <v>1357</v>
      </c>
      <c r="J13768" t="s">
        <v>1357</v>
      </c>
      <c r="K13768" t="s">
        <v>1357</v>
      </c>
      <c r="L13768" t="s">
        <v>1357</v>
      </c>
    </row>
    <row r="13769" spans="1:13">
      <c r="A13769" t="s">
        <v>11065</v>
      </c>
      <c r="B13769">
        <f>HYPERLINK("https://android.googlesource.com/platform/cts/+/814edd52037ebde50dea49a2b9fb80e9abf14948", "814edd52037ebde50dea49a2b9fb80e9abf14948")</f>
        <v>0</v>
      </c>
      <c r="C13769">
        <f>HYPERLINK("https://android.googlesource.com/platform/cts/+/6d8dcb3f50cae8f79f33d3491d0bbc7566af3601", "6d8dcb3f50cae8f79f33d3491d0bbc7566af3601")</f>
        <v>0</v>
      </c>
      <c r="D13769" t="s">
        <v>12303</v>
      </c>
      <c r="E13769" t="s">
        <v>13592</v>
      </c>
      <c r="F13769" t="s">
        <v>16683</v>
      </c>
      <c r="G13769" t="s">
        <v>19315</v>
      </c>
      <c r="H13769" t="s">
        <v>24056</v>
      </c>
      <c r="I13769" t="s">
        <v>1357</v>
      </c>
      <c r="J13769" t="s">
        <v>1357</v>
      </c>
      <c r="K13769" t="s">
        <v>1357</v>
      </c>
      <c r="L13769" t="s">
        <v>1357</v>
      </c>
    </row>
    <row r="13770" spans="1:13">
      <c r="H13770" t="s">
        <v>24057</v>
      </c>
      <c r="I13770" t="s">
        <v>1357</v>
      </c>
      <c r="J13770" t="s">
        <v>1357</v>
      </c>
      <c r="K13770" t="s">
        <v>1357</v>
      </c>
      <c r="L13770" t="s">
        <v>1357</v>
      </c>
    </row>
    <row r="13771" spans="1:13">
      <c r="F13771" t="s">
        <v>16684</v>
      </c>
      <c r="G13771" t="s">
        <v>19316</v>
      </c>
      <c r="H13771" t="s">
        <v>24056</v>
      </c>
      <c r="I13771" t="s">
        <v>1357</v>
      </c>
      <c r="J13771" t="s">
        <v>1357</v>
      </c>
      <c r="K13771" t="s">
        <v>1357</v>
      </c>
      <c r="L13771" t="s">
        <v>1357</v>
      </c>
    </row>
    <row r="13772" spans="1:13">
      <c r="H13772" t="s">
        <v>24057</v>
      </c>
      <c r="I13772" t="s">
        <v>1357</v>
      </c>
      <c r="J13772" t="s">
        <v>1357</v>
      </c>
      <c r="K13772" t="s">
        <v>1357</v>
      </c>
      <c r="L13772" t="s">
        <v>1357</v>
      </c>
    </row>
    <row r="13773" spans="1:13">
      <c r="F13773" t="s">
        <v>16685</v>
      </c>
      <c r="G13773" t="s">
        <v>19317</v>
      </c>
      <c r="H13773" t="s">
        <v>24056</v>
      </c>
      <c r="I13773" t="s">
        <v>1357</v>
      </c>
      <c r="J13773" t="s">
        <v>1357</v>
      </c>
      <c r="K13773" t="s">
        <v>1357</v>
      </c>
      <c r="L13773" t="s">
        <v>1357</v>
      </c>
    </row>
    <row r="13774" spans="1:13">
      <c r="H13774" t="s">
        <v>24057</v>
      </c>
      <c r="I13774" t="s">
        <v>1357</v>
      </c>
      <c r="J13774" t="s">
        <v>1357</v>
      </c>
      <c r="K13774" t="s">
        <v>1357</v>
      </c>
      <c r="L13774" t="s">
        <v>1357</v>
      </c>
    </row>
    <row r="13775" spans="1:13">
      <c r="F13775" t="s">
        <v>16686</v>
      </c>
      <c r="G13775" t="s">
        <v>19318</v>
      </c>
      <c r="H13775" t="s">
        <v>24056</v>
      </c>
      <c r="I13775" t="s">
        <v>1357</v>
      </c>
      <c r="J13775" t="s">
        <v>1357</v>
      </c>
      <c r="K13775" t="s">
        <v>1357</v>
      </c>
      <c r="L13775" t="s">
        <v>1357</v>
      </c>
    </row>
    <row r="13776" spans="1:13">
      <c r="H13776" t="s">
        <v>24057</v>
      </c>
      <c r="I13776" t="s">
        <v>1357</v>
      </c>
      <c r="J13776" t="s">
        <v>1357</v>
      </c>
      <c r="K13776" t="s">
        <v>1357</v>
      </c>
      <c r="L13776" t="s">
        <v>1357</v>
      </c>
    </row>
    <row r="13777" spans="6:12">
      <c r="F13777" t="s">
        <v>16687</v>
      </c>
      <c r="G13777" t="s">
        <v>19319</v>
      </c>
      <c r="H13777" t="s">
        <v>24056</v>
      </c>
      <c r="I13777" t="s">
        <v>1357</v>
      </c>
      <c r="J13777" t="s">
        <v>1357</v>
      </c>
      <c r="K13777" t="s">
        <v>1357</v>
      </c>
      <c r="L13777" t="s">
        <v>1357</v>
      </c>
    </row>
    <row r="13778" spans="6:12">
      <c r="H13778" t="s">
        <v>24057</v>
      </c>
      <c r="I13778" t="s">
        <v>1357</v>
      </c>
      <c r="J13778" t="s">
        <v>1357</v>
      </c>
      <c r="K13778" t="s">
        <v>1357</v>
      </c>
      <c r="L13778" t="s">
        <v>1357</v>
      </c>
    </row>
    <row r="13779" spans="6:12">
      <c r="F13779" t="s">
        <v>16688</v>
      </c>
      <c r="G13779" t="s">
        <v>19320</v>
      </c>
      <c r="H13779" t="s">
        <v>24056</v>
      </c>
      <c r="I13779" t="s">
        <v>1357</v>
      </c>
      <c r="J13779" t="s">
        <v>1357</v>
      </c>
      <c r="K13779" t="s">
        <v>1357</v>
      </c>
      <c r="L13779" t="s">
        <v>1357</v>
      </c>
    </row>
    <row r="13780" spans="6:12">
      <c r="H13780" t="s">
        <v>24057</v>
      </c>
      <c r="I13780" t="s">
        <v>1357</v>
      </c>
      <c r="J13780" t="s">
        <v>1357</v>
      </c>
      <c r="K13780" t="s">
        <v>1357</v>
      </c>
      <c r="L13780" t="s">
        <v>1357</v>
      </c>
    </row>
    <row r="13781" spans="6:12">
      <c r="F13781" t="s">
        <v>16689</v>
      </c>
      <c r="G13781" t="s">
        <v>19321</v>
      </c>
      <c r="H13781" t="s">
        <v>24056</v>
      </c>
      <c r="I13781" t="s">
        <v>1357</v>
      </c>
      <c r="J13781" t="s">
        <v>1357</v>
      </c>
      <c r="K13781" t="s">
        <v>1357</v>
      </c>
      <c r="L13781" t="s">
        <v>1357</v>
      </c>
    </row>
    <row r="13782" spans="6:12">
      <c r="H13782" t="s">
        <v>24057</v>
      </c>
      <c r="I13782" t="s">
        <v>1357</v>
      </c>
      <c r="J13782" t="s">
        <v>1357</v>
      </c>
      <c r="K13782" t="s">
        <v>1357</v>
      </c>
      <c r="L13782" t="s">
        <v>1357</v>
      </c>
    </row>
    <row r="13783" spans="6:12">
      <c r="F13783" t="s">
        <v>16690</v>
      </c>
      <c r="G13783" t="s">
        <v>19322</v>
      </c>
      <c r="H13783" t="s">
        <v>24056</v>
      </c>
      <c r="I13783" t="s">
        <v>1357</v>
      </c>
      <c r="J13783" t="s">
        <v>1357</v>
      </c>
      <c r="K13783" t="s">
        <v>1357</v>
      </c>
      <c r="L13783" t="s">
        <v>1357</v>
      </c>
    </row>
    <row r="13784" spans="6:12">
      <c r="H13784" t="s">
        <v>24057</v>
      </c>
      <c r="I13784" t="s">
        <v>1357</v>
      </c>
      <c r="J13784" t="s">
        <v>1357</v>
      </c>
      <c r="K13784" t="s">
        <v>1357</v>
      </c>
      <c r="L13784" t="s">
        <v>1357</v>
      </c>
    </row>
    <row r="13785" spans="6:12">
      <c r="F13785" t="s">
        <v>16691</v>
      </c>
      <c r="G13785" t="s">
        <v>19323</v>
      </c>
      <c r="H13785" t="s">
        <v>24056</v>
      </c>
      <c r="I13785" t="s">
        <v>1357</v>
      </c>
      <c r="J13785" t="s">
        <v>1357</v>
      </c>
      <c r="K13785" t="s">
        <v>1357</v>
      </c>
      <c r="L13785" t="s">
        <v>1357</v>
      </c>
    </row>
    <row r="13786" spans="6:12">
      <c r="H13786" t="s">
        <v>24057</v>
      </c>
      <c r="I13786" t="s">
        <v>1357</v>
      </c>
      <c r="J13786" t="s">
        <v>1357</v>
      </c>
      <c r="K13786" t="s">
        <v>1357</v>
      </c>
      <c r="L13786" t="s">
        <v>1357</v>
      </c>
    </row>
    <row r="13787" spans="6:12">
      <c r="F13787" t="s">
        <v>16692</v>
      </c>
      <c r="G13787" t="s">
        <v>19324</v>
      </c>
      <c r="H13787" t="s">
        <v>24056</v>
      </c>
      <c r="I13787" t="s">
        <v>1357</v>
      </c>
      <c r="J13787" t="s">
        <v>1357</v>
      </c>
      <c r="K13787" t="s">
        <v>1357</v>
      </c>
      <c r="L13787" t="s">
        <v>1357</v>
      </c>
    </row>
    <row r="13788" spans="6:12">
      <c r="H13788" t="s">
        <v>24057</v>
      </c>
      <c r="I13788" t="s">
        <v>1357</v>
      </c>
      <c r="J13788" t="s">
        <v>1357</v>
      </c>
      <c r="K13788" t="s">
        <v>1357</v>
      </c>
      <c r="L13788" t="s">
        <v>1357</v>
      </c>
    </row>
    <row r="13789" spans="6:12">
      <c r="F13789" t="s">
        <v>16693</v>
      </c>
      <c r="G13789" t="s">
        <v>19325</v>
      </c>
      <c r="H13789" t="s">
        <v>24056</v>
      </c>
      <c r="I13789" t="s">
        <v>1357</v>
      </c>
      <c r="J13789" t="s">
        <v>1357</v>
      </c>
      <c r="K13789" t="s">
        <v>1357</v>
      </c>
      <c r="L13789" t="s">
        <v>1357</v>
      </c>
    </row>
    <row r="13790" spans="6:12">
      <c r="H13790" t="s">
        <v>24057</v>
      </c>
      <c r="I13790" t="s">
        <v>1357</v>
      </c>
      <c r="J13790" t="s">
        <v>1357</v>
      </c>
      <c r="K13790" t="s">
        <v>1357</v>
      </c>
      <c r="L13790" t="s">
        <v>1357</v>
      </c>
    </row>
    <row r="13791" spans="6:12">
      <c r="F13791" t="s">
        <v>16694</v>
      </c>
      <c r="G13791" t="s">
        <v>19326</v>
      </c>
      <c r="H13791" t="s">
        <v>24056</v>
      </c>
      <c r="I13791" t="s">
        <v>1357</v>
      </c>
      <c r="J13791" t="s">
        <v>1357</v>
      </c>
      <c r="K13791" t="s">
        <v>1357</v>
      </c>
      <c r="L13791" t="s">
        <v>1357</v>
      </c>
    </row>
    <row r="13792" spans="6:12">
      <c r="H13792" t="s">
        <v>24057</v>
      </c>
      <c r="I13792" t="s">
        <v>1357</v>
      </c>
      <c r="J13792" t="s">
        <v>1357</v>
      </c>
      <c r="K13792" t="s">
        <v>1357</v>
      </c>
      <c r="L13792" t="s">
        <v>1357</v>
      </c>
    </row>
    <row r="13793" spans="1:12">
      <c r="F13793" t="s">
        <v>16695</v>
      </c>
      <c r="G13793" t="s">
        <v>19327</v>
      </c>
      <c r="H13793" t="s">
        <v>24056</v>
      </c>
      <c r="I13793" t="s">
        <v>1357</v>
      </c>
      <c r="J13793" t="s">
        <v>1357</v>
      </c>
      <c r="K13793" t="s">
        <v>1357</v>
      </c>
      <c r="L13793" t="s">
        <v>1357</v>
      </c>
    </row>
    <row r="13794" spans="1:12">
      <c r="H13794" t="s">
        <v>24057</v>
      </c>
      <c r="I13794" t="s">
        <v>1357</v>
      </c>
      <c r="J13794" t="s">
        <v>1357</v>
      </c>
      <c r="K13794" t="s">
        <v>1357</v>
      </c>
      <c r="L13794" t="s">
        <v>1357</v>
      </c>
    </row>
    <row r="13795" spans="1:12">
      <c r="F13795" t="s">
        <v>16696</v>
      </c>
      <c r="G13795" t="s">
        <v>19328</v>
      </c>
      <c r="H13795" t="s">
        <v>24056</v>
      </c>
      <c r="I13795" t="s">
        <v>1357</v>
      </c>
      <c r="J13795" t="s">
        <v>1357</v>
      </c>
      <c r="K13795" t="s">
        <v>1357</v>
      </c>
      <c r="L13795" t="s">
        <v>1357</v>
      </c>
    </row>
    <row r="13796" spans="1:12">
      <c r="H13796" t="s">
        <v>24057</v>
      </c>
      <c r="I13796" t="s">
        <v>1357</v>
      </c>
      <c r="J13796" t="s">
        <v>1357</v>
      </c>
      <c r="K13796" t="s">
        <v>1357</v>
      </c>
      <c r="L13796" t="s">
        <v>1357</v>
      </c>
    </row>
    <row r="13797" spans="1:12">
      <c r="F13797" t="s">
        <v>16697</v>
      </c>
      <c r="G13797" t="s">
        <v>19329</v>
      </c>
      <c r="H13797" t="s">
        <v>24056</v>
      </c>
      <c r="I13797" t="s">
        <v>1357</v>
      </c>
      <c r="J13797" t="s">
        <v>1357</v>
      </c>
      <c r="K13797" t="s">
        <v>1357</v>
      </c>
      <c r="L13797" t="s">
        <v>1357</v>
      </c>
    </row>
    <row r="13798" spans="1:12">
      <c r="H13798" t="s">
        <v>24057</v>
      </c>
      <c r="I13798" t="s">
        <v>1357</v>
      </c>
      <c r="J13798" t="s">
        <v>1357</v>
      </c>
      <c r="K13798" t="s">
        <v>1357</v>
      </c>
      <c r="L13798" t="s">
        <v>1357</v>
      </c>
    </row>
    <row r="13799" spans="1:12">
      <c r="F13799" t="s">
        <v>16698</v>
      </c>
      <c r="G13799" t="s">
        <v>19330</v>
      </c>
      <c r="H13799" t="s">
        <v>24056</v>
      </c>
      <c r="I13799" t="s">
        <v>1357</v>
      </c>
      <c r="J13799" t="s">
        <v>1357</v>
      </c>
      <c r="K13799" t="s">
        <v>1357</v>
      </c>
      <c r="L13799" t="s">
        <v>1357</v>
      </c>
    </row>
    <row r="13800" spans="1:12">
      <c r="H13800" t="s">
        <v>24057</v>
      </c>
      <c r="I13800" t="s">
        <v>1357</v>
      </c>
      <c r="J13800" t="s">
        <v>1357</v>
      </c>
      <c r="K13800" t="s">
        <v>1357</v>
      </c>
      <c r="L13800" t="s">
        <v>1357</v>
      </c>
    </row>
    <row r="13801" spans="1:12">
      <c r="F13801" t="s">
        <v>16699</v>
      </c>
      <c r="G13801" t="s">
        <v>19331</v>
      </c>
      <c r="H13801" t="s">
        <v>24056</v>
      </c>
      <c r="I13801" t="s">
        <v>1357</v>
      </c>
      <c r="J13801" t="s">
        <v>1357</v>
      </c>
      <c r="K13801" t="s">
        <v>1357</v>
      </c>
      <c r="L13801" t="s">
        <v>1357</v>
      </c>
    </row>
    <row r="13802" spans="1:12">
      <c r="H13802" t="s">
        <v>24057</v>
      </c>
      <c r="I13802" t="s">
        <v>1357</v>
      </c>
      <c r="J13802" t="s">
        <v>1357</v>
      </c>
      <c r="K13802" t="s">
        <v>1357</v>
      </c>
      <c r="L13802" t="s">
        <v>1357</v>
      </c>
    </row>
    <row r="13803" spans="1:12">
      <c r="A13803" t="s">
        <v>11066</v>
      </c>
      <c r="B13803">
        <f>HYPERLINK("https://android.googlesource.com/platform/cts/+/9071aecab39f54bafa68d664252ceba3e81f245e", "9071aecab39f54bafa68d664252ceba3e81f245e")</f>
        <v>0</v>
      </c>
      <c r="C13803">
        <f>HYPERLINK("https://android.googlesource.com/platform/cts/+/6d8dcb3f50cae8f79f33d3491d0bbc7566af3601", "6d8dcb3f50cae8f79f33d3491d0bbc7566af3601")</f>
        <v>0</v>
      </c>
      <c r="D13803" t="s">
        <v>12304</v>
      </c>
      <c r="E13803" t="s">
        <v>13593</v>
      </c>
      <c r="F13803" t="s">
        <v>16700</v>
      </c>
      <c r="G13803" t="s">
        <v>19332</v>
      </c>
      <c r="H13803" t="s">
        <v>24058</v>
      </c>
      <c r="I13803" t="s">
        <v>1358</v>
      </c>
      <c r="J13803" t="s">
        <v>1358</v>
      </c>
      <c r="K13803" t="s">
        <v>1358</v>
      </c>
      <c r="L13803" t="s">
        <v>1358</v>
      </c>
    </row>
    <row r="13804" spans="1:12">
      <c r="H13804" t="s">
        <v>24059</v>
      </c>
      <c r="I13804" t="s">
        <v>1358</v>
      </c>
      <c r="J13804" t="s">
        <v>1358</v>
      </c>
      <c r="K13804" t="s">
        <v>1358</v>
      </c>
      <c r="L13804" t="s">
        <v>1358</v>
      </c>
    </row>
    <row r="13805" spans="1:12">
      <c r="A13805" t="s">
        <v>11067</v>
      </c>
      <c r="B13805">
        <f>HYPERLINK("https://android.googlesource.com/platform/cts/+/34c1669f7d1b7d2d3248f999b04ced79c6da4c28", "34c1669f7d1b7d2d3248f999b04ced79c6da4c28")</f>
        <v>0</v>
      </c>
      <c r="C13805">
        <f>HYPERLINK("https://android.googlesource.com/platform/cts/+/0d87fda7c9078320c6efa0a06abd20cf24375222", "0d87fda7c9078320c6efa0a06abd20cf24375222")</f>
        <v>0</v>
      </c>
      <c r="D13805" t="s">
        <v>12005</v>
      </c>
      <c r="E13805" t="s">
        <v>13594</v>
      </c>
      <c r="F13805" t="s">
        <v>16701</v>
      </c>
      <c r="G13805" t="s">
        <v>19333</v>
      </c>
      <c r="H13805" t="s">
        <v>24060</v>
      </c>
      <c r="I13805" t="s">
        <v>1357</v>
      </c>
      <c r="J13805" t="s">
        <v>1357</v>
      </c>
      <c r="K13805" t="s">
        <v>1357</v>
      </c>
      <c r="L13805" t="s">
        <v>1357</v>
      </c>
    </row>
    <row r="13806" spans="1:12">
      <c r="A13806" t="s">
        <v>11068</v>
      </c>
      <c r="B13806">
        <f>HYPERLINK("https://android.googlesource.com/platform/cts/+/baa0d29a8b3add171178e1c8d60444739e3f62bd", "baa0d29a8b3add171178e1c8d60444739e3f62bd")</f>
        <v>0</v>
      </c>
      <c r="C13806">
        <f>HYPERLINK("https://android.googlesource.com/platform/cts/+/5fdcdd0246aa54056894a721a281d76abe5273cf", "5fdcdd0246aa54056894a721a281d76abe5273cf")</f>
        <v>0</v>
      </c>
      <c r="D13806" t="s">
        <v>12183</v>
      </c>
      <c r="E13806" t="s">
        <v>13595</v>
      </c>
      <c r="F13806" t="s">
        <v>16675</v>
      </c>
      <c r="G13806" t="s">
        <v>19308</v>
      </c>
      <c r="H13806" t="s">
        <v>24023</v>
      </c>
      <c r="I13806" t="s">
        <v>1357</v>
      </c>
      <c r="J13806" t="s">
        <v>1357</v>
      </c>
      <c r="K13806" t="s">
        <v>1357</v>
      </c>
      <c r="L13806" t="s">
        <v>1357</v>
      </c>
    </row>
    <row r="13807" spans="1:12">
      <c r="A13807" t="s">
        <v>11069</v>
      </c>
      <c r="B13807">
        <f>HYPERLINK("https://android.googlesource.com/platform/cts/+/79eec7ff7f65bce1814caa145de48c6d89b6a7f4", "79eec7ff7f65bce1814caa145de48c6d89b6a7f4")</f>
        <v>0</v>
      </c>
      <c r="C13807">
        <f>HYPERLINK("https://android.googlesource.com/platform/cts/+/c81749d27631ff706e0bd6e061f5f85405a4b0c5", "c81749d27631ff706e0bd6e061f5f85405a4b0c5")</f>
        <v>0</v>
      </c>
      <c r="D13807" t="s">
        <v>12305</v>
      </c>
      <c r="E13807" t="s">
        <v>13596</v>
      </c>
      <c r="F13807" t="s">
        <v>16290</v>
      </c>
      <c r="G13807" t="s">
        <v>18961</v>
      </c>
      <c r="H13807" t="s">
        <v>24061</v>
      </c>
      <c r="I13807" t="s">
        <v>1358</v>
      </c>
      <c r="J13807" t="s">
        <v>1358</v>
      </c>
      <c r="K13807" t="s">
        <v>1358</v>
      </c>
      <c r="L13807" t="s">
        <v>1358</v>
      </c>
    </row>
    <row r="13808" spans="1:12">
      <c r="A13808" t="s">
        <v>11070</v>
      </c>
      <c r="B13808">
        <f>HYPERLINK("https://android.googlesource.com/platform/cts/+/e28f1d138f354f3e32bb7f180ca8dcac807ba98e", "e28f1d138f354f3e32bb7f180ca8dcac807ba98e")</f>
        <v>0</v>
      </c>
      <c r="C13808">
        <f>HYPERLINK("https://android.googlesource.com/platform/cts/+/4c9697d822f0b595d7f53f27001ed94e57d95754", "4c9697d822f0b595d7f53f27001ed94e57d95754")</f>
        <v>0</v>
      </c>
      <c r="D13808" t="s">
        <v>12295</v>
      </c>
      <c r="E13808" t="s">
        <v>13597</v>
      </c>
      <c r="F13808" t="s">
        <v>16665</v>
      </c>
      <c r="G13808" t="s">
        <v>19299</v>
      </c>
      <c r="H13808" t="s">
        <v>24062</v>
      </c>
      <c r="I13808" t="s">
        <v>1357</v>
      </c>
      <c r="J13808" t="s">
        <v>1357</v>
      </c>
      <c r="K13808" t="s">
        <v>1357</v>
      </c>
      <c r="L13808" t="s">
        <v>1357</v>
      </c>
    </row>
    <row r="13809" spans="1:13">
      <c r="A13809" t="s">
        <v>11071</v>
      </c>
      <c r="B13809">
        <f>HYPERLINK("https://android.googlesource.com/platform/cts/+/d16a6954d193197a171635e8eb913fad85b547ce", "d16a6954d193197a171635e8eb913fad85b547ce")</f>
        <v>0</v>
      </c>
      <c r="C13809">
        <f>HYPERLINK("https://android.googlesource.com/platform/cts/+/e17f395c22a7b70e237bac66db84d0f22d4b65dd", "e17f395c22a7b70e237bac66db84d0f22d4b65dd")</f>
        <v>0</v>
      </c>
      <c r="D13809" t="s">
        <v>12306</v>
      </c>
      <c r="E13809" t="s">
        <v>13598</v>
      </c>
      <c r="F13809" t="s">
        <v>16099</v>
      </c>
      <c r="G13809" t="s">
        <v>18788</v>
      </c>
      <c r="H13809" t="s">
        <v>24063</v>
      </c>
      <c r="I13809" t="s">
        <v>1358</v>
      </c>
      <c r="J13809" t="s">
        <v>1358</v>
      </c>
      <c r="K13809" t="s">
        <v>1358</v>
      </c>
      <c r="L13809" t="s">
        <v>1358</v>
      </c>
    </row>
    <row r="13810" spans="1:13">
      <c r="A13810" t="s">
        <v>11072</v>
      </c>
      <c r="B13810">
        <f>HYPERLINK("https://android.googlesource.com/platform/cts/+/c7a5d5a5d3e6f6a6e7e05f93f4ed848ec49a687f", "c7a5d5a5d3e6f6a6e7e05f93f4ed848ec49a687f")</f>
        <v>0</v>
      </c>
      <c r="C13810">
        <f>HYPERLINK("https://android.googlesource.com/platform/cts/+/5d88e09414e0b0a1b5acbac306ea614d5087da60", "5d88e09414e0b0a1b5acbac306ea614d5087da60")</f>
        <v>0</v>
      </c>
      <c r="D13810" t="s">
        <v>12022</v>
      </c>
      <c r="E13810" t="s">
        <v>13599</v>
      </c>
      <c r="F13810" t="s">
        <v>16702</v>
      </c>
      <c r="G13810" t="s">
        <v>19334</v>
      </c>
      <c r="H13810" t="s">
        <v>24064</v>
      </c>
      <c r="I13810" t="s">
        <v>1357</v>
      </c>
      <c r="J13810" t="s">
        <v>1357</v>
      </c>
      <c r="K13810" t="s">
        <v>1357</v>
      </c>
      <c r="L13810" t="s">
        <v>1357</v>
      </c>
    </row>
    <row r="13811" spans="1:13">
      <c r="F13811" t="s">
        <v>16703</v>
      </c>
      <c r="G13811" t="s">
        <v>19335</v>
      </c>
      <c r="H13811" t="s">
        <v>24065</v>
      </c>
      <c r="I13811" t="s">
        <v>1357</v>
      </c>
      <c r="J13811" t="s">
        <v>1357</v>
      </c>
      <c r="K13811" t="s">
        <v>1357</v>
      </c>
      <c r="L13811" t="s">
        <v>1357</v>
      </c>
    </row>
    <row r="13812" spans="1:13">
      <c r="F13812" t="s">
        <v>16704</v>
      </c>
      <c r="G13812" t="s">
        <v>19336</v>
      </c>
      <c r="H13812" t="s">
        <v>24066</v>
      </c>
      <c r="I13812" t="s">
        <v>1357</v>
      </c>
      <c r="J13812" t="s">
        <v>1357</v>
      </c>
      <c r="K13812" t="s">
        <v>1357</v>
      </c>
      <c r="L13812" t="s">
        <v>1357</v>
      </c>
    </row>
    <row r="13813" spans="1:13">
      <c r="F13813" t="s">
        <v>16705</v>
      </c>
      <c r="G13813" t="s">
        <v>19337</v>
      </c>
      <c r="H13813" t="s">
        <v>24066</v>
      </c>
      <c r="I13813" t="s">
        <v>1357</v>
      </c>
      <c r="J13813" t="s">
        <v>1357</v>
      </c>
      <c r="K13813" t="s">
        <v>1357</v>
      </c>
      <c r="L13813" t="s">
        <v>1357</v>
      </c>
    </row>
    <row r="13814" spans="1:13">
      <c r="F13814" t="s">
        <v>16706</v>
      </c>
      <c r="G13814" t="s">
        <v>19338</v>
      </c>
      <c r="H13814" t="s">
        <v>24067</v>
      </c>
      <c r="I13814" t="s">
        <v>1357</v>
      </c>
      <c r="J13814" t="s">
        <v>1357</v>
      </c>
      <c r="K13814" t="s">
        <v>1357</v>
      </c>
      <c r="L13814" t="s">
        <v>1357</v>
      </c>
    </row>
    <row r="13815" spans="1:13">
      <c r="A13815" t="s">
        <v>11073</v>
      </c>
      <c r="B13815">
        <f>HYPERLINK("https://android.googlesource.com/platform/cts/+/b339a858b63996d5ccc12bd0aa9fded9162b5fb8", "b339a858b63996d5ccc12bd0aa9fded9162b5fb8")</f>
        <v>0</v>
      </c>
      <c r="C13815">
        <f>HYPERLINK("https://android.googlesource.com/platform/cts/+/a5396d3130da17581a2adb35f6963f4d1a4558f1", "a5396d3130da17581a2adb35f6963f4d1a4558f1")</f>
        <v>0</v>
      </c>
      <c r="D13815" t="s">
        <v>12295</v>
      </c>
      <c r="E13815" t="s">
        <v>13600</v>
      </c>
      <c r="F13815" t="s">
        <v>16665</v>
      </c>
      <c r="G13815" t="s">
        <v>19299</v>
      </c>
      <c r="H13815" t="s">
        <v>24062</v>
      </c>
      <c r="I13815" t="s">
        <v>1357</v>
      </c>
      <c r="J13815" t="s">
        <v>1357</v>
      </c>
      <c r="K13815" t="s">
        <v>1357</v>
      </c>
      <c r="L13815" t="s">
        <v>1357</v>
      </c>
      <c r="M13815" t="s">
        <v>9957</v>
      </c>
    </row>
    <row r="13816" spans="1:13">
      <c r="A13816" t="s">
        <v>11074</v>
      </c>
      <c r="B13816">
        <f>HYPERLINK("https://android.googlesource.com/platform/cts/+/2b3f20dd424487d034bfdb84e7f5587b34c1d314", "2b3f20dd424487d034bfdb84e7f5587b34c1d314")</f>
        <v>0</v>
      </c>
      <c r="C13816">
        <f>HYPERLINK("https://android.googlesource.com/platform/cts/+/17a6893c375da8129c2e75361bafac83432f4e6d", "17a6893c375da8129c2e75361bafac83432f4e6d")</f>
        <v>0</v>
      </c>
      <c r="D13816" t="s">
        <v>12247</v>
      </c>
      <c r="E13816" t="s">
        <v>13601</v>
      </c>
      <c r="F13816" t="s">
        <v>16707</v>
      </c>
      <c r="G13816" t="s">
        <v>19339</v>
      </c>
      <c r="H13816" t="s">
        <v>24068</v>
      </c>
      <c r="I13816" t="s">
        <v>1357</v>
      </c>
      <c r="J13816" t="s">
        <v>1357</v>
      </c>
      <c r="K13816" t="s">
        <v>1357</v>
      </c>
      <c r="L13816" t="s">
        <v>1357</v>
      </c>
    </row>
    <row r="13817" spans="1:13">
      <c r="A13817" t="s">
        <v>11075</v>
      </c>
      <c r="B13817">
        <f>HYPERLINK("https://android.googlesource.com/platform/cts/+/ceb4aa2d26c9d25ce722ed2008731afb44b499aa", "ceb4aa2d26c9d25ce722ed2008731afb44b499aa")</f>
        <v>0</v>
      </c>
      <c r="C13817">
        <f>HYPERLINK("https://android.googlesource.com/platform/cts/+/c1c0a720de8609d6fd4da736edb1cbf4c0ceeacc", "c1c0a720de8609d6fd4da736edb1cbf4c0ceeacc")</f>
        <v>0</v>
      </c>
      <c r="D13817" t="s">
        <v>12307</v>
      </c>
      <c r="E13817" t="s">
        <v>13602</v>
      </c>
      <c r="F13817" t="s">
        <v>16708</v>
      </c>
      <c r="G13817" t="s">
        <v>19340</v>
      </c>
      <c r="H13817" t="s">
        <v>24069</v>
      </c>
      <c r="I13817" t="s">
        <v>1357</v>
      </c>
      <c r="J13817" t="s">
        <v>1357</v>
      </c>
      <c r="K13817" t="s">
        <v>1357</v>
      </c>
      <c r="L13817" t="s">
        <v>1357</v>
      </c>
    </row>
    <row r="13818" spans="1:13">
      <c r="H13818" t="s">
        <v>24070</v>
      </c>
      <c r="I13818" t="s">
        <v>1357</v>
      </c>
      <c r="J13818" t="s">
        <v>1357</v>
      </c>
      <c r="K13818" t="s">
        <v>1357</v>
      </c>
      <c r="L13818" t="s">
        <v>1357</v>
      </c>
    </row>
    <row r="13819" spans="1:13">
      <c r="F13819" t="s">
        <v>16709</v>
      </c>
      <c r="G13819" t="s">
        <v>19341</v>
      </c>
      <c r="H13819" t="s">
        <v>24071</v>
      </c>
      <c r="I13819" t="s">
        <v>1357</v>
      </c>
      <c r="J13819" t="s">
        <v>1357</v>
      </c>
      <c r="K13819" t="s">
        <v>1357</v>
      </c>
      <c r="L13819" t="s">
        <v>1357</v>
      </c>
    </row>
    <row r="13820" spans="1:13">
      <c r="H13820" t="s">
        <v>24072</v>
      </c>
      <c r="I13820" t="s">
        <v>1357</v>
      </c>
      <c r="J13820" t="s">
        <v>1357</v>
      </c>
      <c r="K13820" t="s">
        <v>1357</v>
      </c>
      <c r="L13820" t="s">
        <v>1357</v>
      </c>
    </row>
    <row r="13821" spans="1:13">
      <c r="H13821" t="s">
        <v>24073</v>
      </c>
      <c r="I13821" t="s">
        <v>1357</v>
      </c>
      <c r="J13821" t="s">
        <v>1357</v>
      </c>
      <c r="K13821" t="s">
        <v>1357</v>
      </c>
      <c r="L13821" t="s">
        <v>1357</v>
      </c>
    </row>
    <row r="13822" spans="1:13">
      <c r="H13822" t="s">
        <v>24074</v>
      </c>
      <c r="I13822" t="s">
        <v>1357</v>
      </c>
      <c r="J13822" t="s">
        <v>1357</v>
      </c>
      <c r="K13822" t="s">
        <v>1357</v>
      </c>
      <c r="L13822" t="s">
        <v>1357</v>
      </c>
    </row>
    <row r="13823" spans="1:13">
      <c r="H13823" t="s">
        <v>24075</v>
      </c>
      <c r="I13823" t="s">
        <v>1357</v>
      </c>
      <c r="J13823" t="s">
        <v>1357</v>
      </c>
      <c r="K13823" t="s">
        <v>1357</v>
      </c>
      <c r="L13823" t="s">
        <v>1357</v>
      </c>
    </row>
    <row r="13824" spans="1:13">
      <c r="H13824" t="s">
        <v>24076</v>
      </c>
      <c r="I13824" t="s">
        <v>1357</v>
      </c>
      <c r="J13824" t="s">
        <v>1357</v>
      </c>
      <c r="K13824" t="s">
        <v>1357</v>
      </c>
      <c r="L13824" t="s">
        <v>1357</v>
      </c>
    </row>
    <row r="13825" spans="6:12">
      <c r="H13825" t="s">
        <v>24077</v>
      </c>
      <c r="I13825" t="s">
        <v>1357</v>
      </c>
      <c r="J13825" t="s">
        <v>1357</v>
      </c>
      <c r="K13825" t="s">
        <v>1357</v>
      </c>
      <c r="L13825" t="s">
        <v>1357</v>
      </c>
    </row>
    <row r="13826" spans="6:12">
      <c r="F13826" t="s">
        <v>16672</v>
      </c>
      <c r="G13826" t="s">
        <v>19305</v>
      </c>
      <c r="H13826" t="s">
        <v>24078</v>
      </c>
      <c r="I13826" t="s">
        <v>1357</v>
      </c>
      <c r="J13826" t="s">
        <v>1357</v>
      </c>
      <c r="K13826" t="s">
        <v>1357</v>
      </c>
      <c r="L13826" t="s">
        <v>1357</v>
      </c>
    </row>
    <row r="13827" spans="6:12">
      <c r="H13827" t="s">
        <v>24079</v>
      </c>
      <c r="I13827" t="s">
        <v>1357</v>
      </c>
      <c r="J13827" t="s">
        <v>1357</v>
      </c>
      <c r="K13827" t="s">
        <v>1357</v>
      </c>
      <c r="L13827" t="s">
        <v>1357</v>
      </c>
    </row>
    <row r="13828" spans="6:12">
      <c r="H13828" t="s">
        <v>24080</v>
      </c>
      <c r="I13828" t="s">
        <v>1357</v>
      </c>
      <c r="J13828" t="s">
        <v>1357</v>
      </c>
      <c r="K13828" t="s">
        <v>1357</v>
      </c>
      <c r="L13828" t="s">
        <v>1357</v>
      </c>
    </row>
    <row r="13829" spans="6:12">
      <c r="H13829" t="s">
        <v>24081</v>
      </c>
      <c r="I13829" t="s">
        <v>1357</v>
      </c>
      <c r="J13829" t="s">
        <v>1357</v>
      </c>
      <c r="K13829" t="s">
        <v>1357</v>
      </c>
      <c r="L13829" t="s">
        <v>1357</v>
      </c>
    </row>
    <row r="13830" spans="6:12">
      <c r="H13830" t="s">
        <v>24082</v>
      </c>
      <c r="I13830" t="s">
        <v>1357</v>
      </c>
      <c r="J13830" t="s">
        <v>1357</v>
      </c>
      <c r="K13830" t="s">
        <v>1357</v>
      </c>
      <c r="L13830" t="s">
        <v>1357</v>
      </c>
    </row>
    <row r="13831" spans="6:12">
      <c r="H13831" t="s">
        <v>24083</v>
      </c>
      <c r="I13831" t="s">
        <v>1357</v>
      </c>
      <c r="J13831" t="s">
        <v>1357</v>
      </c>
      <c r="K13831" t="s">
        <v>1357</v>
      </c>
      <c r="L13831" t="s">
        <v>1357</v>
      </c>
    </row>
    <row r="13832" spans="6:12">
      <c r="H13832" t="s">
        <v>24084</v>
      </c>
      <c r="I13832" t="s">
        <v>1357</v>
      </c>
      <c r="J13832" t="s">
        <v>1357</v>
      </c>
      <c r="K13832" t="s">
        <v>1357</v>
      </c>
      <c r="L13832" t="s">
        <v>1357</v>
      </c>
    </row>
    <row r="13833" spans="6:12">
      <c r="H13833" t="s">
        <v>24085</v>
      </c>
      <c r="I13833" t="s">
        <v>1357</v>
      </c>
      <c r="J13833" t="s">
        <v>1357</v>
      </c>
      <c r="K13833" t="s">
        <v>1357</v>
      </c>
      <c r="L13833" t="s">
        <v>1357</v>
      </c>
    </row>
    <row r="13834" spans="6:12">
      <c r="H13834" t="s">
        <v>23841</v>
      </c>
      <c r="I13834" t="s">
        <v>1357</v>
      </c>
      <c r="J13834" t="s">
        <v>1357</v>
      </c>
      <c r="K13834" t="s">
        <v>1357</v>
      </c>
      <c r="L13834" t="s">
        <v>1357</v>
      </c>
    </row>
    <row r="13835" spans="6:12">
      <c r="H13835" t="s">
        <v>24086</v>
      </c>
      <c r="I13835" t="s">
        <v>1357</v>
      </c>
      <c r="J13835" t="s">
        <v>1357</v>
      </c>
      <c r="K13835" t="s">
        <v>1357</v>
      </c>
      <c r="L13835" t="s">
        <v>1357</v>
      </c>
    </row>
    <row r="13836" spans="6:12">
      <c r="H13836" t="s">
        <v>24087</v>
      </c>
      <c r="I13836" t="s">
        <v>1357</v>
      </c>
      <c r="J13836" t="s">
        <v>1357</v>
      </c>
      <c r="K13836" t="s">
        <v>1357</v>
      </c>
      <c r="L13836" t="s">
        <v>1357</v>
      </c>
    </row>
    <row r="13837" spans="6:12">
      <c r="H13837" t="s">
        <v>24088</v>
      </c>
      <c r="I13837" t="s">
        <v>1357</v>
      </c>
      <c r="J13837" t="s">
        <v>1357</v>
      </c>
      <c r="K13837" t="s">
        <v>1357</v>
      </c>
      <c r="L13837" t="s">
        <v>1357</v>
      </c>
    </row>
    <row r="13838" spans="6:12">
      <c r="H13838" t="s">
        <v>24089</v>
      </c>
      <c r="I13838" t="s">
        <v>1357</v>
      </c>
      <c r="J13838" t="s">
        <v>1357</v>
      </c>
      <c r="K13838" t="s">
        <v>1357</v>
      </c>
      <c r="L13838" t="s">
        <v>1357</v>
      </c>
    </row>
    <row r="13839" spans="6:12">
      <c r="H13839" t="s">
        <v>24090</v>
      </c>
      <c r="I13839" t="s">
        <v>1357</v>
      </c>
      <c r="J13839" t="s">
        <v>1357</v>
      </c>
      <c r="K13839" t="s">
        <v>1357</v>
      </c>
      <c r="L13839" t="s">
        <v>1357</v>
      </c>
    </row>
    <row r="13840" spans="6:12">
      <c r="H13840" t="s">
        <v>24091</v>
      </c>
      <c r="I13840" t="s">
        <v>1357</v>
      </c>
      <c r="J13840" t="s">
        <v>1357</v>
      </c>
      <c r="K13840" t="s">
        <v>1357</v>
      </c>
      <c r="L13840" t="s">
        <v>1357</v>
      </c>
    </row>
    <row r="13841" spans="8:12">
      <c r="H13841" t="s">
        <v>24092</v>
      </c>
      <c r="I13841" t="s">
        <v>1357</v>
      </c>
      <c r="J13841" t="s">
        <v>1357</v>
      </c>
      <c r="K13841" t="s">
        <v>1357</v>
      </c>
      <c r="L13841" t="s">
        <v>1357</v>
      </c>
    </row>
    <row r="13842" spans="8:12">
      <c r="H13842" t="s">
        <v>23245</v>
      </c>
      <c r="I13842" t="s">
        <v>1357</v>
      </c>
      <c r="J13842" t="s">
        <v>1357</v>
      </c>
      <c r="K13842" t="s">
        <v>1357</v>
      </c>
      <c r="L13842" t="s">
        <v>1357</v>
      </c>
    </row>
    <row r="13843" spans="8:12">
      <c r="H13843" t="s">
        <v>24093</v>
      </c>
      <c r="I13843" t="s">
        <v>1357</v>
      </c>
      <c r="J13843" t="s">
        <v>1357</v>
      </c>
      <c r="K13843" t="s">
        <v>1357</v>
      </c>
      <c r="L13843" t="s">
        <v>1357</v>
      </c>
    </row>
    <row r="13844" spans="8:12">
      <c r="H13844" t="s">
        <v>24094</v>
      </c>
      <c r="I13844" t="s">
        <v>1357</v>
      </c>
      <c r="J13844" t="s">
        <v>1357</v>
      </c>
      <c r="K13844" t="s">
        <v>1357</v>
      </c>
      <c r="L13844" t="s">
        <v>1357</v>
      </c>
    </row>
    <row r="13845" spans="8:12">
      <c r="H13845" t="s">
        <v>24095</v>
      </c>
      <c r="I13845" t="s">
        <v>1357</v>
      </c>
      <c r="J13845" t="s">
        <v>1357</v>
      </c>
      <c r="K13845" t="s">
        <v>1357</v>
      </c>
      <c r="L13845" t="s">
        <v>1357</v>
      </c>
    </row>
    <row r="13846" spans="8:12">
      <c r="H13846" t="s">
        <v>24096</v>
      </c>
      <c r="I13846" t="s">
        <v>1357</v>
      </c>
      <c r="J13846" t="s">
        <v>1357</v>
      </c>
      <c r="K13846" t="s">
        <v>1357</v>
      </c>
      <c r="L13846" t="s">
        <v>1357</v>
      </c>
    </row>
    <row r="13847" spans="8:12">
      <c r="H13847" t="s">
        <v>24097</v>
      </c>
      <c r="I13847" t="s">
        <v>1357</v>
      </c>
      <c r="J13847" t="s">
        <v>1357</v>
      </c>
      <c r="K13847" t="s">
        <v>1357</v>
      </c>
      <c r="L13847" t="s">
        <v>1357</v>
      </c>
    </row>
    <row r="13848" spans="8:12">
      <c r="H13848" t="s">
        <v>24098</v>
      </c>
      <c r="I13848" t="s">
        <v>1357</v>
      </c>
      <c r="J13848" t="s">
        <v>1357</v>
      </c>
      <c r="K13848" t="s">
        <v>1357</v>
      </c>
      <c r="L13848" t="s">
        <v>1357</v>
      </c>
    </row>
    <row r="13849" spans="8:12">
      <c r="H13849" t="s">
        <v>24099</v>
      </c>
      <c r="I13849" t="s">
        <v>1357</v>
      </c>
      <c r="J13849" t="s">
        <v>1357</v>
      </c>
      <c r="K13849" t="s">
        <v>1357</v>
      </c>
      <c r="L13849" t="s">
        <v>1357</v>
      </c>
    </row>
    <row r="13850" spans="8:12">
      <c r="H13850" t="s">
        <v>24100</v>
      </c>
      <c r="I13850" t="s">
        <v>1357</v>
      </c>
      <c r="J13850" t="s">
        <v>1357</v>
      </c>
      <c r="K13850" t="s">
        <v>1357</v>
      </c>
      <c r="L13850" t="s">
        <v>1357</v>
      </c>
    </row>
    <row r="13851" spans="8:12">
      <c r="H13851" t="s">
        <v>24101</v>
      </c>
      <c r="I13851" t="s">
        <v>1357</v>
      </c>
      <c r="J13851" t="s">
        <v>1357</v>
      </c>
      <c r="K13851" t="s">
        <v>1357</v>
      </c>
      <c r="L13851" t="s">
        <v>1357</v>
      </c>
    </row>
    <row r="13852" spans="8:12">
      <c r="H13852" t="s">
        <v>24102</v>
      </c>
      <c r="I13852" t="s">
        <v>1357</v>
      </c>
      <c r="J13852" t="s">
        <v>1357</v>
      </c>
      <c r="K13852" t="s">
        <v>1357</v>
      </c>
      <c r="L13852" t="s">
        <v>1357</v>
      </c>
    </row>
    <row r="13853" spans="8:12">
      <c r="H13853" t="s">
        <v>24103</v>
      </c>
      <c r="I13853" t="s">
        <v>1357</v>
      </c>
      <c r="J13853" t="s">
        <v>1357</v>
      </c>
      <c r="K13853" t="s">
        <v>1357</v>
      </c>
      <c r="L13853" t="s">
        <v>1357</v>
      </c>
    </row>
    <row r="13854" spans="8:12">
      <c r="H13854" t="s">
        <v>24104</v>
      </c>
      <c r="I13854" t="s">
        <v>1357</v>
      </c>
      <c r="J13854" t="s">
        <v>1357</v>
      </c>
      <c r="K13854" t="s">
        <v>1357</v>
      </c>
      <c r="L13854" t="s">
        <v>1357</v>
      </c>
    </row>
    <row r="13855" spans="8:12">
      <c r="H13855" t="s">
        <v>24105</v>
      </c>
      <c r="I13855" t="s">
        <v>1357</v>
      </c>
      <c r="J13855" t="s">
        <v>1357</v>
      </c>
      <c r="K13855" t="s">
        <v>1357</v>
      </c>
      <c r="L13855" t="s">
        <v>1357</v>
      </c>
    </row>
    <row r="13856" spans="8:12">
      <c r="H13856" t="s">
        <v>24106</v>
      </c>
      <c r="I13856" t="s">
        <v>1357</v>
      </c>
      <c r="J13856" t="s">
        <v>1357</v>
      </c>
      <c r="K13856" t="s">
        <v>1357</v>
      </c>
      <c r="L13856" t="s">
        <v>1357</v>
      </c>
    </row>
    <row r="13857" spans="8:12">
      <c r="H13857" t="s">
        <v>24107</v>
      </c>
      <c r="I13857" t="s">
        <v>1357</v>
      </c>
      <c r="J13857" t="s">
        <v>1357</v>
      </c>
      <c r="K13857" t="s">
        <v>1357</v>
      </c>
      <c r="L13857" t="s">
        <v>1357</v>
      </c>
    </row>
    <row r="13858" spans="8:12">
      <c r="H13858" t="s">
        <v>24108</v>
      </c>
      <c r="I13858" t="s">
        <v>1357</v>
      </c>
      <c r="J13858" t="s">
        <v>1357</v>
      </c>
      <c r="K13858" t="s">
        <v>1357</v>
      </c>
      <c r="L13858" t="s">
        <v>1357</v>
      </c>
    </row>
    <row r="13859" spans="8:12">
      <c r="H13859" t="s">
        <v>24109</v>
      </c>
      <c r="I13859" t="s">
        <v>1357</v>
      </c>
      <c r="J13859" t="s">
        <v>1357</v>
      </c>
      <c r="K13859" t="s">
        <v>1357</v>
      </c>
      <c r="L13859" t="s">
        <v>1357</v>
      </c>
    </row>
    <row r="13860" spans="8:12">
      <c r="H13860" t="s">
        <v>24110</v>
      </c>
      <c r="I13860" t="s">
        <v>1357</v>
      </c>
      <c r="J13860" t="s">
        <v>1357</v>
      </c>
      <c r="K13860" t="s">
        <v>1357</v>
      </c>
      <c r="L13860" t="s">
        <v>1357</v>
      </c>
    </row>
    <row r="13861" spans="8:12">
      <c r="H13861" t="s">
        <v>24111</v>
      </c>
      <c r="I13861" t="s">
        <v>1357</v>
      </c>
      <c r="J13861" t="s">
        <v>1357</v>
      </c>
      <c r="K13861" t="s">
        <v>1357</v>
      </c>
      <c r="L13861" t="s">
        <v>1357</v>
      </c>
    </row>
    <row r="13862" spans="8:12">
      <c r="H13862" t="s">
        <v>24112</v>
      </c>
      <c r="I13862" t="s">
        <v>1357</v>
      </c>
      <c r="J13862" t="s">
        <v>1357</v>
      </c>
      <c r="K13862" t="s">
        <v>1357</v>
      </c>
      <c r="L13862" t="s">
        <v>1357</v>
      </c>
    </row>
    <row r="13863" spans="8:12">
      <c r="H13863" t="s">
        <v>24113</v>
      </c>
      <c r="I13863" t="s">
        <v>1357</v>
      </c>
      <c r="J13863" t="s">
        <v>1357</v>
      </c>
      <c r="K13863" t="s">
        <v>1357</v>
      </c>
      <c r="L13863" t="s">
        <v>1357</v>
      </c>
    </row>
    <row r="13864" spans="8:12">
      <c r="H13864" t="s">
        <v>24114</v>
      </c>
      <c r="I13864" t="s">
        <v>1357</v>
      </c>
      <c r="J13864" t="s">
        <v>1357</v>
      </c>
      <c r="K13864" t="s">
        <v>1357</v>
      </c>
      <c r="L13864" t="s">
        <v>1357</v>
      </c>
    </row>
    <row r="13865" spans="8:12">
      <c r="H13865" t="s">
        <v>24115</v>
      </c>
      <c r="I13865" t="s">
        <v>1357</v>
      </c>
      <c r="J13865" t="s">
        <v>1357</v>
      </c>
      <c r="K13865" t="s">
        <v>1357</v>
      </c>
      <c r="L13865" t="s">
        <v>1357</v>
      </c>
    </row>
    <row r="13866" spans="8:12">
      <c r="H13866" t="s">
        <v>24116</v>
      </c>
      <c r="I13866" t="s">
        <v>1357</v>
      </c>
      <c r="J13866" t="s">
        <v>1357</v>
      </c>
      <c r="K13866" t="s">
        <v>1357</v>
      </c>
      <c r="L13866" t="s">
        <v>1357</v>
      </c>
    </row>
    <row r="13867" spans="8:12">
      <c r="H13867" t="s">
        <v>24117</v>
      </c>
      <c r="I13867" t="s">
        <v>1357</v>
      </c>
      <c r="J13867" t="s">
        <v>1357</v>
      </c>
      <c r="K13867" t="s">
        <v>1357</v>
      </c>
      <c r="L13867" t="s">
        <v>1357</v>
      </c>
    </row>
    <row r="13868" spans="8:12">
      <c r="H13868" t="s">
        <v>24118</v>
      </c>
      <c r="I13868" t="s">
        <v>1357</v>
      </c>
      <c r="J13868" t="s">
        <v>1357</v>
      </c>
      <c r="K13868" t="s">
        <v>1357</v>
      </c>
      <c r="L13868" t="s">
        <v>1357</v>
      </c>
    </row>
    <row r="13869" spans="8:12">
      <c r="H13869" t="s">
        <v>24119</v>
      </c>
      <c r="I13869" t="s">
        <v>1357</v>
      </c>
      <c r="J13869" t="s">
        <v>1357</v>
      </c>
      <c r="K13869" t="s">
        <v>1357</v>
      </c>
      <c r="L13869" t="s">
        <v>1357</v>
      </c>
    </row>
    <row r="13870" spans="8:12">
      <c r="H13870" t="s">
        <v>24120</v>
      </c>
      <c r="I13870" t="s">
        <v>1357</v>
      </c>
      <c r="J13870" t="s">
        <v>1357</v>
      </c>
      <c r="K13870" t="s">
        <v>1357</v>
      </c>
      <c r="L13870" t="s">
        <v>1357</v>
      </c>
    </row>
    <row r="13871" spans="8:12">
      <c r="H13871" t="s">
        <v>24121</v>
      </c>
      <c r="I13871" t="s">
        <v>1357</v>
      </c>
      <c r="J13871" t="s">
        <v>1357</v>
      </c>
      <c r="K13871" t="s">
        <v>1357</v>
      </c>
      <c r="L13871" t="s">
        <v>1357</v>
      </c>
    </row>
    <row r="13872" spans="8:12">
      <c r="H13872" t="s">
        <v>24122</v>
      </c>
      <c r="I13872" t="s">
        <v>1357</v>
      </c>
      <c r="J13872" t="s">
        <v>1357</v>
      </c>
      <c r="K13872" t="s">
        <v>1357</v>
      </c>
      <c r="L13872" t="s">
        <v>1357</v>
      </c>
    </row>
    <row r="13873" spans="8:12">
      <c r="H13873" t="s">
        <v>24123</v>
      </c>
      <c r="I13873" t="s">
        <v>1357</v>
      </c>
      <c r="J13873" t="s">
        <v>1357</v>
      </c>
      <c r="K13873" t="s">
        <v>1357</v>
      </c>
      <c r="L13873" t="s">
        <v>1357</v>
      </c>
    </row>
    <row r="13874" spans="8:12">
      <c r="H13874" t="s">
        <v>24124</v>
      </c>
      <c r="I13874" t="s">
        <v>1357</v>
      </c>
      <c r="J13874" t="s">
        <v>1357</v>
      </c>
      <c r="K13874" t="s">
        <v>1357</v>
      </c>
      <c r="L13874" t="s">
        <v>1357</v>
      </c>
    </row>
    <row r="13875" spans="8:12">
      <c r="H13875" t="s">
        <v>24125</v>
      </c>
      <c r="I13875" t="s">
        <v>1357</v>
      </c>
      <c r="J13875" t="s">
        <v>1357</v>
      </c>
      <c r="K13875" t="s">
        <v>1357</v>
      </c>
      <c r="L13875" t="s">
        <v>1357</v>
      </c>
    </row>
    <row r="13876" spans="8:12">
      <c r="H13876" t="s">
        <v>24126</v>
      </c>
      <c r="I13876" t="s">
        <v>1357</v>
      </c>
      <c r="J13876" t="s">
        <v>1357</v>
      </c>
      <c r="K13876" t="s">
        <v>1357</v>
      </c>
      <c r="L13876" t="s">
        <v>1357</v>
      </c>
    </row>
    <row r="13877" spans="8:12">
      <c r="H13877" t="s">
        <v>24127</v>
      </c>
      <c r="I13877" t="s">
        <v>1357</v>
      </c>
      <c r="J13877" t="s">
        <v>1357</v>
      </c>
      <c r="K13877" t="s">
        <v>1357</v>
      </c>
      <c r="L13877" t="s">
        <v>1357</v>
      </c>
    </row>
    <row r="13878" spans="8:12">
      <c r="H13878" t="s">
        <v>24128</v>
      </c>
      <c r="I13878" t="s">
        <v>1357</v>
      </c>
      <c r="J13878" t="s">
        <v>1357</v>
      </c>
      <c r="K13878" t="s">
        <v>1357</v>
      </c>
      <c r="L13878" t="s">
        <v>1357</v>
      </c>
    </row>
    <row r="13879" spans="8:12">
      <c r="H13879" t="s">
        <v>24129</v>
      </c>
      <c r="I13879" t="s">
        <v>1357</v>
      </c>
      <c r="J13879" t="s">
        <v>1357</v>
      </c>
      <c r="K13879" t="s">
        <v>1357</v>
      </c>
      <c r="L13879" t="s">
        <v>1357</v>
      </c>
    </row>
    <row r="13880" spans="8:12">
      <c r="H13880" t="s">
        <v>24130</v>
      </c>
      <c r="I13880" t="s">
        <v>1357</v>
      </c>
      <c r="J13880" t="s">
        <v>1357</v>
      </c>
      <c r="K13880" t="s">
        <v>1357</v>
      </c>
      <c r="L13880" t="s">
        <v>1357</v>
      </c>
    </row>
    <row r="13881" spans="8:12">
      <c r="H13881" t="s">
        <v>24131</v>
      </c>
      <c r="I13881" t="s">
        <v>1357</v>
      </c>
      <c r="J13881" t="s">
        <v>1357</v>
      </c>
      <c r="K13881" t="s">
        <v>1357</v>
      </c>
      <c r="L13881" t="s">
        <v>1357</v>
      </c>
    </row>
    <row r="13882" spans="8:12">
      <c r="H13882" t="s">
        <v>24132</v>
      </c>
      <c r="I13882" t="s">
        <v>1357</v>
      </c>
      <c r="J13882" t="s">
        <v>1357</v>
      </c>
      <c r="K13882" t="s">
        <v>1357</v>
      </c>
      <c r="L13882" t="s">
        <v>1357</v>
      </c>
    </row>
    <row r="13883" spans="8:12">
      <c r="H13883" t="s">
        <v>24133</v>
      </c>
      <c r="I13883" t="s">
        <v>1357</v>
      </c>
      <c r="J13883" t="s">
        <v>1357</v>
      </c>
      <c r="K13883" t="s">
        <v>1357</v>
      </c>
      <c r="L13883" t="s">
        <v>1357</v>
      </c>
    </row>
    <row r="13884" spans="8:12">
      <c r="H13884" t="s">
        <v>23298</v>
      </c>
      <c r="I13884" t="s">
        <v>1357</v>
      </c>
      <c r="J13884" t="s">
        <v>1357</v>
      </c>
      <c r="K13884" t="s">
        <v>1357</v>
      </c>
      <c r="L13884" t="s">
        <v>1357</v>
      </c>
    </row>
    <row r="13885" spans="8:12">
      <c r="H13885" t="s">
        <v>24134</v>
      </c>
      <c r="I13885" t="s">
        <v>1357</v>
      </c>
      <c r="J13885" t="s">
        <v>1357</v>
      </c>
      <c r="K13885" t="s">
        <v>1357</v>
      </c>
      <c r="L13885" t="s">
        <v>1357</v>
      </c>
    </row>
    <row r="13886" spans="8:12">
      <c r="H13886" t="s">
        <v>24135</v>
      </c>
      <c r="I13886" t="s">
        <v>1357</v>
      </c>
      <c r="J13886" t="s">
        <v>1357</v>
      </c>
      <c r="K13886" t="s">
        <v>1357</v>
      </c>
      <c r="L13886" t="s">
        <v>1357</v>
      </c>
    </row>
    <row r="13887" spans="8:12">
      <c r="H13887" t="s">
        <v>24136</v>
      </c>
      <c r="I13887" t="s">
        <v>1357</v>
      </c>
      <c r="J13887" t="s">
        <v>1357</v>
      </c>
      <c r="K13887" t="s">
        <v>1357</v>
      </c>
      <c r="L13887" t="s">
        <v>1357</v>
      </c>
    </row>
    <row r="13888" spans="8:12">
      <c r="H13888" t="s">
        <v>24137</v>
      </c>
      <c r="I13888" t="s">
        <v>1357</v>
      </c>
      <c r="J13888" t="s">
        <v>1357</v>
      </c>
      <c r="K13888" t="s">
        <v>1357</v>
      </c>
      <c r="L13888" t="s">
        <v>1357</v>
      </c>
    </row>
    <row r="13889" spans="6:12">
      <c r="H13889" t="s">
        <v>24138</v>
      </c>
      <c r="I13889" t="s">
        <v>1357</v>
      </c>
      <c r="J13889" t="s">
        <v>1357</v>
      </c>
      <c r="K13889" t="s">
        <v>1357</v>
      </c>
      <c r="L13889" t="s">
        <v>1357</v>
      </c>
    </row>
    <row r="13890" spans="6:12">
      <c r="H13890" t="s">
        <v>24139</v>
      </c>
      <c r="I13890" t="s">
        <v>1357</v>
      </c>
      <c r="J13890" t="s">
        <v>1357</v>
      </c>
      <c r="K13890" t="s">
        <v>1357</v>
      </c>
      <c r="L13890" t="s">
        <v>1357</v>
      </c>
    </row>
    <row r="13891" spans="6:12">
      <c r="H13891" t="s">
        <v>23243</v>
      </c>
      <c r="I13891" t="s">
        <v>1357</v>
      </c>
      <c r="J13891" t="s">
        <v>1357</v>
      </c>
      <c r="K13891" t="s">
        <v>1357</v>
      </c>
      <c r="L13891" t="s">
        <v>1357</v>
      </c>
    </row>
    <row r="13892" spans="6:12">
      <c r="H13892" t="s">
        <v>24140</v>
      </c>
      <c r="I13892" t="s">
        <v>1357</v>
      </c>
      <c r="J13892" t="s">
        <v>1357</v>
      </c>
      <c r="K13892" t="s">
        <v>1357</v>
      </c>
      <c r="L13892" t="s">
        <v>1357</v>
      </c>
    </row>
    <row r="13893" spans="6:12">
      <c r="H13893" t="s">
        <v>24141</v>
      </c>
      <c r="I13893" t="s">
        <v>1357</v>
      </c>
      <c r="J13893" t="s">
        <v>1357</v>
      </c>
      <c r="K13893" t="s">
        <v>1357</v>
      </c>
      <c r="L13893" t="s">
        <v>1357</v>
      </c>
    </row>
    <row r="13894" spans="6:12">
      <c r="H13894" t="s">
        <v>24142</v>
      </c>
      <c r="I13894" t="s">
        <v>1357</v>
      </c>
      <c r="J13894" t="s">
        <v>1357</v>
      </c>
      <c r="K13894" t="s">
        <v>1357</v>
      </c>
      <c r="L13894" t="s">
        <v>1357</v>
      </c>
    </row>
    <row r="13895" spans="6:12">
      <c r="H13895" t="s">
        <v>24143</v>
      </c>
      <c r="I13895" t="s">
        <v>1357</v>
      </c>
      <c r="J13895" t="s">
        <v>1357</v>
      </c>
      <c r="K13895" t="s">
        <v>1357</v>
      </c>
      <c r="L13895" t="s">
        <v>1357</v>
      </c>
    </row>
    <row r="13896" spans="6:12">
      <c r="H13896" t="s">
        <v>24144</v>
      </c>
      <c r="I13896" t="s">
        <v>1357</v>
      </c>
      <c r="J13896" t="s">
        <v>1357</v>
      </c>
      <c r="K13896" t="s">
        <v>1357</v>
      </c>
      <c r="L13896" t="s">
        <v>1357</v>
      </c>
    </row>
    <row r="13897" spans="6:12">
      <c r="F13897" t="s">
        <v>16710</v>
      </c>
      <c r="G13897" t="s">
        <v>19342</v>
      </c>
      <c r="H13897" t="s">
        <v>24145</v>
      </c>
      <c r="I13897" t="s">
        <v>1357</v>
      </c>
      <c r="J13897" t="s">
        <v>1357</v>
      </c>
      <c r="K13897" t="s">
        <v>1357</v>
      </c>
      <c r="L13897" t="s">
        <v>1357</v>
      </c>
    </row>
    <row r="13898" spans="6:12">
      <c r="H13898" t="s">
        <v>24146</v>
      </c>
      <c r="I13898" t="s">
        <v>1357</v>
      </c>
      <c r="J13898" t="s">
        <v>1357</v>
      </c>
      <c r="K13898" t="s">
        <v>1357</v>
      </c>
      <c r="L13898" t="s">
        <v>1357</v>
      </c>
    </row>
    <row r="13899" spans="6:12">
      <c r="H13899" t="s">
        <v>24147</v>
      </c>
      <c r="I13899" t="s">
        <v>1357</v>
      </c>
      <c r="J13899" t="s">
        <v>1357</v>
      </c>
      <c r="K13899" t="s">
        <v>1357</v>
      </c>
      <c r="L13899" t="s">
        <v>1357</v>
      </c>
    </row>
    <row r="13900" spans="6:12">
      <c r="H13900" t="s">
        <v>24148</v>
      </c>
      <c r="I13900" t="s">
        <v>1357</v>
      </c>
      <c r="J13900" t="s">
        <v>1357</v>
      </c>
      <c r="K13900" t="s">
        <v>1357</v>
      </c>
      <c r="L13900" t="s">
        <v>1357</v>
      </c>
    </row>
    <row r="13901" spans="6:12">
      <c r="H13901" t="s">
        <v>24149</v>
      </c>
      <c r="I13901" t="s">
        <v>1357</v>
      </c>
      <c r="J13901" t="s">
        <v>1357</v>
      </c>
      <c r="K13901" t="s">
        <v>1357</v>
      </c>
      <c r="L13901" t="s">
        <v>1357</v>
      </c>
    </row>
    <row r="13902" spans="6:12">
      <c r="F13902" t="s">
        <v>16711</v>
      </c>
      <c r="G13902" t="s">
        <v>19343</v>
      </c>
      <c r="H13902" t="s">
        <v>24150</v>
      </c>
      <c r="I13902" t="s">
        <v>1357</v>
      </c>
      <c r="J13902" t="s">
        <v>1357</v>
      </c>
      <c r="K13902" t="s">
        <v>1357</v>
      </c>
      <c r="L13902" t="s">
        <v>1357</v>
      </c>
    </row>
    <row r="13903" spans="6:12">
      <c r="H13903" t="s">
        <v>24151</v>
      </c>
      <c r="I13903" t="s">
        <v>1357</v>
      </c>
      <c r="J13903" t="s">
        <v>1357</v>
      </c>
      <c r="K13903" t="s">
        <v>1357</v>
      </c>
      <c r="L13903" t="s">
        <v>1357</v>
      </c>
    </row>
    <row r="13904" spans="6:12">
      <c r="H13904" t="s">
        <v>24152</v>
      </c>
      <c r="I13904" t="s">
        <v>1357</v>
      </c>
      <c r="J13904" t="s">
        <v>1357</v>
      </c>
      <c r="K13904" t="s">
        <v>1357</v>
      </c>
      <c r="L13904" t="s">
        <v>1357</v>
      </c>
    </row>
    <row r="13905" spans="8:12">
      <c r="H13905" t="s">
        <v>24153</v>
      </c>
      <c r="I13905" t="s">
        <v>1357</v>
      </c>
      <c r="J13905" t="s">
        <v>1357</v>
      </c>
      <c r="K13905" t="s">
        <v>1357</v>
      </c>
      <c r="L13905" t="s">
        <v>1357</v>
      </c>
    </row>
    <row r="13906" spans="8:12">
      <c r="H13906" t="s">
        <v>24154</v>
      </c>
      <c r="I13906" t="s">
        <v>1357</v>
      </c>
      <c r="J13906" t="s">
        <v>1357</v>
      </c>
      <c r="K13906" t="s">
        <v>1357</v>
      </c>
      <c r="L13906" t="s">
        <v>1357</v>
      </c>
    </row>
    <row r="13907" spans="8:12">
      <c r="H13907" t="s">
        <v>24155</v>
      </c>
      <c r="I13907" t="s">
        <v>1357</v>
      </c>
      <c r="J13907" t="s">
        <v>1357</v>
      </c>
      <c r="K13907" t="s">
        <v>1357</v>
      </c>
      <c r="L13907" t="s">
        <v>1357</v>
      </c>
    </row>
    <row r="13908" spans="8:12">
      <c r="H13908" t="s">
        <v>24156</v>
      </c>
      <c r="I13908" t="s">
        <v>1357</v>
      </c>
      <c r="J13908" t="s">
        <v>1357</v>
      </c>
      <c r="K13908" t="s">
        <v>1357</v>
      </c>
      <c r="L13908" t="s">
        <v>1357</v>
      </c>
    </row>
    <row r="13909" spans="8:12">
      <c r="H13909" t="s">
        <v>24157</v>
      </c>
      <c r="I13909" t="s">
        <v>1357</v>
      </c>
      <c r="J13909" t="s">
        <v>1357</v>
      </c>
      <c r="K13909" t="s">
        <v>1357</v>
      </c>
      <c r="L13909" t="s">
        <v>1357</v>
      </c>
    </row>
    <row r="13910" spans="8:12">
      <c r="H13910" t="s">
        <v>24158</v>
      </c>
      <c r="I13910" t="s">
        <v>1357</v>
      </c>
      <c r="J13910" t="s">
        <v>1357</v>
      </c>
      <c r="K13910" t="s">
        <v>1357</v>
      </c>
      <c r="L13910" t="s">
        <v>1357</v>
      </c>
    </row>
    <row r="13911" spans="8:12">
      <c r="H13911" t="s">
        <v>24159</v>
      </c>
      <c r="I13911" t="s">
        <v>1357</v>
      </c>
      <c r="J13911" t="s">
        <v>1357</v>
      </c>
      <c r="K13911" t="s">
        <v>1357</v>
      </c>
      <c r="L13911" t="s">
        <v>1357</v>
      </c>
    </row>
    <row r="13912" spans="8:12">
      <c r="H13912" t="s">
        <v>20219</v>
      </c>
      <c r="I13912" t="s">
        <v>1357</v>
      </c>
      <c r="J13912" t="s">
        <v>1357</v>
      </c>
      <c r="K13912" t="s">
        <v>1357</v>
      </c>
      <c r="L13912" t="s">
        <v>1357</v>
      </c>
    </row>
    <row r="13913" spans="8:12">
      <c r="H13913" t="s">
        <v>20220</v>
      </c>
      <c r="I13913" t="s">
        <v>1357</v>
      </c>
      <c r="J13913" t="s">
        <v>1357</v>
      </c>
      <c r="K13913" t="s">
        <v>1357</v>
      </c>
      <c r="L13913" t="s">
        <v>1357</v>
      </c>
    </row>
    <row r="13914" spans="8:12">
      <c r="H13914" t="s">
        <v>20221</v>
      </c>
      <c r="I13914" t="s">
        <v>1357</v>
      </c>
      <c r="J13914" t="s">
        <v>1357</v>
      </c>
      <c r="K13914" t="s">
        <v>1357</v>
      </c>
      <c r="L13914" t="s">
        <v>1357</v>
      </c>
    </row>
    <row r="13915" spans="8:12">
      <c r="H13915" t="s">
        <v>20222</v>
      </c>
      <c r="I13915" t="s">
        <v>1357</v>
      </c>
      <c r="J13915" t="s">
        <v>1357</v>
      </c>
      <c r="K13915" t="s">
        <v>1357</v>
      </c>
      <c r="L13915" t="s">
        <v>1357</v>
      </c>
    </row>
    <row r="13916" spans="8:12">
      <c r="H13916" t="s">
        <v>20223</v>
      </c>
      <c r="I13916" t="s">
        <v>1357</v>
      </c>
      <c r="J13916" t="s">
        <v>1357</v>
      </c>
      <c r="K13916" t="s">
        <v>1357</v>
      </c>
      <c r="L13916" t="s">
        <v>1357</v>
      </c>
    </row>
    <row r="13917" spans="8:12">
      <c r="H13917" t="s">
        <v>20224</v>
      </c>
      <c r="I13917" t="s">
        <v>1357</v>
      </c>
      <c r="J13917" t="s">
        <v>1357</v>
      </c>
      <c r="K13917" t="s">
        <v>1357</v>
      </c>
      <c r="L13917" t="s">
        <v>1357</v>
      </c>
    </row>
    <row r="13918" spans="8:12">
      <c r="H13918" t="s">
        <v>20225</v>
      </c>
      <c r="I13918" t="s">
        <v>1357</v>
      </c>
      <c r="J13918" t="s">
        <v>1357</v>
      </c>
      <c r="K13918" t="s">
        <v>1357</v>
      </c>
      <c r="L13918" t="s">
        <v>1357</v>
      </c>
    </row>
    <row r="13919" spans="8:12">
      <c r="H13919" t="s">
        <v>24160</v>
      </c>
      <c r="I13919" t="s">
        <v>1357</v>
      </c>
      <c r="J13919" t="s">
        <v>1357</v>
      </c>
      <c r="K13919" t="s">
        <v>1357</v>
      </c>
      <c r="L13919" t="s">
        <v>1357</v>
      </c>
    </row>
    <row r="13920" spans="8:12">
      <c r="H13920" t="s">
        <v>24161</v>
      </c>
      <c r="I13920" t="s">
        <v>1357</v>
      </c>
      <c r="J13920" t="s">
        <v>1357</v>
      </c>
      <c r="K13920" t="s">
        <v>1357</v>
      </c>
      <c r="L13920" t="s">
        <v>1357</v>
      </c>
    </row>
    <row r="13921" spans="1:12">
      <c r="H13921" t="s">
        <v>24162</v>
      </c>
      <c r="I13921" t="s">
        <v>1357</v>
      </c>
      <c r="J13921" t="s">
        <v>1357</v>
      </c>
      <c r="K13921" t="s">
        <v>1357</v>
      </c>
      <c r="L13921" t="s">
        <v>1357</v>
      </c>
    </row>
    <row r="13922" spans="1:12">
      <c r="H13922" t="s">
        <v>24163</v>
      </c>
      <c r="I13922" t="s">
        <v>1357</v>
      </c>
      <c r="J13922" t="s">
        <v>1357</v>
      </c>
      <c r="K13922" t="s">
        <v>1357</v>
      </c>
      <c r="L13922" t="s">
        <v>1357</v>
      </c>
    </row>
    <row r="13923" spans="1:12">
      <c r="H13923" t="s">
        <v>24164</v>
      </c>
      <c r="I13923" t="s">
        <v>1357</v>
      </c>
      <c r="J13923" t="s">
        <v>1357</v>
      </c>
      <c r="K13923" t="s">
        <v>1357</v>
      </c>
      <c r="L13923" t="s">
        <v>1357</v>
      </c>
    </row>
    <row r="13924" spans="1:12">
      <c r="H13924" t="s">
        <v>24165</v>
      </c>
      <c r="I13924" t="s">
        <v>1357</v>
      </c>
      <c r="J13924" t="s">
        <v>1357</v>
      </c>
      <c r="K13924" t="s">
        <v>1357</v>
      </c>
      <c r="L13924" t="s">
        <v>1357</v>
      </c>
    </row>
    <row r="13925" spans="1:12">
      <c r="A13925" t="s">
        <v>11076</v>
      </c>
      <c r="B13925">
        <f>HYPERLINK("https://android.googlesource.com/platform/cts/+/49748dfcee2d397e7557824cc7bd9750e0fa5f61", "49748dfcee2d397e7557824cc7bd9750e0fa5f61")</f>
        <v>0</v>
      </c>
      <c r="C13925">
        <f>HYPERLINK("https://android.googlesource.com/platform/cts/+/2d9f86920ec6c5e248bfb3b1c579f3096f7cf506", "2d9f86920ec6c5e248bfb3b1c579f3096f7cf506")</f>
        <v>0</v>
      </c>
      <c r="D13925" t="s">
        <v>12102</v>
      </c>
      <c r="E13925" t="s">
        <v>13603</v>
      </c>
      <c r="F13925" t="s">
        <v>16712</v>
      </c>
      <c r="G13925" t="s">
        <v>19344</v>
      </c>
      <c r="H13925" t="s">
        <v>24166</v>
      </c>
      <c r="I13925" t="s">
        <v>1357</v>
      </c>
      <c r="J13925" t="s">
        <v>1357</v>
      </c>
      <c r="K13925" t="s">
        <v>1357</v>
      </c>
      <c r="L13925" t="s">
        <v>1357</v>
      </c>
    </row>
    <row r="13926" spans="1:12">
      <c r="H13926" t="s">
        <v>24167</v>
      </c>
      <c r="I13926" t="s">
        <v>1357</v>
      </c>
      <c r="J13926" t="s">
        <v>1357</v>
      </c>
      <c r="K13926" t="s">
        <v>1357</v>
      </c>
      <c r="L13926" t="s">
        <v>1357</v>
      </c>
    </row>
    <row r="13927" spans="1:12">
      <c r="H13927" t="s">
        <v>24168</v>
      </c>
      <c r="I13927" t="s">
        <v>1357</v>
      </c>
      <c r="J13927" t="s">
        <v>1357</v>
      </c>
      <c r="K13927" t="s">
        <v>1357</v>
      </c>
      <c r="L13927" t="s">
        <v>1357</v>
      </c>
    </row>
    <row r="13928" spans="1:12">
      <c r="H13928" t="s">
        <v>24169</v>
      </c>
      <c r="I13928" t="s">
        <v>1357</v>
      </c>
      <c r="J13928" t="s">
        <v>1357</v>
      </c>
      <c r="K13928" t="s">
        <v>1357</v>
      </c>
      <c r="L13928" t="s">
        <v>1357</v>
      </c>
    </row>
    <row r="13929" spans="1:12">
      <c r="H13929" t="s">
        <v>24170</v>
      </c>
      <c r="I13929" t="s">
        <v>1357</v>
      </c>
      <c r="J13929" t="s">
        <v>1357</v>
      </c>
      <c r="K13929" t="s">
        <v>1357</v>
      </c>
      <c r="L13929" t="s">
        <v>1357</v>
      </c>
    </row>
    <row r="13930" spans="1:12">
      <c r="H13930" t="s">
        <v>24171</v>
      </c>
      <c r="I13930" t="s">
        <v>1357</v>
      </c>
      <c r="J13930" t="s">
        <v>1357</v>
      </c>
      <c r="K13930" t="s">
        <v>1357</v>
      </c>
      <c r="L13930" t="s">
        <v>1357</v>
      </c>
    </row>
    <row r="13931" spans="1:12">
      <c r="F13931" t="s">
        <v>16713</v>
      </c>
      <c r="G13931" t="s">
        <v>19345</v>
      </c>
      <c r="H13931" t="s">
        <v>24166</v>
      </c>
      <c r="I13931" t="s">
        <v>1357</v>
      </c>
      <c r="J13931" t="s">
        <v>1357</v>
      </c>
      <c r="K13931" t="s">
        <v>1357</v>
      </c>
      <c r="L13931" t="s">
        <v>1357</v>
      </c>
    </row>
    <row r="13932" spans="1:12">
      <c r="H13932" t="s">
        <v>24172</v>
      </c>
      <c r="I13932" t="s">
        <v>1357</v>
      </c>
      <c r="J13932" t="s">
        <v>1357</v>
      </c>
      <c r="K13932" t="s">
        <v>1357</v>
      </c>
      <c r="L13932" t="s">
        <v>1357</v>
      </c>
    </row>
    <row r="13933" spans="1:12">
      <c r="F13933" t="s">
        <v>16640</v>
      </c>
      <c r="G13933" t="s">
        <v>19277</v>
      </c>
      <c r="H13933" t="s">
        <v>24173</v>
      </c>
      <c r="I13933" t="s">
        <v>1357</v>
      </c>
      <c r="J13933" t="s">
        <v>1357</v>
      </c>
      <c r="K13933" t="s">
        <v>1357</v>
      </c>
      <c r="L13933" t="s">
        <v>1357</v>
      </c>
    </row>
    <row r="13934" spans="1:12">
      <c r="H13934" t="s">
        <v>24174</v>
      </c>
      <c r="I13934" t="s">
        <v>1357</v>
      </c>
      <c r="J13934" t="s">
        <v>1357</v>
      </c>
      <c r="K13934" t="s">
        <v>1357</v>
      </c>
      <c r="L13934" t="s">
        <v>1357</v>
      </c>
    </row>
    <row r="13935" spans="1:12">
      <c r="H13935" t="s">
        <v>24175</v>
      </c>
      <c r="I13935" t="s">
        <v>1357</v>
      </c>
      <c r="J13935" t="s">
        <v>1357</v>
      </c>
      <c r="K13935" t="s">
        <v>1357</v>
      </c>
      <c r="L13935" t="s">
        <v>1357</v>
      </c>
    </row>
    <row r="13936" spans="1:12">
      <c r="H13936" t="s">
        <v>24176</v>
      </c>
      <c r="I13936" t="s">
        <v>1357</v>
      </c>
      <c r="J13936" t="s">
        <v>1357</v>
      </c>
      <c r="K13936" t="s">
        <v>1357</v>
      </c>
      <c r="L13936" t="s">
        <v>1357</v>
      </c>
    </row>
    <row r="13937" spans="8:12">
      <c r="H13937" t="s">
        <v>24177</v>
      </c>
      <c r="I13937" t="s">
        <v>1357</v>
      </c>
      <c r="J13937" t="s">
        <v>1357</v>
      </c>
      <c r="K13937" t="s">
        <v>1357</v>
      </c>
      <c r="L13937" t="s">
        <v>1357</v>
      </c>
    </row>
    <row r="13938" spans="8:12">
      <c r="H13938" t="s">
        <v>24178</v>
      </c>
      <c r="I13938" t="s">
        <v>1357</v>
      </c>
      <c r="J13938" t="s">
        <v>1357</v>
      </c>
      <c r="K13938" t="s">
        <v>1357</v>
      </c>
      <c r="L13938" t="s">
        <v>1357</v>
      </c>
    </row>
    <row r="13939" spans="8:12">
      <c r="H13939" t="s">
        <v>24179</v>
      </c>
      <c r="I13939" t="s">
        <v>1357</v>
      </c>
      <c r="J13939" t="s">
        <v>1357</v>
      </c>
      <c r="K13939" t="s">
        <v>1357</v>
      </c>
      <c r="L13939" t="s">
        <v>1357</v>
      </c>
    </row>
    <row r="13940" spans="8:12">
      <c r="H13940" t="s">
        <v>24180</v>
      </c>
      <c r="I13940" t="s">
        <v>1357</v>
      </c>
      <c r="J13940" t="s">
        <v>1357</v>
      </c>
      <c r="K13940" t="s">
        <v>1357</v>
      </c>
      <c r="L13940" t="s">
        <v>1357</v>
      </c>
    </row>
    <row r="13941" spans="8:12">
      <c r="H13941" t="s">
        <v>24181</v>
      </c>
      <c r="I13941" t="s">
        <v>1357</v>
      </c>
      <c r="J13941" t="s">
        <v>1357</v>
      </c>
      <c r="K13941" t="s">
        <v>1357</v>
      </c>
      <c r="L13941" t="s">
        <v>1357</v>
      </c>
    </row>
    <row r="13942" spans="8:12">
      <c r="H13942" t="s">
        <v>24182</v>
      </c>
      <c r="I13942" t="s">
        <v>1357</v>
      </c>
      <c r="J13942" t="s">
        <v>1357</v>
      </c>
      <c r="K13942" t="s">
        <v>1357</v>
      </c>
      <c r="L13942" t="s">
        <v>1357</v>
      </c>
    </row>
    <row r="13943" spans="8:12">
      <c r="H13943" t="s">
        <v>24183</v>
      </c>
      <c r="I13943" t="s">
        <v>1357</v>
      </c>
      <c r="J13943" t="s">
        <v>1357</v>
      </c>
      <c r="K13943" t="s">
        <v>1357</v>
      </c>
      <c r="L13943" t="s">
        <v>1357</v>
      </c>
    </row>
    <row r="13944" spans="8:12">
      <c r="H13944" t="s">
        <v>24184</v>
      </c>
      <c r="I13944" t="s">
        <v>1357</v>
      </c>
      <c r="J13944" t="s">
        <v>1357</v>
      </c>
      <c r="K13944" t="s">
        <v>1357</v>
      </c>
      <c r="L13944" t="s">
        <v>1357</v>
      </c>
    </row>
    <row r="13945" spans="8:12">
      <c r="H13945" t="s">
        <v>24185</v>
      </c>
      <c r="I13945" t="s">
        <v>1357</v>
      </c>
      <c r="J13945" t="s">
        <v>1357</v>
      </c>
      <c r="K13945" t="s">
        <v>1357</v>
      </c>
      <c r="L13945" t="s">
        <v>1357</v>
      </c>
    </row>
    <row r="13946" spans="8:12">
      <c r="H13946" t="s">
        <v>24186</v>
      </c>
      <c r="I13946" t="s">
        <v>1357</v>
      </c>
      <c r="J13946" t="s">
        <v>1357</v>
      </c>
      <c r="K13946" t="s">
        <v>1357</v>
      </c>
      <c r="L13946" t="s">
        <v>1357</v>
      </c>
    </row>
    <row r="13947" spans="8:12">
      <c r="H13947" t="s">
        <v>24187</v>
      </c>
      <c r="I13947" t="s">
        <v>1357</v>
      </c>
      <c r="J13947" t="s">
        <v>1357</v>
      </c>
      <c r="K13947" t="s">
        <v>1357</v>
      </c>
      <c r="L13947" t="s">
        <v>1357</v>
      </c>
    </row>
    <row r="13948" spans="8:12">
      <c r="H13948" t="s">
        <v>24188</v>
      </c>
      <c r="I13948" t="s">
        <v>1357</v>
      </c>
      <c r="J13948" t="s">
        <v>1357</v>
      </c>
      <c r="K13948" t="s">
        <v>1357</v>
      </c>
      <c r="L13948" t="s">
        <v>1357</v>
      </c>
    </row>
    <row r="13949" spans="8:12">
      <c r="H13949" t="s">
        <v>24189</v>
      </c>
      <c r="I13949" t="s">
        <v>1357</v>
      </c>
      <c r="J13949" t="s">
        <v>1357</v>
      </c>
      <c r="K13949" t="s">
        <v>1357</v>
      </c>
      <c r="L13949" t="s">
        <v>1357</v>
      </c>
    </row>
    <row r="13950" spans="8:12">
      <c r="H13950" t="s">
        <v>24190</v>
      </c>
      <c r="I13950" t="s">
        <v>1357</v>
      </c>
      <c r="J13950" t="s">
        <v>1357</v>
      </c>
      <c r="K13950" t="s">
        <v>1357</v>
      </c>
      <c r="L13950" t="s">
        <v>1357</v>
      </c>
    </row>
    <row r="13951" spans="8:12">
      <c r="H13951" t="s">
        <v>24191</v>
      </c>
      <c r="I13951" t="s">
        <v>1357</v>
      </c>
      <c r="J13951" t="s">
        <v>1357</v>
      </c>
      <c r="K13951" t="s">
        <v>1357</v>
      </c>
      <c r="L13951" t="s">
        <v>1357</v>
      </c>
    </row>
    <row r="13952" spans="8:12">
      <c r="H13952" t="s">
        <v>24192</v>
      </c>
      <c r="I13952" t="s">
        <v>1357</v>
      </c>
      <c r="J13952" t="s">
        <v>1357</v>
      </c>
      <c r="K13952" t="s">
        <v>1357</v>
      </c>
      <c r="L13952" t="s">
        <v>1357</v>
      </c>
    </row>
    <row r="13953" spans="6:12">
      <c r="H13953" t="s">
        <v>24193</v>
      </c>
      <c r="I13953" t="s">
        <v>1357</v>
      </c>
      <c r="J13953" t="s">
        <v>1357</v>
      </c>
      <c r="K13953" t="s">
        <v>1357</v>
      </c>
      <c r="L13953" t="s">
        <v>1357</v>
      </c>
    </row>
    <row r="13954" spans="6:12">
      <c r="H13954" t="s">
        <v>24194</v>
      </c>
      <c r="I13954" t="s">
        <v>1357</v>
      </c>
      <c r="J13954" t="s">
        <v>1357</v>
      </c>
      <c r="K13954" t="s">
        <v>1357</v>
      </c>
      <c r="L13954" t="s">
        <v>1357</v>
      </c>
    </row>
    <row r="13955" spans="6:12">
      <c r="H13955" t="s">
        <v>24195</v>
      </c>
      <c r="I13955" t="s">
        <v>1357</v>
      </c>
      <c r="J13955" t="s">
        <v>1357</v>
      </c>
      <c r="K13955" t="s">
        <v>1357</v>
      </c>
      <c r="L13955" t="s">
        <v>1357</v>
      </c>
    </row>
    <row r="13956" spans="6:12">
      <c r="F13956" t="s">
        <v>16641</v>
      </c>
      <c r="G13956" t="s">
        <v>19006</v>
      </c>
      <c r="H13956" t="s">
        <v>24196</v>
      </c>
      <c r="I13956" t="s">
        <v>1357</v>
      </c>
      <c r="J13956" t="s">
        <v>1357</v>
      </c>
      <c r="K13956" t="s">
        <v>1357</v>
      </c>
      <c r="L13956" t="s">
        <v>1357</v>
      </c>
    </row>
    <row r="13957" spans="6:12">
      <c r="H13957" t="s">
        <v>24197</v>
      </c>
      <c r="I13957" t="s">
        <v>1357</v>
      </c>
      <c r="J13957" t="s">
        <v>1357</v>
      </c>
      <c r="K13957" t="s">
        <v>1357</v>
      </c>
      <c r="L13957" t="s">
        <v>1357</v>
      </c>
    </row>
    <row r="13958" spans="6:12">
      <c r="H13958" t="s">
        <v>24198</v>
      </c>
      <c r="I13958" t="s">
        <v>1357</v>
      </c>
      <c r="J13958" t="s">
        <v>1357</v>
      </c>
      <c r="K13958" t="s">
        <v>1357</v>
      </c>
      <c r="L13958" t="s">
        <v>1357</v>
      </c>
    </row>
    <row r="13959" spans="6:12">
      <c r="H13959" t="s">
        <v>24199</v>
      </c>
      <c r="I13959" t="s">
        <v>1357</v>
      </c>
      <c r="J13959" t="s">
        <v>1357</v>
      </c>
      <c r="K13959" t="s">
        <v>1357</v>
      </c>
      <c r="L13959" t="s">
        <v>1357</v>
      </c>
    </row>
    <row r="13960" spans="6:12">
      <c r="H13960" t="s">
        <v>24200</v>
      </c>
      <c r="I13960" t="s">
        <v>1357</v>
      </c>
      <c r="J13960" t="s">
        <v>1357</v>
      </c>
      <c r="K13960" t="s">
        <v>1357</v>
      </c>
      <c r="L13960" t="s">
        <v>1357</v>
      </c>
    </row>
    <row r="13961" spans="6:12">
      <c r="H13961" t="s">
        <v>24201</v>
      </c>
      <c r="I13961" t="s">
        <v>1357</v>
      </c>
      <c r="J13961" t="s">
        <v>1357</v>
      </c>
      <c r="K13961" t="s">
        <v>1357</v>
      </c>
      <c r="L13961" t="s">
        <v>1357</v>
      </c>
    </row>
    <row r="13962" spans="6:12">
      <c r="H13962" t="s">
        <v>24202</v>
      </c>
      <c r="I13962" t="s">
        <v>1357</v>
      </c>
      <c r="J13962" t="s">
        <v>1357</v>
      </c>
      <c r="K13962" t="s">
        <v>1357</v>
      </c>
      <c r="L13962" t="s">
        <v>1357</v>
      </c>
    </row>
    <row r="13963" spans="6:12">
      <c r="H13963" t="s">
        <v>24203</v>
      </c>
      <c r="I13963" t="s">
        <v>1357</v>
      </c>
      <c r="J13963" t="s">
        <v>1357</v>
      </c>
      <c r="K13963" t="s">
        <v>1357</v>
      </c>
      <c r="L13963" t="s">
        <v>1357</v>
      </c>
    </row>
    <row r="13964" spans="6:12">
      <c r="H13964" t="s">
        <v>24204</v>
      </c>
      <c r="I13964" t="s">
        <v>1357</v>
      </c>
      <c r="J13964" t="s">
        <v>1357</v>
      </c>
      <c r="K13964" t="s">
        <v>1357</v>
      </c>
      <c r="L13964" t="s">
        <v>1357</v>
      </c>
    </row>
    <row r="13965" spans="6:12">
      <c r="H13965" t="s">
        <v>24205</v>
      </c>
      <c r="I13965" t="s">
        <v>1357</v>
      </c>
      <c r="J13965" t="s">
        <v>1357</v>
      </c>
      <c r="K13965" t="s">
        <v>1357</v>
      </c>
      <c r="L13965" t="s">
        <v>1357</v>
      </c>
    </row>
    <row r="13966" spans="6:12">
      <c r="H13966" t="s">
        <v>24206</v>
      </c>
      <c r="I13966" t="s">
        <v>1357</v>
      </c>
      <c r="J13966" t="s">
        <v>1357</v>
      </c>
      <c r="K13966" t="s">
        <v>1357</v>
      </c>
      <c r="L13966" t="s">
        <v>1357</v>
      </c>
    </row>
    <row r="13967" spans="6:12">
      <c r="H13967" t="s">
        <v>24207</v>
      </c>
      <c r="I13967" t="s">
        <v>1357</v>
      </c>
      <c r="J13967" t="s">
        <v>1357</v>
      </c>
      <c r="K13967" t="s">
        <v>1357</v>
      </c>
      <c r="L13967" t="s">
        <v>1357</v>
      </c>
    </row>
    <row r="13968" spans="6:12">
      <c r="H13968" t="s">
        <v>24208</v>
      </c>
      <c r="I13968" t="s">
        <v>1357</v>
      </c>
      <c r="J13968" t="s">
        <v>1357</v>
      </c>
      <c r="K13968" t="s">
        <v>1357</v>
      </c>
      <c r="L13968" t="s">
        <v>1357</v>
      </c>
    </row>
    <row r="13969" spans="1:12">
      <c r="H13969" t="s">
        <v>24209</v>
      </c>
      <c r="I13969" t="s">
        <v>1357</v>
      </c>
      <c r="J13969" t="s">
        <v>1357</v>
      </c>
      <c r="K13969" t="s">
        <v>1357</v>
      </c>
      <c r="L13969" t="s">
        <v>1357</v>
      </c>
    </row>
    <row r="13970" spans="1:12">
      <c r="H13970" t="s">
        <v>24210</v>
      </c>
      <c r="I13970" t="s">
        <v>1357</v>
      </c>
      <c r="J13970" t="s">
        <v>1357</v>
      </c>
      <c r="K13970" t="s">
        <v>1357</v>
      </c>
      <c r="L13970" t="s">
        <v>1357</v>
      </c>
    </row>
    <row r="13971" spans="1:12">
      <c r="H13971" t="s">
        <v>24211</v>
      </c>
      <c r="I13971" t="s">
        <v>1357</v>
      </c>
      <c r="J13971" t="s">
        <v>1357</v>
      </c>
      <c r="K13971" t="s">
        <v>1357</v>
      </c>
      <c r="L13971" t="s">
        <v>1357</v>
      </c>
    </row>
    <row r="13972" spans="1:12">
      <c r="A13972" t="s">
        <v>11077</v>
      </c>
      <c r="B13972">
        <f>HYPERLINK("https://android.googlesource.com/platform/cts/+/aa208ee8d9b657b45eb6b71849931f5049f30dd2", "aa208ee8d9b657b45eb6b71849931f5049f30dd2")</f>
        <v>0</v>
      </c>
      <c r="C13972">
        <f>HYPERLINK("https://android.googlesource.com/platform/cts/+/5e0196d6b63161ac6834bb63a19d5cabbd9d56a8", "5e0196d6b63161ac6834bb63a19d5cabbd9d56a8")</f>
        <v>0</v>
      </c>
      <c r="D13972" t="s">
        <v>12300</v>
      </c>
      <c r="E13972" t="s">
        <v>13604</v>
      </c>
      <c r="F13972" t="s">
        <v>16679</v>
      </c>
      <c r="G13972" t="s">
        <v>17420</v>
      </c>
      <c r="H13972" t="s">
        <v>24212</v>
      </c>
      <c r="I13972" t="s">
        <v>1357</v>
      </c>
      <c r="J13972" t="s">
        <v>1357</v>
      </c>
      <c r="K13972" t="s">
        <v>1357</v>
      </c>
      <c r="L13972" t="s">
        <v>1357</v>
      </c>
    </row>
    <row r="13973" spans="1:12">
      <c r="A13973" t="s">
        <v>11078</v>
      </c>
      <c r="B13973">
        <f>HYPERLINK("https://android.googlesource.com/platform/cts/+/62d71fe94d5391cad1184f3aa0bda0e590e90413", "62d71fe94d5391cad1184f3aa0bda0e590e90413")</f>
        <v>0</v>
      </c>
      <c r="C13973">
        <f>HYPERLINK("https://android.googlesource.com/platform/cts/+/c0de7393e0ddf9b62d5adc76e906c445966f6472", "c0de7393e0ddf9b62d5adc76e906c445966f6472")</f>
        <v>0</v>
      </c>
      <c r="D13973" t="s">
        <v>12308</v>
      </c>
      <c r="E13973" t="s">
        <v>13605</v>
      </c>
      <c r="F13973" t="s">
        <v>16714</v>
      </c>
      <c r="G13973" t="s">
        <v>19346</v>
      </c>
      <c r="H13973" t="s">
        <v>24213</v>
      </c>
      <c r="I13973" t="s">
        <v>1358</v>
      </c>
      <c r="J13973" t="s">
        <v>1358</v>
      </c>
      <c r="K13973" t="s">
        <v>1358</v>
      </c>
      <c r="L13973" t="s">
        <v>1358</v>
      </c>
    </row>
    <row r="13974" spans="1:12">
      <c r="H13974" t="s">
        <v>24214</v>
      </c>
      <c r="I13974" t="s">
        <v>1358</v>
      </c>
      <c r="J13974" t="s">
        <v>1358</v>
      </c>
      <c r="K13974" t="s">
        <v>1358</v>
      </c>
      <c r="L13974" t="s">
        <v>1358</v>
      </c>
    </row>
    <row r="13975" spans="1:12">
      <c r="H13975" t="s">
        <v>24215</v>
      </c>
      <c r="I13975" t="s">
        <v>1358</v>
      </c>
      <c r="J13975" t="s">
        <v>1358</v>
      </c>
      <c r="K13975" t="s">
        <v>1358</v>
      </c>
      <c r="L13975" t="s">
        <v>1358</v>
      </c>
    </row>
    <row r="13976" spans="1:12">
      <c r="A13976" t="s">
        <v>11079</v>
      </c>
      <c r="B13976">
        <f>HYPERLINK("https://android.googlesource.com/platform/cts/+/e7ca1e87bb99bdb344b8e4d927aa904b10c0d65e", "e7ca1e87bb99bdb344b8e4d927aa904b10c0d65e")</f>
        <v>0</v>
      </c>
      <c r="C13976">
        <f>HYPERLINK("https://android.googlesource.com/platform/cts/+/5e0196d6b63161ac6834bb63a19d5cabbd9d56a8", "5e0196d6b63161ac6834bb63a19d5cabbd9d56a8")</f>
        <v>0</v>
      </c>
      <c r="D13976" t="s">
        <v>12178</v>
      </c>
      <c r="E13976" t="s">
        <v>13606</v>
      </c>
      <c r="F13976" t="s">
        <v>16715</v>
      </c>
      <c r="G13976" t="s">
        <v>19347</v>
      </c>
      <c r="H13976" t="s">
        <v>23282</v>
      </c>
      <c r="I13976" t="s">
        <v>1357</v>
      </c>
      <c r="J13976" t="s">
        <v>1357</v>
      </c>
      <c r="K13976" t="s">
        <v>1357</v>
      </c>
      <c r="L13976" t="s">
        <v>1357</v>
      </c>
    </row>
    <row r="13977" spans="1:12">
      <c r="H13977" t="s">
        <v>24216</v>
      </c>
      <c r="I13977" t="s">
        <v>1357</v>
      </c>
      <c r="J13977" t="s">
        <v>1357</v>
      </c>
      <c r="K13977" t="s">
        <v>1357</v>
      </c>
      <c r="L13977" t="s">
        <v>1357</v>
      </c>
    </row>
    <row r="13978" spans="1:12">
      <c r="H13978" t="s">
        <v>24217</v>
      </c>
      <c r="I13978" t="s">
        <v>1357</v>
      </c>
      <c r="J13978" t="s">
        <v>1357</v>
      </c>
      <c r="K13978" t="s">
        <v>1357</v>
      </c>
      <c r="L13978" t="s">
        <v>1357</v>
      </c>
    </row>
    <row r="13979" spans="1:12">
      <c r="H13979" t="s">
        <v>24218</v>
      </c>
      <c r="I13979" t="s">
        <v>1357</v>
      </c>
      <c r="J13979" t="s">
        <v>1357</v>
      </c>
      <c r="K13979" t="s">
        <v>1357</v>
      </c>
      <c r="L13979" t="s">
        <v>1357</v>
      </c>
    </row>
    <row r="13980" spans="1:12">
      <c r="H13980" t="s">
        <v>19948</v>
      </c>
      <c r="I13980" t="s">
        <v>1357</v>
      </c>
      <c r="J13980" t="s">
        <v>1357</v>
      </c>
      <c r="K13980" t="s">
        <v>1357</v>
      </c>
      <c r="L13980" t="s">
        <v>1357</v>
      </c>
    </row>
    <row r="13981" spans="1:12">
      <c r="H13981" t="s">
        <v>19890</v>
      </c>
      <c r="I13981" t="s">
        <v>1357</v>
      </c>
      <c r="J13981" t="s">
        <v>1357</v>
      </c>
      <c r="K13981" t="s">
        <v>1357</v>
      </c>
      <c r="L13981" t="s">
        <v>1357</v>
      </c>
    </row>
    <row r="13982" spans="1:12">
      <c r="A13982" t="s">
        <v>11080</v>
      </c>
      <c r="B13982">
        <f>HYPERLINK("https://android.googlesource.com/platform/cts/+/c71a40c1af87ba0c937276b9b7e9e3ab0a57350e", "c71a40c1af87ba0c937276b9b7e9e3ab0a57350e")</f>
        <v>0</v>
      </c>
      <c r="C13982">
        <f>HYPERLINK("https://android.googlesource.com/platform/cts/+/2761e853b2c01b420a6fb71be26f5116cc4a6cde", "2761e853b2c01b420a6fb71be26f5116cc4a6cde")</f>
        <v>0</v>
      </c>
      <c r="D13982" t="s">
        <v>12080</v>
      </c>
      <c r="E13982" t="s">
        <v>13607</v>
      </c>
      <c r="F13982" t="s">
        <v>16716</v>
      </c>
      <c r="G13982" t="s">
        <v>19348</v>
      </c>
      <c r="H13982" t="s">
        <v>24219</v>
      </c>
      <c r="I13982" t="s">
        <v>1357</v>
      </c>
      <c r="J13982" t="s">
        <v>1357</v>
      </c>
      <c r="K13982" t="s">
        <v>1357</v>
      </c>
      <c r="L13982" t="s">
        <v>1357</v>
      </c>
    </row>
    <row r="13983" spans="1:12">
      <c r="H13983" t="s">
        <v>24220</v>
      </c>
      <c r="I13983" t="s">
        <v>1357</v>
      </c>
      <c r="J13983" t="s">
        <v>1357</v>
      </c>
      <c r="K13983" t="s">
        <v>1357</v>
      </c>
      <c r="L13983" t="s">
        <v>1357</v>
      </c>
    </row>
    <row r="13984" spans="1:12">
      <c r="H13984" t="s">
        <v>24221</v>
      </c>
      <c r="I13984" t="s">
        <v>1357</v>
      </c>
      <c r="J13984" t="s">
        <v>1357</v>
      </c>
      <c r="K13984" t="s">
        <v>1357</v>
      </c>
      <c r="L13984" t="s">
        <v>1357</v>
      </c>
    </row>
    <row r="13985" spans="1:12">
      <c r="A13985" t="s">
        <v>11081</v>
      </c>
      <c r="B13985">
        <f>HYPERLINK("https://android.googlesource.com/platform/cts/+/44e2485de2ed192a27425a02d0584cd051db1ca8", "44e2485de2ed192a27425a02d0584cd051db1ca8")</f>
        <v>0</v>
      </c>
      <c r="C13985">
        <f>HYPERLINK("https://android.googlesource.com/platform/cts/+/b4c24ddf7124ca2a8715d7f766711146def899aa", "b4c24ddf7124ca2a8715d7f766711146def899aa")</f>
        <v>0</v>
      </c>
      <c r="D13985" t="s">
        <v>12298</v>
      </c>
      <c r="E13985" t="s">
        <v>13608</v>
      </c>
      <c r="F13985" t="s">
        <v>16717</v>
      </c>
      <c r="G13985" t="s">
        <v>19349</v>
      </c>
      <c r="H13985" t="s">
        <v>24222</v>
      </c>
      <c r="I13985" t="s">
        <v>1357</v>
      </c>
      <c r="J13985" t="s">
        <v>1357</v>
      </c>
      <c r="K13985" t="s">
        <v>1357</v>
      </c>
      <c r="L13985" t="s">
        <v>1357</v>
      </c>
    </row>
    <row r="13986" spans="1:12">
      <c r="H13986" t="s">
        <v>24223</v>
      </c>
      <c r="I13986" t="s">
        <v>1357</v>
      </c>
      <c r="J13986" t="s">
        <v>1357</v>
      </c>
      <c r="K13986" t="s">
        <v>1357</v>
      </c>
      <c r="L13986" t="s">
        <v>1357</v>
      </c>
    </row>
    <row r="13987" spans="1:12">
      <c r="A13987" t="s">
        <v>11082</v>
      </c>
      <c r="B13987">
        <f>HYPERLINK("https://android.googlesource.com/platform/cts/+/0fb0b99b57af2a86884c464f207e12608d31e01e", "0fb0b99b57af2a86884c464f207e12608d31e01e")</f>
        <v>0</v>
      </c>
      <c r="C13987">
        <f>HYPERLINK("https://android.googlesource.com/platform/cts/+/05a79cc04292b072029520d328c00bb3ece98562", "05a79cc04292b072029520d328c00bb3ece98562")</f>
        <v>0</v>
      </c>
      <c r="D13987" t="s">
        <v>11991</v>
      </c>
      <c r="E13987" t="s">
        <v>13609</v>
      </c>
      <c r="F13987" t="s">
        <v>16718</v>
      </c>
      <c r="G13987" t="s">
        <v>18595</v>
      </c>
      <c r="H13987" t="s">
        <v>24224</v>
      </c>
      <c r="I13987" t="s">
        <v>1357</v>
      </c>
      <c r="J13987" t="s">
        <v>1357</v>
      </c>
      <c r="K13987" t="s">
        <v>1357</v>
      </c>
      <c r="L13987" t="s">
        <v>1357</v>
      </c>
    </row>
    <row r="13988" spans="1:12">
      <c r="H13988" t="s">
        <v>24225</v>
      </c>
      <c r="I13988" t="s">
        <v>1357</v>
      </c>
      <c r="J13988" t="s">
        <v>1357</v>
      </c>
      <c r="K13988" t="s">
        <v>1357</v>
      </c>
      <c r="L13988" t="s">
        <v>1357</v>
      </c>
    </row>
    <row r="13989" spans="1:12">
      <c r="H13989" t="s">
        <v>24226</v>
      </c>
      <c r="I13989" t="s">
        <v>1357</v>
      </c>
      <c r="J13989" t="s">
        <v>1357</v>
      </c>
      <c r="K13989" t="s">
        <v>1357</v>
      </c>
      <c r="L13989" t="s">
        <v>1357</v>
      </c>
    </row>
    <row r="13990" spans="1:12">
      <c r="F13990" t="s">
        <v>16045</v>
      </c>
      <c r="G13990" t="s">
        <v>18736</v>
      </c>
      <c r="H13990" t="s">
        <v>24227</v>
      </c>
      <c r="I13990" t="s">
        <v>1357</v>
      </c>
      <c r="J13990" t="s">
        <v>1357</v>
      </c>
      <c r="K13990" t="s">
        <v>1357</v>
      </c>
      <c r="L13990" t="s">
        <v>1357</v>
      </c>
    </row>
    <row r="13991" spans="1:12">
      <c r="H13991" t="s">
        <v>24228</v>
      </c>
      <c r="I13991" t="s">
        <v>1357</v>
      </c>
      <c r="J13991" t="s">
        <v>1357</v>
      </c>
      <c r="K13991" t="s">
        <v>1357</v>
      </c>
      <c r="L13991" t="s">
        <v>1357</v>
      </c>
    </row>
    <row r="13992" spans="1:12">
      <c r="H13992" t="s">
        <v>24229</v>
      </c>
      <c r="I13992" t="s">
        <v>1357</v>
      </c>
      <c r="J13992" t="s">
        <v>1357</v>
      </c>
      <c r="K13992" t="s">
        <v>1357</v>
      </c>
      <c r="L13992" t="s">
        <v>1357</v>
      </c>
    </row>
    <row r="13993" spans="1:12">
      <c r="H13993" t="s">
        <v>24230</v>
      </c>
      <c r="I13993" t="s">
        <v>1357</v>
      </c>
      <c r="J13993" t="s">
        <v>1357</v>
      </c>
      <c r="K13993" t="s">
        <v>1357</v>
      </c>
      <c r="L13993" t="s">
        <v>1357</v>
      </c>
    </row>
    <row r="13994" spans="1:12">
      <c r="H13994" t="s">
        <v>24231</v>
      </c>
      <c r="I13994" t="s">
        <v>1357</v>
      </c>
      <c r="J13994" t="s">
        <v>1357</v>
      </c>
      <c r="K13994" t="s">
        <v>1357</v>
      </c>
      <c r="L13994" t="s">
        <v>1357</v>
      </c>
    </row>
    <row r="13995" spans="1:12">
      <c r="H13995" t="s">
        <v>24232</v>
      </c>
      <c r="I13995" t="s">
        <v>1357</v>
      </c>
      <c r="J13995" t="s">
        <v>1357</v>
      </c>
      <c r="K13995" t="s">
        <v>1357</v>
      </c>
      <c r="L13995" t="s">
        <v>1357</v>
      </c>
    </row>
    <row r="13996" spans="1:12">
      <c r="H13996" t="s">
        <v>24233</v>
      </c>
      <c r="I13996" t="s">
        <v>1357</v>
      </c>
      <c r="J13996" t="s">
        <v>1357</v>
      </c>
      <c r="K13996" t="s">
        <v>1357</v>
      </c>
      <c r="L13996" t="s">
        <v>1357</v>
      </c>
    </row>
    <row r="13997" spans="1:12">
      <c r="A13997" t="s">
        <v>11083</v>
      </c>
      <c r="B13997">
        <f>HYPERLINK("https://android.googlesource.com/platform/cts/+/ebba5df3c2b48ee3778db6bf0a509898cadad192", "ebba5df3c2b48ee3778db6bf0a509898cadad192")</f>
        <v>0</v>
      </c>
      <c r="C13997">
        <f>HYPERLINK("https://android.googlesource.com/platform/cts/+/6f4d833a0e787dbb769cad529b60d4a9d783e99a", "6f4d833a0e787dbb769cad529b60d4a9d783e99a")</f>
        <v>0</v>
      </c>
      <c r="D13997" t="s">
        <v>12090</v>
      </c>
      <c r="E13997" t="s">
        <v>13610</v>
      </c>
      <c r="F13997" t="s">
        <v>14580</v>
      </c>
      <c r="G13997" t="s">
        <v>17424</v>
      </c>
      <c r="H13997" t="s">
        <v>24234</v>
      </c>
      <c r="I13997" t="s">
        <v>1357</v>
      </c>
      <c r="J13997" t="s">
        <v>1357</v>
      </c>
      <c r="K13997" t="s">
        <v>1357</v>
      </c>
      <c r="L13997" t="s">
        <v>1357</v>
      </c>
    </row>
    <row r="13998" spans="1:12">
      <c r="A13998" t="s">
        <v>11084</v>
      </c>
      <c r="B13998">
        <f>HYPERLINK("https://android.googlesource.com/platform/cts/+/6e0d19e2ecec8aab3e63110c3640c069760983a9", "6e0d19e2ecec8aab3e63110c3640c069760983a9")</f>
        <v>0</v>
      </c>
      <c r="C13998">
        <f>HYPERLINK("https://android.googlesource.com/platform/cts/+/0a8521c3f49f355c77dc6179371117d302a45c93", "0a8521c3f49f355c77dc6179371117d302a45c93")</f>
        <v>0</v>
      </c>
      <c r="D13998" t="s">
        <v>12154</v>
      </c>
      <c r="E13998" t="s">
        <v>13611</v>
      </c>
      <c r="F13998" t="s">
        <v>16719</v>
      </c>
      <c r="G13998" t="s">
        <v>19350</v>
      </c>
      <c r="H13998" t="s">
        <v>24235</v>
      </c>
      <c r="I13998" t="s">
        <v>1357</v>
      </c>
      <c r="J13998" t="s">
        <v>1357</v>
      </c>
      <c r="K13998" t="s">
        <v>1357</v>
      </c>
      <c r="L13998" t="s">
        <v>1357</v>
      </c>
    </row>
    <row r="13999" spans="1:12">
      <c r="F13999" t="s">
        <v>16720</v>
      </c>
      <c r="G13999" t="s">
        <v>19351</v>
      </c>
      <c r="H13999" t="s">
        <v>24235</v>
      </c>
      <c r="I13999" t="s">
        <v>1357</v>
      </c>
      <c r="J13999" t="s">
        <v>1357</v>
      </c>
      <c r="K13999" t="s">
        <v>1357</v>
      </c>
      <c r="L13999" t="s">
        <v>1357</v>
      </c>
    </row>
    <row r="14000" spans="1:12">
      <c r="F14000" t="s">
        <v>16721</v>
      </c>
      <c r="G14000" t="s">
        <v>19352</v>
      </c>
      <c r="H14000" t="s">
        <v>24235</v>
      </c>
      <c r="I14000" t="s">
        <v>1357</v>
      </c>
      <c r="J14000" t="s">
        <v>1357</v>
      </c>
      <c r="K14000" t="s">
        <v>1357</v>
      </c>
      <c r="L14000" t="s">
        <v>1357</v>
      </c>
    </row>
    <row r="14001" spans="1:13">
      <c r="A14001" t="s">
        <v>11085</v>
      </c>
      <c r="B14001">
        <f>HYPERLINK("https://android.googlesource.com/platform/cts/+/4f4c1b15dcdb79087d766893c10c1326489d3f48", "4f4c1b15dcdb79087d766893c10c1326489d3f48")</f>
        <v>0</v>
      </c>
      <c r="C14001">
        <f>HYPERLINK("https://android.googlesource.com/platform/cts/+/e62fb2511999aa952cb96354678eb1194360d322", "e62fb2511999aa952cb96354678eb1194360d322")</f>
        <v>0</v>
      </c>
      <c r="D14001" t="s">
        <v>11991</v>
      </c>
      <c r="E14001" t="s">
        <v>13612</v>
      </c>
      <c r="F14001" t="s">
        <v>15921</v>
      </c>
      <c r="G14001" t="s">
        <v>18613</v>
      </c>
      <c r="H14001" t="s">
        <v>24236</v>
      </c>
      <c r="I14001" t="s">
        <v>1357</v>
      </c>
      <c r="J14001" t="s">
        <v>1357</v>
      </c>
      <c r="K14001" t="s">
        <v>1357</v>
      </c>
      <c r="L14001" t="s">
        <v>1357</v>
      </c>
    </row>
    <row r="14002" spans="1:13">
      <c r="A14002" t="s">
        <v>11086</v>
      </c>
      <c r="B14002">
        <f>HYPERLINK("https://android.googlesource.com/platform/cts/+/79fef0dd388d1b700b1aa07aefb6502b72503e8e", "79fef0dd388d1b700b1aa07aefb6502b72503e8e")</f>
        <v>0</v>
      </c>
      <c r="C14002">
        <f>HYPERLINK("https://android.googlesource.com/platform/cts/+/2b1974b36862350aa5b410d5180a938858f502ef", "2b1974b36862350aa5b410d5180a938858f502ef")</f>
        <v>0</v>
      </c>
      <c r="D14002" t="s">
        <v>12178</v>
      </c>
      <c r="E14002" t="s">
        <v>13613</v>
      </c>
      <c r="F14002" t="s">
        <v>16489</v>
      </c>
      <c r="G14002" t="s">
        <v>19148</v>
      </c>
      <c r="H14002" t="s">
        <v>23843</v>
      </c>
      <c r="I14002" t="s">
        <v>1357</v>
      </c>
      <c r="J14002" t="s">
        <v>1357</v>
      </c>
      <c r="K14002" t="s">
        <v>1357</v>
      </c>
      <c r="L14002" t="s">
        <v>1357</v>
      </c>
    </row>
    <row r="14003" spans="1:13">
      <c r="H14003" t="s">
        <v>23231</v>
      </c>
      <c r="I14003" t="s">
        <v>1357</v>
      </c>
      <c r="J14003" t="s">
        <v>1357</v>
      </c>
      <c r="K14003" t="s">
        <v>1357</v>
      </c>
      <c r="L14003" t="s">
        <v>1357</v>
      </c>
    </row>
    <row r="14004" spans="1:13">
      <c r="H14004" t="s">
        <v>23232</v>
      </c>
      <c r="I14004" t="s">
        <v>1357</v>
      </c>
      <c r="J14004" t="s">
        <v>1357</v>
      </c>
      <c r="K14004" t="s">
        <v>1357</v>
      </c>
      <c r="L14004" t="s">
        <v>1357</v>
      </c>
    </row>
    <row r="14005" spans="1:13">
      <c r="H14005" t="s">
        <v>23233</v>
      </c>
      <c r="I14005" t="s">
        <v>1357</v>
      </c>
      <c r="J14005" t="s">
        <v>1357</v>
      </c>
      <c r="K14005" t="s">
        <v>1357</v>
      </c>
      <c r="L14005" t="s">
        <v>1357</v>
      </c>
    </row>
    <row r="14006" spans="1:13">
      <c r="H14006" t="s">
        <v>23234</v>
      </c>
      <c r="I14006" t="s">
        <v>1357</v>
      </c>
      <c r="J14006" t="s">
        <v>1357</v>
      </c>
      <c r="K14006" t="s">
        <v>1357</v>
      </c>
      <c r="L14006" t="s">
        <v>1357</v>
      </c>
    </row>
    <row r="14007" spans="1:13">
      <c r="H14007" t="s">
        <v>23235</v>
      </c>
      <c r="I14007" t="s">
        <v>1357</v>
      </c>
      <c r="J14007" t="s">
        <v>1357</v>
      </c>
      <c r="K14007" t="s">
        <v>1357</v>
      </c>
      <c r="L14007" t="s">
        <v>1357</v>
      </c>
    </row>
    <row r="14008" spans="1:13">
      <c r="H14008" t="s">
        <v>23236</v>
      </c>
      <c r="I14008" t="s">
        <v>1357</v>
      </c>
      <c r="J14008" t="s">
        <v>1357</v>
      </c>
      <c r="K14008" t="s">
        <v>1357</v>
      </c>
      <c r="L14008" t="s">
        <v>1357</v>
      </c>
    </row>
    <row r="14009" spans="1:13">
      <c r="H14009" t="s">
        <v>4116</v>
      </c>
      <c r="I14009" t="s">
        <v>1357</v>
      </c>
      <c r="J14009" t="s">
        <v>1357</v>
      </c>
      <c r="K14009" t="s">
        <v>1357</v>
      </c>
      <c r="L14009" t="s">
        <v>1357</v>
      </c>
    </row>
    <row r="14010" spans="1:13">
      <c r="H14010" t="s">
        <v>23237</v>
      </c>
      <c r="I14010" t="s">
        <v>1357</v>
      </c>
      <c r="J14010" t="s">
        <v>1357</v>
      </c>
      <c r="K14010" t="s">
        <v>1357</v>
      </c>
      <c r="L14010" t="s">
        <v>1357</v>
      </c>
    </row>
    <row r="14011" spans="1:13">
      <c r="H14011" t="s">
        <v>23238</v>
      </c>
      <c r="I14011" t="s">
        <v>1357</v>
      </c>
      <c r="J14011" t="s">
        <v>1357</v>
      </c>
      <c r="K14011" t="s">
        <v>1357</v>
      </c>
      <c r="L14011" t="s">
        <v>1357</v>
      </c>
      <c r="M14011" t="s">
        <v>9957</v>
      </c>
    </row>
    <row r="14012" spans="1:13">
      <c r="H14012" t="s">
        <v>23239</v>
      </c>
      <c r="I14012" t="s">
        <v>1357</v>
      </c>
      <c r="J14012" t="s">
        <v>1357</v>
      </c>
      <c r="K14012" t="s">
        <v>1357</v>
      </c>
      <c r="L14012" t="s">
        <v>1357</v>
      </c>
    </row>
    <row r="14013" spans="1:13">
      <c r="H14013" t="s">
        <v>23240</v>
      </c>
      <c r="I14013" t="s">
        <v>1357</v>
      </c>
      <c r="J14013" t="s">
        <v>1357</v>
      </c>
      <c r="K14013" t="s">
        <v>1357</v>
      </c>
      <c r="L14013" t="s">
        <v>1357</v>
      </c>
    </row>
    <row r="14014" spans="1:13">
      <c r="H14014" t="s">
        <v>23241</v>
      </c>
      <c r="I14014" t="s">
        <v>1357</v>
      </c>
      <c r="J14014" t="s">
        <v>1357</v>
      </c>
      <c r="K14014" t="s">
        <v>1357</v>
      </c>
      <c r="L14014" t="s">
        <v>1357</v>
      </c>
    </row>
    <row r="14015" spans="1:13">
      <c r="F14015" t="s">
        <v>16490</v>
      </c>
      <c r="G14015" t="s">
        <v>19149</v>
      </c>
      <c r="H14015" t="s">
        <v>23855</v>
      </c>
      <c r="I14015" t="s">
        <v>1357</v>
      </c>
      <c r="J14015" t="s">
        <v>1357</v>
      </c>
      <c r="K14015" t="s">
        <v>1357</v>
      </c>
      <c r="L14015" t="s">
        <v>1357</v>
      </c>
    </row>
    <row r="14016" spans="1:13">
      <c r="H14016" t="s">
        <v>23242</v>
      </c>
      <c r="I14016" t="s">
        <v>1357</v>
      </c>
      <c r="J14016" t="s">
        <v>1357</v>
      </c>
      <c r="K14016" t="s">
        <v>1357</v>
      </c>
      <c r="L14016" t="s">
        <v>1357</v>
      </c>
    </row>
    <row r="14017" spans="8:12">
      <c r="H14017" t="s">
        <v>23243</v>
      </c>
      <c r="I14017" t="s">
        <v>1357</v>
      </c>
      <c r="J14017" t="s">
        <v>1357</v>
      </c>
      <c r="K14017" t="s">
        <v>1357</v>
      </c>
      <c r="L14017" t="s">
        <v>1357</v>
      </c>
    </row>
    <row r="14018" spans="8:12">
      <c r="H14018" t="s">
        <v>23246</v>
      </c>
      <c r="I14018" t="s">
        <v>1357</v>
      </c>
      <c r="J14018" t="s">
        <v>1357</v>
      </c>
      <c r="K14018" t="s">
        <v>1357</v>
      </c>
      <c r="L14018" t="s">
        <v>1357</v>
      </c>
    </row>
    <row r="14019" spans="8:12">
      <c r="H14019" t="s">
        <v>23247</v>
      </c>
      <c r="I14019" t="s">
        <v>1357</v>
      </c>
      <c r="J14019" t="s">
        <v>1357</v>
      </c>
      <c r="K14019" t="s">
        <v>1357</v>
      </c>
      <c r="L14019" t="s">
        <v>1357</v>
      </c>
    </row>
    <row r="14020" spans="8:12">
      <c r="H14020" t="s">
        <v>23248</v>
      </c>
      <c r="I14020" t="s">
        <v>1357</v>
      </c>
      <c r="J14020" t="s">
        <v>1357</v>
      </c>
      <c r="K14020" t="s">
        <v>1357</v>
      </c>
      <c r="L14020" t="s">
        <v>1357</v>
      </c>
    </row>
    <row r="14021" spans="8:12">
      <c r="H14021" t="s">
        <v>23249</v>
      </c>
      <c r="I14021" t="s">
        <v>1357</v>
      </c>
      <c r="J14021" t="s">
        <v>1357</v>
      </c>
      <c r="K14021" t="s">
        <v>1357</v>
      </c>
      <c r="L14021" t="s">
        <v>1357</v>
      </c>
    </row>
    <row r="14022" spans="8:12">
      <c r="H14022" t="s">
        <v>23250</v>
      </c>
      <c r="I14022" t="s">
        <v>1357</v>
      </c>
      <c r="J14022" t="s">
        <v>1357</v>
      </c>
      <c r="K14022" t="s">
        <v>1357</v>
      </c>
      <c r="L14022" t="s">
        <v>1357</v>
      </c>
    </row>
    <row r="14023" spans="8:12">
      <c r="H14023" t="s">
        <v>23856</v>
      </c>
      <c r="I14023" t="s">
        <v>1357</v>
      </c>
      <c r="J14023" t="s">
        <v>1357</v>
      </c>
      <c r="K14023" t="s">
        <v>1357</v>
      </c>
      <c r="L14023" t="s">
        <v>1357</v>
      </c>
    </row>
    <row r="14024" spans="8:12">
      <c r="H14024" t="s">
        <v>23251</v>
      </c>
      <c r="I14024" t="s">
        <v>1357</v>
      </c>
      <c r="J14024" t="s">
        <v>1357</v>
      </c>
      <c r="K14024" t="s">
        <v>1357</v>
      </c>
      <c r="L14024" t="s">
        <v>1357</v>
      </c>
    </row>
    <row r="14025" spans="8:12">
      <c r="H14025" t="s">
        <v>23285</v>
      </c>
      <c r="I14025" t="s">
        <v>1357</v>
      </c>
      <c r="J14025" t="s">
        <v>1357</v>
      </c>
      <c r="K14025" t="s">
        <v>1357</v>
      </c>
      <c r="L14025" t="s">
        <v>1357</v>
      </c>
    </row>
    <row r="14026" spans="8:12">
      <c r="H14026" t="s">
        <v>23857</v>
      </c>
      <c r="I14026" t="s">
        <v>1357</v>
      </c>
      <c r="J14026" t="s">
        <v>1357</v>
      </c>
      <c r="K14026" t="s">
        <v>1357</v>
      </c>
      <c r="L14026" t="s">
        <v>1357</v>
      </c>
    </row>
    <row r="14027" spans="8:12">
      <c r="H14027" t="s">
        <v>23858</v>
      </c>
      <c r="I14027" t="s">
        <v>1357</v>
      </c>
      <c r="J14027" t="s">
        <v>1357</v>
      </c>
      <c r="K14027" t="s">
        <v>1357</v>
      </c>
      <c r="L14027" t="s">
        <v>1357</v>
      </c>
    </row>
    <row r="14028" spans="8:12">
      <c r="H14028" t="s">
        <v>23859</v>
      </c>
      <c r="I14028" t="s">
        <v>1357</v>
      </c>
      <c r="J14028" t="s">
        <v>1357</v>
      </c>
      <c r="K14028" t="s">
        <v>1357</v>
      </c>
      <c r="L14028" t="s">
        <v>1357</v>
      </c>
    </row>
    <row r="14029" spans="8:12">
      <c r="H14029" t="s">
        <v>23860</v>
      </c>
      <c r="I14029" t="s">
        <v>1357</v>
      </c>
      <c r="J14029" t="s">
        <v>1357</v>
      </c>
      <c r="K14029" t="s">
        <v>1357</v>
      </c>
      <c r="L14029" t="s">
        <v>1357</v>
      </c>
    </row>
    <row r="14030" spans="8:12">
      <c r="H14030" t="s">
        <v>23861</v>
      </c>
      <c r="I14030" t="s">
        <v>1357</v>
      </c>
      <c r="J14030" t="s">
        <v>1357</v>
      </c>
      <c r="K14030" t="s">
        <v>1357</v>
      </c>
      <c r="L14030" t="s">
        <v>1357</v>
      </c>
    </row>
    <row r="14031" spans="8:12">
      <c r="H14031" t="s">
        <v>23862</v>
      </c>
      <c r="I14031" t="s">
        <v>1357</v>
      </c>
      <c r="J14031" t="s">
        <v>1357</v>
      </c>
      <c r="K14031" t="s">
        <v>1357</v>
      </c>
      <c r="L14031" t="s">
        <v>1357</v>
      </c>
    </row>
    <row r="14032" spans="8:12">
      <c r="H14032" t="s">
        <v>23863</v>
      </c>
      <c r="I14032" t="s">
        <v>1357</v>
      </c>
      <c r="J14032" t="s">
        <v>1357</v>
      </c>
      <c r="K14032" t="s">
        <v>1357</v>
      </c>
      <c r="L14032" t="s">
        <v>1357</v>
      </c>
    </row>
    <row r="14033" spans="8:12">
      <c r="H14033" t="s">
        <v>23864</v>
      </c>
      <c r="I14033" t="s">
        <v>1357</v>
      </c>
      <c r="J14033" t="s">
        <v>1357</v>
      </c>
      <c r="K14033" t="s">
        <v>1357</v>
      </c>
      <c r="L14033" t="s">
        <v>1357</v>
      </c>
    </row>
    <row r="14034" spans="8:12">
      <c r="H14034" t="s">
        <v>23865</v>
      </c>
      <c r="I14034" t="s">
        <v>1357</v>
      </c>
      <c r="J14034" t="s">
        <v>1357</v>
      </c>
      <c r="K14034" t="s">
        <v>1357</v>
      </c>
      <c r="L14034" t="s">
        <v>1357</v>
      </c>
    </row>
    <row r="14035" spans="8:12">
      <c r="H14035" t="s">
        <v>23866</v>
      </c>
      <c r="I14035" t="s">
        <v>1357</v>
      </c>
      <c r="J14035" t="s">
        <v>1357</v>
      </c>
      <c r="K14035" t="s">
        <v>1357</v>
      </c>
      <c r="L14035" t="s">
        <v>1357</v>
      </c>
    </row>
    <row r="14036" spans="8:12">
      <c r="H14036" t="s">
        <v>23867</v>
      </c>
      <c r="I14036" t="s">
        <v>1357</v>
      </c>
      <c r="J14036" t="s">
        <v>1357</v>
      </c>
      <c r="K14036" t="s">
        <v>1357</v>
      </c>
      <c r="L14036" t="s">
        <v>1357</v>
      </c>
    </row>
    <row r="14037" spans="8:12">
      <c r="H14037" t="s">
        <v>23868</v>
      </c>
      <c r="I14037" t="s">
        <v>1357</v>
      </c>
      <c r="J14037" t="s">
        <v>1357</v>
      </c>
      <c r="K14037" t="s">
        <v>1357</v>
      </c>
      <c r="L14037" t="s">
        <v>1357</v>
      </c>
    </row>
    <row r="14038" spans="8:12">
      <c r="H14038" t="s">
        <v>23869</v>
      </c>
      <c r="I14038" t="s">
        <v>1357</v>
      </c>
      <c r="J14038" t="s">
        <v>1357</v>
      </c>
      <c r="K14038" t="s">
        <v>1357</v>
      </c>
      <c r="L14038" t="s">
        <v>1357</v>
      </c>
    </row>
    <row r="14039" spans="8:12">
      <c r="H14039" t="s">
        <v>23870</v>
      </c>
      <c r="I14039" t="s">
        <v>1357</v>
      </c>
      <c r="J14039" t="s">
        <v>1357</v>
      </c>
      <c r="K14039" t="s">
        <v>1357</v>
      </c>
      <c r="L14039" t="s">
        <v>1357</v>
      </c>
    </row>
    <row r="14040" spans="8:12">
      <c r="H14040" t="s">
        <v>23253</v>
      </c>
      <c r="I14040" t="s">
        <v>1357</v>
      </c>
      <c r="J14040" t="s">
        <v>1357</v>
      </c>
      <c r="K14040" t="s">
        <v>1357</v>
      </c>
      <c r="L14040" t="s">
        <v>1357</v>
      </c>
    </row>
    <row r="14041" spans="8:12">
      <c r="H14041" t="s">
        <v>23254</v>
      </c>
      <c r="I14041" t="s">
        <v>1357</v>
      </c>
      <c r="J14041" t="s">
        <v>1357</v>
      </c>
      <c r="K14041" t="s">
        <v>1357</v>
      </c>
      <c r="L14041" t="s">
        <v>1357</v>
      </c>
    </row>
    <row r="14042" spans="8:12">
      <c r="H14042" t="s">
        <v>23255</v>
      </c>
      <c r="I14042" t="s">
        <v>1357</v>
      </c>
      <c r="J14042" t="s">
        <v>1357</v>
      </c>
      <c r="K14042" t="s">
        <v>1357</v>
      </c>
      <c r="L14042" t="s">
        <v>1357</v>
      </c>
    </row>
    <row r="14043" spans="8:12">
      <c r="H14043" t="s">
        <v>23257</v>
      </c>
      <c r="I14043" t="s">
        <v>1357</v>
      </c>
      <c r="J14043" t="s">
        <v>1357</v>
      </c>
      <c r="K14043" t="s">
        <v>1357</v>
      </c>
      <c r="L14043" t="s">
        <v>1357</v>
      </c>
    </row>
    <row r="14044" spans="8:12">
      <c r="H14044" t="s">
        <v>23258</v>
      </c>
      <c r="I14044" t="s">
        <v>1357</v>
      </c>
      <c r="J14044" t="s">
        <v>1357</v>
      </c>
      <c r="K14044" t="s">
        <v>1357</v>
      </c>
      <c r="L14044" t="s">
        <v>1357</v>
      </c>
    </row>
    <row r="14045" spans="8:12">
      <c r="H14045" t="s">
        <v>23259</v>
      </c>
      <c r="I14045" t="s">
        <v>1357</v>
      </c>
      <c r="J14045" t="s">
        <v>1357</v>
      </c>
      <c r="K14045" t="s">
        <v>1357</v>
      </c>
      <c r="L14045" t="s">
        <v>1357</v>
      </c>
    </row>
    <row r="14046" spans="8:12">
      <c r="H14046" t="s">
        <v>23260</v>
      </c>
      <c r="I14046" t="s">
        <v>1357</v>
      </c>
      <c r="J14046" t="s">
        <v>1357</v>
      </c>
      <c r="K14046" t="s">
        <v>1357</v>
      </c>
      <c r="L14046" t="s">
        <v>1357</v>
      </c>
    </row>
    <row r="14047" spans="8:12">
      <c r="H14047" t="s">
        <v>23261</v>
      </c>
      <c r="I14047" t="s">
        <v>1357</v>
      </c>
      <c r="J14047" t="s">
        <v>1357</v>
      </c>
      <c r="K14047" t="s">
        <v>1357</v>
      </c>
      <c r="L14047" t="s">
        <v>1357</v>
      </c>
    </row>
    <row r="14048" spans="8:12">
      <c r="H14048" t="s">
        <v>23262</v>
      </c>
      <c r="I14048" t="s">
        <v>1357</v>
      </c>
      <c r="J14048" t="s">
        <v>1357</v>
      </c>
      <c r="K14048" t="s">
        <v>1357</v>
      </c>
      <c r="L14048" t="s">
        <v>1357</v>
      </c>
    </row>
    <row r="14049" spans="8:12">
      <c r="H14049" t="s">
        <v>23263</v>
      </c>
      <c r="I14049" t="s">
        <v>1357</v>
      </c>
      <c r="J14049" t="s">
        <v>1357</v>
      </c>
      <c r="K14049" t="s">
        <v>1357</v>
      </c>
      <c r="L14049" t="s">
        <v>1357</v>
      </c>
    </row>
    <row r="14050" spans="8:12">
      <c r="H14050" t="s">
        <v>23264</v>
      </c>
      <c r="I14050" t="s">
        <v>1357</v>
      </c>
      <c r="J14050" t="s">
        <v>1357</v>
      </c>
      <c r="K14050" t="s">
        <v>1357</v>
      </c>
      <c r="L14050" t="s">
        <v>1357</v>
      </c>
    </row>
    <row r="14051" spans="8:12">
      <c r="H14051" t="s">
        <v>23265</v>
      </c>
      <c r="I14051" t="s">
        <v>1357</v>
      </c>
      <c r="J14051" t="s">
        <v>1357</v>
      </c>
      <c r="K14051" t="s">
        <v>1357</v>
      </c>
      <c r="L14051" t="s">
        <v>1357</v>
      </c>
    </row>
    <row r="14052" spans="8:12">
      <c r="H14052" t="s">
        <v>23266</v>
      </c>
      <c r="I14052" t="s">
        <v>1357</v>
      </c>
      <c r="J14052" t="s">
        <v>1357</v>
      </c>
      <c r="K14052" t="s">
        <v>1357</v>
      </c>
      <c r="L14052" t="s">
        <v>1357</v>
      </c>
    </row>
    <row r="14053" spans="8:12">
      <c r="H14053" t="s">
        <v>23267</v>
      </c>
      <c r="I14053" t="s">
        <v>1357</v>
      </c>
      <c r="J14053" t="s">
        <v>1357</v>
      </c>
      <c r="K14053" t="s">
        <v>1357</v>
      </c>
      <c r="L14053" t="s">
        <v>1357</v>
      </c>
    </row>
    <row r="14054" spans="8:12">
      <c r="H14054" t="s">
        <v>23268</v>
      </c>
      <c r="I14054" t="s">
        <v>1357</v>
      </c>
      <c r="J14054" t="s">
        <v>1357</v>
      </c>
      <c r="K14054" t="s">
        <v>1357</v>
      </c>
      <c r="L14054" t="s">
        <v>1357</v>
      </c>
    </row>
    <row r="14055" spans="8:12">
      <c r="H14055" t="s">
        <v>23269</v>
      </c>
      <c r="I14055" t="s">
        <v>1357</v>
      </c>
      <c r="J14055" t="s">
        <v>1357</v>
      </c>
      <c r="K14055" t="s">
        <v>1357</v>
      </c>
      <c r="L14055" t="s">
        <v>1357</v>
      </c>
    </row>
    <row r="14056" spans="8:12">
      <c r="H14056" t="s">
        <v>23270</v>
      </c>
      <c r="I14056" t="s">
        <v>1357</v>
      </c>
      <c r="J14056" t="s">
        <v>1357</v>
      </c>
      <c r="K14056" t="s">
        <v>1357</v>
      </c>
      <c r="L14056" t="s">
        <v>1357</v>
      </c>
    </row>
    <row r="14057" spans="8:12">
      <c r="H14057" t="s">
        <v>23271</v>
      </c>
      <c r="I14057" t="s">
        <v>1357</v>
      </c>
      <c r="J14057" t="s">
        <v>1357</v>
      </c>
      <c r="K14057" t="s">
        <v>1357</v>
      </c>
      <c r="L14057" t="s">
        <v>1357</v>
      </c>
    </row>
    <row r="14058" spans="8:12">
      <c r="H14058" t="s">
        <v>23272</v>
      </c>
      <c r="I14058" t="s">
        <v>1357</v>
      </c>
      <c r="J14058" t="s">
        <v>1357</v>
      </c>
      <c r="K14058" t="s">
        <v>1357</v>
      </c>
      <c r="L14058" t="s">
        <v>1357</v>
      </c>
    </row>
    <row r="14059" spans="8:12">
      <c r="H14059" t="s">
        <v>23273</v>
      </c>
      <c r="I14059" t="s">
        <v>1357</v>
      </c>
      <c r="J14059" t="s">
        <v>1357</v>
      </c>
      <c r="K14059" t="s">
        <v>1357</v>
      </c>
      <c r="L14059" t="s">
        <v>1357</v>
      </c>
    </row>
    <row r="14060" spans="8:12">
      <c r="H14060" t="s">
        <v>23274</v>
      </c>
      <c r="I14060" t="s">
        <v>1357</v>
      </c>
      <c r="J14060" t="s">
        <v>1357</v>
      </c>
      <c r="K14060" t="s">
        <v>1357</v>
      </c>
      <c r="L14060" t="s">
        <v>1357</v>
      </c>
    </row>
    <row r="14061" spans="8:12">
      <c r="H14061" t="s">
        <v>23275</v>
      </c>
      <c r="I14061" t="s">
        <v>1357</v>
      </c>
      <c r="J14061" t="s">
        <v>1357</v>
      </c>
      <c r="K14061" t="s">
        <v>1357</v>
      </c>
      <c r="L14061" t="s">
        <v>1357</v>
      </c>
    </row>
    <row r="14062" spans="8:12">
      <c r="H14062" t="s">
        <v>23276</v>
      </c>
      <c r="I14062" t="s">
        <v>1357</v>
      </c>
      <c r="J14062" t="s">
        <v>1357</v>
      </c>
      <c r="K14062" t="s">
        <v>1357</v>
      </c>
      <c r="L14062" t="s">
        <v>1357</v>
      </c>
    </row>
    <row r="14063" spans="8:12">
      <c r="H14063" t="s">
        <v>23277</v>
      </c>
      <c r="I14063" t="s">
        <v>1357</v>
      </c>
      <c r="J14063" t="s">
        <v>1357</v>
      </c>
      <c r="K14063" t="s">
        <v>1357</v>
      </c>
      <c r="L14063" t="s">
        <v>1357</v>
      </c>
    </row>
    <row r="14064" spans="8:12">
      <c r="H14064" t="s">
        <v>23278</v>
      </c>
      <c r="I14064" t="s">
        <v>1357</v>
      </c>
      <c r="J14064" t="s">
        <v>1357</v>
      </c>
      <c r="K14064" t="s">
        <v>1357</v>
      </c>
      <c r="L14064" t="s">
        <v>1357</v>
      </c>
    </row>
    <row r="14065" spans="6:12">
      <c r="H14065" t="s">
        <v>23279</v>
      </c>
      <c r="I14065" t="s">
        <v>1357</v>
      </c>
      <c r="J14065" t="s">
        <v>1357</v>
      </c>
      <c r="K14065" t="s">
        <v>1357</v>
      </c>
      <c r="L14065" t="s">
        <v>1357</v>
      </c>
    </row>
    <row r="14066" spans="6:12">
      <c r="H14066" t="s">
        <v>23280</v>
      </c>
      <c r="I14066" t="s">
        <v>1357</v>
      </c>
      <c r="J14066" t="s">
        <v>1357</v>
      </c>
      <c r="K14066" t="s">
        <v>1357</v>
      </c>
      <c r="L14066" t="s">
        <v>1357</v>
      </c>
    </row>
    <row r="14067" spans="6:12">
      <c r="H14067" t="s">
        <v>23281</v>
      </c>
      <c r="I14067" t="s">
        <v>1357</v>
      </c>
      <c r="J14067" t="s">
        <v>1357</v>
      </c>
      <c r="K14067" t="s">
        <v>1357</v>
      </c>
      <c r="L14067" t="s">
        <v>1357</v>
      </c>
    </row>
    <row r="14068" spans="6:12">
      <c r="F14068" t="s">
        <v>16491</v>
      </c>
      <c r="G14068" t="s">
        <v>19150</v>
      </c>
      <c r="H14068" t="s">
        <v>23282</v>
      </c>
      <c r="I14068" t="s">
        <v>1357</v>
      </c>
      <c r="J14068" t="s">
        <v>1357</v>
      </c>
      <c r="K14068" t="s">
        <v>1357</v>
      </c>
      <c r="L14068" t="s">
        <v>1357</v>
      </c>
    </row>
    <row r="14069" spans="6:12">
      <c r="F14069" t="s">
        <v>16492</v>
      </c>
      <c r="G14069" t="s">
        <v>19151</v>
      </c>
      <c r="H14069" t="s">
        <v>23282</v>
      </c>
      <c r="I14069" t="s">
        <v>1357</v>
      </c>
      <c r="J14069" t="s">
        <v>1357</v>
      </c>
      <c r="K14069" t="s">
        <v>1357</v>
      </c>
      <c r="L14069" t="s">
        <v>1357</v>
      </c>
    </row>
    <row r="14070" spans="6:12">
      <c r="H14070" t="s">
        <v>23871</v>
      </c>
      <c r="I14070" t="s">
        <v>1357</v>
      </c>
      <c r="J14070" t="s">
        <v>1357</v>
      </c>
      <c r="K14070" t="s">
        <v>1357</v>
      </c>
      <c r="L14070" t="s">
        <v>1357</v>
      </c>
    </row>
    <row r="14071" spans="6:12">
      <c r="H14071" t="s">
        <v>23872</v>
      </c>
      <c r="I14071" t="s">
        <v>1357</v>
      </c>
      <c r="J14071" t="s">
        <v>1357</v>
      </c>
      <c r="K14071" t="s">
        <v>1357</v>
      </c>
      <c r="L14071" t="s">
        <v>1357</v>
      </c>
    </row>
    <row r="14072" spans="6:12">
      <c r="H14072" t="s">
        <v>23873</v>
      </c>
      <c r="I14072" t="s">
        <v>1357</v>
      </c>
      <c r="J14072" t="s">
        <v>1357</v>
      </c>
      <c r="K14072" t="s">
        <v>1357</v>
      </c>
      <c r="L14072" t="s">
        <v>1357</v>
      </c>
    </row>
    <row r="14073" spans="6:12">
      <c r="H14073" t="s">
        <v>23874</v>
      </c>
      <c r="I14073" t="s">
        <v>1357</v>
      </c>
      <c r="J14073" t="s">
        <v>1357</v>
      </c>
      <c r="K14073" t="s">
        <v>1357</v>
      </c>
      <c r="L14073" t="s">
        <v>1357</v>
      </c>
    </row>
    <row r="14074" spans="6:12">
      <c r="H14074" t="s">
        <v>23875</v>
      </c>
      <c r="I14074" t="s">
        <v>1357</v>
      </c>
      <c r="J14074" t="s">
        <v>1357</v>
      </c>
      <c r="K14074" t="s">
        <v>1357</v>
      </c>
      <c r="L14074" t="s">
        <v>1357</v>
      </c>
    </row>
    <row r="14075" spans="6:12">
      <c r="H14075" t="s">
        <v>23284</v>
      </c>
      <c r="I14075" t="s">
        <v>1357</v>
      </c>
      <c r="J14075" t="s">
        <v>1357</v>
      </c>
      <c r="K14075" t="s">
        <v>1357</v>
      </c>
      <c r="L14075" t="s">
        <v>1357</v>
      </c>
    </row>
    <row r="14076" spans="6:12">
      <c r="H14076" t="s">
        <v>23242</v>
      </c>
      <c r="I14076" t="s">
        <v>1357</v>
      </c>
      <c r="J14076" t="s">
        <v>1357</v>
      </c>
      <c r="K14076" t="s">
        <v>1357</v>
      </c>
      <c r="L14076" t="s">
        <v>1357</v>
      </c>
    </row>
    <row r="14077" spans="6:12">
      <c r="H14077" t="s">
        <v>23243</v>
      </c>
      <c r="I14077" t="s">
        <v>1357</v>
      </c>
      <c r="J14077" t="s">
        <v>1357</v>
      </c>
      <c r="K14077" t="s">
        <v>1357</v>
      </c>
      <c r="L14077" t="s">
        <v>1357</v>
      </c>
    </row>
    <row r="14078" spans="6:12">
      <c r="H14078" t="s">
        <v>23246</v>
      </c>
      <c r="I14078" t="s">
        <v>1357</v>
      </c>
      <c r="J14078" t="s">
        <v>1357</v>
      </c>
      <c r="K14078" t="s">
        <v>1357</v>
      </c>
      <c r="L14078" t="s">
        <v>1357</v>
      </c>
    </row>
    <row r="14079" spans="6:12">
      <c r="H14079" t="s">
        <v>23864</v>
      </c>
      <c r="I14079" t="s">
        <v>1357</v>
      </c>
      <c r="J14079" t="s">
        <v>1357</v>
      </c>
      <c r="K14079" t="s">
        <v>1357</v>
      </c>
      <c r="L14079" t="s">
        <v>1357</v>
      </c>
    </row>
    <row r="14080" spans="6:12">
      <c r="H14080" t="s">
        <v>23865</v>
      </c>
      <c r="I14080" t="s">
        <v>1357</v>
      </c>
      <c r="J14080" t="s">
        <v>1357</v>
      </c>
      <c r="K14080" t="s">
        <v>1357</v>
      </c>
      <c r="L14080" t="s">
        <v>1357</v>
      </c>
    </row>
    <row r="14081" spans="8:12">
      <c r="H14081" t="s">
        <v>23866</v>
      </c>
      <c r="I14081" t="s">
        <v>1357</v>
      </c>
      <c r="J14081" t="s">
        <v>1357</v>
      </c>
      <c r="K14081" t="s">
        <v>1357</v>
      </c>
      <c r="L14081" t="s">
        <v>1357</v>
      </c>
    </row>
    <row r="14082" spans="8:12">
      <c r="H14082" t="s">
        <v>23876</v>
      </c>
      <c r="I14082" t="s">
        <v>1357</v>
      </c>
      <c r="J14082" t="s">
        <v>1357</v>
      </c>
      <c r="K14082" t="s">
        <v>1357</v>
      </c>
      <c r="L14082" t="s">
        <v>1357</v>
      </c>
    </row>
    <row r="14083" spans="8:12">
      <c r="H14083" t="s">
        <v>23877</v>
      </c>
      <c r="I14083" t="s">
        <v>1357</v>
      </c>
      <c r="J14083" t="s">
        <v>1357</v>
      </c>
      <c r="K14083" t="s">
        <v>1357</v>
      </c>
      <c r="L14083" t="s">
        <v>1357</v>
      </c>
    </row>
    <row r="14084" spans="8:12">
      <c r="H14084" t="s">
        <v>23878</v>
      </c>
      <c r="I14084" t="s">
        <v>1357</v>
      </c>
      <c r="J14084" t="s">
        <v>1357</v>
      </c>
      <c r="K14084" t="s">
        <v>1357</v>
      </c>
      <c r="L14084" t="s">
        <v>1357</v>
      </c>
    </row>
    <row r="14085" spans="8:12">
      <c r="H14085" t="s">
        <v>23285</v>
      </c>
      <c r="I14085" t="s">
        <v>1357</v>
      </c>
      <c r="J14085" t="s">
        <v>1357</v>
      </c>
      <c r="K14085" t="s">
        <v>1357</v>
      </c>
      <c r="L14085" t="s">
        <v>1357</v>
      </c>
    </row>
    <row r="14086" spans="8:12">
      <c r="H14086" t="s">
        <v>23857</v>
      </c>
      <c r="I14086" t="s">
        <v>1357</v>
      </c>
      <c r="J14086" t="s">
        <v>1357</v>
      </c>
      <c r="K14086" t="s">
        <v>1357</v>
      </c>
      <c r="L14086" t="s">
        <v>1357</v>
      </c>
    </row>
    <row r="14087" spans="8:12">
      <c r="H14087" t="s">
        <v>23858</v>
      </c>
      <c r="I14087" t="s">
        <v>1357</v>
      </c>
      <c r="J14087" t="s">
        <v>1357</v>
      </c>
      <c r="K14087" t="s">
        <v>1357</v>
      </c>
      <c r="L14087" t="s">
        <v>1357</v>
      </c>
    </row>
    <row r="14088" spans="8:12">
      <c r="H14088" t="s">
        <v>23859</v>
      </c>
      <c r="I14088" t="s">
        <v>1357</v>
      </c>
      <c r="J14088" t="s">
        <v>1357</v>
      </c>
      <c r="K14088" t="s">
        <v>1357</v>
      </c>
      <c r="L14088" t="s">
        <v>1357</v>
      </c>
    </row>
    <row r="14089" spans="8:12">
      <c r="H14089" t="s">
        <v>23879</v>
      </c>
      <c r="I14089" t="s">
        <v>1357</v>
      </c>
      <c r="J14089" t="s">
        <v>1357</v>
      </c>
      <c r="K14089" t="s">
        <v>1357</v>
      </c>
      <c r="L14089" t="s">
        <v>1357</v>
      </c>
    </row>
    <row r="14090" spans="8:12">
      <c r="H14090" t="s">
        <v>23861</v>
      </c>
      <c r="I14090" t="s">
        <v>1357</v>
      </c>
      <c r="J14090" t="s">
        <v>1357</v>
      </c>
      <c r="K14090" t="s">
        <v>1357</v>
      </c>
      <c r="L14090" t="s">
        <v>1357</v>
      </c>
    </row>
    <row r="14091" spans="8:12">
      <c r="H14091" t="s">
        <v>23862</v>
      </c>
      <c r="I14091" t="s">
        <v>1357</v>
      </c>
      <c r="J14091" t="s">
        <v>1357</v>
      </c>
      <c r="K14091" t="s">
        <v>1357</v>
      </c>
      <c r="L14091" t="s">
        <v>1357</v>
      </c>
    </row>
    <row r="14092" spans="8:12">
      <c r="H14092" t="s">
        <v>23863</v>
      </c>
      <c r="I14092" t="s">
        <v>1357</v>
      </c>
      <c r="J14092" t="s">
        <v>1357</v>
      </c>
      <c r="K14092" t="s">
        <v>1357</v>
      </c>
      <c r="L14092" t="s">
        <v>1357</v>
      </c>
    </row>
    <row r="14093" spans="8:12">
      <c r="H14093" t="s">
        <v>23867</v>
      </c>
      <c r="I14093" t="s">
        <v>1357</v>
      </c>
      <c r="J14093" t="s">
        <v>1357</v>
      </c>
      <c r="K14093" t="s">
        <v>1357</v>
      </c>
      <c r="L14093" t="s">
        <v>1357</v>
      </c>
    </row>
    <row r="14094" spans="8:12">
      <c r="H14094" t="s">
        <v>23868</v>
      </c>
      <c r="I14094" t="s">
        <v>1357</v>
      </c>
      <c r="J14094" t="s">
        <v>1357</v>
      </c>
      <c r="K14094" t="s">
        <v>1357</v>
      </c>
      <c r="L14094" t="s">
        <v>1357</v>
      </c>
    </row>
    <row r="14095" spans="8:12">
      <c r="H14095" t="s">
        <v>23869</v>
      </c>
      <c r="I14095" t="s">
        <v>1357</v>
      </c>
      <c r="J14095" t="s">
        <v>1357</v>
      </c>
      <c r="K14095" t="s">
        <v>1357</v>
      </c>
      <c r="L14095" t="s">
        <v>1357</v>
      </c>
    </row>
    <row r="14096" spans="8:12">
      <c r="H14096" t="s">
        <v>23870</v>
      </c>
      <c r="I14096" t="s">
        <v>1357</v>
      </c>
      <c r="J14096" t="s">
        <v>1357</v>
      </c>
      <c r="K14096" t="s">
        <v>1357</v>
      </c>
      <c r="L14096" t="s">
        <v>1357</v>
      </c>
    </row>
    <row r="14097" spans="6:12">
      <c r="H14097" t="s">
        <v>23288</v>
      </c>
      <c r="I14097" t="s">
        <v>1357</v>
      </c>
      <c r="J14097" t="s">
        <v>1357</v>
      </c>
      <c r="K14097" t="s">
        <v>1357</v>
      </c>
      <c r="L14097" t="s">
        <v>1357</v>
      </c>
    </row>
    <row r="14098" spans="6:12">
      <c r="H14098" t="s">
        <v>23289</v>
      </c>
      <c r="I14098" t="s">
        <v>1357</v>
      </c>
      <c r="J14098" t="s">
        <v>1357</v>
      </c>
      <c r="K14098" t="s">
        <v>1357</v>
      </c>
      <c r="L14098" t="s">
        <v>1357</v>
      </c>
    </row>
    <row r="14099" spans="6:12">
      <c r="H14099" t="s">
        <v>23290</v>
      </c>
      <c r="I14099" t="s">
        <v>1357</v>
      </c>
      <c r="J14099" t="s">
        <v>1357</v>
      </c>
      <c r="K14099" t="s">
        <v>1357</v>
      </c>
      <c r="L14099" t="s">
        <v>1357</v>
      </c>
    </row>
    <row r="14100" spans="6:12">
      <c r="H14100" t="s">
        <v>23880</v>
      </c>
      <c r="I14100" t="s">
        <v>1357</v>
      </c>
      <c r="J14100" t="s">
        <v>1357</v>
      </c>
      <c r="K14100" t="s">
        <v>1357</v>
      </c>
      <c r="L14100" t="s">
        <v>1357</v>
      </c>
    </row>
    <row r="14101" spans="6:12">
      <c r="H14101" t="s">
        <v>23291</v>
      </c>
      <c r="I14101" t="s">
        <v>1357</v>
      </c>
      <c r="J14101" t="s">
        <v>1357</v>
      </c>
      <c r="K14101" t="s">
        <v>1357</v>
      </c>
      <c r="L14101" t="s">
        <v>1357</v>
      </c>
    </row>
    <row r="14102" spans="6:12">
      <c r="H14102" t="s">
        <v>23881</v>
      </c>
      <c r="I14102" t="s">
        <v>1357</v>
      </c>
      <c r="J14102" t="s">
        <v>1357</v>
      </c>
      <c r="K14102" t="s">
        <v>1357</v>
      </c>
      <c r="L14102" t="s">
        <v>1357</v>
      </c>
    </row>
    <row r="14103" spans="6:12">
      <c r="H14103" t="s">
        <v>23292</v>
      </c>
      <c r="I14103" t="s">
        <v>1357</v>
      </c>
      <c r="J14103" t="s">
        <v>1357</v>
      </c>
      <c r="K14103" t="s">
        <v>1357</v>
      </c>
      <c r="L14103" t="s">
        <v>1357</v>
      </c>
    </row>
    <row r="14104" spans="6:12">
      <c r="H14104" t="s">
        <v>23882</v>
      </c>
      <c r="I14104" t="s">
        <v>1357</v>
      </c>
      <c r="J14104" t="s">
        <v>1357</v>
      </c>
      <c r="K14104" t="s">
        <v>1357</v>
      </c>
      <c r="L14104" t="s">
        <v>1357</v>
      </c>
    </row>
    <row r="14105" spans="6:12">
      <c r="F14105" t="s">
        <v>16498</v>
      </c>
      <c r="G14105" t="s">
        <v>19157</v>
      </c>
      <c r="H14105" t="s">
        <v>23242</v>
      </c>
      <c r="I14105" t="s">
        <v>1357</v>
      </c>
      <c r="J14105" t="s">
        <v>1357</v>
      </c>
      <c r="K14105" t="s">
        <v>1357</v>
      </c>
      <c r="L14105" t="s">
        <v>1357</v>
      </c>
    </row>
    <row r="14106" spans="6:12">
      <c r="H14106" t="s">
        <v>23243</v>
      </c>
      <c r="I14106" t="s">
        <v>1357</v>
      </c>
      <c r="J14106" t="s">
        <v>1357</v>
      </c>
      <c r="K14106" t="s">
        <v>1357</v>
      </c>
      <c r="L14106" t="s">
        <v>1357</v>
      </c>
    </row>
    <row r="14107" spans="6:12">
      <c r="H14107" t="s">
        <v>23246</v>
      </c>
      <c r="I14107" t="s">
        <v>1357</v>
      </c>
      <c r="J14107" t="s">
        <v>1357</v>
      </c>
      <c r="K14107" t="s">
        <v>1357</v>
      </c>
      <c r="L14107" t="s">
        <v>1357</v>
      </c>
    </row>
    <row r="14108" spans="6:12">
      <c r="H14108" t="s">
        <v>23248</v>
      </c>
      <c r="I14108" t="s">
        <v>1357</v>
      </c>
      <c r="J14108" t="s">
        <v>1357</v>
      </c>
      <c r="K14108" t="s">
        <v>1357</v>
      </c>
      <c r="L14108" t="s">
        <v>1357</v>
      </c>
    </row>
    <row r="14109" spans="6:12">
      <c r="H14109" t="s">
        <v>23249</v>
      </c>
      <c r="I14109" t="s">
        <v>1357</v>
      </c>
      <c r="J14109" t="s">
        <v>1357</v>
      </c>
      <c r="K14109" t="s">
        <v>1357</v>
      </c>
      <c r="L14109" t="s">
        <v>1357</v>
      </c>
    </row>
    <row r="14110" spans="6:12">
      <c r="H14110" t="s">
        <v>23250</v>
      </c>
      <c r="I14110" t="s">
        <v>1357</v>
      </c>
      <c r="J14110" t="s">
        <v>1357</v>
      </c>
      <c r="K14110" t="s">
        <v>1357</v>
      </c>
      <c r="L14110" t="s">
        <v>1357</v>
      </c>
    </row>
    <row r="14111" spans="6:12">
      <c r="H14111" t="s">
        <v>23245</v>
      </c>
      <c r="I14111" t="s">
        <v>1357</v>
      </c>
      <c r="J14111" t="s">
        <v>1357</v>
      </c>
      <c r="K14111" t="s">
        <v>1357</v>
      </c>
      <c r="L14111" t="s">
        <v>1357</v>
      </c>
    </row>
    <row r="14112" spans="6:12">
      <c r="H14112" t="s">
        <v>23244</v>
      </c>
      <c r="I14112" t="s">
        <v>1357</v>
      </c>
      <c r="J14112" t="s">
        <v>1357</v>
      </c>
      <c r="K14112" t="s">
        <v>1357</v>
      </c>
      <c r="L14112" t="s">
        <v>1357</v>
      </c>
    </row>
    <row r="14113" spans="6:12">
      <c r="H14113" t="s">
        <v>23866</v>
      </c>
      <c r="I14113" t="s">
        <v>1357</v>
      </c>
      <c r="J14113" t="s">
        <v>1357</v>
      </c>
      <c r="K14113" t="s">
        <v>1357</v>
      </c>
      <c r="L14113" t="s">
        <v>1357</v>
      </c>
    </row>
    <row r="14114" spans="6:12">
      <c r="H14114" t="s">
        <v>23285</v>
      </c>
      <c r="I14114" t="s">
        <v>1357</v>
      </c>
      <c r="J14114" t="s">
        <v>1357</v>
      </c>
      <c r="K14114" t="s">
        <v>1357</v>
      </c>
      <c r="L14114" t="s">
        <v>1357</v>
      </c>
    </row>
    <row r="14115" spans="6:12">
      <c r="H14115" t="s">
        <v>23858</v>
      </c>
      <c r="I14115" t="s">
        <v>1357</v>
      </c>
      <c r="J14115" t="s">
        <v>1357</v>
      </c>
      <c r="K14115" t="s">
        <v>1357</v>
      </c>
      <c r="L14115" t="s">
        <v>1357</v>
      </c>
    </row>
    <row r="14116" spans="6:12">
      <c r="H14116" t="s">
        <v>23861</v>
      </c>
      <c r="I14116" t="s">
        <v>1357</v>
      </c>
      <c r="J14116" t="s">
        <v>1357</v>
      </c>
      <c r="K14116" t="s">
        <v>1357</v>
      </c>
      <c r="L14116" t="s">
        <v>1357</v>
      </c>
    </row>
    <row r="14117" spans="6:12">
      <c r="H14117" t="s">
        <v>23862</v>
      </c>
      <c r="I14117" t="s">
        <v>1357</v>
      </c>
      <c r="J14117" t="s">
        <v>1357</v>
      </c>
      <c r="K14117" t="s">
        <v>1357</v>
      </c>
      <c r="L14117" t="s">
        <v>1357</v>
      </c>
    </row>
    <row r="14118" spans="6:12">
      <c r="H14118" t="s">
        <v>23863</v>
      </c>
      <c r="I14118" t="s">
        <v>1357</v>
      </c>
      <c r="J14118" t="s">
        <v>1357</v>
      </c>
      <c r="K14118" t="s">
        <v>1357</v>
      </c>
      <c r="L14118" t="s">
        <v>1357</v>
      </c>
    </row>
    <row r="14119" spans="6:12">
      <c r="H14119" t="s">
        <v>23883</v>
      </c>
      <c r="I14119" t="s">
        <v>1357</v>
      </c>
      <c r="J14119" t="s">
        <v>1357</v>
      </c>
      <c r="K14119" t="s">
        <v>1357</v>
      </c>
      <c r="L14119" t="s">
        <v>1357</v>
      </c>
    </row>
    <row r="14120" spans="6:12">
      <c r="H14120" t="s">
        <v>23264</v>
      </c>
      <c r="I14120" t="s">
        <v>1357</v>
      </c>
      <c r="J14120" t="s">
        <v>1357</v>
      </c>
      <c r="K14120" t="s">
        <v>1357</v>
      </c>
      <c r="L14120" t="s">
        <v>1357</v>
      </c>
    </row>
    <row r="14121" spans="6:12">
      <c r="H14121" t="s">
        <v>23263</v>
      </c>
      <c r="I14121" t="s">
        <v>1357</v>
      </c>
      <c r="J14121" t="s">
        <v>1357</v>
      </c>
      <c r="K14121" t="s">
        <v>1357</v>
      </c>
      <c r="L14121" t="s">
        <v>1357</v>
      </c>
    </row>
    <row r="14122" spans="6:12">
      <c r="H14122" t="s">
        <v>23262</v>
      </c>
      <c r="I14122" t="s">
        <v>1357</v>
      </c>
      <c r="J14122" t="s">
        <v>1357</v>
      </c>
      <c r="K14122" t="s">
        <v>1357</v>
      </c>
      <c r="L14122" t="s">
        <v>1357</v>
      </c>
    </row>
    <row r="14123" spans="6:12">
      <c r="H14123" t="s">
        <v>23267</v>
      </c>
      <c r="I14123" t="s">
        <v>1357</v>
      </c>
      <c r="J14123" t="s">
        <v>1357</v>
      </c>
      <c r="K14123" t="s">
        <v>1357</v>
      </c>
      <c r="L14123" t="s">
        <v>1357</v>
      </c>
    </row>
    <row r="14124" spans="6:12">
      <c r="H14124" t="s">
        <v>23266</v>
      </c>
      <c r="I14124" t="s">
        <v>1357</v>
      </c>
      <c r="J14124" t="s">
        <v>1357</v>
      </c>
      <c r="K14124" t="s">
        <v>1357</v>
      </c>
      <c r="L14124" t="s">
        <v>1357</v>
      </c>
    </row>
    <row r="14125" spans="6:12">
      <c r="H14125" t="s">
        <v>23265</v>
      </c>
      <c r="I14125" t="s">
        <v>1357</v>
      </c>
      <c r="J14125" t="s">
        <v>1357</v>
      </c>
      <c r="K14125" t="s">
        <v>1357</v>
      </c>
      <c r="L14125" t="s">
        <v>1357</v>
      </c>
    </row>
    <row r="14126" spans="6:12">
      <c r="H14126" t="s">
        <v>23884</v>
      </c>
      <c r="I14126" t="s">
        <v>1357</v>
      </c>
      <c r="J14126" t="s">
        <v>1357</v>
      </c>
      <c r="K14126" t="s">
        <v>1357</v>
      </c>
      <c r="L14126" t="s">
        <v>1357</v>
      </c>
    </row>
    <row r="14127" spans="6:12">
      <c r="F14127" t="s">
        <v>16617</v>
      </c>
      <c r="G14127" t="s">
        <v>19257</v>
      </c>
      <c r="H14127" t="s">
        <v>23844</v>
      </c>
      <c r="I14127" t="s">
        <v>1357</v>
      </c>
      <c r="J14127" t="s">
        <v>1357</v>
      </c>
      <c r="K14127" t="s">
        <v>1357</v>
      </c>
      <c r="L14127" t="s">
        <v>1357</v>
      </c>
    </row>
    <row r="14128" spans="6:12">
      <c r="H14128" t="s">
        <v>23845</v>
      </c>
      <c r="I14128" t="s">
        <v>1357</v>
      </c>
      <c r="J14128" t="s">
        <v>1357</v>
      </c>
      <c r="K14128" t="s">
        <v>1357</v>
      </c>
      <c r="L14128" t="s">
        <v>1357</v>
      </c>
    </row>
    <row r="14129" spans="1:13">
      <c r="H14129" t="s">
        <v>23846</v>
      </c>
      <c r="I14129" t="s">
        <v>1357</v>
      </c>
      <c r="J14129" t="s">
        <v>1357</v>
      </c>
      <c r="K14129" t="s">
        <v>1357</v>
      </c>
      <c r="L14129" t="s">
        <v>1357</v>
      </c>
    </row>
    <row r="14130" spans="1:13">
      <c r="H14130" t="s">
        <v>23847</v>
      </c>
      <c r="I14130" t="s">
        <v>1357</v>
      </c>
      <c r="J14130" t="s">
        <v>1357</v>
      </c>
      <c r="K14130" t="s">
        <v>1357</v>
      </c>
      <c r="L14130" t="s">
        <v>1357</v>
      </c>
    </row>
    <row r="14131" spans="1:13">
      <c r="H14131" t="s">
        <v>23848</v>
      </c>
      <c r="I14131" t="s">
        <v>1357</v>
      </c>
      <c r="J14131" t="s">
        <v>1357</v>
      </c>
      <c r="K14131" t="s">
        <v>1357</v>
      </c>
      <c r="L14131" t="s">
        <v>1357</v>
      </c>
    </row>
    <row r="14132" spans="1:13">
      <c r="H14132" t="s">
        <v>23849</v>
      </c>
      <c r="I14132" t="s">
        <v>1357</v>
      </c>
      <c r="J14132" t="s">
        <v>1357</v>
      </c>
      <c r="K14132" t="s">
        <v>1357</v>
      </c>
      <c r="L14132" t="s">
        <v>1357</v>
      </c>
    </row>
    <row r="14133" spans="1:13">
      <c r="H14133" t="s">
        <v>23850</v>
      </c>
      <c r="I14133" t="s">
        <v>1357</v>
      </c>
      <c r="J14133" t="s">
        <v>1357</v>
      </c>
      <c r="K14133" t="s">
        <v>1357</v>
      </c>
      <c r="L14133" t="s">
        <v>1357</v>
      </c>
    </row>
    <row r="14134" spans="1:13">
      <c r="F14134" t="s">
        <v>16493</v>
      </c>
      <c r="G14134" t="s">
        <v>19152</v>
      </c>
      <c r="H14134" t="s">
        <v>23293</v>
      </c>
      <c r="I14134" t="s">
        <v>1357</v>
      </c>
      <c r="J14134" t="s">
        <v>1357</v>
      </c>
      <c r="K14134" t="s">
        <v>1357</v>
      </c>
      <c r="L14134" t="s">
        <v>1357</v>
      </c>
    </row>
    <row r="14135" spans="1:13">
      <c r="H14135" t="s">
        <v>23294</v>
      </c>
      <c r="I14135" t="s">
        <v>1357</v>
      </c>
      <c r="J14135" t="s">
        <v>1357</v>
      </c>
      <c r="K14135" t="s">
        <v>1357</v>
      </c>
      <c r="L14135" t="s">
        <v>1357</v>
      </c>
    </row>
    <row r="14136" spans="1:13">
      <c r="F14136" t="s">
        <v>16616</v>
      </c>
      <c r="G14136" t="s">
        <v>19256</v>
      </c>
      <c r="H14136" t="s">
        <v>795</v>
      </c>
      <c r="I14136" t="s">
        <v>1357</v>
      </c>
      <c r="J14136" t="s">
        <v>1357</v>
      </c>
      <c r="K14136" t="s">
        <v>1357</v>
      </c>
      <c r="L14136" t="s">
        <v>1357</v>
      </c>
    </row>
    <row r="14137" spans="1:13">
      <c r="H14137" t="s">
        <v>23841</v>
      </c>
      <c r="I14137" t="s">
        <v>1357</v>
      </c>
      <c r="J14137" t="s">
        <v>1357</v>
      </c>
      <c r="K14137" t="s">
        <v>1357</v>
      </c>
      <c r="L14137" t="s">
        <v>1357</v>
      </c>
    </row>
    <row r="14138" spans="1:13">
      <c r="H14138" t="s">
        <v>23842</v>
      </c>
      <c r="I14138" t="s">
        <v>1357</v>
      </c>
      <c r="J14138" t="s">
        <v>1357</v>
      </c>
      <c r="K14138" t="s">
        <v>1357</v>
      </c>
      <c r="L14138" t="s">
        <v>1357</v>
      </c>
    </row>
    <row r="14139" spans="1:13">
      <c r="A14139" t="s">
        <v>11087</v>
      </c>
      <c r="B14139">
        <f>HYPERLINK("https://android.googlesource.com/platform/cts/+/890fd9833ecb23084fef78d7b73ad6c9122f3c35", "890fd9833ecb23084fef78d7b73ad6c9122f3c35")</f>
        <v>0</v>
      </c>
      <c r="C14139">
        <f>HYPERLINK("https://android.googlesource.com/platform/cts/+/9cf74ae593f8f7216d66fccc63e8fae5456e2e19", "9cf74ae593f8f7216d66fccc63e8fae5456e2e19")</f>
        <v>0</v>
      </c>
      <c r="D14139" t="s">
        <v>11991</v>
      </c>
      <c r="E14139" t="s">
        <v>13614</v>
      </c>
      <c r="F14139" t="s">
        <v>16722</v>
      </c>
      <c r="G14139" t="s">
        <v>19353</v>
      </c>
      <c r="H14139" t="s">
        <v>24237</v>
      </c>
      <c r="I14139" t="s">
        <v>1357</v>
      </c>
      <c r="J14139" t="s">
        <v>1357</v>
      </c>
      <c r="K14139" t="s">
        <v>1357</v>
      </c>
      <c r="L14139" t="s">
        <v>1357</v>
      </c>
    </row>
    <row r="14140" spans="1:13">
      <c r="H14140" t="s">
        <v>24238</v>
      </c>
      <c r="I14140" t="s">
        <v>1357</v>
      </c>
      <c r="J14140" t="s">
        <v>1357</v>
      </c>
      <c r="K14140" t="s">
        <v>1357</v>
      </c>
      <c r="L14140" t="s">
        <v>1357</v>
      </c>
    </row>
    <row r="14141" spans="1:13">
      <c r="A14141" t="s">
        <v>11088</v>
      </c>
      <c r="B14141">
        <f>HYPERLINK("https://android.googlesource.com/platform/cts/+/471bad76deadd2aca98740a6a592fa2b46ff0f40", "471bad76deadd2aca98740a6a592fa2b46ff0f40")</f>
        <v>0</v>
      </c>
      <c r="C14141">
        <f>HYPERLINK("https://android.googlesource.com/platform/cts/+/60258bbf6eb203e03d492d44a8997b331266a57d", "60258bbf6eb203e03d492d44a8997b331266a57d")</f>
        <v>0</v>
      </c>
      <c r="D14141" t="s">
        <v>12188</v>
      </c>
      <c r="E14141" t="s">
        <v>13615</v>
      </c>
      <c r="F14141" t="s">
        <v>16723</v>
      </c>
      <c r="G14141" t="s">
        <v>19354</v>
      </c>
      <c r="H14141" t="s">
        <v>24239</v>
      </c>
      <c r="I14141" t="s">
        <v>1357</v>
      </c>
      <c r="J14141" t="s">
        <v>1357</v>
      </c>
      <c r="K14141" t="s">
        <v>1357</v>
      </c>
      <c r="L14141" t="s">
        <v>1357</v>
      </c>
    </row>
    <row r="14142" spans="1:13">
      <c r="H14142" t="s">
        <v>24240</v>
      </c>
      <c r="I14142" t="s">
        <v>1357</v>
      </c>
      <c r="J14142" t="s">
        <v>1357</v>
      </c>
      <c r="K14142" t="s">
        <v>1357</v>
      </c>
      <c r="L14142" t="s">
        <v>1357</v>
      </c>
    </row>
    <row r="14143" spans="1:13">
      <c r="A14143" t="s">
        <v>11089</v>
      </c>
      <c r="B14143">
        <f>HYPERLINK("https://android.googlesource.com/platform/cts/+/3f3d2b75e610457e628d93597bded0be222b6969", "3f3d2b75e610457e628d93597bded0be222b6969")</f>
        <v>0</v>
      </c>
      <c r="C14143">
        <f>HYPERLINK("https://android.googlesource.com/platform/cts/+/8e725a668567ced8afa44549b1ac83ec7c3c9203", "8e725a668567ced8afa44549b1ac83ec7c3c9203")</f>
        <v>0</v>
      </c>
      <c r="D14143" t="s">
        <v>11991</v>
      </c>
      <c r="E14143" t="s">
        <v>13616</v>
      </c>
      <c r="F14143" t="s">
        <v>16724</v>
      </c>
      <c r="G14143" t="s">
        <v>19355</v>
      </c>
      <c r="H14143" t="s">
        <v>24241</v>
      </c>
      <c r="I14143" t="s">
        <v>1357</v>
      </c>
      <c r="J14143" t="s">
        <v>1357</v>
      </c>
      <c r="K14143" t="s">
        <v>1357</v>
      </c>
      <c r="L14143" t="s">
        <v>1357</v>
      </c>
    </row>
    <row r="14144" spans="1:13">
      <c r="A14144" t="s">
        <v>11090</v>
      </c>
      <c r="B14144">
        <f>HYPERLINK("https://android.googlesource.com/platform/cts/+/6dfeb5b45b0578eb92d3f06f2ca7949f5a80fb11", "6dfeb5b45b0578eb92d3f06f2ca7949f5a80fb11")</f>
        <v>0</v>
      </c>
      <c r="C14144">
        <f>HYPERLINK("https://android.googlesource.com/platform/cts/+/c910b565203b9bb4ad2efe98650c4ec3e5eee093", "c910b565203b9bb4ad2efe98650c4ec3e5eee093")</f>
        <v>0</v>
      </c>
      <c r="D14144" t="s">
        <v>12154</v>
      </c>
      <c r="E14144" t="s">
        <v>13617</v>
      </c>
      <c r="F14144" t="s">
        <v>16719</v>
      </c>
      <c r="G14144" t="s">
        <v>19350</v>
      </c>
      <c r="H14144" t="s">
        <v>24235</v>
      </c>
      <c r="I14144" t="s">
        <v>1357</v>
      </c>
      <c r="J14144" t="s">
        <v>1357</v>
      </c>
      <c r="K14144" t="s">
        <v>1357</v>
      </c>
      <c r="L14144" t="s">
        <v>1357</v>
      </c>
      <c r="M14144" t="s">
        <v>9957</v>
      </c>
    </row>
    <row r="14145" spans="1:13">
      <c r="F14145" t="s">
        <v>16720</v>
      </c>
      <c r="G14145" t="s">
        <v>19351</v>
      </c>
      <c r="H14145" t="s">
        <v>24235</v>
      </c>
      <c r="I14145" t="s">
        <v>1357</v>
      </c>
      <c r="J14145" t="s">
        <v>1357</v>
      </c>
      <c r="K14145" t="s">
        <v>1357</v>
      </c>
      <c r="L14145" t="s">
        <v>1357</v>
      </c>
    </row>
    <row r="14146" spans="1:13">
      <c r="F14146" t="s">
        <v>16721</v>
      </c>
      <c r="G14146" t="s">
        <v>19352</v>
      </c>
      <c r="H14146" t="s">
        <v>24235</v>
      </c>
      <c r="I14146" t="s">
        <v>1357</v>
      </c>
      <c r="J14146" t="s">
        <v>1357</v>
      </c>
      <c r="K14146" t="s">
        <v>1357</v>
      </c>
      <c r="L14146" t="s">
        <v>1357</v>
      </c>
    </row>
    <row r="14147" spans="1:13">
      <c r="A14147" t="s">
        <v>11091</v>
      </c>
      <c r="B14147">
        <f>HYPERLINK("https://android.googlesource.com/platform/cts/+/4b3eeb91cbf27483dbc1ef357fda136462221d15", "4b3eeb91cbf27483dbc1ef357fda136462221d15")</f>
        <v>0</v>
      </c>
      <c r="C14147">
        <f>HYPERLINK("https://android.googlesource.com/platform/cts/+/e480b345a1083e4aac801af7eec76fdaabd95a13", "e480b345a1083e4aac801af7eec76fdaabd95a13")</f>
        <v>0</v>
      </c>
      <c r="D14147" t="s">
        <v>12117</v>
      </c>
      <c r="E14147" t="s">
        <v>13618</v>
      </c>
      <c r="F14147" t="s">
        <v>16725</v>
      </c>
      <c r="G14147" t="s">
        <v>19356</v>
      </c>
      <c r="H14147" t="s">
        <v>24242</v>
      </c>
      <c r="I14147" t="s">
        <v>1358</v>
      </c>
      <c r="J14147" t="s">
        <v>1358</v>
      </c>
      <c r="K14147" t="s">
        <v>1358</v>
      </c>
      <c r="L14147" t="s">
        <v>1358</v>
      </c>
    </row>
    <row r="14148" spans="1:13">
      <c r="A14148" t="s">
        <v>11092</v>
      </c>
      <c r="B14148">
        <f>HYPERLINK("https://android.googlesource.com/platform/cts/+/683a0ddebdf9b13cf21144c185cab6796e1d664c", "683a0ddebdf9b13cf21144c185cab6796e1d664c")</f>
        <v>0</v>
      </c>
      <c r="C14148">
        <f>HYPERLINK("https://android.googlesource.com/platform/cts/+/07f96b173d96958c0e0abb853c4e472d47015c46", "07f96b173d96958c0e0abb853c4e472d47015c46")</f>
        <v>0</v>
      </c>
      <c r="D14148" t="s">
        <v>11991</v>
      </c>
      <c r="E14148" t="s">
        <v>13619</v>
      </c>
      <c r="F14148" t="s">
        <v>16011</v>
      </c>
      <c r="G14148" t="s">
        <v>18703</v>
      </c>
      <c r="H14148" t="s">
        <v>21332</v>
      </c>
      <c r="I14148" t="s">
        <v>1357</v>
      </c>
      <c r="J14148" t="s">
        <v>1357</v>
      </c>
      <c r="K14148" t="s">
        <v>1357</v>
      </c>
      <c r="L14148" t="s">
        <v>1357</v>
      </c>
    </row>
    <row r="14149" spans="1:13">
      <c r="H14149" t="s">
        <v>24243</v>
      </c>
      <c r="I14149" t="s">
        <v>1357</v>
      </c>
      <c r="J14149" t="s">
        <v>1357</v>
      </c>
      <c r="K14149" t="s">
        <v>1357</v>
      </c>
      <c r="L14149" t="s">
        <v>1357</v>
      </c>
    </row>
    <row r="14150" spans="1:13">
      <c r="H14150" t="s">
        <v>24244</v>
      </c>
      <c r="I14150" t="s">
        <v>1357</v>
      </c>
      <c r="J14150" t="s">
        <v>1357</v>
      </c>
      <c r="K14150" t="s">
        <v>1357</v>
      </c>
      <c r="L14150" t="s">
        <v>1357</v>
      </c>
    </row>
    <row r="14151" spans="1:13">
      <c r="A14151" t="s">
        <v>11093</v>
      </c>
      <c r="B14151">
        <f>HYPERLINK("https://android.googlesource.com/platform/cts/+/1adb31e3699f2b46be4a59ac83a37a5b89468ffe", "1adb31e3699f2b46be4a59ac83a37a5b89468ffe")</f>
        <v>0</v>
      </c>
      <c r="C14151">
        <f>HYPERLINK("https://android.googlesource.com/platform/cts/+/275bcfddb5a8f791b43d08221c6afee4f18dd39c", "275bcfddb5a8f791b43d08221c6afee4f18dd39c")</f>
        <v>0</v>
      </c>
      <c r="D14151" t="s">
        <v>12188</v>
      </c>
      <c r="E14151" t="s">
        <v>13620</v>
      </c>
      <c r="F14151" t="s">
        <v>16723</v>
      </c>
      <c r="G14151" t="s">
        <v>19354</v>
      </c>
      <c r="H14151" t="s">
        <v>24245</v>
      </c>
      <c r="I14151" t="s">
        <v>1357</v>
      </c>
      <c r="J14151" t="s">
        <v>1357</v>
      </c>
      <c r="K14151" t="s">
        <v>1357</v>
      </c>
      <c r="L14151" t="s">
        <v>1357</v>
      </c>
    </row>
    <row r="14152" spans="1:13">
      <c r="H14152" t="s">
        <v>24246</v>
      </c>
      <c r="I14152" t="s">
        <v>1357</v>
      </c>
      <c r="J14152" t="s">
        <v>1357</v>
      </c>
      <c r="K14152" t="s">
        <v>1357</v>
      </c>
      <c r="L14152" t="s">
        <v>1357</v>
      </c>
    </row>
    <row r="14153" spans="1:13">
      <c r="A14153" t="s">
        <v>11094</v>
      </c>
      <c r="B14153">
        <f>HYPERLINK("https://android.googlesource.com/platform/cts/+/a303f786bdeecd27fe325aa0eb14e67bd599d205", "a303f786bdeecd27fe325aa0eb14e67bd599d205")</f>
        <v>0</v>
      </c>
      <c r="C14153">
        <f>HYPERLINK("https://android.googlesource.com/platform/cts/+/cd3b2d14240e7b4f0c628b69abc74fa4baf42e42", "cd3b2d14240e7b4f0c628b69abc74fa4baf42e42")</f>
        <v>0</v>
      </c>
      <c r="D14153" t="s">
        <v>12304</v>
      </c>
      <c r="E14153" t="s">
        <v>13621</v>
      </c>
      <c r="F14153" t="s">
        <v>16700</v>
      </c>
      <c r="G14153" t="s">
        <v>19332</v>
      </c>
      <c r="H14153" t="s">
        <v>24247</v>
      </c>
      <c r="I14153" t="s">
        <v>1357</v>
      </c>
      <c r="J14153" t="s">
        <v>1357</v>
      </c>
      <c r="K14153" t="s">
        <v>1357</v>
      </c>
      <c r="L14153" t="s">
        <v>1357</v>
      </c>
    </row>
    <row r="14154" spans="1:13">
      <c r="A14154" t="s">
        <v>11095</v>
      </c>
      <c r="B14154">
        <f>HYPERLINK("https://android.googlesource.com/platform/cts/+/8bdd93caebf71c9683185b49475c6c725bb6ed6b", "8bdd93caebf71c9683185b49475c6c725bb6ed6b")</f>
        <v>0</v>
      </c>
      <c r="C14154">
        <f>HYPERLINK("https://android.googlesource.com/platform/cts/+/fc83f42ba9f61034397f47b578a83153d78ade86", "fc83f42ba9f61034397f47b578a83153d78ade86")</f>
        <v>0</v>
      </c>
      <c r="D14154" t="s">
        <v>11991</v>
      </c>
      <c r="E14154" t="s">
        <v>13622</v>
      </c>
      <c r="F14154" t="s">
        <v>16718</v>
      </c>
      <c r="G14154" t="s">
        <v>18595</v>
      </c>
      <c r="H14154" t="s">
        <v>24224</v>
      </c>
      <c r="I14154" t="s">
        <v>1357</v>
      </c>
      <c r="J14154" t="s">
        <v>1357</v>
      </c>
      <c r="K14154" t="s">
        <v>1357</v>
      </c>
      <c r="L14154" t="s">
        <v>1357</v>
      </c>
      <c r="M14154" t="s">
        <v>9957</v>
      </c>
    </row>
    <row r="14155" spans="1:13">
      <c r="H14155" t="s">
        <v>24225</v>
      </c>
      <c r="I14155" t="s">
        <v>1357</v>
      </c>
      <c r="J14155" t="s">
        <v>1357</v>
      </c>
      <c r="K14155" t="s">
        <v>1357</v>
      </c>
      <c r="L14155" t="s">
        <v>1357</v>
      </c>
    </row>
    <row r="14156" spans="1:13">
      <c r="H14156" t="s">
        <v>24226</v>
      </c>
      <c r="I14156" t="s">
        <v>1357</v>
      </c>
      <c r="J14156" t="s">
        <v>1357</v>
      </c>
      <c r="K14156" t="s">
        <v>1357</v>
      </c>
      <c r="L14156" t="s">
        <v>1357</v>
      </c>
    </row>
    <row r="14157" spans="1:13">
      <c r="F14157" t="s">
        <v>16045</v>
      </c>
      <c r="G14157" t="s">
        <v>18736</v>
      </c>
      <c r="H14157" t="s">
        <v>24227</v>
      </c>
      <c r="I14157" t="s">
        <v>1357</v>
      </c>
      <c r="J14157" t="s">
        <v>1357</v>
      </c>
      <c r="K14157" t="s">
        <v>1357</v>
      </c>
      <c r="L14157" t="s">
        <v>1357</v>
      </c>
    </row>
    <row r="14158" spans="1:13">
      <c r="H14158" t="s">
        <v>24228</v>
      </c>
      <c r="I14158" t="s">
        <v>1357</v>
      </c>
      <c r="J14158" t="s">
        <v>1357</v>
      </c>
      <c r="K14158" t="s">
        <v>1357</v>
      </c>
      <c r="L14158" t="s">
        <v>1357</v>
      </c>
    </row>
    <row r="14159" spans="1:13">
      <c r="H14159" t="s">
        <v>24229</v>
      </c>
      <c r="I14159" t="s">
        <v>1357</v>
      </c>
      <c r="J14159" t="s">
        <v>1357</v>
      </c>
      <c r="K14159" t="s">
        <v>1357</v>
      </c>
      <c r="L14159" t="s">
        <v>1357</v>
      </c>
    </row>
    <row r="14160" spans="1:13">
      <c r="H14160" t="s">
        <v>24230</v>
      </c>
      <c r="I14160" t="s">
        <v>1357</v>
      </c>
      <c r="J14160" t="s">
        <v>1357</v>
      </c>
      <c r="K14160" t="s">
        <v>1357</v>
      </c>
      <c r="L14160" t="s">
        <v>1357</v>
      </c>
    </row>
    <row r="14161" spans="1:13">
      <c r="H14161" t="s">
        <v>24231</v>
      </c>
      <c r="I14161" t="s">
        <v>1357</v>
      </c>
      <c r="J14161" t="s">
        <v>1357</v>
      </c>
      <c r="K14161" t="s">
        <v>1357</v>
      </c>
      <c r="L14161" t="s">
        <v>1357</v>
      </c>
    </row>
    <row r="14162" spans="1:13">
      <c r="H14162" t="s">
        <v>24232</v>
      </c>
      <c r="I14162" t="s">
        <v>1357</v>
      </c>
      <c r="J14162" t="s">
        <v>1357</v>
      </c>
      <c r="K14162" t="s">
        <v>1357</v>
      </c>
      <c r="L14162" t="s">
        <v>1357</v>
      </c>
    </row>
    <row r="14163" spans="1:13">
      <c r="H14163" t="s">
        <v>24233</v>
      </c>
      <c r="I14163" t="s">
        <v>1357</v>
      </c>
      <c r="J14163" t="s">
        <v>1357</v>
      </c>
      <c r="K14163" t="s">
        <v>1357</v>
      </c>
      <c r="L14163" t="s">
        <v>1357</v>
      </c>
    </row>
    <row r="14164" spans="1:13">
      <c r="A14164" t="s">
        <v>11096</v>
      </c>
      <c r="B14164">
        <f>HYPERLINK("https://android.googlesource.com/platform/cts/+/d33ff3b2401dd2d5785effdf7a9b74688ec1e118", "d33ff3b2401dd2d5785effdf7a9b74688ec1e118")</f>
        <v>0</v>
      </c>
      <c r="C14164">
        <f>HYPERLINK("https://android.googlesource.com/platform/cts/+/8bdd93caebf71c9683185b49475c6c725bb6ed6b", "8bdd93caebf71c9683185b49475c6c725bb6ed6b")</f>
        <v>0</v>
      </c>
      <c r="D14164" t="s">
        <v>11991</v>
      </c>
      <c r="E14164" t="s">
        <v>13623</v>
      </c>
      <c r="F14164" t="s">
        <v>15921</v>
      </c>
      <c r="G14164" t="s">
        <v>18613</v>
      </c>
      <c r="H14164" t="s">
        <v>24236</v>
      </c>
      <c r="I14164" t="s">
        <v>1357</v>
      </c>
      <c r="J14164" t="s">
        <v>1357</v>
      </c>
      <c r="K14164" t="s">
        <v>1357</v>
      </c>
      <c r="L14164" t="s">
        <v>1357</v>
      </c>
    </row>
    <row r="14165" spans="1:13">
      <c r="A14165" t="s">
        <v>11097</v>
      </c>
      <c r="B14165">
        <f>HYPERLINK("https://android.googlesource.com/platform/cts/+/bff1465d3e2f9aa13667a09a1035fbd63a927ee4", "bff1465d3e2f9aa13667a09a1035fbd63a927ee4")</f>
        <v>0</v>
      </c>
      <c r="C14165">
        <f>HYPERLINK("https://android.googlesource.com/platform/cts/+/c38f0e6aea074601a1720af755429f2f5e335413", "c38f0e6aea074601a1720af755429f2f5e335413")</f>
        <v>0</v>
      </c>
      <c r="D14165" t="s">
        <v>11991</v>
      </c>
      <c r="E14165" t="s">
        <v>13624</v>
      </c>
      <c r="F14165" t="s">
        <v>16722</v>
      </c>
      <c r="G14165" t="s">
        <v>19353</v>
      </c>
      <c r="H14165" t="s">
        <v>24237</v>
      </c>
      <c r="I14165" t="s">
        <v>1357</v>
      </c>
      <c r="J14165" t="s">
        <v>1357</v>
      </c>
      <c r="K14165" t="s">
        <v>1357</v>
      </c>
      <c r="L14165" t="s">
        <v>1357</v>
      </c>
    </row>
    <row r="14166" spans="1:13">
      <c r="H14166" t="s">
        <v>24238</v>
      </c>
      <c r="I14166" t="s">
        <v>1357</v>
      </c>
      <c r="J14166" t="s">
        <v>1357</v>
      </c>
      <c r="K14166" t="s">
        <v>1357</v>
      </c>
      <c r="L14166" t="s">
        <v>1357</v>
      </c>
    </row>
    <row r="14167" spans="1:13">
      <c r="A14167" t="s">
        <v>11098</v>
      </c>
      <c r="B14167">
        <f>HYPERLINK("https://android.googlesource.com/platform/cts/+/7a95546c64d7db691905229f80934099047dde07", "7a95546c64d7db691905229f80934099047dde07")</f>
        <v>0</v>
      </c>
      <c r="C14167">
        <f>HYPERLINK("https://android.googlesource.com/platform/cts/+/bff1465d3e2f9aa13667a09a1035fbd63a927ee4", "bff1465d3e2f9aa13667a09a1035fbd63a927ee4")</f>
        <v>0</v>
      </c>
      <c r="D14167" t="s">
        <v>11991</v>
      </c>
      <c r="E14167" t="s">
        <v>13625</v>
      </c>
      <c r="F14167" t="s">
        <v>16724</v>
      </c>
      <c r="G14167" t="s">
        <v>19355</v>
      </c>
      <c r="H14167" t="s">
        <v>24241</v>
      </c>
      <c r="I14167" t="s">
        <v>1357</v>
      </c>
      <c r="J14167" t="s">
        <v>1357</v>
      </c>
      <c r="K14167" t="s">
        <v>1357</v>
      </c>
      <c r="L14167" t="s">
        <v>1357</v>
      </c>
    </row>
    <row r="14168" spans="1:13">
      <c r="A14168" t="s">
        <v>11099</v>
      </c>
      <c r="B14168">
        <f>HYPERLINK("https://android.googlesource.com/platform/cts/+/2670baebb26f633ebbc567363897b67e32c43e38", "2670baebb26f633ebbc567363897b67e32c43e38")</f>
        <v>0</v>
      </c>
      <c r="C14168">
        <f>HYPERLINK("https://android.googlesource.com/platform/cts/+/7a95546c64d7db691905229f80934099047dde07", "7a95546c64d7db691905229f80934099047dde07")</f>
        <v>0</v>
      </c>
      <c r="D14168" t="s">
        <v>11991</v>
      </c>
      <c r="E14168" t="s">
        <v>13626</v>
      </c>
      <c r="F14168" t="s">
        <v>16011</v>
      </c>
      <c r="G14168" t="s">
        <v>18703</v>
      </c>
      <c r="H14168" t="s">
        <v>21332</v>
      </c>
      <c r="I14168" t="s">
        <v>1357</v>
      </c>
      <c r="J14168" t="s">
        <v>1357</v>
      </c>
      <c r="K14168" t="s">
        <v>1357</v>
      </c>
      <c r="L14168" t="s">
        <v>1357</v>
      </c>
    </row>
    <row r="14169" spans="1:13">
      <c r="H14169" t="s">
        <v>24243</v>
      </c>
      <c r="I14169" t="s">
        <v>1357</v>
      </c>
      <c r="J14169" t="s">
        <v>1357</v>
      </c>
      <c r="K14169" t="s">
        <v>1357</v>
      </c>
      <c r="L14169" t="s">
        <v>1357</v>
      </c>
    </row>
    <row r="14170" spans="1:13">
      <c r="H14170" t="s">
        <v>24244</v>
      </c>
      <c r="I14170" t="s">
        <v>1357</v>
      </c>
      <c r="J14170" t="s">
        <v>1357</v>
      </c>
      <c r="K14170" t="s">
        <v>1357</v>
      </c>
      <c r="L14170" t="s">
        <v>1357</v>
      </c>
    </row>
    <row r="14171" spans="1:13">
      <c r="A14171" t="s">
        <v>11100</v>
      </c>
      <c r="B14171">
        <f>HYPERLINK("https://android.googlesource.com/platform/cts/+/743ae41431e32eeeb333138cdb8ae2730249bf52", "743ae41431e32eeeb333138cdb8ae2730249bf52")</f>
        <v>0</v>
      </c>
      <c r="C14171">
        <f>HYPERLINK("https://android.googlesource.com/platform/cts/+/efacff51f07478f2469083807369bbbbd1de4558", "efacff51f07478f2469083807369bbbbd1de4558")</f>
        <v>0</v>
      </c>
      <c r="D14171" t="s">
        <v>12005</v>
      </c>
      <c r="E14171" t="s">
        <v>13627</v>
      </c>
      <c r="F14171" t="s">
        <v>16726</v>
      </c>
      <c r="G14171" t="s">
        <v>19357</v>
      </c>
      <c r="H14171" t="s">
        <v>24248</v>
      </c>
      <c r="I14171" t="s">
        <v>1357</v>
      </c>
      <c r="J14171" t="s">
        <v>1357</v>
      </c>
      <c r="K14171" t="s">
        <v>1357</v>
      </c>
      <c r="L14171" t="s">
        <v>1357</v>
      </c>
    </row>
    <row r="14172" spans="1:13">
      <c r="A14172" t="s">
        <v>11101</v>
      </c>
      <c r="B14172">
        <f>HYPERLINK("https://android.googlesource.com/platform/cts/+/f587758d2187cf7f5c0bbd5dd92d27474afa023a", "f587758d2187cf7f5c0bbd5dd92d27474afa023a")</f>
        <v>0</v>
      </c>
      <c r="C14172">
        <f>HYPERLINK("https://android.googlesource.com/platform/cts/+/f5eddf6575cecbb34c3ebac1e8324e6d44d4e496", "f5eddf6575cecbb34c3ebac1e8324e6d44d4e496")</f>
        <v>0</v>
      </c>
      <c r="D14172" t="s">
        <v>12309</v>
      </c>
      <c r="E14172" t="s">
        <v>13628</v>
      </c>
      <c r="F14172" t="s">
        <v>16727</v>
      </c>
      <c r="G14172" t="s">
        <v>19358</v>
      </c>
      <c r="H14172" t="s">
        <v>24249</v>
      </c>
      <c r="I14172" t="s">
        <v>1358</v>
      </c>
      <c r="J14172" t="s">
        <v>1358</v>
      </c>
      <c r="K14172" t="s">
        <v>1358</v>
      </c>
      <c r="L14172" t="s">
        <v>1358</v>
      </c>
      <c r="M14172" t="s">
        <v>27490</v>
      </c>
    </row>
    <row r="14173" spans="1:13">
      <c r="H14173" t="s">
        <v>24250</v>
      </c>
      <c r="I14173" t="s">
        <v>1358</v>
      </c>
      <c r="J14173" t="s">
        <v>1358</v>
      </c>
      <c r="K14173" t="s">
        <v>1358</v>
      </c>
      <c r="L14173" t="s">
        <v>1358</v>
      </c>
    </row>
    <row r="14174" spans="1:13">
      <c r="A14174" t="s">
        <v>11102</v>
      </c>
      <c r="B14174">
        <f>HYPERLINK("https://android.googlesource.com/platform/cts/+/edebba8429b14345c7682cc0b2879951f831e6c5", "edebba8429b14345c7682cc0b2879951f831e6c5")</f>
        <v>0</v>
      </c>
      <c r="C14174">
        <f>HYPERLINK("https://android.googlesource.com/platform/cts/+/022f74bffbd48b025bde4f3c1a572ce64c9a8989", "022f74bffbd48b025bde4f3c1a572ce64c9a8989")</f>
        <v>0</v>
      </c>
      <c r="D14174" t="s">
        <v>12310</v>
      </c>
      <c r="E14174" t="s">
        <v>13629</v>
      </c>
      <c r="F14174" t="s">
        <v>16728</v>
      </c>
      <c r="G14174" t="s">
        <v>19359</v>
      </c>
      <c r="H14174" t="s">
        <v>24251</v>
      </c>
      <c r="I14174" t="s">
        <v>1358</v>
      </c>
      <c r="J14174" t="s">
        <v>1358</v>
      </c>
      <c r="K14174" t="s">
        <v>1358</v>
      </c>
      <c r="L14174" t="s">
        <v>1358</v>
      </c>
    </row>
    <row r="14175" spans="1:13">
      <c r="A14175" t="s">
        <v>11103</v>
      </c>
      <c r="B14175">
        <f>HYPERLINK("https://android.googlesource.com/platform/cts/+/abd338c23c91adbe7304bbbe62187f116e55bdc8", "abd338c23c91adbe7304bbbe62187f116e55bdc8")</f>
        <v>0</v>
      </c>
      <c r="C14175">
        <f>HYPERLINK("https://android.googlesource.com/platform/cts/+/35d0d356814009491ca3925a9bc0eac204fe0511", "35d0d356814009491ca3925a9bc0eac204fe0511")</f>
        <v>0</v>
      </c>
      <c r="D14175" t="s">
        <v>12311</v>
      </c>
      <c r="E14175" t="s">
        <v>13630</v>
      </c>
      <c r="F14175" t="s">
        <v>16729</v>
      </c>
      <c r="G14175" t="s">
        <v>19360</v>
      </c>
      <c r="H14175" t="s">
        <v>24252</v>
      </c>
      <c r="I14175" t="s">
        <v>1357</v>
      </c>
      <c r="J14175" t="s">
        <v>1357</v>
      </c>
      <c r="K14175" t="s">
        <v>1357</v>
      </c>
      <c r="L14175" t="s">
        <v>1357</v>
      </c>
    </row>
    <row r="14176" spans="1:13">
      <c r="A14176" t="s">
        <v>11104</v>
      </c>
      <c r="B14176">
        <f>HYPERLINK("https://android.googlesource.com/platform/cts/+/d708a4c217f13c9028427d98031394f0933482bf", "d708a4c217f13c9028427d98031394f0933482bf")</f>
        <v>0</v>
      </c>
      <c r="C14176">
        <f>HYPERLINK("https://android.googlesource.com/platform/cts/+/0e4743d56553d698ac45ae548f31019ea6e91541", "0e4743d56553d698ac45ae548f31019ea6e91541")</f>
        <v>0</v>
      </c>
      <c r="D14176" t="s">
        <v>12239</v>
      </c>
      <c r="E14176" t="s">
        <v>13631</v>
      </c>
      <c r="F14176" t="s">
        <v>16730</v>
      </c>
      <c r="G14176" t="s">
        <v>19361</v>
      </c>
      <c r="H14176" t="s">
        <v>24253</v>
      </c>
      <c r="I14176" t="s">
        <v>1358</v>
      </c>
      <c r="J14176" t="s">
        <v>1358</v>
      </c>
      <c r="K14176" t="s">
        <v>1358</v>
      </c>
      <c r="L14176" t="s">
        <v>1358</v>
      </c>
    </row>
    <row r="14177" spans="1:13">
      <c r="H14177" t="s">
        <v>24254</v>
      </c>
      <c r="I14177" t="s">
        <v>1358</v>
      </c>
      <c r="J14177" t="s">
        <v>1358</v>
      </c>
      <c r="K14177" t="s">
        <v>1358</v>
      </c>
      <c r="L14177" t="s">
        <v>1358</v>
      </c>
    </row>
    <row r="14178" spans="1:13">
      <c r="A14178" t="s">
        <v>11105</v>
      </c>
      <c r="B14178">
        <f>HYPERLINK("https://android.googlesource.com/platform/cts/+/e4baedd6cb82b04a1c24b3f9f402d90fbde0cfaf", "e4baedd6cb82b04a1c24b3f9f402d90fbde0cfaf")</f>
        <v>0</v>
      </c>
      <c r="C14178">
        <f>HYPERLINK("https://android.googlesource.com/platform/cts/+/38a563708168229ec8fbed9d623a1473e4fac07e", "38a563708168229ec8fbed9d623a1473e4fac07e")</f>
        <v>0</v>
      </c>
      <c r="D14178" t="s">
        <v>12239</v>
      </c>
      <c r="E14178" t="s">
        <v>13632</v>
      </c>
      <c r="F14178" t="s">
        <v>16730</v>
      </c>
      <c r="G14178" t="s">
        <v>19361</v>
      </c>
      <c r="H14178" t="s">
        <v>24253</v>
      </c>
      <c r="I14178" t="s">
        <v>1358</v>
      </c>
      <c r="J14178" t="s">
        <v>1358</v>
      </c>
      <c r="K14178" t="s">
        <v>1358</v>
      </c>
      <c r="L14178" t="s">
        <v>1358</v>
      </c>
      <c r="M14178" t="s">
        <v>9957</v>
      </c>
    </row>
    <row r="14179" spans="1:13">
      <c r="H14179" t="s">
        <v>24254</v>
      </c>
      <c r="I14179" t="s">
        <v>1358</v>
      </c>
      <c r="J14179" t="s">
        <v>1358</v>
      </c>
      <c r="K14179" t="s">
        <v>1358</v>
      </c>
      <c r="L14179" t="s">
        <v>1358</v>
      </c>
    </row>
    <row r="14180" spans="1:13">
      <c r="A14180" t="s">
        <v>11106</v>
      </c>
      <c r="B14180">
        <f>HYPERLINK("https://android.googlesource.com/platform/cts/+/abd03c4c77c815859f419075b0281256ba3f1f71", "abd03c4c77c815859f419075b0281256ba3f1f71")</f>
        <v>0</v>
      </c>
      <c r="C14180">
        <f>HYPERLINK("https://android.googlesource.com/platform/cts/+/732767e5a99905480f9756a5dc7d12e8439782d5", "732767e5a99905480f9756a5dc7d12e8439782d5")</f>
        <v>0</v>
      </c>
      <c r="D14180" t="s">
        <v>12312</v>
      </c>
      <c r="E14180" t="s">
        <v>13633</v>
      </c>
      <c r="F14180" t="s">
        <v>16731</v>
      </c>
      <c r="G14180" t="s">
        <v>19362</v>
      </c>
      <c r="H14180" t="s">
        <v>24255</v>
      </c>
      <c r="I14180" t="s">
        <v>1357</v>
      </c>
      <c r="J14180" t="s">
        <v>1357</v>
      </c>
      <c r="K14180" t="s">
        <v>1357</v>
      </c>
      <c r="L14180" t="s">
        <v>1357</v>
      </c>
    </row>
    <row r="14181" spans="1:13">
      <c r="A14181" t="s">
        <v>11107</v>
      </c>
      <c r="B14181">
        <f>HYPERLINK("https://android.googlesource.com/platform/cts/+/161af4df4052f7c9221cda627f12e1f481569df3", "161af4df4052f7c9221cda627f12e1f481569df3")</f>
        <v>0</v>
      </c>
      <c r="C14181">
        <f>HYPERLINK("https://android.googlesource.com/platform/cts/+/d5d4cdb731aced9e2cbee2d9fd8a85e4e5b28180", "d5d4cdb731aced9e2cbee2d9fd8a85e4e5b28180")</f>
        <v>0</v>
      </c>
      <c r="D14181" t="s">
        <v>12117</v>
      </c>
      <c r="E14181" t="s">
        <v>13634</v>
      </c>
      <c r="F14181" t="s">
        <v>16726</v>
      </c>
      <c r="G14181" t="s">
        <v>19357</v>
      </c>
      <c r="H14181" t="s">
        <v>24256</v>
      </c>
      <c r="I14181" t="s">
        <v>1358</v>
      </c>
      <c r="J14181" t="s">
        <v>1358</v>
      </c>
      <c r="K14181" t="s">
        <v>1358</v>
      </c>
      <c r="L14181" t="s">
        <v>1358</v>
      </c>
    </row>
    <row r="14182" spans="1:13">
      <c r="A14182" t="s">
        <v>11108</v>
      </c>
      <c r="B14182">
        <f>HYPERLINK("https://android.googlesource.com/platform/cts/+/920960d7c38663c0fafb6e58127c2dc7ec013c78", "920960d7c38663c0fafb6e58127c2dc7ec013c78")</f>
        <v>0</v>
      </c>
      <c r="C14182">
        <f>HYPERLINK("https://android.googlesource.com/platform/cts/+/af978c6fe12a5cc5361607e56d42da09eb709653", "af978c6fe12a5cc5361607e56d42da09eb709653")</f>
        <v>0</v>
      </c>
      <c r="D14182" t="s">
        <v>12290</v>
      </c>
      <c r="E14182" t="s">
        <v>13635</v>
      </c>
      <c r="F14182" t="s">
        <v>16732</v>
      </c>
      <c r="G14182" t="s">
        <v>19363</v>
      </c>
      <c r="H14182" t="s">
        <v>24257</v>
      </c>
      <c r="I14182" t="s">
        <v>1357</v>
      </c>
      <c r="J14182" t="s">
        <v>1357</v>
      </c>
      <c r="K14182" t="s">
        <v>1357</v>
      </c>
      <c r="L14182" t="s">
        <v>1357</v>
      </c>
    </row>
    <row r="14183" spans="1:13">
      <c r="A14183" t="s">
        <v>11109</v>
      </c>
      <c r="B14183">
        <f>HYPERLINK("https://android.googlesource.com/platform/cts/+/bb78a6d3dc8629379eb388ca764102798ce865bd", "bb78a6d3dc8629379eb388ca764102798ce865bd")</f>
        <v>0</v>
      </c>
      <c r="C14183">
        <f>HYPERLINK("https://android.googlesource.com/platform/cts/+/aac8bb9ca616f70d4675c05e6cc3a96100152593", "aac8bb9ca616f70d4675c05e6cc3a96100152593")</f>
        <v>0</v>
      </c>
      <c r="D14183" t="s">
        <v>12264</v>
      </c>
      <c r="E14183" t="s">
        <v>13636</v>
      </c>
      <c r="F14183" t="s">
        <v>16733</v>
      </c>
      <c r="G14183" t="s">
        <v>19364</v>
      </c>
      <c r="H14183" t="s">
        <v>24258</v>
      </c>
      <c r="I14183" t="s">
        <v>1357</v>
      </c>
      <c r="J14183" t="s">
        <v>1357</v>
      </c>
      <c r="K14183" t="s">
        <v>1357</v>
      </c>
      <c r="L14183" t="s">
        <v>1357</v>
      </c>
    </row>
    <row r="14184" spans="1:13">
      <c r="A14184" t="s">
        <v>11110</v>
      </c>
      <c r="B14184">
        <f>HYPERLINK("https://android.googlesource.com/platform/cts/+/4f387bea3034bc93a78767d282101135363e2531", "4f387bea3034bc93a78767d282101135363e2531")</f>
        <v>0</v>
      </c>
      <c r="C14184">
        <f>HYPERLINK("https://android.googlesource.com/platform/cts/+/d2a0d577f0b102530b5024969498de77a87a932c", "d2a0d577f0b102530b5024969498de77a87a932c")</f>
        <v>0</v>
      </c>
      <c r="D14184" t="s">
        <v>12313</v>
      </c>
      <c r="E14184" t="s">
        <v>13637</v>
      </c>
      <c r="F14184" t="s">
        <v>16734</v>
      </c>
      <c r="G14184" t="s">
        <v>17361</v>
      </c>
      <c r="H14184" t="s">
        <v>24259</v>
      </c>
      <c r="I14184" t="s">
        <v>1357</v>
      </c>
      <c r="J14184" t="s">
        <v>1357</v>
      </c>
      <c r="K14184" t="s">
        <v>1357</v>
      </c>
      <c r="L14184" t="s">
        <v>1357</v>
      </c>
    </row>
    <row r="14185" spans="1:13">
      <c r="H14185" t="s">
        <v>24260</v>
      </c>
      <c r="I14185" t="s">
        <v>1357</v>
      </c>
      <c r="J14185" t="s">
        <v>1357</v>
      </c>
      <c r="K14185" t="s">
        <v>1357</v>
      </c>
      <c r="L14185" t="s">
        <v>1357</v>
      </c>
    </row>
    <row r="14186" spans="1:13">
      <c r="H14186" t="s">
        <v>19999</v>
      </c>
      <c r="I14186" t="s">
        <v>1357</v>
      </c>
      <c r="J14186" t="s">
        <v>1357</v>
      </c>
      <c r="K14186" t="s">
        <v>1357</v>
      </c>
      <c r="L14186" t="s">
        <v>1357</v>
      </c>
    </row>
    <row r="14187" spans="1:13">
      <c r="H14187" t="s">
        <v>20000</v>
      </c>
      <c r="I14187" t="s">
        <v>1357</v>
      </c>
      <c r="J14187" t="s">
        <v>1357</v>
      </c>
      <c r="K14187" t="s">
        <v>1357</v>
      </c>
      <c r="L14187" t="s">
        <v>1357</v>
      </c>
    </row>
    <row r="14188" spans="1:13">
      <c r="H14188" t="s">
        <v>24261</v>
      </c>
      <c r="I14188" t="s">
        <v>1357</v>
      </c>
      <c r="J14188" t="s">
        <v>1357</v>
      </c>
      <c r="K14188" t="s">
        <v>1357</v>
      </c>
      <c r="L14188" t="s">
        <v>1357</v>
      </c>
    </row>
    <row r="14189" spans="1:13">
      <c r="H14189" t="s">
        <v>24262</v>
      </c>
      <c r="I14189" t="s">
        <v>1357</v>
      </c>
      <c r="J14189" t="s">
        <v>1357</v>
      </c>
      <c r="K14189" t="s">
        <v>1357</v>
      </c>
      <c r="L14189" t="s">
        <v>1357</v>
      </c>
    </row>
    <row r="14190" spans="1:13">
      <c r="A14190" t="s">
        <v>11111</v>
      </c>
      <c r="B14190">
        <f>HYPERLINK("https://android.googlesource.com/platform/cts/+/13a88896eda7c2c7a5439c560f0fdab6b240a5d2", "13a88896eda7c2c7a5439c560f0fdab6b240a5d2")</f>
        <v>0</v>
      </c>
      <c r="C14190">
        <f>HYPERLINK("https://android.googlesource.com/platform/cts/+/6742fc43fff2d34a682dce3c17f0daf745a00b5e", "6742fc43fff2d34a682dce3c17f0daf745a00b5e")</f>
        <v>0</v>
      </c>
      <c r="D14190" t="s">
        <v>11975</v>
      </c>
      <c r="E14190" t="s">
        <v>13638</v>
      </c>
      <c r="F14190" t="s">
        <v>16735</v>
      </c>
      <c r="G14190" t="s">
        <v>19365</v>
      </c>
      <c r="H14190" t="s">
        <v>24263</v>
      </c>
      <c r="I14190" t="s">
        <v>1357</v>
      </c>
      <c r="J14190" t="s">
        <v>1357</v>
      </c>
      <c r="K14190" t="s">
        <v>1357</v>
      </c>
      <c r="L14190" t="s">
        <v>1357</v>
      </c>
    </row>
    <row r="14191" spans="1:13">
      <c r="H14191" t="s">
        <v>24264</v>
      </c>
      <c r="I14191" t="s">
        <v>1357</v>
      </c>
      <c r="J14191" t="s">
        <v>1357</v>
      </c>
      <c r="K14191" t="s">
        <v>1357</v>
      </c>
      <c r="L14191" t="s">
        <v>1357</v>
      </c>
    </row>
    <row r="14192" spans="1:13">
      <c r="H14192" t="s">
        <v>24265</v>
      </c>
      <c r="I14192" t="s">
        <v>1357</v>
      </c>
      <c r="J14192" t="s">
        <v>1357</v>
      </c>
      <c r="K14192" t="s">
        <v>1357</v>
      </c>
      <c r="L14192" t="s">
        <v>1357</v>
      </c>
    </row>
    <row r="14193" spans="6:12">
      <c r="H14193" t="s">
        <v>24266</v>
      </c>
      <c r="I14193" t="s">
        <v>1357</v>
      </c>
      <c r="J14193" t="s">
        <v>1357</v>
      </c>
      <c r="K14193" t="s">
        <v>1357</v>
      </c>
      <c r="L14193" t="s">
        <v>1357</v>
      </c>
    </row>
    <row r="14194" spans="6:12">
      <c r="F14194" t="s">
        <v>16736</v>
      </c>
      <c r="G14194" t="s">
        <v>19366</v>
      </c>
      <c r="H14194" t="s">
        <v>23546</v>
      </c>
      <c r="I14194" t="s">
        <v>1357</v>
      </c>
      <c r="J14194" t="s">
        <v>1357</v>
      </c>
      <c r="K14194" t="s">
        <v>1357</v>
      </c>
      <c r="L14194" t="s">
        <v>1357</v>
      </c>
    </row>
    <row r="14195" spans="6:12">
      <c r="H14195" t="s">
        <v>23547</v>
      </c>
      <c r="I14195" t="s">
        <v>1357</v>
      </c>
      <c r="J14195" t="s">
        <v>1357</v>
      </c>
      <c r="K14195" t="s">
        <v>1357</v>
      </c>
      <c r="L14195" t="s">
        <v>1357</v>
      </c>
    </row>
    <row r="14196" spans="6:12">
      <c r="H14196" t="s">
        <v>23548</v>
      </c>
      <c r="I14196" t="s">
        <v>1357</v>
      </c>
      <c r="J14196" t="s">
        <v>1357</v>
      </c>
      <c r="K14196" t="s">
        <v>1357</v>
      </c>
      <c r="L14196" t="s">
        <v>1357</v>
      </c>
    </row>
    <row r="14197" spans="6:12">
      <c r="H14197" t="s">
        <v>24267</v>
      </c>
      <c r="I14197" t="s">
        <v>1357</v>
      </c>
      <c r="J14197" t="s">
        <v>1357</v>
      </c>
      <c r="K14197" t="s">
        <v>1357</v>
      </c>
      <c r="L14197" t="s">
        <v>1357</v>
      </c>
    </row>
    <row r="14198" spans="6:12">
      <c r="H14198" t="s">
        <v>24268</v>
      </c>
      <c r="I14198" t="s">
        <v>1357</v>
      </c>
      <c r="J14198" t="s">
        <v>1357</v>
      </c>
      <c r="K14198" t="s">
        <v>1357</v>
      </c>
      <c r="L14198" t="s">
        <v>1357</v>
      </c>
    </row>
    <row r="14199" spans="6:12">
      <c r="H14199" t="s">
        <v>23551</v>
      </c>
      <c r="I14199" t="s">
        <v>1357</v>
      </c>
      <c r="J14199" t="s">
        <v>1357</v>
      </c>
      <c r="K14199" t="s">
        <v>1357</v>
      </c>
      <c r="L14199" t="s">
        <v>1357</v>
      </c>
    </row>
    <row r="14200" spans="6:12">
      <c r="H14200" t="s">
        <v>23552</v>
      </c>
      <c r="I14200" t="s">
        <v>1357</v>
      </c>
      <c r="J14200" t="s">
        <v>1357</v>
      </c>
      <c r="K14200" t="s">
        <v>1357</v>
      </c>
      <c r="L14200" t="s">
        <v>1357</v>
      </c>
    </row>
    <row r="14201" spans="6:12">
      <c r="H14201" t="s">
        <v>23553</v>
      </c>
      <c r="I14201" t="s">
        <v>1357</v>
      </c>
      <c r="J14201" t="s">
        <v>1357</v>
      </c>
      <c r="K14201" t="s">
        <v>1357</v>
      </c>
      <c r="L14201" t="s">
        <v>1357</v>
      </c>
    </row>
    <row r="14202" spans="6:12">
      <c r="H14202" t="s">
        <v>23554</v>
      </c>
      <c r="I14202" t="s">
        <v>1357</v>
      </c>
      <c r="J14202" t="s">
        <v>1357</v>
      </c>
      <c r="K14202" t="s">
        <v>1357</v>
      </c>
      <c r="L14202" t="s">
        <v>1357</v>
      </c>
    </row>
    <row r="14203" spans="6:12">
      <c r="H14203" t="s">
        <v>23555</v>
      </c>
      <c r="I14203" t="s">
        <v>1357</v>
      </c>
      <c r="J14203" t="s">
        <v>1357</v>
      </c>
      <c r="K14203" t="s">
        <v>1357</v>
      </c>
      <c r="L14203" t="s">
        <v>1357</v>
      </c>
    </row>
    <row r="14204" spans="6:12">
      <c r="H14204" t="s">
        <v>23556</v>
      </c>
      <c r="I14204" t="s">
        <v>1357</v>
      </c>
      <c r="J14204" t="s">
        <v>1357</v>
      </c>
      <c r="K14204" t="s">
        <v>1357</v>
      </c>
      <c r="L14204" t="s">
        <v>1357</v>
      </c>
    </row>
    <row r="14205" spans="6:12">
      <c r="H14205" t="s">
        <v>23557</v>
      </c>
      <c r="I14205" t="s">
        <v>1357</v>
      </c>
      <c r="J14205" t="s">
        <v>1357</v>
      </c>
      <c r="K14205" t="s">
        <v>1357</v>
      </c>
      <c r="L14205" t="s">
        <v>1357</v>
      </c>
    </row>
    <row r="14206" spans="6:12">
      <c r="H14206" t="s">
        <v>23558</v>
      </c>
      <c r="I14206" t="s">
        <v>1357</v>
      </c>
      <c r="J14206" t="s">
        <v>1357</v>
      </c>
      <c r="K14206" t="s">
        <v>1357</v>
      </c>
      <c r="L14206" t="s">
        <v>1357</v>
      </c>
    </row>
    <row r="14207" spans="6:12">
      <c r="H14207" t="s">
        <v>23559</v>
      </c>
      <c r="I14207" t="s">
        <v>1357</v>
      </c>
      <c r="J14207" t="s">
        <v>1357</v>
      </c>
      <c r="K14207" t="s">
        <v>1357</v>
      </c>
      <c r="L14207" t="s">
        <v>1357</v>
      </c>
    </row>
    <row r="14208" spans="6:12">
      <c r="H14208" t="s">
        <v>23560</v>
      </c>
      <c r="I14208" t="s">
        <v>1357</v>
      </c>
      <c r="J14208" t="s">
        <v>1357</v>
      </c>
      <c r="K14208" t="s">
        <v>1357</v>
      </c>
      <c r="L14208" t="s">
        <v>1357</v>
      </c>
    </row>
    <row r="14209" spans="6:12">
      <c r="H14209" t="s">
        <v>23561</v>
      </c>
      <c r="I14209" t="s">
        <v>1357</v>
      </c>
      <c r="J14209" t="s">
        <v>1357</v>
      </c>
      <c r="K14209" t="s">
        <v>1357</v>
      </c>
      <c r="L14209" t="s">
        <v>1357</v>
      </c>
    </row>
    <row r="14210" spans="6:12">
      <c r="H14210" t="s">
        <v>23562</v>
      </c>
      <c r="I14210" t="s">
        <v>1357</v>
      </c>
      <c r="J14210" t="s">
        <v>1357</v>
      </c>
      <c r="K14210" t="s">
        <v>1357</v>
      </c>
      <c r="L14210" t="s">
        <v>1357</v>
      </c>
    </row>
    <row r="14211" spans="6:12">
      <c r="H14211" t="s">
        <v>23563</v>
      </c>
      <c r="I14211" t="s">
        <v>1357</v>
      </c>
      <c r="J14211" t="s">
        <v>1357</v>
      </c>
      <c r="K14211" t="s">
        <v>1357</v>
      </c>
      <c r="L14211" t="s">
        <v>1357</v>
      </c>
    </row>
    <row r="14212" spans="6:12">
      <c r="H14212" t="s">
        <v>23564</v>
      </c>
      <c r="I14212" t="s">
        <v>1357</v>
      </c>
      <c r="J14212" t="s">
        <v>1357</v>
      </c>
      <c r="K14212" t="s">
        <v>1357</v>
      </c>
      <c r="L14212" t="s">
        <v>1357</v>
      </c>
    </row>
    <row r="14213" spans="6:12">
      <c r="H14213" t="s">
        <v>23565</v>
      </c>
      <c r="I14213" t="s">
        <v>1357</v>
      </c>
      <c r="J14213" t="s">
        <v>1357</v>
      </c>
      <c r="K14213" t="s">
        <v>1357</v>
      </c>
      <c r="L14213" t="s">
        <v>1357</v>
      </c>
    </row>
    <row r="14214" spans="6:12">
      <c r="F14214" t="s">
        <v>16737</v>
      </c>
      <c r="G14214" t="s">
        <v>19367</v>
      </c>
      <c r="H14214" t="s">
        <v>24269</v>
      </c>
      <c r="I14214" t="s">
        <v>1357</v>
      </c>
      <c r="J14214" t="s">
        <v>1357</v>
      </c>
      <c r="K14214" t="s">
        <v>1357</v>
      </c>
      <c r="L14214" t="s">
        <v>1357</v>
      </c>
    </row>
    <row r="14215" spans="6:12">
      <c r="H14215" t="s">
        <v>24270</v>
      </c>
      <c r="I14215" t="s">
        <v>1357</v>
      </c>
      <c r="J14215" t="s">
        <v>1357</v>
      </c>
      <c r="K14215" t="s">
        <v>1357</v>
      </c>
      <c r="L14215" t="s">
        <v>1357</v>
      </c>
    </row>
    <row r="14216" spans="6:12">
      <c r="F14216" t="s">
        <v>16738</v>
      </c>
      <c r="G14216" t="s">
        <v>19368</v>
      </c>
      <c r="H14216" t="s">
        <v>20144</v>
      </c>
      <c r="I14216" t="s">
        <v>1357</v>
      </c>
      <c r="J14216" t="s">
        <v>1357</v>
      </c>
      <c r="K14216" t="s">
        <v>1357</v>
      </c>
      <c r="L14216" t="s">
        <v>1357</v>
      </c>
    </row>
    <row r="14217" spans="6:12">
      <c r="H14217" t="s">
        <v>24271</v>
      </c>
      <c r="I14217" t="s">
        <v>1357</v>
      </c>
      <c r="J14217" t="s">
        <v>1357</v>
      </c>
      <c r="K14217" t="s">
        <v>1357</v>
      </c>
      <c r="L14217" t="s">
        <v>1357</v>
      </c>
    </row>
    <row r="14218" spans="6:12">
      <c r="F14218" t="s">
        <v>16739</v>
      </c>
      <c r="G14218" t="s">
        <v>19179</v>
      </c>
      <c r="H14218" t="s">
        <v>24272</v>
      </c>
      <c r="I14218" t="s">
        <v>1357</v>
      </c>
      <c r="J14218" t="s">
        <v>1357</v>
      </c>
      <c r="K14218" t="s">
        <v>1357</v>
      </c>
      <c r="L14218" t="s">
        <v>1357</v>
      </c>
    </row>
    <row r="14219" spans="6:12">
      <c r="H14219" t="s">
        <v>24273</v>
      </c>
      <c r="I14219" t="s">
        <v>1357</v>
      </c>
      <c r="J14219" t="s">
        <v>1357</v>
      </c>
      <c r="K14219" t="s">
        <v>1357</v>
      </c>
      <c r="L14219" t="s">
        <v>1357</v>
      </c>
    </row>
    <row r="14220" spans="6:12">
      <c r="H14220" t="s">
        <v>24274</v>
      </c>
      <c r="I14220" t="s">
        <v>1357</v>
      </c>
      <c r="J14220" t="s">
        <v>1357</v>
      </c>
      <c r="K14220" t="s">
        <v>1357</v>
      </c>
      <c r="L14220" t="s">
        <v>1357</v>
      </c>
    </row>
    <row r="14221" spans="6:12">
      <c r="H14221" t="s">
        <v>24275</v>
      </c>
      <c r="I14221" t="s">
        <v>1357</v>
      </c>
      <c r="J14221" t="s">
        <v>1357</v>
      </c>
      <c r="K14221" t="s">
        <v>1357</v>
      </c>
      <c r="L14221" t="s">
        <v>1357</v>
      </c>
    </row>
    <row r="14222" spans="6:12">
      <c r="H14222" t="s">
        <v>24276</v>
      </c>
      <c r="I14222" t="s">
        <v>1357</v>
      </c>
      <c r="J14222" t="s">
        <v>1357</v>
      </c>
      <c r="K14222" t="s">
        <v>1357</v>
      </c>
      <c r="L14222" t="s">
        <v>1357</v>
      </c>
    </row>
    <row r="14223" spans="6:12">
      <c r="H14223" t="s">
        <v>24277</v>
      </c>
      <c r="I14223" t="s">
        <v>1357</v>
      </c>
      <c r="J14223" t="s">
        <v>1357</v>
      </c>
      <c r="K14223" t="s">
        <v>1357</v>
      </c>
      <c r="L14223" t="s">
        <v>1357</v>
      </c>
    </row>
    <row r="14224" spans="6:12">
      <c r="H14224" t="s">
        <v>24278</v>
      </c>
      <c r="I14224" t="s">
        <v>1357</v>
      </c>
      <c r="J14224" t="s">
        <v>1357</v>
      </c>
      <c r="K14224" t="s">
        <v>1357</v>
      </c>
      <c r="L14224" t="s">
        <v>1357</v>
      </c>
    </row>
    <row r="14225" spans="6:12">
      <c r="F14225" t="s">
        <v>16740</v>
      </c>
      <c r="G14225" t="s">
        <v>19369</v>
      </c>
      <c r="H14225" t="s">
        <v>24279</v>
      </c>
      <c r="I14225" t="s">
        <v>1357</v>
      </c>
      <c r="J14225" t="s">
        <v>1357</v>
      </c>
      <c r="K14225" t="s">
        <v>1357</v>
      </c>
      <c r="L14225" t="s">
        <v>1357</v>
      </c>
    </row>
    <row r="14226" spans="6:12">
      <c r="H14226" t="s">
        <v>24280</v>
      </c>
      <c r="I14226" t="s">
        <v>1357</v>
      </c>
      <c r="J14226" t="s">
        <v>1357</v>
      </c>
      <c r="K14226" t="s">
        <v>1357</v>
      </c>
      <c r="L14226" t="s">
        <v>1357</v>
      </c>
    </row>
    <row r="14227" spans="6:12">
      <c r="H14227" t="s">
        <v>24281</v>
      </c>
      <c r="I14227" t="s">
        <v>1357</v>
      </c>
      <c r="J14227" t="s">
        <v>1357</v>
      </c>
      <c r="K14227" t="s">
        <v>1357</v>
      </c>
      <c r="L14227" t="s">
        <v>1357</v>
      </c>
    </row>
    <row r="14228" spans="6:12">
      <c r="H14228" t="s">
        <v>24282</v>
      </c>
      <c r="I14228" t="s">
        <v>1357</v>
      </c>
      <c r="J14228" t="s">
        <v>1357</v>
      </c>
      <c r="K14228" t="s">
        <v>1357</v>
      </c>
      <c r="L14228" t="s">
        <v>1357</v>
      </c>
    </row>
    <row r="14229" spans="6:12">
      <c r="H14229" t="s">
        <v>24283</v>
      </c>
      <c r="I14229" t="s">
        <v>1357</v>
      </c>
      <c r="J14229" t="s">
        <v>1357</v>
      </c>
      <c r="K14229" t="s">
        <v>1357</v>
      </c>
      <c r="L14229" t="s">
        <v>1357</v>
      </c>
    </row>
    <row r="14230" spans="6:12">
      <c r="H14230" t="s">
        <v>24284</v>
      </c>
      <c r="I14230" t="s">
        <v>1357</v>
      </c>
      <c r="J14230" t="s">
        <v>1357</v>
      </c>
      <c r="K14230" t="s">
        <v>1357</v>
      </c>
      <c r="L14230" t="s">
        <v>1357</v>
      </c>
    </row>
    <row r="14231" spans="6:12">
      <c r="H14231" t="s">
        <v>24285</v>
      </c>
      <c r="I14231" t="s">
        <v>1357</v>
      </c>
      <c r="J14231" t="s">
        <v>1357</v>
      </c>
      <c r="K14231" t="s">
        <v>1357</v>
      </c>
      <c r="L14231" t="s">
        <v>1357</v>
      </c>
    </row>
    <row r="14232" spans="6:12">
      <c r="H14232" t="s">
        <v>24286</v>
      </c>
      <c r="I14232" t="s">
        <v>1357</v>
      </c>
      <c r="J14232" t="s">
        <v>1357</v>
      </c>
      <c r="K14232" t="s">
        <v>1357</v>
      </c>
      <c r="L14232" t="s">
        <v>1357</v>
      </c>
    </row>
    <row r="14233" spans="6:12">
      <c r="H14233" t="s">
        <v>24287</v>
      </c>
      <c r="I14233" t="s">
        <v>1357</v>
      </c>
      <c r="J14233" t="s">
        <v>1357</v>
      </c>
      <c r="K14233" t="s">
        <v>1357</v>
      </c>
      <c r="L14233" t="s">
        <v>1357</v>
      </c>
    </row>
    <row r="14234" spans="6:12">
      <c r="H14234" t="s">
        <v>24288</v>
      </c>
      <c r="I14234" t="s">
        <v>1357</v>
      </c>
      <c r="J14234" t="s">
        <v>1357</v>
      </c>
      <c r="K14234" t="s">
        <v>1357</v>
      </c>
      <c r="L14234" t="s">
        <v>1357</v>
      </c>
    </row>
    <row r="14235" spans="6:12">
      <c r="H14235" t="s">
        <v>24289</v>
      </c>
      <c r="I14235" t="s">
        <v>1357</v>
      </c>
      <c r="J14235" t="s">
        <v>1357</v>
      </c>
      <c r="K14235" t="s">
        <v>1357</v>
      </c>
      <c r="L14235" t="s">
        <v>1357</v>
      </c>
    </row>
    <row r="14236" spans="6:12">
      <c r="H14236" t="s">
        <v>24290</v>
      </c>
      <c r="I14236" t="s">
        <v>1357</v>
      </c>
      <c r="J14236" t="s">
        <v>1357</v>
      </c>
      <c r="K14236" t="s">
        <v>1357</v>
      </c>
      <c r="L14236" t="s">
        <v>1357</v>
      </c>
    </row>
    <row r="14237" spans="6:12">
      <c r="H14237" t="s">
        <v>24291</v>
      </c>
      <c r="I14237" t="s">
        <v>1357</v>
      </c>
      <c r="J14237" t="s">
        <v>1357</v>
      </c>
      <c r="K14237" t="s">
        <v>1357</v>
      </c>
      <c r="L14237" t="s">
        <v>1357</v>
      </c>
    </row>
    <row r="14238" spans="6:12">
      <c r="F14238" t="s">
        <v>16741</v>
      </c>
      <c r="G14238" t="s">
        <v>19370</v>
      </c>
      <c r="H14238" t="s">
        <v>24272</v>
      </c>
      <c r="I14238" t="s">
        <v>1357</v>
      </c>
      <c r="J14238" t="s">
        <v>1357</v>
      </c>
      <c r="K14238" t="s">
        <v>1357</v>
      </c>
      <c r="L14238" t="s">
        <v>1357</v>
      </c>
    </row>
    <row r="14239" spans="6:12">
      <c r="H14239" t="s">
        <v>24292</v>
      </c>
      <c r="I14239" t="s">
        <v>1357</v>
      </c>
      <c r="J14239" t="s">
        <v>1357</v>
      </c>
      <c r="K14239" t="s">
        <v>1357</v>
      </c>
      <c r="L14239" t="s">
        <v>1357</v>
      </c>
    </row>
    <row r="14240" spans="6:12">
      <c r="H14240" t="s">
        <v>24293</v>
      </c>
      <c r="I14240" t="s">
        <v>1357</v>
      </c>
      <c r="J14240" t="s">
        <v>1357</v>
      </c>
      <c r="K14240" t="s">
        <v>1357</v>
      </c>
      <c r="L14240" t="s">
        <v>1357</v>
      </c>
    </row>
    <row r="14241" spans="6:12">
      <c r="H14241" t="s">
        <v>24294</v>
      </c>
      <c r="I14241" t="s">
        <v>1357</v>
      </c>
      <c r="J14241" t="s">
        <v>1357</v>
      </c>
      <c r="K14241" t="s">
        <v>1357</v>
      </c>
      <c r="L14241" t="s">
        <v>1357</v>
      </c>
    </row>
    <row r="14242" spans="6:12">
      <c r="H14242" t="s">
        <v>24295</v>
      </c>
      <c r="I14242" t="s">
        <v>1357</v>
      </c>
      <c r="J14242" t="s">
        <v>1357</v>
      </c>
      <c r="K14242" t="s">
        <v>1357</v>
      </c>
      <c r="L14242" t="s">
        <v>1357</v>
      </c>
    </row>
    <row r="14243" spans="6:12">
      <c r="H14243" t="s">
        <v>24296</v>
      </c>
      <c r="I14243" t="s">
        <v>1357</v>
      </c>
      <c r="J14243" t="s">
        <v>1357</v>
      </c>
      <c r="K14243" t="s">
        <v>1357</v>
      </c>
      <c r="L14243" t="s">
        <v>1357</v>
      </c>
    </row>
    <row r="14244" spans="6:12">
      <c r="H14244" t="s">
        <v>24297</v>
      </c>
      <c r="I14244" t="s">
        <v>1357</v>
      </c>
      <c r="J14244" t="s">
        <v>1357</v>
      </c>
      <c r="K14244" t="s">
        <v>1357</v>
      </c>
      <c r="L14244" t="s">
        <v>1357</v>
      </c>
    </row>
    <row r="14245" spans="6:12">
      <c r="H14245" t="s">
        <v>24298</v>
      </c>
      <c r="I14245" t="s">
        <v>1357</v>
      </c>
      <c r="J14245" t="s">
        <v>1357</v>
      </c>
      <c r="K14245" t="s">
        <v>1357</v>
      </c>
      <c r="L14245" t="s">
        <v>1357</v>
      </c>
    </row>
    <row r="14246" spans="6:12">
      <c r="H14246" t="s">
        <v>24299</v>
      </c>
      <c r="I14246" t="s">
        <v>1357</v>
      </c>
      <c r="J14246" t="s">
        <v>1357</v>
      </c>
      <c r="K14246" t="s">
        <v>1357</v>
      </c>
      <c r="L14246" t="s">
        <v>1357</v>
      </c>
    </row>
    <row r="14247" spans="6:12">
      <c r="F14247" t="s">
        <v>16742</v>
      </c>
      <c r="G14247" t="s">
        <v>19371</v>
      </c>
      <c r="H14247" t="s">
        <v>24272</v>
      </c>
      <c r="I14247" t="s">
        <v>1357</v>
      </c>
      <c r="J14247" t="s">
        <v>1357</v>
      </c>
      <c r="K14247" t="s">
        <v>1357</v>
      </c>
      <c r="L14247" t="s">
        <v>1357</v>
      </c>
    </row>
    <row r="14248" spans="6:12">
      <c r="H14248" t="s">
        <v>24300</v>
      </c>
      <c r="I14248" t="s">
        <v>1357</v>
      </c>
      <c r="J14248" t="s">
        <v>1357</v>
      </c>
      <c r="K14248" t="s">
        <v>1357</v>
      </c>
      <c r="L14248" t="s">
        <v>1357</v>
      </c>
    </row>
    <row r="14249" spans="6:12">
      <c r="H14249" t="s">
        <v>24301</v>
      </c>
      <c r="I14249" t="s">
        <v>1357</v>
      </c>
      <c r="J14249" t="s">
        <v>1357</v>
      </c>
      <c r="K14249" t="s">
        <v>1357</v>
      </c>
      <c r="L14249" t="s">
        <v>1357</v>
      </c>
    </row>
    <row r="14250" spans="6:12">
      <c r="H14250" t="s">
        <v>24302</v>
      </c>
      <c r="I14250" t="s">
        <v>1357</v>
      </c>
      <c r="J14250" t="s">
        <v>1357</v>
      </c>
      <c r="K14250" t="s">
        <v>1357</v>
      </c>
      <c r="L14250" t="s">
        <v>1357</v>
      </c>
    </row>
    <row r="14251" spans="6:12">
      <c r="H14251" t="s">
        <v>24303</v>
      </c>
      <c r="I14251" t="s">
        <v>1357</v>
      </c>
      <c r="J14251" t="s">
        <v>1357</v>
      </c>
      <c r="K14251" t="s">
        <v>1357</v>
      </c>
      <c r="L14251" t="s">
        <v>1357</v>
      </c>
    </row>
    <row r="14252" spans="6:12">
      <c r="F14252" t="s">
        <v>16743</v>
      </c>
      <c r="G14252" t="s">
        <v>19372</v>
      </c>
      <c r="H14252" t="s">
        <v>24272</v>
      </c>
      <c r="I14252" t="s">
        <v>1357</v>
      </c>
      <c r="J14252" t="s">
        <v>1357</v>
      </c>
      <c r="K14252" t="s">
        <v>1357</v>
      </c>
      <c r="L14252" t="s">
        <v>1357</v>
      </c>
    </row>
    <row r="14253" spans="6:12">
      <c r="H14253" t="s">
        <v>24304</v>
      </c>
      <c r="I14253" t="s">
        <v>1357</v>
      </c>
      <c r="J14253" t="s">
        <v>1357</v>
      </c>
      <c r="K14253" t="s">
        <v>1357</v>
      </c>
      <c r="L14253" t="s">
        <v>1357</v>
      </c>
    </row>
    <row r="14254" spans="6:12">
      <c r="H14254" t="s">
        <v>24305</v>
      </c>
      <c r="I14254" t="s">
        <v>1357</v>
      </c>
      <c r="J14254" t="s">
        <v>1357</v>
      </c>
      <c r="K14254" t="s">
        <v>1357</v>
      </c>
      <c r="L14254" t="s">
        <v>1357</v>
      </c>
    </row>
    <row r="14255" spans="6:12">
      <c r="H14255" t="s">
        <v>24306</v>
      </c>
      <c r="I14255" t="s">
        <v>1357</v>
      </c>
      <c r="J14255" t="s">
        <v>1357</v>
      </c>
      <c r="K14255" t="s">
        <v>1357</v>
      </c>
      <c r="L14255" t="s">
        <v>1357</v>
      </c>
    </row>
    <row r="14256" spans="6:12">
      <c r="H14256" t="s">
        <v>24307</v>
      </c>
      <c r="I14256" t="s">
        <v>1357</v>
      </c>
      <c r="J14256" t="s">
        <v>1357</v>
      </c>
      <c r="K14256" t="s">
        <v>1357</v>
      </c>
      <c r="L14256" t="s">
        <v>1357</v>
      </c>
    </row>
    <row r="14257" spans="1:13">
      <c r="H14257" t="s">
        <v>24308</v>
      </c>
      <c r="I14257" t="s">
        <v>1357</v>
      </c>
      <c r="J14257" t="s">
        <v>1357</v>
      </c>
      <c r="K14257" t="s">
        <v>1357</v>
      </c>
      <c r="L14257" t="s">
        <v>1357</v>
      </c>
    </row>
    <row r="14258" spans="1:13">
      <c r="H14258" t="s">
        <v>24309</v>
      </c>
      <c r="I14258" t="s">
        <v>1357</v>
      </c>
      <c r="J14258" t="s">
        <v>1357</v>
      </c>
      <c r="K14258" t="s">
        <v>1357</v>
      </c>
      <c r="L14258" t="s">
        <v>1357</v>
      </c>
    </row>
    <row r="14259" spans="1:13">
      <c r="A14259" t="s">
        <v>11112</v>
      </c>
      <c r="B14259">
        <f>HYPERLINK("https://android.googlesource.com/platform/cts/+/1c3ffc1ab9f7c24bb01aab59b2bf098867d102cd", "1c3ffc1ab9f7c24bb01aab59b2bf098867d102cd")</f>
        <v>0</v>
      </c>
      <c r="C14259">
        <f>HYPERLINK("https://android.googlesource.com/platform/cts/+/e556f8234d386b4c90e38c9bb0db1cae3640a3bf", "e556f8234d386b4c90e38c9bb0db1cae3640a3bf")</f>
        <v>0</v>
      </c>
      <c r="D14259" t="s">
        <v>12117</v>
      </c>
      <c r="E14259" t="s">
        <v>13639</v>
      </c>
      <c r="F14259" t="s">
        <v>16726</v>
      </c>
      <c r="G14259" t="s">
        <v>19357</v>
      </c>
      <c r="H14259" t="s">
        <v>24310</v>
      </c>
      <c r="I14259" t="s">
        <v>1357</v>
      </c>
      <c r="J14259" t="s">
        <v>1357</v>
      </c>
      <c r="K14259" t="s">
        <v>1357</v>
      </c>
      <c r="L14259" t="s">
        <v>1357</v>
      </c>
    </row>
    <row r="14260" spans="1:13">
      <c r="H14260" t="s">
        <v>24311</v>
      </c>
      <c r="I14260" t="s">
        <v>1357</v>
      </c>
      <c r="J14260" t="s">
        <v>1357</v>
      </c>
      <c r="K14260" t="s">
        <v>1357</v>
      </c>
      <c r="L14260" t="s">
        <v>1357</v>
      </c>
    </row>
    <row r="14261" spans="1:13">
      <c r="A14261" t="s">
        <v>11113</v>
      </c>
      <c r="B14261">
        <f>HYPERLINK("https://android.googlesource.com/platform/cts/+/c0f8161ccdc707df45b28a3d3a83641bb196fa9f", "c0f8161ccdc707df45b28a3d3a83641bb196fa9f")</f>
        <v>0</v>
      </c>
      <c r="C14261">
        <f>HYPERLINK("https://android.googlesource.com/platform/cts/+/6723e5a136c6be20de749e80893d3627de3099e5", "6723e5a136c6be20de749e80893d3627de3099e5")</f>
        <v>0</v>
      </c>
      <c r="D14261" t="s">
        <v>12298</v>
      </c>
      <c r="E14261" t="s">
        <v>13640</v>
      </c>
      <c r="F14261" t="s">
        <v>16734</v>
      </c>
      <c r="G14261" t="s">
        <v>17361</v>
      </c>
      <c r="H14261" t="s">
        <v>24312</v>
      </c>
      <c r="I14261" t="s">
        <v>1359</v>
      </c>
      <c r="J14261" t="s">
        <v>1358</v>
      </c>
      <c r="K14261" t="s">
        <v>1357</v>
      </c>
      <c r="L14261" t="s">
        <v>1358</v>
      </c>
    </row>
    <row r="14262" spans="1:13">
      <c r="H14262" t="s">
        <v>24313</v>
      </c>
      <c r="I14262" t="s">
        <v>1359</v>
      </c>
      <c r="J14262" t="s">
        <v>1358</v>
      </c>
      <c r="K14262" t="s">
        <v>1357</v>
      </c>
      <c r="L14262" t="s">
        <v>1358</v>
      </c>
    </row>
    <row r="14263" spans="1:13">
      <c r="H14263" t="s">
        <v>24314</v>
      </c>
      <c r="I14263" t="s">
        <v>1359</v>
      </c>
      <c r="J14263" t="s">
        <v>1358</v>
      </c>
      <c r="K14263" t="s">
        <v>1357</v>
      </c>
      <c r="L14263" t="s">
        <v>1358</v>
      </c>
    </row>
    <row r="14264" spans="1:13">
      <c r="H14264" t="s">
        <v>24315</v>
      </c>
      <c r="I14264" t="s">
        <v>1359</v>
      </c>
      <c r="J14264" t="s">
        <v>1358</v>
      </c>
      <c r="K14264" t="s">
        <v>1357</v>
      </c>
      <c r="L14264" t="s">
        <v>1358</v>
      </c>
    </row>
    <row r="14265" spans="1:13">
      <c r="H14265" t="s">
        <v>24316</v>
      </c>
      <c r="I14265" t="s">
        <v>1359</v>
      </c>
      <c r="J14265" t="s">
        <v>1358</v>
      </c>
      <c r="K14265" t="s">
        <v>1357</v>
      </c>
      <c r="L14265" t="s">
        <v>1358</v>
      </c>
    </row>
    <row r="14266" spans="1:13">
      <c r="H14266" t="s">
        <v>24317</v>
      </c>
      <c r="I14266" t="s">
        <v>1359</v>
      </c>
      <c r="J14266" t="s">
        <v>1358</v>
      </c>
      <c r="K14266" t="s">
        <v>1357</v>
      </c>
      <c r="L14266" t="s">
        <v>1358</v>
      </c>
    </row>
    <row r="14267" spans="1:13">
      <c r="H14267" t="s">
        <v>24318</v>
      </c>
      <c r="I14267" t="s">
        <v>1359</v>
      </c>
      <c r="J14267" t="s">
        <v>1358</v>
      </c>
      <c r="K14267" t="s">
        <v>1357</v>
      </c>
      <c r="L14267" t="s">
        <v>1358</v>
      </c>
    </row>
    <row r="14268" spans="1:13">
      <c r="H14268" t="s">
        <v>24319</v>
      </c>
      <c r="I14268" t="s">
        <v>1359</v>
      </c>
      <c r="J14268" t="s">
        <v>1358</v>
      </c>
      <c r="K14268" t="s">
        <v>1357</v>
      </c>
      <c r="L14268" t="s">
        <v>1358</v>
      </c>
      <c r="M14268" t="s">
        <v>1361</v>
      </c>
    </row>
    <row r="14269" spans="1:13">
      <c r="H14269" t="s">
        <v>24320</v>
      </c>
      <c r="I14269" t="s">
        <v>1359</v>
      </c>
      <c r="J14269" t="s">
        <v>1358</v>
      </c>
      <c r="K14269" t="s">
        <v>1357</v>
      </c>
      <c r="L14269" t="s">
        <v>1358</v>
      </c>
    </row>
    <row r="14270" spans="1:13">
      <c r="H14270" t="s">
        <v>24321</v>
      </c>
      <c r="I14270" t="s">
        <v>1359</v>
      </c>
      <c r="J14270" t="s">
        <v>1358</v>
      </c>
      <c r="K14270" t="s">
        <v>1357</v>
      </c>
      <c r="L14270" t="s">
        <v>1358</v>
      </c>
    </row>
    <row r="14271" spans="1:13">
      <c r="H14271" t="s">
        <v>24322</v>
      </c>
      <c r="I14271" t="s">
        <v>1359</v>
      </c>
      <c r="J14271" t="s">
        <v>1358</v>
      </c>
      <c r="K14271" t="s">
        <v>1357</v>
      </c>
      <c r="L14271" t="s">
        <v>1358</v>
      </c>
    </row>
    <row r="14272" spans="1:13">
      <c r="H14272" t="s">
        <v>24323</v>
      </c>
      <c r="I14272" t="s">
        <v>1359</v>
      </c>
      <c r="J14272" t="s">
        <v>1358</v>
      </c>
      <c r="K14272" t="s">
        <v>1357</v>
      </c>
      <c r="L14272" t="s">
        <v>1358</v>
      </c>
    </row>
    <row r="14273" spans="8:12">
      <c r="H14273" t="s">
        <v>24324</v>
      </c>
      <c r="I14273" t="s">
        <v>1359</v>
      </c>
      <c r="J14273" t="s">
        <v>1358</v>
      </c>
      <c r="K14273" t="s">
        <v>1357</v>
      </c>
      <c r="L14273" t="s">
        <v>1358</v>
      </c>
    </row>
    <row r="14274" spans="8:12">
      <c r="H14274" t="s">
        <v>24259</v>
      </c>
      <c r="I14274" t="s">
        <v>1359</v>
      </c>
      <c r="J14274" t="s">
        <v>1358</v>
      </c>
      <c r="K14274" t="s">
        <v>1357</v>
      </c>
      <c r="L14274" t="s">
        <v>1358</v>
      </c>
    </row>
    <row r="14275" spans="8:12">
      <c r="H14275" t="s">
        <v>24260</v>
      </c>
      <c r="I14275" t="s">
        <v>1359</v>
      </c>
      <c r="J14275" t="s">
        <v>1358</v>
      </c>
      <c r="K14275" t="s">
        <v>1357</v>
      </c>
      <c r="L14275" t="s">
        <v>1358</v>
      </c>
    </row>
    <row r="14276" spans="8:12">
      <c r="H14276" t="s">
        <v>19999</v>
      </c>
      <c r="I14276" t="s">
        <v>1359</v>
      </c>
      <c r="J14276" t="s">
        <v>1358</v>
      </c>
      <c r="K14276" t="s">
        <v>1357</v>
      </c>
      <c r="L14276" t="s">
        <v>1358</v>
      </c>
    </row>
    <row r="14277" spans="8:12">
      <c r="H14277" t="s">
        <v>20000</v>
      </c>
      <c r="I14277" t="s">
        <v>1359</v>
      </c>
      <c r="J14277" t="s">
        <v>1358</v>
      </c>
      <c r="K14277" t="s">
        <v>1357</v>
      </c>
      <c r="L14277" t="s">
        <v>1358</v>
      </c>
    </row>
    <row r="14278" spans="8:12">
      <c r="H14278" t="s">
        <v>24325</v>
      </c>
      <c r="I14278" t="s">
        <v>1359</v>
      </c>
      <c r="J14278" t="s">
        <v>1358</v>
      </c>
      <c r="K14278" t="s">
        <v>1357</v>
      </c>
      <c r="L14278" t="s">
        <v>1358</v>
      </c>
    </row>
    <row r="14279" spans="8:12">
      <c r="H14279" t="s">
        <v>24326</v>
      </c>
      <c r="I14279" t="s">
        <v>1359</v>
      </c>
      <c r="J14279" t="s">
        <v>1358</v>
      </c>
      <c r="K14279" t="s">
        <v>1357</v>
      </c>
      <c r="L14279" t="s">
        <v>1358</v>
      </c>
    </row>
    <row r="14280" spans="8:12">
      <c r="H14280" t="s">
        <v>24327</v>
      </c>
      <c r="I14280" t="s">
        <v>1359</v>
      </c>
      <c r="J14280" t="s">
        <v>1358</v>
      </c>
      <c r="K14280" t="s">
        <v>1357</v>
      </c>
      <c r="L14280" t="s">
        <v>1358</v>
      </c>
    </row>
    <row r="14281" spans="8:12">
      <c r="H14281" t="s">
        <v>24328</v>
      </c>
      <c r="I14281" t="s">
        <v>1359</v>
      </c>
      <c r="J14281" t="s">
        <v>1358</v>
      </c>
      <c r="K14281" t="s">
        <v>1357</v>
      </c>
      <c r="L14281" t="s">
        <v>1358</v>
      </c>
    </row>
    <row r="14282" spans="8:12">
      <c r="H14282" t="s">
        <v>24329</v>
      </c>
      <c r="I14282" t="s">
        <v>1359</v>
      </c>
      <c r="J14282" t="s">
        <v>1358</v>
      </c>
      <c r="K14282" t="s">
        <v>1357</v>
      </c>
      <c r="L14282" t="s">
        <v>1358</v>
      </c>
    </row>
    <row r="14283" spans="8:12">
      <c r="H14283" t="s">
        <v>24330</v>
      </c>
      <c r="I14283" t="s">
        <v>1359</v>
      </c>
      <c r="J14283" t="s">
        <v>1358</v>
      </c>
      <c r="K14283" t="s">
        <v>1357</v>
      </c>
      <c r="L14283" t="s">
        <v>1358</v>
      </c>
    </row>
    <row r="14284" spans="8:12">
      <c r="H14284" t="s">
        <v>24331</v>
      </c>
      <c r="I14284" t="s">
        <v>1359</v>
      </c>
      <c r="J14284" t="s">
        <v>1358</v>
      </c>
      <c r="K14284" t="s">
        <v>1357</v>
      </c>
      <c r="L14284" t="s">
        <v>1358</v>
      </c>
    </row>
    <row r="14285" spans="8:12">
      <c r="H14285" t="s">
        <v>24332</v>
      </c>
      <c r="I14285" t="s">
        <v>1359</v>
      </c>
      <c r="J14285" t="s">
        <v>1358</v>
      </c>
      <c r="K14285" t="s">
        <v>1357</v>
      </c>
      <c r="L14285" t="s">
        <v>1358</v>
      </c>
    </row>
    <row r="14286" spans="8:12">
      <c r="H14286" t="s">
        <v>24261</v>
      </c>
      <c r="I14286" t="s">
        <v>1359</v>
      </c>
      <c r="J14286" t="s">
        <v>1358</v>
      </c>
      <c r="K14286" t="s">
        <v>1357</v>
      </c>
      <c r="L14286" t="s">
        <v>1358</v>
      </c>
    </row>
    <row r="14287" spans="8:12">
      <c r="H14287" t="s">
        <v>24262</v>
      </c>
      <c r="I14287" t="s">
        <v>1359</v>
      </c>
      <c r="J14287" t="s">
        <v>1358</v>
      </c>
      <c r="K14287" t="s">
        <v>1357</v>
      </c>
      <c r="L14287" t="s">
        <v>1358</v>
      </c>
    </row>
    <row r="14288" spans="8:12">
      <c r="H14288" t="s">
        <v>24333</v>
      </c>
      <c r="I14288" t="s">
        <v>1359</v>
      </c>
      <c r="J14288" t="s">
        <v>1358</v>
      </c>
      <c r="K14288" t="s">
        <v>1357</v>
      </c>
      <c r="L14288" t="s">
        <v>1358</v>
      </c>
    </row>
    <row r="14289" spans="1:14">
      <c r="H14289" t="s">
        <v>24334</v>
      </c>
      <c r="I14289" t="s">
        <v>1359</v>
      </c>
      <c r="J14289" t="s">
        <v>1358</v>
      </c>
      <c r="K14289" t="s">
        <v>1357</v>
      </c>
      <c r="L14289" t="s">
        <v>1358</v>
      </c>
    </row>
    <row r="14290" spans="1:14">
      <c r="A14290" t="s">
        <v>11114</v>
      </c>
      <c r="B14290">
        <f>HYPERLINK("https://android.googlesource.com/platform/cts/+/e5ffde0ef126f112431805cff0a2a8a2f17a45a4", "e5ffde0ef126f112431805cff0a2a8a2f17a45a4")</f>
        <v>0</v>
      </c>
      <c r="C14290">
        <f>HYPERLINK("https://android.googlesource.com/platform/cts/+/5af7db015fc2ac1a1499684cde3ebeb8491e093c", "5af7db015fc2ac1a1499684cde3ebeb8491e093c")</f>
        <v>0</v>
      </c>
      <c r="D14290" t="s">
        <v>12137</v>
      </c>
      <c r="E14290" t="s">
        <v>13641</v>
      </c>
      <c r="F14290" t="s">
        <v>16490</v>
      </c>
      <c r="G14290" t="s">
        <v>19149</v>
      </c>
      <c r="H14290" t="s">
        <v>23282</v>
      </c>
      <c r="I14290" t="s">
        <v>1358</v>
      </c>
      <c r="J14290" t="s">
        <v>1358</v>
      </c>
      <c r="K14290" t="s">
        <v>1358</v>
      </c>
      <c r="L14290" t="s">
        <v>1358</v>
      </c>
    </row>
    <row r="14291" spans="1:14">
      <c r="F14291" t="s">
        <v>16492</v>
      </c>
      <c r="G14291" t="s">
        <v>19151</v>
      </c>
      <c r="H14291" t="s">
        <v>24335</v>
      </c>
      <c r="I14291" t="s">
        <v>1357</v>
      </c>
      <c r="J14291" t="s">
        <v>1357</v>
      </c>
      <c r="K14291" t="s">
        <v>1357</v>
      </c>
      <c r="L14291" t="s">
        <v>1357</v>
      </c>
      <c r="N14291" t="s">
        <v>1379</v>
      </c>
    </row>
    <row r="14292" spans="1:14">
      <c r="A14292" t="s">
        <v>11115</v>
      </c>
      <c r="B14292">
        <f>HYPERLINK("https://android.googlesource.com/platform/cts/+/60effdd180c8a2fbd0f47c4d5a27b69de1fc893c", "60effdd180c8a2fbd0f47c4d5a27b69de1fc893c")</f>
        <v>0</v>
      </c>
      <c r="C14292">
        <f>HYPERLINK("https://android.googlesource.com/platform/cts/+/e90d5a3190f688e8906acd61547b416d4b69389f", "e90d5a3190f688e8906acd61547b416d4b69389f")</f>
        <v>0</v>
      </c>
      <c r="D14292" t="s">
        <v>12314</v>
      </c>
      <c r="E14292" t="s">
        <v>13642</v>
      </c>
      <c r="F14292" t="s">
        <v>16744</v>
      </c>
      <c r="G14292" t="s">
        <v>19373</v>
      </c>
      <c r="H14292" t="s">
        <v>24336</v>
      </c>
      <c r="I14292" t="s">
        <v>1358</v>
      </c>
      <c r="J14292" t="s">
        <v>1358</v>
      </c>
      <c r="K14292" t="s">
        <v>1358</v>
      </c>
      <c r="L14292" t="s">
        <v>1358</v>
      </c>
    </row>
    <row r="14293" spans="1:14">
      <c r="H14293" t="s">
        <v>24337</v>
      </c>
      <c r="I14293" t="s">
        <v>1358</v>
      </c>
      <c r="J14293" t="s">
        <v>1358</v>
      </c>
      <c r="K14293" t="s">
        <v>1358</v>
      </c>
      <c r="L14293" t="s">
        <v>1358</v>
      </c>
    </row>
    <row r="14294" spans="1:14">
      <c r="H14294" t="s">
        <v>24338</v>
      </c>
      <c r="I14294" t="s">
        <v>1358</v>
      </c>
      <c r="J14294" t="s">
        <v>1358</v>
      </c>
      <c r="K14294" t="s">
        <v>1358</v>
      </c>
      <c r="L14294" t="s">
        <v>1358</v>
      </c>
    </row>
    <row r="14295" spans="1:14">
      <c r="H14295" t="s">
        <v>24339</v>
      </c>
      <c r="I14295" t="s">
        <v>1358</v>
      </c>
      <c r="J14295" t="s">
        <v>1358</v>
      </c>
      <c r="K14295" t="s">
        <v>1358</v>
      </c>
      <c r="L14295" t="s">
        <v>1358</v>
      </c>
    </row>
    <row r="14296" spans="1:14">
      <c r="A14296" t="s">
        <v>11116</v>
      </c>
      <c r="B14296">
        <f>HYPERLINK("https://android.googlesource.com/platform/cts/+/7bd0b59309e66f363434226dca7a85eaab457f38", "7bd0b59309e66f363434226dca7a85eaab457f38")</f>
        <v>0</v>
      </c>
      <c r="C14296">
        <f>HYPERLINK("https://android.googlesource.com/platform/cts/+/9a25299173fae21e52e3d49e7a00c2d1ea56a2c9", "9a25299173fae21e52e3d49e7a00c2d1ea56a2c9")</f>
        <v>0</v>
      </c>
      <c r="D14296" t="s">
        <v>12315</v>
      </c>
      <c r="E14296" t="s">
        <v>13643</v>
      </c>
      <c r="F14296" t="s">
        <v>16608</v>
      </c>
      <c r="G14296" t="s">
        <v>19250</v>
      </c>
      <c r="H14296" t="s">
        <v>24340</v>
      </c>
      <c r="I14296" t="s">
        <v>1357</v>
      </c>
      <c r="J14296" t="s">
        <v>1357</v>
      </c>
      <c r="K14296" t="s">
        <v>1357</v>
      </c>
      <c r="L14296" t="s">
        <v>1357</v>
      </c>
    </row>
    <row r="14297" spans="1:14">
      <c r="A14297" t="s">
        <v>11117</v>
      </c>
      <c r="B14297">
        <f>HYPERLINK("https://android.googlesource.com/platform/cts/+/61fff8c371dba843aaa870a36478603b3985b720", "61fff8c371dba843aaa870a36478603b3985b720")</f>
        <v>0</v>
      </c>
      <c r="C14297">
        <f>HYPERLINK("https://android.googlesource.com/platform/cts/+/4b7a0d79a6b8d8af33a8586d77d16ae3dc7adf3c", "4b7a0d79a6b8d8af33a8586d77d16ae3dc7adf3c")</f>
        <v>0</v>
      </c>
      <c r="D14297" t="s">
        <v>12316</v>
      </c>
      <c r="E14297" t="s">
        <v>13644</v>
      </c>
      <c r="F14297" t="s">
        <v>16099</v>
      </c>
      <c r="G14297" t="s">
        <v>18788</v>
      </c>
      <c r="H14297" t="s">
        <v>24341</v>
      </c>
      <c r="I14297" t="s">
        <v>1359</v>
      </c>
      <c r="J14297" t="s">
        <v>1358</v>
      </c>
      <c r="K14297" t="s">
        <v>1357</v>
      </c>
      <c r="L14297" t="s">
        <v>1358</v>
      </c>
      <c r="N14297" t="s">
        <v>25794</v>
      </c>
    </row>
    <row r="14298" spans="1:14">
      <c r="H14298" t="s">
        <v>24342</v>
      </c>
      <c r="I14298" t="s">
        <v>1359</v>
      </c>
      <c r="J14298" t="s">
        <v>1358</v>
      </c>
      <c r="K14298" t="s">
        <v>1357</v>
      </c>
      <c r="L14298" t="s">
        <v>1358</v>
      </c>
      <c r="M14298" t="s">
        <v>1361</v>
      </c>
      <c r="N14298" t="s">
        <v>25794</v>
      </c>
    </row>
    <row r="14299" spans="1:14">
      <c r="H14299" t="s">
        <v>24343</v>
      </c>
      <c r="I14299" t="s">
        <v>1358</v>
      </c>
      <c r="J14299" t="s">
        <v>1358</v>
      </c>
      <c r="K14299" t="s">
        <v>1358</v>
      </c>
      <c r="L14299" t="s">
        <v>1358</v>
      </c>
    </row>
    <row r="14300" spans="1:14">
      <c r="A14300" t="s">
        <v>11118</v>
      </c>
      <c r="B14300">
        <f>HYPERLINK("https://android.googlesource.com/platform/cts/+/630d0622333ff2e38fbab46540673c575b30daf1", "630d0622333ff2e38fbab46540673c575b30daf1")</f>
        <v>0</v>
      </c>
      <c r="C14300">
        <f>HYPERLINK("https://android.googlesource.com/platform/cts/+/c5ac8d75931f1dca637909939db546a058c3153a", "c5ac8d75931f1dca637909939db546a058c3153a")</f>
        <v>0</v>
      </c>
      <c r="D14300" t="s">
        <v>12316</v>
      </c>
      <c r="E14300" t="s">
        <v>13645</v>
      </c>
      <c r="F14300" t="s">
        <v>16099</v>
      </c>
      <c r="G14300" t="s">
        <v>18788</v>
      </c>
      <c r="H14300" t="s">
        <v>24341</v>
      </c>
      <c r="I14300" t="s">
        <v>1359</v>
      </c>
      <c r="J14300" t="s">
        <v>1358</v>
      </c>
      <c r="K14300" t="s">
        <v>1357</v>
      </c>
      <c r="L14300" t="s">
        <v>1358</v>
      </c>
    </row>
    <row r="14301" spans="1:14">
      <c r="H14301" t="s">
        <v>24342</v>
      </c>
      <c r="I14301" t="s">
        <v>1359</v>
      </c>
      <c r="J14301" t="s">
        <v>1358</v>
      </c>
      <c r="K14301" t="s">
        <v>1357</v>
      </c>
      <c r="L14301" t="s">
        <v>1358</v>
      </c>
      <c r="M14301" t="s">
        <v>9957</v>
      </c>
    </row>
    <row r="14302" spans="1:14">
      <c r="H14302" t="s">
        <v>24343</v>
      </c>
      <c r="I14302" t="s">
        <v>1358</v>
      </c>
      <c r="J14302" t="s">
        <v>1358</v>
      </c>
      <c r="K14302" t="s">
        <v>1358</v>
      </c>
      <c r="L14302" t="s">
        <v>1358</v>
      </c>
      <c r="M14302" t="s">
        <v>9957</v>
      </c>
    </row>
    <row r="14303" spans="1:14">
      <c r="A14303" t="s">
        <v>11119</v>
      </c>
      <c r="B14303">
        <f>HYPERLINK("https://android.googlesource.com/platform/cts/+/d01e46d45b7f7887a93fc5040b44e89eadfef79f", "d01e46d45b7f7887a93fc5040b44e89eadfef79f")</f>
        <v>0</v>
      </c>
      <c r="C14303">
        <f>HYPERLINK("https://android.googlesource.com/platform/cts/+/dc5509b3ab6fc59ffe470dff4ea8be22c61ba6f0", "dc5509b3ab6fc59ffe470dff4ea8be22c61ba6f0")</f>
        <v>0</v>
      </c>
      <c r="D14303" t="s">
        <v>12317</v>
      </c>
      <c r="E14303" t="s">
        <v>13646</v>
      </c>
      <c r="F14303" t="s">
        <v>16745</v>
      </c>
      <c r="G14303" t="s">
        <v>19374</v>
      </c>
      <c r="H14303" t="s">
        <v>24344</v>
      </c>
      <c r="I14303" t="s">
        <v>1357</v>
      </c>
      <c r="J14303" t="s">
        <v>1357</v>
      </c>
      <c r="K14303" t="s">
        <v>1357</v>
      </c>
      <c r="L14303" t="s">
        <v>1357</v>
      </c>
    </row>
    <row r="14304" spans="1:14">
      <c r="A14304" t="s">
        <v>11120</v>
      </c>
      <c r="B14304">
        <f>HYPERLINK("https://android.googlesource.com/platform/cts/+/e4b9d27d1f9d2da9e8cace3f023fc11de4fddfef", "e4b9d27d1f9d2da9e8cace3f023fc11de4fddfef")</f>
        <v>0</v>
      </c>
      <c r="C14304">
        <f>HYPERLINK("https://android.googlesource.com/platform/cts/+/a35f8169ababb9f61ba44527e19f9d19917a4559", "a35f8169ababb9f61ba44527e19f9d19917a4559")</f>
        <v>0</v>
      </c>
      <c r="D14304" t="s">
        <v>12221</v>
      </c>
      <c r="E14304" t="s">
        <v>13647</v>
      </c>
      <c r="F14304" t="s">
        <v>16292</v>
      </c>
      <c r="G14304" t="s">
        <v>18963</v>
      </c>
      <c r="H14304" t="s">
        <v>24345</v>
      </c>
      <c r="I14304" t="s">
        <v>1357</v>
      </c>
      <c r="J14304" t="s">
        <v>1357</v>
      </c>
      <c r="K14304" t="s">
        <v>1357</v>
      </c>
      <c r="L14304" t="s">
        <v>1357</v>
      </c>
    </row>
    <row r="14305" spans="1:13">
      <c r="H14305" t="s">
        <v>24346</v>
      </c>
      <c r="I14305" t="s">
        <v>1357</v>
      </c>
      <c r="J14305" t="s">
        <v>1357</v>
      </c>
      <c r="K14305" t="s">
        <v>1357</v>
      </c>
      <c r="L14305" t="s">
        <v>1357</v>
      </c>
    </row>
    <row r="14306" spans="1:13">
      <c r="A14306" t="s">
        <v>11121</v>
      </c>
      <c r="B14306">
        <f>HYPERLINK("https://android.googlesource.com/platform/cts/+/c2a37aedc82815efd368e362fd878d6989090593", "c2a37aedc82815efd368e362fd878d6989090593")</f>
        <v>0</v>
      </c>
      <c r="C14306">
        <f>HYPERLINK("https://android.googlesource.com/platform/cts/+/6779289675e20733c0304141963748d2740bf823", "6779289675e20733c0304141963748d2740bf823")</f>
        <v>0</v>
      </c>
      <c r="D14306" t="s">
        <v>12318</v>
      </c>
      <c r="E14306" t="s">
        <v>13648</v>
      </c>
      <c r="F14306" t="s">
        <v>16746</v>
      </c>
      <c r="G14306" t="s">
        <v>19375</v>
      </c>
      <c r="H14306" t="s">
        <v>24347</v>
      </c>
      <c r="I14306" t="s">
        <v>1357</v>
      </c>
      <c r="J14306" t="s">
        <v>1357</v>
      </c>
      <c r="K14306" t="s">
        <v>1357</v>
      </c>
      <c r="L14306" t="s">
        <v>1357</v>
      </c>
    </row>
    <row r="14307" spans="1:13">
      <c r="H14307" t="s">
        <v>24348</v>
      </c>
      <c r="I14307" t="s">
        <v>1357</v>
      </c>
      <c r="J14307" t="s">
        <v>1357</v>
      </c>
      <c r="K14307" t="s">
        <v>1357</v>
      </c>
      <c r="L14307" t="s">
        <v>1357</v>
      </c>
    </row>
    <row r="14308" spans="1:13">
      <c r="H14308" t="s">
        <v>24349</v>
      </c>
      <c r="I14308" t="s">
        <v>1357</v>
      </c>
      <c r="J14308" t="s">
        <v>1357</v>
      </c>
      <c r="K14308" t="s">
        <v>1357</v>
      </c>
      <c r="L14308" t="s">
        <v>1357</v>
      </c>
    </row>
    <row r="14309" spans="1:13">
      <c r="H14309" t="s">
        <v>24350</v>
      </c>
      <c r="I14309" t="s">
        <v>1357</v>
      </c>
      <c r="J14309" t="s">
        <v>1357</v>
      </c>
      <c r="K14309" t="s">
        <v>1357</v>
      </c>
      <c r="L14309" t="s">
        <v>1357</v>
      </c>
    </row>
    <row r="14310" spans="1:13">
      <c r="A14310" t="s">
        <v>11122</v>
      </c>
      <c r="B14310">
        <f>HYPERLINK("https://android.googlesource.com/platform/cts/+/9cbd418f98243f0922ca1bfe509dd7bbe9c9ddc3", "9cbd418f98243f0922ca1bfe509dd7bbe9c9ddc3")</f>
        <v>0</v>
      </c>
      <c r="C14310">
        <f>HYPERLINK("https://android.googlesource.com/platform/cts/+/e405144243856ba6310682b960e19232144da05f", "e405144243856ba6310682b960e19232144da05f")</f>
        <v>0</v>
      </c>
      <c r="D14310" t="s">
        <v>12319</v>
      </c>
      <c r="E14310" t="s">
        <v>13649</v>
      </c>
      <c r="F14310" t="s">
        <v>16403</v>
      </c>
      <c r="G14310" t="s">
        <v>19069</v>
      </c>
      <c r="H14310" t="s">
        <v>23819</v>
      </c>
      <c r="I14310" t="s">
        <v>1357</v>
      </c>
      <c r="J14310" t="s">
        <v>1357</v>
      </c>
      <c r="K14310" t="s">
        <v>1357</v>
      </c>
      <c r="L14310" t="s">
        <v>1357</v>
      </c>
    </row>
    <row r="14311" spans="1:13">
      <c r="A14311" t="s">
        <v>11123</v>
      </c>
      <c r="B14311">
        <f>HYPERLINK("https://android.googlesource.com/platform/cts/+/acc2b1f85f173315e3bb25d3a1f8474ec2635e31", "acc2b1f85f173315e3bb25d3a1f8474ec2635e31")</f>
        <v>0</v>
      </c>
      <c r="C14311">
        <f>HYPERLINK("https://android.googlesource.com/platform/cts/+/de89b8884c5a369d9e34626d0e8fc08e8a6b827d", "de89b8884c5a369d9e34626d0e8fc08e8a6b827d")</f>
        <v>0</v>
      </c>
      <c r="D14311" t="s">
        <v>12319</v>
      </c>
      <c r="E14311" t="s">
        <v>13650</v>
      </c>
      <c r="F14311" t="s">
        <v>16403</v>
      </c>
      <c r="G14311" t="s">
        <v>19069</v>
      </c>
      <c r="H14311" t="s">
        <v>23819</v>
      </c>
      <c r="I14311" t="s">
        <v>1357</v>
      </c>
      <c r="J14311" t="s">
        <v>1357</v>
      </c>
      <c r="K14311" t="s">
        <v>1357</v>
      </c>
      <c r="L14311" t="s">
        <v>1357</v>
      </c>
      <c r="M14311" t="s">
        <v>9957</v>
      </c>
    </row>
    <row r="14312" spans="1:13">
      <c r="A14312" t="s">
        <v>11124</v>
      </c>
      <c r="B14312">
        <f>HYPERLINK("https://android.googlesource.com/platform/cts/+/9713f158bf74d261043e11eebe38519dcd416c6f", "9713f158bf74d261043e11eebe38519dcd416c6f")</f>
        <v>0</v>
      </c>
      <c r="C14312">
        <f>HYPERLINK("https://android.googlesource.com/platform/cts/+/4811ae9c9d63dd5ecae1a00938bd22d00ef84d41", "4811ae9c9d63dd5ecae1a00938bd22d00ef84d41")</f>
        <v>0</v>
      </c>
      <c r="D14312" t="s">
        <v>12124</v>
      </c>
      <c r="E14312" t="s">
        <v>13651</v>
      </c>
      <c r="F14312" t="s">
        <v>16747</v>
      </c>
      <c r="G14312" t="s">
        <v>19376</v>
      </c>
      <c r="H14312" t="s">
        <v>24351</v>
      </c>
      <c r="I14312" t="s">
        <v>1357</v>
      </c>
      <c r="J14312" t="s">
        <v>1357</v>
      </c>
      <c r="K14312" t="s">
        <v>1357</v>
      </c>
      <c r="L14312" t="s">
        <v>1357</v>
      </c>
      <c r="M14312" t="s">
        <v>1361</v>
      </c>
    </row>
    <row r="14313" spans="1:13">
      <c r="H14313" t="s">
        <v>24352</v>
      </c>
      <c r="I14313" t="s">
        <v>1357</v>
      </c>
      <c r="J14313" t="s">
        <v>1357</v>
      </c>
      <c r="K14313" t="s">
        <v>1357</v>
      </c>
      <c r="L14313" t="s">
        <v>1357</v>
      </c>
    </row>
    <row r="14314" spans="1:13">
      <c r="H14314" t="s">
        <v>24353</v>
      </c>
      <c r="I14314" t="s">
        <v>1357</v>
      </c>
      <c r="J14314" t="s">
        <v>1357</v>
      </c>
      <c r="K14314" t="s">
        <v>1357</v>
      </c>
      <c r="L14314" t="s">
        <v>1357</v>
      </c>
    </row>
    <row r="14315" spans="1:13">
      <c r="H14315" t="s">
        <v>24354</v>
      </c>
      <c r="I14315" t="s">
        <v>1357</v>
      </c>
      <c r="J14315" t="s">
        <v>1357</v>
      </c>
      <c r="K14315" t="s">
        <v>1357</v>
      </c>
      <c r="L14315" t="s">
        <v>1357</v>
      </c>
    </row>
    <row r="14316" spans="1:13">
      <c r="H14316" t="s">
        <v>24355</v>
      </c>
      <c r="I14316" t="s">
        <v>1357</v>
      </c>
      <c r="J14316" t="s">
        <v>1357</v>
      </c>
      <c r="K14316" t="s">
        <v>1357</v>
      </c>
      <c r="L14316" t="s">
        <v>1357</v>
      </c>
    </row>
    <row r="14317" spans="1:13">
      <c r="H14317" t="s">
        <v>24356</v>
      </c>
      <c r="I14317" t="s">
        <v>1357</v>
      </c>
      <c r="J14317" t="s">
        <v>1357</v>
      </c>
      <c r="K14317" t="s">
        <v>1357</v>
      </c>
      <c r="L14317" t="s">
        <v>1357</v>
      </c>
    </row>
    <row r="14318" spans="1:13">
      <c r="H14318" t="s">
        <v>24357</v>
      </c>
      <c r="I14318" t="s">
        <v>1357</v>
      </c>
      <c r="J14318" t="s">
        <v>1357</v>
      </c>
      <c r="K14318" t="s">
        <v>1357</v>
      </c>
      <c r="L14318" t="s">
        <v>1357</v>
      </c>
    </row>
    <row r="14319" spans="1:13">
      <c r="H14319" t="s">
        <v>24358</v>
      </c>
      <c r="I14319" t="s">
        <v>1357</v>
      </c>
      <c r="J14319" t="s">
        <v>1357</v>
      </c>
      <c r="K14319" t="s">
        <v>1357</v>
      </c>
      <c r="L14319" t="s">
        <v>1357</v>
      </c>
    </row>
    <row r="14320" spans="1:13">
      <c r="H14320" t="s">
        <v>24359</v>
      </c>
      <c r="I14320" t="s">
        <v>1357</v>
      </c>
      <c r="J14320" t="s">
        <v>1357</v>
      </c>
      <c r="K14320" t="s">
        <v>1357</v>
      </c>
      <c r="L14320" t="s">
        <v>1357</v>
      </c>
    </row>
    <row r="14321" spans="1:13">
      <c r="H14321" t="s">
        <v>24360</v>
      </c>
      <c r="I14321" t="s">
        <v>1357</v>
      </c>
      <c r="J14321" t="s">
        <v>1357</v>
      </c>
      <c r="K14321" t="s">
        <v>1357</v>
      </c>
      <c r="L14321" t="s">
        <v>1357</v>
      </c>
    </row>
    <row r="14322" spans="1:13">
      <c r="H14322" t="s">
        <v>24361</v>
      </c>
      <c r="I14322" t="s">
        <v>1357</v>
      </c>
      <c r="J14322" t="s">
        <v>1357</v>
      </c>
      <c r="K14322" t="s">
        <v>1357</v>
      </c>
      <c r="L14322" t="s">
        <v>1357</v>
      </c>
    </row>
    <row r="14323" spans="1:13">
      <c r="H14323" t="s">
        <v>24362</v>
      </c>
      <c r="I14323" t="s">
        <v>1357</v>
      </c>
      <c r="J14323" t="s">
        <v>1357</v>
      </c>
      <c r="K14323" t="s">
        <v>1357</v>
      </c>
      <c r="L14323" t="s">
        <v>1357</v>
      </c>
    </row>
    <row r="14324" spans="1:13">
      <c r="H14324" t="s">
        <v>24363</v>
      </c>
      <c r="I14324" t="s">
        <v>1357</v>
      </c>
      <c r="J14324" t="s">
        <v>1357</v>
      </c>
      <c r="K14324" t="s">
        <v>1357</v>
      </c>
      <c r="L14324" t="s">
        <v>1357</v>
      </c>
    </row>
    <row r="14325" spans="1:13">
      <c r="H14325" t="s">
        <v>24364</v>
      </c>
      <c r="I14325" t="s">
        <v>1357</v>
      </c>
      <c r="J14325" t="s">
        <v>1357</v>
      </c>
      <c r="K14325" t="s">
        <v>1357</v>
      </c>
      <c r="L14325" t="s">
        <v>1357</v>
      </c>
    </row>
    <row r="14326" spans="1:13">
      <c r="H14326" t="s">
        <v>24365</v>
      </c>
      <c r="I14326" t="s">
        <v>1357</v>
      </c>
      <c r="J14326" t="s">
        <v>1357</v>
      </c>
      <c r="K14326" t="s">
        <v>1357</v>
      </c>
      <c r="L14326" t="s">
        <v>1357</v>
      </c>
    </row>
    <row r="14327" spans="1:13">
      <c r="H14327" t="s">
        <v>24366</v>
      </c>
      <c r="I14327" t="s">
        <v>1357</v>
      </c>
      <c r="J14327" t="s">
        <v>1357</v>
      </c>
      <c r="K14327" t="s">
        <v>1357</v>
      </c>
      <c r="L14327" t="s">
        <v>1357</v>
      </c>
    </row>
    <row r="14328" spans="1:13">
      <c r="H14328" t="s">
        <v>24367</v>
      </c>
      <c r="I14328" t="s">
        <v>1357</v>
      </c>
      <c r="J14328" t="s">
        <v>1357</v>
      </c>
      <c r="K14328" t="s">
        <v>1357</v>
      </c>
      <c r="L14328" t="s">
        <v>1357</v>
      </c>
    </row>
    <row r="14329" spans="1:13">
      <c r="H14329" t="s">
        <v>24368</v>
      </c>
      <c r="I14329" t="s">
        <v>1357</v>
      </c>
      <c r="J14329" t="s">
        <v>1357</v>
      </c>
      <c r="K14329" t="s">
        <v>1357</v>
      </c>
      <c r="L14329" t="s">
        <v>1357</v>
      </c>
    </row>
    <row r="14330" spans="1:13">
      <c r="H14330" t="s">
        <v>24369</v>
      </c>
      <c r="I14330" t="s">
        <v>1357</v>
      </c>
      <c r="J14330" t="s">
        <v>1357</v>
      </c>
      <c r="K14330" t="s">
        <v>1357</v>
      </c>
      <c r="L14330" t="s">
        <v>1357</v>
      </c>
    </row>
    <row r="14331" spans="1:13">
      <c r="H14331" t="s">
        <v>24370</v>
      </c>
      <c r="I14331" t="s">
        <v>1357</v>
      </c>
      <c r="J14331" t="s">
        <v>1357</v>
      </c>
      <c r="K14331" t="s">
        <v>1357</v>
      </c>
      <c r="L14331" t="s">
        <v>1357</v>
      </c>
    </row>
    <row r="14332" spans="1:13">
      <c r="H14332" t="s">
        <v>24371</v>
      </c>
      <c r="I14332" t="s">
        <v>1357</v>
      </c>
      <c r="J14332" t="s">
        <v>1357</v>
      </c>
      <c r="K14332" t="s">
        <v>1357</v>
      </c>
      <c r="L14332" t="s">
        <v>1357</v>
      </c>
    </row>
    <row r="14333" spans="1:13">
      <c r="A14333" t="s">
        <v>11125</v>
      </c>
      <c r="B14333">
        <f>HYPERLINK("https://android.googlesource.com/platform/cts/+/7592acdbf80cec572530bb1fd0711151af63952a", "7592acdbf80cec572530bb1fd0711151af63952a")</f>
        <v>0</v>
      </c>
      <c r="C14333">
        <f>HYPERLINK("https://android.googlesource.com/platform/cts/+/1ead01ba65983808908dc2deb513b460475520c4", "1ead01ba65983808908dc2deb513b460475520c4")</f>
        <v>0</v>
      </c>
      <c r="D14333" t="s">
        <v>12306</v>
      </c>
      <c r="E14333" t="s">
        <v>13652</v>
      </c>
      <c r="F14333" t="s">
        <v>16748</v>
      </c>
      <c r="G14333" t="s">
        <v>19377</v>
      </c>
      <c r="H14333" t="s">
        <v>24372</v>
      </c>
      <c r="I14333" t="s">
        <v>1357</v>
      </c>
      <c r="J14333" t="s">
        <v>1357</v>
      </c>
      <c r="K14333" t="s">
        <v>1357</v>
      </c>
      <c r="L14333" t="s">
        <v>1357</v>
      </c>
    </row>
    <row r="14334" spans="1:13">
      <c r="A14334" t="s">
        <v>11126</v>
      </c>
      <c r="B14334">
        <f>HYPERLINK("https://android.googlesource.com/platform/cts/+/5e75b98446b8d8b0677a77118d3aaab12a93a711", "5e75b98446b8d8b0677a77118d3aaab12a93a711")</f>
        <v>0</v>
      </c>
      <c r="C14334">
        <f>HYPERLINK("https://android.googlesource.com/platform/cts/+/c7315d35182d1993d4dc194bd8405cb3b4a60516", "c7315d35182d1993d4dc194bd8405cb3b4a60516")</f>
        <v>0</v>
      </c>
      <c r="D14334" t="s">
        <v>12320</v>
      </c>
      <c r="E14334" t="s">
        <v>13653</v>
      </c>
      <c r="F14334" t="s">
        <v>16099</v>
      </c>
      <c r="G14334" t="s">
        <v>18788</v>
      </c>
      <c r="H14334" t="s">
        <v>24341</v>
      </c>
      <c r="I14334" t="s">
        <v>1357</v>
      </c>
      <c r="J14334" t="s">
        <v>1357</v>
      </c>
      <c r="K14334" t="s">
        <v>1357</v>
      </c>
      <c r="L14334" t="s">
        <v>1357</v>
      </c>
    </row>
    <row r="14335" spans="1:13">
      <c r="H14335" t="s">
        <v>24342</v>
      </c>
      <c r="I14335" t="s">
        <v>1357</v>
      </c>
      <c r="J14335" t="s">
        <v>1357</v>
      </c>
      <c r="K14335" t="s">
        <v>1357</v>
      </c>
      <c r="L14335" t="s">
        <v>1357</v>
      </c>
      <c r="M14335" t="s">
        <v>1361</v>
      </c>
    </row>
    <row r="14336" spans="1:13">
      <c r="H14336" t="s">
        <v>24343</v>
      </c>
      <c r="I14336" t="s">
        <v>1358</v>
      </c>
      <c r="J14336" t="s">
        <v>1358</v>
      </c>
      <c r="K14336" t="s">
        <v>1358</v>
      </c>
      <c r="L14336" t="s">
        <v>1358</v>
      </c>
      <c r="M14336" t="s">
        <v>9957</v>
      </c>
    </row>
    <row r="14337" spans="1:14">
      <c r="F14337" t="s">
        <v>16608</v>
      </c>
      <c r="G14337" t="s">
        <v>19250</v>
      </c>
      <c r="H14337" t="s">
        <v>24340</v>
      </c>
      <c r="I14337" t="s">
        <v>1357</v>
      </c>
      <c r="J14337" t="s">
        <v>1357</v>
      </c>
      <c r="K14337" t="s">
        <v>1357</v>
      </c>
      <c r="L14337" t="s">
        <v>1357</v>
      </c>
    </row>
    <row r="14338" spans="1:14">
      <c r="F14338" t="s">
        <v>16746</v>
      </c>
      <c r="G14338" t="s">
        <v>19375</v>
      </c>
      <c r="H14338" t="s">
        <v>24347</v>
      </c>
      <c r="I14338" t="s">
        <v>1357</v>
      </c>
      <c r="J14338" t="s">
        <v>1357</v>
      </c>
      <c r="K14338" t="s">
        <v>1357</v>
      </c>
      <c r="L14338" t="s">
        <v>1357</v>
      </c>
    </row>
    <row r="14339" spans="1:14">
      <c r="H14339" t="s">
        <v>24348</v>
      </c>
      <c r="I14339" t="s">
        <v>1357</v>
      </c>
      <c r="J14339" t="s">
        <v>1357</v>
      </c>
      <c r="K14339" t="s">
        <v>1357</v>
      </c>
      <c r="L14339" t="s">
        <v>1357</v>
      </c>
    </row>
    <row r="14340" spans="1:14">
      <c r="H14340" t="s">
        <v>24349</v>
      </c>
      <c r="I14340" t="s">
        <v>1357</v>
      </c>
      <c r="J14340" t="s">
        <v>1357</v>
      </c>
      <c r="K14340" t="s">
        <v>1357</v>
      </c>
      <c r="L14340" t="s">
        <v>1357</v>
      </c>
    </row>
    <row r="14341" spans="1:14">
      <c r="H14341" t="s">
        <v>24350</v>
      </c>
      <c r="I14341" t="s">
        <v>1357</v>
      </c>
      <c r="J14341" t="s">
        <v>1357</v>
      </c>
      <c r="K14341" t="s">
        <v>1357</v>
      </c>
      <c r="L14341" t="s">
        <v>1357</v>
      </c>
    </row>
    <row r="14342" spans="1:14">
      <c r="A14342" t="s">
        <v>11127</v>
      </c>
      <c r="B14342">
        <f>HYPERLINK("https://android.googlesource.com/platform/cts/+/4367de4b7ab5b783388ae182ecaf17e92d23585a", "4367de4b7ab5b783388ae182ecaf17e92d23585a")</f>
        <v>0</v>
      </c>
      <c r="C14342">
        <f>HYPERLINK("https://android.googlesource.com/platform/cts/+/7dcbf385591acd6ebdf4b66732227bd457ef4a7f", "7dcbf385591acd6ebdf4b66732227bd457ef4a7f")</f>
        <v>0</v>
      </c>
      <c r="D14342" t="s">
        <v>12291</v>
      </c>
      <c r="E14342" t="s">
        <v>13654</v>
      </c>
      <c r="F14342" t="s">
        <v>16294</v>
      </c>
      <c r="G14342" t="s">
        <v>18965</v>
      </c>
      <c r="H14342" t="s">
        <v>24373</v>
      </c>
      <c r="I14342" t="s">
        <v>1357</v>
      </c>
      <c r="J14342" t="s">
        <v>1357</v>
      </c>
      <c r="K14342" t="s">
        <v>1357</v>
      </c>
      <c r="L14342" t="s">
        <v>1357</v>
      </c>
    </row>
    <row r="14343" spans="1:14">
      <c r="H14343" t="s">
        <v>24374</v>
      </c>
      <c r="I14343" t="s">
        <v>1357</v>
      </c>
      <c r="J14343" t="s">
        <v>1357</v>
      </c>
      <c r="K14343" t="s">
        <v>1357</v>
      </c>
      <c r="L14343" t="s">
        <v>1357</v>
      </c>
    </row>
    <row r="14344" spans="1:14">
      <c r="A14344" t="s">
        <v>11128</v>
      </c>
      <c r="B14344">
        <f>HYPERLINK("https://android.googlesource.com/platform/cts/+/671b32aae87a8a7e6250542111a4cb57280fb4da", "671b32aae87a8a7e6250542111a4cb57280fb4da")</f>
        <v>0</v>
      </c>
      <c r="C14344">
        <f>HYPERLINK("https://android.googlesource.com/platform/cts/+/e25f8e3565b5c35044a2eea265fedc8fc294b9e5", "e25f8e3565b5c35044a2eea265fedc8fc294b9e5")</f>
        <v>0</v>
      </c>
      <c r="D14344" t="s">
        <v>12310</v>
      </c>
      <c r="E14344" t="s">
        <v>13655</v>
      </c>
      <c r="F14344" t="s">
        <v>16749</v>
      </c>
      <c r="G14344" t="s">
        <v>19378</v>
      </c>
      <c r="H14344" t="s">
        <v>24375</v>
      </c>
      <c r="I14344" t="s">
        <v>1357</v>
      </c>
      <c r="J14344" t="s">
        <v>1357</v>
      </c>
      <c r="K14344" t="s">
        <v>1357</v>
      </c>
      <c r="L14344" t="s">
        <v>1357</v>
      </c>
    </row>
    <row r="14345" spans="1:14">
      <c r="A14345" t="s">
        <v>11129</v>
      </c>
      <c r="B14345">
        <f>HYPERLINK("https://android.googlesource.com/platform/cts/+/580eea86e7dcbe3b49395aaa538f8d0a3496d397", "580eea86e7dcbe3b49395aaa538f8d0a3496d397")</f>
        <v>0</v>
      </c>
      <c r="C14345">
        <f>HYPERLINK("https://android.googlesource.com/platform/cts/+/f10219d23247577000454d4eee7d229fc62a889d", "f10219d23247577000454d4eee7d229fc62a889d")</f>
        <v>0</v>
      </c>
      <c r="D14345" t="s">
        <v>12321</v>
      </c>
      <c r="E14345" t="s">
        <v>13656</v>
      </c>
      <c r="F14345" t="s">
        <v>16084</v>
      </c>
      <c r="G14345" t="s">
        <v>18773</v>
      </c>
      <c r="H14345" t="s">
        <v>24376</v>
      </c>
      <c r="I14345" t="s">
        <v>1358</v>
      </c>
      <c r="J14345" t="s">
        <v>1358</v>
      </c>
      <c r="K14345" t="s">
        <v>1358</v>
      </c>
      <c r="L14345" t="s">
        <v>1358</v>
      </c>
    </row>
    <row r="14346" spans="1:14">
      <c r="A14346" t="s">
        <v>11130</v>
      </c>
      <c r="B14346">
        <f>HYPERLINK("https://android.googlesource.com/platform/cts/+/68cfedf9d5907e81cdce7ffaa8dac932078b0db6", "68cfedf9d5907e81cdce7ffaa8dac932078b0db6")</f>
        <v>0</v>
      </c>
      <c r="C14346">
        <f>HYPERLINK("https://android.googlesource.com/platform/cts/+/1111e06ee795b78c4edc79051a52a34aa97b1cd6", "1111e06ee795b78c4edc79051a52a34aa97b1cd6")</f>
        <v>0</v>
      </c>
      <c r="D14346" t="s">
        <v>12163</v>
      </c>
      <c r="E14346" t="s">
        <v>13657</v>
      </c>
      <c r="F14346" t="s">
        <v>16579</v>
      </c>
      <c r="G14346" t="s">
        <v>19223</v>
      </c>
      <c r="H14346" t="s">
        <v>23617</v>
      </c>
      <c r="I14346" t="s">
        <v>1357</v>
      </c>
      <c r="J14346" t="s">
        <v>1357</v>
      </c>
      <c r="K14346" t="s">
        <v>1357</v>
      </c>
      <c r="L14346" t="s">
        <v>1357</v>
      </c>
      <c r="N14346" t="s">
        <v>27525</v>
      </c>
    </row>
    <row r="14347" spans="1:14">
      <c r="A14347" t="s">
        <v>11131</v>
      </c>
      <c r="B14347">
        <f>HYPERLINK("https://android.googlesource.com/platform/cts/+/2743b624a783a896a54be4753097a920251b37c5", "2743b624a783a896a54be4753097a920251b37c5")</f>
        <v>0</v>
      </c>
      <c r="C14347">
        <f>HYPERLINK("https://android.googlesource.com/platform/cts/+/bbaf1c3f0ab65235772a503dc8b64faaf7c3fe29", "bbaf1c3f0ab65235772a503dc8b64faaf7c3fe29")</f>
        <v>0</v>
      </c>
      <c r="D14347" t="s">
        <v>12270</v>
      </c>
      <c r="E14347" t="s">
        <v>13658</v>
      </c>
      <c r="F14347" t="s">
        <v>14486</v>
      </c>
      <c r="G14347" t="s">
        <v>17332</v>
      </c>
      <c r="H14347" t="s">
        <v>24377</v>
      </c>
      <c r="I14347" t="s">
        <v>1359</v>
      </c>
      <c r="J14347" t="s">
        <v>1358</v>
      </c>
      <c r="K14347" t="s">
        <v>1358</v>
      </c>
      <c r="L14347" t="s">
        <v>1357</v>
      </c>
      <c r="M14347" t="s">
        <v>27491</v>
      </c>
    </row>
    <row r="14348" spans="1:14">
      <c r="H14348" t="s">
        <v>24378</v>
      </c>
      <c r="I14348" t="s">
        <v>1359</v>
      </c>
      <c r="J14348" t="s">
        <v>1358</v>
      </c>
      <c r="K14348" t="s">
        <v>1358</v>
      </c>
      <c r="L14348" t="s">
        <v>1357</v>
      </c>
    </row>
    <row r="14349" spans="1:14">
      <c r="H14349" t="s">
        <v>24379</v>
      </c>
      <c r="I14349" t="s">
        <v>1359</v>
      </c>
      <c r="J14349" t="s">
        <v>1358</v>
      </c>
      <c r="K14349" t="s">
        <v>1358</v>
      </c>
      <c r="L14349" t="s">
        <v>1357</v>
      </c>
    </row>
    <row r="14350" spans="1:14">
      <c r="H14350" t="s">
        <v>24380</v>
      </c>
      <c r="I14350" t="s">
        <v>1359</v>
      </c>
      <c r="J14350" t="s">
        <v>1358</v>
      </c>
      <c r="K14350" t="s">
        <v>1358</v>
      </c>
      <c r="L14350" t="s">
        <v>1357</v>
      </c>
    </row>
    <row r="14351" spans="1:14">
      <c r="H14351" t="s">
        <v>24381</v>
      </c>
      <c r="I14351" t="s">
        <v>1359</v>
      </c>
      <c r="J14351" t="s">
        <v>1358</v>
      </c>
      <c r="K14351" t="s">
        <v>1358</v>
      </c>
      <c r="L14351" t="s">
        <v>1357</v>
      </c>
    </row>
    <row r="14352" spans="1:14">
      <c r="H14352" t="s">
        <v>24382</v>
      </c>
      <c r="I14352" t="s">
        <v>1359</v>
      </c>
      <c r="J14352" t="s">
        <v>1358</v>
      </c>
      <c r="K14352" t="s">
        <v>1358</v>
      </c>
      <c r="L14352" t="s">
        <v>1357</v>
      </c>
    </row>
    <row r="14353" spans="1:13">
      <c r="H14353" t="s">
        <v>24383</v>
      </c>
      <c r="I14353" t="s">
        <v>1359</v>
      </c>
      <c r="J14353" t="s">
        <v>1358</v>
      </c>
      <c r="K14353" t="s">
        <v>1358</v>
      </c>
      <c r="L14353" t="s">
        <v>1357</v>
      </c>
    </row>
    <row r="14354" spans="1:13">
      <c r="H14354" t="s">
        <v>24384</v>
      </c>
      <c r="I14354" t="s">
        <v>1359</v>
      </c>
      <c r="J14354" t="s">
        <v>1358</v>
      </c>
      <c r="K14354" t="s">
        <v>1358</v>
      </c>
      <c r="L14354" t="s">
        <v>1357</v>
      </c>
    </row>
    <row r="14355" spans="1:13">
      <c r="H14355" t="s">
        <v>24385</v>
      </c>
      <c r="I14355" t="s">
        <v>1359</v>
      </c>
      <c r="J14355" t="s">
        <v>1358</v>
      </c>
      <c r="K14355" t="s">
        <v>1358</v>
      </c>
      <c r="L14355" t="s">
        <v>1357</v>
      </c>
    </row>
    <row r="14356" spans="1:13">
      <c r="H14356" t="s">
        <v>24386</v>
      </c>
      <c r="I14356" t="s">
        <v>1359</v>
      </c>
      <c r="J14356" t="s">
        <v>1358</v>
      </c>
      <c r="K14356" t="s">
        <v>1358</v>
      </c>
      <c r="L14356" t="s">
        <v>1357</v>
      </c>
    </row>
    <row r="14357" spans="1:13">
      <c r="H14357" t="s">
        <v>24387</v>
      </c>
      <c r="I14357" t="s">
        <v>1359</v>
      </c>
      <c r="J14357" t="s">
        <v>1358</v>
      </c>
      <c r="K14357" t="s">
        <v>1358</v>
      </c>
      <c r="L14357" t="s">
        <v>1357</v>
      </c>
    </row>
    <row r="14358" spans="1:13">
      <c r="H14358" t="s">
        <v>24388</v>
      </c>
      <c r="I14358" t="s">
        <v>1359</v>
      </c>
      <c r="J14358" t="s">
        <v>1358</v>
      </c>
      <c r="K14358" t="s">
        <v>1358</v>
      </c>
      <c r="L14358" t="s">
        <v>1357</v>
      </c>
    </row>
    <row r="14359" spans="1:13">
      <c r="H14359" t="s">
        <v>24389</v>
      </c>
      <c r="I14359" t="s">
        <v>1359</v>
      </c>
      <c r="J14359" t="s">
        <v>1358</v>
      </c>
      <c r="K14359" t="s">
        <v>1358</v>
      </c>
      <c r="L14359" t="s">
        <v>1357</v>
      </c>
    </row>
    <row r="14360" spans="1:13">
      <c r="H14360" t="s">
        <v>24390</v>
      </c>
      <c r="I14360" t="s">
        <v>1359</v>
      </c>
      <c r="J14360" t="s">
        <v>1358</v>
      </c>
      <c r="K14360" t="s">
        <v>1358</v>
      </c>
      <c r="L14360" t="s">
        <v>1357</v>
      </c>
    </row>
    <row r="14361" spans="1:13">
      <c r="H14361" t="s">
        <v>24391</v>
      </c>
      <c r="I14361" t="s">
        <v>1359</v>
      </c>
      <c r="J14361" t="s">
        <v>1358</v>
      </c>
      <c r="K14361" t="s">
        <v>1358</v>
      </c>
      <c r="L14361" t="s">
        <v>1357</v>
      </c>
    </row>
    <row r="14362" spans="1:13">
      <c r="H14362" t="s">
        <v>24392</v>
      </c>
      <c r="I14362" t="s">
        <v>1359</v>
      </c>
      <c r="J14362" t="s">
        <v>1358</v>
      </c>
      <c r="K14362" t="s">
        <v>1358</v>
      </c>
      <c r="L14362" t="s">
        <v>1357</v>
      </c>
    </row>
    <row r="14363" spans="1:13">
      <c r="H14363" t="s">
        <v>24393</v>
      </c>
      <c r="I14363" t="s">
        <v>1359</v>
      </c>
      <c r="J14363" t="s">
        <v>1358</v>
      </c>
      <c r="K14363" t="s">
        <v>1358</v>
      </c>
      <c r="L14363" t="s">
        <v>1357</v>
      </c>
    </row>
    <row r="14364" spans="1:13">
      <c r="A14364" t="s">
        <v>11132</v>
      </c>
      <c r="B14364">
        <f>HYPERLINK("https://android.googlesource.com/platform/cts/+/2e39dd1f774e1e75ffb3c6e60f5f533462eb2a01", "2e39dd1f774e1e75ffb3c6e60f5f533462eb2a01")</f>
        <v>0</v>
      </c>
      <c r="C14364">
        <f>HYPERLINK("https://android.googlesource.com/platform/cts/+/bbaf1c3f0ab65235772a503dc8b64faaf7c3fe29", "bbaf1c3f0ab65235772a503dc8b64faaf7c3fe29")</f>
        <v>0</v>
      </c>
      <c r="D14364" t="s">
        <v>12270</v>
      </c>
      <c r="E14364" t="s">
        <v>13659</v>
      </c>
      <c r="F14364" t="s">
        <v>15891</v>
      </c>
      <c r="G14364" t="s">
        <v>17332</v>
      </c>
      <c r="H14364" t="s">
        <v>24394</v>
      </c>
      <c r="I14364" t="s">
        <v>1357</v>
      </c>
      <c r="J14364" t="s">
        <v>1357</v>
      </c>
      <c r="K14364" t="s">
        <v>1357</v>
      </c>
      <c r="L14364" t="s">
        <v>1357</v>
      </c>
    </row>
    <row r="14365" spans="1:13">
      <c r="H14365" t="s">
        <v>24395</v>
      </c>
      <c r="I14365" t="s">
        <v>1357</v>
      </c>
      <c r="J14365" t="s">
        <v>1357</v>
      </c>
      <c r="K14365" t="s">
        <v>1357</v>
      </c>
      <c r="L14365" t="s">
        <v>1357</v>
      </c>
    </row>
    <row r="14366" spans="1:13">
      <c r="H14366" t="s">
        <v>24396</v>
      </c>
      <c r="I14366" t="s">
        <v>1357</v>
      </c>
      <c r="J14366" t="s">
        <v>1357</v>
      </c>
      <c r="K14366" t="s">
        <v>1357</v>
      </c>
      <c r="L14366" t="s">
        <v>1357</v>
      </c>
      <c r="M14366" t="s">
        <v>1361</v>
      </c>
    </row>
    <row r="14367" spans="1:13">
      <c r="H14367" t="s">
        <v>24397</v>
      </c>
      <c r="I14367" t="s">
        <v>1357</v>
      </c>
      <c r="J14367" t="s">
        <v>1357</v>
      </c>
      <c r="K14367" t="s">
        <v>1357</v>
      </c>
      <c r="L14367" t="s">
        <v>1357</v>
      </c>
    </row>
    <row r="14368" spans="1:13">
      <c r="H14368" t="s">
        <v>24398</v>
      </c>
      <c r="I14368" t="s">
        <v>1357</v>
      </c>
      <c r="J14368" t="s">
        <v>1357</v>
      </c>
      <c r="K14368" t="s">
        <v>1357</v>
      </c>
      <c r="L14368" t="s">
        <v>1357</v>
      </c>
    </row>
    <row r="14369" spans="1:12">
      <c r="H14369" t="s">
        <v>24399</v>
      </c>
      <c r="I14369" t="s">
        <v>1357</v>
      </c>
      <c r="J14369" t="s">
        <v>1357</v>
      </c>
      <c r="K14369" t="s">
        <v>1357</v>
      </c>
      <c r="L14369" t="s">
        <v>1357</v>
      </c>
    </row>
    <row r="14370" spans="1:12">
      <c r="H14370" t="s">
        <v>24400</v>
      </c>
      <c r="I14370" t="s">
        <v>1357</v>
      </c>
      <c r="J14370" t="s">
        <v>1357</v>
      </c>
      <c r="K14370" t="s">
        <v>1357</v>
      </c>
      <c r="L14370" t="s">
        <v>1357</v>
      </c>
    </row>
    <row r="14371" spans="1:12">
      <c r="H14371" t="s">
        <v>24401</v>
      </c>
      <c r="I14371" t="s">
        <v>1357</v>
      </c>
      <c r="J14371" t="s">
        <v>1357</v>
      </c>
      <c r="K14371" t="s">
        <v>1357</v>
      </c>
      <c r="L14371" t="s">
        <v>1357</v>
      </c>
    </row>
    <row r="14372" spans="1:12">
      <c r="H14372" t="s">
        <v>23895</v>
      </c>
      <c r="I14372" t="s">
        <v>1358</v>
      </c>
      <c r="J14372" t="s">
        <v>1358</v>
      </c>
      <c r="K14372" t="s">
        <v>1358</v>
      </c>
      <c r="L14372" t="s">
        <v>1358</v>
      </c>
    </row>
    <row r="14373" spans="1:12">
      <c r="A14373" t="s">
        <v>11133</v>
      </c>
      <c r="B14373">
        <f>HYPERLINK("https://android.googlesource.com/platform/cts/+/30a5662508fca0d8dbce59719483853dc503f2de", "30a5662508fca0d8dbce59719483853dc503f2de")</f>
        <v>0</v>
      </c>
      <c r="C14373">
        <f>HYPERLINK("https://android.googlesource.com/platform/cts/+/c76f6af0f8fbba617bffb9a653c815fe09e6c072", "c76f6af0f8fbba617bffb9a653c815fe09e6c072")</f>
        <v>0</v>
      </c>
      <c r="D14373" t="s">
        <v>12171</v>
      </c>
      <c r="E14373" t="s">
        <v>13660</v>
      </c>
      <c r="F14373" t="s">
        <v>16750</v>
      </c>
      <c r="G14373" t="s">
        <v>19379</v>
      </c>
      <c r="H14373" t="s">
        <v>24402</v>
      </c>
      <c r="I14373" t="s">
        <v>1357</v>
      </c>
      <c r="J14373" t="s">
        <v>1357</v>
      </c>
      <c r="K14373" t="s">
        <v>1357</v>
      </c>
      <c r="L14373" t="s">
        <v>1357</v>
      </c>
    </row>
    <row r="14374" spans="1:12">
      <c r="H14374" t="s">
        <v>24403</v>
      </c>
      <c r="I14374" t="s">
        <v>1357</v>
      </c>
      <c r="J14374" t="s">
        <v>1357</v>
      </c>
      <c r="K14374" t="s">
        <v>1357</v>
      </c>
      <c r="L14374" t="s">
        <v>1357</v>
      </c>
    </row>
    <row r="14375" spans="1:12">
      <c r="A14375" t="s">
        <v>11134</v>
      </c>
      <c r="B14375">
        <f>HYPERLINK("https://android.googlesource.com/platform/cts/+/19f9b20e25a762e6cc6e4def3d53dba976bfada9", "19f9b20e25a762e6cc6e4def3d53dba976bfada9")</f>
        <v>0</v>
      </c>
      <c r="C14375">
        <f>HYPERLINK("https://android.googlesource.com/platform/cts/+/46e2b45a3082918d8cafe22fd0e69c7cd21cb713", "46e2b45a3082918d8cafe22fd0e69c7cd21cb713")</f>
        <v>0</v>
      </c>
      <c r="D14375" t="s">
        <v>12307</v>
      </c>
      <c r="E14375" t="s">
        <v>13661</v>
      </c>
      <c r="F14375" t="s">
        <v>16709</v>
      </c>
      <c r="G14375" t="s">
        <v>19341</v>
      </c>
      <c r="H14375" t="s">
        <v>24071</v>
      </c>
      <c r="I14375" t="s">
        <v>1357</v>
      </c>
      <c r="J14375" t="s">
        <v>1357</v>
      </c>
      <c r="K14375" t="s">
        <v>1357</v>
      </c>
      <c r="L14375" t="s">
        <v>1357</v>
      </c>
    </row>
    <row r="14376" spans="1:12">
      <c r="H14376" t="s">
        <v>24072</v>
      </c>
      <c r="I14376" t="s">
        <v>1357</v>
      </c>
      <c r="J14376" t="s">
        <v>1357</v>
      </c>
      <c r="K14376" t="s">
        <v>1357</v>
      </c>
      <c r="L14376" t="s">
        <v>1357</v>
      </c>
    </row>
    <row r="14377" spans="1:12">
      <c r="H14377" t="s">
        <v>24073</v>
      </c>
      <c r="I14377" t="s">
        <v>1357</v>
      </c>
      <c r="J14377" t="s">
        <v>1357</v>
      </c>
      <c r="K14377" t="s">
        <v>1357</v>
      </c>
      <c r="L14377" t="s">
        <v>1357</v>
      </c>
    </row>
    <row r="14378" spans="1:12">
      <c r="H14378" t="s">
        <v>24074</v>
      </c>
      <c r="I14378" t="s">
        <v>1357</v>
      </c>
      <c r="J14378" t="s">
        <v>1357</v>
      </c>
      <c r="K14378" t="s">
        <v>1357</v>
      </c>
      <c r="L14378" t="s">
        <v>1357</v>
      </c>
    </row>
    <row r="14379" spans="1:12">
      <c r="F14379" t="s">
        <v>16672</v>
      </c>
      <c r="G14379" t="s">
        <v>19305</v>
      </c>
      <c r="H14379" t="s">
        <v>24078</v>
      </c>
      <c r="I14379" t="s">
        <v>1357</v>
      </c>
      <c r="J14379" t="s">
        <v>1357</v>
      </c>
      <c r="K14379" t="s">
        <v>1357</v>
      </c>
      <c r="L14379" t="s">
        <v>1357</v>
      </c>
    </row>
    <row r="14380" spans="1:12">
      <c r="H14380" t="s">
        <v>24079</v>
      </c>
      <c r="I14380" t="s">
        <v>1357</v>
      </c>
      <c r="J14380" t="s">
        <v>1357</v>
      </c>
      <c r="K14380" t="s">
        <v>1357</v>
      </c>
      <c r="L14380" t="s">
        <v>1357</v>
      </c>
    </row>
    <row r="14381" spans="1:12">
      <c r="H14381" t="s">
        <v>24080</v>
      </c>
      <c r="I14381" t="s">
        <v>1357</v>
      </c>
      <c r="J14381" t="s">
        <v>1357</v>
      </c>
      <c r="K14381" t="s">
        <v>1357</v>
      </c>
      <c r="L14381" t="s">
        <v>1357</v>
      </c>
    </row>
    <row r="14382" spans="1:12">
      <c r="H14382" t="s">
        <v>24081</v>
      </c>
      <c r="I14382" t="s">
        <v>1357</v>
      </c>
      <c r="J14382" t="s">
        <v>1357</v>
      </c>
      <c r="K14382" t="s">
        <v>1357</v>
      </c>
      <c r="L14382" t="s">
        <v>1357</v>
      </c>
    </row>
    <row r="14383" spans="1:12">
      <c r="H14383" t="s">
        <v>24082</v>
      </c>
      <c r="I14383" t="s">
        <v>1357</v>
      </c>
      <c r="J14383" t="s">
        <v>1357</v>
      </c>
      <c r="K14383" t="s">
        <v>1357</v>
      </c>
      <c r="L14383" t="s">
        <v>1357</v>
      </c>
    </row>
    <row r="14384" spans="1:12">
      <c r="H14384" t="s">
        <v>24083</v>
      </c>
      <c r="I14384" t="s">
        <v>1357</v>
      </c>
      <c r="J14384" t="s">
        <v>1357</v>
      </c>
      <c r="K14384" t="s">
        <v>1357</v>
      </c>
      <c r="L14384" t="s">
        <v>1357</v>
      </c>
    </row>
    <row r="14385" spans="8:12">
      <c r="H14385" t="s">
        <v>24084</v>
      </c>
      <c r="I14385" t="s">
        <v>1357</v>
      </c>
      <c r="J14385" t="s">
        <v>1357</v>
      </c>
      <c r="K14385" t="s">
        <v>1357</v>
      </c>
      <c r="L14385" t="s">
        <v>1357</v>
      </c>
    </row>
    <row r="14386" spans="8:12">
      <c r="H14386" t="s">
        <v>24085</v>
      </c>
      <c r="I14386" t="s">
        <v>1357</v>
      </c>
      <c r="J14386" t="s">
        <v>1357</v>
      </c>
      <c r="K14386" t="s">
        <v>1357</v>
      </c>
      <c r="L14386" t="s">
        <v>1357</v>
      </c>
    </row>
    <row r="14387" spans="8:12">
      <c r="H14387" t="s">
        <v>23841</v>
      </c>
      <c r="I14387" t="s">
        <v>1357</v>
      </c>
      <c r="J14387" t="s">
        <v>1357</v>
      </c>
      <c r="K14387" t="s">
        <v>1357</v>
      </c>
      <c r="L14387" t="s">
        <v>1357</v>
      </c>
    </row>
    <row r="14388" spans="8:12">
      <c r="H14388" t="s">
        <v>24087</v>
      </c>
      <c r="I14388" t="s">
        <v>1357</v>
      </c>
      <c r="J14388" t="s">
        <v>1357</v>
      </c>
      <c r="K14388" t="s">
        <v>1357</v>
      </c>
      <c r="L14388" t="s">
        <v>1357</v>
      </c>
    </row>
    <row r="14389" spans="8:12">
      <c r="H14389" t="s">
        <v>24088</v>
      </c>
      <c r="I14389" t="s">
        <v>1357</v>
      </c>
      <c r="J14389" t="s">
        <v>1357</v>
      </c>
      <c r="K14389" t="s">
        <v>1357</v>
      </c>
      <c r="L14389" t="s">
        <v>1357</v>
      </c>
    </row>
    <row r="14390" spans="8:12">
      <c r="H14390" t="s">
        <v>24089</v>
      </c>
      <c r="I14390" t="s">
        <v>1357</v>
      </c>
      <c r="J14390" t="s">
        <v>1357</v>
      </c>
      <c r="K14390" t="s">
        <v>1357</v>
      </c>
      <c r="L14390" t="s">
        <v>1357</v>
      </c>
    </row>
    <row r="14391" spans="8:12">
      <c r="H14391" t="s">
        <v>24090</v>
      </c>
      <c r="I14391" t="s">
        <v>1357</v>
      </c>
      <c r="J14391" t="s">
        <v>1357</v>
      </c>
      <c r="K14391" t="s">
        <v>1357</v>
      </c>
      <c r="L14391" t="s">
        <v>1357</v>
      </c>
    </row>
    <row r="14392" spans="8:12">
      <c r="H14392" t="s">
        <v>24091</v>
      </c>
      <c r="I14392" t="s">
        <v>1357</v>
      </c>
      <c r="J14392" t="s">
        <v>1357</v>
      </c>
      <c r="K14392" t="s">
        <v>1357</v>
      </c>
      <c r="L14392" t="s">
        <v>1357</v>
      </c>
    </row>
    <row r="14393" spans="8:12">
      <c r="H14393" t="s">
        <v>24092</v>
      </c>
      <c r="I14393" t="s">
        <v>1357</v>
      </c>
      <c r="J14393" t="s">
        <v>1357</v>
      </c>
      <c r="K14393" t="s">
        <v>1357</v>
      </c>
      <c r="L14393" t="s">
        <v>1357</v>
      </c>
    </row>
    <row r="14394" spans="8:12">
      <c r="H14394" t="s">
        <v>24095</v>
      </c>
      <c r="I14394" t="s">
        <v>1357</v>
      </c>
      <c r="J14394" t="s">
        <v>1357</v>
      </c>
      <c r="K14394" t="s">
        <v>1357</v>
      </c>
      <c r="L14394" t="s">
        <v>1357</v>
      </c>
    </row>
    <row r="14395" spans="8:12">
      <c r="H14395" t="s">
        <v>24096</v>
      </c>
      <c r="I14395" t="s">
        <v>1357</v>
      </c>
      <c r="J14395" t="s">
        <v>1357</v>
      </c>
      <c r="K14395" t="s">
        <v>1357</v>
      </c>
      <c r="L14395" t="s">
        <v>1357</v>
      </c>
    </row>
    <row r="14396" spans="8:12">
      <c r="H14396" t="s">
        <v>24097</v>
      </c>
      <c r="I14396" t="s">
        <v>1357</v>
      </c>
      <c r="J14396" t="s">
        <v>1357</v>
      </c>
      <c r="K14396" t="s">
        <v>1357</v>
      </c>
      <c r="L14396" t="s">
        <v>1357</v>
      </c>
    </row>
    <row r="14397" spans="8:12">
      <c r="H14397" t="s">
        <v>24098</v>
      </c>
      <c r="I14397" t="s">
        <v>1357</v>
      </c>
      <c r="J14397" t="s">
        <v>1357</v>
      </c>
      <c r="K14397" t="s">
        <v>1357</v>
      </c>
      <c r="L14397" t="s">
        <v>1357</v>
      </c>
    </row>
    <row r="14398" spans="8:12">
      <c r="H14398" t="s">
        <v>24099</v>
      </c>
      <c r="I14398" t="s">
        <v>1357</v>
      </c>
      <c r="J14398" t="s">
        <v>1357</v>
      </c>
      <c r="K14398" t="s">
        <v>1357</v>
      </c>
      <c r="L14398" t="s">
        <v>1357</v>
      </c>
    </row>
    <row r="14399" spans="8:12">
      <c r="H14399" t="s">
        <v>24100</v>
      </c>
      <c r="I14399" t="s">
        <v>1357</v>
      </c>
      <c r="J14399" t="s">
        <v>1357</v>
      </c>
      <c r="K14399" t="s">
        <v>1357</v>
      </c>
      <c r="L14399" t="s">
        <v>1357</v>
      </c>
    </row>
    <row r="14400" spans="8:12">
      <c r="H14400" t="s">
        <v>24101</v>
      </c>
      <c r="I14400" t="s">
        <v>1357</v>
      </c>
      <c r="J14400" t="s">
        <v>1357</v>
      </c>
      <c r="K14400" t="s">
        <v>1357</v>
      </c>
      <c r="L14400" t="s">
        <v>1357</v>
      </c>
    </row>
    <row r="14401" spans="8:12">
      <c r="H14401" t="s">
        <v>24102</v>
      </c>
      <c r="I14401" t="s">
        <v>1357</v>
      </c>
      <c r="J14401" t="s">
        <v>1357</v>
      </c>
      <c r="K14401" t="s">
        <v>1357</v>
      </c>
      <c r="L14401" t="s">
        <v>1357</v>
      </c>
    </row>
    <row r="14402" spans="8:12">
      <c r="H14402" t="s">
        <v>24103</v>
      </c>
      <c r="I14402" t="s">
        <v>1357</v>
      </c>
      <c r="J14402" t="s">
        <v>1357</v>
      </c>
      <c r="K14402" t="s">
        <v>1357</v>
      </c>
      <c r="L14402" t="s">
        <v>1357</v>
      </c>
    </row>
    <row r="14403" spans="8:12">
      <c r="H14403" t="s">
        <v>24104</v>
      </c>
      <c r="I14403" t="s">
        <v>1357</v>
      </c>
      <c r="J14403" t="s">
        <v>1357</v>
      </c>
      <c r="K14403" t="s">
        <v>1357</v>
      </c>
      <c r="L14403" t="s">
        <v>1357</v>
      </c>
    </row>
    <row r="14404" spans="8:12">
      <c r="H14404" t="s">
        <v>24105</v>
      </c>
      <c r="I14404" t="s">
        <v>1357</v>
      </c>
      <c r="J14404" t="s">
        <v>1357</v>
      </c>
      <c r="K14404" t="s">
        <v>1357</v>
      </c>
      <c r="L14404" t="s">
        <v>1357</v>
      </c>
    </row>
    <row r="14405" spans="8:12">
      <c r="H14405" t="s">
        <v>24106</v>
      </c>
      <c r="I14405" t="s">
        <v>1357</v>
      </c>
      <c r="J14405" t="s">
        <v>1357</v>
      </c>
      <c r="K14405" t="s">
        <v>1357</v>
      </c>
      <c r="L14405" t="s">
        <v>1357</v>
      </c>
    </row>
    <row r="14406" spans="8:12">
      <c r="H14406" t="s">
        <v>24107</v>
      </c>
      <c r="I14406" t="s">
        <v>1357</v>
      </c>
      <c r="J14406" t="s">
        <v>1357</v>
      </c>
      <c r="K14406" t="s">
        <v>1357</v>
      </c>
      <c r="L14406" t="s">
        <v>1357</v>
      </c>
    </row>
    <row r="14407" spans="8:12">
      <c r="H14407" t="s">
        <v>24108</v>
      </c>
      <c r="I14407" t="s">
        <v>1357</v>
      </c>
      <c r="J14407" t="s">
        <v>1357</v>
      </c>
      <c r="K14407" t="s">
        <v>1357</v>
      </c>
      <c r="L14407" t="s">
        <v>1357</v>
      </c>
    </row>
    <row r="14408" spans="8:12">
      <c r="H14408" t="s">
        <v>24109</v>
      </c>
      <c r="I14408" t="s">
        <v>1357</v>
      </c>
      <c r="J14408" t="s">
        <v>1357</v>
      </c>
      <c r="K14408" t="s">
        <v>1357</v>
      </c>
      <c r="L14408" t="s">
        <v>1357</v>
      </c>
    </row>
    <row r="14409" spans="8:12">
      <c r="H14409" t="s">
        <v>24110</v>
      </c>
      <c r="I14409" t="s">
        <v>1357</v>
      </c>
      <c r="J14409" t="s">
        <v>1357</v>
      </c>
      <c r="K14409" t="s">
        <v>1357</v>
      </c>
      <c r="L14409" t="s">
        <v>1357</v>
      </c>
    </row>
    <row r="14410" spans="8:12">
      <c r="H14410" t="s">
        <v>24111</v>
      </c>
      <c r="I14410" t="s">
        <v>1357</v>
      </c>
      <c r="J14410" t="s">
        <v>1357</v>
      </c>
      <c r="K14410" t="s">
        <v>1357</v>
      </c>
      <c r="L14410" t="s">
        <v>1357</v>
      </c>
    </row>
    <row r="14411" spans="8:12">
      <c r="H14411" t="s">
        <v>24112</v>
      </c>
      <c r="I14411" t="s">
        <v>1357</v>
      </c>
      <c r="J14411" t="s">
        <v>1357</v>
      </c>
      <c r="K14411" t="s">
        <v>1357</v>
      </c>
      <c r="L14411" t="s">
        <v>1357</v>
      </c>
    </row>
    <row r="14412" spans="8:12">
      <c r="H14412" t="s">
        <v>24113</v>
      </c>
      <c r="I14412" t="s">
        <v>1357</v>
      </c>
      <c r="J14412" t="s">
        <v>1357</v>
      </c>
      <c r="K14412" t="s">
        <v>1357</v>
      </c>
      <c r="L14412" t="s">
        <v>1357</v>
      </c>
    </row>
    <row r="14413" spans="8:12">
      <c r="H14413" t="s">
        <v>24114</v>
      </c>
      <c r="I14413" t="s">
        <v>1357</v>
      </c>
      <c r="J14413" t="s">
        <v>1357</v>
      </c>
      <c r="K14413" t="s">
        <v>1357</v>
      </c>
      <c r="L14413" t="s">
        <v>1357</v>
      </c>
    </row>
    <row r="14414" spans="8:12">
      <c r="H14414" t="s">
        <v>24115</v>
      </c>
      <c r="I14414" t="s">
        <v>1357</v>
      </c>
      <c r="J14414" t="s">
        <v>1357</v>
      </c>
      <c r="K14414" t="s">
        <v>1357</v>
      </c>
      <c r="L14414" t="s">
        <v>1357</v>
      </c>
    </row>
    <row r="14415" spans="8:12">
      <c r="H14415" t="s">
        <v>24116</v>
      </c>
      <c r="I14415" t="s">
        <v>1357</v>
      </c>
      <c r="J14415" t="s">
        <v>1357</v>
      </c>
      <c r="K14415" t="s">
        <v>1357</v>
      </c>
      <c r="L14415" t="s">
        <v>1357</v>
      </c>
    </row>
    <row r="14416" spans="8:12">
      <c r="H14416" t="s">
        <v>24117</v>
      </c>
      <c r="I14416" t="s">
        <v>1357</v>
      </c>
      <c r="J14416" t="s">
        <v>1357</v>
      </c>
      <c r="K14416" t="s">
        <v>1357</v>
      </c>
      <c r="L14416" t="s">
        <v>1357</v>
      </c>
    </row>
    <row r="14417" spans="8:12">
      <c r="H14417" t="s">
        <v>24118</v>
      </c>
      <c r="I14417" t="s">
        <v>1357</v>
      </c>
      <c r="J14417" t="s">
        <v>1357</v>
      </c>
      <c r="K14417" t="s">
        <v>1357</v>
      </c>
      <c r="L14417" t="s">
        <v>1357</v>
      </c>
    </row>
    <row r="14418" spans="8:12">
      <c r="H14418" t="s">
        <v>24119</v>
      </c>
      <c r="I14418" t="s">
        <v>1357</v>
      </c>
      <c r="J14418" t="s">
        <v>1357</v>
      </c>
      <c r="K14418" t="s">
        <v>1357</v>
      </c>
      <c r="L14418" t="s">
        <v>1357</v>
      </c>
    </row>
    <row r="14419" spans="8:12">
      <c r="H14419" t="s">
        <v>24120</v>
      </c>
      <c r="I14419" t="s">
        <v>1357</v>
      </c>
      <c r="J14419" t="s">
        <v>1357</v>
      </c>
      <c r="K14419" t="s">
        <v>1357</v>
      </c>
      <c r="L14419" t="s">
        <v>1357</v>
      </c>
    </row>
    <row r="14420" spans="8:12">
      <c r="H14420" t="s">
        <v>24121</v>
      </c>
      <c r="I14420" t="s">
        <v>1357</v>
      </c>
      <c r="J14420" t="s">
        <v>1357</v>
      </c>
      <c r="K14420" t="s">
        <v>1357</v>
      </c>
      <c r="L14420" t="s">
        <v>1357</v>
      </c>
    </row>
    <row r="14421" spans="8:12">
      <c r="H14421" t="s">
        <v>24122</v>
      </c>
      <c r="I14421" t="s">
        <v>1357</v>
      </c>
      <c r="J14421" t="s">
        <v>1357</v>
      </c>
      <c r="K14421" t="s">
        <v>1357</v>
      </c>
      <c r="L14421" t="s">
        <v>1357</v>
      </c>
    </row>
    <row r="14422" spans="8:12">
      <c r="H14422" t="s">
        <v>24123</v>
      </c>
      <c r="I14422" t="s">
        <v>1357</v>
      </c>
      <c r="J14422" t="s">
        <v>1357</v>
      </c>
      <c r="K14422" t="s">
        <v>1357</v>
      </c>
      <c r="L14422" t="s">
        <v>1357</v>
      </c>
    </row>
    <row r="14423" spans="8:12">
      <c r="H14423" t="s">
        <v>24124</v>
      </c>
      <c r="I14423" t="s">
        <v>1357</v>
      </c>
      <c r="J14423" t="s">
        <v>1357</v>
      </c>
      <c r="K14423" t="s">
        <v>1357</v>
      </c>
      <c r="L14423" t="s">
        <v>1357</v>
      </c>
    </row>
    <row r="14424" spans="8:12">
      <c r="H14424" t="s">
        <v>24125</v>
      </c>
      <c r="I14424" t="s">
        <v>1357</v>
      </c>
      <c r="J14424" t="s">
        <v>1357</v>
      </c>
      <c r="K14424" t="s">
        <v>1357</v>
      </c>
      <c r="L14424" t="s">
        <v>1357</v>
      </c>
    </row>
    <row r="14425" spans="8:12">
      <c r="H14425" t="s">
        <v>24126</v>
      </c>
      <c r="I14425" t="s">
        <v>1357</v>
      </c>
      <c r="J14425" t="s">
        <v>1357</v>
      </c>
      <c r="K14425" t="s">
        <v>1357</v>
      </c>
      <c r="L14425" t="s">
        <v>1357</v>
      </c>
    </row>
    <row r="14426" spans="8:12">
      <c r="H14426" t="s">
        <v>24127</v>
      </c>
      <c r="I14426" t="s">
        <v>1357</v>
      </c>
      <c r="J14426" t="s">
        <v>1357</v>
      </c>
      <c r="K14426" t="s">
        <v>1357</v>
      </c>
      <c r="L14426" t="s">
        <v>1357</v>
      </c>
    </row>
    <row r="14427" spans="8:12">
      <c r="H14427" t="s">
        <v>24128</v>
      </c>
      <c r="I14427" t="s">
        <v>1357</v>
      </c>
      <c r="J14427" t="s">
        <v>1357</v>
      </c>
      <c r="K14427" t="s">
        <v>1357</v>
      </c>
      <c r="L14427" t="s">
        <v>1357</v>
      </c>
    </row>
    <row r="14428" spans="8:12">
      <c r="H14428" t="s">
        <v>24129</v>
      </c>
      <c r="I14428" t="s">
        <v>1357</v>
      </c>
      <c r="J14428" t="s">
        <v>1357</v>
      </c>
      <c r="K14428" t="s">
        <v>1357</v>
      </c>
      <c r="L14428" t="s">
        <v>1357</v>
      </c>
    </row>
    <row r="14429" spans="8:12">
      <c r="H14429" t="s">
        <v>24130</v>
      </c>
      <c r="I14429" t="s">
        <v>1357</v>
      </c>
      <c r="J14429" t="s">
        <v>1357</v>
      </c>
      <c r="K14429" t="s">
        <v>1357</v>
      </c>
      <c r="L14429" t="s">
        <v>1357</v>
      </c>
    </row>
    <row r="14430" spans="8:12">
      <c r="H14430" t="s">
        <v>24131</v>
      </c>
      <c r="I14430" t="s">
        <v>1357</v>
      </c>
      <c r="J14430" t="s">
        <v>1357</v>
      </c>
      <c r="K14430" t="s">
        <v>1357</v>
      </c>
      <c r="L14430" t="s">
        <v>1357</v>
      </c>
    </row>
    <row r="14431" spans="8:12">
      <c r="H14431" t="s">
        <v>24132</v>
      </c>
      <c r="I14431" t="s">
        <v>1357</v>
      </c>
      <c r="J14431" t="s">
        <v>1357</v>
      </c>
      <c r="K14431" t="s">
        <v>1357</v>
      </c>
      <c r="L14431" t="s">
        <v>1357</v>
      </c>
    </row>
    <row r="14432" spans="8:12">
      <c r="H14432" t="s">
        <v>24133</v>
      </c>
      <c r="I14432" t="s">
        <v>1357</v>
      </c>
      <c r="J14432" t="s">
        <v>1357</v>
      </c>
      <c r="K14432" t="s">
        <v>1357</v>
      </c>
      <c r="L14432" t="s">
        <v>1357</v>
      </c>
    </row>
    <row r="14433" spans="6:12">
      <c r="H14433" t="s">
        <v>23298</v>
      </c>
      <c r="I14433" t="s">
        <v>1357</v>
      </c>
      <c r="J14433" t="s">
        <v>1357</v>
      </c>
      <c r="K14433" t="s">
        <v>1357</v>
      </c>
      <c r="L14433" t="s">
        <v>1357</v>
      </c>
    </row>
    <row r="14434" spans="6:12">
      <c r="H14434" t="s">
        <v>24134</v>
      </c>
      <c r="I14434" t="s">
        <v>1357</v>
      </c>
      <c r="J14434" t="s">
        <v>1357</v>
      </c>
      <c r="K14434" t="s">
        <v>1357</v>
      </c>
      <c r="L14434" t="s">
        <v>1357</v>
      </c>
    </row>
    <row r="14435" spans="6:12">
      <c r="H14435" t="s">
        <v>24404</v>
      </c>
      <c r="I14435" t="s">
        <v>1357</v>
      </c>
      <c r="J14435" t="s">
        <v>1357</v>
      </c>
      <c r="K14435" t="s">
        <v>1357</v>
      </c>
      <c r="L14435" t="s">
        <v>1357</v>
      </c>
    </row>
    <row r="14436" spans="6:12">
      <c r="H14436" t="s">
        <v>24405</v>
      </c>
      <c r="I14436" t="s">
        <v>1357</v>
      </c>
      <c r="J14436" t="s">
        <v>1357</v>
      </c>
      <c r="K14436" t="s">
        <v>1357</v>
      </c>
      <c r="L14436" t="s">
        <v>1357</v>
      </c>
    </row>
    <row r="14437" spans="6:12">
      <c r="H14437" t="s">
        <v>24406</v>
      </c>
      <c r="I14437" t="s">
        <v>1357</v>
      </c>
      <c r="J14437" t="s">
        <v>1357</v>
      </c>
      <c r="K14437" t="s">
        <v>1357</v>
      </c>
      <c r="L14437" t="s">
        <v>1357</v>
      </c>
    </row>
    <row r="14438" spans="6:12">
      <c r="H14438" t="s">
        <v>24407</v>
      </c>
      <c r="I14438" t="s">
        <v>1357</v>
      </c>
      <c r="J14438" t="s">
        <v>1357</v>
      </c>
      <c r="K14438" t="s">
        <v>1357</v>
      </c>
      <c r="L14438" t="s">
        <v>1357</v>
      </c>
    </row>
    <row r="14439" spans="6:12">
      <c r="H14439" t="s">
        <v>24408</v>
      </c>
      <c r="I14439" t="s">
        <v>1357</v>
      </c>
      <c r="J14439" t="s">
        <v>1357</v>
      </c>
      <c r="K14439" t="s">
        <v>1357</v>
      </c>
      <c r="L14439" t="s">
        <v>1357</v>
      </c>
    </row>
    <row r="14440" spans="6:12">
      <c r="F14440" t="s">
        <v>16711</v>
      </c>
      <c r="G14440" t="s">
        <v>19343</v>
      </c>
      <c r="H14440" t="s">
        <v>24150</v>
      </c>
      <c r="I14440" t="s">
        <v>1357</v>
      </c>
      <c r="J14440" t="s">
        <v>1357</v>
      </c>
      <c r="K14440" t="s">
        <v>1357</v>
      </c>
      <c r="L14440" t="s">
        <v>1357</v>
      </c>
    </row>
    <row r="14441" spans="6:12">
      <c r="H14441" t="s">
        <v>24151</v>
      </c>
      <c r="I14441" t="s">
        <v>1357</v>
      </c>
      <c r="J14441" t="s">
        <v>1357</v>
      </c>
      <c r="K14441" t="s">
        <v>1357</v>
      </c>
      <c r="L14441" t="s">
        <v>1357</v>
      </c>
    </row>
    <row r="14442" spans="6:12">
      <c r="H14442" t="s">
        <v>24152</v>
      </c>
      <c r="I14442" t="s">
        <v>1357</v>
      </c>
      <c r="J14442" t="s">
        <v>1357</v>
      </c>
      <c r="K14442" t="s">
        <v>1357</v>
      </c>
      <c r="L14442" t="s">
        <v>1357</v>
      </c>
    </row>
    <row r="14443" spans="6:12">
      <c r="H14443" t="s">
        <v>24153</v>
      </c>
      <c r="I14443" t="s">
        <v>1357</v>
      </c>
      <c r="J14443" t="s">
        <v>1357</v>
      </c>
      <c r="K14443" t="s">
        <v>1357</v>
      </c>
      <c r="L14443" t="s">
        <v>1357</v>
      </c>
    </row>
    <row r="14444" spans="6:12">
      <c r="H14444" t="s">
        <v>24154</v>
      </c>
      <c r="I14444" t="s">
        <v>1357</v>
      </c>
      <c r="J14444" t="s">
        <v>1357</v>
      </c>
      <c r="K14444" t="s">
        <v>1357</v>
      </c>
      <c r="L14444" t="s">
        <v>1357</v>
      </c>
    </row>
    <row r="14445" spans="6:12">
      <c r="H14445" t="s">
        <v>24155</v>
      </c>
      <c r="I14445" t="s">
        <v>1357</v>
      </c>
      <c r="J14445" t="s">
        <v>1357</v>
      </c>
      <c r="K14445" t="s">
        <v>1357</v>
      </c>
      <c r="L14445" t="s">
        <v>1357</v>
      </c>
    </row>
    <row r="14446" spans="6:12">
      <c r="H14446" t="s">
        <v>24156</v>
      </c>
      <c r="I14446" t="s">
        <v>1357</v>
      </c>
      <c r="J14446" t="s">
        <v>1357</v>
      </c>
      <c r="K14446" t="s">
        <v>1357</v>
      </c>
      <c r="L14446" t="s">
        <v>1357</v>
      </c>
    </row>
    <row r="14447" spans="6:12">
      <c r="H14447" t="s">
        <v>24157</v>
      </c>
      <c r="I14447" t="s">
        <v>1357</v>
      </c>
      <c r="J14447" t="s">
        <v>1357</v>
      </c>
      <c r="K14447" t="s">
        <v>1357</v>
      </c>
      <c r="L14447" t="s">
        <v>1357</v>
      </c>
    </row>
    <row r="14448" spans="6:12">
      <c r="H14448" t="s">
        <v>24158</v>
      </c>
      <c r="I14448" t="s">
        <v>1357</v>
      </c>
      <c r="J14448" t="s">
        <v>1357</v>
      </c>
      <c r="K14448" t="s">
        <v>1357</v>
      </c>
      <c r="L14448" t="s">
        <v>1357</v>
      </c>
    </row>
    <row r="14449" spans="1:12">
      <c r="H14449" t="s">
        <v>24159</v>
      </c>
      <c r="I14449" t="s">
        <v>1357</v>
      </c>
      <c r="J14449" t="s">
        <v>1357</v>
      </c>
      <c r="K14449" t="s">
        <v>1357</v>
      </c>
      <c r="L14449" t="s">
        <v>1357</v>
      </c>
    </row>
    <row r="14450" spans="1:12">
      <c r="H14450" t="s">
        <v>20219</v>
      </c>
      <c r="I14450" t="s">
        <v>1357</v>
      </c>
      <c r="J14450" t="s">
        <v>1357</v>
      </c>
      <c r="K14450" t="s">
        <v>1357</v>
      </c>
      <c r="L14450" t="s">
        <v>1357</v>
      </c>
    </row>
    <row r="14451" spans="1:12">
      <c r="H14451" t="s">
        <v>20220</v>
      </c>
      <c r="I14451" t="s">
        <v>1357</v>
      </c>
      <c r="J14451" t="s">
        <v>1357</v>
      </c>
      <c r="K14451" t="s">
        <v>1357</v>
      </c>
      <c r="L14451" t="s">
        <v>1357</v>
      </c>
    </row>
    <row r="14452" spans="1:12">
      <c r="H14452" t="s">
        <v>20221</v>
      </c>
      <c r="I14452" t="s">
        <v>1357</v>
      </c>
      <c r="J14452" t="s">
        <v>1357</v>
      </c>
      <c r="K14452" t="s">
        <v>1357</v>
      </c>
      <c r="L14452" t="s">
        <v>1357</v>
      </c>
    </row>
    <row r="14453" spans="1:12">
      <c r="H14453" t="s">
        <v>20222</v>
      </c>
      <c r="I14453" t="s">
        <v>1357</v>
      </c>
      <c r="J14453" t="s">
        <v>1357</v>
      </c>
      <c r="K14453" t="s">
        <v>1357</v>
      </c>
      <c r="L14453" t="s">
        <v>1357</v>
      </c>
    </row>
    <row r="14454" spans="1:12">
      <c r="H14454" t="s">
        <v>20223</v>
      </c>
      <c r="I14454" t="s">
        <v>1357</v>
      </c>
      <c r="J14454" t="s">
        <v>1357</v>
      </c>
      <c r="K14454" t="s">
        <v>1357</v>
      </c>
      <c r="L14454" t="s">
        <v>1357</v>
      </c>
    </row>
    <row r="14455" spans="1:12">
      <c r="H14455" t="s">
        <v>20224</v>
      </c>
      <c r="I14455" t="s">
        <v>1357</v>
      </c>
      <c r="J14455" t="s">
        <v>1357</v>
      </c>
      <c r="K14455" t="s">
        <v>1357</v>
      </c>
      <c r="L14455" t="s">
        <v>1357</v>
      </c>
    </row>
    <row r="14456" spans="1:12">
      <c r="H14456" t="s">
        <v>20225</v>
      </c>
      <c r="I14456" t="s">
        <v>1357</v>
      </c>
      <c r="J14456" t="s">
        <v>1357</v>
      </c>
      <c r="K14456" t="s">
        <v>1357</v>
      </c>
      <c r="L14456" t="s">
        <v>1357</v>
      </c>
    </row>
    <row r="14457" spans="1:12">
      <c r="H14457" t="s">
        <v>24160</v>
      </c>
      <c r="I14457" t="s">
        <v>1357</v>
      </c>
      <c r="J14457" t="s">
        <v>1357</v>
      </c>
      <c r="K14457" t="s">
        <v>1357</v>
      </c>
      <c r="L14457" t="s">
        <v>1357</v>
      </c>
    </row>
    <row r="14458" spans="1:12">
      <c r="H14458" t="s">
        <v>24161</v>
      </c>
      <c r="I14458" t="s">
        <v>1357</v>
      </c>
      <c r="J14458" t="s">
        <v>1357</v>
      </c>
      <c r="K14458" t="s">
        <v>1357</v>
      </c>
      <c r="L14458" t="s">
        <v>1357</v>
      </c>
    </row>
    <row r="14459" spans="1:12">
      <c r="H14459" t="s">
        <v>24162</v>
      </c>
      <c r="I14459" t="s">
        <v>1357</v>
      </c>
      <c r="J14459" t="s">
        <v>1357</v>
      </c>
      <c r="K14459" t="s">
        <v>1357</v>
      </c>
      <c r="L14459" t="s">
        <v>1357</v>
      </c>
    </row>
    <row r="14460" spans="1:12">
      <c r="H14460" t="s">
        <v>24163</v>
      </c>
      <c r="I14460" t="s">
        <v>1357</v>
      </c>
      <c r="J14460" t="s">
        <v>1357</v>
      </c>
      <c r="K14460" t="s">
        <v>1357</v>
      </c>
      <c r="L14460" t="s">
        <v>1357</v>
      </c>
    </row>
    <row r="14461" spans="1:12">
      <c r="H14461" t="s">
        <v>24164</v>
      </c>
      <c r="I14461" t="s">
        <v>1357</v>
      </c>
      <c r="J14461" t="s">
        <v>1357</v>
      </c>
      <c r="K14461" t="s">
        <v>1357</v>
      </c>
      <c r="L14461" t="s">
        <v>1357</v>
      </c>
    </row>
    <row r="14462" spans="1:12">
      <c r="H14462" t="s">
        <v>24165</v>
      </c>
      <c r="I14462" t="s">
        <v>1357</v>
      </c>
      <c r="J14462" t="s">
        <v>1357</v>
      </c>
      <c r="K14462" t="s">
        <v>1357</v>
      </c>
      <c r="L14462" t="s">
        <v>1357</v>
      </c>
    </row>
    <row r="14463" spans="1:12">
      <c r="A14463" t="s">
        <v>11135</v>
      </c>
      <c r="B14463">
        <f>HYPERLINK("https://android.googlesource.com/platform/cts/+/0f07198cd7776099b3ac1191688d2244419b7e1c", "0f07198cd7776099b3ac1191688d2244419b7e1c")</f>
        <v>0</v>
      </c>
      <c r="C14463">
        <f>HYPERLINK("https://android.googlesource.com/platform/cts/+/480f1c3335d778eaff0d60ba9b84f4f978aff571", "480f1c3335d778eaff0d60ba9b84f4f978aff571")</f>
        <v>0</v>
      </c>
      <c r="D14463" t="s">
        <v>12217</v>
      </c>
      <c r="E14463" t="s">
        <v>13662</v>
      </c>
      <c r="F14463" t="s">
        <v>16751</v>
      </c>
      <c r="G14463" t="s">
        <v>19380</v>
      </c>
      <c r="H14463" t="s">
        <v>24409</v>
      </c>
      <c r="I14463" t="s">
        <v>1357</v>
      </c>
      <c r="J14463" t="s">
        <v>1357</v>
      </c>
      <c r="K14463" t="s">
        <v>1357</v>
      </c>
      <c r="L14463" t="s">
        <v>1357</v>
      </c>
    </row>
    <row r="14464" spans="1:12">
      <c r="A14464" t="s">
        <v>11136</v>
      </c>
      <c r="B14464">
        <f>HYPERLINK("https://android.googlesource.com/platform/cts/+/d4a57d45ffb22cd149877e9ac550b68c1485a94b", "d4a57d45ffb22cd149877e9ac550b68c1485a94b")</f>
        <v>0</v>
      </c>
      <c r="C14464">
        <f>HYPERLINK("https://android.googlesource.com/platform/cts/+/40e93f5ebd523b7523661cd55e4f991357026d45", "40e93f5ebd523b7523661cd55e4f991357026d45")</f>
        <v>0</v>
      </c>
      <c r="D14464" t="s">
        <v>12102</v>
      </c>
      <c r="E14464" t="s">
        <v>13663</v>
      </c>
      <c r="F14464" t="s">
        <v>16406</v>
      </c>
      <c r="G14464" t="s">
        <v>19072</v>
      </c>
      <c r="H14464" t="s">
        <v>24410</v>
      </c>
      <c r="I14464" t="s">
        <v>1357</v>
      </c>
      <c r="J14464" t="s">
        <v>1357</v>
      </c>
      <c r="K14464" t="s">
        <v>1357</v>
      </c>
      <c r="L14464" t="s">
        <v>1357</v>
      </c>
    </row>
    <row r="14465" spans="1:14">
      <c r="A14465" t="s">
        <v>11137</v>
      </c>
      <c r="B14465">
        <f>HYPERLINK("https://android.googlesource.com/platform/cts/+/299da86a2aeae763ccd30b90ef4fdf77b19d5a2c", "299da86a2aeae763ccd30b90ef4fdf77b19d5a2c")</f>
        <v>0</v>
      </c>
      <c r="C14465">
        <f>HYPERLINK("https://android.googlesource.com/platform/cts/+/6b4ff559910efe8648ea438c184459586f943144", "6b4ff559910efe8648ea438c184459586f943144")</f>
        <v>0</v>
      </c>
      <c r="D14465" t="s">
        <v>12291</v>
      </c>
      <c r="E14465" t="s">
        <v>13664</v>
      </c>
      <c r="F14465" t="s">
        <v>16149</v>
      </c>
      <c r="G14465" t="s">
        <v>18778</v>
      </c>
      <c r="H14465" t="s">
        <v>24411</v>
      </c>
      <c r="I14465" t="s">
        <v>1357</v>
      </c>
      <c r="J14465" t="s">
        <v>1357</v>
      </c>
      <c r="K14465" t="s">
        <v>1357</v>
      </c>
      <c r="L14465" t="s">
        <v>1357</v>
      </c>
    </row>
    <row r="14466" spans="1:14">
      <c r="A14466" t="s">
        <v>11138</v>
      </c>
      <c r="B14466">
        <f>HYPERLINK("https://android.googlesource.com/platform/cts/+/a775c8c0dd05ee0095a0a198f60b7a19eafbe9c4", "a775c8c0dd05ee0095a0a198f60b7a19eafbe9c4")</f>
        <v>0</v>
      </c>
      <c r="C14466">
        <f>HYPERLINK("https://android.googlesource.com/platform/cts/+/92130edc486f5d63def65dcb47d55dde7bd8eca0", "92130edc486f5d63def65dcb47d55dde7bd8eca0")</f>
        <v>0</v>
      </c>
      <c r="D14466" t="s">
        <v>12322</v>
      </c>
      <c r="E14466" t="s">
        <v>13665</v>
      </c>
      <c r="F14466" t="s">
        <v>16752</v>
      </c>
      <c r="G14466" t="s">
        <v>19381</v>
      </c>
      <c r="H14466" t="s">
        <v>24412</v>
      </c>
      <c r="I14466" t="s">
        <v>1357</v>
      </c>
      <c r="J14466" t="s">
        <v>1357</v>
      </c>
      <c r="K14466" t="s">
        <v>1357</v>
      </c>
      <c r="L14466" t="s">
        <v>1357</v>
      </c>
      <c r="N14466" t="s">
        <v>27525</v>
      </c>
    </row>
    <row r="14467" spans="1:14">
      <c r="F14467" t="s">
        <v>16753</v>
      </c>
      <c r="G14467" t="s">
        <v>19382</v>
      </c>
      <c r="H14467" t="s">
        <v>24412</v>
      </c>
      <c r="I14467" t="s">
        <v>1357</v>
      </c>
      <c r="J14467" t="s">
        <v>1357</v>
      </c>
      <c r="K14467" t="s">
        <v>1357</v>
      </c>
      <c r="L14467" t="s">
        <v>1357</v>
      </c>
      <c r="N14467" t="s">
        <v>27525</v>
      </c>
    </row>
    <row r="14468" spans="1:14">
      <c r="F14468" t="s">
        <v>16754</v>
      </c>
      <c r="G14468" t="s">
        <v>19383</v>
      </c>
      <c r="H14468" t="s">
        <v>24412</v>
      </c>
      <c r="I14468" t="s">
        <v>1357</v>
      </c>
      <c r="J14468" t="s">
        <v>1357</v>
      </c>
      <c r="K14468" t="s">
        <v>1357</v>
      </c>
      <c r="L14468" t="s">
        <v>1357</v>
      </c>
      <c r="N14468" t="s">
        <v>27525</v>
      </c>
    </row>
    <row r="14469" spans="1:14">
      <c r="A14469" t="s">
        <v>11139</v>
      </c>
      <c r="B14469">
        <f>HYPERLINK("https://android.googlesource.com/platform/cts/+/5f4a28a356ca2bc29ee2478db32a0818b16fe438", "5f4a28a356ca2bc29ee2478db32a0818b16fe438")</f>
        <v>0</v>
      </c>
      <c r="C14469">
        <f>HYPERLINK("https://android.googlesource.com/platform/cts/+/23b4ab34b38bf8e2052679da18ddcd3391898652", "23b4ab34b38bf8e2052679da18ddcd3391898652")</f>
        <v>0</v>
      </c>
      <c r="D14469" t="s">
        <v>12323</v>
      </c>
      <c r="E14469" t="s">
        <v>13666</v>
      </c>
      <c r="F14469" t="s">
        <v>16755</v>
      </c>
      <c r="G14469" t="s">
        <v>19384</v>
      </c>
      <c r="H14469" t="s">
        <v>24413</v>
      </c>
      <c r="I14469" t="s">
        <v>1358</v>
      </c>
      <c r="J14469" t="s">
        <v>1358</v>
      </c>
      <c r="K14469" t="s">
        <v>1358</v>
      </c>
      <c r="L14469" t="s">
        <v>1358</v>
      </c>
    </row>
    <row r="14470" spans="1:14">
      <c r="A14470" t="s">
        <v>11140</v>
      </c>
      <c r="B14470">
        <f>HYPERLINK("https://android.googlesource.com/platform/cts/+/fef7584fa028047d5aa222adb3f3c7d3e1916c57", "fef7584fa028047d5aa222adb3f3c7d3e1916c57")</f>
        <v>0</v>
      </c>
      <c r="C14470">
        <f>HYPERLINK("https://android.googlesource.com/platform/cts/+/761bf2d6da2b94d4df27f48550dbdb22be1228c4", "761bf2d6da2b94d4df27f48550dbdb22be1228c4")</f>
        <v>0</v>
      </c>
      <c r="D14470" t="s">
        <v>12324</v>
      </c>
      <c r="E14470" t="s">
        <v>13667</v>
      </c>
      <c r="F14470" t="s">
        <v>16756</v>
      </c>
      <c r="G14470" t="s">
        <v>19385</v>
      </c>
      <c r="H14470" t="s">
        <v>24414</v>
      </c>
      <c r="I14470" t="s">
        <v>1357</v>
      </c>
      <c r="J14470" t="s">
        <v>1357</v>
      </c>
      <c r="K14470" t="s">
        <v>1357</v>
      </c>
      <c r="L14470" t="s">
        <v>1357</v>
      </c>
    </row>
    <row r="14471" spans="1:14">
      <c r="A14471" t="s">
        <v>11141</v>
      </c>
      <c r="B14471">
        <f>HYPERLINK("https://android.googlesource.com/platform/cts/+/1f2db5ed9dff046bd69fc55f82e6361e2140dd26", "1f2db5ed9dff046bd69fc55f82e6361e2140dd26")</f>
        <v>0</v>
      </c>
      <c r="C14471">
        <f>HYPERLINK("https://android.googlesource.com/platform/cts/+/a31f33f7260b9d7260fd9a92e641e862dbdb7918", "a31f33f7260b9d7260fd9a92e641e862dbdb7918")</f>
        <v>0</v>
      </c>
      <c r="D14471" t="s">
        <v>12324</v>
      </c>
      <c r="E14471" t="s">
        <v>13668</v>
      </c>
      <c r="F14471" t="s">
        <v>16756</v>
      </c>
      <c r="G14471" t="s">
        <v>19385</v>
      </c>
      <c r="H14471" t="s">
        <v>24414</v>
      </c>
      <c r="I14471" t="s">
        <v>1357</v>
      </c>
      <c r="J14471" t="s">
        <v>1357</v>
      </c>
      <c r="K14471" t="s">
        <v>1357</v>
      </c>
      <c r="L14471" t="s">
        <v>1357</v>
      </c>
      <c r="M14471" t="s">
        <v>27476</v>
      </c>
    </row>
    <row r="14472" spans="1:14">
      <c r="A14472" t="s">
        <v>11142</v>
      </c>
      <c r="B14472">
        <f>HYPERLINK("https://android.googlesource.com/platform/cts/+/279f26e78dc11f05c591f8bbc1f6f1bee5554429", "279f26e78dc11f05c591f8bbc1f6f1bee5554429")</f>
        <v>0</v>
      </c>
      <c r="C14472">
        <f>HYPERLINK("https://android.googlesource.com/platform/cts/+/f85b67b60ad157d1d09801834f33f3692e48d7a9", "f85b67b60ad157d1d09801834f33f3692e48d7a9")</f>
        <v>0</v>
      </c>
      <c r="D14472" t="s">
        <v>12323</v>
      </c>
      <c r="E14472" t="s">
        <v>13669</v>
      </c>
      <c r="F14472" t="s">
        <v>16757</v>
      </c>
      <c r="G14472" t="s">
        <v>19386</v>
      </c>
      <c r="H14472" t="s">
        <v>24415</v>
      </c>
      <c r="I14472" t="s">
        <v>1358</v>
      </c>
      <c r="J14472" t="s">
        <v>1358</v>
      </c>
      <c r="K14472" t="s">
        <v>1358</v>
      </c>
      <c r="L14472" t="s">
        <v>1358</v>
      </c>
      <c r="N14472" t="s">
        <v>27526</v>
      </c>
    </row>
    <row r="14473" spans="1:14">
      <c r="F14473" t="s">
        <v>16758</v>
      </c>
      <c r="G14473" t="s">
        <v>19387</v>
      </c>
      <c r="H14473" t="s">
        <v>24415</v>
      </c>
      <c r="I14473" t="s">
        <v>1359</v>
      </c>
      <c r="J14473" t="s">
        <v>1357</v>
      </c>
      <c r="K14473" t="s">
        <v>1358</v>
      </c>
      <c r="L14473" t="s">
        <v>1357</v>
      </c>
    </row>
    <row r="14474" spans="1:14">
      <c r="F14474" t="s">
        <v>16759</v>
      </c>
      <c r="G14474" t="s">
        <v>19388</v>
      </c>
      <c r="H14474" t="s">
        <v>24415</v>
      </c>
      <c r="I14474" t="s">
        <v>1359</v>
      </c>
      <c r="J14474" t="s">
        <v>1357</v>
      </c>
      <c r="K14474" t="s">
        <v>1358</v>
      </c>
      <c r="L14474" t="s">
        <v>1357</v>
      </c>
    </row>
    <row r="14475" spans="1:14">
      <c r="F14475" t="s">
        <v>16760</v>
      </c>
      <c r="G14475" t="s">
        <v>19389</v>
      </c>
      <c r="H14475" t="s">
        <v>24415</v>
      </c>
      <c r="I14475" t="s">
        <v>1359</v>
      </c>
      <c r="J14475" t="s">
        <v>1357</v>
      </c>
      <c r="K14475" t="s">
        <v>1358</v>
      </c>
      <c r="L14475" t="s">
        <v>1357</v>
      </c>
    </row>
    <row r="14476" spans="1:14">
      <c r="F14476" t="s">
        <v>16761</v>
      </c>
      <c r="G14476" t="s">
        <v>19390</v>
      </c>
      <c r="H14476" t="s">
        <v>24415</v>
      </c>
      <c r="I14476" t="s">
        <v>1359</v>
      </c>
      <c r="J14476" t="s">
        <v>1357</v>
      </c>
      <c r="K14476" t="s">
        <v>1358</v>
      </c>
      <c r="L14476" t="s">
        <v>1357</v>
      </c>
    </row>
    <row r="14477" spans="1:14">
      <c r="F14477" t="s">
        <v>16755</v>
      </c>
      <c r="G14477" t="s">
        <v>19384</v>
      </c>
      <c r="H14477" t="s">
        <v>24415</v>
      </c>
      <c r="I14477" t="s">
        <v>1359</v>
      </c>
      <c r="J14477" t="s">
        <v>1357</v>
      </c>
      <c r="K14477" t="s">
        <v>1358</v>
      </c>
      <c r="L14477" t="s">
        <v>1357</v>
      </c>
    </row>
    <row r="14478" spans="1:14">
      <c r="A14478" t="s">
        <v>11143</v>
      </c>
      <c r="B14478">
        <f>HYPERLINK("https://android.googlesource.com/platform/cts/+/0da7aa9941bb3368ec3c5d5bf3e6bcd11de57f0a", "0da7aa9941bb3368ec3c5d5bf3e6bcd11de57f0a")</f>
        <v>0</v>
      </c>
      <c r="C14478">
        <f>HYPERLINK("https://android.googlesource.com/platform/cts/+/74bf542d086ffe30c341359d9e3069fa0cf98e3f", "74bf542d086ffe30c341359d9e3069fa0cf98e3f")</f>
        <v>0</v>
      </c>
      <c r="D14478" t="s">
        <v>12325</v>
      </c>
      <c r="E14478" t="s">
        <v>13670</v>
      </c>
      <c r="F14478" t="s">
        <v>16762</v>
      </c>
      <c r="G14478" t="s">
        <v>19391</v>
      </c>
      <c r="H14478" t="s">
        <v>24416</v>
      </c>
      <c r="I14478" t="s">
        <v>1357</v>
      </c>
      <c r="J14478" t="s">
        <v>1357</v>
      </c>
      <c r="K14478" t="s">
        <v>1357</v>
      </c>
      <c r="L14478" t="s">
        <v>1357</v>
      </c>
    </row>
    <row r="14479" spans="1:14">
      <c r="A14479" t="s">
        <v>11144</v>
      </c>
      <c r="B14479">
        <f>HYPERLINK("https://android.googlesource.com/platform/cts/+/f685f12977e5592dbe5240231901b58cf2defe01", "f685f12977e5592dbe5240231901b58cf2defe01")</f>
        <v>0</v>
      </c>
      <c r="C14479">
        <f>HYPERLINK("https://android.googlesource.com/platform/cts/+/9075ef4ed2ab57df6b703603007a52fe5a9e5e5c", "9075ef4ed2ab57df6b703603007a52fe5a9e5e5c")</f>
        <v>0</v>
      </c>
      <c r="D14479" t="s">
        <v>12322</v>
      </c>
      <c r="E14479" t="s">
        <v>13671</v>
      </c>
      <c r="F14479" t="s">
        <v>16752</v>
      </c>
      <c r="G14479" t="s">
        <v>19381</v>
      </c>
      <c r="H14479" t="s">
        <v>24412</v>
      </c>
      <c r="I14479" t="s">
        <v>1357</v>
      </c>
      <c r="J14479" t="s">
        <v>1357</v>
      </c>
      <c r="K14479" t="s">
        <v>1357</v>
      </c>
      <c r="L14479" t="s">
        <v>1357</v>
      </c>
      <c r="M14479" t="s">
        <v>27476</v>
      </c>
    </row>
    <row r="14480" spans="1:14">
      <c r="F14480" t="s">
        <v>16753</v>
      </c>
      <c r="G14480" t="s">
        <v>19382</v>
      </c>
      <c r="H14480" t="s">
        <v>24412</v>
      </c>
      <c r="I14480" t="s">
        <v>1357</v>
      </c>
      <c r="J14480" t="s">
        <v>1357</v>
      </c>
      <c r="K14480" t="s">
        <v>1357</v>
      </c>
      <c r="L14480" t="s">
        <v>1357</v>
      </c>
    </row>
    <row r="14481" spans="1:12">
      <c r="F14481" t="s">
        <v>16754</v>
      </c>
      <c r="G14481" t="s">
        <v>19383</v>
      </c>
      <c r="H14481" t="s">
        <v>24412</v>
      </c>
      <c r="I14481" t="s">
        <v>1357</v>
      </c>
      <c r="J14481" t="s">
        <v>1357</v>
      </c>
      <c r="K14481" t="s">
        <v>1357</v>
      </c>
      <c r="L14481" t="s">
        <v>1357</v>
      </c>
    </row>
    <row r="14482" spans="1:12">
      <c r="A14482" t="s">
        <v>11145</v>
      </c>
      <c r="B14482">
        <f>HYPERLINK("https://android.googlesource.com/platform/cts/+/ce892aaa4d83d250a5eedbd119a15aff73be2377", "ce892aaa4d83d250a5eedbd119a15aff73be2377")</f>
        <v>0</v>
      </c>
      <c r="C14482">
        <f>HYPERLINK("https://android.googlesource.com/platform/cts/+/e8184b2136de41c44b12742ff7a8aa597c75050b", "e8184b2136de41c44b12742ff7a8aa597c75050b")</f>
        <v>0</v>
      </c>
      <c r="D14482" t="s">
        <v>12270</v>
      </c>
      <c r="E14482" t="s">
        <v>13672</v>
      </c>
      <c r="F14482" t="s">
        <v>16763</v>
      </c>
      <c r="G14482" t="s">
        <v>19360</v>
      </c>
      <c r="H14482" t="s">
        <v>24417</v>
      </c>
      <c r="I14482" t="s">
        <v>1357</v>
      </c>
      <c r="J14482" t="s">
        <v>1357</v>
      </c>
      <c r="K14482" t="s">
        <v>1357</v>
      </c>
      <c r="L14482" t="s">
        <v>1357</v>
      </c>
    </row>
    <row r="14483" spans="1:12">
      <c r="F14483" t="s">
        <v>16764</v>
      </c>
      <c r="G14483" t="s">
        <v>19392</v>
      </c>
      <c r="H14483" t="s">
        <v>19948</v>
      </c>
      <c r="I14483" t="s">
        <v>1357</v>
      </c>
      <c r="J14483" t="s">
        <v>1357</v>
      </c>
      <c r="K14483" t="s">
        <v>1357</v>
      </c>
      <c r="L14483" t="s">
        <v>1357</v>
      </c>
    </row>
    <row r="14484" spans="1:12">
      <c r="H14484" t="s">
        <v>19890</v>
      </c>
      <c r="I14484" t="s">
        <v>1357</v>
      </c>
      <c r="J14484" t="s">
        <v>1357</v>
      </c>
      <c r="K14484" t="s">
        <v>1357</v>
      </c>
      <c r="L14484" t="s">
        <v>1357</v>
      </c>
    </row>
    <row r="14485" spans="1:12">
      <c r="F14485" t="s">
        <v>16765</v>
      </c>
      <c r="G14485" t="s">
        <v>19393</v>
      </c>
      <c r="H14485" t="s">
        <v>19948</v>
      </c>
      <c r="I14485" t="s">
        <v>1357</v>
      </c>
      <c r="J14485" t="s">
        <v>1357</v>
      </c>
      <c r="K14485" t="s">
        <v>1357</v>
      </c>
      <c r="L14485" t="s">
        <v>1357</v>
      </c>
    </row>
    <row r="14486" spans="1:12">
      <c r="H14486" t="s">
        <v>19890</v>
      </c>
      <c r="I14486" t="s">
        <v>1357</v>
      </c>
      <c r="J14486" t="s">
        <v>1357</v>
      </c>
      <c r="K14486" t="s">
        <v>1357</v>
      </c>
      <c r="L14486" t="s">
        <v>1357</v>
      </c>
    </row>
    <row r="14487" spans="1:12">
      <c r="F14487" t="s">
        <v>16766</v>
      </c>
      <c r="G14487" t="s">
        <v>19394</v>
      </c>
      <c r="H14487" t="s">
        <v>19948</v>
      </c>
      <c r="I14487" t="s">
        <v>1357</v>
      </c>
      <c r="J14487" t="s">
        <v>1357</v>
      </c>
      <c r="K14487" t="s">
        <v>1357</v>
      </c>
      <c r="L14487" t="s">
        <v>1357</v>
      </c>
    </row>
    <row r="14488" spans="1:12">
      <c r="H14488" t="s">
        <v>19890</v>
      </c>
      <c r="I14488" t="s">
        <v>1357</v>
      </c>
      <c r="J14488" t="s">
        <v>1357</v>
      </c>
      <c r="K14488" t="s">
        <v>1357</v>
      </c>
      <c r="L14488" t="s">
        <v>1357</v>
      </c>
    </row>
    <row r="14489" spans="1:12">
      <c r="F14489" t="s">
        <v>16767</v>
      </c>
      <c r="G14489" t="s">
        <v>19395</v>
      </c>
      <c r="H14489" t="s">
        <v>24418</v>
      </c>
      <c r="I14489" t="s">
        <v>1357</v>
      </c>
      <c r="J14489" t="s">
        <v>1357</v>
      </c>
      <c r="K14489" t="s">
        <v>1357</v>
      </c>
      <c r="L14489" t="s">
        <v>1357</v>
      </c>
    </row>
    <row r="14490" spans="1:12">
      <c r="H14490" t="s">
        <v>24419</v>
      </c>
      <c r="I14490" t="s">
        <v>1357</v>
      </c>
      <c r="J14490" t="s">
        <v>1357</v>
      </c>
      <c r="K14490" t="s">
        <v>1357</v>
      </c>
      <c r="L14490" t="s">
        <v>1357</v>
      </c>
    </row>
    <row r="14491" spans="1:12">
      <c r="F14491" t="s">
        <v>16768</v>
      </c>
      <c r="G14491" t="s">
        <v>19294</v>
      </c>
      <c r="H14491" t="s">
        <v>24420</v>
      </c>
      <c r="I14491" t="s">
        <v>1358</v>
      </c>
      <c r="J14491" t="s">
        <v>1358</v>
      </c>
      <c r="K14491" t="s">
        <v>1358</v>
      </c>
      <c r="L14491" t="s">
        <v>1358</v>
      </c>
    </row>
    <row r="14492" spans="1:12">
      <c r="A14492" t="s">
        <v>11146</v>
      </c>
      <c r="B14492">
        <f>HYPERLINK("https://android.googlesource.com/platform/cts/+/368c7a56f927a6e1e33845d1f728893ab094f4b9", "368c7a56f927a6e1e33845d1f728893ab094f4b9")</f>
        <v>0</v>
      </c>
      <c r="C14492">
        <f>HYPERLINK("https://android.googlesource.com/platform/cts/+/7e9b78c0ebb5444e42ec708d0c95cd82c8576f51", "7e9b78c0ebb5444e42ec708d0c95cd82c8576f51")</f>
        <v>0</v>
      </c>
      <c r="D14492" t="s">
        <v>12234</v>
      </c>
      <c r="E14492" t="s">
        <v>13673</v>
      </c>
      <c r="F14492" t="s">
        <v>16769</v>
      </c>
      <c r="G14492" t="s">
        <v>19396</v>
      </c>
      <c r="H14492" t="s">
        <v>24421</v>
      </c>
      <c r="I14492" t="s">
        <v>1357</v>
      </c>
      <c r="J14492" t="s">
        <v>1357</v>
      </c>
      <c r="K14492" t="s">
        <v>1357</v>
      </c>
      <c r="L14492" t="s">
        <v>1357</v>
      </c>
    </row>
    <row r="14493" spans="1:12">
      <c r="H14493" t="s">
        <v>24422</v>
      </c>
      <c r="I14493" t="s">
        <v>1357</v>
      </c>
      <c r="J14493" t="s">
        <v>1357</v>
      </c>
      <c r="K14493" t="s">
        <v>1357</v>
      </c>
      <c r="L14493" t="s">
        <v>1357</v>
      </c>
    </row>
    <row r="14494" spans="1:12">
      <c r="H14494" t="s">
        <v>24423</v>
      </c>
      <c r="I14494" t="s">
        <v>1357</v>
      </c>
      <c r="J14494" t="s">
        <v>1357</v>
      </c>
      <c r="K14494" t="s">
        <v>1357</v>
      </c>
      <c r="L14494" t="s">
        <v>1357</v>
      </c>
    </row>
    <row r="14495" spans="1:12">
      <c r="H14495" t="s">
        <v>24424</v>
      </c>
      <c r="I14495" t="s">
        <v>1357</v>
      </c>
      <c r="J14495" t="s">
        <v>1357</v>
      </c>
      <c r="K14495" t="s">
        <v>1357</v>
      </c>
      <c r="L14495" t="s">
        <v>1357</v>
      </c>
    </row>
    <row r="14496" spans="1:12">
      <c r="A14496" t="s">
        <v>11147</v>
      </c>
      <c r="B14496">
        <f>HYPERLINK("https://android.googlesource.com/platform/cts/+/4540ec7024bb8f78eea794aed3479b5b2ce570a1", "4540ec7024bb8f78eea794aed3479b5b2ce570a1")</f>
        <v>0</v>
      </c>
      <c r="C14496">
        <f>HYPERLINK("https://android.googlesource.com/platform/cts/+/a90feddf8960947e26694eaaa5e40abb296b52cf", "a90feddf8960947e26694eaaa5e40abb296b52cf")</f>
        <v>0</v>
      </c>
      <c r="D14496" t="s">
        <v>12288</v>
      </c>
      <c r="E14496" t="s">
        <v>13674</v>
      </c>
      <c r="F14496" t="s">
        <v>16770</v>
      </c>
      <c r="G14496" t="s">
        <v>18790</v>
      </c>
      <c r="H14496" t="s">
        <v>24425</v>
      </c>
      <c r="I14496" t="s">
        <v>1357</v>
      </c>
      <c r="J14496" t="s">
        <v>1357</v>
      </c>
      <c r="K14496" t="s">
        <v>1357</v>
      </c>
      <c r="L14496" t="s">
        <v>1357</v>
      </c>
    </row>
    <row r="14497" spans="1:12">
      <c r="H14497" t="s">
        <v>24426</v>
      </c>
      <c r="I14497" t="s">
        <v>1357</v>
      </c>
      <c r="J14497" t="s">
        <v>1357</v>
      </c>
      <c r="K14497" t="s">
        <v>1357</v>
      </c>
      <c r="L14497" t="s">
        <v>1357</v>
      </c>
    </row>
    <row r="14498" spans="1:12">
      <c r="H14498" t="s">
        <v>24427</v>
      </c>
      <c r="I14498" t="s">
        <v>1357</v>
      </c>
      <c r="J14498" t="s">
        <v>1357</v>
      </c>
      <c r="K14498" t="s">
        <v>1357</v>
      </c>
      <c r="L14498" t="s">
        <v>1357</v>
      </c>
    </row>
    <row r="14499" spans="1:12">
      <c r="A14499" t="s">
        <v>11148</v>
      </c>
      <c r="B14499">
        <f>HYPERLINK("https://android.googlesource.com/platform/cts/+/93ed14bc14f4762e6d4c357a8db653d0bbc602f4", "93ed14bc14f4762e6d4c357a8db653d0bbc602f4")</f>
        <v>0</v>
      </c>
      <c r="C14499">
        <f>HYPERLINK("https://android.googlesource.com/platform/cts/+/4540ec7024bb8f78eea794aed3479b5b2ce570a1", "4540ec7024bb8f78eea794aed3479b5b2ce570a1")</f>
        <v>0</v>
      </c>
      <c r="D14499" t="s">
        <v>12288</v>
      </c>
      <c r="E14499" t="s">
        <v>13675</v>
      </c>
      <c r="F14499" t="s">
        <v>16770</v>
      </c>
      <c r="G14499" t="s">
        <v>18790</v>
      </c>
      <c r="H14499" t="s">
        <v>24428</v>
      </c>
      <c r="I14499" t="s">
        <v>1357</v>
      </c>
      <c r="J14499" t="s">
        <v>1357</v>
      </c>
      <c r="K14499" t="s">
        <v>1357</v>
      </c>
      <c r="L14499" t="s">
        <v>1357</v>
      </c>
    </row>
    <row r="14500" spans="1:12">
      <c r="H14500" t="s">
        <v>24429</v>
      </c>
      <c r="I14500" t="s">
        <v>1357</v>
      </c>
      <c r="J14500" t="s">
        <v>1357</v>
      </c>
      <c r="K14500" t="s">
        <v>1357</v>
      </c>
      <c r="L14500" t="s">
        <v>1357</v>
      </c>
    </row>
    <row r="14501" spans="1:12">
      <c r="A14501" t="s">
        <v>11148</v>
      </c>
      <c r="B14501">
        <f>HYPERLINK("https://android.googlesource.com/platform/cts/+/5f5dd1661e0c6beb1f169513fa230cc37c59b200", "5f5dd1661e0c6beb1f169513fa230cc37c59b200")</f>
        <v>0</v>
      </c>
      <c r="C14501">
        <f>HYPERLINK("https://android.googlesource.com/platform/cts/+/93ed14bc14f4762e6d4c357a8db653d0bbc602f4", "93ed14bc14f4762e6d4c357a8db653d0bbc602f4")</f>
        <v>0</v>
      </c>
      <c r="D14501" t="s">
        <v>12288</v>
      </c>
      <c r="E14501" t="s">
        <v>13676</v>
      </c>
      <c r="F14501" t="s">
        <v>16770</v>
      </c>
      <c r="G14501" t="s">
        <v>18790</v>
      </c>
      <c r="H14501" t="s">
        <v>24430</v>
      </c>
      <c r="I14501" t="s">
        <v>1357</v>
      </c>
      <c r="J14501" t="s">
        <v>1357</v>
      </c>
      <c r="K14501" t="s">
        <v>1357</v>
      </c>
      <c r="L14501" t="s">
        <v>1357</v>
      </c>
    </row>
    <row r="14502" spans="1:12">
      <c r="A14502" t="s">
        <v>11149</v>
      </c>
      <c r="B14502">
        <f>HYPERLINK("https://android.googlesource.com/platform/cts/+/164b864e6c367c434c3d3e0c1ae888d199f42d43", "164b864e6c367c434c3d3e0c1ae888d199f42d43")</f>
        <v>0</v>
      </c>
      <c r="C14502">
        <f>HYPERLINK("https://android.googlesource.com/platform/cts/+/2210f52e0614cc1bc6c345998589d929d4e56a9c", "2210f52e0614cc1bc6c345998589d929d4e56a9c")</f>
        <v>0</v>
      </c>
      <c r="D14502" t="s">
        <v>12326</v>
      </c>
      <c r="E14502" t="s">
        <v>13677</v>
      </c>
      <c r="F14502" t="s">
        <v>16769</v>
      </c>
      <c r="G14502" t="s">
        <v>19396</v>
      </c>
      <c r="H14502" t="s">
        <v>24431</v>
      </c>
      <c r="I14502" t="s">
        <v>1358</v>
      </c>
      <c r="J14502" t="s">
        <v>1358</v>
      </c>
      <c r="K14502" t="s">
        <v>1358</v>
      </c>
      <c r="L14502" t="s">
        <v>1358</v>
      </c>
    </row>
    <row r="14503" spans="1:12">
      <c r="A14503" t="s">
        <v>11150</v>
      </c>
      <c r="B14503">
        <f>HYPERLINK("https://android.googlesource.com/platform/cts/+/96a08228dfe44ae0a2f57bdb2fffdd66bd6ff2c1", "96a08228dfe44ae0a2f57bdb2fffdd66bd6ff2c1")</f>
        <v>0</v>
      </c>
      <c r="C14503">
        <f>HYPERLINK("https://android.googlesource.com/platform/cts/+/0e5404856409e0c482f988fb7a1e3dedc2c66ef2", "0e5404856409e0c482f988fb7a1e3dedc2c66ef2")</f>
        <v>0</v>
      </c>
      <c r="D14503" t="s">
        <v>12290</v>
      </c>
      <c r="E14503" t="s">
        <v>13678</v>
      </c>
      <c r="F14503" t="s">
        <v>16656</v>
      </c>
      <c r="G14503" t="s">
        <v>19290</v>
      </c>
      <c r="H14503" t="s">
        <v>24432</v>
      </c>
      <c r="I14503" t="s">
        <v>1357</v>
      </c>
      <c r="J14503" t="s">
        <v>1357</v>
      </c>
      <c r="K14503" t="s">
        <v>1357</v>
      </c>
      <c r="L14503" t="s">
        <v>1357</v>
      </c>
    </row>
    <row r="14504" spans="1:12">
      <c r="A14504" t="s">
        <v>11151</v>
      </c>
      <c r="B14504">
        <f>HYPERLINK("https://android.googlesource.com/platform/cts/+/f5bdd8a3b5e3dd8e6edf436339de2d52bfccfafa", "f5bdd8a3b5e3dd8e6edf436339de2d52bfccfafa")</f>
        <v>0</v>
      </c>
      <c r="C14504">
        <f>HYPERLINK("https://android.googlesource.com/platform/cts/+/3086fe22a436579d3c3afb110df556f371402344", "3086fe22a436579d3c3afb110df556f371402344")</f>
        <v>0</v>
      </c>
      <c r="D14504" t="s">
        <v>12316</v>
      </c>
      <c r="E14504" t="s">
        <v>13679</v>
      </c>
      <c r="F14504" t="s">
        <v>16682</v>
      </c>
      <c r="G14504" t="s">
        <v>19314</v>
      </c>
      <c r="H14504" t="s">
        <v>24433</v>
      </c>
      <c r="I14504" t="s">
        <v>1357</v>
      </c>
      <c r="J14504" t="s">
        <v>1357</v>
      </c>
      <c r="K14504" t="s">
        <v>1357</v>
      </c>
      <c r="L14504" t="s">
        <v>1357</v>
      </c>
    </row>
    <row r="14505" spans="1:12">
      <c r="F14505" t="s">
        <v>16151</v>
      </c>
      <c r="G14505" t="s">
        <v>18832</v>
      </c>
      <c r="H14505" t="s">
        <v>24433</v>
      </c>
      <c r="I14505" t="s">
        <v>1357</v>
      </c>
      <c r="J14505" t="s">
        <v>1357</v>
      </c>
      <c r="K14505" t="s">
        <v>1357</v>
      </c>
      <c r="L14505" t="s">
        <v>1357</v>
      </c>
    </row>
    <row r="14506" spans="1:12">
      <c r="A14506" t="s">
        <v>11152</v>
      </c>
      <c r="B14506">
        <f>HYPERLINK("https://android.googlesource.com/platform/cts/+/c4e84de7d118ee1600dbbc8421237553938d8a55", "c4e84de7d118ee1600dbbc8421237553938d8a55")</f>
        <v>0</v>
      </c>
      <c r="C14506">
        <f>HYPERLINK("https://android.googlesource.com/platform/cts/+/201ad6d6154b91fb4ae6daf0c231474f10b30f4c", "201ad6d6154b91fb4ae6daf0c231474f10b30f4c")</f>
        <v>0</v>
      </c>
      <c r="D14506" t="s">
        <v>12327</v>
      </c>
      <c r="E14506" t="s">
        <v>13680</v>
      </c>
      <c r="F14506" t="s">
        <v>16771</v>
      </c>
      <c r="G14506" t="s">
        <v>19397</v>
      </c>
      <c r="H14506" t="s">
        <v>24434</v>
      </c>
      <c r="I14506" t="s">
        <v>1357</v>
      </c>
      <c r="J14506" t="s">
        <v>1357</v>
      </c>
      <c r="K14506" t="s">
        <v>1357</v>
      </c>
      <c r="L14506" t="s">
        <v>1357</v>
      </c>
    </row>
    <row r="14507" spans="1:12">
      <c r="H14507" t="s">
        <v>24435</v>
      </c>
      <c r="I14507" t="s">
        <v>1358</v>
      </c>
      <c r="J14507" t="s">
        <v>1358</v>
      </c>
      <c r="K14507" t="s">
        <v>1358</v>
      </c>
      <c r="L14507" t="s">
        <v>1358</v>
      </c>
    </row>
    <row r="14508" spans="1:12">
      <c r="F14508" t="s">
        <v>16772</v>
      </c>
      <c r="G14508" t="s">
        <v>19397</v>
      </c>
      <c r="H14508" t="s">
        <v>24434</v>
      </c>
      <c r="I14508" t="s">
        <v>1357</v>
      </c>
      <c r="J14508" t="s">
        <v>1357</v>
      </c>
      <c r="K14508" t="s">
        <v>1357</v>
      </c>
      <c r="L14508" t="s">
        <v>1357</v>
      </c>
    </row>
    <row r="14509" spans="1:12">
      <c r="A14509" t="s">
        <v>11153</v>
      </c>
      <c r="B14509">
        <f>HYPERLINK("https://android.googlesource.com/platform/cts/+/0caeae2baf969a32e8cafc469170ea4388869767", "0caeae2baf969a32e8cafc469170ea4388869767")</f>
        <v>0</v>
      </c>
      <c r="C14509">
        <f>HYPERLINK("https://android.googlesource.com/platform/cts/+/29b8e9b36d1ebdc9255f0511d18c06d6d65ccc28", "29b8e9b36d1ebdc9255f0511d18c06d6d65ccc28")</f>
        <v>0</v>
      </c>
      <c r="D14509" t="s">
        <v>12322</v>
      </c>
      <c r="E14509" t="s">
        <v>13681</v>
      </c>
      <c r="F14509" t="s">
        <v>16773</v>
      </c>
      <c r="G14509" t="s">
        <v>19242</v>
      </c>
      <c r="H14509" t="s">
        <v>24436</v>
      </c>
      <c r="I14509" t="s">
        <v>1357</v>
      </c>
      <c r="J14509" t="s">
        <v>1357</v>
      </c>
      <c r="K14509" t="s">
        <v>1357</v>
      </c>
      <c r="L14509" t="s">
        <v>1357</v>
      </c>
    </row>
    <row r="14510" spans="1:12">
      <c r="H14510" t="s">
        <v>24437</v>
      </c>
      <c r="I14510" t="s">
        <v>1357</v>
      </c>
      <c r="J14510" t="s">
        <v>1357</v>
      </c>
      <c r="K14510" t="s">
        <v>1357</v>
      </c>
      <c r="L14510" t="s">
        <v>1357</v>
      </c>
    </row>
    <row r="14511" spans="1:12">
      <c r="F14511" t="s">
        <v>16774</v>
      </c>
      <c r="G14511" t="s">
        <v>19398</v>
      </c>
      <c r="H14511" t="s">
        <v>23128</v>
      </c>
      <c r="I14511" t="s">
        <v>1357</v>
      </c>
      <c r="J14511" t="s">
        <v>1357</v>
      </c>
      <c r="K14511" t="s">
        <v>1357</v>
      </c>
      <c r="L14511" t="s">
        <v>1357</v>
      </c>
    </row>
    <row r="14512" spans="1:12">
      <c r="H14512" t="s">
        <v>24438</v>
      </c>
      <c r="I14512" t="s">
        <v>1357</v>
      </c>
      <c r="J14512" t="s">
        <v>1357</v>
      </c>
      <c r="K14512" t="s">
        <v>1357</v>
      </c>
      <c r="L14512" t="s">
        <v>1357</v>
      </c>
    </row>
    <row r="14513" spans="1:12">
      <c r="A14513" t="s">
        <v>11154</v>
      </c>
      <c r="B14513">
        <f>HYPERLINK("https://android.googlesource.com/platform/cts/+/dc11e35a2483c8ab85b1b5921afa3b0e9d991069", "dc11e35a2483c8ab85b1b5921afa3b0e9d991069")</f>
        <v>0</v>
      </c>
      <c r="C14513">
        <f>HYPERLINK("https://android.googlesource.com/platform/cts/+/ccaa844b42e6918858ea4cbdb7c1831a9c5d6903", "ccaa844b42e6918858ea4cbdb7c1831a9c5d6903")</f>
        <v>0</v>
      </c>
      <c r="D14513" t="s">
        <v>12327</v>
      </c>
      <c r="E14513" t="s">
        <v>13682</v>
      </c>
      <c r="F14513" t="s">
        <v>16771</v>
      </c>
      <c r="G14513" t="s">
        <v>19397</v>
      </c>
      <c r="H14513" t="s">
        <v>24439</v>
      </c>
      <c r="I14513" t="s">
        <v>1357</v>
      </c>
      <c r="J14513" t="s">
        <v>1357</v>
      </c>
      <c r="K14513" t="s">
        <v>1357</v>
      </c>
      <c r="L14513" t="s">
        <v>1357</v>
      </c>
    </row>
    <row r="14514" spans="1:12">
      <c r="F14514" t="s">
        <v>16772</v>
      </c>
      <c r="G14514" t="s">
        <v>19397</v>
      </c>
      <c r="H14514" t="s">
        <v>24439</v>
      </c>
      <c r="I14514" t="s">
        <v>1357</v>
      </c>
      <c r="J14514" t="s">
        <v>1357</v>
      </c>
      <c r="K14514" t="s">
        <v>1357</v>
      </c>
      <c r="L14514" t="s">
        <v>1357</v>
      </c>
    </row>
    <row r="14515" spans="1:12">
      <c r="A14515" t="s">
        <v>11155</v>
      </c>
      <c r="B14515">
        <f>HYPERLINK("https://android.googlesource.com/platform/cts/+/e4829313d1cb6928486b39fd7e9244ba95515d67", "e4829313d1cb6928486b39fd7e9244ba95515d67")</f>
        <v>0</v>
      </c>
      <c r="C14515">
        <f>HYPERLINK("https://android.googlesource.com/platform/cts/+/074cbd5c0b442fcb96d330cf70c0428a3ed1e6cc", "074cbd5c0b442fcb96d330cf70c0428a3ed1e6cc")</f>
        <v>0</v>
      </c>
      <c r="D14515" t="s">
        <v>12327</v>
      </c>
      <c r="E14515" t="s">
        <v>13683</v>
      </c>
      <c r="F14515" t="s">
        <v>16771</v>
      </c>
      <c r="G14515" t="s">
        <v>19397</v>
      </c>
      <c r="H14515" t="s">
        <v>24440</v>
      </c>
      <c r="I14515" t="s">
        <v>1358</v>
      </c>
      <c r="J14515" t="s">
        <v>1358</v>
      </c>
      <c r="K14515" t="s">
        <v>1358</v>
      </c>
      <c r="L14515" t="s">
        <v>1358</v>
      </c>
    </row>
    <row r="14516" spans="1:12">
      <c r="F14516" t="s">
        <v>16772</v>
      </c>
      <c r="G14516" t="s">
        <v>19397</v>
      </c>
      <c r="H14516" t="s">
        <v>24440</v>
      </c>
      <c r="I14516" t="s">
        <v>1358</v>
      </c>
      <c r="J14516" t="s">
        <v>1358</v>
      </c>
      <c r="K14516" t="s">
        <v>1358</v>
      </c>
      <c r="L14516" t="s">
        <v>1358</v>
      </c>
    </row>
    <row r="14517" spans="1:12">
      <c r="A14517" t="s">
        <v>11156</v>
      </c>
      <c r="B14517">
        <f>HYPERLINK("https://android.googlesource.com/platform/cts/+/41c756a99a6ecd52c1f60e36d7858bef64c2572c", "41c756a99a6ecd52c1f60e36d7858bef64c2572c")</f>
        <v>0</v>
      </c>
      <c r="C14517">
        <f>HYPERLINK("https://android.googlesource.com/platform/cts/+/ae17b48e58f64dbe19d1761d5c40bd3861c61a0f", "ae17b48e58f64dbe19d1761d5c40bd3861c61a0f")</f>
        <v>0</v>
      </c>
      <c r="D14517" t="s">
        <v>12270</v>
      </c>
      <c r="E14517" t="s">
        <v>13684</v>
      </c>
      <c r="F14517" t="s">
        <v>16775</v>
      </c>
      <c r="G14517" t="s">
        <v>19399</v>
      </c>
      <c r="H14517" t="s">
        <v>19948</v>
      </c>
      <c r="I14517" t="s">
        <v>1357</v>
      </c>
      <c r="J14517" t="s">
        <v>1357</v>
      </c>
      <c r="K14517" t="s">
        <v>1357</v>
      </c>
      <c r="L14517" t="s">
        <v>1357</v>
      </c>
    </row>
    <row r="14518" spans="1:12">
      <c r="F14518" t="s">
        <v>16776</v>
      </c>
      <c r="G14518" t="s">
        <v>19400</v>
      </c>
      <c r="H14518" t="s">
        <v>19948</v>
      </c>
      <c r="I14518" t="s">
        <v>1357</v>
      </c>
      <c r="J14518" t="s">
        <v>1357</v>
      </c>
      <c r="K14518" t="s">
        <v>1357</v>
      </c>
      <c r="L14518" t="s">
        <v>1357</v>
      </c>
    </row>
    <row r="14519" spans="1:12">
      <c r="A14519" t="s">
        <v>11157</v>
      </c>
      <c r="B14519">
        <f>HYPERLINK("https://android.googlesource.com/platform/cts/+/40621887f3929c82c46735101a43651d127d1421", "40621887f3929c82c46735101a43651d127d1421")</f>
        <v>0</v>
      </c>
      <c r="C14519">
        <f>HYPERLINK("https://android.googlesource.com/platform/cts/+/a34b7f8d89ab991ecf9b628f2c71b9eb37a93b22", "a34b7f8d89ab991ecf9b628f2c71b9eb37a93b22")</f>
        <v>0</v>
      </c>
      <c r="D14519" t="s">
        <v>12163</v>
      </c>
      <c r="E14519" t="s">
        <v>13685</v>
      </c>
      <c r="F14519" t="s">
        <v>16777</v>
      </c>
      <c r="G14519" t="s">
        <v>19401</v>
      </c>
      <c r="H14519" t="s">
        <v>24441</v>
      </c>
      <c r="I14519" t="s">
        <v>1357</v>
      </c>
      <c r="J14519" t="s">
        <v>1357</v>
      </c>
      <c r="K14519" t="s">
        <v>1357</v>
      </c>
      <c r="L14519" t="s">
        <v>1357</v>
      </c>
    </row>
    <row r="14520" spans="1:12">
      <c r="F14520" t="s">
        <v>16778</v>
      </c>
      <c r="G14520" t="s">
        <v>19402</v>
      </c>
      <c r="H14520" t="s">
        <v>24442</v>
      </c>
      <c r="I14520" t="s">
        <v>1358</v>
      </c>
      <c r="J14520" t="s">
        <v>1358</v>
      </c>
      <c r="K14520" t="s">
        <v>1358</v>
      </c>
      <c r="L14520" t="s">
        <v>1358</v>
      </c>
    </row>
    <row r="14521" spans="1:12">
      <c r="F14521" t="s">
        <v>16779</v>
      </c>
      <c r="G14521" t="s">
        <v>19403</v>
      </c>
      <c r="H14521" t="s">
        <v>24443</v>
      </c>
      <c r="I14521" t="s">
        <v>1357</v>
      </c>
      <c r="J14521" t="s">
        <v>1357</v>
      </c>
      <c r="K14521" t="s">
        <v>1357</v>
      </c>
      <c r="L14521" t="s">
        <v>1357</v>
      </c>
    </row>
    <row r="14522" spans="1:12">
      <c r="H14522" t="s">
        <v>24444</v>
      </c>
      <c r="I14522" t="s">
        <v>1357</v>
      </c>
      <c r="J14522" t="s">
        <v>1357</v>
      </c>
      <c r="K14522" t="s">
        <v>1357</v>
      </c>
      <c r="L14522" t="s">
        <v>1357</v>
      </c>
    </row>
    <row r="14523" spans="1:12">
      <c r="H14523" t="s">
        <v>24445</v>
      </c>
      <c r="I14523" t="s">
        <v>1357</v>
      </c>
      <c r="J14523" t="s">
        <v>1357</v>
      </c>
      <c r="K14523" t="s">
        <v>1357</v>
      </c>
      <c r="L14523" t="s">
        <v>1357</v>
      </c>
    </row>
    <row r="14524" spans="1:12">
      <c r="H14524" t="s">
        <v>24446</v>
      </c>
      <c r="I14524" t="s">
        <v>1357</v>
      </c>
      <c r="J14524" t="s">
        <v>1357</v>
      </c>
      <c r="K14524" t="s">
        <v>1357</v>
      </c>
      <c r="L14524" t="s">
        <v>1357</v>
      </c>
    </row>
    <row r="14525" spans="1:12">
      <c r="H14525" t="s">
        <v>24447</v>
      </c>
      <c r="I14525" t="s">
        <v>1357</v>
      </c>
      <c r="J14525" t="s">
        <v>1357</v>
      </c>
      <c r="K14525" t="s">
        <v>1357</v>
      </c>
      <c r="L14525" t="s">
        <v>1357</v>
      </c>
    </row>
    <row r="14526" spans="1:12">
      <c r="H14526" t="s">
        <v>24448</v>
      </c>
      <c r="I14526" t="s">
        <v>1357</v>
      </c>
      <c r="J14526" t="s">
        <v>1357</v>
      </c>
      <c r="K14526" t="s">
        <v>1357</v>
      </c>
      <c r="L14526" t="s">
        <v>1357</v>
      </c>
    </row>
    <row r="14527" spans="1:12">
      <c r="H14527" t="s">
        <v>24449</v>
      </c>
      <c r="I14527" t="s">
        <v>1357</v>
      </c>
      <c r="J14527" t="s">
        <v>1357</v>
      </c>
      <c r="K14527" t="s">
        <v>1357</v>
      </c>
      <c r="L14527" t="s">
        <v>1357</v>
      </c>
    </row>
    <row r="14528" spans="1:12">
      <c r="H14528" t="s">
        <v>24450</v>
      </c>
      <c r="I14528" t="s">
        <v>1357</v>
      </c>
      <c r="J14528" t="s">
        <v>1357</v>
      </c>
      <c r="K14528" t="s">
        <v>1357</v>
      </c>
      <c r="L14528" t="s">
        <v>1357</v>
      </c>
    </row>
    <row r="14529" spans="1:13">
      <c r="H14529" t="s">
        <v>24451</v>
      </c>
      <c r="I14529" t="s">
        <v>1357</v>
      </c>
      <c r="J14529" t="s">
        <v>1357</v>
      </c>
      <c r="K14529" t="s">
        <v>1357</v>
      </c>
      <c r="L14529" t="s">
        <v>1357</v>
      </c>
    </row>
    <row r="14530" spans="1:13">
      <c r="H14530" t="s">
        <v>24452</v>
      </c>
      <c r="I14530" t="s">
        <v>1357</v>
      </c>
      <c r="J14530" t="s">
        <v>1357</v>
      </c>
      <c r="K14530" t="s">
        <v>1357</v>
      </c>
      <c r="L14530" t="s">
        <v>1357</v>
      </c>
    </row>
    <row r="14531" spans="1:13">
      <c r="F14531" t="s">
        <v>16780</v>
      </c>
      <c r="G14531" t="s">
        <v>19404</v>
      </c>
      <c r="H14531" t="s">
        <v>24453</v>
      </c>
      <c r="I14531" t="s">
        <v>1357</v>
      </c>
      <c r="J14531" t="s">
        <v>1357</v>
      </c>
      <c r="K14531" t="s">
        <v>1357</v>
      </c>
      <c r="L14531" t="s">
        <v>1357</v>
      </c>
    </row>
    <row r="14532" spans="1:13">
      <c r="H14532" t="s">
        <v>24454</v>
      </c>
      <c r="I14532" t="s">
        <v>1357</v>
      </c>
      <c r="J14532" t="s">
        <v>1357</v>
      </c>
      <c r="K14532" t="s">
        <v>1357</v>
      </c>
      <c r="L14532" t="s">
        <v>1357</v>
      </c>
    </row>
    <row r="14533" spans="1:13">
      <c r="H14533" t="s">
        <v>24455</v>
      </c>
      <c r="I14533" t="s">
        <v>1357</v>
      </c>
      <c r="J14533" t="s">
        <v>1357</v>
      </c>
      <c r="K14533" t="s">
        <v>1357</v>
      </c>
      <c r="L14533" t="s">
        <v>1357</v>
      </c>
    </row>
    <row r="14534" spans="1:13">
      <c r="F14534" t="s">
        <v>16144</v>
      </c>
      <c r="G14534" t="s">
        <v>18828</v>
      </c>
      <c r="H14534" t="s">
        <v>24442</v>
      </c>
      <c r="I14534" t="s">
        <v>1358</v>
      </c>
      <c r="J14534" t="s">
        <v>1358</v>
      </c>
      <c r="K14534" t="s">
        <v>1358</v>
      </c>
      <c r="L14534" t="s">
        <v>1358</v>
      </c>
    </row>
    <row r="14535" spans="1:13">
      <c r="H14535" t="s">
        <v>24456</v>
      </c>
      <c r="I14535" t="s">
        <v>1357</v>
      </c>
      <c r="J14535" t="s">
        <v>1357</v>
      </c>
      <c r="K14535" t="s">
        <v>1357</v>
      </c>
      <c r="L14535" t="s">
        <v>1357</v>
      </c>
    </row>
    <row r="14536" spans="1:13">
      <c r="A14536" t="s">
        <v>11158</v>
      </c>
      <c r="B14536">
        <f>HYPERLINK("https://android.googlesource.com/platform/cts/+/829fa71e109920ea7fdf23372f2c811fab897d80", "829fa71e109920ea7fdf23372f2c811fab897d80")</f>
        <v>0</v>
      </c>
      <c r="C14536">
        <f>HYPERLINK("https://android.googlesource.com/platform/cts/+/a34b7f8d89ab991ecf9b628f2c71b9eb37a93b22", "a34b7f8d89ab991ecf9b628f2c71b9eb37a93b22")</f>
        <v>0</v>
      </c>
      <c r="D14536" t="s">
        <v>12328</v>
      </c>
      <c r="E14536" t="s">
        <v>13686</v>
      </c>
      <c r="F14536" t="s">
        <v>16367</v>
      </c>
      <c r="G14536" t="s">
        <v>19036</v>
      </c>
      <c r="H14536" t="s">
        <v>24457</v>
      </c>
      <c r="I14536" t="s">
        <v>1359</v>
      </c>
      <c r="J14536" t="s">
        <v>1358</v>
      </c>
      <c r="K14536" t="s">
        <v>1357</v>
      </c>
      <c r="L14536" t="s">
        <v>1358</v>
      </c>
    </row>
    <row r="14537" spans="1:13">
      <c r="H14537" t="s">
        <v>24458</v>
      </c>
      <c r="I14537" t="s">
        <v>1359</v>
      </c>
      <c r="J14537" t="s">
        <v>1358</v>
      </c>
      <c r="K14537" t="s">
        <v>1357</v>
      </c>
      <c r="L14537" t="s">
        <v>1358</v>
      </c>
    </row>
    <row r="14538" spans="1:13">
      <c r="A14538" t="s">
        <v>11159</v>
      </c>
      <c r="B14538">
        <f>HYPERLINK("https://android.googlesource.com/platform/cts/+/1e1a31e7f0bc67fabb53dc5d9341c7eda190e787", "1e1a31e7f0bc67fabb53dc5d9341c7eda190e787")</f>
        <v>0</v>
      </c>
      <c r="C14538">
        <f>HYPERLINK("https://android.googlesource.com/platform/cts/+/47eafda86a3375a81e2a63b322bd90ecdde092d5", "47eafda86a3375a81e2a63b322bd90ecdde092d5")</f>
        <v>0</v>
      </c>
      <c r="D14538" t="s">
        <v>12212</v>
      </c>
      <c r="E14538" t="s">
        <v>13687</v>
      </c>
      <c r="F14538" t="s">
        <v>16781</v>
      </c>
      <c r="G14538" t="s">
        <v>19405</v>
      </c>
      <c r="H14538" t="s">
        <v>24459</v>
      </c>
      <c r="I14538" t="s">
        <v>1357</v>
      </c>
      <c r="J14538" t="s">
        <v>1357</v>
      </c>
      <c r="K14538" t="s">
        <v>1357</v>
      </c>
      <c r="L14538" t="s">
        <v>1357</v>
      </c>
    </row>
    <row r="14539" spans="1:13">
      <c r="A14539" t="s">
        <v>11160</v>
      </c>
      <c r="B14539">
        <f>HYPERLINK("https://android.googlesource.com/platform/cts/+/f8b30819712efaa487cad7327476d6b938bec752", "f8b30819712efaa487cad7327476d6b938bec752")</f>
        <v>0</v>
      </c>
      <c r="C14539">
        <f>HYPERLINK("https://android.googlesource.com/platform/cts/+/cc4048d7de8ca59f5d6ab5fe4530b078e5ef46f9", "cc4048d7de8ca59f5d6ab5fe4530b078e5ef46f9")</f>
        <v>0</v>
      </c>
      <c r="D14539" t="s">
        <v>12329</v>
      </c>
      <c r="E14539" t="s">
        <v>13688</v>
      </c>
      <c r="F14539" t="s">
        <v>16782</v>
      </c>
      <c r="G14539" t="s">
        <v>19406</v>
      </c>
      <c r="H14539" t="s">
        <v>8862</v>
      </c>
      <c r="I14539" t="s">
        <v>1358</v>
      </c>
      <c r="J14539" t="s">
        <v>1358</v>
      </c>
      <c r="K14539" t="s">
        <v>1358</v>
      </c>
      <c r="L14539" t="s">
        <v>1358</v>
      </c>
    </row>
    <row r="14540" spans="1:13">
      <c r="A14540" t="s">
        <v>11161</v>
      </c>
      <c r="B14540">
        <f>HYPERLINK("https://android.googlesource.com/platform/cts/+/9bad31458ed7cb58e2d71278d31523bd3ae74ecd", "9bad31458ed7cb58e2d71278d31523bd3ae74ecd")</f>
        <v>0</v>
      </c>
      <c r="C14540">
        <f>HYPERLINK("https://android.googlesource.com/platform/cts/+/065b522a42a06ae6be08139987de46d7bd90eacd", "065b522a42a06ae6be08139987de46d7bd90eacd")</f>
        <v>0</v>
      </c>
      <c r="D14540" t="s">
        <v>12187</v>
      </c>
      <c r="E14540" t="s">
        <v>13689</v>
      </c>
      <c r="F14540" t="s">
        <v>14580</v>
      </c>
      <c r="G14540" t="s">
        <v>17424</v>
      </c>
      <c r="H14540" t="s">
        <v>24460</v>
      </c>
      <c r="I14540" t="s">
        <v>1357</v>
      </c>
      <c r="J14540" t="s">
        <v>1357</v>
      </c>
      <c r="K14540" t="s">
        <v>1357</v>
      </c>
      <c r="L14540" t="s">
        <v>1357</v>
      </c>
    </row>
    <row r="14541" spans="1:13">
      <c r="A14541" t="s">
        <v>11162</v>
      </c>
      <c r="B14541">
        <f>HYPERLINK("https://android.googlesource.com/platform/cts/+/b3a63b7b0c18a577b4fcd3f126b1fc38c339ea9b", "b3a63b7b0c18a577b4fcd3f126b1fc38c339ea9b")</f>
        <v>0</v>
      </c>
      <c r="C14541">
        <f>HYPERLINK("https://android.googlesource.com/platform/cts/+/ce86bdf2f644be3fdc9c3b2fb824cea1bc86e2e7", "ce86bdf2f644be3fdc9c3b2fb824cea1bc86e2e7")</f>
        <v>0</v>
      </c>
      <c r="D14541" t="s">
        <v>12236</v>
      </c>
      <c r="E14541" t="s">
        <v>13690</v>
      </c>
      <c r="F14541" t="s">
        <v>16503</v>
      </c>
      <c r="G14541" t="s">
        <v>19161</v>
      </c>
      <c r="H14541" t="s">
        <v>24461</v>
      </c>
      <c r="I14541" t="s">
        <v>1358</v>
      </c>
      <c r="J14541" t="s">
        <v>1358</v>
      </c>
      <c r="K14541" t="s">
        <v>1358</v>
      </c>
      <c r="L14541" t="s">
        <v>1358</v>
      </c>
    </row>
    <row r="14542" spans="1:13">
      <c r="H14542" t="s">
        <v>24462</v>
      </c>
      <c r="I14542" t="s">
        <v>1358</v>
      </c>
      <c r="J14542" t="s">
        <v>1358</v>
      </c>
      <c r="K14542" t="s">
        <v>1358</v>
      </c>
      <c r="L14542" t="s">
        <v>1358</v>
      </c>
    </row>
    <row r="14543" spans="1:13">
      <c r="A14543" t="s">
        <v>11163</v>
      </c>
      <c r="B14543">
        <f>HYPERLINK("https://android.googlesource.com/platform/cts/+/f6afa8b2808f1642fb6a053057d797e3f93211aa", "f6afa8b2808f1642fb6a053057d797e3f93211aa")</f>
        <v>0</v>
      </c>
      <c r="C14543">
        <f>HYPERLINK("https://android.googlesource.com/platform/cts/+/e0d73a9fa033c23d4607bc2cfdd44cf1b647da0f", "e0d73a9fa033c23d4607bc2cfdd44cf1b647da0f")</f>
        <v>0</v>
      </c>
      <c r="D14543" t="s">
        <v>12212</v>
      </c>
      <c r="E14543" t="s">
        <v>13687</v>
      </c>
      <c r="F14543" t="s">
        <v>16781</v>
      </c>
      <c r="G14543" t="s">
        <v>19405</v>
      </c>
      <c r="H14543" t="s">
        <v>24459</v>
      </c>
      <c r="I14543" t="s">
        <v>1357</v>
      </c>
      <c r="J14543" t="s">
        <v>1357</v>
      </c>
      <c r="K14543" t="s">
        <v>1357</v>
      </c>
      <c r="L14543" t="s">
        <v>1357</v>
      </c>
    </row>
    <row r="14544" spans="1:13">
      <c r="A14544" t="s">
        <v>11164</v>
      </c>
      <c r="B14544">
        <f>HYPERLINK("https://android.googlesource.com/platform/cts/+/6072e3eedc80bac1ad6a94d707b1cd1dc601718c", "6072e3eedc80bac1ad6a94d707b1cd1dc601718c")</f>
        <v>0</v>
      </c>
      <c r="C14544">
        <f>HYPERLINK("https://android.googlesource.com/platform/cts/+/15e290fdc68d0240d484ff7b01b5e43ee54750da", "15e290fdc68d0240d484ff7b01b5e43ee54750da")</f>
        <v>0</v>
      </c>
      <c r="D14544" t="s">
        <v>12212</v>
      </c>
      <c r="E14544" t="s">
        <v>13691</v>
      </c>
      <c r="F14544" t="s">
        <v>16781</v>
      </c>
      <c r="G14544" t="s">
        <v>19405</v>
      </c>
      <c r="H14544" t="s">
        <v>24459</v>
      </c>
      <c r="I14544" t="s">
        <v>1357</v>
      </c>
      <c r="J14544" t="s">
        <v>1357</v>
      </c>
      <c r="K14544" t="s">
        <v>1357</v>
      </c>
      <c r="L14544" t="s">
        <v>1357</v>
      </c>
      <c r="M14544" t="s">
        <v>9957</v>
      </c>
    </row>
    <row r="14545" spans="1:14">
      <c r="A14545" t="s">
        <v>11165</v>
      </c>
      <c r="B14545">
        <f>HYPERLINK("https://android.googlesource.com/platform/cts/+/079ddf59a66f120524c2a995a3054e40dc1a7ddb", "079ddf59a66f120524c2a995a3054e40dc1a7ddb")</f>
        <v>0</v>
      </c>
      <c r="C14545">
        <f>HYPERLINK("https://android.googlesource.com/platform/cts/+/1df3ed083ed11ef4804e24bdba1f7ce331e5d694", "1df3ed083ed11ef4804e24bdba1f7ce331e5d694")</f>
        <v>0</v>
      </c>
      <c r="D14545" t="s">
        <v>12288</v>
      </c>
      <c r="E14545" t="s">
        <v>13692</v>
      </c>
      <c r="F14545" t="s">
        <v>16783</v>
      </c>
      <c r="G14545" t="s">
        <v>19308</v>
      </c>
      <c r="H14545" t="s">
        <v>24463</v>
      </c>
      <c r="I14545" t="s">
        <v>1357</v>
      </c>
      <c r="J14545" t="s">
        <v>1357</v>
      </c>
      <c r="K14545" t="s">
        <v>1357</v>
      </c>
      <c r="L14545" t="s">
        <v>1357</v>
      </c>
    </row>
    <row r="14546" spans="1:14">
      <c r="A14546" t="s">
        <v>11166</v>
      </c>
      <c r="B14546">
        <f>HYPERLINK("https://android.googlesource.com/platform/cts/+/97ba1fd294dc10243bab961a86d8797776e3df07", "97ba1fd294dc10243bab961a86d8797776e3df07")</f>
        <v>0</v>
      </c>
      <c r="C14546">
        <f>HYPERLINK("https://android.googlesource.com/platform/cts/+/9b80b4d375bd8413fd6a8a398de2c6f560654f81", "9b80b4d375bd8413fd6a8a398de2c6f560654f81")</f>
        <v>0</v>
      </c>
      <c r="D14546" t="s">
        <v>12259</v>
      </c>
      <c r="E14546" t="s">
        <v>13693</v>
      </c>
      <c r="F14546" t="s">
        <v>14488</v>
      </c>
      <c r="G14546" t="s">
        <v>17334</v>
      </c>
      <c r="H14546" t="s">
        <v>24464</v>
      </c>
      <c r="I14546" t="s">
        <v>1357</v>
      </c>
      <c r="J14546" t="s">
        <v>1357</v>
      </c>
      <c r="K14546" t="s">
        <v>1357</v>
      </c>
      <c r="L14546" t="s">
        <v>1357</v>
      </c>
    </row>
    <row r="14547" spans="1:14">
      <c r="A14547" t="s">
        <v>11167</v>
      </c>
      <c r="B14547">
        <f>HYPERLINK("https://android.googlesource.com/platform/cts/+/f1d56c965d717710a927c2cad9231d7b1757a1e0", "f1d56c965d717710a927c2cad9231d7b1757a1e0")</f>
        <v>0</v>
      </c>
      <c r="C14547">
        <f>HYPERLINK("https://android.googlesource.com/platform/cts/+/0019895272bf9405e7f99f696fe7bedb1b7c07cb", "0019895272bf9405e7f99f696fe7bedb1b7c07cb")</f>
        <v>0</v>
      </c>
      <c r="D14547" t="s">
        <v>12330</v>
      </c>
      <c r="E14547" t="s">
        <v>13694</v>
      </c>
      <c r="F14547" t="s">
        <v>16745</v>
      </c>
      <c r="G14547" t="s">
        <v>19374</v>
      </c>
      <c r="H14547" t="s">
        <v>24465</v>
      </c>
      <c r="I14547" t="s">
        <v>1357</v>
      </c>
      <c r="J14547" t="s">
        <v>1357</v>
      </c>
      <c r="K14547" t="s">
        <v>1357</v>
      </c>
      <c r="L14547" t="s">
        <v>1357</v>
      </c>
    </row>
    <row r="14548" spans="1:14">
      <c r="A14548" t="s">
        <v>11168</v>
      </c>
      <c r="B14548">
        <f>HYPERLINK("https://android.googlesource.com/platform/cts/+/b442b5177076b711de4f61c385716fc7f79a02cf", "b442b5177076b711de4f61c385716fc7f79a02cf")</f>
        <v>0</v>
      </c>
      <c r="C14548">
        <f>HYPERLINK("https://android.googlesource.com/platform/cts/+/5d2448c6ecfc797dbdff7ed46ab9b67ace020309", "5d2448c6ecfc797dbdff7ed46ab9b67ace020309")</f>
        <v>0</v>
      </c>
      <c r="D14548" t="s">
        <v>12022</v>
      </c>
      <c r="E14548" t="s">
        <v>13695</v>
      </c>
      <c r="F14548" t="s">
        <v>16784</v>
      </c>
      <c r="G14548" t="s">
        <v>19251</v>
      </c>
      <c r="H14548" t="s">
        <v>24466</v>
      </c>
      <c r="I14548" t="s">
        <v>1357</v>
      </c>
      <c r="J14548" t="s">
        <v>1357</v>
      </c>
      <c r="K14548" t="s">
        <v>1357</v>
      </c>
      <c r="L14548" t="s">
        <v>1357</v>
      </c>
    </row>
    <row r="14549" spans="1:14">
      <c r="A14549" t="s">
        <v>11169</v>
      </c>
      <c r="B14549">
        <f>HYPERLINK("https://android.googlesource.com/platform/cts/+/872195eb47211ba913f5121a3f1287e5d96e1996", "872195eb47211ba913f5121a3f1287e5d96e1996")</f>
        <v>0</v>
      </c>
      <c r="C14549">
        <f>HYPERLINK("https://android.googlesource.com/platform/cts/+/cc0b769fd912bad9e0b34885b94e944db01c2386", "cc0b769fd912bad9e0b34885b94e944db01c2386")</f>
        <v>0</v>
      </c>
      <c r="D14549" t="s">
        <v>12330</v>
      </c>
      <c r="E14549" t="s">
        <v>13696</v>
      </c>
      <c r="F14549" t="s">
        <v>16745</v>
      </c>
      <c r="G14549" t="s">
        <v>19374</v>
      </c>
      <c r="H14549" t="s">
        <v>24465</v>
      </c>
      <c r="I14549" t="s">
        <v>1357</v>
      </c>
      <c r="J14549" t="s">
        <v>1357</v>
      </c>
      <c r="K14549" t="s">
        <v>1357</v>
      </c>
      <c r="L14549" t="s">
        <v>1357</v>
      </c>
      <c r="M14549" t="s">
        <v>9957</v>
      </c>
    </row>
    <row r="14550" spans="1:14">
      <c r="A14550" t="s">
        <v>11170</v>
      </c>
      <c r="B14550">
        <f>HYPERLINK("https://android.googlesource.com/platform/cts/+/7113a5a574bc50b389d7726c51c4808b877d28b5", "7113a5a574bc50b389d7726c51c4808b877d28b5")</f>
        <v>0</v>
      </c>
      <c r="C14550">
        <f>HYPERLINK("https://android.googlesource.com/platform/cts/+/ceab31c36b8b494ca0d289b5c71fd1ca423afd12", "ceab31c36b8b494ca0d289b5c71fd1ca423afd12")</f>
        <v>0</v>
      </c>
      <c r="D14550" t="s">
        <v>12222</v>
      </c>
      <c r="E14550" t="s">
        <v>13697</v>
      </c>
      <c r="F14550" t="s">
        <v>16785</v>
      </c>
      <c r="G14550" t="s">
        <v>19407</v>
      </c>
      <c r="H14550" t="s">
        <v>24467</v>
      </c>
      <c r="I14550" t="s">
        <v>1357</v>
      </c>
      <c r="J14550" t="s">
        <v>1357</v>
      </c>
      <c r="K14550" t="s">
        <v>1357</v>
      </c>
      <c r="L14550" t="s">
        <v>1357</v>
      </c>
    </row>
    <row r="14551" spans="1:14">
      <c r="H14551" t="s">
        <v>24468</v>
      </c>
      <c r="I14551" t="s">
        <v>1357</v>
      </c>
      <c r="J14551" t="s">
        <v>1357</v>
      </c>
      <c r="K14551" t="s">
        <v>1357</v>
      </c>
      <c r="L14551" t="s">
        <v>1357</v>
      </c>
    </row>
    <row r="14552" spans="1:14">
      <c r="H14552" t="s">
        <v>24469</v>
      </c>
      <c r="I14552" t="s">
        <v>1357</v>
      </c>
      <c r="J14552" t="s">
        <v>1357</v>
      </c>
      <c r="K14552" t="s">
        <v>1357</v>
      </c>
      <c r="L14552" t="s">
        <v>1357</v>
      </c>
    </row>
    <row r="14553" spans="1:14">
      <c r="H14553" t="s">
        <v>24470</v>
      </c>
      <c r="I14553" t="s">
        <v>1357</v>
      </c>
      <c r="J14553" t="s">
        <v>1357</v>
      </c>
      <c r="K14553" t="s">
        <v>1357</v>
      </c>
      <c r="L14553" t="s">
        <v>1357</v>
      </c>
    </row>
    <row r="14554" spans="1:14">
      <c r="F14554" t="s">
        <v>16786</v>
      </c>
      <c r="G14554" t="s">
        <v>19408</v>
      </c>
      <c r="H14554" t="s">
        <v>24468</v>
      </c>
      <c r="I14554" t="s">
        <v>1357</v>
      </c>
      <c r="J14554" t="s">
        <v>1357</v>
      </c>
      <c r="K14554" t="s">
        <v>1357</v>
      </c>
      <c r="L14554" t="s">
        <v>1357</v>
      </c>
    </row>
    <row r="14555" spans="1:14">
      <c r="H14555" t="s">
        <v>24467</v>
      </c>
      <c r="I14555" t="s">
        <v>1357</v>
      </c>
      <c r="J14555" t="s">
        <v>1357</v>
      </c>
      <c r="K14555" t="s">
        <v>1357</v>
      </c>
      <c r="L14555" t="s">
        <v>1357</v>
      </c>
    </row>
    <row r="14556" spans="1:14">
      <c r="F14556" t="s">
        <v>16787</v>
      </c>
      <c r="G14556" t="s">
        <v>19409</v>
      </c>
      <c r="H14556" t="s">
        <v>24471</v>
      </c>
      <c r="I14556" t="s">
        <v>1357</v>
      </c>
      <c r="J14556" t="s">
        <v>1357</v>
      </c>
      <c r="K14556" t="s">
        <v>1357</v>
      </c>
      <c r="L14556" t="s">
        <v>1357</v>
      </c>
    </row>
    <row r="14557" spans="1:14">
      <c r="A14557" t="s">
        <v>11171</v>
      </c>
      <c r="B14557">
        <f>HYPERLINK("https://android.googlesource.com/platform/cts/+/60ff6571a54ada05cd62d9884cf43fda61e75ef0", "60ff6571a54ada05cd62d9884cf43fda61e75ef0")</f>
        <v>0</v>
      </c>
      <c r="C14557">
        <f>HYPERLINK("https://android.googlesource.com/platform/cts/+/20c9e2881d1b191b19456de420ea9772c504168f", "20c9e2881d1b191b19456de420ea9772c504168f")</f>
        <v>0</v>
      </c>
      <c r="D14557" t="s">
        <v>12331</v>
      </c>
      <c r="E14557" t="s">
        <v>13698</v>
      </c>
      <c r="F14557" t="s">
        <v>16788</v>
      </c>
      <c r="G14557" t="s">
        <v>19410</v>
      </c>
      <c r="H14557" t="s">
        <v>24472</v>
      </c>
      <c r="I14557" t="s">
        <v>1359</v>
      </c>
      <c r="J14557" t="s">
        <v>1358</v>
      </c>
      <c r="K14557" t="s">
        <v>1357</v>
      </c>
      <c r="L14557" t="s">
        <v>1358</v>
      </c>
      <c r="N14557" t="s">
        <v>27527</v>
      </c>
    </row>
    <row r="14558" spans="1:14">
      <c r="A14558" t="s">
        <v>11172</v>
      </c>
      <c r="B14558">
        <f>HYPERLINK("https://android.googlesource.com/platform/cts/+/0ead14408b373ea9d9b476cf9f5398b415b6272b", "0ead14408b373ea9d9b476cf9f5398b415b6272b")</f>
        <v>0</v>
      </c>
      <c r="C14558">
        <f>HYPERLINK("https://android.googlesource.com/platform/cts/+/5cbeaec84d81e9a65af3556dbf9c443efee6b22e", "5cbeaec84d81e9a65af3556dbf9c443efee6b22e")</f>
        <v>0</v>
      </c>
      <c r="D14558" t="s">
        <v>12298</v>
      </c>
      <c r="E14558" t="s">
        <v>13699</v>
      </c>
      <c r="F14558" t="s">
        <v>16784</v>
      </c>
      <c r="G14558" t="s">
        <v>19251</v>
      </c>
      <c r="H14558" t="s">
        <v>24473</v>
      </c>
      <c r="I14558" t="s">
        <v>1357</v>
      </c>
      <c r="J14558" t="s">
        <v>1357</v>
      </c>
      <c r="K14558" t="s">
        <v>1357</v>
      </c>
      <c r="L14558" t="s">
        <v>1357</v>
      </c>
    </row>
    <row r="14559" spans="1:14">
      <c r="F14559" t="s">
        <v>16789</v>
      </c>
      <c r="G14559" t="s">
        <v>19411</v>
      </c>
      <c r="H14559" t="s">
        <v>8479</v>
      </c>
      <c r="I14559" t="s">
        <v>1357</v>
      </c>
      <c r="J14559" t="s">
        <v>1357</v>
      </c>
      <c r="K14559" t="s">
        <v>1357</v>
      </c>
      <c r="L14559" t="s">
        <v>1357</v>
      </c>
    </row>
    <row r="14560" spans="1:14">
      <c r="A14560" t="s">
        <v>11173</v>
      </c>
      <c r="B14560">
        <f>HYPERLINK("https://android.googlesource.com/platform/cts/+/c66463fbc5a450a0d444b927de5844e811dcde33", "c66463fbc5a450a0d444b927de5844e811dcde33")</f>
        <v>0</v>
      </c>
      <c r="C14560">
        <f>HYPERLINK("https://android.googlesource.com/platform/cts/+/d0bad5fb70a6a90c447566db813ebe76ca290d98", "d0bad5fb70a6a90c447566db813ebe76ca290d98")</f>
        <v>0</v>
      </c>
      <c r="D14560" t="s">
        <v>12163</v>
      </c>
      <c r="E14560" t="s">
        <v>13700</v>
      </c>
      <c r="F14560" t="s">
        <v>16273</v>
      </c>
      <c r="G14560" t="s">
        <v>18946</v>
      </c>
      <c r="H14560" t="s">
        <v>22468</v>
      </c>
      <c r="I14560" t="s">
        <v>1357</v>
      </c>
      <c r="J14560" t="s">
        <v>1357</v>
      </c>
      <c r="K14560" t="s">
        <v>1357</v>
      </c>
      <c r="L14560" t="s">
        <v>1357</v>
      </c>
    </row>
    <row r="14561" spans="1:12">
      <c r="A14561" t="s">
        <v>11174</v>
      </c>
      <c r="B14561">
        <f>HYPERLINK("https://android.googlesource.com/platform/cts/+/129e808f3b114c54af27cad05459443a2e161462", "129e808f3b114c54af27cad05459443a2e161462")</f>
        <v>0</v>
      </c>
      <c r="C14561">
        <f>HYPERLINK("https://android.googlesource.com/platform/cts/+/2bb95ca95e28dbd1c13d2e16ab4b51499a2cb670", "2bb95ca95e28dbd1c13d2e16ab4b51499a2cb670")</f>
        <v>0</v>
      </c>
      <c r="D14561" t="s">
        <v>12332</v>
      </c>
      <c r="E14561" t="s">
        <v>13701</v>
      </c>
      <c r="F14561" t="s">
        <v>16790</v>
      </c>
      <c r="G14561" t="s">
        <v>19412</v>
      </c>
      <c r="H14561" t="s">
        <v>24474</v>
      </c>
      <c r="I14561" t="s">
        <v>1357</v>
      </c>
      <c r="J14561" t="s">
        <v>1357</v>
      </c>
      <c r="K14561" t="s">
        <v>1357</v>
      </c>
      <c r="L14561" t="s">
        <v>1357</v>
      </c>
    </row>
    <row r="14562" spans="1:12">
      <c r="H14562" t="s">
        <v>24475</v>
      </c>
      <c r="I14562" t="s">
        <v>1357</v>
      </c>
      <c r="J14562" t="s">
        <v>1357</v>
      </c>
      <c r="K14562" t="s">
        <v>1357</v>
      </c>
      <c r="L14562" t="s">
        <v>1357</v>
      </c>
    </row>
    <row r="14563" spans="1:12">
      <c r="H14563" t="s">
        <v>24476</v>
      </c>
      <c r="I14563" t="s">
        <v>1357</v>
      </c>
      <c r="J14563" t="s">
        <v>1357</v>
      </c>
      <c r="K14563" t="s">
        <v>1357</v>
      </c>
      <c r="L14563" t="s">
        <v>1357</v>
      </c>
    </row>
    <row r="14564" spans="1:12">
      <c r="A14564" t="s">
        <v>11175</v>
      </c>
      <c r="B14564">
        <f>HYPERLINK("https://android.googlesource.com/platform/cts/+/907e30cf70da2fb28517917ff4df37328e6d4513", "907e30cf70da2fb28517917ff4df37328e6d4513")</f>
        <v>0</v>
      </c>
      <c r="C14564">
        <f>HYPERLINK("https://android.googlesource.com/platform/cts/+/e4cd5172f9636fa35a22932f389159487c68519c", "e4cd5172f9636fa35a22932f389159487c68519c")</f>
        <v>0</v>
      </c>
      <c r="D14564" t="s">
        <v>12333</v>
      </c>
      <c r="E14564" t="s">
        <v>13702</v>
      </c>
      <c r="F14564" t="s">
        <v>16726</v>
      </c>
      <c r="G14564" t="s">
        <v>19357</v>
      </c>
      <c r="H14564" t="s">
        <v>24477</v>
      </c>
      <c r="I14564" t="s">
        <v>1357</v>
      </c>
      <c r="J14564" t="s">
        <v>1357</v>
      </c>
      <c r="K14564" t="s">
        <v>1357</v>
      </c>
      <c r="L14564" t="s">
        <v>1357</v>
      </c>
    </row>
    <row r="14565" spans="1:12">
      <c r="A14565" t="s">
        <v>11176</v>
      </c>
      <c r="B14565">
        <f>HYPERLINK("https://android.googlesource.com/platform/cts/+/1c539bf510c9aa9fe80eadce3dfac5e88c517bfd", "1c539bf510c9aa9fe80eadce3dfac5e88c517bfd")</f>
        <v>0</v>
      </c>
      <c r="C14565">
        <f>HYPERLINK("https://android.googlesource.com/platform/cts/+/ea3bfafe844e5b9a857e43a4e261427fa4195e4b", "ea3bfafe844e5b9a857e43a4e261427fa4195e4b")</f>
        <v>0</v>
      </c>
      <c r="D14565" t="s">
        <v>12334</v>
      </c>
      <c r="E14565" t="s">
        <v>13703</v>
      </c>
      <c r="F14565" t="s">
        <v>16700</v>
      </c>
      <c r="G14565" t="s">
        <v>19332</v>
      </c>
      <c r="H14565" t="s">
        <v>24478</v>
      </c>
      <c r="I14565" t="s">
        <v>1357</v>
      </c>
      <c r="J14565" t="s">
        <v>1357</v>
      </c>
      <c r="K14565" t="s">
        <v>1357</v>
      </c>
      <c r="L14565" t="s">
        <v>1357</v>
      </c>
    </row>
    <row r="14566" spans="1:12">
      <c r="A14566" t="s">
        <v>11177</v>
      </c>
      <c r="B14566">
        <f>HYPERLINK("https://android.googlesource.com/platform/cts/+/6ed1c7c08f04eeaa16945dca6e85e12bf91ed76e", "6ed1c7c08f04eeaa16945dca6e85e12bf91ed76e")</f>
        <v>0</v>
      </c>
      <c r="C14566">
        <f>HYPERLINK("https://android.googlesource.com/platform/cts/+/bb983be89b60d7d3fce24ca075a5ccc87afa32b4", "bb983be89b60d7d3fce24ca075a5ccc87afa32b4")</f>
        <v>0</v>
      </c>
      <c r="D14566" t="s">
        <v>12291</v>
      </c>
      <c r="E14566" t="s">
        <v>13704</v>
      </c>
      <c r="F14566" t="s">
        <v>16294</v>
      </c>
      <c r="G14566" t="s">
        <v>18965</v>
      </c>
      <c r="H14566" t="s">
        <v>24479</v>
      </c>
      <c r="I14566" t="s">
        <v>1357</v>
      </c>
      <c r="J14566" t="s">
        <v>1357</v>
      </c>
      <c r="K14566" t="s">
        <v>1357</v>
      </c>
      <c r="L14566" t="s">
        <v>1357</v>
      </c>
    </row>
    <row r="14567" spans="1:12">
      <c r="H14567" t="s">
        <v>24480</v>
      </c>
      <c r="I14567" t="s">
        <v>1358</v>
      </c>
      <c r="J14567" t="s">
        <v>1358</v>
      </c>
      <c r="K14567" t="s">
        <v>1358</v>
      </c>
      <c r="L14567" t="s">
        <v>1358</v>
      </c>
    </row>
    <row r="14568" spans="1:12">
      <c r="A14568" t="s">
        <v>11178</v>
      </c>
      <c r="B14568">
        <f>HYPERLINK("https://android.googlesource.com/platform/cts/+/a0fb8d04c0ba11434d911e230e07346ea730ff81", "a0fb8d04c0ba11434d911e230e07346ea730ff81")</f>
        <v>0</v>
      </c>
      <c r="C14568">
        <f>HYPERLINK("https://android.googlesource.com/platform/cts/+/28474f6a61348d5017b7d2f0e9f23396d2e3bbf9", "28474f6a61348d5017b7d2f0e9f23396d2e3bbf9")</f>
        <v>0</v>
      </c>
      <c r="D14568" t="s">
        <v>12199</v>
      </c>
      <c r="E14568" t="s">
        <v>13705</v>
      </c>
      <c r="F14568" t="s">
        <v>14479</v>
      </c>
      <c r="G14568" t="s">
        <v>17326</v>
      </c>
      <c r="H14568" t="s">
        <v>24481</v>
      </c>
      <c r="I14568" t="s">
        <v>1357</v>
      </c>
      <c r="J14568" t="s">
        <v>1357</v>
      </c>
      <c r="K14568" t="s">
        <v>1357</v>
      </c>
      <c r="L14568" t="s">
        <v>1357</v>
      </c>
    </row>
    <row r="14569" spans="1:12">
      <c r="H14569" t="s">
        <v>24482</v>
      </c>
      <c r="I14569" t="s">
        <v>1357</v>
      </c>
      <c r="J14569" t="s">
        <v>1357</v>
      </c>
      <c r="K14569" t="s">
        <v>1357</v>
      </c>
      <c r="L14569" t="s">
        <v>1357</v>
      </c>
    </row>
    <row r="14570" spans="1:12">
      <c r="H14570" t="s">
        <v>24483</v>
      </c>
      <c r="I14570" t="s">
        <v>1357</v>
      </c>
      <c r="J14570" t="s">
        <v>1357</v>
      </c>
      <c r="K14570" t="s">
        <v>1357</v>
      </c>
      <c r="L14570" t="s">
        <v>1357</v>
      </c>
    </row>
    <row r="14571" spans="1:12">
      <c r="H14571" t="s">
        <v>24484</v>
      </c>
      <c r="I14571" t="s">
        <v>1357</v>
      </c>
      <c r="J14571" t="s">
        <v>1357</v>
      </c>
      <c r="K14571" t="s">
        <v>1357</v>
      </c>
      <c r="L14571" t="s">
        <v>1357</v>
      </c>
    </row>
    <row r="14572" spans="1:12">
      <c r="H14572" t="s">
        <v>24485</v>
      </c>
      <c r="I14572" t="s">
        <v>1357</v>
      </c>
      <c r="J14572" t="s">
        <v>1357</v>
      </c>
      <c r="K14572" t="s">
        <v>1357</v>
      </c>
      <c r="L14572" t="s">
        <v>1357</v>
      </c>
    </row>
    <row r="14573" spans="1:12">
      <c r="A14573" t="s">
        <v>11179</v>
      </c>
      <c r="B14573">
        <f>HYPERLINK("https://android.googlesource.com/platform/cts/+/12e6aedb65150ece64c6228fb492a8b1908ee0a0", "12e6aedb65150ece64c6228fb492a8b1908ee0a0")</f>
        <v>0</v>
      </c>
      <c r="C14573">
        <f>HYPERLINK("https://android.googlesource.com/platform/cts/+/96b7bac3c10df6fd38d9fcd674b270c8bc153498", "96b7bac3c10df6fd38d9fcd674b270c8bc153498")</f>
        <v>0</v>
      </c>
      <c r="D14573" t="s">
        <v>12335</v>
      </c>
      <c r="E14573" t="s">
        <v>13706</v>
      </c>
      <c r="F14573" t="s">
        <v>16661</v>
      </c>
      <c r="G14573" t="s">
        <v>19295</v>
      </c>
      <c r="H14573" t="s">
        <v>23999</v>
      </c>
      <c r="I14573" t="s">
        <v>1359</v>
      </c>
      <c r="J14573" t="s">
        <v>1358</v>
      </c>
      <c r="K14573" t="s">
        <v>1357</v>
      </c>
      <c r="L14573" t="s">
        <v>1358</v>
      </c>
    </row>
    <row r="14574" spans="1:12">
      <c r="A14574" t="s">
        <v>11180</v>
      </c>
      <c r="B14574">
        <f>HYPERLINK("https://android.googlesource.com/platform/cts/+/a1703bb6ff4eb189447d3abd106d249aaa9327de", "a1703bb6ff4eb189447d3abd106d249aaa9327de")</f>
        <v>0</v>
      </c>
      <c r="C14574">
        <f>HYPERLINK("https://android.googlesource.com/platform/cts/+/098707012c87e1f02871ebf1dd162002383a281d", "098707012c87e1f02871ebf1dd162002383a281d")</f>
        <v>0</v>
      </c>
      <c r="D14574" t="s">
        <v>12336</v>
      </c>
      <c r="E14574" t="s">
        <v>13707</v>
      </c>
      <c r="F14574" t="s">
        <v>16615</v>
      </c>
      <c r="G14574" t="s">
        <v>19255</v>
      </c>
      <c r="H14574" t="s">
        <v>24486</v>
      </c>
      <c r="I14574" t="s">
        <v>1357</v>
      </c>
      <c r="J14574" t="s">
        <v>1357</v>
      </c>
      <c r="K14574" t="s">
        <v>1357</v>
      </c>
      <c r="L14574" t="s">
        <v>1357</v>
      </c>
    </row>
    <row r="14575" spans="1:12">
      <c r="A14575" t="s">
        <v>11181</v>
      </c>
      <c r="B14575">
        <f>HYPERLINK("https://android.googlesource.com/platform/cts/+/f324654eb885e1c0477b2b9e4538d659b72eae4e", "f324654eb885e1c0477b2b9e4538d659b72eae4e")</f>
        <v>0</v>
      </c>
      <c r="C14575">
        <f>HYPERLINK("https://android.googlesource.com/platform/cts/+/1e840292ac51d2ebc761bf7050dbef985277f0ca", "1e840292ac51d2ebc761bf7050dbef985277f0ca")</f>
        <v>0</v>
      </c>
      <c r="D14575" t="s">
        <v>12222</v>
      </c>
      <c r="E14575" t="s">
        <v>13708</v>
      </c>
      <c r="F14575" t="s">
        <v>16791</v>
      </c>
      <c r="G14575" t="s">
        <v>19413</v>
      </c>
      <c r="H14575" t="s">
        <v>24487</v>
      </c>
      <c r="I14575" t="s">
        <v>1357</v>
      </c>
      <c r="J14575" t="s">
        <v>1357</v>
      </c>
      <c r="K14575" t="s">
        <v>1357</v>
      </c>
      <c r="L14575" t="s">
        <v>1357</v>
      </c>
    </row>
    <row r="14576" spans="1:12">
      <c r="H14576" t="s">
        <v>24488</v>
      </c>
      <c r="I14576" t="s">
        <v>1357</v>
      </c>
      <c r="J14576" t="s">
        <v>1357</v>
      </c>
      <c r="K14576" t="s">
        <v>1357</v>
      </c>
      <c r="L14576" t="s">
        <v>1357</v>
      </c>
    </row>
    <row r="14577" spans="6:12">
      <c r="H14577" t="s">
        <v>24489</v>
      </c>
      <c r="I14577" t="s">
        <v>1357</v>
      </c>
      <c r="J14577" t="s">
        <v>1357</v>
      </c>
      <c r="K14577" t="s">
        <v>1357</v>
      </c>
      <c r="L14577" t="s">
        <v>1357</v>
      </c>
    </row>
    <row r="14578" spans="6:12">
      <c r="H14578" t="s">
        <v>24490</v>
      </c>
      <c r="I14578" t="s">
        <v>1357</v>
      </c>
      <c r="J14578" t="s">
        <v>1357</v>
      </c>
      <c r="K14578" t="s">
        <v>1357</v>
      </c>
      <c r="L14578" t="s">
        <v>1357</v>
      </c>
    </row>
    <row r="14579" spans="6:12">
      <c r="H14579" t="s">
        <v>24491</v>
      </c>
      <c r="I14579" t="s">
        <v>1357</v>
      </c>
      <c r="J14579" t="s">
        <v>1357</v>
      </c>
      <c r="K14579" t="s">
        <v>1357</v>
      </c>
      <c r="L14579" t="s">
        <v>1357</v>
      </c>
    </row>
    <row r="14580" spans="6:12">
      <c r="F14580" t="s">
        <v>16792</v>
      </c>
      <c r="G14580" t="s">
        <v>19414</v>
      </c>
      <c r="H14580" t="s">
        <v>24492</v>
      </c>
      <c r="I14580" t="s">
        <v>1357</v>
      </c>
      <c r="J14580" t="s">
        <v>1357</v>
      </c>
      <c r="K14580" t="s">
        <v>1357</v>
      </c>
      <c r="L14580" t="s">
        <v>1357</v>
      </c>
    </row>
    <row r="14581" spans="6:12">
      <c r="F14581" t="s">
        <v>16787</v>
      </c>
      <c r="G14581" t="s">
        <v>19409</v>
      </c>
      <c r="H14581" t="s">
        <v>24493</v>
      </c>
      <c r="I14581" t="s">
        <v>1357</v>
      </c>
      <c r="J14581" t="s">
        <v>1357</v>
      </c>
      <c r="K14581" t="s">
        <v>1357</v>
      </c>
      <c r="L14581" t="s">
        <v>1357</v>
      </c>
    </row>
    <row r="14582" spans="6:12">
      <c r="H14582" t="s">
        <v>24494</v>
      </c>
      <c r="I14582" t="s">
        <v>1358</v>
      </c>
      <c r="J14582" t="s">
        <v>1358</v>
      </c>
      <c r="K14582" t="s">
        <v>1358</v>
      </c>
      <c r="L14582" t="s">
        <v>1358</v>
      </c>
    </row>
    <row r="14583" spans="6:12">
      <c r="H14583" t="s">
        <v>24495</v>
      </c>
      <c r="I14583" t="s">
        <v>1357</v>
      </c>
      <c r="J14583" t="s">
        <v>1357</v>
      </c>
      <c r="K14583" t="s">
        <v>1357</v>
      </c>
      <c r="L14583" t="s">
        <v>1357</v>
      </c>
    </row>
    <row r="14584" spans="6:12">
      <c r="H14584" t="s">
        <v>24496</v>
      </c>
      <c r="I14584" t="s">
        <v>1357</v>
      </c>
      <c r="J14584" t="s">
        <v>1357</v>
      </c>
      <c r="K14584" t="s">
        <v>1357</v>
      </c>
      <c r="L14584" t="s">
        <v>1357</v>
      </c>
    </row>
    <row r="14585" spans="6:12">
      <c r="H14585" t="s">
        <v>24497</v>
      </c>
      <c r="I14585" t="s">
        <v>1357</v>
      </c>
      <c r="J14585" t="s">
        <v>1357</v>
      </c>
      <c r="K14585" t="s">
        <v>1357</v>
      </c>
      <c r="L14585" t="s">
        <v>1357</v>
      </c>
    </row>
    <row r="14586" spans="6:12">
      <c r="H14586" t="s">
        <v>24498</v>
      </c>
      <c r="I14586" t="s">
        <v>1357</v>
      </c>
      <c r="J14586" t="s">
        <v>1357</v>
      </c>
      <c r="K14586" t="s">
        <v>1357</v>
      </c>
      <c r="L14586" t="s">
        <v>1357</v>
      </c>
    </row>
    <row r="14587" spans="6:12">
      <c r="H14587" t="s">
        <v>24499</v>
      </c>
      <c r="I14587" t="s">
        <v>1357</v>
      </c>
      <c r="J14587" t="s">
        <v>1357</v>
      </c>
      <c r="K14587" t="s">
        <v>1357</v>
      </c>
      <c r="L14587" t="s">
        <v>1357</v>
      </c>
    </row>
    <row r="14588" spans="6:12">
      <c r="H14588" t="s">
        <v>22656</v>
      </c>
      <c r="I14588" t="s">
        <v>1357</v>
      </c>
      <c r="J14588" t="s">
        <v>1357</v>
      </c>
      <c r="K14588" t="s">
        <v>1357</v>
      </c>
      <c r="L14588" t="s">
        <v>1357</v>
      </c>
    </row>
    <row r="14589" spans="6:12">
      <c r="H14589" t="s">
        <v>24489</v>
      </c>
      <c r="I14589" t="s">
        <v>1357</v>
      </c>
      <c r="J14589" t="s">
        <v>1357</v>
      </c>
      <c r="K14589" t="s">
        <v>1357</v>
      </c>
      <c r="L14589" t="s">
        <v>1357</v>
      </c>
    </row>
    <row r="14590" spans="6:12">
      <c r="H14590" t="s">
        <v>24490</v>
      </c>
      <c r="I14590" t="s">
        <v>1357</v>
      </c>
      <c r="J14590" t="s">
        <v>1357</v>
      </c>
      <c r="K14590" t="s">
        <v>1357</v>
      </c>
      <c r="L14590" t="s">
        <v>1357</v>
      </c>
    </row>
    <row r="14591" spans="6:12">
      <c r="H14591" t="s">
        <v>24491</v>
      </c>
      <c r="I14591" t="s">
        <v>1357</v>
      </c>
      <c r="J14591" t="s">
        <v>1357</v>
      </c>
      <c r="K14591" t="s">
        <v>1357</v>
      </c>
      <c r="L14591" t="s">
        <v>1357</v>
      </c>
    </row>
    <row r="14592" spans="6:12">
      <c r="F14592" t="s">
        <v>16793</v>
      </c>
      <c r="G14592" t="s">
        <v>19415</v>
      </c>
      <c r="H14592" t="s">
        <v>24500</v>
      </c>
      <c r="I14592" t="s">
        <v>1357</v>
      </c>
      <c r="J14592" t="s">
        <v>1357</v>
      </c>
      <c r="K14592" t="s">
        <v>1357</v>
      </c>
      <c r="L14592" t="s">
        <v>1357</v>
      </c>
    </row>
    <row r="14593" spans="1:12">
      <c r="H14593" t="s">
        <v>24501</v>
      </c>
      <c r="I14593" t="s">
        <v>1357</v>
      </c>
      <c r="J14593" t="s">
        <v>1357</v>
      </c>
      <c r="K14593" t="s">
        <v>1357</v>
      </c>
      <c r="L14593" t="s">
        <v>1357</v>
      </c>
    </row>
    <row r="14594" spans="1:12">
      <c r="A14594" t="s">
        <v>11182</v>
      </c>
      <c r="B14594">
        <f>HYPERLINK("https://android.googlesource.com/platform/cts/+/319577bfface1d3db77673161dd1fc2fb749cf5f", "319577bfface1d3db77673161dd1fc2fb749cf5f")</f>
        <v>0</v>
      </c>
      <c r="C14594">
        <f>HYPERLINK("https://android.googlesource.com/platform/cts/+/9cc0586921a9d7e6edb4f413892776dd06822962", "9cc0586921a9d7e6edb4f413892776dd06822962")</f>
        <v>0</v>
      </c>
      <c r="D14594" t="s">
        <v>12291</v>
      </c>
      <c r="E14594" t="s">
        <v>13709</v>
      </c>
      <c r="F14594" t="s">
        <v>16149</v>
      </c>
      <c r="G14594" t="s">
        <v>18778</v>
      </c>
      <c r="H14594" t="s">
        <v>24502</v>
      </c>
      <c r="I14594" t="s">
        <v>1359</v>
      </c>
      <c r="J14594" t="s">
        <v>1357</v>
      </c>
      <c r="K14594" t="s">
        <v>1357</v>
      </c>
      <c r="L14594" t="s">
        <v>1358</v>
      </c>
    </row>
    <row r="14595" spans="1:12">
      <c r="A14595" t="s">
        <v>11183</v>
      </c>
      <c r="B14595">
        <f>HYPERLINK("https://android.googlesource.com/platform/cts/+/3d575e04cd9d937002d3ce6911debbf801fef7a8", "3d575e04cd9d937002d3ce6911debbf801fef7a8")</f>
        <v>0</v>
      </c>
      <c r="C14595">
        <f>HYPERLINK("https://android.googlesource.com/platform/cts/+/e72e33fb685e502f5deaa43cfec8d8130dff1fb6", "e72e33fb685e502f5deaa43cfec8d8130dff1fb6")</f>
        <v>0</v>
      </c>
      <c r="D14595" t="s">
        <v>12008</v>
      </c>
      <c r="E14595" t="s">
        <v>13710</v>
      </c>
      <c r="F14595" t="s">
        <v>16649</v>
      </c>
      <c r="G14595" t="s">
        <v>19283</v>
      </c>
      <c r="H14595" t="s">
        <v>23959</v>
      </c>
      <c r="I14595" t="s">
        <v>1357</v>
      </c>
      <c r="J14595" t="s">
        <v>1357</v>
      </c>
      <c r="K14595" t="s">
        <v>1357</v>
      </c>
      <c r="L14595" t="s">
        <v>1357</v>
      </c>
    </row>
    <row r="14596" spans="1:12">
      <c r="F14596" t="s">
        <v>16794</v>
      </c>
      <c r="G14596" t="s">
        <v>19416</v>
      </c>
      <c r="H14596" t="s">
        <v>24503</v>
      </c>
      <c r="I14596" t="s">
        <v>1357</v>
      </c>
      <c r="J14596" t="s">
        <v>1357</v>
      </c>
      <c r="K14596" t="s">
        <v>1357</v>
      </c>
      <c r="L14596" t="s">
        <v>1357</v>
      </c>
    </row>
    <row r="14597" spans="1:12">
      <c r="A14597" t="s">
        <v>11184</v>
      </c>
      <c r="B14597">
        <f>HYPERLINK("https://android.googlesource.com/platform/cts/+/769cf27900a1c6e1124b56d17adb0e1327694daa", "769cf27900a1c6e1124b56d17adb0e1327694daa")</f>
        <v>0</v>
      </c>
      <c r="C14597">
        <f>HYPERLINK("https://android.googlesource.com/platform/cts/+/4e9de76f5f4ae1aa22dcd8c89ce9d540044e85a8", "4e9de76f5f4ae1aa22dcd8c89ce9d540044e85a8")</f>
        <v>0</v>
      </c>
      <c r="D14597" t="s">
        <v>12236</v>
      </c>
      <c r="E14597" t="s">
        <v>13711</v>
      </c>
      <c r="F14597" t="s">
        <v>16795</v>
      </c>
      <c r="G14597" t="s">
        <v>19417</v>
      </c>
      <c r="H14597" t="s">
        <v>24504</v>
      </c>
      <c r="I14597" t="s">
        <v>1357</v>
      </c>
      <c r="J14597" t="s">
        <v>1357</v>
      </c>
      <c r="K14597" t="s">
        <v>1357</v>
      </c>
      <c r="L14597" t="s">
        <v>1357</v>
      </c>
    </row>
    <row r="14598" spans="1:12">
      <c r="A14598" t="s">
        <v>11185</v>
      </c>
      <c r="B14598">
        <f>HYPERLINK("https://android.googlesource.com/platform/cts/+/d6def2942307eb21103ef337daa3d8937cda95d1", "d6def2942307eb21103ef337daa3d8937cda95d1")</f>
        <v>0</v>
      </c>
      <c r="C14598">
        <f>HYPERLINK("https://android.googlesource.com/platform/cts/+/0b99f1a1994ea34bea1d97e84d332c8eba35a94c", "0b99f1a1994ea34bea1d97e84d332c8eba35a94c")</f>
        <v>0</v>
      </c>
      <c r="D14598" t="s">
        <v>11976</v>
      </c>
      <c r="E14598" t="s">
        <v>13712</v>
      </c>
      <c r="F14598" t="s">
        <v>16796</v>
      </c>
      <c r="G14598" t="s">
        <v>19418</v>
      </c>
      <c r="H14598" t="s">
        <v>24505</v>
      </c>
      <c r="I14598" t="s">
        <v>1358</v>
      </c>
      <c r="J14598" t="s">
        <v>1358</v>
      </c>
      <c r="K14598" t="s">
        <v>1358</v>
      </c>
      <c r="L14598" t="s">
        <v>1358</v>
      </c>
    </row>
    <row r="14599" spans="1:12">
      <c r="A14599" t="s">
        <v>11186</v>
      </c>
      <c r="B14599">
        <f>HYPERLINK("https://android.googlesource.com/platform/cts/+/6eb3ae715717928ec29de7704998d3af3d9332c1", "6eb3ae715717928ec29de7704998d3af3d9332c1")</f>
        <v>0</v>
      </c>
      <c r="C14599">
        <f>HYPERLINK("https://android.googlesource.com/platform/cts/+/8bc34ca8c9db7ff1cc30184067b36e92e3541176", "8bc34ca8c9db7ff1cc30184067b36e92e3541176")</f>
        <v>0</v>
      </c>
      <c r="D14599" t="s">
        <v>12188</v>
      </c>
      <c r="E14599" t="s">
        <v>13713</v>
      </c>
      <c r="F14599" t="s">
        <v>16797</v>
      </c>
      <c r="G14599" t="s">
        <v>19419</v>
      </c>
      <c r="H14599" t="s">
        <v>24506</v>
      </c>
      <c r="I14599" t="s">
        <v>1358</v>
      </c>
      <c r="J14599" t="s">
        <v>1358</v>
      </c>
      <c r="K14599" t="s">
        <v>1358</v>
      </c>
      <c r="L14599" t="s">
        <v>1358</v>
      </c>
    </row>
    <row r="14600" spans="1:12">
      <c r="A14600" t="s">
        <v>11187</v>
      </c>
      <c r="B14600">
        <f>HYPERLINK("https://android.googlesource.com/platform/cts/+/ebdf7fcfbc405932525bd0b5fc5ba5eeebb1b953", "ebdf7fcfbc405932525bd0b5fc5ba5eeebb1b953")</f>
        <v>0</v>
      </c>
      <c r="C14600">
        <f>HYPERLINK("https://android.googlesource.com/platform/cts/+/2fb3ed9386d70f0616da751eadae2823b02d4121", "2fb3ed9386d70f0616da751eadae2823b02d4121")</f>
        <v>0</v>
      </c>
      <c r="D14600" t="s">
        <v>12337</v>
      </c>
      <c r="E14600" t="s">
        <v>13714</v>
      </c>
      <c r="F14600" t="s">
        <v>16798</v>
      </c>
      <c r="G14600" t="s">
        <v>19420</v>
      </c>
      <c r="H14600" t="s">
        <v>24507</v>
      </c>
      <c r="I14600" t="s">
        <v>1357</v>
      </c>
      <c r="J14600" t="s">
        <v>1357</v>
      </c>
      <c r="K14600" t="s">
        <v>1357</v>
      </c>
      <c r="L14600" t="s">
        <v>1357</v>
      </c>
    </row>
    <row r="14601" spans="1:12">
      <c r="A14601" t="s">
        <v>11188</v>
      </c>
      <c r="B14601">
        <f>HYPERLINK("https://android.googlesource.com/platform/cts/+/dd89d32571ea347ad4fbab5bb8c7f2b7d5cec040", "dd89d32571ea347ad4fbab5bb8c7f2b7d5cec040")</f>
        <v>0</v>
      </c>
      <c r="C14601">
        <f>HYPERLINK("https://android.googlesource.com/platform/cts/+/3760f759907e3b137837e3b9fa8f2c86cc202292", "3760f759907e3b137837e3b9fa8f2c86cc202292")</f>
        <v>0</v>
      </c>
      <c r="D14601" t="s">
        <v>12157</v>
      </c>
      <c r="E14601" t="s">
        <v>13715</v>
      </c>
      <c r="F14601" t="s">
        <v>16799</v>
      </c>
      <c r="G14601" t="s">
        <v>19421</v>
      </c>
      <c r="H14601" t="s">
        <v>24508</v>
      </c>
      <c r="I14601" t="s">
        <v>1357</v>
      </c>
      <c r="J14601" t="s">
        <v>1357</v>
      </c>
      <c r="K14601" t="s">
        <v>1357</v>
      </c>
      <c r="L14601" t="s">
        <v>1357</v>
      </c>
    </row>
    <row r="14602" spans="1:12">
      <c r="A14602" t="s">
        <v>11189</v>
      </c>
      <c r="B14602">
        <f>HYPERLINK("https://android.googlesource.com/platform/cts/+/425bee02d9f6da847e8c0991f361dd7c991552c3", "425bee02d9f6da847e8c0991f361dd7c991552c3")</f>
        <v>0</v>
      </c>
      <c r="C14602">
        <f>HYPERLINK("https://android.googlesource.com/platform/cts/+/8202832e4d43d9efb60775a375b1b7223a3ffabb", "8202832e4d43d9efb60775a375b1b7223a3ffabb")</f>
        <v>0</v>
      </c>
      <c r="D14602" t="s">
        <v>12334</v>
      </c>
      <c r="E14602" t="s">
        <v>13716</v>
      </c>
      <c r="F14602" t="s">
        <v>16800</v>
      </c>
      <c r="G14602" t="s">
        <v>19332</v>
      </c>
      <c r="H14602" t="s">
        <v>24509</v>
      </c>
      <c r="I14602" t="s">
        <v>1357</v>
      </c>
      <c r="J14602" t="s">
        <v>1357</v>
      </c>
      <c r="K14602" t="s">
        <v>1357</v>
      </c>
      <c r="L14602" t="s">
        <v>1357</v>
      </c>
    </row>
    <row r="14603" spans="1:12">
      <c r="A14603" t="s">
        <v>11190</v>
      </c>
      <c r="B14603">
        <f>HYPERLINK("https://android.googlesource.com/platform/cts/+/fae0789252ad9c1c770258256025b6988467bd5d", "fae0789252ad9c1c770258256025b6988467bd5d")</f>
        <v>0</v>
      </c>
      <c r="C14603">
        <f>HYPERLINK("https://android.googlesource.com/platform/cts/+/f0595df22523474b3186b180994e4de2aebfcd77", "f0595df22523474b3186b180994e4de2aebfcd77")</f>
        <v>0</v>
      </c>
      <c r="D14603" t="s">
        <v>12163</v>
      </c>
      <c r="E14603" t="s">
        <v>13717</v>
      </c>
      <c r="F14603" t="s">
        <v>16099</v>
      </c>
      <c r="G14603" t="s">
        <v>18788</v>
      </c>
      <c r="H14603" t="s">
        <v>24510</v>
      </c>
      <c r="I14603" t="s">
        <v>1358</v>
      </c>
      <c r="J14603" t="s">
        <v>1358</v>
      </c>
      <c r="K14603" t="s">
        <v>1358</v>
      </c>
      <c r="L14603" t="s">
        <v>1358</v>
      </c>
    </row>
    <row r="14604" spans="1:12">
      <c r="A14604" t="s">
        <v>11191</v>
      </c>
      <c r="B14604">
        <f>HYPERLINK("https://android.googlesource.com/platform/cts/+/e0dae6becd8b6b28335328b33f42d94bd2ca936d", "e0dae6becd8b6b28335328b33f42d94bd2ca936d")</f>
        <v>0</v>
      </c>
      <c r="C14604">
        <f>HYPERLINK("https://android.googlesource.com/platform/cts/+/177ace16233f77340e025dba9d7db9a33d384cc5", "177ace16233f77340e025dba9d7db9a33d384cc5")</f>
        <v>0</v>
      </c>
      <c r="D14604" t="s">
        <v>12236</v>
      </c>
      <c r="E14604" t="s">
        <v>13718</v>
      </c>
      <c r="F14604" t="s">
        <v>16801</v>
      </c>
      <c r="G14604" t="s">
        <v>19422</v>
      </c>
      <c r="H14604" t="s">
        <v>24511</v>
      </c>
      <c r="I14604" t="s">
        <v>1358</v>
      </c>
      <c r="J14604" t="s">
        <v>1358</v>
      </c>
      <c r="K14604" t="s">
        <v>1358</v>
      </c>
      <c r="L14604" t="s">
        <v>1358</v>
      </c>
    </row>
    <row r="14605" spans="1:12">
      <c r="A14605" t="s">
        <v>11192</v>
      </c>
      <c r="B14605">
        <f>HYPERLINK("https://android.googlesource.com/platform/cts/+/54caf9c435735cb654b74119cb44fe706e9bf515", "54caf9c435735cb654b74119cb44fe706e9bf515")</f>
        <v>0</v>
      </c>
      <c r="C14605">
        <f>HYPERLINK("https://android.googlesource.com/platform/cts/+/8248d9f7aee17faf44928fc894fb80a6ac3cc91c", "8248d9f7aee17faf44928fc894fb80a6ac3cc91c")</f>
        <v>0</v>
      </c>
      <c r="D14605" t="s">
        <v>12315</v>
      </c>
      <c r="E14605" t="s">
        <v>13719</v>
      </c>
      <c r="F14605" t="s">
        <v>16802</v>
      </c>
      <c r="G14605" t="s">
        <v>19423</v>
      </c>
      <c r="H14605" t="s">
        <v>24512</v>
      </c>
      <c r="I14605" t="s">
        <v>1357</v>
      </c>
      <c r="J14605" t="s">
        <v>1357</v>
      </c>
      <c r="K14605" t="s">
        <v>1357</v>
      </c>
      <c r="L14605" t="s">
        <v>1357</v>
      </c>
    </row>
    <row r="14606" spans="1:12">
      <c r="H14606" t="s">
        <v>24513</v>
      </c>
      <c r="I14606" t="s">
        <v>1357</v>
      </c>
      <c r="J14606" t="s">
        <v>1357</v>
      </c>
      <c r="K14606" t="s">
        <v>1357</v>
      </c>
      <c r="L14606" t="s">
        <v>1357</v>
      </c>
    </row>
    <row r="14607" spans="1:12">
      <c r="F14607" t="s">
        <v>16803</v>
      </c>
      <c r="G14607" t="s">
        <v>19424</v>
      </c>
      <c r="H14607" t="s">
        <v>24514</v>
      </c>
      <c r="I14607" t="s">
        <v>1357</v>
      </c>
      <c r="J14607" t="s">
        <v>1357</v>
      </c>
      <c r="K14607" t="s">
        <v>1357</v>
      </c>
      <c r="L14607" t="s">
        <v>1357</v>
      </c>
    </row>
    <row r="14608" spans="1:12">
      <c r="H14608" t="s">
        <v>24515</v>
      </c>
      <c r="I14608" t="s">
        <v>1357</v>
      </c>
      <c r="J14608" t="s">
        <v>1357</v>
      </c>
      <c r="K14608" t="s">
        <v>1357</v>
      </c>
      <c r="L14608" t="s">
        <v>1357</v>
      </c>
    </row>
    <row r="14609" spans="1:12">
      <c r="H14609" t="s">
        <v>24516</v>
      </c>
      <c r="I14609" t="s">
        <v>1357</v>
      </c>
      <c r="J14609" t="s">
        <v>1357</v>
      </c>
      <c r="K14609" t="s">
        <v>1357</v>
      </c>
      <c r="L14609" t="s">
        <v>1357</v>
      </c>
    </row>
    <row r="14610" spans="1:12">
      <c r="H14610" t="s">
        <v>24517</v>
      </c>
      <c r="I14610" t="s">
        <v>1357</v>
      </c>
      <c r="J14610" t="s">
        <v>1357</v>
      </c>
      <c r="K14610" t="s">
        <v>1357</v>
      </c>
      <c r="L14610" t="s">
        <v>1357</v>
      </c>
    </row>
    <row r="14611" spans="1:12">
      <c r="H14611" t="s">
        <v>24518</v>
      </c>
      <c r="I14611" t="s">
        <v>1357</v>
      </c>
      <c r="J14611" t="s">
        <v>1357</v>
      </c>
      <c r="K14611" t="s">
        <v>1357</v>
      </c>
      <c r="L14611" t="s">
        <v>1357</v>
      </c>
    </row>
    <row r="14612" spans="1:12">
      <c r="F14612" t="s">
        <v>16804</v>
      </c>
      <c r="G14612" t="s">
        <v>19425</v>
      </c>
      <c r="H14612" t="s">
        <v>24519</v>
      </c>
      <c r="I14612" t="s">
        <v>1357</v>
      </c>
      <c r="J14612" t="s">
        <v>1357</v>
      </c>
      <c r="K14612" t="s">
        <v>1357</v>
      </c>
      <c r="L14612" t="s">
        <v>1357</v>
      </c>
    </row>
    <row r="14613" spans="1:12">
      <c r="H14613" t="s">
        <v>24520</v>
      </c>
      <c r="I14613" t="s">
        <v>1357</v>
      </c>
      <c r="J14613" t="s">
        <v>1357</v>
      </c>
      <c r="K14613" t="s">
        <v>1357</v>
      </c>
      <c r="L14613" t="s">
        <v>1357</v>
      </c>
    </row>
    <row r="14614" spans="1:12">
      <c r="F14614" t="s">
        <v>16805</v>
      </c>
      <c r="G14614" t="s">
        <v>19426</v>
      </c>
      <c r="H14614" t="s">
        <v>24521</v>
      </c>
      <c r="I14614" t="s">
        <v>1357</v>
      </c>
      <c r="J14614" t="s">
        <v>1357</v>
      </c>
      <c r="K14614" t="s">
        <v>1357</v>
      </c>
      <c r="L14614" t="s">
        <v>1357</v>
      </c>
    </row>
    <row r="14615" spans="1:12">
      <c r="A14615" t="s">
        <v>11193</v>
      </c>
      <c r="B14615">
        <f>HYPERLINK("https://android.googlesource.com/platform/cts/+/527e059d203a45d5939b340b8cb6b118de9ac64b", "527e059d203a45d5939b340b8cb6b118de9ac64b")</f>
        <v>0</v>
      </c>
      <c r="C14615">
        <f>HYPERLINK("https://android.googlesource.com/platform/cts/+/e2d84f914161c116e357a01cc754a60297adcea6", "e2d84f914161c116e357a01cc754a60297adcea6")</f>
        <v>0</v>
      </c>
      <c r="D14615" t="s">
        <v>12338</v>
      </c>
      <c r="E14615" t="s">
        <v>13720</v>
      </c>
      <c r="F14615" t="s">
        <v>16806</v>
      </c>
      <c r="G14615" t="s">
        <v>19427</v>
      </c>
      <c r="H14615" t="s">
        <v>24522</v>
      </c>
      <c r="I14615" t="s">
        <v>1357</v>
      </c>
      <c r="J14615" t="s">
        <v>1357</v>
      </c>
      <c r="K14615" t="s">
        <v>1357</v>
      </c>
      <c r="L14615" t="s">
        <v>1357</v>
      </c>
    </row>
    <row r="14616" spans="1:12">
      <c r="A14616" t="s">
        <v>11194</v>
      </c>
      <c r="B14616">
        <f>HYPERLINK("https://android.googlesource.com/platform/cts/+/0e59e1013f480419b40afb2ecad36fa32ef72e56", "0e59e1013f480419b40afb2ecad36fa32ef72e56")</f>
        <v>0</v>
      </c>
      <c r="C14616">
        <f>HYPERLINK("https://android.googlesource.com/platform/cts/+/c630863a03e215f4d6751c7bdc101367b6733a32", "c630863a03e215f4d6751c7bdc101367b6733a32")</f>
        <v>0</v>
      </c>
      <c r="D14616" t="s">
        <v>12319</v>
      </c>
      <c r="E14616" t="s">
        <v>13721</v>
      </c>
      <c r="F14616" t="s">
        <v>16403</v>
      </c>
      <c r="G14616" t="s">
        <v>19069</v>
      </c>
      <c r="H14616" t="s">
        <v>24523</v>
      </c>
      <c r="I14616" t="s">
        <v>1357</v>
      </c>
      <c r="J14616" t="s">
        <v>1357</v>
      </c>
      <c r="K14616" t="s">
        <v>1357</v>
      </c>
      <c r="L14616" t="s">
        <v>1357</v>
      </c>
    </row>
    <row r="14617" spans="1:12">
      <c r="A14617" t="s">
        <v>11195</v>
      </c>
      <c r="B14617">
        <f>HYPERLINK("https://android.googlesource.com/platform/cts/+/675172470197009d6b935f5ca564b9c66365ade8", "675172470197009d6b935f5ca564b9c66365ade8")</f>
        <v>0</v>
      </c>
      <c r="C14617">
        <f>HYPERLINK("https://android.googlesource.com/platform/cts/+/270f9c3ec0d43ccfc037e86f946a5fe5b669914a", "270f9c3ec0d43ccfc037e86f946a5fe5b669914a")</f>
        <v>0</v>
      </c>
      <c r="D14617" t="s">
        <v>12339</v>
      </c>
      <c r="E14617" t="s">
        <v>13722</v>
      </c>
      <c r="F14617" t="s">
        <v>16807</v>
      </c>
      <c r="G14617" t="s">
        <v>19428</v>
      </c>
      <c r="H14617" t="s">
        <v>24524</v>
      </c>
      <c r="I14617" t="s">
        <v>1357</v>
      </c>
      <c r="J14617" t="s">
        <v>1357</v>
      </c>
      <c r="K14617" t="s">
        <v>1357</v>
      </c>
      <c r="L14617" t="s">
        <v>1357</v>
      </c>
    </row>
    <row r="14618" spans="1:12">
      <c r="A14618" t="s">
        <v>11196</v>
      </c>
      <c r="B14618">
        <f>HYPERLINK("https://android.googlesource.com/platform/cts/+/d9aef5b83621bf1831624fb7d91f8e59f0e4bf33", "d9aef5b83621bf1831624fb7d91f8e59f0e4bf33")</f>
        <v>0</v>
      </c>
      <c r="C14618">
        <f>HYPERLINK("https://android.googlesource.com/platform/cts/+/c630863a03e215f4d6751c7bdc101367b6733a32", "c630863a03e215f4d6751c7bdc101367b6733a32")</f>
        <v>0</v>
      </c>
      <c r="D14618" t="s">
        <v>12319</v>
      </c>
      <c r="E14618" t="s">
        <v>13723</v>
      </c>
      <c r="F14618" t="s">
        <v>16403</v>
      </c>
      <c r="G14618" t="s">
        <v>19069</v>
      </c>
      <c r="H14618" t="s">
        <v>24525</v>
      </c>
      <c r="I14618" t="s">
        <v>1357</v>
      </c>
      <c r="J14618" t="s">
        <v>1357</v>
      </c>
      <c r="K14618" t="s">
        <v>1357</v>
      </c>
      <c r="L14618" t="s">
        <v>1357</v>
      </c>
    </row>
    <row r="14619" spans="1:12">
      <c r="A14619" t="s">
        <v>11197</v>
      </c>
      <c r="B14619">
        <f>HYPERLINK("https://android.googlesource.com/platform/cts/+/4dc00ff57c0f0e1334342c51d8fe4a3b9cfb3252", "4dc00ff57c0f0e1334342c51d8fe4a3b9cfb3252")</f>
        <v>0</v>
      </c>
      <c r="C14619">
        <f>HYPERLINK("https://android.googlesource.com/platform/cts/+/1a51dd73f5593e1250b7b563df1ec591e4d94d15", "1a51dd73f5593e1250b7b563df1ec591e4d94d15")</f>
        <v>0</v>
      </c>
      <c r="D14619" t="s">
        <v>12118</v>
      </c>
      <c r="E14619" t="s">
        <v>13724</v>
      </c>
      <c r="F14619" t="s">
        <v>16084</v>
      </c>
      <c r="G14619" t="s">
        <v>18773</v>
      </c>
      <c r="H14619" t="s">
        <v>24376</v>
      </c>
      <c r="I14619" t="s">
        <v>1358</v>
      </c>
      <c r="J14619" t="s">
        <v>1358</v>
      </c>
      <c r="K14619" t="s">
        <v>1358</v>
      </c>
      <c r="L14619" t="s">
        <v>1358</v>
      </c>
    </row>
    <row r="14620" spans="1:12">
      <c r="A14620" t="s">
        <v>11198</v>
      </c>
      <c r="B14620">
        <f>HYPERLINK("https://android.googlesource.com/platform/cts/+/02438ec41001d781686c00b1a3562aaaf3deadfb", "02438ec41001d781686c00b1a3562aaaf3deadfb")</f>
        <v>0</v>
      </c>
      <c r="C14620">
        <f>HYPERLINK("https://android.googlesource.com/platform/cts/+/6b11b07da971d2f1164b6306f4e215d774318abf", "6b11b07da971d2f1164b6306f4e215d774318abf")</f>
        <v>0</v>
      </c>
      <c r="D14620" t="s">
        <v>12137</v>
      </c>
      <c r="E14620" t="s">
        <v>13725</v>
      </c>
      <c r="F14620" t="s">
        <v>16808</v>
      </c>
      <c r="G14620" t="s">
        <v>19429</v>
      </c>
      <c r="H14620" t="s">
        <v>24526</v>
      </c>
      <c r="I14620" t="s">
        <v>1357</v>
      </c>
      <c r="J14620" t="s">
        <v>1357</v>
      </c>
      <c r="K14620" t="s">
        <v>1357</v>
      </c>
      <c r="L14620" t="s">
        <v>1357</v>
      </c>
    </row>
    <row r="14621" spans="1:12">
      <c r="H14621" t="s">
        <v>24527</v>
      </c>
      <c r="I14621" t="s">
        <v>1357</v>
      </c>
      <c r="J14621" t="s">
        <v>1357</v>
      </c>
      <c r="K14621" t="s">
        <v>1357</v>
      </c>
      <c r="L14621" t="s">
        <v>1357</v>
      </c>
    </row>
    <row r="14622" spans="1:12">
      <c r="H14622" t="s">
        <v>24528</v>
      </c>
      <c r="I14622" t="s">
        <v>1357</v>
      </c>
      <c r="J14622" t="s">
        <v>1357</v>
      </c>
      <c r="K14622" t="s">
        <v>1357</v>
      </c>
      <c r="L14622" t="s">
        <v>1357</v>
      </c>
    </row>
    <row r="14623" spans="1:12">
      <c r="H14623" t="s">
        <v>24529</v>
      </c>
      <c r="I14623" t="s">
        <v>1357</v>
      </c>
      <c r="J14623" t="s">
        <v>1357</v>
      </c>
      <c r="K14623" t="s">
        <v>1357</v>
      </c>
      <c r="L14623" t="s">
        <v>1357</v>
      </c>
    </row>
    <row r="14624" spans="1:12">
      <c r="H14624" t="s">
        <v>24530</v>
      </c>
      <c r="I14624" t="s">
        <v>1357</v>
      </c>
      <c r="J14624" t="s">
        <v>1357</v>
      </c>
      <c r="K14624" t="s">
        <v>1357</v>
      </c>
      <c r="L14624" t="s">
        <v>1357</v>
      </c>
    </row>
    <row r="14625" spans="1:12">
      <c r="H14625" t="s">
        <v>24531</v>
      </c>
      <c r="I14625" t="s">
        <v>1357</v>
      </c>
      <c r="J14625" t="s">
        <v>1357</v>
      </c>
      <c r="K14625" t="s">
        <v>1357</v>
      </c>
      <c r="L14625" t="s">
        <v>1357</v>
      </c>
    </row>
    <row r="14626" spans="1:12">
      <c r="H14626" t="s">
        <v>24532</v>
      </c>
      <c r="I14626" t="s">
        <v>1357</v>
      </c>
      <c r="J14626" t="s">
        <v>1357</v>
      </c>
      <c r="K14626" t="s">
        <v>1357</v>
      </c>
      <c r="L14626" t="s">
        <v>1357</v>
      </c>
    </row>
    <row r="14627" spans="1:12">
      <c r="H14627" t="s">
        <v>24533</v>
      </c>
      <c r="I14627" t="s">
        <v>1357</v>
      </c>
      <c r="J14627" t="s">
        <v>1357</v>
      </c>
      <c r="K14627" t="s">
        <v>1357</v>
      </c>
      <c r="L14627" t="s">
        <v>1357</v>
      </c>
    </row>
    <row r="14628" spans="1:12">
      <c r="A14628" t="s">
        <v>11199</v>
      </c>
      <c r="B14628">
        <f>HYPERLINK("https://android.googlesource.com/platform/cts/+/85dd96c68efb9cfd37ec2d747d832213d89cd520", "85dd96c68efb9cfd37ec2d747d832213d89cd520")</f>
        <v>0</v>
      </c>
      <c r="C14628">
        <f>HYPERLINK("https://android.googlesource.com/platform/cts/+/cbee36fd9f7b4a37f211869edcaa29768d71ca57", "cbee36fd9f7b4a37f211869edcaa29768d71ca57")</f>
        <v>0</v>
      </c>
      <c r="D14628" t="s">
        <v>12215</v>
      </c>
      <c r="E14628" t="s">
        <v>13726</v>
      </c>
      <c r="F14628" t="s">
        <v>16809</v>
      </c>
      <c r="G14628" t="s">
        <v>17400</v>
      </c>
      <c r="H14628" t="s">
        <v>24534</v>
      </c>
      <c r="I14628" t="s">
        <v>1358</v>
      </c>
      <c r="J14628" t="s">
        <v>1358</v>
      </c>
      <c r="K14628" t="s">
        <v>1358</v>
      </c>
      <c r="L14628" t="s">
        <v>1358</v>
      </c>
    </row>
    <row r="14629" spans="1:12">
      <c r="A14629" t="s">
        <v>11200</v>
      </c>
      <c r="B14629">
        <f>HYPERLINK("https://android.googlesource.com/platform/cts/+/ca6733ac413674e291bed44b9303514fd0d797d8", "ca6733ac413674e291bed44b9303514fd0d797d8")</f>
        <v>0</v>
      </c>
      <c r="C14629">
        <f>HYPERLINK("https://android.googlesource.com/platform/cts/+/6b11b07da971d2f1164b6306f4e215d774318abf", "6b11b07da971d2f1164b6306f4e215d774318abf")</f>
        <v>0</v>
      </c>
      <c r="D14629" t="s">
        <v>12047</v>
      </c>
      <c r="E14629" t="s">
        <v>13727</v>
      </c>
      <c r="F14629" t="s">
        <v>16810</v>
      </c>
      <c r="G14629" t="s">
        <v>19430</v>
      </c>
      <c r="H14629" t="s">
        <v>24535</v>
      </c>
      <c r="I14629" t="s">
        <v>1358</v>
      </c>
      <c r="J14629" t="s">
        <v>1358</v>
      </c>
      <c r="K14629" t="s">
        <v>1358</v>
      </c>
      <c r="L14629" t="s">
        <v>1358</v>
      </c>
    </row>
    <row r="14630" spans="1:12">
      <c r="A14630" t="s">
        <v>11201</v>
      </c>
      <c r="B14630">
        <f>HYPERLINK("https://android.googlesource.com/platform/cts/+/edad9239f1fd407c86d799b3450d16c8a42b8e53", "edad9239f1fd407c86d799b3450d16c8a42b8e53")</f>
        <v>0</v>
      </c>
      <c r="C14630">
        <f>HYPERLINK("https://android.googlesource.com/platform/cts/+/26aecb49bfb88c417d3fd7758598f489fe4d42a1", "26aecb49bfb88c417d3fd7758598f489fe4d42a1")</f>
        <v>0</v>
      </c>
      <c r="D14630" t="s">
        <v>12340</v>
      </c>
      <c r="E14630" t="s">
        <v>13728</v>
      </c>
      <c r="F14630" t="s">
        <v>15923</v>
      </c>
      <c r="G14630" t="s">
        <v>18615</v>
      </c>
      <c r="H14630" t="s">
        <v>24536</v>
      </c>
      <c r="I14630" t="s">
        <v>1357</v>
      </c>
      <c r="J14630" t="s">
        <v>1357</v>
      </c>
      <c r="K14630" t="s">
        <v>1357</v>
      </c>
      <c r="L14630" t="s">
        <v>1357</v>
      </c>
    </row>
    <row r="14631" spans="1:12">
      <c r="A14631" t="s">
        <v>11202</v>
      </c>
      <c r="B14631">
        <f>HYPERLINK("https://android.googlesource.com/platform/cts/+/3a4108e7cccd1d648de6ede25b190fd634164da6", "3a4108e7cccd1d648de6ede25b190fd634164da6")</f>
        <v>0</v>
      </c>
      <c r="C14631">
        <f>HYPERLINK("https://android.googlesource.com/platform/cts/+/84fbda84945556e04bda78cfe58014a5ce718209", "84fbda84945556e04bda78cfe58014a5ce718209")</f>
        <v>0</v>
      </c>
      <c r="D14631" t="s">
        <v>12137</v>
      </c>
      <c r="E14631" t="s">
        <v>13729</v>
      </c>
      <c r="F14631" t="s">
        <v>16811</v>
      </c>
      <c r="G14631" t="s">
        <v>19431</v>
      </c>
      <c r="H14631" t="s">
        <v>24537</v>
      </c>
      <c r="I14631" t="s">
        <v>1357</v>
      </c>
      <c r="J14631" t="s">
        <v>1357</v>
      </c>
      <c r="K14631" t="s">
        <v>1357</v>
      </c>
      <c r="L14631" t="s">
        <v>1357</v>
      </c>
    </row>
    <row r="14632" spans="1:12">
      <c r="H14632" t="s">
        <v>24538</v>
      </c>
      <c r="I14632" t="s">
        <v>1357</v>
      </c>
      <c r="J14632" t="s">
        <v>1357</v>
      </c>
      <c r="K14632" t="s">
        <v>1357</v>
      </c>
      <c r="L14632" t="s">
        <v>1357</v>
      </c>
    </row>
    <row r="14633" spans="1:12">
      <c r="A14633" t="s">
        <v>11203</v>
      </c>
      <c r="B14633">
        <f>HYPERLINK("https://android.googlesource.com/platform/cts/+/0778505b25c01e972f3a2be4352f9fefe6f1125d", "0778505b25c01e972f3a2be4352f9fefe6f1125d")</f>
        <v>0</v>
      </c>
      <c r="C14633">
        <f>HYPERLINK("https://android.googlesource.com/platform/cts/+/eb384fc0879fe57791f97dde5505b06c917be3fe", "eb384fc0879fe57791f97dde5505b06c917be3fe")</f>
        <v>0</v>
      </c>
      <c r="D14633" t="s">
        <v>12047</v>
      </c>
      <c r="E14633" t="s">
        <v>13730</v>
      </c>
      <c r="F14633" t="s">
        <v>15993</v>
      </c>
      <c r="G14633" t="s">
        <v>18685</v>
      </c>
      <c r="H14633" t="s">
        <v>24539</v>
      </c>
      <c r="I14633" t="s">
        <v>1358</v>
      </c>
      <c r="J14633" t="s">
        <v>1358</v>
      </c>
      <c r="K14633" t="s">
        <v>1358</v>
      </c>
      <c r="L14633" t="s">
        <v>1358</v>
      </c>
    </row>
    <row r="14634" spans="1:12">
      <c r="H14634" t="s">
        <v>24540</v>
      </c>
      <c r="I14634" t="s">
        <v>1358</v>
      </c>
      <c r="J14634" t="s">
        <v>1358</v>
      </c>
      <c r="K14634" t="s">
        <v>1358</v>
      </c>
      <c r="L14634" t="s">
        <v>1358</v>
      </c>
    </row>
    <row r="14635" spans="1:12">
      <c r="H14635" t="s">
        <v>24541</v>
      </c>
      <c r="I14635" t="s">
        <v>1358</v>
      </c>
      <c r="J14635" t="s">
        <v>1358</v>
      </c>
      <c r="K14635" t="s">
        <v>1358</v>
      </c>
      <c r="L14635" t="s">
        <v>1358</v>
      </c>
    </row>
    <row r="14636" spans="1:12">
      <c r="H14636" t="s">
        <v>24542</v>
      </c>
      <c r="I14636" t="s">
        <v>1358</v>
      </c>
      <c r="J14636" t="s">
        <v>1358</v>
      </c>
      <c r="K14636" t="s">
        <v>1358</v>
      </c>
      <c r="L14636" t="s">
        <v>1358</v>
      </c>
    </row>
    <row r="14637" spans="1:12">
      <c r="H14637" t="s">
        <v>24543</v>
      </c>
      <c r="I14637" t="s">
        <v>1358</v>
      </c>
      <c r="J14637" t="s">
        <v>1358</v>
      </c>
      <c r="K14637" t="s">
        <v>1358</v>
      </c>
      <c r="L14637" t="s">
        <v>1358</v>
      </c>
    </row>
    <row r="14638" spans="1:12">
      <c r="H14638" t="s">
        <v>24544</v>
      </c>
      <c r="I14638" t="s">
        <v>1358</v>
      </c>
      <c r="J14638" t="s">
        <v>1358</v>
      </c>
      <c r="K14638" t="s">
        <v>1358</v>
      </c>
      <c r="L14638" t="s">
        <v>1358</v>
      </c>
    </row>
    <row r="14639" spans="1:12">
      <c r="H14639" t="s">
        <v>24545</v>
      </c>
      <c r="I14639" t="s">
        <v>1358</v>
      </c>
      <c r="J14639" t="s">
        <v>1358</v>
      </c>
      <c r="K14639" t="s">
        <v>1358</v>
      </c>
      <c r="L14639" t="s">
        <v>1358</v>
      </c>
    </row>
    <row r="14640" spans="1:12">
      <c r="H14640" t="s">
        <v>24546</v>
      </c>
      <c r="I14640" t="s">
        <v>1358</v>
      </c>
      <c r="J14640" t="s">
        <v>1358</v>
      </c>
      <c r="K14640" t="s">
        <v>1358</v>
      </c>
      <c r="L14640" t="s">
        <v>1358</v>
      </c>
    </row>
    <row r="14641" spans="1:13">
      <c r="H14641" t="s">
        <v>24547</v>
      </c>
      <c r="I14641" t="s">
        <v>1358</v>
      </c>
      <c r="J14641" t="s">
        <v>1358</v>
      </c>
      <c r="K14641" t="s">
        <v>1358</v>
      </c>
      <c r="L14641" t="s">
        <v>1358</v>
      </c>
    </row>
    <row r="14642" spans="1:13">
      <c r="H14642" t="s">
        <v>24548</v>
      </c>
      <c r="I14642" t="s">
        <v>1358</v>
      </c>
      <c r="J14642" t="s">
        <v>1358</v>
      </c>
      <c r="K14642" t="s">
        <v>1358</v>
      </c>
      <c r="L14642" t="s">
        <v>1358</v>
      </c>
    </row>
    <row r="14643" spans="1:13">
      <c r="H14643" t="s">
        <v>24549</v>
      </c>
      <c r="I14643" t="s">
        <v>1358</v>
      </c>
      <c r="J14643" t="s">
        <v>1358</v>
      </c>
      <c r="K14643" t="s">
        <v>1358</v>
      </c>
      <c r="L14643" t="s">
        <v>1358</v>
      </c>
    </row>
    <row r="14644" spans="1:13">
      <c r="H14644" t="s">
        <v>24550</v>
      </c>
      <c r="I14644" t="s">
        <v>1358</v>
      </c>
      <c r="J14644" t="s">
        <v>1358</v>
      </c>
      <c r="K14644" t="s">
        <v>1358</v>
      </c>
      <c r="L14644" t="s">
        <v>1358</v>
      </c>
    </row>
    <row r="14645" spans="1:13">
      <c r="H14645" t="s">
        <v>24551</v>
      </c>
      <c r="I14645" t="s">
        <v>1358</v>
      </c>
      <c r="J14645" t="s">
        <v>1358</v>
      </c>
      <c r="K14645" t="s">
        <v>1358</v>
      </c>
      <c r="L14645" t="s">
        <v>1358</v>
      </c>
    </row>
    <row r="14646" spans="1:13">
      <c r="H14646" t="s">
        <v>24552</v>
      </c>
      <c r="I14646" t="s">
        <v>1358</v>
      </c>
      <c r="J14646" t="s">
        <v>1358</v>
      </c>
      <c r="K14646" t="s">
        <v>1358</v>
      </c>
      <c r="L14646" t="s">
        <v>1358</v>
      </c>
    </row>
    <row r="14647" spans="1:13">
      <c r="H14647" t="s">
        <v>24553</v>
      </c>
      <c r="I14647" t="s">
        <v>1358</v>
      </c>
      <c r="J14647" t="s">
        <v>1358</v>
      </c>
      <c r="K14647" t="s">
        <v>1358</v>
      </c>
      <c r="L14647" t="s">
        <v>1358</v>
      </c>
    </row>
    <row r="14648" spans="1:13">
      <c r="H14648" t="s">
        <v>24554</v>
      </c>
      <c r="I14648" t="s">
        <v>1358</v>
      </c>
      <c r="J14648" t="s">
        <v>1358</v>
      </c>
      <c r="K14648" t="s">
        <v>1358</v>
      </c>
      <c r="L14648" t="s">
        <v>1358</v>
      </c>
    </row>
    <row r="14649" spans="1:13">
      <c r="H14649" t="s">
        <v>24555</v>
      </c>
      <c r="I14649" t="s">
        <v>1358</v>
      </c>
      <c r="J14649" t="s">
        <v>1358</v>
      </c>
      <c r="K14649" t="s">
        <v>1358</v>
      </c>
      <c r="L14649" t="s">
        <v>1358</v>
      </c>
    </row>
    <row r="14650" spans="1:13">
      <c r="H14650" t="s">
        <v>24556</v>
      </c>
      <c r="I14650" t="s">
        <v>1358</v>
      </c>
      <c r="J14650" t="s">
        <v>1358</v>
      </c>
      <c r="K14650" t="s">
        <v>1358</v>
      </c>
      <c r="L14650" t="s">
        <v>1358</v>
      </c>
    </row>
    <row r="14651" spans="1:13">
      <c r="H14651" t="s">
        <v>24557</v>
      </c>
      <c r="I14651" t="s">
        <v>1358</v>
      </c>
      <c r="J14651" t="s">
        <v>1358</v>
      </c>
      <c r="K14651" t="s">
        <v>1358</v>
      </c>
      <c r="L14651" t="s">
        <v>1358</v>
      </c>
    </row>
    <row r="14652" spans="1:13">
      <c r="H14652" t="s">
        <v>24558</v>
      </c>
      <c r="I14652" t="s">
        <v>1358</v>
      </c>
      <c r="J14652" t="s">
        <v>1358</v>
      </c>
      <c r="K14652" t="s">
        <v>1358</v>
      </c>
      <c r="L14652" t="s">
        <v>1358</v>
      </c>
    </row>
    <row r="14653" spans="1:13">
      <c r="A14653" t="s">
        <v>11204</v>
      </c>
      <c r="B14653">
        <f>HYPERLINK("https://android.googlesource.com/platform/cts/+/2844d78ce5e82bcb5752a248fac15925117a5894", "2844d78ce5e82bcb5752a248fac15925117a5894")</f>
        <v>0</v>
      </c>
      <c r="C14653">
        <f>HYPERLINK("https://android.googlesource.com/platform/cts/+/6287fd1e561993b4fe8e74b0b232a86ae1899c00", "6287fd1e561993b4fe8e74b0b232a86ae1899c00")</f>
        <v>0</v>
      </c>
      <c r="D14653" t="s">
        <v>12181</v>
      </c>
      <c r="E14653" t="s">
        <v>13731</v>
      </c>
      <c r="F14653" t="s">
        <v>16812</v>
      </c>
      <c r="G14653" t="s">
        <v>19432</v>
      </c>
      <c r="H14653" t="s">
        <v>24559</v>
      </c>
      <c r="I14653" t="s">
        <v>1357</v>
      </c>
      <c r="J14653" t="s">
        <v>1357</v>
      </c>
      <c r="K14653" t="s">
        <v>1357</v>
      </c>
      <c r="L14653" t="s">
        <v>1357</v>
      </c>
    </row>
    <row r="14654" spans="1:13">
      <c r="A14654" t="s">
        <v>11205</v>
      </c>
      <c r="B14654">
        <f>HYPERLINK("https://android.googlesource.com/platform/cts/+/feffaaa6972f16c64f0657f572a23b7689ea9aaa", "feffaaa6972f16c64f0657f572a23b7689ea9aaa")</f>
        <v>0</v>
      </c>
      <c r="C14654">
        <f>HYPERLINK("https://android.googlesource.com/platform/cts/+/2844d78ce5e82bcb5752a248fac15925117a5894", "2844d78ce5e82bcb5752a248fac15925117a5894")</f>
        <v>0</v>
      </c>
      <c r="D14654" t="s">
        <v>12181</v>
      </c>
      <c r="E14654" t="s">
        <v>13732</v>
      </c>
      <c r="F14654" t="s">
        <v>16812</v>
      </c>
      <c r="G14654" t="s">
        <v>19432</v>
      </c>
      <c r="H14654" t="s">
        <v>24560</v>
      </c>
      <c r="I14654" t="s">
        <v>1357</v>
      </c>
      <c r="J14654" t="s">
        <v>1357</v>
      </c>
      <c r="K14654" t="s">
        <v>1357</v>
      </c>
      <c r="L14654" t="s">
        <v>1357</v>
      </c>
    </row>
    <row r="14655" spans="1:13">
      <c r="A14655" t="s">
        <v>11206</v>
      </c>
      <c r="B14655">
        <f>HYPERLINK("https://android.googlesource.com/platform/cts/+/b1a907ebb9b7a1063f1c3377bc3182286c65b5de", "b1a907ebb9b7a1063f1c3377bc3182286c65b5de")</f>
        <v>0</v>
      </c>
      <c r="C14655">
        <f>HYPERLINK("https://android.googlesource.com/platform/cts/+/04d920d475744600250cc8d5f899251c3235eb8c", "04d920d475744600250cc8d5f899251c3235eb8c")</f>
        <v>0</v>
      </c>
      <c r="D14655" t="s">
        <v>12181</v>
      </c>
      <c r="E14655" t="s">
        <v>13733</v>
      </c>
      <c r="F14655" t="s">
        <v>16812</v>
      </c>
      <c r="G14655" t="s">
        <v>19432</v>
      </c>
      <c r="H14655" t="s">
        <v>24559</v>
      </c>
      <c r="I14655" t="s">
        <v>1357</v>
      </c>
      <c r="J14655" t="s">
        <v>1357</v>
      </c>
      <c r="K14655" t="s">
        <v>1357</v>
      </c>
      <c r="L14655" t="s">
        <v>1357</v>
      </c>
      <c r="M14655" t="s">
        <v>9957</v>
      </c>
    </row>
    <row r="14656" spans="1:13">
      <c r="A14656" t="s">
        <v>11207</v>
      </c>
      <c r="B14656">
        <f>HYPERLINK("https://android.googlesource.com/platform/cts/+/f37afc38ccd380beb8a6f68c00204818aa499e24", "f37afc38ccd380beb8a6f68c00204818aa499e24")</f>
        <v>0</v>
      </c>
      <c r="C14656">
        <f>HYPERLINK("https://android.googlesource.com/platform/cts/+/b1a907ebb9b7a1063f1c3377bc3182286c65b5de", "b1a907ebb9b7a1063f1c3377bc3182286c65b5de")</f>
        <v>0</v>
      </c>
      <c r="D14656" t="s">
        <v>12181</v>
      </c>
      <c r="E14656" t="s">
        <v>13734</v>
      </c>
      <c r="F14656" t="s">
        <v>16812</v>
      </c>
      <c r="G14656" t="s">
        <v>19432</v>
      </c>
      <c r="H14656" t="s">
        <v>24560</v>
      </c>
      <c r="I14656" t="s">
        <v>1357</v>
      </c>
      <c r="J14656" t="s">
        <v>1357</v>
      </c>
      <c r="K14656" t="s">
        <v>1357</v>
      </c>
      <c r="L14656" t="s">
        <v>1357</v>
      </c>
      <c r="M14656" t="s">
        <v>9957</v>
      </c>
    </row>
    <row r="14657" spans="1:12">
      <c r="A14657" t="s">
        <v>11208</v>
      </c>
      <c r="B14657">
        <f>HYPERLINK("https://android.googlesource.com/platform/cts/+/d548c2ffaeb5164a55900a6e3686cf8e12b68294", "d548c2ffaeb5164a55900a6e3686cf8e12b68294")</f>
        <v>0</v>
      </c>
      <c r="C14657">
        <f>HYPERLINK("https://android.googlesource.com/platform/cts/+/79171cc7aa8d4fe981dc8e1c4f8daf39c8e4fe51", "79171cc7aa8d4fe981dc8e1c4f8daf39c8e4fe51")</f>
        <v>0</v>
      </c>
      <c r="D14657" t="s">
        <v>12341</v>
      </c>
      <c r="E14657" t="s">
        <v>13735</v>
      </c>
      <c r="F14657" t="s">
        <v>16813</v>
      </c>
      <c r="G14657" t="s">
        <v>19433</v>
      </c>
      <c r="H14657" t="s">
        <v>24561</v>
      </c>
      <c r="I14657" t="s">
        <v>1357</v>
      </c>
      <c r="J14657" t="s">
        <v>1357</v>
      </c>
      <c r="K14657" t="s">
        <v>1357</v>
      </c>
      <c r="L14657" t="s">
        <v>1357</v>
      </c>
    </row>
    <row r="14658" spans="1:12">
      <c r="H14658" t="s">
        <v>24562</v>
      </c>
      <c r="I14658" t="s">
        <v>1357</v>
      </c>
      <c r="J14658" t="s">
        <v>1357</v>
      </c>
      <c r="K14658" t="s">
        <v>1357</v>
      </c>
      <c r="L14658" t="s">
        <v>1357</v>
      </c>
    </row>
    <row r="14659" spans="1:12">
      <c r="H14659" t="s">
        <v>24563</v>
      </c>
      <c r="I14659" t="s">
        <v>1357</v>
      </c>
      <c r="J14659" t="s">
        <v>1357</v>
      </c>
      <c r="K14659" t="s">
        <v>1357</v>
      </c>
      <c r="L14659" t="s">
        <v>1357</v>
      </c>
    </row>
    <row r="14660" spans="1:12">
      <c r="H14660" t="s">
        <v>24564</v>
      </c>
      <c r="I14660" t="s">
        <v>1357</v>
      </c>
      <c r="J14660" t="s">
        <v>1357</v>
      </c>
      <c r="K14660" t="s">
        <v>1357</v>
      </c>
      <c r="L14660" t="s">
        <v>1357</v>
      </c>
    </row>
    <row r="14661" spans="1:12">
      <c r="A14661" t="s">
        <v>11209</v>
      </c>
      <c r="B14661">
        <f>HYPERLINK("https://android.googlesource.com/platform/cts/+/259cece4f0507187806ad0e406a68e8c8901c3a8", "259cece4f0507187806ad0e406a68e8c8901c3a8")</f>
        <v>0</v>
      </c>
      <c r="C14661">
        <f>HYPERLINK("https://android.googlesource.com/platform/cts/+/b33d82bf9ec2391538986a92175d89e8e1c484bf", "b33d82bf9ec2391538986a92175d89e8e1c484bf")</f>
        <v>0</v>
      </c>
      <c r="D14661" t="s">
        <v>12340</v>
      </c>
      <c r="E14661" t="s">
        <v>13736</v>
      </c>
      <c r="F14661" t="s">
        <v>16814</v>
      </c>
      <c r="G14661" t="s">
        <v>19434</v>
      </c>
      <c r="H14661" t="s">
        <v>24565</v>
      </c>
      <c r="I14661" t="s">
        <v>1357</v>
      </c>
      <c r="J14661" t="s">
        <v>1357</v>
      </c>
      <c r="K14661" t="s">
        <v>1357</v>
      </c>
      <c r="L14661" t="s">
        <v>1357</v>
      </c>
    </row>
    <row r="14662" spans="1:12">
      <c r="H14662" t="s">
        <v>24566</v>
      </c>
      <c r="I14662" t="s">
        <v>1357</v>
      </c>
      <c r="J14662" t="s">
        <v>1357</v>
      </c>
      <c r="K14662" t="s">
        <v>1357</v>
      </c>
      <c r="L14662" t="s">
        <v>1357</v>
      </c>
    </row>
    <row r="14663" spans="1:12">
      <c r="A14663" t="s">
        <v>11210</v>
      </c>
      <c r="B14663">
        <f>HYPERLINK("https://android.googlesource.com/platform/cts/+/c37e6af210acd4c4e6f96b078cfebf5341130ad4", "c37e6af210acd4c4e6f96b078cfebf5341130ad4")</f>
        <v>0</v>
      </c>
      <c r="C14663">
        <f>HYPERLINK("https://android.googlesource.com/platform/cts/+/b33d82bf9ec2391538986a92175d89e8e1c484bf", "b33d82bf9ec2391538986a92175d89e8e1c484bf")</f>
        <v>0</v>
      </c>
      <c r="D14663" t="s">
        <v>12340</v>
      </c>
      <c r="E14663" t="s">
        <v>13737</v>
      </c>
      <c r="F14663" t="s">
        <v>16815</v>
      </c>
      <c r="G14663" t="s">
        <v>19435</v>
      </c>
      <c r="H14663" t="s">
        <v>24567</v>
      </c>
      <c r="I14663" t="s">
        <v>1357</v>
      </c>
      <c r="J14663" t="s">
        <v>1357</v>
      </c>
      <c r="K14663" t="s">
        <v>1357</v>
      </c>
      <c r="L14663" t="s">
        <v>1357</v>
      </c>
    </row>
    <row r="14664" spans="1:12">
      <c r="F14664" t="s">
        <v>16816</v>
      </c>
      <c r="G14664" t="s">
        <v>19436</v>
      </c>
      <c r="H14664" t="s">
        <v>24568</v>
      </c>
      <c r="I14664" t="s">
        <v>1357</v>
      </c>
      <c r="J14664" t="s">
        <v>1357</v>
      </c>
      <c r="K14664" t="s">
        <v>1357</v>
      </c>
      <c r="L14664" t="s">
        <v>1357</v>
      </c>
    </row>
    <row r="14665" spans="1:12">
      <c r="H14665" t="s">
        <v>24569</v>
      </c>
      <c r="I14665" t="s">
        <v>1357</v>
      </c>
      <c r="J14665" t="s">
        <v>1357</v>
      </c>
      <c r="K14665" t="s">
        <v>1357</v>
      </c>
      <c r="L14665" t="s">
        <v>1357</v>
      </c>
    </row>
    <row r="14666" spans="1:12">
      <c r="A14666" t="s">
        <v>11211</v>
      </c>
      <c r="B14666">
        <f>HYPERLINK("https://android.googlesource.com/platform/cts/+/8e95d5425443b2cae4fdeebdedd9d691f1883bf1", "8e95d5425443b2cae4fdeebdedd9d691f1883bf1")</f>
        <v>0</v>
      </c>
      <c r="C14666">
        <f>HYPERLINK("https://android.googlesource.com/platform/cts/+/b4a946ad1dc885282d578face728f4321e80ca23", "b4a946ad1dc885282d578face728f4321e80ca23")</f>
        <v>0</v>
      </c>
      <c r="D14666" t="s">
        <v>12308</v>
      </c>
      <c r="E14666" t="s">
        <v>13738</v>
      </c>
      <c r="F14666" t="s">
        <v>16817</v>
      </c>
      <c r="G14666" t="s">
        <v>19051</v>
      </c>
      <c r="H14666" t="s">
        <v>24570</v>
      </c>
      <c r="I14666" t="s">
        <v>1357</v>
      </c>
      <c r="J14666" t="s">
        <v>1357</v>
      </c>
      <c r="K14666" t="s">
        <v>1357</v>
      </c>
      <c r="L14666" t="s">
        <v>1357</v>
      </c>
    </row>
    <row r="14667" spans="1:12">
      <c r="A14667" t="s">
        <v>11212</v>
      </c>
      <c r="B14667">
        <f>HYPERLINK("https://android.googlesource.com/platform/cts/+/ab20fd90d03d5a788dc2b3d1f2a8612a80f90cf7", "ab20fd90d03d5a788dc2b3d1f2a8612a80f90cf7")</f>
        <v>0</v>
      </c>
      <c r="C14667">
        <f>HYPERLINK("https://android.googlesource.com/platform/cts/+/50b5446d9eb1a1eab2dc96392ad9a78dcec22dde", "50b5446d9eb1a1eab2dc96392ad9a78dcec22dde")</f>
        <v>0</v>
      </c>
      <c r="D14667" t="s">
        <v>12182</v>
      </c>
      <c r="E14667" t="s">
        <v>13739</v>
      </c>
      <c r="F14667" t="s">
        <v>16749</v>
      </c>
      <c r="G14667" t="s">
        <v>19378</v>
      </c>
      <c r="H14667" t="s">
        <v>24571</v>
      </c>
      <c r="I14667" t="s">
        <v>1357</v>
      </c>
      <c r="J14667" t="s">
        <v>1357</v>
      </c>
      <c r="K14667" t="s">
        <v>1357</v>
      </c>
      <c r="L14667" t="s">
        <v>1357</v>
      </c>
    </row>
    <row r="14668" spans="1:12">
      <c r="H14668" t="s">
        <v>24572</v>
      </c>
      <c r="I14668" t="s">
        <v>1357</v>
      </c>
      <c r="J14668" t="s">
        <v>1357</v>
      </c>
      <c r="K14668" t="s">
        <v>1357</v>
      </c>
      <c r="L14668" t="s">
        <v>1357</v>
      </c>
    </row>
    <row r="14669" spans="1:12">
      <c r="H14669" t="s">
        <v>24573</v>
      </c>
      <c r="I14669" t="s">
        <v>1357</v>
      </c>
      <c r="J14669" t="s">
        <v>1357</v>
      </c>
      <c r="K14669" t="s">
        <v>1357</v>
      </c>
      <c r="L14669" t="s">
        <v>1357</v>
      </c>
    </row>
    <row r="14670" spans="1:12">
      <c r="A14670" t="s">
        <v>11213</v>
      </c>
      <c r="B14670">
        <f>HYPERLINK("https://android.googlesource.com/platform/cts/+/ef0c2b9a077883f17b5c2390b7db37d25b73f735", "ef0c2b9a077883f17b5c2390b7db37d25b73f735")</f>
        <v>0</v>
      </c>
      <c r="C14670">
        <f>HYPERLINK("https://android.googlesource.com/platform/cts/+/d5730f64bbcbedf104ba69c108f4cb3aee945ba1", "d5730f64bbcbedf104ba69c108f4cb3aee945ba1")</f>
        <v>0</v>
      </c>
      <c r="D14670" t="s">
        <v>12222</v>
      </c>
      <c r="E14670" t="s">
        <v>13740</v>
      </c>
      <c r="F14670" t="s">
        <v>16818</v>
      </c>
      <c r="G14670" t="s">
        <v>19437</v>
      </c>
      <c r="H14670" t="s">
        <v>24574</v>
      </c>
      <c r="I14670" t="s">
        <v>1357</v>
      </c>
      <c r="J14670" t="s">
        <v>1357</v>
      </c>
      <c r="K14670" t="s">
        <v>1357</v>
      </c>
      <c r="L14670" t="s">
        <v>1357</v>
      </c>
    </row>
    <row r="14671" spans="1:12">
      <c r="F14671" t="s">
        <v>16138</v>
      </c>
      <c r="G14671" t="s">
        <v>18822</v>
      </c>
      <c r="H14671" t="s">
        <v>24575</v>
      </c>
      <c r="I14671" t="s">
        <v>1357</v>
      </c>
      <c r="J14671" t="s">
        <v>1357</v>
      </c>
      <c r="K14671" t="s">
        <v>1357</v>
      </c>
      <c r="L14671" t="s">
        <v>1357</v>
      </c>
    </row>
    <row r="14672" spans="1:12">
      <c r="A14672" t="s">
        <v>11214</v>
      </c>
      <c r="B14672">
        <f>HYPERLINK("https://android.googlesource.com/platform/cts/+/5e66c6e4dbdf532961c5a407eed5960a4fe2bd92", "5e66c6e4dbdf532961c5a407eed5960a4fe2bd92")</f>
        <v>0</v>
      </c>
      <c r="C14672">
        <f>HYPERLINK("https://android.googlesource.com/platform/cts/+/289ff4ab29a264d8291744a0f950b2828e5dd9d5", "289ff4ab29a264d8291744a0f950b2828e5dd9d5")</f>
        <v>0</v>
      </c>
      <c r="D14672" t="s">
        <v>12342</v>
      </c>
      <c r="E14672" t="s">
        <v>13741</v>
      </c>
      <c r="F14672" t="s">
        <v>16819</v>
      </c>
      <c r="G14672" t="s">
        <v>19438</v>
      </c>
      <c r="H14672" t="s">
        <v>24576</v>
      </c>
      <c r="I14672" t="s">
        <v>1357</v>
      </c>
      <c r="J14672" t="s">
        <v>1357</v>
      </c>
      <c r="K14672" t="s">
        <v>1357</v>
      </c>
      <c r="L14672" t="s">
        <v>1357</v>
      </c>
    </row>
    <row r="14673" spans="1:12">
      <c r="A14673" t="s">
        <v>11215</v>
      </c>
      <c r="B14673">
        <f>HYPERLINK("https://android.googlesource.com/platform/cts/+/b24bbd5b2145d658fb5ba48f3815ffc4de5d5209", "b24bbd5b2145d658fb5ba48f3815ffc4de5d5209")</f>
        <v>0</v>
      </c>
      <c r="C14673">
        <f>HYPERLINK("https://android.googlesource.com/platform/cts/+/d4d523686429f0bbe2484d8d24652f671c53f310", "d4d523686429f0bbe2484d8d24652f671c53f310")</f>
        <v>0</v>
      </c>
      <c r="D14673" t="s">
        <v>12181</v>
      </c>
      <c r="E14673" t="s">
        <v>13742</v>
      </c>
      <c r="F14673" t="s">
        <v>16585</v>
      </c>
      <c r="G14673" t="s">
        <v>19227</v>
      </c>
      <c r="H14673" t="s">
        <v>24577</v>
      </c>
      <c r="I14673" t="s">
        <v>1357</v>
      </c>
      <c r="J14673" t="s">
        <v>1357</v>
      </c>
      <c r="K14673" t="s">
        <v>1357</v>
      </c>
      <c r="L14673" t="s">
        <v>1357</v>
      </c>
    </row>
    <row r="14674" spans="1:12">
      <c r="H14674" t="s">
        <v>24578</v>
      </c>
      <c r="I14674" t="s">
        <v>1357</v>
      </c>
      <c r="J14674" t="s">
        <v>1357</v>
      </c>
      <c r="K14674" t="s">
        <v>1357</v>
      </c>
      <c r="L14674" t="s">
        <v>1357</v>
      </c>
    </row>
    <row r="14675" spans="1:12">
      <c r="H14675" t="s">
        <v>24579</v>
      </c>
      <c r="I14675" t="s">
        <v>1357</v>
      </c>
      <c r="J14675" t="s">
        <v>1357</v>
      </c>
      <c r="K14675" t="s">
        <v>1357</v>
      </c>
      <c r="L14675" t="s">
        <v>1357</v>
      </c>
    </row>
    <row r="14676" spans="1:12">
      <c r="H14676" t="s">
        <v>24580</v>
      </c>
      <c r="I14676" t="s">
        <v>1357</v>
      </c>
      <c r="J14676" t="s">
        <v>1357</v>
      </c>
      <c r="K14676" t="s">
        <v>1357</v>
      </c>
      <c r="L14676" t="s">
        <v>1357</v>
      </c>
    </row>
    <row r="14677" spans="1:12">
      <c r="H14677" t="s">
        <v>24581</v>
      </c>
      <c r="I14677" t="s">
        <v>1357</v>
      </c>
      <c r="J14677" t="s">
        <v>1357</v>
      </c>
      <c r="K14677" t="s">
        <v>1357</v>
      </c>
      <c r="L14677" t="s">
        <v>1357</v>
      </c>
    </row>
    <row r="14678" spans="1:12">
      <c r="H14678" t="s">
        <v>24582</v>
      </c>
      <c r="I14678" t="s">
        <v>1357</v>
      </c>
      <c r="J14678" t="s">
        <v>1357</v>
      </c>
      <c r="K14678" t="s">
        <v>1357</v>
      </c>
      <c r="L14678" t="s">
        <v>1357</v>
      </c>
    </row>
    <row r="14679" spans="1:12">
      <c r="H14679" t="s">
        <v>24583</v>
      </c>
      <c r="I14679" t="s">
        <v>1357</v>
      </c>
      <c r="J14679" t="s">
        <v>1357</v>
      </c>
      <c r="K14679" t="s">
        <v>1357</v>
      </c>
      <c r="L14679" t="s">
        <v>1357</v>
      </c>
    </row>
    <row r="14680" spans="1:12">
      <c r="A14680" t="s">
        <v>11216</v>
      </c>
      <c r="B14680">
        <f>HYPERLINK("https://android.googlesource.com/platform/cts/+/8b68f3d8ec44b131c9ddc99ad04f1e9ee2a3aa9a", "8b68f3d8ec44b131c9ddc99ad04f1e9ee2a3aa9a")</f>
        <v>0</v>
      </c>
      <c r="C14680">
        <f>HYPERLINK("https://android.googlesource.com/platform/cts/+/b24bbd5b2145d658fb5ba48f3815ffc4de5d5209", "b24bbd5b2145d658fb5ba48f3815ffc4de5d5209")</f>
        <v>0</v>
      </c>
      <c r="D14680" t="s">
        <v>12181</v>
      </c>
      <c r="E14680" t="s">
        <v>13743</v>
      </c>
      <c r="F14680" t="s">
        <v>16820</v>
      </c>
      <c r="G14680" t="s">
        <v>19439</v>
      </c>
      <c r="H14680" t="s">
        <v>24584</v>
      </c>
      <c r="I14680" t="s">
        <v>1357</v>
      </c>
      <c r="J14680" t="s">
        <v>1357</v>
      </c>
      <c r="K14680" t="s">
        <v>1357</v>
      </c>
      <c r="L14680" t="s">
        <v>1357</v>
      </c>
    </row>
    <row r="14681" spans="1:12">
      <c r="H14681" t="s">
        <v>24585</v>
      </c>
      <c r="I14681" t="s">
        <v>1357</v>
      </c>
      <c r="J14681" t="s">
        <v>1357</v>
      </c>
      <c r="K14681" t="s">
        <v>1357</v>
      </c>
      <c r="L14681" t="s">
        <v>1357</v>
      </c>
    </row>
    <row r="14682" spans="1:12">
      <c r="A14682" t="s">
        <v>11217</v>
      </c>
      <c r="B14682">
        <f>HYPERLINK("https://android.googlesource.com/platform/cts/+/b08673c860b5d606b94c56519686eca44e396323", "b08673c860b5d606b94c56519686eca44e396323")</f>
        <v>0</v>
      </c>
      <c r="C14682">
        <f>HYPERLINK("https://android.googlesource.com/platform/cts/+/f6273f59c5cab98bdc17d6657d38d76500432244", "f6273f59c5cab98bdc17d6657d38d76500432244")</f>
        <v>0</v>
      </c>
      <c r="D14682" t="s">
        <v>12187</v>
      </c>
      <c r="E14682" t="s">
        <v>13744</v>
      </c>
      <c r="F14682" t="s">
        <v>16403</v>
      </c>
      <c r="G14682" t="s">
        <v>19069</v>
      </c>
      <c r="H14682" t="s">
        <v>24586</v>
      </c>
      <c r="I14682" t="s">
        <v>1357</v>
      </c>
      <c r="J14682" t="s">
        <v>1357</v>
      </c>
      <c r="K14682" t="s">
        <v>1357</v>
      </c>
      <c r="L14682" t="s">
        <v>1357</v>
      </c>
    </row>
    <row r="14683" spans="1:12">
      <c r="A14683" t="s">
        <v>11218</v>
      </c>
      <c r="B14683">
        <f>HYPERLINK("https://android.googlesource.com/platform/cts/+/eefa272dae568708e4bec411af705975a40e5e30", "eefa272dae568708e4bec411af705975a40e5e30")</f>
        <v>0</v>
      </c>
      <c r="C14683">
        <f>HYPERLINK("https://android.googlesource.com/platform/cts/+/6be026441473468658fe33367e1cfea99432be4b", "6be026441473468658fe33367e1cfea99432be4b")</f>
        <v>0</v>
      </c>
      <c r="D14683" t="s">
        <v>12181</v>
      </c>
      <c r="E14683" t="s">
        <v>13745</v>
      </c>
      <c r="F14683" t="s">
        <v>16585</v>
      </c>
      <c r="G14683" t="s">
        <v>19227</v>
      </c>
      <c r="H14683" t="s">
        <v>24577</v>
      </c>
      <c r="I14683" t="s">
        <v>1357</v>
      </c>
      <c r="J14683" t="s">
        <v>1357</v>
      </c>
      <c r="K14683" t="s">
        <v>1357</v>
      </c>
      <c r="L14683" t="s">
        <v>1357</v>
      </c>
    </row>
    <row r="14684" spans="1:12">
      <c r="H14684" t="s">
        <v>24578</v>
      </c>
      <c r="I14684" t="s">
        <v>1357</v>
      </c>
      <c r="J14684" t="s">
        <v>1357</v>
      </c>
      <c r="K14684" t="s">
        <v>1357</v>
      </c>
      <c r="L14684" t="s">
        <v>1357</v>
      </c>
    </row>
    <row r="14685" spans="1:12">
      <c r="H14685" t="s">
        <v>24579</v>
      </c>
      <c r="I14685" t="s">
        <v>1357</v>
      </c>
      <c r="J14685" t="s">
        <v>1357</v>
      </c>
      <c r="K14685" t="s">
        <v>1357</v>
      </c>
      <c r="L14685" t="s">
        <v>1357</v>
      </c>
    </row>
    <row r="14686" spans="1:12">
      <c r="H14686" t="s">
        <v>24580</v>
      </c>
      <c r="I14686" t="s">
        <v>1357</v>
      </c>
      <c r="J14686" t="s">
        <v>1357</v>
      </c>
      <c r="K14686" t="s">
        <v>1357</v>
      </c>
      <c r="L14686" t="s">
        <v>1357</v>
      </c>
    </row>
    <row r="14687" spans="1:12">
      <c r="H14687" t="s">
        <v>24581</v>
      </c>
      <c r="I14687" t="s">
        <v>1357</v>
      </c>
      <c r="J14687" t="s">
        <v>1357</v>
      </c>
      <c r="K14687" t="s">
        <v>1357</v>
      </c>
      <c r="L14687" t="s">
        <v>1357</v>
      </c>
    </row>
    <row r="14688" spans="1:12">
      <c r="H14688" t="s">
        <v>24582</v>
      </c>
      <c r="I14688" t="s">
        <v>1357</v>
      </c>
      <c r="J14688" t="s">
        <v>1357</v>
      </c>
      <c r="K14688" t="s">
        <v>1357</v>
      </c>
      <c r="L14688" t="s">
        <v>1357</v>
      </c>
    </row>
    <row r="14689" spans="1:14">
      <c r="H14689" t="s">
        <v>24583</v>
      </c>
      <c r="I14689" t="s">
        <v>1357</v>
      </c>
      <c r="J14689" t="s">
        <v>1357</v>
      </c>
      <c r="K14689" t="s">
        <v>1357</v>
      </c>
      <c r="L14689" t="s">
        <v>1357</v>
      </c>
    </row>
    <row r="14690" spans="1:14">
      <c r="A14690" t="s">
        <v>11219</v>
      </c>
      <c r="B14690">
        <f>HYPERLINK("https://android.googlesource.com/platform/cts/+/017b729f5700e2bf607ab356021118d9a241984c", "017b729f5700e2bf607ab356021118d9a241984c")</f>
        <v>0</v>
      </c>
      <c r="C14690">
        <f>HYPERLINK("https://android.googlesource.com/platform/cts/+/d6830da127772478ec2feeb562d9f4a26d7fe0f5", "d6830da127772478ec2feeb562d9f4a26d7fe0f5")</f>
        <v>0</v>
      </c>
      <c r="D14690" t="s">
        <v>12311</v>
      </c>
      <c r="E14690" t="s">
        <v>13746</v>
      </c>
      <c r="F14690" t="s">
        <v>16821</v>
      </c>
      <c r="G14690" t="s">
        <v>19440</v>
      </c>
      <c r="H14690" t="s">
        <v>24587</v>
      </c>
      <c r="I14690" t="s">
        <v>1357</v>
      </c>
      <c r="J14690" t="s">
        <v>1357</v>
      </c>
      <c r="K14690" t="s">
        <v>1357</v>
      </c>
      <c r="L14690" t="s">
        <v>1357</v>
      </c>
    </row>
    <row r="14691" spans="1:14">
      <c r="F14691" t="s">
        <v>16822</v>
      </c>
      <c r="G14691" t="s">
        <v>19441</v>
      </c>
      <c r="H14691" t="s">
        <v>19948</v>
      </c>
      <c r="I14691" t="s">
        <v>1357</v>
      </c>
      <c r="J14691" t="s">
        <v>1357</v>
      </c>
      <c r="K14691" t="s">
        <v>1357</v>
      </c>
      <c r="L14691" t="s">
        <v>1357</v>
      </c>
    </row>
    <row r="14692" spans="1:14">
      <c r="H14692" t="s">
        <v>19890</v>
      </c>
      <c r="I14692" t="s">
        <v>1357</v>
      </c>
      <c r="J14692" t="s">
        <v>1357</v>
      </c>
      <c r="K14692" t="s">
        <v>1357</v>
      </c>
      <c r="L14692" t="s">
        <v>1357</v>
      </c>
    </row>
    <row r="14693" spans="1:14">
      <c r="H14693" t="s">
        <v>24588</v>
      </c>
      <c r="I14693" t="s">
        <v>1357</v>
      </c>
      <c r="J14693" t="s">
        <v>1357</v>
      </c>
      <c r="K14693" t="s">
        <v>1357</v>
      </c>
      <c r="L14693" t="s">
        <v>1357</v>
      </c>
    </row>
    <row r="14694" spans="1:14">
      <c r="F14694" t="s">
        <v>16823</v>
      </c>
      <c r="G14694" t="s">
        <v>19442</v>
      </c>
      <c r="H14694" t="s">
        <v>24589</v>
      </c>
      <c r="I14694" t="s">
        <v>1357</v>
      </c>
      <c r="J14694" t="s">
        <v>1357</v>
      </c>
      <c r="K14694" t="s">
        <v>1357</v>
      </c>
      <c r="L14694" t="s">
        <v>1357</v>
      </c>
    </row>
    <row r="14695" spans="1:14">
      <c r="A14695" t="s">
        <v>11220</v>
      </c>
      <c r="B14695">
        <f>HYPERLINK("https://android.googlesource.com/platform/cts/+/7c1c399bba79cba5c9ac65a55a63ee29be61523e", "7c1c399bba79cba5c9ac65a55a63ee29be61523e")</f>
        <v>0</v>
      </c>
      <c r="C14695">
        <f>HYPERLINK("https://android.googlesource.com/platform/cts/+/f655ff4c520f5fa28792c769d4e3b3dc48d4ca5a", "f655ff4c520f5fa28792c769d4e3b3dc48d4ca5a")</f>
        <v>0</v>
      </c>
      <c r="D14695" t="s">
        <v>12187</v>
      </c>
      <c r="E14695" t="s">
        <v>13747</v>
      </c>
      <c r="F14695" t="s">
        <v>16403</v>
      </c>
      <c r="G14695" t="s">
        <v>19069</v>
      </c>
      <c r="H14695" t="s">
        <v>24586</v>
      </c>
      <c r="I14695" t="s">
        <v>1357</v>
      </c>
      <c r="J14695" t="s">
        <v>1357</v>
      </c>
      <c r="K14695" t="s">
        <v>1357</v>
      </c>
      <c r="L14695" t="s">
        <v>1357</v>
      </c>
    </row>
    <row r="14696" spans="1:14">
      <c r="A14696" t="s">
        <v>11221</v>
      </c>
      <c r="B14696">
        <f>HYPERLINK("https://android.googlesource.com/platform/cts/+/04fdb712cc0a3ea8896514349d37e4a0191fbf32", "04fdb712cc0a3ea8896514349d37e4a0191fbf32")</f>
        <v>0</v>
      </c>
      <c r="C14696">
        <f>HYPERLINK("https://android.googlesource.com/platform/cts/+/86cf4c186997e5ee64903822b019118c7df7c804", "86cf4c186997e5ee64903822b019118c7df7c804")</f>
        <v>0</v>
      </c>
      <c r="D14696" t="s">
        <v>12187</v>
      </c>
      <c r="E14696" t="s">
        <v>13689</v>
      </c>
      <c r="F14696" t="s">
        <v>14580</v>
      </c>
      <c r="G14696" t="s">
        <v>17424</v>
      </c>
      <c r="H14696" t="s">
        <v>24460</v>
      </c>
      <c r="I14696" t="s">
        <v>1357</v>
      </c>
      <c r="J14696" t="s">
        <v>1357</v>
      </c>
      <c r="K14696" t="s">
        <v>1357</v>
      </c>
      <c r="L14696" t="s">
        <v>1357</v>
      </c>
    </row>
    <row r="14697" spans="1:14">
      <c r="A14697" t="s">
        <v>11222</v>
      </c>
      <c r="B14697">
        <f>HYPERLINK("https://android.googlesource.com/platform/cts/+/a1071dc78c3741454743353e4a9e1165de3fc008", "a1071dc78c3741454743353e4a9e1165de3fc008")</f>
        <v>0</v>
      </c>
      <c r="C14697">
        <f>HYPERLINK("https://android.googlesource.com/platform/cts/+/eab6590c2114bf2246357671b2627fe94103dc68", "eab6590c2114bf2246357671b2627fe94103dc68")</f>
        <v>0</v>
      </c>
      <c r="D14697" t="s">
        <v>12187</v>
      </c>
      <c r="E14697" t="s">
        <v>13748</v>
      </c>
      <c r="F14697" t="s">
        <v>14580</v>
      </c>
      <c r="G14697" t="s">
        <v>17424</v>
      </c>
      <c r="H14697" t="s">
        <v>24460</v>
      </c>
      <c r="I14697" t="s">
        <v>1357</v>
      </c>
      <c r="J14697" t="s">
        <v>1357</v>
      </c>
      <c r="K14697" t="s">
        <v>1357</v>
      </c>
      <c r="L14697" t="s">
        <v>1357</v>
      </c>
      <c r="M14697" t="s">
        <v>9957</v>
      </c>
    </row>
    <row r="14698" spans="1:14">
      <c r="A14698" t="s">
        <v>11223</v>
      </c>
      <c r="B14698">
        <f>HYPERLINK("https://android.googlesource.com/platform/cts/+/62d18834ab13a1bc7961c96629b229a0e9f92c66", "62d18834ab13a1bc7961c96629b229a0e9f92c66")</f>
        <v>0</v>
      </c>
      <c r="C14698">
        <f>HYPERLINK("https://android.googlesource.com/platform/cts/+/9765deeb315ec9aa36eb0c0a4a5918e3334e4f72", "9765deeb315ec9aa36eb0c0a4a5918e3334e4f72")</f>
        <v>0</v>
      </c>
      <c r="D14698" t="s">
        <v>12340</v>
      </c>
      <c r="E14698" t="s">
        <v>13749</v>
      </c>
      <c r="F14698" t="s">
        <v>16824</v>
      </c>
      <c r="G14698" t="s">
        <v>19443</v>
      </c>
      <c r="H14698" t="s">
        <v>24590</v>
      </c>
      <c r="I14698" t="s">
        <v>1358</v>
      </c>
      <c r="J14698" t="s">
        <v>1358</v>
      </c>
      <c r="K14698" t="s">
        <v>1358</v>
      </c>
      <c r="L14698" t="s">
        <v>1358</v>
      </c>
    </row>
    <row r="14699" spans="1:14">
      <c r="F14699" t="s">
        <v>16825</v>
      </c>
      <c r="G14699" t="s">
        <v>19444</v>
      </c>
      <c r="H14699" t="s">
        <v>24590</v>
      </c>
      <c r="I14699" t="s">
        <v>1358</v>
      </c>
      <c r="J14699" t="s">
        <v>1358</v>
      </c>
      <c r="K14699" t="s">
        <v>1358</v>
      </c>
      <c r="L14699" t="s">
        <v>1358</v>
      </c>
    </row>
    <row r="14700" spans="1:14">
      <c r="F14700" t="s">
        <v>16826</v>
      </c>
      <c r="G14700" t="s">
        <v>19445</v>
      </c>
      <c r="H14700" t="s">
        <v>24590</v>
      </c>
      <c r="I14700" t="s">
        <v>1359</v>
      </c>
      <c r="J14700" t="s">
        <v>1358</v>
      </c>
      <c r="K14700" t="s">
        <v>1357</v>
      </c>
      <c r="L14700" t="s">
        <v>1358</v>
      </c>
      <c r="N14700" t="s">
        <v>27528</v>
      </c>
    </row>
    <row r="14701" spans="1:14">
      <c r="A14701" t="s">
        <v>11224</v>
      </c>
      <c r="B14701">
        <f>HYPERLINK("https://android.googlesource.com/platform/cts/+/dc839870f59061496be9802300e66571a24b5f36", "dc839870f59061496be9802300e66571a24b5f36")</f>
        <v>0</v>
      </c>
      <c r="C14701">
        <f>HYPERLINK("https://android.googlesource.com/platform/cts/+/4c8c74ec344f9954e39141f1652074e12ab9db96", "4c8c74ec344f9954e39141f1652074e12ab9db96")</f>
        <v>0</v>
      </c>
      <c r="D14701" t="s">
        <v>12343</v>
      </c>
      <c r="E14701" t="s">
        <v>13750</v>
      </c>
      <c r="F14701" t="s">
        <v>16827</v>
      </c>
      <c r="G14701" t="s">
        <v>19446</v>
      </c>
      <c r="H14701" t="s">
        <v>24591</v>
      </c>
      <c r="I14701" t="s">
        <v>1357</v>
      </c>
      <c r="J14701" t="s">
        <v>1357</v>
      </c>
      <c r="K14701" t="s">
        <v>1357</v>
      </c>
      <c r="L14701" t="s">
        <v>1357</v>
      </c>
    </row>
    <row r="14702" spans="1:14">
      <c r="A14702" t="s">
        <v>11225</v>
      </c>
      <c r="B14702">
        <f>HYPERLINK("https://android.googlesource.com/platform/cts/+/98f45dc43ca07e9148c8d0347a0c184cefef58c2", "98f45dc43ca07e9148c8d0347a0c184cefef58c2")</f>
        <v>0</v>
      </c>
      <c r="C14702">
        <f>HYPERLINK("https://android.googlesource.com/platform/cts/+/98d64ba9b3747aadf9f9fda4bd68f83bc1dc40ff", "98d64ba9b3747aadf9f9fda4bd68f83bc1dc40ff")</f>
        <v>0</v>
      </c>
      <c r="D14702" t="s">
        <v>12344</v>
      </c>
      <c r="E14702" t="s">
        <v>13751</v>
      </c>
      <c r="F14702" t="s">
        <v>16828</v>
      </c>
      <c r="G14702" t="s">
        <v>19447</v>
      </c>
      <c r="H14702" t="s">
        <v>24592</v>
      </c>
      <c r="I14702" t="s">
        <v>1357</v>
      </c>
      <c r="J14702" t="s">
        <v>1357</v>
      </c>
      <c r="K14702" t="s">
        <v>1357</v>
      </c>
      <c r="L14702" t="s">
        <v>1357</v>
      </c>
    </row>
    <row r="14703" spans="1:14">
      <c r="H14703" t="s">
        <v>24593</v>
      </c>
      <c r="I14703" t="s">
        <v>1357</v>
      </c>
      <c r="J14703" t="s">
        <v>1357</v>
      </c>
      <c r="K14703" t="s">
        <v>1357</v>
      </c>
      <c r="L14703" t="s">
        <v>1357</v>
      </c>
    </row>
    <row r="14704" spans="1:14">
      <c r="H14704" t="s">
        <v>24594</v>
      </c>
      <c r="I14704" t="s">
        <v>1357</v>
      </c>
      <c r="J14704" t="s">
        <v>1357</v>
      </c>
      <c r="K14704" t="s">
        <v>1357</v>
      </c>
      <c r="L14704" t="s">
        <v>1357</v>
      </c>
    </row>
    <row r="14705" spans="1:12">
      <c r="A14705" t="s">
        <v>11226</v>
      </c>
      <c r="B14705">
        <f>HYPERLINK("https://android.googlesource.com/platform/cts/+/d1e678a508bfd277817b96de954347a6b0ed9cc2", "d1e678a508bfd277817b96de954347a6b0ed9cc2")</f>
        <v>0</v>
      </c>
      <c r="C14705">
        <f>HYPERLINK("https://android.googlesource.com/platform/cts/+/6d91d96d725faa054b623a0ec9ab1bcbed91dfba", "6d91d96d725faa054b623a0ec9ab1bcbed91dfba")</f>
        <v>0</v>
      </c>
      <c r="D14705" t="s">
        <v>12345</v>
      </c>
      <c r="E14705" t="s">
        <v>13752</v>
      </c>
      <c r="F14705" t="s">
        <v>16811</v>
      </c>
      <c r="G14705" t="s">
        <v>19431</v>
      </c>
      <c r="H14705" t="s">
        <v>24595</v>
      </c>
      <c r="I14705" t="s">
        <v>1357</v>
      </c>
      <c r="J14705" t="s">
        <v>1357</v>
      </c>
      <c r="K14705" t="s">
        <v>1357</v>
      </c>
      <c r="L14705" t="s">
        <v>1357</v>
      </c>
    </row>
    <row r="14706" spans="1:12">
      <c r="H14706" t="s">
        <v>24596</v>
      </c>
      <c r="I14706" t="s">
        <v>1357</v>
      </c>
      <c r="J14706" t="s">
        <v>1357</v>
      </c>
      <c r="K14706" t="s">
        <v>1357</v>
      </c>
      <c r="L14706" t="s">
        <v>1357</v>
      </c>
    </row>
    <row r="14707" spans="1:12">
      <c r="A14707" t="s">
        <v>11227</v>
      </c>
      <c r="B14707">
        <f>HYPERLINK("https://android.googlesource.com/platform/cts/+/1e43b6cce2f2ef858ff629ef4257ef63806f282b", "1e43b6cce2f2ef858ff629ef4257ef63806f282b")</f>
        <v>0</v>
      </c>
      <c r="C14707">
        <f>HYPERLINK("https://android.googlesource.com/platform/cts/+/9712816484bf3d3d0a1fb04e92d7b71fe3a13b99", "9712816484bf3d3d0a1fb04e92d7b71fe3a13b99")</f>
        <v>0</v>
      </c>
      <c r="D14707" t="s">
        <v>12346</v>
      </c>
      <c r="E14707" t="s">
        <v>13753</v>
      </c>
      <c r="F14707" t="s">
        <v>16829</v>
      </c>
      <c r="G14707" t="s">
        <v>19420</v>
      </c>
      <c r="H14707" t="s">
        <v>24597</v>
      </c>
      <c r="I14707" t="s">
        <v>1357</v>
      </c>
      <c r="J14707" t="s">
        <v>1357</v>
      </c>
      <c r="K14707" t="s">
        <v>1357</v>
      </c>
      <c r="L14707" t="s">
        <v>1357</v>
      </c>
    </row>
    <row r="14708" spans="1:12">
      <c r="F14708" t="s">
        <v>16830</v>
      </c>
      <c r="G14708" t="s">
        <v>19420</v>
      </c>
      <c r="H14708" t="s">
        <v>24597</v>
      </c>
      <c r="I14708" t="s">
        <v>1357</v>
      </c>
      <c r="J14708" t="s">
        <v>1357</v>
      </c>
      <c r="K14708" t="s">
        <v>1357</v>
      </c>
      <c r="L14708" t="s">
        <v>1357</v>
      </c>
    </row>
    <row r="14709" spans="1:12">
      <c r="F14709" t="s">
        <v>16831</v>
      </c>
      <c r="G14709" t="s">
        <v>19420</v>
      </c>
      <c r="H14709" t="s">
        <v>24597</v>
      </c>
      <c r="I14709" t="s">
        <v>1357</v>
      </c>
      <c r="J14709" t="s">
        <v>1357</v>
      </c>
      <c r="K14709" t="s">
        <v>1357</v>
      </c>
      <c r="L14709" t="s">
        <v>1357</v>
      </c>
    </row>
    <row r="14710" spans="1:12">
      <c r="A14710" t="s">
        <v>11228</v>
      </c>
      <c r="B14710">
        <f>HYPERLINK("https://android.googlesource.com/platform/cts/+/4b581c65323408e72fbf9f792f18c55f1b649cbd", "4b581c65323408e72fbf9f792f18c55f1b649cbd")</f>
        <v>0</v>
      </c>
      <c r="C14710">
        <f>HYPERLINK("https://android.googlesource.com/platform/cts/+/90339eda3754d3911490d3803017d47a5f878201", "90339eda3754d3911490d3803017d47a5f878201")</f>
        <v>0</v>
      </c>
      <c r="D14710" t="s">
        <v>12347</v>
      </c>
      <c r="E14710" t="s">
        <v>13754</v>
      </c>
      <c r="F14710" t="s">
        <v>16832</v>
      </c>
      <c r="G14710" t="s">
        <v>19448</v>
      </c>
      <c r="H14710" t="s">
        <v>24598</v>
      </c>
      <c r="I14710" t="s">
        <v>1357</v>
      </c>
      <c r="J14710" t="s">
        <v>1357</v>
      </c>
      <c r="K14710" t="s">
        <v>1357</v>
      </c>
      <c r="L14710" t="s">
        <v>1357</v>
      </c>
    </row>
    <row r="14711" spans="1:12">
      <c r="A14711" t="s">
        <v>11229</v>
      </c>
      <c r="B14711">
        <f>HYPERLINK("https://android.googlesource.com/platform/cts/+/f0e4bb61a298b6053848c6c3ac9827e303dc89a2", "f0e4bb61a298b6053848c6c3ac9827e303dc89a2")</f>
        <v>0</v>
      </c>
      <c r="C14711">
        <f>HYPERLINK("https://android.googlesource.com/platform/cts/+/67e157a2005c36f0b507dc97ae571274cb9d605e", "67e157a2005c36f0b507dc97ae571274cb9d605e")</f>
        <v>0</v>
      </c>
      <c r="D14711" t="s">
        <v>12270</v>
      </c>
      <c r="E14711" t="s">
        <v>13755</v>
      </c>
      <c r="F14711" t="s">
        <v>16833</v>
      </c>
      <c r="G14711" t="s">
        <v>19449</v>
      </c>
      <c r="H14711" t="s">
        <v>24599</v>
      </c>
      <c r="I14711" t="s">
        <v>1357</v>
      </c>
      <c r="J14711" t="s">
        <v>1357</v>
      </c>
      <c r="K14711" t="s">
        <v>1357</v>
      </c>
      <c r="L14711" t="s">
        <v>1357</v>
      </c>
    </row>
    <row r="14712" spans="1:12">
      <c r="F14712" t="s">
        <v>16099</v>
      </c>
      <c r="G14712" t="s">
        <v>18788</v>
      </c>
      <c r="H14712" t="s">
        <v>24600</v>
      </c>
      <c r="I14712" t="s">
        <v>1357</v>
      </c>
      <c r="J14712" t="s">
        <v>1357</v>
      </c>
      <c r="K14712" t="s">
        <v>1357</v>
      </c>
      <c r="L14712" t="s">
        <v>1357</v>
      </c>
    </row>
    <row r="14713" spans="1:12">
      <c r="F14713" t="s">
        <v>16147</v>
      </c>
      <c r="G14713" t="s">
        <v>17894</v>
      </c>
      <c r="H14713" t="s">
        <v>24601</v>
      </c>
      <c r="I14713" t="s">
        <v>1357</v>
      </c>
      <c r="J14713" t="s">
        <v>1357</v>
      </c>
      <c r="K14713" t="s">
        <v>1357</v>
      </c>
      <c r="L14713" t="s">
        <v>1357</v>
      </c>
    </row>
    <row r="14714" spans="1:12">
      <c r="A14714" t="s">
        <v>11230</v>
      </c>
      <c r="B14714">
        <f>HYPERLINK("https://android.googlesource.com/platform/cts/+/71a57b7c6c8abec55c2b287d690dc93f68db5c7f", "71a57b7c6c8abec55c2b287d690dc93f68db5c7f")</f>
        <v>0</v>
      </c>
      <c r="C14714">
        <f>HYPERLINK("https://android.googlesource.com/platform/cts/+/25588b01bb0ecd945bdbe786c94f9504d905bbaf", "25588b01bb0ecd945bdbe786c94f9504d905bbaf")</f>
        <v>0</v>
      </c>
      <c r="D14714" t="s">
        <v>12348</v>
      </c>
      <c r="E14714" t="s">
        <v>13756</v>
      </c>
      <c r="F14714" t="s">
        <v>16834</v>
      </c>
      <c r="G14714" t="s">
        <v>19450</v>
      </c>
      <c r="H14714" t="s">
        <v>23435</v>
      </c>
      <c r="I14714" t="s">
        <v>1357</v>
      </c>
      <c r="J14714" t="s">
        <v>1357</v>
      </c>
      <c r="K14714" t="s">
        <v>1357</v>
      </c>
      <c r="L14714" t="s">
        <v>1357</v>
      </c>
    </row>
    <row r="14715" spans="1:12">
      <c r="A14715" t="s">
        <v>11231</v>
      </c>
      <c r="B14715">
        <f>HYPERLINK("https://android.googlesource.com/platform/cts/+/4c367c7abf65bf844bce8ecb65275636e35887f8", "4c367c7abf65bf844bce8ecb65275636e35887f8")</f>
        <v>0</v>
      </c>
      <c r="C14715">
        <f>HYPERLINK("https://android.googlesource.com/platform/cts/+/1d4f251412ebf449fb42221e6d3c7153523efb5c", "1d4f251412ebf449fb42221e6d3c7153523efb5c")</f>
        <v>0</v>
      </c>
      <c r="D14715" t="s">
        <v>12349</v>
      </c>
      <c r="E14715" t="s">
        <v>13757</v>
      </c>
      <c r="F14715" t="s">
        <v>16835</v>
      </c>
      <c r="G14715" t="s">
        <v>19451</v>
      </c>
      <c r="H14715" t="s">
        <v>24602</v>
      </c>
      <c r="I14715" t="s">
        <v>1357</v>
      </c>
      <c r="J14715" t="s">
        <v>1357</v>
      </c>
      <c r="K14715" t="s">
        <v>1357</v>
      </c>
      <c r="L14715" t="s">
        <v>1357</v>
      </c>
    </row>
    <row r="14716" spans="1:12">
      <c r="H14716" t="s">
        <v>24603</v>
      </c>
      <c r="I14716" t="s">
        <v>1357</v>
      </c>
      <c r="J14716" t="s">
        <v>1357</v>
      </c>
      <c r="K14716" t="s">
        <v>1357</v>
      </c>
      <c r="L14716" t="s">
        <v>1357</v>
      </c>
    </row>
    <row r="14717" spans="1:12">
      <c r="A14717" t="s">
        <v>11232</v>
      </c>
      <c r="B14717">
        <f>HYPERLINK("https://android.googlesource.com/platform/cts/+/2a735485806d9a21180e8df0a7a561b4487f2700", "2a735485806d9a21180e8df0a7a561b4487f2700")</f>
        <v>0</v>
      </c>
      <c r="C14717">
        <f>HYPERLINK("https://android.googlesource.com/platform/cts/+/20e40673e104f1b78355b5b0b0fd1a46a8b9f208", "20e40673e104f1b78355b5b0b0fd1a46a8b9f208")</f>
        <v>0</v>
      </c>
      <c r="D14717" t="s">
        <v>12331</v>
      </c>
      <c r="E14717" t="s">
        <v>13758</v>
      </c>
      <c r="F14717" t="s">
        <v>16836</v>
      </c>
      <c r="G14717" t="s">
        <v>19452</v>
      </c>
      <c r="H14717" t="s">
        <v>24604</v>
      </c>
      <c r="I14717" t="s">
        <v>1357</v>
      </c>
      <c r="J14717" t="s">
        <v>1357</v>
      </c>
      <c r="K14717" t="s">
        <v>1357</v>
      </c>
      <c r="L14717" t="s">
        <v>1357</v>
      </c>
    </row>
    <row r="14718" spans="1:12">
      <c r="H14718" t="s">
        <v>24605</v>
      </c>
      <c r="I14718" t="s">
        <v>1357</v>
      </c>
      <c r="J14718" t="s">
        <v>1357</v>
      </c>
      <c r="K14718" t="s">
        <v>1357</v>
      </c>
      <c r="L14718" t="s">
        <v>1357</v>
      </c>
    </row>
    <row r="14719" spans="1:12">
      <c r="H14719" t="s">
        <v>24606</v>
      </c>
      <c r="I14719" t="s">
        <v>1357</v>
      </c>
      <c r="J14719" t="s">
        <v>1357</v>
      </c>
      <c r="K14719" t="s">
        <v>1357</v>
      </c>
      <c r="L14719" t="s">
        <v>1357</v>
      </c>
    </row>
    <row r="14720" spans="1:12">
      <c r="A14720" t="s">
        <v>11233</v>
      </c>
      <c r="B14720">
        <f>HYPERLINK("https://android.googlesource.com/platform/cts/+/97f49f8fc9edd3d735f6011efd153a289aa56496", "97f49f8fc9edd3d735f6011efd153a289aa56496")</f>
        <v>0</v>
      </c>
      <c r="C14720">
        <f>HYPERLINK("https://android.googlesource.com/platform/cts/+/25c5e19a3f3c99d96e9084a15cb359c541dc1e20", "25c5e19a3f3c99d96e9084a15cb359c541dc1e20")</f>
        <v>0</v>
      </c>
      <c r="D14720" t="s">
        <v>12315</v>
      </c>
      <c r="E14720" t="s">
        <v>13759</v>
      </c>
      <c r="F14720" t="s">
        <v>16802</v>
      </c>
      <c r="G14720" t="s">
        <v>19423</v>
      </c>
      <c r="H14720" t="s">
        <v>24512</v>
      </c>
      <c r="I14720" t="s">
        <v>1357</v>
      </c>
      <c r="J14720" t="s">
        <v>1357</v>
      </c>
      <c r="K14720" t="s">
        <v>1357</v>
      </c>
      <c r="L14720" t="s">
        <v>1357</v>
      </c>
    </row>
    <row r="14721" spans="1:12">
      <c r="H14721" t="s">
        <v>24513</v>
      </c>
      <c r="I14721" t="s">
        <v>1357</v>
      </c>
      <c r="J14721" t="s">
        <v>1357</v>
      </c>
      <c r="K14721" t="s">
        <v>1357</v>
      </c>
      <c r="L14721" t="s">
        <v>1357</v>
      </c>
    </row>
    <row r="14722" spans="1:12">
      <c r="F14722" t="s">
        <v>16803</v>
      </c>
      <c r="G14722" t="s">
        <v>19424</v>
      </c>
      <c r="H14722" t="s">
        <v>24514</v>
      </c>
      <c r="I14722" t="s">
        <v>1357</v>
      </c>
      <c r="J14722" t="s">
        <v>1357</v>
      </c>
      <c r="K14722" t="s">
        <v>1357</v>
      </c>
      <c r="L14722" t="s">
        <v>1357</v>
      </c>
    </row>
    <row r="14723" spans="1:12">
      <c r="H14723" t="s">
        <v>24515</v>
      </c>
      <c r="I14723" t="s">
        <v>1357</v>
      </c>
      <c r="J14723" t="s">
        <v>1357</v>
      </c>
      <c r="K14723" t="s">
        <v>1357</v>
      </c>
      <c r="L14723" t="s">
        <v>1357</v>
      </c>
    </row>
    <row r="14724" spans="1:12">
      <c r="H14724" t="s">
        <v>24516</v>
      </c>
      <c r="I14724" t="s">
        <v>1357</v>
      </c>
      <c r="J14724" t="s">
        <v>1357</v>
      </c>
      <c r="K14724" t="s">
        <v>1357</v>
      </c>
      <c r="L14724" t="s">
        <v>1357</v>
      </c>
    </row>
    <row r="14725" spans="1:12">
      <c r="H14725" t="s">
        <v>24517</v>
      </c>
      <c r="I14725" t="s">
        <v>1357</v>
      </c>
      <c r="J14725" t="s">
        <v>1357</v>
      </c>
      <c r="K14725" t="s">
        <v>1357</v>
      </c>
      <c r="L14725" t="s">
        <v>1357</v>
      </c>
    </row>
    <row r="14726" spans="1:12">
      <c r="H14726" t="s">
        <v>24518</v>
      </c>
      <c r="I14726" t="s">
        <v>1357</v>
      </c>
      <c r="J14726" t="s">
        <v>1357</v>
      </c>
      <c r="K14726" t="s">
        <v>1357</v>
      </c>
      <c r="L14726" t="s">
        <v>1357</v>
      </c>
    </row>
    <row r="14727" spans="1:12">
      <c r="F14727" t="s">
        <v>16804</v>
      </c>
      <c r="G14727" t="s">
        <v>19425</v>
      </c>
      <c r="H14727" t="s">
        <v>24519</v>
      </c>
      <c r="I14727" t="s">
        <v>1357</v>
      </c>
      <c r="J14727" t="s">
        <v>1357</v>
      </c>
      <c r="K14727" t="s">
        <v>1357</v>
      </c>
      <c r="L14727" t="s">
        <v>1357</v>
      </c>
    </row>
    <row r="14728" spans="1:12">
      <c r="H14728" t="s">
        <v>24520</v>
      </c>
      <c r="I14728" t="s">
        <v>1357</v>
      </c>
      <c r="J14728" t="s">
        <v>1357</v>
      </c>
      <c r="K14728" t="s">
        <v>1357</v>
      </c>
      <c r="L14728" t="s">
        <v>1357</v>
      </c>
    </row>
    <row r="14729" spans="1:12">
      <c r="F14729" t="s">
        <v>16805</v>
      </c>
      <c r="G14729" t="s">
        <v>19426</v>
      </c>
      <c r="H14729" t="s">
        <v>24521</v>
      </c>
      <c r="I14729" t="s">
        <v>1357</v>
      </c>
      <c r="J14729" t="s">
        <v>1357</v>
      </c>
      <c r="K14729" t="s">
        <v>1357</v>
      </c>
      <c r="L14729" t="s">
        <v>1357</v>
      </c>
    </row>
    <row r="14730" spans="1:12">
      <c r="A14730" t="s">
        <v>11234</v>
      </c>
      <c r="B14730">
        <f>HYPERLINK("https://android.googlesource.com/platform/cts/+/723aeefad279f4f9013b3e3153c3f85b7d56a67a", "723aeefad279f4f9013b3e3153c3f85b7d56a67a")</f>
        <v>0</v>
      </c>
      <c r="C14730">
        <f>HYPERLINK("https://android.googlesource.com/platform/cts/+/0fb562077c998f1fa90b0e3be5436bb122bf9b3c", "0fb562077c998f1fa90b0e3be5436bb122bf9b3c")</f>
        <v>0</v>
      </c>
      <c r="D14730" t="s">
        <v>12339</v>
      </c>
      <c r="E14730" t="s">
        <v>13760</v>
      </c>
      <c r="F14730" t="s">
        <v>16807</v>
      </c>
      <c r="G14730" t="s">
        <v>19428</v>
      </c>
      <c r="H14730" t="s">
        <v>24506</v>
      </c>
      <c r="I14730" t="s">
        <v>1357</v>
      </c>
      <c r="J14730" t="s">
        <v>1357</v>
      </c>
      <c r="K14730" t="s">
        <v>1357</v>
      </c>
      <c r="L14730" t="s">
        <v>1357</v>
      </c>
    </row>
    <row r="14731" spans="1:12">
      <c r="H14731" t="s">
        <v>24607</v>
      </c>
      <c r="I14731" t="s">
        <v>1357</v>
      </c>
      <c r="J14731" t="s">
        <v>1357</v>
      </c>
      <c r="K14731" t="s">
        <v>1357</v>
      </c>
      <c r="L14731" t="s">
        <v>1357</v>
      </c>
    </row>
    <row r="14732" spans="1:12">
      <c r="H14732" t="s">
        <v>24608</v>
      </c>
      <c r="I14732" t="s">
        <v>1357</v>
      </c>
      <c r="J14732" t="s">
        <v>1357</v>
      </c>
      <c r="K14732" t="s">
        <v>1357</v>
      </c>
      <c r="L14732" t="s">
        <v>1357</v>
      </c>
    </row>
    <row r="14733" spans="1:12">
      <c r="A14733" t="s">
        <v>11235</v>
      </c>
      <c r="B14733">
        <f>HYPERLINK("https://android.googlesource.com/platform/cts/+/74c2210ef071f2d4158e5e5acccb51102fb392c4", "74c2210ef071f2d4158e5e5acccb51102fb392c4")</f>
        <v>0</v>
      </c>
      <c r="C14733">
        <f>HYPERLINK("https://android.googlesource.com/platform/cts/+/89c79f0513e51b2173748bb449fa4d80eb3f6545", "89c79f0513e51b2173748bb449fa4d80eb3f6545")</f>
        <v>0</v>
      </c>
      <c r="D14733" t="s">
        <v>12268</v>
      </c>
      <c r="E14733" t="s">
        <v>13761</v>
      </c>
      <c r="F14733" t="s">
        <v>16837</v>
      </c>
      <c r="G14733" t="s">
        <v>19453</v>
      </c>
      <c r="H14733" t="s">
        <v>24609</v>
      </c>
      <c r="I14733" t="s">
        <v>1357</v>
      </c>
      <c r="J14733" t="s">
        <v>1357</v>
      </c>
      <c r="K14733" t="s">
        <v>1357</v>
      </c>
      <c r="L14733" t="s">
        <v>1357</v>
      </c>
    </row>
    <row r="14734" spans="1:12">
      <c r="H14734" t="s">
        <v>24610</v>
      </c>
      <c r="I14734" t="s">
        <v>1357</v>
      </c>
      <c r="J14734" t="s">
        <v>1357</v>
      </c>
      <c r="K14734" t="s">
        <v>1357</v>
      </c>
      <c r="L14734" t="s">
        <v>1357</v>
      </c>
    </row>
    <row r="14735" spans="1:12">
      <c r="H14735" t="s">
        <v>24611</v>
      </c>
      <c r="I14735" t="s">
        <v>1357</v>
      </c>
      <c r="J14735" t="s">
        <v>1357</v>
      </c>
      <c r="K14735" t="s">
        <v>1357</v>
      </c>
      <c r="L14735" t="s">
        <v>1357</v>
      </c>
    </row>
    <row r="14736" spans="1:12">
      <c r="H14736" t="s">
        <v>24612</v>
      </c>
      <c r="I14736" t="s">
        <v>1357</v>
      </c>
      <c r="J14736" t="s">
        <v>1357</v>
      </c>
      <c r="K14736" t="s">
        <v>1357</v>
      </c>
      <c r="L14736" t="s">
        <v>1357</v>
      </c>
    </row>
    <row r="14737" spans="1:14">
      <c r="A14737" t="s">
        <v>11236</v>
      </c>
      <c r="B14737">
        <f>HYPERLINK("https://android.googlesource.com/platform/cts/+/811f75c37ac781e27c84bd5c525764002d196c23", "811f75c37ac781e27c84bd5c525764002d196c23")</f>
        <v>0</v>
      </c>
      <c r="C14737">
        <f>HYPERLINK("https://android.googlesource.com/platform/cts/+/b7b4f065feb30478494a75fb3393c9db12092f66", "b7b4f065feb30478494a75fb3393c9db12092f66")</f>
        <v>0</v>
      </c>
      <c r="D14737" t="s">
        <v>12349</v>
      </c>
      <c r="E14737" t="s">
        <v>13762</v>
      </c>
      <c r="F14737" t="s">
        <v>16835</v>
      </c>
      <c r="G14737" t="s">
        <v>19451</v>
      </c>
      <c r="H14737" t="s">
        <v>24602</v>
      </c>
      <c r="I14737" t="s">
        <v>1357</v>
      </c>
      <c r="J14737" t="s">
        <v>1357</v>
      </c>
      <c r="K14737" t="s">
        <v>1357</v>
      </c>
      <c r="L14737" t="s">
        <v>1357</v>
      </c>
    </row>
    <row r="14738" spans="1:14">
      <c r="H14738" t="s">
        <v>24603</v>
      </c>
      <c r="I14738" t="s">
        <v>1357</v>
      </c>
      <c r="J14738" t="s">
        <v>1357</v>
      </c>
      <c r="K14738" t="s">
        <v>1357</v>
      </c>
      <c r="L14738" t="s">
        <v>1357</v>
      </c>
    </row>
    <row r="14739" spans="1:14">
      <c r="A14739" t="s">
        <v>11237</v>
      </c>
      <c r="B14739">
        <f>HYPERLINK("https://android.googlesource.com/platform/cts/+/f767a6681e58b380f2e1b0f4c0a98e8c3e126895", "f767a6681e58b380f2e1b0f4c0a98e8c3e126895")</f>
        <v>0</v>
      </c>
      <c r="C14739">
        <f>HYPERLINK("https://android.googlesource.com/platform/cts/+/28a869c9a19c74f0d291e7ff065f04715b480912", "28a869c9a19c74f0d291e7ff065f04715b480912")</f>
        <v>0</v>
      </c>
      <c r="D14739" t="s">
        <v>12331</v>
      </c>
      <c r="E14739" t="s">
        <v>13763</v>
      </c>
      <c r="F14739" t="s">
        <v>16836</v>
      </c>
      <c r="G14739" t="s">
        <v>19452</v>
      </c>
      <c r="H14739" t="s">
        <v>24604</v>
      </c>
      <c r="I14739" t="s">
        <v>1357</v>
      </c>
      <c r="J14739" t="s">
        <v>1357</v>
      </c>
      <c r="K14739" t="s">
        <v>1357</v>
      </c>
      <c r="L14739" t="s">
        <v>1357</v>
      </c>
    </row>
    <row r="14740" spans="1:14">
      <c r="H14740" t="s">
        <v>24605</v>
      </c>
      <c r="I14740" t="s">
        <v>1357</v>
      </c>
      <c r="J14740" t="s">
        <v>1357</v>
      </c>
      <c r="K14740" t="s">
        <v>1357</v>
      </c>
      <c r="L14740" t="s">
        <v>1357</v>
      </c>
    </row>
    <row r="14741" spans="1:14">
      <c r="H14741" t="s">
        <v>24606</v>
      </c>
      <c r="I14741" t="s">
        <v>1357</v>
      </c>
      <c r="J14741" t="s">
        <v>1357</v>
      </c>
      <c r="K14741" t="s">
        <v>1357</v>
      </c>
      <c r="L14741" t="s">
        <v>1357</v>
      </c>
    </row>
    <row r="14742" spans="1:14">
      <c r="A14742" t="s">
        <v>11238</v>
      </c>
      <c r="B14742">
        <f>HYPERLINK("https://android.googlesource.com/platform/cts/+/78bdfc83733db1b4e0f5dd8a3e1f9a6190a0dc45", "78bdfc83733db1b4e0f5dd8a3e1f9a6190a0dc45")</f>
        <v>0</v>
      </c>
      <c r="C14742">
        <f>HYPERLINK("https://android.googlesource.com/platform/cts/+/b4c535f5c12d68c2b56717a8b2f94753f6def9ac", "b4c535f5c12d68c2b56717a8b2f94753f6def9ac")</f>
        <v>0</v>
      </c>
      <c r="D14742" t="s">
        <v>12350</v>
      </c>
      <c r="E14742" t="s">
        <v>13764</v>
      </c>
      <c r="F14742" t="s">
        <v>16838</v>
      </c>
      <c r="G14742" t="s">
        <v>19007</v>
      </c>
      <c r="H14742" t="s">
        <v>24613</v>
      </c>
      <c r="I14742" t="s">
        <v>1357</v>
      </c>
      <c r="J14742" t="s">
        <v>1357</v>
      </c>
      <c r="K14742" t="s">
        <v>1357</v>
      </c>
      <c r="L14742" t="s">
        <v>1357</v>
      </c>
    </row>
    <row r="14743" spans="1:14">
      <c r="A14743" t="s">
        <v>11239</v>
      </c>
      <c r="B14743">
        <f>HYPERLINK("https://android.googlesource.com/platform/cts/+/4cc8e427a0caa4bb0d19e03711998330f7d6f6e8", "4cc8e427a0caa4bb0d19e03711998330f7d6f6e8")</f>
        <v>0</v>
      </c>
      <c r="C14743">
        <f>HYPERLINK("https://android.googlesource.com/platform/cts/+/0a51095f09439e1363a51fca8c5455c9d55ccb50", "0a51095f09439e1363a51fca8c5455c9d55ccb50")</f>
        <v>0</v>
      </c>
      <c r="D14743" t="s">
        <v>12268</v>
      </c>
      <c r="E14743" t="s">
        <v>13765</v>
      </c>
      <c r="F14743" t="s">
        <v>16837</v>
      </c>
      <c r="G14743" t="s">
        <v>19453</v>
      </c>
      <c r="H14743" t="s">
        <v>24609</v>
      </c>
      <c r="I14743" t="s">
        <v>1357</v>
      </c>
      <c r="J14743" t="s">
        <v>1357</v>
      </c>
      <c r="K14743" t="s">
        <v>1357</v>
      </c>
      <c r="L14743" t="s">
        <v>1357</v>
      </c>
    </row>
    <row r="14744" spans="1:14">
      <c r="H14744" t="s">
        <v>24610</v>
      </c>
      <c r="I14744" t="s">
        <v>1357</v>
      </c>
      <c r="J14744" t="s">
        <v>1357</v>
      </c>
      <c r="K14744" t="s">
        <v>1357</v>
      </c>
      <c r="L14744" t="s">
        <v>1357</v>
      </c>
    </row>
    <row r="14745" spans="1:14">
      <c r="H14745" t="s">
        <v>24611</v>
      </c>
      <c r="I14745" t="s">
        <v>1357</v>
      </c>
      <c r="J14745" t="s">
        <v>1357</v>
      </c>
      <c r="K14745" t="s">
        <v>1357</v>
      </c>
      <c r="L14745" t="s">
        <v>1357</v>
      </c>
    </row>
    <row r="14746" spans="1:14">
      <c r="H14746" t="s">
        <v>24612</v>
      </c>
      <c r="I14746" t="s">
        <v>1357</v>
      </c>
      <c r="J14746" t="s">
        <v>1357</v>
      </c>
      <c r="K14746" t="s">
        <v>1357</v>
      </c>
      <c r="L14746" t="s">
        <v>1357</v>
      </c>
    </row>
    <row r="14747" spans="1:14">
      <c r="A14747" t="s">
        <v>11240</v>
      </c>
      <c r="B14747">
        <f>HYPERLINK("https://android.googlesource.com/platform/cts/+/9f1f9fd884ef5d06ca5559b03b60be9d6dffe747", "9f1f9fd884ef5d06ca5559b03b60be9d6dffe747")</f>
        <v>0</v>
      </c>
      <c r="C14747">
        <f>HYPERLINK("https://android.googlesource.com/platform/cts/+/7fe199251e4b46ea8f1bc854e021b3e5a7dd9639", "7fe199251e4b46ea8f1bc854e021b3e5a7dd9639")</f>
        <v>0</v>
      </c>
      <c r="D14747" t="s">
        <v>12348</v>
      </c>
      <c r="E14747" t="s">
        <v>13766</v>
      </c>
      <c r="F14747" t="s">
        <v>16834</v>
      </c>
      <c r="G14747" t="s">
        <v>19450</v>
      </c>
      <c r="H14747" t="s">
        <v>23435</v>
      </c>
      <c r="I14747" t="s">
        <v>1357</v>
      </c>
      <c r="J14747" t="s">
        <v>1357</v>
      </c>
      <c r="K14747" t="s">
        <v>1357</v>
      </c>
      <c r="L14747" t="s">
        <v>1357</v>
      </c>
    </row>
    <row r="14748" spans="1:14">
      <c r="A14748" t="s">
        <v>11241</v>
      </c>
      <c r="B14748">
        <f>HYPERLINK("https://android.googlesource.com/platform/cts/+/e6b660abc0148d556f18d25ec49a0eb91ce3386c", "e6b660abc0148d556f18d25ec49a0eb91ce3386c")</f>
        <v>0</v>
      </c>
      <c r="C14748">
        <f>HYPERLINK("https://android.googlesource.com/platform/cts/+/d687c4673aa37fc27c758f8fd4ef5e09b1ce6873", "d687c4673aa37fc27c758f8fd4ef5e09b1ce6873")</f>
        <v>0</v>
      </c>
      <c r="D14748" t="s">
        <v>12290</v>
      </c>
      <c r="E14748" t="s">
        <v>13767</v>
      </c>
      <c r="F14748" t="s">
        <v>16197</v>
      </c>
      <c r="G14748" t="s">
        <v>18876</v>
      </c>
      <c r="H14748" t="s">
        <v>20441</v>
      </c>
      <c r="I14748" t="s">
        <v>1359</v>
      </c>
      <c r="J14748" t="s">
        <v>1358</v>
      </c>
      <c r="K14748" t="s">
        <v>1357</v>
      </c>
      <c r="L14748" t="s">
        <v>1358</v>
      </c>
      <c r="N14748" t="s">
        <v>27529</v>
      </c>
    </row>
    <row r="14749" spans="1:14">
      <c r="H14749" t="s">
        <v>22172</v>
      </c>
      <c r="I14749" t="s">
        <v>1359</v>
      </c>
      <c r="J14749" t="s">
        <v>1358</v>
      </c>
      <c r="K14749" t="s">
        <v>1357</v>
      </c>
      <c r="L14749" t="s">
        <v>1358</v>
      </c>
      <c r="N14749" t="s">
        <v>27529</v>
      </c>
    </row>
    <row r="14750" spans="1:14">
      <c r="H14750" t="s">
        <v>24614</v>
      </c>
      <c r="I14750" t="s">
        <v>1359</v>
      </c>
      <c r="J14750" t="s">
        <v>1358</v>
      </c>
      <c r="K14750" t="s">
        <v>1357</v>
      </c>
      <c r="L14750" t="s">
        <v>1358</v>
      </c>
      <c r="N14750" t="s">
        <v>27529</v>
      </c>
    </row>
    <row r="14751" spans="1:14">
      <c r="H14751" t="s">
        <v>24615</v>
      </c>
      <c r="I14751" t="s">
        <v>1359</v>
      </c>
      <c r="J14751" t="s">
        <v>1358</v>
      </c>
      <c r="K14751" t="s">
        <v>1357</v>
      </c>
      <c r="L14751" t="s">
        <v>1358</v>
      </c>
      <c r="N14751" t="s">
        <v>27529</v>
      </c>
    </row>
    <row r="14752" spans="1:14">
      <c r="H14752" t="s">
        <v>24616</v>
      </c>
      <c r="I14752" t="s">
        <v>1359</v>
      </c>
      <c r="J14752" t="s">
        <v>1358</v>
      </c>
      <c r="K14752" t="s">
        <v>1357</v>
      </c>
      <c r="L14752" t="s">
        <v>1358</v>
      </c>
      <c r="N14752" t="s">
        <v>27529</v>
      </c>
    </row>
    <row r="14753" spans="8:14">
      <c r="H14753" t="s">
        <v>24617</v>
      </c>
      <c r="I14753" t="s">
        <v>1359</v>
      </c>
      <c r="J14753" t="s">
        <v>1358</v>
      </c>
      <c r="K14753" t="s">
        <v>1357</v>
      </c>
      <c r="L14753" t="s">
        <v>1358</v>
      </c>
      <c r="N14753" t="s">
        <v>27529</v>
      </c>
    </row>
    <row r="14754" spans="8:14">
      <c r="H14754" t="s">
        <v>24618</v>
      </c>
      <c r="I14754" t="s">
        <v>1359</v>
      </c>
      <c r="J14754" t="s">
        <v>1358</v>
      </c>
      <c r="K14754" t="s">
        <v>1357</v>
      </c>
      <c r="L14754" t="s">
        <v>1358</v>
      </c>
      <c r="N14754" t="s">
        <v>27529</v>
      </c>
    </row>
    <row r="14755" spans="8:14">
      <c r="H14755" t="s">
        <v>24619</v>
      </c>
      <c r="I14755" t="s">
        <v>1359</v>
      </c>
      <c r="J14755" t="s">
        <v>1358</v>
      </c>
      <c r="K14755" t="s">
        <v>1357</v>
      </c>
      <c r="L14755" t="s">
        <v>1358</v>
      </c>
      <c r="N14755" t="s">
        <v>27529</v>
      </c>
    </row>
    <row r="14756" spans="8:14">
      <c r="H14756" t="s">
        <v>24620</v>
      </c>
      <c r="I14756" t="s">
        <v>1359</v>
      </c>
      <c r="J14756" t="s">
        <v>1358</v>
      </c>
      <c r="K14756" t="s">
        <v>1357</v>
      </c>
      <c r="L14756" t="s">
        <v>1358</v>
      </c>
      <c r="N14756" t="s">
        <v>27529</v>
      </c>
    </row>
    <row r="14757" spans="8:14">
      <c r="H14757" t="s">
        <v>24621</v>
      </c>
      <c r="I14757" t="s">
        <v>1359</v>
      </c>
      <c r="J14757" t="s">
        <v>1358</v>
      </c>
      <c r="K14757" t="s">
        <v>1357</v>
      </c>
      <c r="L14757" t="s">
        <v>1358</v>
      </c>
      <c r="N14757" t="s">
        <v>27529</v>
      </c>
    </row>
    <row r="14758" spans="8:14">
      <c r="H14758" t="s">
        <v>24622</v>
      </c>
      <c r="I14758" t="s">
        <v>1359</v>
      </c>
      <c r="J14758" t="s">
        <v>1358</v>
      </c>
      <c r="K14758" t="s">
        <v>1357</v>
      </c>
      <c r="L14758" t="s">
        <v>1358</v>
      </c>
      <c r="N14758" t="s">
        <v>27529</v>
      </c>
    </row>
    <row r="14759" spans="8:14">
      <c r="H14759" t="s">
        <v>24623</v>
      </c>
      <c r="I14759" t="s">
        <v>1359</v>
      </c>
      <c r="J14759" t="s">
        <v>1358</v>
      </c>
      <c r="K14759" t="s">
        <v>1357</v>
      </c>
      <c r="L14759" t="s">
        <v>1358</v>
      </c>
      <c r="N14759" t="s">
        <v>27529</v>
      </c>
    </row>
    <row r="14760" spans="8:14">
      <c r="H14760" t="s">
        <v>24624</v>
      </c>
      <c r="I14760" t="s">
        <v>1359</v>
      </c>
      <c r="J14760" t="s">
        <v>1358</v>
      </c>
      <c r="K14760" t="s">
        <v>1357</v>
      </c>
      <c r="L14760" t="s">
        <v>1358</v>
      </c>
      <c r="N14760" t="s">
        <v>27529</v>
      </c>
    </row>
    <row r="14761" spans="8:14">
      <c r="H14761" t="s">
        <v>24625</v>
      </c>
      <c r="I14761" t="s">
        <v>1359</v>
      </c>
      <c r="J14761" t="s">
        <v>1358</v>
      </c>
      <c r="K14761" t="s">
        <v>1357</v>
      </c>
      <c r="L14761" t="s">
        <v>1358</v>
      </c>
      <c r="N14761" t="s">
        <v>27529</v>
      </c>
    </row>
    <row r="14762" spans="8:14">
      <c r="H14762" t="s">
        <v>24626</v>
      </c>
      <c r="I14762" t="s">
        <v>1359</v>
      </c>
      <c r="J14762" t="s">
        <v>1358</v>
      </c>
      <c r="K14762" t="s">
        <v>1357</v>
      </c>
      <c r="L14762" t="s">
        <v>1358</v>
      </c>
      <c r="N14762" t="s">
        <v>27529</v>
      </c>
    </row>
    <row r="14763" spans="8:14">
      <c r="H14763" t="s">
        <v>24627</v>
      </c>
      <c r="I14763" t="s">
        <v>1359</v>
      </c>
      <c r="J14763" t="s">
        <v>1358</v>
      </c>
      <c r="K14763" t="s">
        <v>1357</v>
      </c>
      <c r="L14763" t="s">
        <v>1358</v>
      </c>
      <c r="N14763" t="s">
        <v>27529</v>
      </c>
    </row>
    <row r="14764" spans="8:14">
      <c r="H14764" t="s">
        <v>24628</v>
      </c>
      <c r="I14764" t="s">
        <v>1359</v>
      </c>
      <c r="J14764" t="s">
        <v>1358</v>
      </c>
      <c r="K14764" t="s">
        <v>1357</v>
      </c>
      <c r="L14764" t="s">
        <v>1358</v>
      </c>
      <c r="N14764" t="s">
        <v>27529</v>
      </c>
    </row>
    <row r="14765" spans="8:14">
      <c r="H14765" t="s">
        <v>24629</v>
      </c>
      <c r="I14765" t="s">
        <v>1359</v>
      </c>
      <c r="J14765" t="s">
        <v>1358</v>
      </c>
      <c r="K14765" t="s">
        <v>1357</v>
      </c>
      <c r="L14765" t="s">
        <v>1358</v>
      </c>
      <c r="N14765" t="s">
        <v>27529</v>
      </c>
    </row>
    <row r="14766" spans="8:14">
      <c r="H14766" t="s">
        <v>24630</v>
      </c>
      <c r="I14766" t="s">
        <v>1359</v>
      </c>
      <c r="J14766" t="s">
        <v>1358</v>
      </c>
      <c r="K14766" t="s">
        <v>1357</v>
      </c>
      <c r="L14766" t="s">
        <v>1358</v>
      </c>
      <c r="N14766" t="s">
        <v>27529</v>
      </c>
    </row>
    <row r="14767" spans="8:14">
      <c r="H14767" t="s">
        <v>24631</v>
      </c>
      <c r="I14767" t="s">
        <v>1359</v>
      </c>
      <c r="J14767" t="s">
        <v>1358</v>
      </c>
      <c r="K14767" t="s">
        <v>1357</v>
      </c>
      <c r="L14767" t="s">
        <v>1358</v>
      </c>
      <c r="N14767" t="s">
        <v>27529</v>
      </c>
    </row>
    <row r="14768" spans="8:14">
      <c r="H14768" t="s">
        <v>24632</v>
      </c>
      <c r="I14768" t="s">
        <v>1359</v>
      </c>
      <c r="J14768" t="s">
        <v>1358</v>
      </c>
      <c r="K14768" t="s">
        <v>1357</v>
      </c>
      <c r="L14768" t="s">
        <v>1358</v>
      </c>
      <c r="N14768" t="s">
        <v>27529</v>
      </c>
    </row>
    <row r="14769" spans="8:14">
      <c r="H14769" t="s">
        <v>24633</v>
      </c>
      <c r="I14769" t="s">
        <v>1359</v>
      </c>
      <c r="J14769" t="s">
        <v>1358</v>
      </c>
      <c r="K14769" t="s">
        <v>1357</v>
      </c>
      <c r="L14769" t="s">
        <v>1358</v>
      </c>
      <c r="N14769" t="s">
        <v>27529</v>
      </c>
    </row>
    <row r="14770" spans="8:14">
      <c r="H14770" t="s">
        <v>24634</v>
      </c>
      <c r="I14770" t="s">
        <v>1359</v>
      </c>
      <c r="J14770" t="s">
        <v>1358</v>
      </c>
      <c r="K14770" t="s">
        <v>1357</v>
      </c>
      <c r="L14770" t="s">
        <v>1358</v>
      </c>
      <c r="N14770" t="s">
        <v>27529</v>
      </c>
    </row>
    <row r="14771" spans="8:14">
      <c r="H14771" t="s">
        <v>24635</v>
      </c>
      <c r="I14771" t="s">
        <v>1359</v>
      </c>
      <c r="J14771" t="s">
        <v>1358</v>
      </c>
      <c r="K14771" t="s">
        <v>1357</v>
      </c>
      <c r="L14771" t="s">
        <v>1358</v>
      </c>
      <c r="N14771" t="s">
        <v>27529</v>
      </c>
    </row>
    <row r="14772" spans="8:14">
      <c r="H14772" t="s">
        <v>24636</v>
      </c>
      <c r="I14772" t="s">
        <v>1359</v>
      </c>
      <c r="J14772" t="s">
        <v>1358</v>
      </c>
      <c r="K14772" t="s">
        <v>1357</v>
      </c>
      <c r="L14772" t="s">
        <v>1358</v>
      </c>
      <c r="N14772" t="s">
        <v>27529</v>
      </c>
    </row>
    <row r="14773" spans="8:14">
      <c r="H14773" t="s">
        <v>24637</v>
      </c>
      <c r="I14773" t="s">
        <v>1359</v>
      </c>
      <c r="J14773" t="s">
        <v>1358</v>
      </c>
      <c r="K14773" t="s">
        <v>1357</v>
      </c>
      <c r="L14773" t="s">
        <v>1358</v>
      </c>
      <c r="N14773" t="s">
        <v>27529</v>
      </c>
    </row>
    <row r="14774" spans="8:14">
      <c r="H14774" t="s">
        <v>22648</v>
      </c>
      <c r="I14774" t="s">
        <v>1359</v>
      </c>
      <c r="J14774" t="s">
        <v>1358</v>
      </c>
      <c r="K14774" t="s">
        <v>1357</v>
      </c>
      <c r="L14774" t="s">
        <v>1358</v>
      </c>
      <c r="N14774" t="s">
        <v>27529</v>
      </c>
    </row>
    <row r="14775" spans="8:14">
      <c r="H14775" t="s">
        <v>24638</v>
      </c>
      <c r="I14775" t="s">
        <v>1359</v>
      </c>
      <c r="J14775" t="s">
        <v>1358</v>
      </c>
      <c r="K14775" t="s">
        <v>1357</v>
      </c>
      <c r="L14775" t="s">
        <v>1358</v>
      </c>
      <c r="N14775" t="s">
        <v>27529</v>
      </c>
    </row>
    <row r="14776" spans="8:14">
      <c r="H14776" t="s">
        <v>24639</v>
      </c>
      <c r="I14776" t="s">
        <v>1359</v>
      </c>
      <c r="J14776" t="s">
        <v>1358</v>
      </c>
      <c r="K14776" t="s">
        <v>1357</v>
      </c>
      <c r="L14776" t="s">
        <v>1358</v>
      </c>
      <c r="N14776" t="s">
        <v>27529</v>
      </c>
    </row>
    <row r="14777" spans="8:14">
      <c r="H14777" t="s">
        <v>24640</v>
      </c>
      <c r="I14777" t="s">
        <v>1359</v>
      </c>
      <c r="J14777" t="s">
        <v>1358</v>
      </c>
      <c r="K14777" t="s">
        <v>1357</v>
      </c>
      <c r="L14777" t="s">
        <v>1358</v>
      </c>
      <c r="N14777" t="s">
        <v>27529</v>
      </c>
    </row>
    <row r="14778" spans="8:14">
      <c r="H14778" t="s">
        <v>24641</v>
      </c>
      <c r="I14778" t="s">
        <v>1359</v>
      </c>
      <c r="J14778" t="s">
        <v>1358</v>
      </c>
      <c r="K14778" t="s">
        <v>1357</v>
      </c>
      <c r="L14778" t="s">
        <v>1358</v>
      </c>
      <c r="N14778" t="s">
        <v>27529</v>
      </c>
    </row>
    <row r="14779" spans="8:14">
      <c r="H14779" t="s">
        <v>24642</v>
      </c>
      <c r="I14779" t="s">
        <v>1359</v>
      </c>
      <c r="J14779" t="s">
        <v>1358</v>
      </c>
      <c r="K14779" t="s">
        <v>1357</v>
      </c>
      <c r="L14779" t="s">
        <v>1358</v>
      </c>
      <c r="N14779" t="s">
        <v>27529</v>
      </c>
    </row>
    <row r="14780" spans="8:14">
      <c r="H14780" t="s">
        <v>24643</v>
      </c>
      <c r="I14780" t="s">
        <v>1359</v>
      </c>
      <c r="J14780" t="s">
        <v>1358</v>
      </c>
      <c r="K14780" t="s">
        <v>1357</v>
      </c>
      <c r="L14780" t="s">
        <v>1358</v>
      </c>
      <c r="N14780" t="s">
        <v>27529</v>
      </c>
    </row>
    <row r="14781" spans="8:14">
      <c r="H14781" t="s">
        <v>24644</v>
      </c>
      <c r="I14781" t="s">
        <v>1359</v>
      </c>
      <c r="J14781" t="s">
        <v>1358</v>
      </c>
      <c r="K14781" t="s">
        <v>1357</v>
      </c>
      <c r="L14781" t="s">
        <v>1358</v>
      </c>
      <c r="N14781" t="s">
        <v>27529</v>
      </c>
    </row>
    <row r="14782" spans="8:14">
      <c r="H14782" t="s">
        <v>24645</v>
      </c>
      <c r="I14782" t="s">
        <v>1359</v>
      </c>
      <c r="J14782" t="s">
        <v>1358</v>
      </c>
      <c r="K14782" t="s">
        <v>1357</v>
      </c>
      <c r="L14782" t="s">
        <v>1358</v>
      </c>
      <c r="N14782" t="s">
        <v>27529</v>
      </c>
    </row>
    <row r="14783" spans="8:14">
      <c r="H14783" t="s">
        <v>24646</v>
      </c>
      <c r="I14783" t="s">
        <v>1359</v>
      </c>
      <c r="J14783" t="s">
        <v>1358</v>
      </c>
      <c r="K14783" t="s">
        <v>1357</v>
      </c>
      <c r="L14783" t="s">
        <v>1358</v>
      </c>
      <c r="N14783" t="s">
        <v>27529</v>
      </c>
    </row>
    <row r="14784" spans="8:14">
      <c r="H14784" t="s">
        <v>24647</v>
      </c>
      <c r="I14784" t="s">
        <v>1359</v>
      </c>
      <c r="J14784" t="s">
        <v>1358</v>
      </c>
      <c r="K14784" t="s">
        <v>1357</v>
      </c>
      <c r="L14784" t="s">
        <v>1358</v>
      </c>
      <c r="N14784" t="s">
        <v>27529</v>
      </c>
    </row>
    <row r="14785" spans="1:14">
      <c r="H14785" t="s">
        <v>24648</v>
      </c>
      <c r="I14785" t="s">
        <v>1359</v>
      </c>
      <c r="J14785" t="s">
        <v>1358</v>
      </c>
      <c r="K14785" t="s">
        <v>1357</v>
      </c>
      <c r="L14785" t="s">
        <v>1358</v>
      </c>
      <c r="N14785" t="s">
        <v>27529</v>
      </c>
    </row>
    <row r="14786" spans="1:14">
      <c r="H14786" t="s">
        <v>24649</v>
      </c>
      <c r="I14786" t="s">
        <v>1359</v>
      </c>
      <c r="J14786" t="s">
        <v>1358</v>
      </c>
      <c r="K14786" t="s">
        <v>1357</v>
      </c>
      <c r="L14786" t="s">
        <v>1358</v>
      </c>
      <c r="N14786" t="s">
        <v>27529</v>
      </c>
    </row>
    <row r="14787" spans="1:14">
      <c r="H14787" t="s">
        <v>24650</v>
      </c>
      <c r="I14787" t="s">
        <v>1359</v>
      </c>
      <c r="J14787" t="s">
        <v>1358</v>
      </c>
      <c r="K14787" t="s">
        <v>1357</v>
      </c>
      <c r="L14787" t="s">
        <v>1358</v>
      </c>
      <c r="N14787" t="s">
        <v>27529</v>
      </c>
    </row>
    <row r="14788" spans="1:14">
      <c r="H14788" t="s">
        <v>24651</v>
      </c>
      <c r="I14788" t="s">
        <v>1359</v>
      </c>
      <c r="J14788" t="s">
        <v>1358</v>
      </c>
      <c r="K14788" t="s">
        <v>1357</v>
      </c>
      <c r="L14788" t="s">
        <v>1358</v>
      </c>
      <c r="N14788" t="s">
        <v>27529</v>
      </c>
    </row>
    <row r="14789" spans="1:14">
      <c r="H14789" t="s">
        <v>24652</v>
      </c>
      <c r="I14789" t="s">
        <v>1359</v>
      </c>
      <c r="J14789" t="s">
        <v>1358</v>
      </c>
      <c r="K14789" t="s">
        <v>1357</v>
      </c>
      <c r="L14789" t="s">
        <v>1358</v>
      </c>
      <c r="N14789" t="s">
        <v>27529</v>
      </c>
    </row>
    <row r="14790" spans="1:14">
      <c r="H14790" t="s">
        <v>24653</v>
      </c>
      <c r="I14790" t="s">
        <v>1359</v>
      </c>
      <c r="J14790" t="s">
        <v>1358</v>
      </c>
      <c r="K14790" t="s">
        <v>1357</v>
      </c>
      <c r="L14790" t="s">
        <v>1358</v>
      </c>
      <c r="N14790" t="s">
        <v>27529</v>
      </c>
    </row>
    <row r="14791" spans="1:14">
      <c r="H14791" t="s">
        <v>24654</v>
      </c>
      <c r="I14791" t="s">
        <v>1359</v>
      </c>
      <c r="J14791" t="s">
        <v>1358</v>
      </c>
      <c r="K14791" t="s">
        <v>1357</v>
      </c>
      <c r="L14791" t="s">
        <v>1358</v>
      </c>
      <c r="N14791" t="s">
        <v>27529</v>
      </c>
    </row>
    <row r="14792" spans="1:14">
      <c r="H14792" t="s">
        <v>24655</v>
      </c>
      <c r="I14792" t="s">
        <v>1359</v>
      </c>
      <c r="J14792" t="s">
        <v>1358</v>
      </c>
      <c r="K14792" t="s">
        <v>1357</v>
      </c>
      <c r="L14792" t="s">
        <v>1358</v>
      </c>
      <c r="N14792" t="s">
        <v>27529</v>
      </c>
    </row>
    <row r="14793" spans="1:14">
      <c r="H14793" t="s">
        <v>24656</v>
      </c>
      <c r="I14793" t="s">
        <v>1359</v>
      </c>
      <c r="J14793" t="s">
        <v>1358</v>
      </c>
      <c r="K14793" t="s">
        <v>1357</v>
      </c>
      <c r="L14793" t="s">
        <v>1358</v>
      </c>
      <c r="N14793" t="s">
        <v>27529</v>
      </c>
    </row>
    <row r="14794" spans="1:14">
      <c r="H14794" t="s">
        <v>24657</v>
      </c>
      <c r="I14794" t="s">
        <v>1359</v>
      </c>
      <c r="J14794" t="s">
        <v>1358</v>
      </c>
      <c r="K14794" t="s">
        <v>1357</v>
      </c>
      <c r="L14794" t="s">
        <v>1358</v>
      </c>
      <c r="N14794" t="s">
        <v>27529</v>
      </c>
    </row>
    <row r="14795" spans="1:14">
      <c r="F14795" t="s">
        <v>16839</v>
      </c>
      <c r="G14795" t="s">
        <v>19454</v>
      </c>
      <c r="H14795" t="s">
        <v>24658</v>
      </c>
      <c r="I14795" t="s">
        <v>1359</v>
      </c>
      <c r="J14795" t="s">
        <v>1358</v>
      </c>
      <c r="K14795" t="s">
        <v>1357</v>
      </c>
      <c r="L14795" t="s">
        <v>1358</v>
      </c>
      <c r="N14795" t="s">
        <v>27529</v>
      </c>
    </row>
    <row r="14796" spans="1:14">
      <c r="A14796" t="s">
        <v>11242</v>
      </c>
      <c r="B14796">
        <f>HYPERLINK("https://android.googlesource.com/platform/cts/+/c59a2981727e0193d4ba7582ee0457078dd5af75", "c59a2981727e0193d4ba7582ee0457078dd5af75")</f>
        <v>0</v>
      </c>
      <c r="C14796">
        <f>HYPERLINK("https://android.googlesource.com/platform/cts/+/c0db8660d95bf9a6e141066af5714327c09b94e4", "c0db8660d95bf9a6e141066af5714327c09b94e4")</f>
        <v>0</v>
      </c>
      <c r="D14796" t="s">
        <v>12345</v>
      </c>
      <c r="E14796" t="s">
        <v>13768</v>
      </c>
      <c r="F14796" t="s">
        <v>16840</v>
      </c>
      <c r="G14796" t="s">
        <v>19455</v>
      </c>
      <c r="H14796" t="s">
        <v>24659</v>
      </c>
      <c r="I14796" t="s">
        <v>1357</v>
      </c>
      <c r="J14796" t="s">
        <v>1357</v>
      </c>
      <c r="K14796" t="s">
        <v>1357</v>
      </c>
      <c r="L14796" t="s">
        <v>1357</v>
      </c>
    </row>
    <row r="14797" spans="1:14">
      <c r="H14797" t="s">
        <v>24660</v>
      </c>
      <c r="I14797" t="s">
        <v>1357</v>
      </c>
      <c r="J14797" t="s">
        <v>1357</v>
      </c>
      <c r="K14797" t="s">
        <v>1357</v>
      </c>
      <c r="L14797" t="s">
        <v>1357</v>
      </c>
    </row>
    <row r="14798" spans="1:14">
      <c r="A14798" t="s">
        <v>11243</v>
      </c>
      <c r="B14798">
        <f>HYPERLINK("https://android.googlesource.com/platform/cts/+/1c95db2e84448b7164068c4b401f17966f6945d1", "1c95db2e84448b7164068c4b401f17966f6945d1")</f>
        <v>0</v>
      </c>
      <c r="C14798">
        <f>HYPERLINK("https://android.googlesource.com/platform/cts/+/ff85d9614ee5b1350bad1d70d90fc844fe412030", "ff85d9614ee5b1350bad1d70d90fc844fe412030")</f>
        <v>0</v>
      </c>
      <c r="D14798" t="s">
        <v>12163</v>
      </c>
      <c r="E14798" t="s">
        <v>13769</v>
      </c>
      <c r="F14798" t="s">
        <v>16791</v>
      </c>
      <c r="G14798" t="s">
        <v>19413</v>
      </c>
      <c r="H14798" t="s">
        <v>24661</v>
      </c>
      <c r="I14798" t="s">
        <v>1357</v>
      </c>
      <c r="J14798" t="s">
        <v>1357</v>
      </c>
      <c r="K14798" t="s">
        <v>1357</v>
      </c>
      <c r="L14798" t="s">
        <v>1357</v>
      </c>
    </row>
    <row r="14799" spans="1:14">
      <c r="F14799" t="s">
        <v>16098</v>
      </c>
      <c r="G14799" t="s">
        <v>18787</v>
      </c>
      <c r="H14799" t="s">
        <v>24661</v>
      </c>
      <c r="I14799" t="s">
        <v>1357</v>
      </c>
      <c r="J14799" t="s">
        <v>1357</v>
      </c>
      <c r="K14799" t="s">
        <v>1357</v>
      </c>
      <c r="L14799" t="s">
        <v>1357</v>
      </c>
    </row>
    <row r="14800" spans="1:14">
      <c r="H14800" t="s">
        <v>24662</v>
      </c>
      <c r="I14800" t="s">
        <v>1357</v>
      </c>
      <c r="J14800" t="s">
        <v>1357</v>
      </c>
      <c r="K14800" t="s">
        <v>1357</v>
      </c>
      <c r="L14800" t="s">
        <v>1357</v>
      </c>
    </row>
    <row r="14801" spans="1:12">
      <c r="A14801" t="s">
        <v>11244</v>
      </c>
      <c r="B14801">
        <f>HYPERLINK("https://android.googlesource.com/platform/cts/+/d18b60daf288b7b58ea0ae3c9d219cfd50fa90db", "d18b60daf288b7b58ea0ae3c9d219cfd50fa90db")</f>
        <v>0</v>
      </c>
      <c r="C14801">
        <f>HYPERLINK("https://android.googlesource.com/platform/cts/+/5f5a3dfb2a84074518a70caf9f5efe953d6a42ec", "5f5a3dfb2a84074518a70caf9f5efe953d6a42ec")</f>
        <v>0</v>
      </c>
      <c r="D14801" t="s">
        <v>12327</v>
      </c>
      <c r="E14801" t="s">
        <v>13770</v>
      </c>
      <c r="F14801" t="s">
        <v>16771</v>
      </c>
      <c r="G14801" t="s">
        <v>19397</v>
      </c>
      <c r="H14801" t="s">
        <v>24439</v>
      </c>
      <c r="I14801" t="s">
        <v>1357</v>
      </c>
      <c r="J14801" t="s">
        <v>1357</v>
      </c>
      <c r="K14801" t="s">
        <v>1357</v>
      </c>
      <c r="L14801" t="s">
        <v>1357</v>
      </c>
    </row>
    <row r="14802" spans="1:12">
      <c r="F14802" t="s">
        <v>16772</v>
      </c>
      <c r="G14802" t="s">
        <v>19397</v>
      </c>
      <c r="H14802" t="s">
        <v>24439</v>
      </c>
      <c r="I14802" t="s">
        <v>1357</v>
      </c>
      <c r="J14802" t="s">
        <v>1357</v>
      </c>
      <c r="K14802" t="s">
        <v>1357</v>
      </c>
      <c r="L14802" t="s">
        <v>1357</v>
      </c>
    </row>
    <row r="14803" spans="1:12">
      <c r="A14803" t="s">
        <v>11245</v>
      </c>
      <c r="B14803">
        <f>HYPERLINK("https://android.googlesource.com/platform/cts/+/cc2df551525d564950c4b0c74dc265efa2c03034", "cc2df551525d564950c4b0c74dc265efa2c03034")</f>
        <v>0</v>
      </c>
      <c r="C14803">
        <f>HYPERLINK("https://android.googlesource.com/platform/cts/+/fbbeba6bb9268d1666eb85b4bd16e9fe7a4db140", "fbbeba6bb9268d1666eb85b4bd16e9fe7a4db140")</f>
        <v>0</v>
      </c>
      <c r="D14803" t="s">
        <v>12315</v>
      </c>
      <c r="E14803" t="s">
        <v>13771</v>
      </c>
      <c r="F14803" t="s">
        <v>16841</v>
      </c>
      <c r="G14803" t="s">
        <v>19456</v>
      </c>
      <c r="H14803" t="s">
        <v>24663</v>
      </c>
      <c r="I14803" t="s">
        <v>1357</v>
      </c>
      <c r="J14803" t="s">
        <v>1357</v>
      </c>
      <c r="K14803" t="s">
        <v>1357</v>
      </c>
      <c r="L14803" t="s">
        <v>1357</v>
      </c>
    </row>
    <row r="14804" spans="1:12">
      <c r="A14804" t="s">
        <v>11246</v>
      </c>
      <c r="B14804">
        <f>HYPERLINK("https://android.googlesource.com/platform/cts/+/4c563f41ff6798d733730201ac1329e19f61383d", "4c563f41ff6798d733730201ac1329e19f61383d")</f>
        <v>0</v>
      </c>
      <c r="C14804">
        <f>HYPERLINK("https://android.googlesource.com/platform/cts/+/b2d275d6f96c3914758e8d9fffb739ae4aaf5723", "b2d275d6f96c3914758e8d9fffb739ae4aaf5723")</f>
        <v>0</v>
      </c>
      <c r="D14804" t="s">
        <v>12327</v>
      </c>
      <c r="E14804" t="s">
        <v>13772</v>
      </c>
      <c r="F14804" t="s">
        <v>16771</v>
      </c>
      <c r="G14804" t="s">
        <v>19397</v>
      </c>
      <c r="H14804" t="s">
        <v>24440</v>
      </c>
      <c r="I14804" t="s">
        <v>1358</v>
      </c>
      <c r="J14804" t="s">
        <v>1358</v>
      </c>
      <c r="K14804" t="s">
        <v>1358</v>
      </c>
      <c r="L14804" t="s">
        <v>1358</v>
      </c>
    </row>
    <row r="14805" spans="1:12">
      <c r="F14805" t="s">
        <v>16772</v>
      </c>
      <c r="G14805" t="s">
        <v>19397</v>
      </c>
      <c r="H14805" t="s">
        <v>24440</v>
      </c>
      <c r="I14805" t="s">
        <v>1358</v>
      </c>
      <c r="J14805" t="s">
        <v>1358</v>
      </c>
      <c r="K14805" t="s">
        <v>1358</v>
      </c>
      <c r="L14805" t="s">
        <v>1358</v>
      </c>
    </row>
    <row r="14806" spans="1:12">
      <c r="A14806" t="s">
        <v>11247</v>
      </c>
      <c r="B14806">
        <f>HYPERLINK("https://android.googlesource.com/platform/cts/+/5b8ca384dcf6af547fd90c907ec9cabe90acd9dc", "5b8ca384dcf6af547fd90c907ec9cabe90acd9dc")</f>
        <v>0</v>
      </c>
      <c r="C14806">
        <f>HYPERLINK("https://android.googlesource.com/platform/cts/+/a02c4a8a6a9327903b95bb2072d7cee70e4b4650", "a02c4a8a6a9327903b95bb2072d7cee70e4b4650")</f>
        <v>0</v>
      </c>
      <c r="D14806" t="s">
        <v>12350</v>
      </c>
      <c r="E14806" t="s">
        <v>13773</v>
      </c>
      <c r="F14806" t="s">
        <v>16838</v>
      </c>
      <c r="G14806" t="s">
        <v>19007</v>
      </c>
      <c r="H14806" t="s">
        <v>24664</v>
      </c>
      <c r="I14806" t="s">
        <v>1357</v>
      </c>
      <c r="J14806" t="s">
        <v>1357</v>
      </c>
      <c r="K14806" t="s">
        <v>1357</v>
      </c>
      <c r="L14806" t="s">
        <v>1357</v>
      </c>
    </row>
    <row r="14807" spans="1:12">
      <c r="A14807" t="s">
        <v>11248</v>
      </c>
      <c r="B14807">
        <f>HYPERLINK("https://android.googlesource.com/platform/cts/+/d21fb436ed0a5b65715f57f6858b03db6dd5cd42", "d21fb436ed0a5b65715f57f6858b03db6dd5cd42")</f>
        <v>0</v>
      </c>
      <c r="C14807">
        <f>HYPERLINK("https://android.googlesource.com/platform/cts/+/6513f90f1830a14c3206d7fef00e2ea74092b327", "6513f90f1830a14c3206d7fef00e2ea74092b327")</f>
        <v>0</v>
      </c>
      <c r="D14807" t="s">
        <v>12088</v>
      </c>
      <c r="E14807" t="s">
        <v>13774</v>
      </c>
      <c r="F14807" t="s">
        <v>16842</v>
      </c>
      <c r="G14807" t="s">
        <v>19457</v>
      </c>
      <c r="H14807" t="s">
        <v>24665</v>
      </c>
      <c r="I14807" t="s">
        <v>1357</v>
      </c>
      <c r="J14807" t="s">
        <v>1357</v>
      </c>
      <c r="K14807" t="s">
        <v>1357</v>
      </c>
      <c r="L14807" t="s">
        <v>1357</v>
      </c>
    </row>
    <row r="14808" spans="1:12">
      <c r="A14808" t="s">
        <v>11249</v>
      </c>
      <c r="B14808">
        <f>HYPERLINK("https://android.googlesource.com/platform/cts/+/742d846d447c0cbe14b7ec23ef9a6b4a1937c2db", "742d846d447c0cbe14b7ec23ef9a6b4a1937c2db")</f>
        <v>0</v>
      </c>
      <c r="C14808">
        <f>HYPERLINK("https://android.googlesource.com/platform/cts/+/4b78bcd343e24277b30b90ae0fbabc01ecd38c60", "4b78bcd343e24277b30b90ae0fbabc01ecd38c60")</f>
        <v>0</v>
      </c>
      <c r="D14808" t="s">
        <v>12310</v>
      </c>
      <c r="E14808" t="s">
        <v>13775</v>
      </c>
      <c r="F14808" t="s">
        <v>16207</v>
      </c>
      <c r="G14808" t="s">
        <v>18885</v>
      </c>
      <c r="H14808" t="s">
        <v>24666</v>
      </c>
      <c r="I14808" t="s">
        <v>1357</v>
      </c>
      <c r="J14808" t="s">
        <v>1357</v>
      </c>
      <c r="K14808" t="s">
        <v>1357</v>
      </c>
      <c r="L14808" t="s">
        <v>1357</v>
      </c>
    </row>
    <row r="14809" spans="1:12">
      <c r="F14809" t="s">
        <v>16749</v>
      </c>
      <c r="G14809" t="s">
        <v>19378</v>
      </c>
      <c r="H14809" t="s">
        <v>24667</v>
      </c>
      <c r="I14809" t="s">
        <v>1357</v>
      </c>
      <c r="J14809" t="s">
        <v>1357</v>
      </c>
      <c r="K14809" t="s">
        <v>1357</v>
      </c>
      <c r="L14809" t="s">
        <v>1357</v>
      </c>
    </row>
    <row r="14810" spans="1:12">
      <c r="H14810" t="s">
        <v>24668</v>
      </c>
      <c r="I14810" t="s">
        <v>1357</v>
      </c>
      <c r="J14810" t="s">
        <v>1357</v>
      </c>
      <c r="K14810" t="s">
        <v>1357</v>
      </c>
      <c r="L14810" t="s">
        <v>1357</v>
      </c>
    </row>
    <row r="14811" spans="1:12">
      <c r="F14811" t="s">
        <v>16838</v>
      </c>
      <c r="G14811" t="s">
        <v>19007</v>
      </c>
      <c r="H14811" t="s">
        <v>24669</v>
      </c>
      <c r="I14811" t="s">
        <v>1357</v>
      </c>
      <c r="J14811" t="s">
        <v>1357</v>
      </c>
      <c r="K14811" t="s">
        <v>1357</v>
      </c>
      <c r="L14811" t="s">
        <v>1357</v>
      </c>
    </row>
    <row r="14812" spans="1:12">
      <c r="H14812" t="s">
        <v>24670</v>
      </c>
      <c r="I14812" t="s">
        <v>1357</v>
      </c>
      <c r="J14812" t="s">
        <v>1357</v>
      </c>
      <c r="K14812" t="s">
        <v>1357</v>
      </c>
      <c r="L14812" t="s">
        <v>1357</v>
      </c>
    </row>
    <row r="14813" spans="1:12">
      <c r="H14813" t="s">
        <v>24671</v>
      </c>
      <c r="I14813" t="s">
        <v>1357</v>
      </c>
      <c r="J14813" t="s">
        <v>1357</v>
      </c>
      <c r="K14813" t="s">
        <v>1357</v>
      </c>
      <c r="L14813" t="s">
        <v>1357</v>
      </c>
    </row>
    <row r="14814" spans="1:12">
      <c r="H14814" t="s">
        <v>24672</v>
      </c>
      <c r="I14814" t="s">
        <v>1357</v>
      </c>
      <c r="J14814" t="s">
        <v>1357</v>
      </c>
      <c r="K14814" t="s">
        <v>1357</v>
      </c>
      <c r="L14814" t="s">
        <v>1357</v>
      </c>
    </row>
    <row r="14815" spans="1:12">
      <c r="A14815" t="s">
        <v>11250</v>
      </c>
      <c r="B14815">
        <f>HYPERLINK("https://android.googlesource.com/platform/cts/+/10c0c6699cdabec767a07c80962ab1f6def98ec7", "10c0c6699cdabec767a07c80962ab1f6def98ec7")</f>
        <v>0</v>
      </c>
      <c r="C14815">
        <f>HYPERLINK("https://android.googlesource.com/platform/cts/+/c09f046a08ac7e71f927aab69a6c33443ae8358f", "c09f046a08ac7e71f927aab69a6c33443ae8358f")</f>
        <v>0</v>
      </c>
      <c r="D14815" t="s">
        <v>12351</v>
      </c>
      <c r="E14815" t="s">
        <v>13776</v>
      </c>
      <c r="F14815" t="s">
        <v>16843</v>
      </c>
      <c r="G14815" t="s">
        <v>19458</v>
      </c>
      <c r="H14815" t="s">
        <v>24673</v>
      </c>
      <c r="I14815" t="s">
        <v>1357</v>
      </c>
      <c r="J14815" t="s">
        <v>1357</v>
      </c>
      <c r="K14815" t="s">
        <v>1357</v>
      </c>
      <c r="L14815" t="s">
        <v>1357</v>
      </c>
    </row>
    <row r="14816" spans="1:12">
      <c r="H14816" t="s">
        <v>24674</v>
      </c>
      <c r="I14816" t="s">
        <v>1357</v>
      </c>
      <c r="J14816" t="s">
        <v>1357</v>
      </c>
      <c r="K14816" t="s">
        <v>1357</v>
      </c>
      <c r="L14816" t="s">
        <v>1357</v>
      </c>
    </row>
    <row r="14817" spans="1:13">
      <c r="A14817" t="s">
        <v>11251</v>
      </c>
      <c r="B14817">
        <f>HYPERLINK("https://android.googlesource.com/platform/cts/+/387842de5107d186619035483e89b40e97c49757", "387842de5107d186619035483e89b40e97c49757")</f>
        <v>0</v>
      </c>
      <c r="C14817">
        <f>HYPERLINK("https://android.googlesource.com/platform/cts/+/56a12fbf6b7362c8801ae7d58b253ffa1fd30ef0", "56a12fbf6b7362c8801ae7d58b253ffa1fd30ef0")</f>
        <v>0</v>
      </c>
      <c r="D14817" t="s">
        <v>12291</v>
      </c>
      <c r="E14817" t="s">
        <v>13777</v>
      </c>
      <c r="F14817" t="s">
        <v>16149</v>
      </c>
      <c r="G14817" t="s">
        <v>18778</v>
      </c>
      <c r="H14817" t="s">
        <v>24675</v>
      </c>
      <c r="I14817" t="s">
        <v>1357</v>
      </c>
      <c r="J14817" t="s">
        <v>1357</v>
      </c>
      <c r="K14817" t="s">
        <v>1357</v>
      </c>
      <c r="L14817" t="s">
        <v>1357</v>
      </c>
    </row>
    <row r="14818" spans="1:13">
      <c r="H14818" t="s">
        <v>24676</v>
      </c>
      <c r="I14818" t="s">
        <v>1357</v>
      </c>
      <c r="J14818" t="s">
        <v>1357</v>
      </c>
      <c r="K14818" t="s">
        <v>1357</v>
      </c>
      <c r="L14818" t="s">
        <v>1357</v>
      </c>
    </row>
    <row r="14819" spans="1:13">
      <c r="A14819" t="s">
        <v>11252</v>
      </c>
      <c r="B14819">
        <f>HYPERLINK("https://android.googlesource.com/platform/cts/+/edacbc2d13ac5ba68863a10f1e7cd2b331d7ed0c", "edacbc2d13ac5ba68863a10f1e7cd2b331d7ed0c")</f>
        <v>0</v>
      </c>
      <c r="C14819">
        <f>HYPERLINK("https://android.googlesource.com/platform/cts/+/4517d6673ca6fb5f335ecfc2df0a5ff34a5c1cf1", "4517d6673ca6fb5f335ecfc2df0a5ff34a5c1cf1")</f>
        <v>0</v>
      </c>
      <c r="D14819" t="s">
        <v>12352</v>
      </c>
      <c r="E14819" t="s">
        <v>13778</v>
      </c>
      <c r="F14819" t="s">
        <v>16844</v>
      </c>
      <c r="G14819" t="s">
        <v>19459</v>
      </c>
      <c r="H14819" t="s">
        <v>24677</v>
      </c>
      <c r="I14819" t="s">
        <v>1357</v>
      </c>
      <c r="J14819" t="s">
        <v>1357</v>
      </c>
      <c r="K14819" t="s">
        <v>1357</v>
      </c>
      <c r="L14819" t="s">
        <v>1357</v>
      </c>
      <c r="M14819" t="s">
        <v>1365</v>
      </c>
    </row>
    <row r="14820" spans="1:13">
      <c r="H14820" t="s">
        <v>24678</v>
      </c>
      <c r="I14820" t="s">
        <v>1357</v>
      </c>
      <c r="J14820" t="s">
        <v>1357</v>
      </c>
      <c r="K14820" t="s">
        <v>1357</v>
      </c>
      <c r="L14820" t="s">
        <v>1357</v>
      </c>
    </row>
    <row r="14821" spans="1:13">
      <c r="A14821" t="s">
        <v>11253</v>
      </c>
      <c r="B14821">
        <f>HYPERLINK("https://android.googlesource.com/platform/cts/+/f912225e90b6a2b605c0ee284575859fb800fb4e", "f912225e90b6a2b605c0ee284575859fb800fb4e")</f>
        <v>0</v>
      </c>
      <c r="C14821">
        <f>HYPERLINK("https://android.googlesource.com/platform/cts/+/69a1926280355194514a78960c461f259516c998", "69a1926280355194514a78960c461f259516c998")</f>
        <v>0</v>
      </c>
      <c r="D14821" t="s">
        <v>12353</v>
      </c>
      <c r="E14821" t="s">
        <v>13779</v>
      </c>
      <c r="F14821" t="s">
        <v>16845</v>
      </c>
      <c r="G14821" t="s">
        <v>19460</v>
      </c>
      <c r="H14821" t="s">
        <v>24679</v>
      </c>
      <c r="I14821" t="s">
        <v>1357</v>
      </c>
      <c r="J14821" t="s">
        <v>1357</v>
      </c>
      <c r="K14821" t="s">
        <v>1357</v>
      </c>
      <c r="L14821" t="s">
        <v>1357</v>
      </c>
    </row>
    <row r="14822" spans="1:13">
      <c r="H14822" t="s">
        <v>24680</v>
      </c>
      <c r="I14822" t="s">
        <v>1357</v>
      </c>
      <c r="J14822" t="s">
        <v>1357</v>
      </c>
      <c r="K14822" t="s">
        <v>1357</v>
      </c>
      <c r="L14822" t="s">
        <v>1357</v>
      </c>
    </row>
    <row r="14823" spans="1:13">
      <c r="A14823" t="s">
        <v>11254</v>
      </c>
      <c r="B14823">
        <f>HYPERLINK("https://android.googlesource.com/platform/cts/+/671791634ad0eecd56c6fed3bd3ed16257676267", "671791634ad0eecd56c6fed3bd3ed16257676267")</f>
        <v>0</v>
      </c>
      <c r="C14823">
        <f>HYPERLINK("https://android.googlesource.com/platform/cts/+/d87e04f2caa693daa3f1eeae9eb5f94b32278825", "d87e04f2caa693daa3f1eeae9eb5f94b32278825")</f>
        <v>0</v>
      </c>
      <c r="D14823" t="s">
        <v>12118</v>
      </c>
      <c r="E14823" t="s">
        <v>13780</v>
      </c>
      <c r="F14823" t="s">
        <v>16846</v>
      </c>
      <c r="G14823" t="s">
        <v>19461</v>
      </c>
      <c r="H14823" t="s">
        <v>24681</v>
      </c>
      <c r="I14823" t="s">
        <v>1359</v>
      </c>
      <c r="J14823" t="s">
        <v>1358</v>
      </c>
      <c r="K14823" t="s">
        <v>1357</v>
      </c>
      <c r="L14823" t="s">
        <v>1358</v>
      </c>
    </row>
    <row r="14824" spans="1:13">
      <c r="A14824" t="s">
        <v>11255</v>
      </c>
      <c r="B14824">
        <f>HYPERLINK("https://android.googlesource.com/platform/cts/+/6425a32f2ca122e2c926e4c6e65a6ebe58e3ff1d", "6425a32f2ca122e2c926e4c6e65a6ebe58e3ff1d")</f>
        <v>0</v>
      </c>
      <c r="C14824">
        <f>HYPERLINK("https://android.googlesource.com/platform/cts/+/ac88cea396505f1ca96c9b80fc247fe96eaa0e5c", "ac88cea396505f1ca96c9b80fc247fe96eaa0e5c")</f>
        <v>0</v>
      </c>
      <c r="D14824" t="s">
        <v>12040</v>
      </c>
      <c r="E14824" t="s">
        <v>13781</v>
      </c>
      <c r="F14824" t="s">
        <v>16481</v>
      </c>
      <c r="G14824" t="s">
        <v>19141</v>
      </c>
      <c r="H14824" t="s">
        <v>24682</v>
      </c>
      <c r="I14824" t="s">
        <v>1357</v>
      </c>
      <c r="J14824" t="s">
        <v>1357</v>
      </c>
      <c r="K14824" t="s">
        <v>1357</v>
      </c>
      <c r="L14824" t="s">
        <v>1357</v>
      </c>
    </row>
    <row r="14825" spans="1:13">
      <c r="A14825" t="s">
        <v>11256</v>
      </c>
      <c r="B14825">
        <f>HYPERLINK("https://android.googlesource.com/platform/cts/+/b3039fd8ccc1e601bb608d4b0b80ce19fc778420", "b3039fd8ccc1e601bb608d4b0b80ce19fc778420")</f>
        <v>0</v>
      </c>
      <c r="C14825">
        <f>HYPERLINK("https://android.googlesource.com/platform/cts/+/0743c3e6f762e706e2b6f8e2e0e84431a6b77cdf", "0743c3e6f762e706e2b6f8e2e0e84431a6b77cdf")</f>
        <v>0</v>
      </c>
      <c r="D14825" t="s">
        <v>12353</v>
      </c>
      <c r="E14825" t="s">
        <v>13782</v>
      </c>
      <c r="F14825" t="s">
        <v>16845</v>
      </c>
      <c r="G14825" t="s">
        <v>19460</v>
      </c>
      <c r="H14825" t="s">
        <v>24679</v>
      </c>
      <c r="I14825" t="s">
        <v>1357</v>
      </c>
      <c r="J14825" t="s">
        <v>1357</v>
      </c>
      <c r="K14825" t="s">
        <v>1357</v>
      </c>
      <c r="L14825" t="s">
        <v>1357</v>
      </c>
    </row>
    <row r="14826" spans="1:13">
      <c r="H14826" t="s">
        <v>24680</v>
      </c>
      <c r="I14826" t="s">
        <v>1357</v>
      </c>
      <c r="J14826" t="s">
        <v>1357</v>
      </c>
      <c r="K14826" t="s">
        <v>1357</v>
      </c>
      <c r="L14826" t="s">
        <v>1357</v>
      </c>
    </row>
    <row r="14827" spans="1:13">
      <c r="A14827" t="s">
        <v>11257</v>
      </c>
      <c r="B14827">
        <f>HYPERLINK("https://android.googlesource.com/platform/cts/+/f87f3afff210800fb6e920309fd15885d751496c", "f87f3afff210800fb6e920309fd15885d751496c")</f>
        <v>0</v>
      </c>
      <c r="C14827">
        <f>HYPERLINK("https://android.googlesource.com/platform/cts/+/f4f834af0a88e2a4d6f1d3d8358ce00f98fea8b0", "f4f834af0a88e2a4d6f1d3d8358ce00f98fea8b0")</f>
        <v>0</v>
      </c>
      <c r="D14827" t="s">
        <v>12354</v>
      </c>
      <c r="E14827" t="s">
        <v>13783</v>
      </c>
      <c r="F14827" t="s">
        <v>16847</v>
      </c>
      <c r="G14827" t="s">
        <v>19462</v>
      </c>
      <c r="H14827" t="s">
        <v>24683</v>
      </c>
      <c r="I14827" t="s">
        <v>1357</v>
      </c>
      <c r="J14827" t="s">
        <v>1357</v>
      </c>
      <c r="K14827" t="s">
        <v>1357</v>
      </c>
      <c r="L14827" t="s">
        <v>1357</v>
      </c>
    </row>
    <row r="14828" spans="1:13">
      <c r="H14828" t="s">
        <v>24684</v>
      </c>
      <c r="I14828" t="s">
        <v>1357</v>
      </c>
      <c r="J14828" t="s">
        <v>1357</v>
      </c>
      <c r="K14828" t="s">
        <v>1357</v>
      </c>
      <c r="L14828" t="s">
        <v>1357</v>
      </c>
    </row>
    <row r="14829" spans="1:13">
      <c r="H14829" t="s">
        <v>24685</v>
      </c>
      <c r="I14829" t="s">
        <v>1357</v>
      </c>
      <c r="J14829" t="s">
        <v>1357</v>
      </c>
      <c r="K14829" t="s">
        <v>1357</v>
      </c>
      <c r="L14829" t="s">
        <v>1357</v>
      </c>
    </row>
    <row r="14830" spans="1:13">
      <c r="H14830" t="s">
        <v>24686</v>
      </c>
      <c r="I14830" t="s">
        <v>1357</v>
      </c>
      <c r="J14830" t="s">
        <v>1357</v>
      </c>
      <c r="K14830" t="s">
        <v>1357</v>
      </c>
      <c r="L14830" t="s">
        <v>1357</v>
      </c>
    </row>
    <row r="14831" spans="1:13">
      <c r="H14831" t="s">
        <v>24687</v>
      </c>
      <c r="I14831" t="s">
        <v>1357</v>
      </c>
      <c r="J14831" t="s">
        <v>1357</v>
      </c>
      <c r="K14831" t="s">
        <v>1357</v>
      </c>
      <c r="L14831" t="s">
        <v>1357</v>
      </c>
    </row>
    <row r="14832" spans="1:13">
      <c r="H14832" t="s">
        <v>24688</v>
      </c>
      <c r="I14832" t="s">
        <v>1357</v>
      </c>
      <c r="J14832" t="s">
        <v>1357</v>
      </c>
      <c r="K14832" t="s">
        <v>1357</v>
      </c>
      <c r="L14832" t="s">
        <v>1357</v>
      </c>
    </row>
    <row r="14833" spans="1:14">
      <c r="H14833" t="s">
        <v>24689</v>
      </c>
      <c r="I14833" t="s">
        <v>1357</v>
      </c>
      <c r="J14833" t="s">
        <v>1357</v>
      </c>
      <c r="K14833" t="s">
        <v>1357</v>
      </c>
      <c r="L14833" t="s">
        <v>1357</v>
      </c>
    </row>
    <row r="14834" spans="1:14">
      <c r="A14834" t="s">
        <v>11258</v>
      </c>
      <c r="B14834">
        <f>HYPERLINK("https://android.googlesource.com/platform/cts/+/058149f4bd769f8360dea00453060a4c96958f5a", "058149f4bd769f8360dea00453060a4c96958f5a")</f>
        <v>0</v>
      </c>
      <c r="C14834">
        <f>HYPERLINK("https://android.googlesource.com/platform/cts/+/a1415c6288634c2f65c0dbfe021c57e08dc4a282", "a1415c6288634c2f65c0dbfe021c57e08dc4a282")</f>
        <v>0</v>
      </c>
      <c r="D14834" t="s">
        <v>12319</v>
      </c>
      <c r="E14834" t="s">
        <v>13784</v>
      </c>
      <c r="F14834" t="s">
        <v>16745</v>
      </c>
      <c r="G14834" t="s">
        <v>19374</v>
      </c>
      <c r="H14834" t="s">
        <v>24690</v>
      </c>
      <c r="I14834" t="s">
        <v>1357</v>
      </c>
      <c r="J14834" t="s">
        <v>1357</v>
      </c>
      <c r="K14834" t="s">
        <v>1357</v>
      </c>
      <c r="L14834" t="s">
        <v>1357</v>
      </c>
    </row>
    <row r="14835" spans="1:14">
      <c r="A14835" t="s">
        <v>11259</v>
      </c>
      <c r="B14835">
        <f>HYPERLINK("https://android.googlesource.com/platform/cts/+/8e8b5e7380f5f1828cdb0eace3cbac0069aff72a", "8e8b5e7380f5f1828cdb0eace3cbac0069aff72a")</f>
        <v>0</v>
      </c>
      <c r="C14835">
        <f>HYPERLINK("https://android.googlesource.com/platform/cts/+/a1415c6288634c2f65c0dbfe021c57e08dc4a282", "a1415c6288634c2f65c0dbfe021c57e08dc4a282")</f>
        <v>0</v>
      </c>
      <c r="D14835" t="s">
        <v>12319</v>
      </c>
      <c r="E14835" t="s">
        <v>13785</v>
      </c>
      <c r="F14835" t="s">
        <v>16745</v>
      </c>
      <c r="G14835" t="s">
        <v>19374</v>
      </c>
      <c r="H14835" t="s">
        <v>24691</v>
      </c>
      <c r="I14835" t="s">
        <v>1357</v>
      </c>
      <c r="J14835" t="s">
        <v>1357</v>
      </c>
      <c r="K14835" t="s">
        <v>1357</v>
      </c>
      <c r="L14835" t="s">
        <v>1357</v>
      </c>
    </row>
    <row r="14836" spans="1:14">
      <c r="A14836" t="s">
        <v>11260</v>
      </c>
      <c r="B14836">
        <f>HYPERLINK("https://android.googlesource.com/platform/cts/+/15f50bd5e02b39b43c2335f123b51cdcc8bb8467", "15f50bd5e02b39b43c2335f123b51cdcc8bb8467")</f>
        <v>0</v>
      </c>
      <c r="C14836">
        <f>HYPERLINK("https://android.googlesource.com/platform/cts/+/c515138d65cf220877cf0a65c594945ebff3f213", "c515138d65cf220877cf0a65c594945ebff3f213")</f>
        <v>0</v>
      </c>
      <c r="D14836" t="s">
        <v>12327</v>
      </c>
      <c r="E14836" t="s">
        <v>13786</v>
      </c>
      <c r="F14836" t="s">
        <v>16771</v>
      </c>
      <c r="G14836" t="s">
        <v>19397</v>
      </c>
      <c r="H14836" t="s">
        <v>24692</v>
      </c>
      <c r="I14836" t="s">
        <v>1358</v>
      </c>
      <c r="J14836" t="s">
        <v>1358</v>
      </c>
      <c r="K14836" t="s">
        <v>1358</v>
      </c>
      <c r="L14836" t="s">
        <v>1358</v>
      </c>
    </row>
    <row r="14837" spans="1:14">
      <c r="H14837" t="s">
        <v>24434</v>
      </c>
      <c r="I14837" t="s">
        <v>1358</v>
      </c>
      <c r="J14837" t="s">
        <v>1358</v>
      </c>
      <c r="K14837" t="s">
        <v>1358</v>
      </c>
      <c r="L14837" t="s">
        <v>1358</v>
      </c>
      <c r="M14837" t="s">
        <v>27492</v>
      </c>
    </row>
    <row r="14838" spans="1:14">
      <c r="H14838" t="s">
        <v>24435</v>
      </c>
      <c r="I14838" t="s">
        <v>1358</v>
      </c>
      <c r="J14838" t="s">
        <v>1358</v>
      </c>
      <c r="K14838" t="s">
        <v>1358</v>
      </c>
      <c r="L14838" t="s">
        <v>1358</v>
      </c>
    </row>
    <row r="14839" spans="1:14">
      <c r="F14839" t="s">
        <v>16772</v>
      </c>
      <c r="G14839" t="s">
        <v>19397</v>
      </c>
      <c r="H14839" t="s">
        <v>24434</v>
      </c>
      <c r="I14839" t="s">
        <v>1358</v>
      </c>
      <c r="J14839" t="s">
        <v>1358</v>
      </c>
      <c r="K14839" t="s">
        <v>1358</v>
      </c>
      <c r="L14839" t="s">
        <v>1358</v>
      </c>
      <c r="M14839" t="s">
        <v>27492</v>
      </c>
    </row>
    <row r="14840" spans="1:14">
      <c r="A14840" t="s">
        <v>11261</v>
      </c>
      <c r="B14840">
        <f>HYPERLINK("https://android.googlesource.com/platform/cts/+/82d51cb37c8ac78c18627e97502aa76cafba44e9", "82d51cb37c8ac78c18627e97502aa76cafba44e9")</f>
        <v>0</v>
      </c>
      <c r="C14840">
        <f>HYPERLINK("https://android.googlesource.com/platform/cts/+/62df50db6521dc6bf897ed07d42ee62dbf83a5ba", "62df50db6521dc6bf897ed07d42ee62dbf83a5ba")</f>
        <v>0</v>
      </c>
      <c r="D14840" t="s">
        <v>12288</v>
      </c>
      <c r="E14840" t="s">
        <v>13787</v>
      </c>
      <c r="F14840" t="s">
        <v>16783</v>
      </c>
      <c r="G14840" t="s">
        <v>19308</v>
      </c>
      <c r="H14840" t="s">
        <v>24463</v>
      </c>
      <c r="I14840" t="s">
        <v>1357</v>
      </c>
      <c r="J14840" t="s">
        <v>1357</v>
      </c>
      <c r="K14840" t="s">
        <v>1357</v>
      </c>
      <c r="L14840" t="s">
        <v>1357</v>
      </c>
    </row>
    <row r="14841" spans="1:14">
      <c r="A14841" t="s">
        <v>11262</v>
      </c>
      <c r="B14841">
        <f>HYPERLINK("https://android.googlesource.com/platform/cts/+/ca9d3af9ccf2479eef230a6ef5ea84ee6455661e", "ca9d3af9ccf2479eef230a6ef5ea84ee6455661e")</f>
        <v>0</v>
      </c>
      <c r="C14841">
        <f>HYPERLINK("https://android.googlesource.com/platform/cts/+/18fffbf71aed8a1435b2bfd6ba5b08f0c9f9d6ae", "18fffbf71aed8a1435b2bfd6ba5b08f0c9f9d6ae")</f>
        <v>0</v>
      </c>
      <c r="D14841" t="s">
        <v>12341</v>
      </c>
      <c r="E14841" t="s">
        <v>13788</v>
      </c>
      <c r="F14841" t="s">
        <v>16813</v>
      </c>
      <c r="G14841" t="s">
        <v>19433</v>
      </c>
      <c r="H14841" t="s">
        <v>24693</v>
      </c>
      <c r="I14841" t="s">
        <v>1357</v>
      </c>
      <c r="J14841" t="s">
        <v>1357</v>
      </c>
      <c r="K14841" t="s">
        <v>1357</v>
      </c>
      <c r="L14841" t="s">
        <v>1357</v>
      </c>
    </row>
    <row r="14842" spans="1:14">
      <c r="A14842" t="s">
        <v>11263</v>
      </c>
      <c r="B14842">
        <f>HYPERLINK("https://android.googlesource.com/platform/cts/+/c06aeddcf97e2beb2f113e3df81e1def41ddeeeb", "c06aeddcf97e2beb2f113e3df81e1def41ddeeeb")</f>
        <v>0</v>
      </c>
      <c r="C14842">
        <f>HYPERLINK("https://android.googlesource.com/platform/cts/+/6968a6fb322d66626667f5731fe94253eeada3fe", "6968a6fb322d66626667f5731fe94253eeada3fe")</f>
        <v>0</v>
      </c>
      <c r="D14842" t="s">
        <v>12291</v>
      </c>
      <c r="E14842" t="s">
        <v>13789</v>
      </c>
      <c r="F14842" t="s">
        <v>16294</v>
      </c>
      <c r="G14842" t="s">
        <v>18965</v>
      </c>
      <c r="H14842" t="s">
        <v>24694</v>
      </c>
      <c r="I14842" t="s">
        <v>1357</v>
      </c>
      <c r="J14842" t="s">
        <v>1357</v>
      </c>
      <c r="K14842" t="s">
        <v>1357</v>
      </c>
      <c r="L14842" t="s">
        <v>1357</v>
      </c>
    </row>
    <row r="14843" spans="1:14">
      <c r="H14843" t="s">
        <v>24695</v>
      </c>
      <c r="I14843" t="s">
        <v>1357</v>
      </c>
      <c r="J14843" t="s">
        <v>1357</v>
      </c>
      <c r="K14843" t="s">
        <v>1357</v>
      </c>
      <c r="L14843" t="s">
        <v>1357</v>
      </c>
    </row>
    <row r="14844" spans="1:14">
      <c r="H14844" t="s">
        <v>24696</v>
      </c>
      <c r="I14844" t="s">
        <v>1357</v>
      </c>
      <c r="J14844" t="s">
        <v>1357</v>
      </c>
      <c r="K14844" t="s">
        <v>1357</v>
      </c>
      <c r="L14844" t="s">
        <v>1357</v>
      </c>
    </row>
    <row r="14845" spans="1:14">
      <c r="A14845" t="s">
        <v>11264</v>
      </c>
      <c r="B14845">
        <f>HYPERLINK("https://android.googlesource.com/platform/cts/+/8e9d03a790a41afc0868c32dc423da01d62f7874", "8e9d03a790a41afc0868c32dc423da01d62f7874")</f>
        <v>0</v>
      </c>
      <c r="C14845">
        <f>HYPERLINK("https://android.googlesource.com/platform/cts/+/4fca2c3c3aa9b3b39b634f57b965388f047a3925", "4fca2c3c3aa9b3b39b634f57b965388f047a3925")</f>
        <v>0</v>
      </c>
      <c r="D14845" t="s">
        <v>12355</v>
      </c>
      <c r="E14845" t="s">
        <v>13790</v>
      </c>
      <c r="F14845" t="s">
        <v>14469</v>
      </c>
      <c r="G14845" t="s">
        <v>17316</v>
      </c>
      <c r="H14845" t="s">
        <v>24697</v>
      </c>
      <c r="I14845" t="s">
        <v>1357</v>
      </c>
      <c r="J14845" t="s">
        <v>1357</v>
      </c>
      <c r="K14845" t="s">
        <v>1357</v>
      </c>
      <c r="L14845" t="s">
        <v>1357</v>
      </c>
    </row>
    <row r="14846" spans="1:14">
      <c r="A14846" t="s">
        <v>11265</v>
      </c>
      <c r="B14846">
        <f>HYPERLINK("https://android.googlesource.com/platform/cts/+/4223e8c3c7250c76d9946e92b5ed856120ccc7f9", "4223e8c3c7250c76d9946e92b5ed856120ccc7f9")</f>
        <v>0</v>
      </c>
      <c r="C14846">
        <f>HYPERLINK("https://android.googlesource.com/platform/cts/+/9cc3ed5c03dd80ad773e7e958d0fad3f7d75a9e3", "9cc3ed5c03dd80ad773e7e958d0fad3f7d75a9e3")</f>
        <v>0</v>
      </c>
      <c r="D14846" t="s">
        <v>12355</v>
      </c>
      <c r="E14846" t="s">
        <v>13791</v>
      </c>
      <c r="F14846" t="s">
        <v>14469</v>
      </c>
      <c r="G14846" t="s">
        <v>17316</v>
      </c>
      <c r="H14846" t="s">
        <v>24697</v>
      </c>
      <c r="I14846" t="s">
        <v>1359</v>
      </c>
      <c r="J14846" t="s">
        <v>1358</v>
      </c>
      <c r="K14846" t="s">
        <v>1357</v>
      </c>
      <c r="L14846" t="s">
        <v>1358</v>
      </c>
      <c r="N14846" t="s">
        <v>27530</v>
      </c>
    </row>
    <row r="14847" spans="1:14">
      <c r="A14847" t="s">
        <v>11266</v>
      </c>
      <c r="B14847">
        <f>HYPERLINK("https://android.googlesource.com/platform/cts/+/6200d3481134be81f15e0dbd5bc9b06ac9d96687", "6200d3481134be81f15e0dbd5bc9b06ac9d96687")</f>
        <v>0</v>
      </c>
      <c r="C14847">
        <f>HYPERLINK("https://android.googlesource.com/platform/cts/+/72bb6aa1c8dfce650fd399b79615686e0709d85a", "72bb6aa1c8dfce650fd399b79615686e0709d85a")</f>
        <v>0</v>
      </c>
      <c r="D14847" t="s">
        <v>12182</v>
      </c>
      <c r="E14847" t="s">
        <v>13792</v>
      </c>
      <c r="F14847" t="s">
        <v>16749</v>
      </c>
      <c r="G14847" t="s">
        <v>19378</v>
      </c>
      <c r="H14847" t="s">
        <v>24571</v>
      </c>
      <c r="I14847" t="s">
        <v>1357</v>
      </c>
      <c r="J14847" t="s">
        <v>1357</v>
      </c>
      <c r="K14847" t="s">
        <v>1357</v>
      </c>
      <c r="L14847" t="s">
        <v>1357</v>
      </c>
    </row>
    <row r="14848" spans="1:14">
      <c r="H14848" t="s">
        <v>24572</v>
      </c>
      <c r="I14848" t="s">
        <v>1357</v>
      </c>
      <c r="J14848" t="s">
        <v>1357</v>
      </c>
      <c r="K14848" t="s">
        <v>1357</v>
      </c>
      <c r="L14848" t="s">
        <v>1357</v>
      </c>
    </row>
    <row r="14849" spans="1:13">
      <c r="H14849" t="s">
        <v>24573</v>
      </c>
      <c r="I14849" t="s">
        <v>1357</v>
      </c>
      <c r="J14849" t="s">
        <v>1357</v>
      </c>
      <c r="K14849" t="s">
        <v>1357</v>
      </c>
      <c r="L14849" t="s">
        <v>1357</v>
      </c>
    </row>
    <row r="14850" spans="1:13">
      <c r="A14850" t="s">
        <v>11267</v>
      </c>
      <c r="B14850">
        <f>HYPERLINK("https://android.googlesource.com/platform/cts/+/d8dad41fd038dc63bf32b0b3f58cd8c6ff8bddcc", "d8dad41fd038dc63bf32b0b3f58cd8c6ff8bddcc")</f>
        <v>0</v>
      </c>
      <c r="C14850">
        <f>HYPERLINK("https://android.googlesource.com/platform/cts/+/f97071794ea4366287903f618051bf5a011a5d4e", "f97071794ea4366287903f618051bf5a011a5d4e")</f>
        <v>0</v>
      </c>
      <c r="D14850" t="s">
        <v>12356</v>
      </c>
      <c r="E14850" t="s">
        <v>13793</v>
      </c>
      <c r="F14850" t="s">
        <v>16848</v>
      </c>
      <c r="G14850" t="s">
        <v>19463</v>
      </c>
      <c r="H14850" t="s">
        <v>24698</v>
      </c>
      <c r="I14850" t="s">
        <v>1357</v>
      </c>
      <c r="J14850" t="s">
        <v>1357</v>
      </c>
      <c r="K14850" t="s">
        <v>1357</v>
      </c>
      <c r="L14850" t="s">
        <v>1357</v>
      </c>
    </row>
    <row r="14851" spans="1:13">
      <c r="H14851" t="s">
        <v>24699</v>
      </c>
      <c r="I14851" t="s">
        <v>1357</v>
      </c>
      <c r="J14851" t="s">
        <v>1357</v>
      </c>
      <c r="K14851" t="s">
        <v>1357</v>
      </c>
      <c r="L14851" t="s">
        <v>1357</v>
      </c>
    </row>
    <row r="14852" spans="1:13">
      <c r="H14852" t="s">
        <v>24246</v>
      </c>
      <c r="I14852" t="s">
        <v>1357</v>
      </c>
      <c r="J14852" t="s">
        <v>1357</v>
      </c>
      <c r="K14852" t="s">
        <v>1357</v>
      </c>
      <c r="L14852" t="s">
        <v>1357</v>
      </c>
    </row>
    <row r="14853" spans="1:13">
      <c r="A14853" t="s">
        <v>11268</v>
      </c>
      <c r="B14853">
        <f>HYPERLINK("https://android.googlesource.com/platform/cts/+/a7d58d87ab6ffe7a3e3b169560a55c76f2e2caa4", "a7d58d87ab6ffe7a3e3b169560a55c76f2e2caa4")</f>
        <v>0</v>
      </c>
      <c r="C14853">
        <f>HYPERLINK("https://android.googlesource.com/platform/cts/+/155dba77863d58e72597d1e1cc4f7499faba424d", "155dba77863d58e72597d1e1cc4f7499faba424d")</f>
        <v>0</v>
      </c>
      <c r="D14853" t="s">
        <v>12310</v>
      </c>
      <c r="E14853" t="s">
        <v>13794</v>
      </c>
      <c r="F14853" t="s">
        <v>16207</v>
      </c>
      <c r="G14853" t="s">
        <v>18885</v>
      </c>
      <c r="H14853" t="s">
        <v>24666</v>
      </c>
      <c r="I14853" t="s">
        <v>1357</v>
      </c>
      <c r="J14853" t="s">
        <v>1357</v>
      </c>
      <c r="K14853" t="s">
        <v>1357</v>
      </c>
      <c r="L14853" t="s">
        <v>1357</v>
      </c>
      <c r="M14853" t="s">
        <v>9957</v>
      </c>
    </row>
    <row r="14854" spans="1:13">
      <c r="F14854" t="s">
        <v>16749</v>
      </c>
      <c r="G14854" t="s">
        <v>19378</v>
      </c>
      <c r="H14854" t="s">
        <v>24667</v>
      </c>
      <c r="I14854" t="s">
        <v>1357</v>
      </c>
      <c r="J14854" t="s">
        <v>1357</v>
      </c>
      <c r="K14854" t="s">
        <v>1357</v>
      </c>
      <c r="L14854" t="s">
        <v>1357</v>
      </c>
    </row>
    <row r="14855" spans="1:13">
      <c r="H14855" t="s">
        <v>24668</v>
      </c>
      <c r="I14855" t="s">
        <v>1357</v>
      </c>
      <c r="J14855" t="s">
        <v>1357</v>
      </c>
      <c r="K14855" t="s">
        <v>1357</v>
      </c>
      <c r="L14855" t="s">
        <v>1357</v>
      </c>
    </row>
    <row r="14856" spans="1:13">
      <c r="F14856" t="s">
        <v>16838</v>
      </c>
      <c r="G14856" t="s">
        <v>19007</v>
      </c>
      <c r="H14856" t="s">
        <v>24669</v>
      </c>
      <c r="I14856" t="s">
        <v>1357</v>
      </c>
      <c r="J14856" t="s">
        <v>1357</v>
      </c>
      <c r="K14856" t="s">
        <v>1357</v>
      </c>
      <c r="L14856" t="s">
        <v>1357</v>
      </c>
    </row>
    <row r="14857" spans="1:13">
      <c r="H14857" t="s">
        <v>24670</v>
      </c>
      <c r="I14857" t="s">
        <v>1357</v>
      </c>
      <c r="J14857" t="s">
        <v>1357</v>
      </c>
      <c r="K14857" t="s">
        <v>1357</v>
      </c>
      <c r="L14857" t="s">
        <v>1357</v>
      </c>
    </row>
    <row r="14858" spans="1:13">
      <c r="H14858" t="s">
        <v>24671</v>
      </c>
      <c r="I14858" t="s">
        <v>1357</v>
      </c>
      <c r="J14858" t="s">
        <v>1357</v>
      </c>
      <c r="K14858" t="s">
        <v>1357</v>
      </c>
      <c r="L14858" t="s">
        <v>1357</v>
      </c>
    </row>
    <row r="14859" spans="1:13">
      <c r="H14859" t="s">
        <v>24672</v>
      </c>
      <c r="I14859" t="s">
        <v>1357</v>
      </c>
      <c r="J14859" t="s">
        <v>1357</v>
      </c>
      <c r="K14859" t="s">
        <v>1357</v>
      </c>
      <c r="L14859" t="s">
        <v>1357</v>
      </c>
    </row>
    <row r="14860" spans="1:13">
      <c r="A14860" t="s">
        <v>11269</v>
      </c>
      <c r="B14860">
        <f>HYPERLINK("https://android.googlesource.com/platform/cts/+/d670540224578c52d62d8459d7a997d52b2b4c62", "d670540224578c52d62d8459d7a997d52b2b4c62")</f>
        <v>0</v>
      </c>
      <c r="C14860">
        <f>HYPERLINK("https://android.googlesource.com/platform/cts/+/a71306e7a3f123317b0ac054f885050e58b9ca6a", "a71306e7a3f123317b0ac054f885050e58b9ca6a")</f>
        <v>0</v>
      </c>
      <c r="D14860" t="s">
        <v>12248</v>
      </c>
      <c r="E14860" t="s">
        <v>13795</v>
      </c>
      <c r="F14860" t="s">
        <v>16099</v>
      </c>
      <c r="G14860" t="s">
        <v>18788</v>
      </c>
      <c r="H14860" t="s">
        <v>24700</v>
      </c>
      <c r="I14860" t="s">
        <v>1357</v>
      </c>
      <c r="J14860" t="s">
        <v>1357</v>
      </c>
      <c r="K14860" t="s">
        <v>1357</v>
      </c>
      <c r="L14860" t="s">
        <v>1357</v>
      </c>
    </row>
    <row r="14861" spans="1:13">
      <c r="F14861" t="s">
        <v>16849</v>
      </c>
      <c r="G14861" t="s">
        <v>19464</v>
      </c>
      <c r="H14861" t="s">
        <v>24701</v>
      </c>
      <c r="I14861" t="s">
        <v>1357</v>
      </c>
      <c r="J14861" t="s">
        <v>1357</v>
      </c>
      <c r="K14861" t="s">
        <v>1357</v>
      </c>
      <c r="L14861" t="s">
        <v>1357</v>
      </c>
    </row>
    <row r="14862" spans="1:13">
      <c r="A14862" t="s">
        <v>11270</v>
      </c>
      <c r="B14862">
        <f>HYPERLINK("https://android.googlesource.com/platform/cts/+/4745d6930f24693c26011be5f0463cbe48be0816", "4745d6930f24693c26011be5f0463cbe48be0816")</f>
        <v>0</v>
      </c>
      <c r="C14862">
        <f>HYPERLINK("https://android.googlesource.com/platform/cts/+/8563ca4cde28aaf9b0415b4809ef3359f1eeee20", "8563ca4cde28aaf9b0415b4809ef3359f1eeee20")</f>
        <v>0</v>
      </c>
      <c r="D14862" t="s">
        <v>12348</v>
      </c>
      <c r="E14862" t="s">
        <v>13796</v>
      </c>
      <c r="F14862" t="s">
        <v>16834</v>
      </c>
      <c r="G14862" t="s">
        <v>19450</v>
      </c>
      <c r="H14862" t="s">
        <v>24702</v>
      </c>
      <c r="I14862" t="s">
        <v>1357</v>
      </c>
      <c r="J14862" t="s">
        <v>1357</v>
      </c>
      <c r="K14862" t="s">
        <v>1357</v>
      </c>
      <c r="L14862" t="s">
        <v>1357</v>
      </c>
    </row>
    <row r="14863" spans="1:13">
      <c r="H14863" t="s">
        <v>24703</v>
      </c>
      <c r="I14863" t="s">
        <v>1357</v>
      </c>
      <c r="J14863" t="s">
        <v>1357</v>
      </c>
      <c r="K14863" t="s">
        <v>1357</v>
      </c>
      <c r="L14863" t="s">
        <v>1357</v>
      </c>
    </row>
    <row r="14864" spans="1:13">
      <c r="A14864" t="s">
        <v>11271</v>
      </c>
      <c r="B14864">
        <f>HYPERLINK("https://android.googlesource.com/platform/cts/+/bc5777af3aeef2ee8186477061cb0469ecbb112a", "bc5777af3aeef2ee8186477061cb0469ecbb112a")</f>
        <v>0</v>
      </c>
      <c r="C14864">
        <f>HYPERLINK("https://android.googlesource.com/platform/cts/+/98adfc01a082dadbe9581e35ba471d6d06781450", "98adfc01a082dadbe9581e35ba471d6d06781450")</f>
        <v>0</v>
      </c>
      <c r="D14864" t="s">
        <v>12122</v>
      </c>
      <c r="E14864" t="s">
        <v>13797</v>
      </c>
      <c r="F14864" t="s">
        <v>16850</v>
      </c>
      <c r="G14864" t="s">
        <v>18996</v>
      </c>
      <c r="H14864" t="s">
        <v>22699</v>
      </c>
      <c r="I14864" t="s">
        <v>1358</v>
      </c>
      <c r="J14864" t="s">
        <v>1358</v>
      </c>
      <c r="K14864" t="s">
        <v>1358</v>
      </c>
      <c r="L14864" t="s">
        <v>1358</v>
      </c>
    </row>
    <row r="14865" spans="1:13">
      <c r="A14865" t="s">
        <v>11272</v>
      </c>
      <c r="B14865">
        <f>HYPERLINK("https://android.googlesource.com/platform/cts/+/80180cd678dc3f44d4f097b000bb0b3386065308", "80180cd678dc3f44d4f097b000bb0b3386065308")</f>
        <v>0</v>
      </c>
      <c r="C14865">
        <f>HYPERLINK("https://android.googlesource.com/platform/cts/+/11c53df7b56f63d76a28d995140c62e1a2c14093", "11c53df7b56f63d76a28d995140c62e1a2c14093")</f>
        <v>0</v>
      </c>
      <c r="D14865" t="s">
        <v>12161</v>
      </c>
      <c r="E14865" t="s">
        <v>13798</v>
      </c>
      <c r="F14865" t="s">
        <v>16851</v>
      </c>
      <c r="G14865" t="s">
        <v>19465</v>
      </c>
      <c r="H14865" t="s">
        <v>24704</v>
      </c>
      <c r="I14865" t="s">
        <v>1357</v>
      </c>
      <c r="J14865" t="s">
        <v>1357</v>
      </c>
      <c r="K14865" t="s">
        <v>1357</v>
      </c>
      <c r="L14865" t="s">
        <v>1357</v>
      </c>
    </row>
    <row r="14866" spans="1:13">
      <c r="H14866" t="s">
        <v>24705</v>
      </c>
      <c r="I14866" t="s">
        <v>1358</v>
      </c>
      <c r="J14866" t="s">
        <v>1358</v>
      </c>
      <c r="K14866" t="s">
        <v>1358</v>
      </c>
      <c r="L14866" t="s">
        <v>1358</v>
      </c>
    </row>
    <row r="14867" spans="1:13">
      <c r="A14867" t="s">
        <v>11273</v>
      </c>
      <c r="B14867">
        <f>HYPERLINK("https://android.googlesource.com/platform/cts/+/9a8db49662e50b40d3a21f951b6c9b0b5a2dfd93", "9a8db49662e50b40d3a21f951b6c9b0b5a2dfd93")</f>
        <v>0</v>
      </c>
      <c r="C14867">
        <f>HYPERLINK("https://android.googlesource.com/platform/cts/+/684bffdb0dc893d64ec8b47ef0c27bcc5dcb36ee", "684bffdb0dc893d64ec8b47ef0c27bcc5dcb36ee")</f>
        <v>0</v>
      </c>
      <c r="D14867" t="s">
        <v>12319</v>
      </c>
      <c r="E14867" t="s">
        <v>13799</v>
      </c>
      <c r="F14867" t="s">
        <v>16403</v>
      </c>
      <c r="G14867" t="s">
        <v>19069</v>
      </c>
      <c r="H14867" t="s">
        <v>24706</v>
      </c>
      <c r="I14867" t="s">
        <v>1357</v>
      </c>
      <c r="J14867" t="s">
        <v>1357</v>
      </c>
      <c r="K14867" t="s">
        <v>1357</v>
      </c>
      <c r="L14867" t="s">
        <v>1357</v>
      </c>
    </row>
    <row r="14868" spans="1:13">
      <c r="A14868" t="s">
        <v>11274</v>
      </c>
      <c r="B14868">
        <f>HYPERLINK("https://android.googlesource.com/platform/cts/+/3269a1c3196540588a3e32380f85da5f8ff4b8ce", "3269a1c3196540588a3e32380f85da5f8ff4b8ce")</f>
        <v>0</v>
      </c>
      <c r="C14868">
        <f>HYPERLINK("https://android.googlesource.com/platform/cts/+/4129ddfd7dc56b1dad09022d5ef192913e100a8e", "4129ddfd7dc56b1dad09022d5ef192913e100a8e")</f>
        <v>0</v>
      </c>
      <c r="D14868" t="s">
        <v>12357</v>
      </c>
      <c r="E14868" t="s">
        <v>13800</v>
      </c>
      <c r="F14868" t="s">
        <v>16852</v>
      </c>
      <c r="G14868" t="s">
        <v>19466</v>
      </c>
      <c r="H14868" t="s">
        <v>24707</v>
      </c>
      <c r="I14868" t="s">
        <v>1357</v>
      </c>
      <c r="J14868" t="s">
        <v>1357</v>
      </c>
      <c r="K14868" t="s">
        <v>1357</v>
      </c>
      <c r="L14868" t="s">
        <v>1357</v>
      </c>
    </row>
    <row r="14869" spans="1:13">
      <c r="H14869" t="s">
        <v>24708</v>
      </c>
      <c r="I14869" t="s">
        <v>1357</v>
      </c>
      <c r="J14869" t="s">
        <v>1357</v>
      </c>
      <c r="K14869" t="s">
        <v>1357</v>
      </c>
      <c r="L14869" t="s">
        <v>1357</v>
      </c>
    </row>
    <row r="14870" spans="1:13">
      <c r="H14870" t="s">
        <v>24709</v>
      </c>
      <c r="I14870" t="s">
        <v>1357</v>
      </c>
      <c r="J14870" t="s">
        <v>1357</v>
      </c>
      <c r="K14870" t="s">
        <v>1357</v>
      </c>
      <c r="L14870" t="s">
        <v>1357</v>
      </c>
    </row>
    <row r="14871" spans="1:13">
      <c r="A14871" t="s">
        <v>11275</v>
      </c>
      <c r="B14871">
        <f>HYPERLINK("https://android.googlesource.com/platform/cts/+/668291193b0cf7726c9cb163d3331b6102337314", "668291193b0cf7726c9cb163d3331b6102337314")</f>
        <v>0</v>
      </c>
      <c r="C14871">
        <f>HYPERLINK("https://android.googlesource.com/platform/cts/+/6f52092642bc21691e839d989ea80d78c39e127d", "6f52092642bc21691e839d989ea80d78c39e127d")</f>
        <v>0</v>
      </c>
      <c r="D14871" t="s">
        <v>12357</v>
      </c>
      <c r="E14871" t="s">
        <v>13801</v>
      </c>
      <c r="F14871" t="s">
        <v>16853</v>
      </c>
      <c r="G14871" t="s">
        <v>19466</v>
      </c>
      <c r="H14871" t="s">
        <v>24707</v>
      </c>
      <c r="I14871" t="s">
        <v>1357</v>
      </c>
      <c r="J14871" t="s">
        <v>1357</v>
      </c>
      <c r="K14871" t="s">
        <v>1357</v>
      </c>
      <c r="L14871" t="s">
        <v>1357</v>
      </c>
      <c r="M14871" t="s">
        <v>9957</v>
      </c>
    </row>
    <row r="14872" spans="1:13">
      <c r="H14872" t="s">
        <v>24708</v>
      </c>
      <c r="I14872" t="s">
        <v>1357</v>
      </c>
      <c r="J14872" t="s">
        <v>1357</v>
      </c>
      <c r="K14872" t="s">
        <v>1357</v>
      </c>
      <c r="L14872" t="s">
        <v>1357</v>
      </c>
    </row>
    <row r="14873" spans="1:13">
      <c r="H14873" t="s">
        <v>24709</v>
      </c>
      <c r="I14873" t="s">
        <v>1357</v>
      </c>
      <c r="J14873" t="s">
        <v>1357</v>
      </c>
      <c r="K14873" t="s">
        <v>1357</v>
      </c>
      <c r="L14873" t="s">
        <v>1357</v>
      </c>
    </row>
    <row r="14874" spans="1:13">
      <c r="A14874" t="s">
        <v>11276</v>
      </c>
      <c r="B14874">
        <f>HYPERLINK("https://android.googlesource.com/platform/cts/+/b42fd3ade80aa38de1ddb2d71d0ac7aa7b524b81", "b42fd3ade80aa38de1ddb2d71d0ac7aa7b524b81")</f>
        <v>0</v>
      </c>
      <c r="C14874">
        <f>HYPERLINK("https://android.googlesource.com/platform/cts/+/912a74c66c95f6f1680c8d1b4f6c2dfac4b4bc34", "912a74c66c95f6f1680c8d1b4f6c2dfac4b4bc34")</f>
        <v>0</v>
      </c>
      <c r="D14874" t="s">
        <v>12350</v>
      </c>
      <c r="E14874" t="s">
        <v>13802</v>
      </c>
      <c r="F14874" t="s">
        <v>16838</v>
      </c>
      <c r="G14874" t="s">
        <v>19007</v>
      </c>
      <c r="H14874" t="s">
        <v>24664</v>
      </c>
      <c r="I14874" t="s">
        <v>1357</v>
      </c>
      <c r="J14874" t="s">
        <v>1357</v>
      </c>
      <c r="K14874" t="s">
        <v>1357</v>
      </c>
      <c r="L14874" t="s">
        <v>1357</v>
      </c>
    </row>
    <row r="14875" spans="1:13">
      <c r="A14875" t="s">
        <v>11277</v>
      </c>
      <c r="B14875">
        <f>HYPERLINK("https://android.googlesource.com/platform/cts/+/1e9fe81c584f7a5c5ce2a0638408c348a42fca78", "1e9fe81c584f7a5c5ce2a0638408c348a42fca78")</f>
        <v>0</v>
      </c>
      <c r="C14875">
        <f>HYPERLINK("https://android.googlesource.com/platform/cts/+/339dfb440f4a686b34ec2167669292de0738dd43", "339dfb440f4a686b34ec2167669292de0738dd43")</f>
        <v>0</v>
      </c>
      <c r="D14875" t="s">
        <v>12320</v>
      </c>
      <c r="E14875" t="s">
        <v>13803</v>
      </c>
      <c r="F14875" t="s">
        <v>16854</v>
      </c>
      <c r="G14875" t="s">
        <v>19467</v>
      </c>
      <c r="H14875" t="s">
        <v>24710</v>
      </c>
      <c r="I14875" t="s">
        <v>1357</v>
      </c>
      <c r="J14875" t="s">
        <v>1357</v>
      </c>
      <c r="K14875" t="s">
        <v>1357</v>
      </c>
      <c r="L14875" t="s">
        <v>1357</v>
      </c>
    </row>
    <row r="14876" spans="1:13">
      <c r="H14876" t="s">
        <v>24711</v>
      </c>
      <c r="I14876" t="s">
        <v>1357</v>
      </c>
      <c r="J14876" t="s">
        <v>1357</v>
      </c>
      <c r="K14876" t="s">
        <v>1357</v>
      </c>
      <c r="L14876" t="s">
        <v>1357</v>
      </c>
    </row>
    <row r="14877" spans="1:13">
      <c r="H14877" t="s">
        <v>24712</v>
      </c>
      <c r="I14877" t="s">
        <v>1357</v>
      </c>
      <c r="J14877" t="s">
        <v>1357</v>
      </c>
      <c r="K14877" t="s">
        <v>1357</v>
      </c>
      <c r="L14877" t="s">
        <v>1357</v>
      </c>
    </row>
    <row r="14878" spans="1:13">
      <c r="A14878" t="s">
        <v>11278</v>
      </c>
      <c r="B14878">
        <f>HYPERLINK("https://android.googlesource.com/platform/cts/+/457b8ad3ef02d0a3fe31623d301560870690b79a", "457b8ad3ef02d0a3fe31623d301560870690b79a")</f>
        <v>0</v>
      </c>
      <c r="C14878">
        <f>HYPERLINK("https://android.googlesource.com/platform/cts/+/d1bab0f9a3dbc3e88d0d02e46df08f817039ce20", "d1bab0f9a3dbc3e88d0d02e46df08f817039ce20")</f>
        <v>0</v>
      </c>
      <c r="D14878" t="s">
        <v>12358</v>
      </c>
      <c r="E14878" t="s">
        <v>13804</v>
      </c>
      <c r="F14878" t="s">
        <v>16855</v>
      </c>
      <c r="G14878" t="s">
        <v>19468</v>
      </c>
      <c r="H14878" t="s">
        <v>24713</v>
      </c>
      <c r="I14878" t="s">
        <v>1357</v>
      </c>
      <c r="J14878" t="s">
        <v>1357</v>
      </c>
      <c r="K14878" t="s">
        <v>1357</v>
      </c>
      <c r="L14878" t="s">
        <v>1357</v>
      </c>
    </row>
    <row r="14879" spans="1:13">
      <c r="A14879" t="s">
        <v>11279</v>
      </c>
      <c r="B14879">
        <f>HYPERLINK("https://android.googlesource.com/platform/cts/+/c010341da6ac2537ca3b106e4c5a881df3c7fa68", "c010341da6ac2537ca3b106e4c5a881df3c7fa68")</f>
        <v>0</v>
      </c>
      <c r="C14879">
        <f>HYPERLINK("https://android.googlesource.com/platform/cts/+/5bd5ac6f7e4179bbd548f0372f743b3f74f1692c", "5bd5ac6f7e4179bbd548f0372f743b3f74f1692c")</f>
        <v>0</v>
      </c>
      <c r="D14879" t="s">
        <v>12359</v>
      </c>
      <c r="E14879" t="s">
        <v>13805</v>
      </c>
      <c r="F14879" t="s">
        <v>16854</v>
      </c>
      <c r="G14879" t="s">
        <v>19467</v>
      </c>
      <c r="H14879" t="s">
        <v>24710</v>
      </c>
      <c r="I14879" t="s">
        <v>1357</v>
      </c>
      <c r="J14879" t="s">
        <v>1357</v>
      </c>
      <c r="K14879" t="s">
        <v>1357</v>
      </c>
      <c r="L14879" t="s">
        <v>1357</v>
      </c>
    </row>
    <row r="14880" spans="1:13">
      <c r="H14880" t="s">
        <v>24711</v>
      </c>
      <c r="I14880" t="s">
        <v>1357</v>
      </c>
      <c r="J14880" t="s">
        <v>1357</v>
      </c>
      <c r="K14880" t="s">
        <v>1357</v>
      </c>
      <c r="L14880" t="s">
        <v>1357</v>
      </c>
    </row>
    <row r="14881" spans="1:13">
      <c r="H14881" t="s">
        <v>24712</v>
      </c>
      <c r="I14881" t="s">
        <v>1357</v>
      </c>
      <c r="J14881" t="s">
        <v>1357</v>
      </c>
      <c r="K14881" t="s">
        <v>1357</v>
      </c>
      <c r="L14881" t="s">
        <v>1357</v>
      </c>
      <c r="M14881" t="s">
        <v>9957</v>
      </c>
    </row>
    <row r="14882" spans="1:13">
      <c r="A14882" t="s">
        <v>11280</v>
      </c>
      <c r="B14882">
        <f>HYPERLINK("https://android.googlesource.com/platform/cts/+/00b3ff062b4606dacc8cb9802eed1616bb021c96", "00b3ff062b4606dacc8cb9802eed1616bb021c96")</f>
        <v>0</v>
      </c>
      <c r="C14882">
        <f>HYPERLINK("https://android.googlesource.com/platform/cts/+/0f0b828841a198a4948142051250d4b5f196c613", "0f0b828841a198a4948142051250d4b5f196c613")</f>
        <v>0</v>
      </c>
      <c r="D14882" t="s">
        <v>12167</v>
      </c>
      <c r="E14882" t="s">
        <v>13806</v>
      </c>
      <c r="F14882" t="s">
        <v>16856</v>
      </c>
      <c r="G14882" t="s">
        <v>19469</v>
      </c>
      <c r="H14882" t="s">
        <v>795</v>
      </c>
      <c r="I14882" t="s">
        <v>1357</v>
      </c>
      <c r="J14882" t="s">
        <v>1357</v>
      </c>
      <c r="K14882" t="s">
        <v>1357</v>
      </c>
      <c r="L14882" t="s">
        <v>1357</v>
      </c>
    </row>
    <row r="14883" spans="1:13">
      <c r="H14883" t="s">
        <v>19948</v>
      </c>
      <c r="I14883" t="s">
        <v>1357</v>
      </c>
      <c r="J14883" t="s">
        <v>1357</v>
      </c>
      <c r="K14883" t="s">
        <v>1357</v>
      </c>
      <c r="L14883" t="s">
        <v>1357</v>
      </c>
    </row>
    <row r="14884" spans="1:13">
      <c r="H14884" t="s">
        <v>19890</v>
      </c>
      <c r="I14884" t="s">
        <v>1357</v>
      </c>
      <c r="J14884" t="s">
        <v>1357</v>
      </c>
      <c r="K14884" t="s">
        <v>1357</v>
      </c>
      <c r="L14884" t="s">
        <v>1357</v>
      </c>
    </row>
    <row r="14885" spans="1:13">
      <c r="H14885" t="s">
        <v>24714</v>
      </c>
      <c r="I14885" t="s">
        <v>1357</v>
      </c>
      <c r="J14885" t="s">
        <v>1357</v>
      </c>
      <c r="K14885" t="s">
        <v>1357</v>
      </c>
      <c r="L14885" t="s">
        <v>1357</v>
      </c>
    </row>
    <row r="14886" spans="1:13">
      <c r="F14886" t="s">
        <v>16857</v>
      </c>
      <c r="G14886" t="s">
        <v>19470</v>
      </c>
      <c r="H14886" t="s">
        <v>795</v>
      </c>
      <c r="I14886" t="s">
        <v>1357</v>
      </c>
      <c r="J14886" t="s">
        <v>1357</v>
      </c>
      <c r="K14886" t="s">
        <v>1357</v>
      </c>
      <c r="L14886" t="s">
        <v>1357</v>
      </c>
    </row>
    <row r="14887" spans="1:13">
      <c r="H14887" t="s">
        <v>19948</v>
      </c>
      <c r="I14887" t="s">
        <v>1357</v>
      </c>
      <c r="J14887" t="s">
        <v>1357</v>
      </c>
      <c r="K14887" t="s">
        <v>1357</v>
      </c>
      <c r="L14887" t="s">
        <v>1357</v>
      </c>
    </row>
    <row r="14888" spans="1:13">
      <c r="H14888" t="s">
        <v>19890</v>
      </c>
      <c r="I14888" t="s">
        <v>1357</v>
      </c>
      <c r="J14888" t="s">
        <v>1357</v>
      </c>
      <c r="K14888" t="s">
        <v>1357</v>
      </c>
      <c r="L14888" t="s">
        <v>1357</v>
      </c>
    </row>
    <row r="14889" spans="1:13">
      <c r="H14889" t="s">
        <v>24714</v>
      </c>
      <c r="I14889" t="s">
        <v>1357</v>
      </c>
      <c r="J14889" t="s">
        <v>1357</v>
      </c>
      <c r="K14889" t="s">
        <v>1357</v>
      </c>
      <c r="L14889" t="s">
        <v>1357</v>
      </c>
    </row>
    <row r="14890" spans="1:13">
      <c r="A14890" t="s">
        <v>11281</v>
      </c>
      <c r="B14890">
        <f>HYPERLINK("https://android.googlesource.com/platform/cts/+/02b422d497074981332952e65e304893334f82af", "02b422d497074981332952e65e304893334f82af")</f>
        <v>0</v>
      </c>
      <c r="C14890">
        <f>HYPERLINK("https://android.googlesource.com/platform/cts/+/b3163061a0cc98af7bdb4c51620dc02262bef0d3", "b3163061a0cc98af7bdb4c51620dc02262bef0d3")</f>
        <v>0</v>
      </c>
      <c r="D14890" t="s">
        <v>12357</v>
      </c>
      <c r="E14890" t="s">
        <v>13807</v>
      </c>
      <c r="F14890" t="s">
        <v>16853</v>
      </c>
      <c r="G14890" t="s">
        <v>19466</v>
      </c>
      <c r="H14890" t="s">
        <v>24707</v>
      </c>
      <c r="I14890" t="s">
        <v>1357</v>
      </c>
      <c r="J14890" t="s">
        <v>1357</v>
      </c>
      <c r="K14890" t="s">
        <v>1357</v>
      </c>
      <c r="L14890" t="s">
        <v>1357</v>
      </c>
    </row>
    <row r="14891" spans="1:13">
      <c r="H14891" t="s">
        <v>24708</v>
      </c>
      <c r="I14891" t="s">
        <v>1357</v>
      </c>
      <c r="J14891" t="s">
        <v>1357</v>
      </c>
      <c r="K14891" t="s">
        <v>1357</v>
      </c>
      <c r="L14891" t="s">
        <v>1357</v>
      </c>
    </row>
    <row r="14892" spans="1:13">
      <c r="H14892" t="s">
        <v>24709</v>
      </c>
      <c r="I14892" t="s">
        <v>1357</v>
      </c>
      <c r="J14892" t="s">
        <v>1357</v>
      </c>
      <c r="K14892" t="s">
        <v>1357</v>
      </c>
      <c r="L14892" t="s">
        <v>1357</v>
      </c>
    </row>
    <row r="14893" spans="1:13">
      <c r="A14893" t="s">
        <v>11282</v>
      </c>
      <c r="B14893">
        <f>HYPERLINK("https://android.googlesource.com/platform/cts/+/7429851405a82c9fac7b1540646331bc1da699c3", "7429851405a82c9fac7b1540646331bc1da699c3")</f>
        <v>0</v>
      </c>
      <c r="C14893">
        <f>HYPERLINK("https://android.googlesource.com/platform/cts/+/a14ae1101a7ef76ec9365f1098b2df25c4860974", "a14ae1101a7ef76ec9365f1098b2df25c4860974")</f>
        <v>0</v>
      </c>
      <c r="D14893" t="s">
        <v>12330</v>
      </c>
      <c r="E14893" t="s">
        <v>13808</v>
      </c>
      <c r="F14893" t="s">
        <v>16403</v>
      </c>
      <c r="G14893" t="s">
        <v>19069</v>
      </c>
      <c r="H14893" t="s">
        <v>24715</v>
      </c>
      <c r="I14893" t="s">
        <v>1357</v>
      </c>
      <c r="J14893" t="s">
        <v>1357</v>
      </c>
      <c r="K14893" t="s">
        <v>1357</v>
      </c>
      <c r="L14893" t="s">
        <v>1357</v>
      </c>
    </row>
    <row r="14894" spans="1:13">
      <c r="A14894" t="s">
        <v>11283</v>
      </c>
      <c r="B14894">
        <f>HYPERLINK("https://android.googlesource.com/platform/cts/+/ea9e366aa024b4f4a34a3070945de54ab8ab7c65", "ea9e366aa024b4f4a34a3070945de54ab8ab7c65")</f>
        <v>0</v>
      </c>
      <c r="C14894">
        <f>HYPERLINK("https://android.googlesource.com/platform/cts/+/7429851405a82c9fac7b1540646331bc1da699c3", "7429851405a82c9fac7b1540646331bc1da699c3")</f>
        <v>0</v>
      </c>
      <c r="D14894" t="s">
        <v>12330</v>
      </c>
      <c r="E14894" t="s">
        <v>13809</v>
      </c>
      <c r="F14894" t="s">
        <v>16403</v>
      </c>
      <c r="G14894" t="s">
        <v>19069</v>
      </c>
      <c r="H14894" t="s">
        <v>24716</v>
      </c>
      <c r="I14894" t="s">
        <v>1357</v>
      </c>
      <c r="J14894" t="s">
        <v>1357</v>
      </c>
      <c r="K14894" t="s">
        <v>1357</v>
      </c>
      <c r="L14894" t="s">
        <v>1357</v>
      </c>
    </row>
    <row r="14895" spans="1:13">
      <c r="H14895" t="s">
        <v>24717</v>
      </c>
      <c r="I14895" t="s">
        <v>1357</v>
      </c>
      <c r="J14895" t="s">
        <v>1357</v>
      </c>
      <c r="K14895" t="s">
        <v>1357</v>
      </c>
      <c r="L14895" t="s">
        <v>1357</v>
      </c>
    </row>
    <row r="14896" spans="1:13">
      <c r="A14896" t="s">
        <v>11284</v>
      </c>
      <c r="B14896">
        <f>HYPERLINK("https://android.googlesource.com/platform/cts/+/eca2ea189a0dbc04ebf571afdc5eeffc4c673b51", "eca2ea189a0dbc04ebf571afdc5eeffc4c673b51")</f>
        <v>0</v>
      </c>
      <c r="C14896">
        <f>HYPERLINK("https://android.googlesource.com/platform/cts/+/6a9cfbf2b7feef8209b87f33cb8cdb96a6e98b37", "6a9cfbf2b7feef8209b87f33cb8cdb96a6e98b37")</f>
        <v>0</v>
      </c>
      <c r="D14896" t="s">
        <v>12330</v>
      </c>
      <c r="E14896" t="s">
        <v>13810</v>
      </c>
      <c r="F14896" t="s">
        <v>16403</v>
      </c>
      <c r="G14896" t="s">
        <v>19069</v>
      </c>
      <c r="H14896" t="s">
        <v>24715</v>
      </c>
      <c r="I14896" t="s">
        <v>1357</v>
      </c>
      <c r="J14896" t="s">
        <v>1357</v>
      </c>
      <c r="K14896" t="s">
        <v>1357</v>
      </c>
      <c r="L14896" t="s">
        <v>1357</v>
      </c>
    </row>
    <row r="14897" spans="1:13">
      <c r="A14897" t="s">
        <v>11285</v>
      </c>
      <c r="B14897">
        <f>HYPERLINK("https://android.googlesource.com/platform/cts/+/3c2302d46733433d8642c6f8b4b0b3d6b6325769", "3c2302d46733433d8642c6f8b4b0b3d6b6325769")</f>
        <v>0</v>
      </c>
      <c r="C14897">
        <f>HYPERLINK("https://android.googlesource.com/platform/cts/+/eca2ea189a0dbc04ebf571afdc5eeffc4c673b51", "eca2ea189a0dbc04ebf571afdc5eeffc4c673b51")</f>
        <v>0</v>
      </c>
      <c r="D14897" t="s">
        <v>12330</v>
      </c>
      <c r="E14897" t="s">
        <v>13811</v>
      </c>
      <c r="F14897" t="s">
        <v>16403</v>
      </c>
      <c r="G14897" t="s">
        <v>19069</v>
      </c>
      <c r="H14897" t="s">
        <v>24716</v>
      </c>
      <c r="I14897" t="s">
        <v>1357</v>
      </c>
      <c r="J14897" t="s">
        <v>1357</v>
      </c>
      <c r="K14897" t="s">
        <v>1357</v>
      </c>
      <c r="L14897" t="s">
        <v>1357</v>
      </c>
      <c r="M14897" t="s">
        <v>9957</v>
      </c>
    </row>
    <row r="14898" spans="1:13">
      <c r="H14898" t="s">
        <v>24717</v>
      </c>
      <c r="I14898" t="s">
        <v>1357</v>
      </c>
      <c r="J14898" t="s">
        <v>1357</v>
      </c>
      <c r="K14898" t="s">
        <v>1357</v>
      </c>
      <c r="L14898" t="s">
        <v>1357</v>
      </c>
    </row>
    <row r="14899" spans="1:13">
      <c r="A14899" t="s">
        <v>11286</v>
      </c>
      <c r="B14899">
        <f>HYPERLINK("https://android.googlesource.com/platform/cts/+/2d0bb8ef878743d69de875732a12dbf64bd6fb29", "2d0bb8ef878743d69de875732a12dbf64bd6fb29")</f>
        <v>0</v>
      </c>
      <c r="C14899">
        <f>HYPERLINK("https://android.googlesource.com/platform/cts/+/d5d4e62e44b3aed06c1298b387b98f3fda7478cc", "d5d4e62e44b3aed06c1298b387b98f3fda7478cc")</f>
        <v>0</v>
      </c>
      <c r="D14899" t="s">
        <v>12330</v>
      </c>
      <c r="E14899" t="s">
        <v>13812</v>
      </c>
      <c r="F14899" t="s">
        <v>16403</v>
      </c>
      <c r="G14899" t="s">
        <v>19069</v>
      </c>
      <c r="H14899" t="s">
        <v>24706</v>
      </c>
      <c r="I14899" t="s">
        <v>1357</v>
      </c>
      <c r="J14899" t="s">
        <v>1357</v>
      </c>
      <c r="K14899" t="s">
        <v>1357</v>
      </c>
      <c r="L14899" t="s">
        <v>1357</v>
      </c>
    </row>
    <row r="14900" spans="1:13">
      <c r="A14900" t="s">
        <v>11287</v>
      </c>
      <c r="B14900">
        <f>HYPERLINK("https://android.googlesource.com/platform/cts/+/b1e06d11a97309d2ee8c4975b4fdb299bc89c8a5", "b1e06d11a97309d2ee8c4975b4fdb299bc89c8a5")</f>
        <v>0</v>
      </c>
      <c r="C14900">
        <f>HYPERLINK("https://android.googlesource.com/platform/cts/+/2d0bb8ef878743d69de875732a12dbf64bd6fb29", "2d0bb8ef878743d69de875732a12dbf64bd6fb29")</f>
        <v>0</v>
      </c>
      <c r="D14900" t="s">
        <v>12330</v>
      </c>
      <c r="E14900" t="s">
        <v>13813</v>
      </c>
      <c r="F14900" t="s">
        <v>16403</v>
      </c>
      <c r="G14900" t="s">
        <v>19069</v>
      </c>
      <c r="H14900" t="s">
        <v>24715</v>
      </c>
      <c r="I14900" t="s">
        <v>1357</v>
      </c>
      <c r="J14900" t="s">
        <v>1357</v>
      </c>
      <c r="K14900" t="s">
        <v>1357</v>
      </c>
      <c r="L14900" t="s">
        <v>1357</v>
      </c>
      <c r="M14900" t="s">
        <v>9957</v>
      </c>
    </row>
    <row r="14901" spans="1:13">
      <c r="A14901" t="s">
        <v>11288</v>
      </c>
      <c r="B14901">
        <f>HYPERLINK("https://android.googlesource.com/platform/cts/+/e0584e311dad492836717e8069fe089ed93950c6", "e0584e311dad492836717e8069fe089ed93950c6")</f>
        <v>0</v>
      </c>
      <c r="C14901">
        <f>HYPERLINK("https://android.googlesource.com/platform/cts/+/b1e06d11a97309d2ee8c4975b4fdb299bc89c8a5", "b1e06d11a97309d2ee8c4975b4fdb299bc89c8a5")</f>
        <v>0</v>
      </c>
      <c r="D14901" t="s">
        <v>12330</v>
      </c>
      <c r="E14901" t="s">
        <v>13814</v>
      </c>
      <c r="F14901" t="s">
        <v>16403</v>
      </c>
      <c r="G14901" t="s">
        <v>19069</v>
      </c>
      <c r="H14901" t="s">
        <v>24716</v>
      </c>
      <c r="I14901" t="s">
        <v>1357</v>
      </c>
      <c r="J14901" t="s">
        <v>1357</v>
      </c>
      <c r="K14901" t="s">
        <v>1357</v>
      </c>
      <c r="L14901" t="s">
        <v>1357</v>
      </c>
      <c r="M14901" t="s">
        <v>9957</v>
      </c>
    </row>
    <row r="14902" spans="1:13">
      <c r="H14902" t="s">
        <v>24717</v>
      </c>
      <c r="I14902" t="s">
        <v>1357</v>
      </c>
      <c r="J14902" t="s">
        <v>1357</v>
      </c>
      <c r="K14902" t="s">
        <v>1357</v>
      </c>
      <c r="L14902" t="s">
        <v>1357</v>
      </c>
    </row>
    <row r="14903" spans="1:13">
      <c r="A14903" t="s">
        <v>11289</v>
      </c>
      <c r="B14903">
        <f>HYPERLINK("https://android.googlesource.com/platform/cts/+/dc5b4413eefbbebdcba000ce05c1c4040316dabc", "dc5b4413eefbbebdcba000ce05c1c4040316dabc")</f>
        <v>0</v>
      </c>
      <c r="C14903">
        <f>HYPERLINK("https://android.googlesource.com/platform/cts/+/57e9da96af43593640a9fe9e2f1a3ae138869af4", "57e9da96af43593640a9fe9e2f1a3ae138869af4")</f>
        <v>0</v>
      </c>
      <c r="D14903" t="s">
        <v>12342</v>
      </c>
      <c r="E14903" t="s">
        <v>13815</v>
      </c>
      <c r="F14903" t="s">
        <v>16858</v>
      </c>
      <c r="G14903" t="s">
        <v>19471</v>
      </c>
      <c r="H14903" t="s">
        <v>24718</v>
      </c>
      <c r="I14903" t="s">
        <v>1358</v>
      </c>
      <c r="J14903" t="s">
        <v>1358</v>
      </c>
      <c r="K14903" t="s">
        <v>1358</v>
      </c>
      <c r="L14903" t="s">
        <v>1358</v>
      </c>
    </row>
    <row r="14904" spans="1:13">
      <c r="A14904" t="s">
        <v>11290</v>
      </c>
      <c r="B14904">
        <f>HYPERLINK("https://android.googlesource.com/platform/cts/+/621fd75805f987d290bc29c5c700f90be0ea162e", "621fd75805f987d290bc29c5c700f90be0ea162e")</f>
        <v>0</v>
      </c>
      <c r="C14904">
        <f>HYPERLINK("https://android.googlesource.com/platform/cts/+/2e1b5c1c74e4ff88f1ea354f3c8d5a20da528b34", "2e1b5c1c74e4ff88f1ea354f3c8d5a20da528b34")</f>
        <v>0</v>
      </c>
      <c r="D14904" t="s">
        <v>12226</v>
      </c>
      <c r="E14904" t="s">
        <v>13816</v>
      </c>
      <c r="F14904" t="s">
        <v>16859</v>
      </c>
      <c r="G14904" t="s">
        <v>19472</v>
      </c>
      <c r="H14904" t="s">
        <v>24719</v>
      </c>
      <c r="I14904" t="s">
        <v>1357</v>
      </c>
      <c r="J14904" t="s">
        <v>1357</v>
      </c>
      <c r="K14904" t="s">
        <v>1357</v>
      </c>
      <c r="L14904" t="s">
        <v>1357</v>
      </c>
    </row>
    <row r="14905" spans="1:13">
      <c r="A14905" t="s">
        <v>11291</v>
      </c>
      <c r="B14905">
        <f>HYPERLINK("https://android.googlesource.com/platform/cts/+/3967836210a52ec8d0f229edad0c8c27f26145ae", "3967836210a52ec8d0f229edad0c8c27f26145ae")</f>
        <v>0</v>
      </c>
      <c r="C14905">
        <f>HYPERLINK("https://android.googlesource.com/platform/cts/+/45d4a2a705eedc6971d07592d77aefc2f7f9765d", "45d4a2a705eedc6971d07592d77aefc2f7f9765d")</f>
        <v>0</v>
      </c>
      <c r="D14905" t="s">
        <v>12328</v>
      </c>
      <c r="E14905" t="s">
        <v>13817</v>
      </c>
      <c r="F14905" t="s">
        <v>16860</v>
      </c>
      <c r="G14905" t="s">
        <v>19473</v>
      </c>
      <c r="H14905" t="s">
        <v>24720</v>
      </c>
      <c r="I14905" t="s">
        <v>1358</v>
      </c>
      <c r="J14905" t="s">
        <v>1358</v>
      </c>
      <c r="K14905" t="s">
        <v>1358</v>
      </c>
      <c r="L14905" t="s">
        <v>1358</v>
      </c>
    </row>
    <row r="14906" spans="1:13">
      <c r="H14906" t="s">
        <v>24721</v>
      </c>
      <c r="I14906" t="s">
        <v>1358</v>
      </c>
      <c r="J14906" t="s">
        <v>1358</v>
      </c>
      <c r="K14906" t="s">
        <v>1358</v>
      </c>
      <c r="L14906" t="s">
        <v>1358</v>
      </c>
    </row>
    <row r="14907" spans="1:13">
      <c r="A14907" t="s">
        <v>11292</v>
      </c>
      <c r="B14907">
        <f>HYPERLINK("https://android.googlesource.com/platform/cts/+/37c85e4fc4a17134ab6b8006fe3ee78faf34a4d7", "37c85e4fc4a17134ab6b8006fe3ee78faf34a4d7")</f>
        <v>0</v>
      </c>
      <c r="C14907">
        <f>HYPERLINK("https://android.googlesource.com/platform/cts/+/0112fc5b0f0836ea7e0bc4fddc84bc28f0adbcf8", "0112fc5b0f0836ea7e0bc4fddc84bc28f0adbcf8")</f>
        <v>0</v>
      </c>
      <c r="D14907" t="s">
        <v>12221</v>
      </c>
      <c r="E14907" t="s">
        <v>13818</v>
      </c>
      <c r="F14907" t="s">
        <v>16861</v>
      </c>
      <c r="G14907" t="s">
        <v>19474</v>
      </c>
      <c r="H14907" t="s">
        <v>24722</v>
      </c>
      <c r="I14907" t="s">
        <v>1357</v>
      </c>
      <c r="J14907" t="s">
        <v>1357</v>
      </c>
      <c r="K14907" t="s">
        <v>1357</v>
      </c>
      <c r="L14907" t="s">
        <v>1357</v>
      </c>
    </row>
    <row r="14908" spans="1:13">
      <c r="A14908" t="s">
        <v>11293</v>
      </c>
      <c r="B14908">
        <f>HYPERLINK("https://android.googlesource.com/platform/cts/+/a672b5751d99d8dd966645dc75195e85643deb60", "a672b5751d99d8dd966645dc75195e85643deb60")</f>
        <v>0</v>
      </c>
      <c r="C14908">
        <f>HYPERLINK("https://android.googlesource.com/platform/cts/+/fc80d4cc95536675f67f0b112e2ccd6d5e337152", "fc80d4cc95536675f67f0b112e2ccd6d5e337152")</f>
        <v>0</v>
      </c>
      <c r="D14908" t="s">
        <v>12360</v>
      </c>
      <c r="E14908" t="s">
        <v>13819</v>
      </c>
      <c r="F14908" t="s">
        <v>16862</v>
      </c>
      <c r="G14908" t="s">
        <v>19475</v>
      </c>
      <c r="H14908" t="s">
        <v>24723</v>
      </c>
      <c r="I14908" t="s">
        <v>1357</v>
      </c>
      <c r="J14908" t="s">
        <v>1357</v>
      </c>
      <c r="K14908" t="s">
        <v>1357</v>
      </c>
      <c r="L14908" t="s">
        <v>1357</v>
      </c>
    </row>
    <row r="14909" spans="1:13">
      <c r="A14909" t="s">
        <v>11294</v>
      </c>
      <c r="B14909">
        <f>HYPERLINK("https://android.googlesource.com/platform/cts/+/02afda6fcc15ee8c1b3b80ed09194baf96c84a3d", "02afda6fcc15ee8c1b3b80ed09194baf96c84a3d")</f>
        <v>0</v>
      </c>
      <c r="C14909">
        <f>HYPERLINK("https://android.googlesource.com/platform/cts/+/140ea4b8d2624656efb6f09c8546642bbcb13bfa", "140ea4b8d2624656efb6f09c8546642bbcb13bfa")</f>
        <v>0</v>
      </c>
      <c r="D14909" t="s">
        <v>12361</v>
      </c>
      <c r="E14909" t="s">
        <v>13820</v>
      </c>
      <c r="F14909" t="s">
        <v>16863</v>
      </c>
      <c r="G14909" t="s">
        <v>19476</v>
      </c>
      <c r="H14909" t="s">
        <v>24724</v>
      </c>
      <c r="I14909" t="s">
        <v>1357</v>
      </c>
      <c r="J14909" t="s">
        <v>1357</v>
      </c>
      <c r="K14909" t="s">
        <v>1357</v>
      </c>
      <c r="L14909" t="s">
        <v>1357</v>
      </c>
      <c r="M14909" t="s">
        <v>1360</v>
      </c>
    </row>
    <row r="14910" spans="1:13">
      <c r="A14910" t="s">
        <v>11295</v>
      </c>
      <c r="B14910">
        <f>HYPERLINK("https://android.googlesource.com/platform/cts/+/1a07a0226b918ceca94efa835b30f4c51eb26182", "1a07a0226b918ceca94efa835b30f4c51eb26182")</f>
        <v>0</v>
      </c>
      <c r="C14910">
        <f>HYPERLINK("https://android.googlesource.com/platform/cts/+/3047367b6eea6b2539bc2f106549999b7055f486", "3047367b6eea6b2539bc2f106549999b7055f486")</f>
        <v>0</v>
      </c>
      <c r="D14910" t="s">
        <v>12337</v>
      </c>
      <c r="E14910" t="s">
        <v>13821</v>
      </c>
      <c r="F14910" t="s">
        <v>16864</v>
      </c>
      <c r="G14910" t="s">
        <v>19477</v>
      </c>
      <c r="H14910" t="s">
        <v>24725</v>
      </c>
      <c r="I14910" t="s">
        <v>1358</v>
      </c>
      <c r="J14910" t="s">
        <v>1358</v>
      </c>
      <c r="K14910" t="s">
        <v>1358</v>
      </c>
      <c r="L14910" t="s">
        <v>1358</v>
      </c>
    </row>
    <row r="14911" spans="1:13">
      <c r="A14911" t="s">
        <v>11296</v>
      </c>
      <c r="B14911">
        <f>HYPERLINK("https://android.googlesource.com/platform/cts/+/91918926e8ab6411266e070e225e9f0fe5ab0b70", "91918926e8ab6411266e070e225e9f0fe5ab0b70")</f>
        <v>0</v>
      </c>
      <c r="C14911">
        <f>HYPERLINK("https://android.googlesource.com/platform/cts/+/2fb31579bfc425aec628dcbd5d72a719b17b0279", "2fb31579bfc425aec628dcbd5d72a719b17b0279")</f>
        <v>0</v>
      </c>
      <c r="D14911" t="s">
        <v>12362</v>
      </c>
      <c r="E14911" t="s">
        <v>13822</v>
      </c>
      <c r="F14911" t="s">
        <v>16865</v>
      </c>
      <c r="G14911" t="s">
        <v>19478</v>
      </c>
      <c r="H14911" t="s">
        <v>24726</v>
      </c>
      <c r="I14911" t="s">
        <v>1357</v>
      </c>
      <c r="J14911" t="s">
        <v>1357</v>
      </c>
      <c r="K14911" t="s">
        <v>1357</v>
      </c>
      <c r="L14911" t="s">
        <v>1357</v>
      </c>
    </row>
    <row r="14912" spans="1:13">
      <c r="H14912" t="s">
        <v>24727</v>
      </c>
      <c r="I14912" t="s">
        <v>1357</v>
      </c>
      <c r="J14912" t="s">
        <v>1357</v>
      </c>
      <c r="K14912" t="s">
        <v>1357</v>
      </c>
      <c r="L14912" t="s">
        <v>1357</v>
      </c>
    </row>
    <row r="14913" spans="8:12">
      <c r="H14913" t="s">
        <v>24728</v>
      </c>
      <c r="I14913" t="s">
        <v>1357</v>
      </c>
      <c r="J14913" t="s">
        <v>1357</v>
      </c>
      <c r="K14913" t="s">
        <v>1357</v>
      </c>
      <c r="L14913" t="s">
        <v>1357</v>
      </c>
    </row>
    <row r="14914" spans="8:12">
      <c r="H14914" t="s">
        <v>24729</v>
      </c>
      <c r="I14914" t="s">
        <v>1357</v>
      </c>
      <c r="J14914" t="s">
        <v>1357</v>
      </c>
      <c r="K14914" t="s">
        <v>1357</v>
      </c>
      <c r="L14914" t="s">
        <v>1357</v>
      </c>
    </row>
    <row r="14915" spans="8:12">
      <c r="H14915" t="s">
        <v>24730</v>
      </c>
      <c r="I14915" t="s">
        <v>1357</v>
      </c>
      <c r="J14915" t="s">
        <v>1357</v>
      </c>
      <c r="K14915" t="s">
        <v>1357</v>
      </c>
      <c r="L14915" t="s">
        <v>1357</v>
      </c>
    </row>
    <row r="14916" spans="8:12">
      <c r="H14916" t="s">
        <v>24731</v>
      </c>
      <c r="I14916" t="s">
        <v>1357</v>
      </c>
      <c r="J14916" t="s">
        <v>1357</v>
      </c>
      <c r="K14916" t="s">
        <v>1357</v>
      </c>
      <c r="L14916" t="s">
        <v>1357</v>
      </c>
    </row>
    <row r="14917" spans="8:12">
      <c r="H14917" t="s">
        <v>24732</v>
      </c>
      <c r="I14917" t="s">
        <v>1357</v>
      </c>
      <c r="J14917" t="s">
        <v>1357</v>
      </c>
      <c r="K14917" t="s">
        <v>1357</v>
      </c>
      <c r="L14917" t="s">
        <v>1357</v>
      </c>
    </row>
    <row r="14918" spans="8:12">
      <c r="H14918" t="s">
        <v>24733</v>
      </c>
      <c r="I14918" t="s">
        <v>1357</v>
      </c>
      <c r="J14918" t="s">
        <v>1357</v>
      </c>
      <c r="K14918" t="s">
        <v>1357</v>
      </c>
      <c r="L14918" t="s">
        <v>1357</v>
      </c>
    </row>
    <row r="14919" spans="8:12">
      <c r="H14919" t="s">
        <v>24734</v>
      </c>
      <c r="I14919" t="s">
        <v>1357</v>
      </c>
      <c r="J14919" t="s">
        <v>1357</v>
      </c>
      <c r="K14919" t="s">
        <v>1357</v>
      </c>
      <c r="L14919" t="s">
        <v>1357</v>
      </c>
    </row>
    <row r="14920" spans="8:12">
      <c r="H14920" t="s">
        <v>24735</v>
      </c>
      <c r="I14920" t="s">
        <v>1357</v>
      </c>
      <c r="J14920" t="s">
        <v>1357</v>
      </c>
      <c r="K14920" t="s">
        <v>1357</v>
      </c>
      <c r="L14920" t="s">
        <v>1357</v>
      </c>
    </row>
    <row r="14921" spans="8:12">
      <c r="H14921" t="s">
        <v>24736</v>
      </c>
      <c r="I14921" t="s">
        <v>1357</v>
      </c>
      <c r="J14921" t="s">
        <v>1357</v>
      </c>
      <c r="K14921" t="s">
        <v>1357</v>
      </c>
      <c r="L14921" t="s">
        <v>1357</v>
      </c>
    </row>
    <row r="14922" spans="8:12">
      <c r="H14922" t="s">
        <v>24737</v>
      </c>
      <c r="I14922" t="s">
        <v>1357</v>
      </c>
      <c r="J14922" t="s">
        <v>1357</v>
      </c>
      <c r="K14922" t="s">
        <v>1357</v>
      </c>
      <c r="L14922" t="s">
        <v>1357</v>
      </c>
    </row>
    <row r="14923" spans="8:12">
      <c r="H14923" t="s">
        <v>24738</v>
      </c>
      <c r="I14923" t="s">
        <v>1357</v>
      </c>
      <c r="J14923" t="s">
        <v>1357</v>
      </c>
      <c r="K14923" t="s">
        <v>1357</v>
      </c>
      <c r="L14923" t="s">
        <v>1357</v>
      </c>
    </row>
    <row r="14924" spans="8:12">
      <c r="H14924" t="s">
        <v>24739</v>
      </c>
      <c r="I14924" t="s">
        <v>1357</v>
      </c>
      <c r="J14924" t="s">
        <v>1357</v>
      </c>
      <c r="K14924" t="s">
        <v>1357</v>
      </c>
      <c r="L14924" t="s">
        <v>1357</v>
      </c>
    </row>
    <row r="14925" spans="8:12">
      <c r="H14925" t="s">
        <v>24740</v>
      </c>
      <c r="I14925" t="s">
        <v>1357</v>
      </c>
      <c r="J14925" t="s">
        <v>1357</v>
      </c>
      <c r="K14925" t="s">
        <v>1357</v>
      </c>
      <c r="L14925" t="s">
        <v>1357</v>
      </c>
    </row>
    <row r="14926" spans="8:12">
      <c r="H14926" t="s">
        <v>24741</v>
      </c>
      <c r="I14926" t="s">
        <v>1357</v>
      </c>
      <c r="J14926" t="s">
        <v>1357</v>
      </c>
      <c r="K14926" t="s">
        <v>1357</v>
      </c>
      <c r="L14926" t="s">
        <v>1357</v>
      </c>
    </row>
    <row r="14927" spans="8:12">
      <c r="H14927" t="s">
        <v>24742</v>
      </c>
      <c r="I14927" t="s">
        <v>1357</v>
      </c>
      <c r="J14927" t="s">
        <v>1357</v>
      </c>
      <c r="K14927" t="s">
        <v>1357</v>
      </c>
      <c r="L14927" t="s">
        <v>1357</v>
      </c>
    </row>
    <row r="14928" spans="8:12">
      <c r="H14928" t="s">
        <v>24743</v>
      </c>
      <c r="I14928" t="s">
        <v>1357</v>
      </c>
      <c r="J14928" t="s">
        <v>1357</v>
      </c>
      <c r="K14928" t="s">
        <v>1357</v>
      </c>
      <c r="L14928" t="s">
        <v>1357</v>
      </c>
    </row>
    <row r="14929" spans="1:13">
      <c r="A14929" t="s">
        <v>11297</v>
      </c>
      <c r="B14929">
        <f>HYPERLINK("https://android.googlesource.com/platform/cts/+/aa1ede8be8677cce4dd971fcf49445729a1fe803", "aa1ede8be8677cce4dd971fcf49445729a1fe803")</f>
        <v>0</v>
      </c>
      <c r="C14929">
        <f>HYPERLINK("https://android.googlesource.com/platform/cts/+/c3a5d7d014a0618de47e9a7b8a52056bb0b0ac44", "c3a5d7d014a0618de47e9a7b8a52056bb0b0ac44")</f>
        <v>0</v>
      </c>
      <c r="D14929" t="s">
        <v>12361</v>
      </c>
      <c r="E14929" t="s">
        <v>13823</v>
      </c>
      <c r="F14929" t="s">
        <v>16863</v>
      </c>
      <c r="G14929" t="s">
        <v>19476</v>
      </c>
      <c r="H14929" t="s">
        <v>24724</v>
      </c>
      <c r="I14929" t="s">
        <v>1357</v>
      </c>
      <c r="J14929" t="s">
        <v>1357</v>
      </c>
      <c r="K14929" t="s">
        <v>1357</v>
      </c>
      <c r="L14929" t="s">
        <v>1357</v>
      </c>
      <c r="M14929" t="s">
        <v>1360</v>
      </c>
    </row>
    <row r="14930" spans="1:13">
      <c r="A14930" t="s">
        <v>11298</v>
      </c>
      <c r="B14930">
        <f>HYPERLINK("https://android.googlesource.com/platform/cts/+/c5afdc881bc708bbe90409784bd4319e89b9c743", "c5afdc881bc708bbe90409784bd4319e89b9c743")</f>
        <v>0</v>
      </c>
      <c r="C14930">
        <f>HYPERLINK("https://android.googlesource.com/platform/cts/+/35074dc15f7fd18ad768292b1f6883a08b2f402b", "35074dc15f7fd18ad768292b1f6883a08b2f402b")</f>
        <v>0</v>
      </c>
      <c r="D14930" t="s">
        <v>12363</v>
      </c>
      <c r="E14930" t="s">
        <v>13824</v>
      </c>
      <c r="F14930" t="s">
        <v>16866</v>
      </c>
      <c r="G14930" t="s">
        <v>19479</v>
      </c>
      <c r="H14930" t="s">
        <v>795</v>
      </c>
      <c r="I14930" t="s">
        <v>1357</v>
      </c>
      <c r="J14930" t="s">
        <v>1357</v>
      </c>
      <c r="K14930" t="s">
        <v>1357</v>
      </c>
      <c r="L14930" t="s">
        <v>1357</v>
      </c>
    </row>
    <row r="14931" spans="1:13">
      <c r="H14931" t="s">
        <v>901</v>
      </c>
      <c r="I14931" t="s">
        <v>1357</v>
      </c>
      <c r="J14931" t="s">
        <v>1357</v>
      </c>
      <c r="K14931" t="s">
        <v>1357</v>
      </c>
      <c r="L14931" t="s">
        <v>1357</v>
      </c>
    </row>
    <row r="14932" spans="1:13">
      <c r="H14932" t="s">
        <v>24744</v>
      </c>
      <c r="I14932" t="s">
        <v>1357</v>
      </c>
      <c r="J14932" t="s">
        <v>1357</v>
      </c>
      <c r="K14932" t="s">
        <v>1357</v>
      </c>
      <c r="L14932" t="s">
        <v>1357</v>
      </c>
    </row>
    <row r="14933" spans="1:13">
      <c r="A14933" t="s">
        <v>11299</v>
      </c>
      <c r="B14933">
        <f>HYPERLINK("https://android.googlesource.com/platform/cts/+/0aa51fceeec7d72520571d9f1f1232511cbc1f6b", "0aa51fceeec7d72520571d9f1f1232511cbc1f6b")</f>
        <v>0</v>
      </c>
      <c r="C14933">
        <f>HYPERLINK("https://android.googlesource.com/platform/cts/+/9e2b08c2eefe8451af1f3c4760e524f0dbaf2074", "9e2b08c2eefe8451af1f3c4760e524f0dbaf2074")</f>
        <v>0</v>
      </c>
      <c r="D14933" t="s">
        <v>12364</v>
      </c>
      <c r="E14933" t="s">
        <v>13825</v>
      </c>
      <c r="F14933" t="s">
        <v>16867</v>
      </c>
      <c r="G14933" t="s">
        <v>19480</v>
      </c>
      <c r="H14933" t="s">
        <v>24745</v>
      </c>
      <c r="I14933" t="s">
        <v>1357</v>
      </c>
      <c r="J14933" t="s">
        <v>1357</v>
      </c>
      <c r="K14933" t="s">
        <v>1357</v>
      </c>
      <c r="L14933" t="s">
        <v>1357</v>
      </c>
    </row>
    <row r="14934" spans="1:13">
      <c r="H14934" t="s">
        <v>24746</v>
      </c>
      <c r="I14934" t="s">
        <v>1357</v>
      </c>
      <c r="J14934" t="s">
        <v>1357</v>
      </c>
      <c r="K14934" t="s">
        <v>1357</v>
      </c>
      <c r="L14934" t="s">
        <v>1357</v>
      </c>
    </row>
    <row r="14935" spans="1:13">
      <c r="A14935" t="s">
        <v>11300</v>
      </c>
      <c r="B14935">
        <f>HYPERLINK("https://android.googlesource.com/platform/cts/+/203b3c7cfc10ca0651aad8e75ebd5c573b303002", "203b3c7cfc10ca0651aad8e75ebd5c573b303002")</f>
        <v>0</v>
      </c>
      <c r="C14935">
        <f>HYPERLINK("https://android.googlesource.com/platform/cts/+/1f3dab8daf977436eb03c033e4985638dd567247", "1f3dab8daf977436eb03c033e4985638dd567247")</f>
        <v>0</v>
      </c>
      <c r="D14935" t="s">
        <v>12363</v>
      </c>
      <c r="E14935" t="s">
        <v>13826</v>
      </c>
      <c r="F14935" t="s">
        <v>16866</v>
      </c>
      <c r="G14935" t="s">
        <v>19479</v>
      </c>
      <c r="H14935" t="s">
        <v>795</v>
      </c>
      <c r="I14935" t="s">
        <v>1357</v>
      </c>
      <c r="J14935" t="s">
        <v>1357</v>
      </c>
      <c r="K14935" t="s">
        <v>1357</v>
      </c>
      <c r="L14935" t="s">
        <v>1357</v>
      </c>
    </row>
    <row r="14936" spans="1:13">
      <c r="H14936" t="s">
        <v>901</v>
      </c>
      <c r="I14936" t="s">
        <v>1357</v>
      </c>
      <c r="J14936" t="s">
        <v>1357</v>
      </c>
      <c r="K14936" t="s">
        <v>1357</v>
      </c>
      <c r="L14936" t="s">
        <v>1357</v>
      </c>
    </row>
    <row r="14937" spans="1:13">
      <c r="H14937" t="s">
        <v>24744</v>
      </c>
      <c r="I14937" t="s">
        <v>1357</v>
      </c>
      <c r="J14937" t="s">
        <v>1357</v>
      </c>
      <c r="K14937" t="s">
        <v>1357</v>
      </c>
      <c r="L14937" t="s">
        <v>1357</v>
      </c>
      <c r="M14937" t="s">
        <v>9957</v>
      </c>
    </row>
    <row r="14938" spans="1:13">
      <c r="A14938" t="s">
        <v>11301</v>
      </c>
      <c r="B14938">
        <f>HYPERLINK("https://android.googlesource.com/platform/cts/+/b58ec1c04ea66db742c97c9683ead4b87ddbd11b", "b58ec1c04ea66db742c97c9683ead4b87ddbd11b")</f>
        <v>0</v>
      </c>
      <c r="C14938">
        <f>HYPERLINK("https://android.googlesource.com/platform/cts/+/0b753940813981a0a4563b9c79e911547c8579a2", "0b753940813981a0a4563b9c79e911547c8579a2")</f>
        <v>0</v>
      </c>
      <c r="D14938" t="s">
        <v>12360</v>
      </c>
      <c r="E14938" t="s">
        <v>13827</v>
      </c>
      <c r="F14938" t="s">
        <v>16868</v>
      </c>
      <c r="G14938" t="s">
        <v>19481</v>
      </c>
      <c r="H14938" t="s">
        <v>24747</v>
      </c>
      <c r="I14938" t="s">
        <v>1357</v>
      </c>
      <c r="J14938" t="s">
        <v>1357</v>
      </c>
      <c r="K14938" t="s">
        <v>1357</v>
      </c>
      <c r="L14938" t="s">
        <v>1357</v>
      </c>
    </row>
    <row r="14939" spans="1:13">
      <c r="A14939" t="s">
        <v>11302</v>
      </c>
      <c r="B14939">
        <f>HYPERLINK("https://android.googlesource.com/platform/cts/+/2778a5c4258fe732b963838deee4cd1a4b2a3980", "2778a5c4258fe732b963838deee4cd1a4b2a3980")</f>
        <v>0</v>
      </c>
      <c r="C14939">
        <f>HYPERLINK("https://android.googlesource.com/platform/cts/+/ae621cb53ea14e430ec4a768e6bf9b4363931ccc", "ae621cb53ea14e430ec4a768e6bf9b4363931ccc")</f>
        <v>0</v>
      </c>
      <c r="D14939" t="s">
        <v>12330</v>
      </c>
      <c r="E14939" t="s">
        <v>13828</v>
      </c>
      <c r="F14939" t="s">
        <v>16869</v>
      </c>
      <c r="G14939" t="s">
        <v>19482</v>
      </c>
      <c r="H14939" t="s">
        <v>24748</v>
      </c>
      <c r="I14939" t="s">
        <v>1357</v>
      </c>
      <c r="J14939" t="s">
        <v>1357</v>
      </c>
      <c r="K14939" t="s">
        <v>1357</v>
      </c>
      <c r="L14939" t="s">
        <v>1357</v>
      </c>
    </row>
    <row r="14940" spans="1:13">
      <c r="A14940" t="s">
        <v>11303</v>
      </c>
      <c r="B14940">
        <f>HYPERLINK("https://android.googlesource.com/platform/cts/+/b86ca26f564331f38504467ff4ee22b2a9c64ce0", "b86ca26f564331f38504467ff4ee22b2a9c64ce0")</f>
        <v>0</v>
      </c>
      <c r="C14940">
        <f>HYPERLINK("https://android.googlesource.com/platform/cts/+/df7fbead757009549fc1a2ee19ccdaa1196b01c0", "df7fbead757009549fc1a2ee19ccdaa1196b01c0")</f>
        <v>0</v>
      </c>
      <c r="D14940" t="s">
        <v>12118</v>
      </c>
      <c r="E14940" t="s">
        <v>13829</v>
      </c>
      <c r="F14940" t="s">
        <v>16846</v>
      </c>
      <c r="G14940" t="s">
        <v>19461</v>
      </c>
      <c r="H14940" t="s">
        <v>24681</v>
      </c>
      <c r="I14940" t="s">
        <v>1357</v>
      </c>
      <c r="J14940" t="s">
        <v>1357</v>
      </c>
      <c r="K14940" t="s">
        <v>1357</v>
      </c>
      <c r="L14940" t="s">
        <v>1357</v>
      </c>
    </row>
    <row r="14941" spans="1:13">
      <c r="A14941" t="s">
        <v>11304</v>
      </c>
      <c r="B14941">
        <f>HYPERLINK("https://android.googlesource.com/platform/cts/+/c0040804980269064fa2a4e08707b8a64919fe6f", "c0040804980269064fa2a4e08707b8a64919fe6f")</f>
        <v>0</v>
      </c>
      <c r="C14941">
        <f>HYPERLINK("https://android.googlesource.com/platform/cts/+/f93bb39f66760c1ecaf14c3b7d0ebdf04be12a14", "f93bb39f66760c1ecaf14c3b7d0ebdf04be12a14")</f>
        <v>0</v>
      </c>
      <c r="D14941" t="s">
        <v>12360</v>
      </c>
      <c r="E14941" t="s">
        <v>13830</v>
      </c>
      <c r="F14941" t="s">
        <v>16868</v>
      </c>
      <c r="G14941" t="s">
        <v>19481</v>
      </c>
      <c r="H14941" t="s">
        <v>24747</v>
      </c>
      <c r="I14941" t="s">
        <v>1357</v>
      </c>
      <c r="J14941" t="s">
        <v>1357</v>
      </c>
      <c r="K14941" t="s">
        <v>1357</v>
      </c>
      <c r="L14941" t="s">
        <v>1357</v>
      </c>
      <c r="M14941" t="s">
        <v>9957</v>
      </c>
    </row>
    <row r="14942" spans="1:13">
      <c r="A14942" t="s">
        <v>11305</v>
      </c>
      <c r="B14942">
        <f>HYPERLINK("https://android.googlesource.com/platform/cts/+/9d83bb18bd41136dbd29ac3f5375dc361198742a", "9d83bb18bd41136dbd29ac3f5375dc361198742a")</f>
        <v>0</v>
      </c>
      <c r="C14942">
        <f>HYPERLINK("https://android.googlesource.com/platform/cts/+/4795216e44546d511fbdbd52ac0e86262f554607", "4795216e44546d511fbdbd52ac0e86262f554607")</f>
        <v>0</v>
      </c>
      <c r="D14942" t="s">
        <v>12330</v>
      </c>
      <c r="E14942" t="s">
        <v>13831</v>
      </c>
      <c r="F14942" t="s">
        <v>16868</v>
      </c>
      <c r="G14942" t="s">
        <v>19481</v>
      </c>
      <c r="H14942" t="s">
        <v>24749</v>
      </c>
      <c r="I14942" t="s">
        <v>1357</v>
      </c>
      <c r="J14942" t="s">
        <v>1357</v>
      </c>
      <c r="K14942" t="s">
        <v>1357</v>
      </c>
      <c r="L14942" t="s">
        <v>1357</v>
      </c>
    </row>
    <row r="14943" spans="1:13">
      <c r="A14943" t="s">
        <v>11306</v>
      </c>
      <c r="B14943">
        <f>HYPERLINK("https://android.googlesource.com/platform/cts/+/52983e2746ed6a149ccd7337e243a0fb71248519", "52983e2746ed6a149ccd7337e243a0fb71248519")</f>
        <v>0</v>
      </c>
      <c r="C14943">
        <f>HYPERLINK("https://android.googlesource.com/platform/cts/+/a7dcdb475eba403bc19f234157bd5a31656684b9", "a7dcdb475eba403bc19f234157bd5a31656684b9")</f>
        <v>0</v>
      </c>
      <c r="D14943" t="s">
        <v>12360</v>
      </c>
      <c r="E14943" t="s">
        <v>13832</v>
      </c>
      <c r="F14943" t="s">
        <v>16403</v>
      </c>
      <c r="G14943" t="s">
        <v>19069</v>
      </c>
      <c r="H14943" t="s">
        <v>24715</v>
      </c>
      <c r="I14943" t="s">
        <v>1357</v>
      </c>
      <c r="J14943" t="s">
        <v>1357</v>
      </c>
      <c r="K14943" t="s">
        <v>1357</v>
      </c>
      <c r="L14943" t="s">
        <v>1357</v>
      </c>
      <c r="M14943" t="s">
        <v>9957</v>
      </c>
    </row>
    <row r="14944" spans="1:13">
      <c r="A14944" t="s">
        <v>11307</v>
      </c>
      <c r="B14944">
        <f>HYPERLINK("https://android.googlesource.com/platform/cts/+/4a2b7c15bf19a045187ae7b5c8c86641d8aa740f", "4a2b7c15bf19a045187ae7b5c8c86641d8aa740f")</f>
        <v>0</v>
      </c>
      <c r="C14944">
        <f>HYPERLINK("https://android.googlesource.com/platform/cts/+/3d1dda9e3cf179b8fb4d20610a2538178e7b64d1", "3d1dda9e3cf179b8fb4d20610a2538178e7b64d1")</f>
        <v>0</v>
      </c>
      <c r="D14944" t="s">
        <v>12360</v>
      </c>
      <c r="E14944" t="s">
        <v>13833</v>
      </c>
      <c r="F14944" t="s">
        <v>16403</v>
      </c>
      <c r="G14944" t="s">
        <v>19069</v>
      </c>
      <c r="H14944" t="s">
        <v>24715</v>
      </c>
      <c r="I14944" t="s">
        <v>1357</v>
      </c>
      <c r="J14944" t="s">
        <v>1357</v>
      </c>
      <c r="K14944" t="s">
        <v>1357</v>
      </c>
      <c r="L14944" t="s">
        <v>1357</v>
      </c>
      <c r="M14944" t="s">
        <v>9957</v>
      </c>
    </row>
    <row r="14945" spans="1:13">
      <c r="A14945" t="s">
        <v>11308</v>
      </c>
      <c r="B14945">
        <f>HYPERLINK("https://android.googlesource.com/platform/cts/+/037e8a0a8bdecaf69b3933e9a40ad1b7fd93f205", "037e8a0a8bdecaf69b3933e9a40ad1b7fd93f205")</f>
        <v>0</v>
      </c>
      <c r="C14945">
        <f>HYPERLINK("https://android.googlesource.com/platform/cts/+/d61d5021ce81d829c4c2d57eb0d6db2b2976b725", "d61d5021ce81d829c4c2d57eb0d6db2b2976b725")</f>
        <v>0</v>
      </c>
      <c r="D14945" t="s">
        <v>12360</v>
      </c>
      <c r="E14945" t="s">
        <v>13834</v>
      </c>
      <c r="F14945" t="s">
        <v>16868</v>
      </c>
      <c r="G14945" t="s">
        <v>19481</v>
      </c>
      <c r="H14945" t="s">
        <v>24750</v>
      </c>
      <c r="I14945" t="s">
        <v>1357</v>
      </c>
      <c r="J14945" t="s">
        <v>1357</v>
      </c>
      <c r="K14945" t="s">
        <v>1357</v>
      </c>
      <c r="L14945" t="s">
        <v>1357</v>
      </c>
    </row>
    <row r="14946" spans="1:13">
      <c r="A14946" t="s">
        <v>11309</v>
      </c>
      <c r="B14946">
        <f>HYPERLINK("https://android.googlesource.com/platform/cts/+/8ae79c20a9dace79c7f9d35f811ac898ca33ea5a", "8ae79c20a9dace79c7f9d35f811ac898ca33ea5a")</f>
        <v>0</v>
      </c>
      <c r="C14946">
        <f>HYPERLINK("https://android.googlesource.com/platform/cts/+/8da7c240d47e1c1a5abb762c11f1bd50290b83fe", "8da7c240d47e1c1a5abb762c11f1bd50290b83fe")</f>
        <v>0</v>
      </c>
      <c r="D14946" t="s">
        <v>12365</v>
      </c>
      <c r="E14946" t="s">
        <v>13835</v>
      </c>
      <c r="F14946" t="s">
        <v>16870</v>
      </c>
      <c r="G14946" t="s">
        <v>19483</v>
      </c>
      <c r="H14946" t="s">
        <v>24751</v>
      </c>
      <c r="I14946" t="s">
        <v>1357</v>
      </c>
      <c r="J14946" t="s">
        <v>1357</v>
      </c>
      <c r="K14946" t="s">
        <v>1357</v>
      </c>
      <c r="L14946" t="s">
        <v>1357</v>
      </c>
    </row>
    <row r="14947" spans="1:13">
      <c r="H14947" t="s">
        <v>24752</v>
      </c>
      <c r="I14947" t="s">
        <v>1357</v>
      </c>
      <c r="J14947" t="s">
        <v>1357</v>
      </c>
      <c r="K14947" t="s">
        <v>1357</v>
      </c>
      <c r="L14947" t="s">
        <v>1357</v>
      </c>
    </row>
    <row r="14948" spans="1:13">
      <c r="H14948" t="s">
        <v>24753</v>
      </c>
      <c r="I14948" t="s">
        <v>1357</v>
      </c>
      <c r="J14948" t="s">
        <v>1357</v>
      </c>
      <c r="K14948" t="s">
        <v>1357</v>
      </c>
      <c r="L14948" t="s">
        <v>1357</v>
      </c>
    </row>
    <row r="14949" spans="1:13">
      <c r="H14949" t="s">
        <v>24754</v>
      </c>
      <c r="I14949" t="s">
        <v>1357</v>
      </c>
      <c r="J14949" t="s">
        <v>1357</v>
      </c>
      <c r="K14949" t="s">
        <v>1357</v>
      </c>
      <c r="L14949" t="s">
        <v>1357</v>
      </c>
    </row>
    <row r="14950" spans="1:13">
      <c r="H14950" t="s">
        <v>24755</v>
      </c>
      <c r="I14950" t="s">
        <v>1357</v>
      </c>
      <c r="J14950" t="s">
        <v>1357</v>
      </c>
      <c r="K14950" t="s">
        <v>1357</v>
      </c>
      <c r="L14950" t="s">
        <v>1357</v>
      </c>
    </row>
    <row r="14951" spans="1:13">
      <c r="H14951" t="s">
        <v>24756</v>
      </c>
      <c r="I14951" t="s">
        <v>1357</v>
      </c>
      <c r="J14951" t="s">
        <v>1357</v>
      </c>
      <c r="K14951" t="s">
        <v>1357</v>
      </c>
      <c r="L14951" t="s">
        <v>1357</v>
      </c>
    </row>
    <row r="14952" spans="1:13">
      <c r="H14952" t="s">
        <v>24757</v>
      </c>
      <c r="I14952" t="s">
        <v>1357</v>
      </c>
      <c r="J14952" t="s">
        <v>1357</v>
      </c>
      <c r="K14952" t="s">
        <v>1357</v>
      </c>
      <c r="L14952" t="s">
        <v>1357</v>
      </c>
    </row>
    <row r="14953" spans="1:13">
      <c r="H14953" t="s">
        <v>24758</v>
      </c>
      <c r="I14953" t="s">
        <v>1357</v>
      </c>
      <c r="J14953" t="s">
        <v>1357</v>
      </c>
      <c r="K14953" t="s">
        <v>1357</v>
      </c>
      <c r="L14953" t="s">
        <v>1357</v>
      </c>
      <c r="M14953" t="s">
        <v>5099</v>
      </c>
    </row>
    <row r="14954" spans="1:13">
      <c r="H14954" t="s">
        <v>24759</v>
      </c>
      <c r="I14954" t="s">
        <v>1357</v>
      </c>
      <c r="J14954" t="s">
        <v>1357</v>
      </c>
      <c r="K14954" t="s">
        <v>1357</v>
      </c>
      <c r="L14954" t="s">
        <v>1357</v>
      </c>
    </row>
    <row r="14955" spans="1:13">
      <c r="H14955" t="s">
        <v>24760</v>
      </c>
      <c r="I14955" t="s">
        <v>1357</v>
      </c>
      <c r="J14955" t="s">
        <v>1357</v>
      </c>
      <c r="K14955" t="s">
        <v>1357</v>
      </c>
      <c r="L14955" t="s">
        <v>1357</v>
      </c>
    </row>
    <row r="14956" spans="1:13">
      <c r="H14956" t="s">
        <v>24761</v>
      </c>
      <c r="I14956" t="s">
        <v>1357</v>
      </c>
      <c r="J14956" t="s">
        <v>1357</v>
      </c>
      <c r="K14956" t="s">
        <v>1357</v>
      </c>
      <c r="L14956" t="s">
        <v>1357</v>
      </c>
    </row>
    <row r="14957" spans="1:13">
      <c r="H14957" t="s">
        <v>24762</v>
      </c>
      <c r="I14957" t="s">
        <v>1357</v>
      </c>
      <c r="J14957" t="s">
        <v>1357</v>
      </c>
      <c r="K14957" t="s">
        <v>1357</v>
      </c>
      <c r="L14957" t="s">
        <v>1357</v>
      </c>
    </row>
    <row r="14958" spans="1:13">
      <c r="A14958" t="s">
        <v>11310</v>
      </c>
      <c r="B14958">
        <f>HYPERLINK("https://android.googlesource.com/platform/cts/+/e5a396ce501475fe3f7ba3caa8d5978da986b9db", "e5a396ce501475fe3f7ba3caa8d5978da986b9db")</f>
        <v>0</v>
      </c>
      <c r="C14958">
        <f>HYPERLINK("https://android.googlesource.com/platform/cts/+/db1c28346c86cda192d09b6d71a12210d3a9e063", "db1c28346c86cda192d09b6d71a12210d3a9e063")</f>
        <v>0</v>
      </c>
      <c r="D14958" t="s">
        <v>12102</v>
      </c>
      <c r="E14958" t="s">
        <v>13836</v>
      </c>
      <c r="F14958" t="s">
        <v>16871</v>
      </c>
      <c r="G14958" t="s">
        <v>19484</v>
      </c>
      <c r="H14958" t="s">
        <v>24763</v>
      </c>
      <c r="I14958" t="s">
        <v>1357</v>
      </c>
      <c r="J14958" t="s">
        <v>1357</v>
      </c>
      <c r="K14958" t="s">
        <v>1357</v>
      </c>
      <c r="L14958" t="s">
        <v>1357</v>
      </c>
    </row>
    <row r="14959" spans="1:13">
      <c r="H14959" t="s">
        <v>24764</v>
      </c>
      <c r="I14959" t="s">
        <v>1357</v>
      </c>
      <c r="J14959" t="s">
        <v>1357</v>
      </c>
      <c r="K14959" t="s">
        <v>1357</v>
      </c>
      <c r="L14959" t="s">
        <v>1357</v>
      </c>
    </row>
    <row r="14960" spans="1:13">
      <c r="H14960" t="s">
        <v>24765</v>
      </c>
      <c r="I14960" t="s">
        <v>1357</v>
      </c>
      <c r="J14960" t="s">
        <v>1357</v>
      </c>
      <c r="K14960" t="s">
        <v>1357</v>
      </c>
      <c r="L14960" t="s">
        <v>1357</v>
      </c>
    </row>
    <row r="14961" spans="1:12">
      <c r="H14961" t="s">
        <v>24766</v>
      </c>
      <c r="I14961" t="s">
        <v>1357</v>
      </c>
      <c r="J14961" t="s">
        <v>1357</v>
      </c>
      <c r="K14961" t="s">
        <v>1357</v>
      </c>
      <c r="L14961" t="s">
        <v>1357</v>
      </c>
    </row>
    <row r="14962" spans="1:12">
      <c r="H14962" t="s">
        <v>24767</v>
      </c>
      <c r="I14962" t="s">
        <v>1357</v>
      </c>
      <c r="J14962" t="s">
        <v>1357</v>
      </c>
      <c r="K14962" t="s">
        <v>1357</v>
      </c>
      <c r="L14962" t="s">
        <v>1357</v>
      </c>
    </row>
    <row r="14963" spans="1:12">
      <c r="H14963" t="s">
        <v>24768</v>
      </c>
      <c r="I14963" t="s">
        <v>1357</v>
      </c>
      <c r="J14963" t="s">
        <v>1357</v>
      </c>
      <c r="K14963" t="s">
        <v>1357</v>
      </c>
      <c r="L14963" t="s">
        <v>1357</v>
      </c>
    </row>
    <row r="14964" spans="1:12">
      <c r="H14964" t="s">
        <v>24769</v>
      </c>
      <c r="I14964" t="s">
        <v>1357</v>
      </c>
      <c r="J14964" t="s">
        <v>1357</v>
      </c>
      <c r="K14964" t="s">
        <v>1357</v>
      </c>
      <c r="L14964" t="s">
        <v>1357</v>
      </c>
    </row>
    <row r="14965" spans="1:12">
      <c r="A14965" t="s">
        <v>11311</v>
      </c>
      <c r="B14965">
        <f>HYPERLINK("https://android.googlesource.com/platform/cts/+/c58d612f2de930e3ff94a535cc6ba262a36b14a6", "c58d612f2de930e3ff94a535cc6ba262a36b14a6")</f>
        <v>0</v>
      </c>
      <c r="C14965">
        <f>HYPERLINK("https://android.googlesource.com/platform/cts/+/adae68c82b4c55bc1ab9a014a559d4bd7bfe3b94", "adae68c82b4c55bc1ab9a014a559d4bd7bfe3b94")</f>
        <v>0</v>
      </c>
      <c r="D14965" t="s">
        <v>12366</v>
      </c>
      <c r="E14965" t="s">
        <v>13837</v>
      </c>
      <c r="F14965" t="s">
        <v>16838</v>
      </c>
      <c r="G14965" t="s">
        <v>19007</v>
      </c>
      <c r="H14965" t="s">
        <v>24770</v>
      </c>
      <c r="I14965" t="s">
        <v>1357</v>
      </c>
      <c r="J14965" t="s">
        <v>1357</v>
      </c>
      <c r="K14965" t="s">
        <v>1357</v>
      </c>
      <c r="L14965" t="s">
        <v>1357</v>
      </c>
    </row>
    <row r="14966" spans="1:12">
      <c r="H14966" t="s">
        <v>24771</v>
      </c>
      <c r="I14966" t="s">
        <v>1357</v>
      </c>
      <c r="J14966" t="s">
        <v>1357</v>
      </c>
      <c r="K14966" t="s">
        <v>1357</v>
      </c>
      <c r="L14966" t="s">
        <v>1357</v>
      </c>
    </row>
    <row r="14967" spans="1:12">
      <c r="H14967" t="s">
        <v>24772</v>
      </c>
      <c r="I14967" t="s">
        <v>1357</v>
      </c>
      <c r="J14967" t="s">
        <v>1357</v>
      </c>
      <c r="K14967" t="s">
        <v>1357</v>
      </c>
      <c r="L14967" t="s">
        <v>1357</v>
      </c>
    </row>
    <row r="14968" spans="1:12">
      <c r="H14968" t="s">
        <v>24773</v>
      </c>
      <c r="I14968" t="s">
        <v>1357</v>
      </c>
      <c r="J14968" t="s">
        <v>1357</v>
      </c>
      <c r="K14968" t="s">
        <v>1357</v>
      </c>
      <c r="L14968" t="s">
        <v>1357</v>
      </c>
    </row>
    <row r="14969" spans="1:12">
      <c r="A14969" t="s">
        <v>11312</v>
      </c>
      <c r="B14969">
        <f>HYPERLINK("https://android.googlesource.com/platform/cts/+/563dc74407adc595ba84021e09203971a7c71e28", "563dc74407adc595ba84021e09203971a7c71e28")</f>
        <v>0</v>
      </c>
      <c r="C14969">
        <f>HYPERLINK("https://android.googlesource.com/platform/cts/+/29ea696b682e3d22b040bcfafcad8ff04b36d260", "29ea696b682e3d22b040bcfafcad8ff04b36d260")</f>
        <v>0</v>
      </c>
      <c r="D14969" t="s">
        <v>12342</v>
      </c>
      <c r="E14969" t="s">
        <v>13838</v>
      </c>
      <c r="F14969" t="s">
        <v>16872</v>
      </c>
      <c r="G14969" t="s">
        <v>19485</v>
      </c>
      <c r="H14969" t="s">
        <v>24774</v>
      </c>
      <c r="I14969" t="s">
        <v>1357</v>
      </c>
      <c r="J14969" t="s">
        <v>1357</v>
      </c>
      <c r="K14969" t="s">
        <v>1357</v>
      </c>
      <c r="L14969" t="s">
        <v>1357</v>
      </c>
    </row>
    <row r="14970" spans="1:12">
      <c r="H14970" t="s">
        <v>24775</v>
      </c>
      <c r="I14970" t="s">
        <v>1357</v>
      </c>
      <c r="J14970" t="s">
        <v>1357</v>
      </c>
      <c r="K14970" t="s">
        <v>1357</v>
      </c>
      <c r="L14970" t="s">
        <v>1357</v>
      </c>
    </row>
    <row r="14971" spans="1:12">
      <c r="H14971" t="s">
        <v>24776</v>
      </c>
      <c r="I14971" t="s">
        <v>1357</v>
      </c>
      <c r="J14971" t="s">
        <v>1357</v>
      </c>
      <c r="K14971" t="s">
        <v>1357</v>
      </c>
      <c r="L14971" t="s">
        <v>1357</v>
      </c>
    </row>
    <row r="14972" spans="1:12">
      <c r="F14972" t="s">
        <v>16849</v>
      </c>
      <c r="G14972" t="s">
        <v>19464</v>
      </c>
      <c r="H14972" t="s">
        <v>24777</v>
      </c>
      <c r="I14972" t="s">
        <v>1357</v>
      </c>
      <c r="J14972" t="s">
        <v>1357</v>
      </c>
      <c r="K14972" t="s">
        <v>1357</v>
      </c>
      <c r="L14972" t="s">
        <v>1357</v>
      </c>
    </row>
    <row r="14973" spans="1:12">
      <c r="A14973" t="s">
        <v>11313</v>
      </c>
      <c r="B14973">
        <f>HYPERLINK("https://android.googlesource.com/platform/cts/+/02a66d3355f399b83be12c724c1e3149af60cf7c", "02a66d3355f399b83be12c724c1e3149af60cf7c")</f>
        <v>0</v>
      </c>
      <c r="C14973">
        <f>HYPERLINK("https://android.googlesource.com/platform/cts/+/47618dd61cfb39d68b4a5341999917b1d96b1975", "47618dd61cfb39d68b4a5341999917b1d96b1975")</f>
        <v>0</v>
      </c>
      <c r="D14973" t="s">
        <v>12367</v>
      </c>
      <c r="E14973" t="s">
        <v>13839</v>
      </c>
      <c r="F14973" t="s">
        <v>16409</v>
      </c>
      <c r="G14973" t="s">
        <v>19075</v>
      </c>
      <c r="H14973" t="s">
        <v>23125</v>
      </c>
      <c r="I14973" t="s">
        <v>1357</v>
      </c>
      <c r="J14973" t="s">
        <v>1357</v>
      </c>
      <c r="K14973" t="s">
        <v>1357</v>
      </c>
      <c r="L14973" t="s">
        <v>1357</v>
      </c>
    </row>
    <row r="14974" spans="1:12">
      <c r="A14974" t="s">
        <v>11314</v>
      </c>
      <c r="B14974">
        <f>HYPERLINK("https://android.googlesource.com/platform/cts/+/fd75864da2796bcda58f036b0adf711a0854259f", "fd75864da2796bcda58f036b0adf711a0854259f")</f>
        <v>0</v>
      </c>
      <c r="C14974">
        <f>HYPERLINK("https://android.googlesource.com/platform/cts/+/47618dd61cfb39d68b4a5341999917b1d96b1975", "47618dd61cfb39d68b4a5341999917b1d96b1975")</f>
        <v>0</v>
      </c>
      <c r="D14974" t="s">
        <v>12367</v>
      </c>
      <c r="E14974" t="s">
        <v>13840</v>
      </c>
      <c r="F14974" t="s">
        <v>16873</v>
      </c>
      <c r="G14974" t="s">
        <v>19486</v>
      </c>
      <c r="H14974" t="s">
        <v>24778</v>
      </c>
      <c r="I14974" t="s">
        <v>1357</v>
      </c>
      <c r="J14974" t="s">
        <v>1357</v>
      </c>
      <c r="K14974" t="s">
        <v>1357</v>
      </c>
      <c r="L14974" t="s">
        <v>1357</v>
      </c>
    </row>
    <row r="14975" spans="1:12">
      <c r="H14975" t="s">
        <v>24779</v>
      </c>
      <c r="I14975" t="s">
        <v>1357</v>
      </c>
      <c r="J14975" t="s">
        <v>1357</v>
      </c>
      <c r="K14975" t="s">
        <v>1357</v>
      </c>
      <c r="L14975" t="s">
        <v>1357</v>
      </c>
    </row>
    <row r="14976" spans="1:12">
      <c r="F14976" t="s">
        <v>16874</v>
      </c>
      <c r="G14976" t="s">
        <v>19487</v>
      </c>
      <c r="H14976" t="s">
        <v>24780</v>
      </c>
      <c r="I14976" t="s">
        <v>1357</v>
      </c>
      <c r="J14976" t="s">
        <v>1357</v>
      </c>
      <c r="K14976" t="s">
        <v>1357</v>
      </c>
      <c r="L14976" t="s">
        <v>1357</v>
      </c>
    </row>
    <row r="14977" spans="1:13">
      <c r="A14977" t="s">
        <v>11315</v>
      </c>
      <c r="B14977">
        <f>HYPERLINK("https://android.googlesource.com/platform/cts/+/11d02c8d75d35c2fd3b3c98c2773b5b25d015ce8", "11d02c8d75d35c2fd3b3c98c2773b5b25d015ce8")</f>
        <v>0</v>
      </c>
      <c r="C14977">
        <f>HYPERLINK("https://android.googlesource.com/platform/cts/+/49b2a2136961b9e348cf1a31aab6e698dfcf33f3", "49b2a2136961b9e348cf1a31aab6e698dfcf33f3")</f>
        <v>0</v>
      </c>
      <c r="D14977" t="s">
        <v>12248</v>
      </c>
      <c r="E14977" t="s">
        <v>13841</v>
      </c>
      <c r="F14977" t="s">
        <v>16875</v>
      </c>
      <c r="G14977" t="s">
        <v>19488</v>
      </c>
      <c r="H14977" t="s">
        <v>24781</v>
      </c>
      <c r="I14977" t="s">
        <v>1358</v>
      </c>
      <c r="J14977" t="s">
        <v>1358</v>
      </c>
      <c r="K14977" t="s">
        <v>1358</v>
      </c>
      <c r="L14977" t="s">
        <v>1358</v>
      </c>
    </row>
    <row r="14978" spans="1:13">
      <c r="A14978" t="s">
        <v>11316</v>
      </c>
      <c r="B14978">
        <f>HYPERLINK("https://android.googlesource.com/platform/cts/+/55de88314923bd2211aa640f510fab3f6aacaf7f", "55de88314923bd2211aa640f510fab3f6aacaf7f")</f>
        <v>0</v>
      </c>
      <c r="C14978">
        <f>HYPERLINK("https://android.googlesource.com/platform/cts/+/d5aa68c56a5ad76821980ed0cc01eb231057f4b0", "d5aa68c56a5ad76821980ed0cc01eb231057f4b0")</f>
        <v>0</v>
      </c>
      <c r="D14978" t="s">
        <v>12290</v>
      </c>
      <c r="E14978" t="s">
        <v>13842</v>
      </c>
      <c r="F14978" t="s">
        <v>16656</v>
      </c>
      <c r="G14978" t="s">
        <v>19290</v>
      </c>
      <c r="H14978" t="s">
        <v>24782</v>
      </c>
      <c r="I14978" t="s">
        <v>1358</v>
      </c>
      <c r="J14978" t="s">
        <v>1358</v>
      </c>
      <c r="K14978" t="s">
        <v>1358</v>
      </c>
      <c r="L14978" t="s">
        <v>1358</v>
      </c>
    </row>
    <row r="14979" spans="1:13">
      <c r="A14979" t="s">
        <v>11317</v>
      </c>
      <c r="B14979">
        <f>HYPERLINK("https://android.googlesource.com/platform/cts/+/c89ed95219a4235f78bab6289e80d5d02cb72398", "c89ed95219a4235f78bab6289e80d5d02cb72398")</f>
        <v>0</v>
      </c>
      <c r="C14979">
        <f>HYPERLINK("https://android.googlesource.com/platform/cts/+/b1d5e2b89cf58084fa2d33ac018da2ee3c3920af", "b1d5e2b89cf58084fa2d33ac018da2ee3c3920af")</f>
        <v>0</v>
      </c>
      <c r="D14979" t="s">
        <v>12328</v>
      </c>
      <c r="E14979" t="s">
        <v>13843</v>
      </c>
      <c r="F14979" t="s">
        <v>16876</v>
      </c>
      <c r="G14979" t="s">
        <v>19489</v>
      </c>
      <c r="H14979" t="s">
        <v>24783</v>
      </c>
      <c r="I14979" t="s">
        <v>1357</v>
      </c>
      <c r="J14979" t="s">
        <v>1357</v>
      </c>
      <c r="K14979" t="s">
        <v>1357</v>
      </c>
      <c r="L14979" t="s">
        <v>1357</v>
      </c>
    </row>
    <row r="14980" spans="1:13">
      <c r="A14980" t="s">
        <v>11318</v>
      </c>
      <c r="B14980">
        <f>HYPERLINK("https://android.googlesource.com/platform/cts/+/beb49990df5d3a6304baab3531bb470f274edd2b", "beb49990df5d3a6304baab3531bb470f274edd2b")</f>
        <v>0</v>
      </c>
      <c r="C14980">
        <f>HYPERLINK("https://android.googlesource.com/platform/cts/+/bcd6370fc6bac1d96804479abc40093920cca5df", "bcd6370fc6bac1d96804479abc40093920cca5df")</f>
        <v>0</v>
      </c>
      <c r="D14980" t="s">
        <v>12331</v>
      </c>
      <c r="E14980" t="s">
        <v>13844</v>
      </c>
      <c r="F14980" t="s">
        <v>16877</v>
      </c>
      <c r="G14980" t="s">
        <v>19490</v>
      </c>
      <c r="H14980" t="s">
        <v>24784</v>
      </c>
      <c r="I14980" t="s">
        <v>1357</v>
      </c>
      <c r="J14980" t="s">
        <v>1357</v>
      </c>
      <c r="K14980" t="s">
        <v>1357</v>
      </c>
      <c r="L14980" t="s">
        <v>1357</v>
      </c>
    </row>
    <row r="14981" spans="1:13">
      <c r="H14981" t="s">
        <v>24785</v>
      </c>
      <c r="I14981" t="s">
        <v>1357</v>
      </c>
      <c r="J14981" t="s">
        <v>1357</v>
      </c>
      <c r="K14981" t="s">
        <v>1357</v>
      </c>
      <c r="L14981" t="s">
        <v>1357</v>
      </c>
    </row>
    <row r="14982" spans="1:13">
      <c r="A14982" t="s">
        <v>11319</v>
      </c>
      <c r="B14982">
        <f>HYPERLINK("https://android.googlesource.com/platform/cts/+/343e16244a21adcfe402e67b64a618dc8c48f81c", "343e16244a21adcfe402e67b64a618dc8c48f81c")</f>
        <v>0</v>
      </c>
      <c r="C14982">
        <f>HYPERLINK("https://android.googlesource.com/platform/cts/+/fec07ed43e59ecad51f87e11de2da8639e7d9b74", "fec07ed43e59ecad51f87e11de2da8639e7d9b74")</f>
        <v>0</v>
      </c>
      <c r="D14982" t="s">
        <v>12368</v>
      </c>
      <c r="E14982" t="s">
        <v>13845</v>
      </c>
      <c r="F14982" t="s">
        <v>16878</v>
      </c>
      <c r="G14982" t="s">
        <v>19491</v>
      </c>
      <c r="H14982" t="s">
        <v>24786</v>
      </c>
      <c r="I14982" t="s">
        <v>1358</v>
      </c>
      <c r="J14982" t="s">
        <v>1358</v>
      </c>
      <c r="K14982" t="s">
        <v>1358</v>
      </c>
      <c r="L14982" t="s">
        <v>1358</v>
      </c>
    </row>
    <row r="14983" spans="1:13">
      <c r="A14983" t="s">
        <v>11320</v>
      </c>
      <c r="B14983">
        <f>HYPERLINK("https://android.googlesource.com/platform/cts/+/9780db52625073ddbe48c2e93bc32ecb0618f40d", "9780db52625073ddbe48c2e93bc32ecb0618f40d")</f>
        <v>0</v>
      </c>
      <c r="C14983">
        <f>HYPERLINK("https://android.googlesource.com/platform/cts/+/e6476ccb1093ad9d2e05184c4c761e5cd3119a1b", "e6476ccb1093ad9d2e05184c4c761e5cd3119a1b")</f>
        <v>0</v>
      </c>
      <c r="D14983" t="s">
        <v>12360</v>
      </c>
      <c r="E14983" t="s">
        <v>13846</v>
      </c>
      <c r="F14983" t="s">
        <v>16868</v>
      </c>
      <c r="G14983" t="s">
        <v>19481</v>
      </c>
      <c r="H14983" t="s">
        <v>24787</v>
      </c>
      <c r="I14983" t="s">
        <v>1357</v>
      </c>
      <c r="J14983" t="s">
        <v>1357</v>
      </c>
      <c r="K14983" t="s">
        <v>1357</v>
      </c>
      <c r="L14983" t="s">
        <v>1357</v>
      </c>
    </row>
    <row r="14984" spans="1:13">
      <c r="H14984" t="s">
        <v>24788</v>
      </c>
      <c r="I14984" t="s">
        <v>1357</v>
      </c>
      <c r="J14984" t="s">
        <v>1357</v>
      </c>
      <c r="K14984" t="s">
        <v>1357</v>
      </c>
      <c r="L14984" t="s">
        <v>1357</v>
      </c>
    </row>
    <row r="14985" spans="1:13">
      <c r="F14985" t="s">
        <v>16745</v>
      </c>
      <c r="G14985" t="s">
        <v>19374</v>
      </c>
      <c r="H14985" t="s">
        <v>24789</v>
      </c>
      <c r="I14985" t="s">
        <v>1357</v>
      </c>
      <c r="J14985" t="s">
        <v>1357</v>
      </c>
      <c r="K14985" t="s">
        <v>1357</v>
      </c>
      <c r="L14985" t="s">
        <v>1357</v>
      </c>
    </row>
    <row r="14986" spans="1:13">
      <c r="A14986" t="s">
        <v>11321</v>
      </c>
      <c r="B14986">
        <f>HYPERLINK("https://android.googlesource.com/platform/cts/+/f77cfb9375575c4c995e7d0c9cfe005fe1200c42", "f77cfb9375575c4c995e7d0c9cfe005fe1200c42")</f>
        <v>0</v>
      </c>
      <c r="C14986">
        <f>HYPERLINK("https://android.googlesource.com/platform/cts/+/28e4db098fd898eb601066a15d20786f50c1ed4f", "28e4db098fd898eb601066a15d20786f50c1ed4f")</f>
        <v>0</v>
      </c>
      <c r="D14986" t="s">
        <v>12288</v>
      </c>
      <c r="E14986" t="s">
        <v>13847</v>
      </c>
      <c r="F14986" t="s">
        <v>16879</v>
      </c>
      <c r="G14986" t="s">
        <v>19492</v>
      </c>
      <c r="H14986" t="s">
        <v>24790</v>
      </c>
      <c r="I14986" t="s">
        <v>1357</v>
      </c>
      <c r="J14986" t="s">
        <v>1357</v>
      </c>
      <c r="K14986" t="s">
        <v>1357</v>
      </c>
      <c r="L14986" t="s">
        <v>1357</v>
      </c>
    </row>
    <row r="14987" spans="1:13">
      <c r="A14987" t="s">
        <v>11322</v>
      </c>
      <c r="B14987">
        <f>HYPERLINK("https://android.googlesource.com/platform/cts/+/b775c3f41ea679eedd582bc395c3c31b9250af26", "b775c3f41ea679eedd582bc395c3c31b9250af26")</f>
        <v>0</v>
      </c>
      <c r="C14987">
        <f>HYPERLINK("https://android.googlesource.com/platform/cts/+/ff921555f11bc7b160ab36b0e7f6521818066df2", "ff921555f11bc7b160ab36b0e7f6521818066df2")</f>
        <v>0</v>
      </c>
      <c r="D14987" t="s">
        <v>12360</v>
      </c>
      <c r="E14987" t="s">
        <v>13848</v>
      </c>
      <c r="F14987" t="s">
        <v>16868</v>
      </c>
      <c r="G14987" t="s">
        <v>19481</v>
      </c>
      <c r="H14987" t="s">
        <v>24787</v>
      </c>
      <c r="I14987" t="s">
        <v>1357</v>
      </c>
      <c r="J14987" t="s">
        <v>1357</v>
      </c>
      <c r="K14987" t="s">
        <v>1357</v>
      </c>
      <c r="L14987" t="s">
        <v>1357</v>
      </c>
      <c r="M14987" t="s">
        <v>9957</v>
      </c>
    </row>
    <row r="14988" spans="1:13">
      <c r="H14988" t="s">
        <v>24788</v>
      </c>
      <c r="I14988" t="s">
        <v>1357</v>
      </c>
      <c r="J14988" t="s">
        <v>1357</v>
      </c>
      <c r="K14988" t="s">
        <v>1357</v>
      </c>
      <c r="L14988" t="s">
        <v>1357</v>
      </c>
    </row>
    <row r="14989" spans="1:13">
      <c r="F14989" t="s">
        <v>16745</v>
      </c>
      <c r="G14989" t="s">
        <v>19374</v>
      </c>
      <c r="H14989" t="s">
        <v>24789</v>
      </c>
      <c r="I14989" t="s">
        <v>1357</v>
      </c>
      <c r="J14989" t="s">
        <v>1357</v>
      </c>
      <c r="K14989" t="s">
        <v>1357</v>
      </c>
      <c r="L14989" t="s">
        <v>1357</v>
      </c>
    </row>
    <row r="14990" spans="1:13">
      <c r="A14990" t="s">
        <v>11323</v>
      </c>
      <c r="B14990">
        <f>HYPERLINK("https://android.googlesource.com/platform/cts/+/9c92fa8c06077ce8a6bd4d19d6c86a9f314edc77", "9c92fa8c06077ce8a6bd4d19d6c86a9f314edc77")</f>
        <v>0</v>
      </c>
      <c r="C14990">
        <f>HYPERLINK("https://android.googlesource.com/platform/cts/+/f32b8eaa519577c47f33538c1487283335c4bb07", "f32b8eaa519577c47f33538c1487283335c4bb07")</f>
        <v>0</v>
      </c>
      <c r="D14990" t="s">
        <v>12360</v>
      </c>
      <c r="E14990" t="s">
        <v>13849</v>
      </c>
      <c r="F14990" t="s">
        <v>16745</v>
      </c>
      <c r="G14990" t="s">
        <v>19374</v>
      </c>
      <c r="H14990" t="s">
        <v>24791</v>
      </c>
      <c r="I14990" t="s">
        <v>1357</v>
      </c>
      <c r="J14990" t="s">
        <v>1357</v>
      </c>
      <c r="K14990" t="s">
        <v>1357</v>
      </c>
      <c r="L14990" t="s">
        <v>1357</v>
      </c>
    </row>
    <row r="14991" spans="1:13">
      <c r="A14991" t="s">
        <v>11324</v>
      </c>
      <c r="B14991">
        <f>HYPERLINK("https://android.googlesource.com/platform/cts/+/45f9d50325a648a22fd38671753216a934cdfb10", "45f9d50325a648a22fd38671753216a934cdfb10")</f>
        <v>0</v>
      </c>
      <c r="C14991">
        <f>HYPERLINK("https://android.googlesource.com/platform/cts/+/7906b85aeacf5e6529e110efa091f8adfe421367", "7906b85aeacf5e6529e110efa091f8adfe421367")</f>
        <v>0</v>
      </c>
      <c r="D14991" t="s">
        <v>12360</v>
      </c>
      <c r="E14991" t="s">
        <v>13850</v>
      </c>
      <c r="F14991" t="s">
        <v>16868</v>
      </c>
      <c r="G14991" t="s">
        <v>19481</v>
      </c>
      <c r="H14991" t="s">
        <v>24792</v>
      </c>
      <c r="I14991" t="s">
        <v>1357</v>
      </c>
      <c r="J14991" t="s">
        <v>1357</v>
      </c>
      <c r="K14991" t="s">
        <v>1357</v>
      </c>
      <c r="L14991" t="s">
        <v>1357</v>
      </c>
    </row>
    <row r="14992" spans="1:13">
      <c r="A14992" t="s">
        <v>11325</v>
      </c>
      <c r="B14992">
        <f>HYPERLINK("https://android.googlesource.com/platform/cts/+/2e59a5e9b0f18c603dc8d8447c9fc56163fbb94e", "2e59a5e9b0f18c603dc8d8447c9fc56163fbb94e")</f>
        <v>0</v>
      </c>
      <c r="C14992">
        <f>HYPERLINK("https://android.googlesource.com/platform/cts/+/7c10b4dd03f25c0aee296f543b9a4acf7abd38af", "7c10b4dd03f25c0aee296f543b9a4acf7abd38af")</f>
        <v>0</v>
      </c>
      <c r="D14992" t="s">
        <v>12369</v>
      </c>
      <c r="E14992" t="s">
        <v>13851</v>
      </c>
      <c r="F14992" t="s">
        <v>16880</v>
      </c>
      <c r="G14992" t="s">
        <v>19493</v>
      </c>
      <c r="H14992" t="s">
        <v>24793</v>
      </c>
      <c r="I14992" t="s">
        <v>1358</v>
      </c>
      <c r="J14992" t="s">
        <v>1358</v>
      </c>
      <c r="K14992" t="s">
        <v>1358</v>
      </c>
      <c r="L14992" t="s">
        <v>1358</v>
      </c>
    </row>
    <row r="14993" spans="1:12">
      <c r="A14993" t="s">
        <v>11326</v>
      </c>
      <c r="B14993">
        <f>HYPERLINK("https://android.googlesource.com/platform/cts/+/022fe2a4112c5cee8cc24a70a679058edcc19842", "022fe2a4112c5cee8cc24a70a679058edcc19842")</f>
        <v>0</v>
      </c>
      <c r="C14993">
        <f>HYPERLINK("https://android.googlesource.com/platform/cts/+/b504fec6e151aebf1c14fbf642d7d37741f98da5", "b504fec6e151aebf1c14fbf642d7d37741f98da5")</f>
        <v>0</v>
      </c>
      <c r="D14993" t="s">
        <v>12369</v>
      </c>
      <c r="E14993" t="s">
        <v>13852</v>
      </c>
      <c r="F14993" t="s">
        <v>16880</v>
      </c>
      <c r="G14993" t="s">
        <v>19493</v>
      </c>
      <c r="H14993" t="s">
        <v>24794</v>
      </c>
      <c r="I14993" t="s">
        <v>1358</v>
      </c>
      <c r="J14993" t="s">
        <v>1358</v>
      </c>
      <c r="K14993" t="s">
        <v>1358</v>
      </c>
      <c r="L14993" t="s">
        <v>1358</v>
      </c>
    </row>
    <row r="14994" spans="1:12">
      <c r="H14994" t="s">
        <v>24795</v>
      </c>
      <c r="I14994" t="s">
        <v>1358</v>
      </c>
      <c r="J14994" t="s">
        <v>1358</v>
      </c>
      <c r="K14994" t="s">
        <v>1358</v>
      </c>
      <c r="L14994" t="s">
        <v>1358</v>
      </c>
    </row>
    <row r="14995" spans="1:12">
      <c r="H14995" t="s">
        <v>24796</v>
      </c>
      <c r="I14995" t="s">
        <v>1358</v>
      </c>
      <c r="J14995" t="s">
        <v>1358</v>
      </c>
      <c r="K14995" t="s">
        <v>1358</v>
      </c>
      <c r="L14995" t="s">
        <v>1358</v>
      </c>
    </row>
    <row r="14996" spans="1:12">
      <c r="A14996" t="s">
        <v>11327</v>
      </c>
      <c r="B14996">
        <f>HYPERLINK("https://android.googlesource.com/platform/cts/+/b78a1eb7b8e5c7304f52d3e1a58555d839c906c2", "b78a1eb7b8e5c7304f52d3e1a58555d839c906c2")</f>
        <v>0</v>
      </c>
      <c r="C14996">
        <f>HYPERLINK("https://android.googlesource.com/platform/cts/+/357f3b0f3b5565e860122e0641bd7a591ef08fa6", "357f3b0f3b5565e860122e0641bd7a591ef08fa6")</f>
        <v>0</v>
      </c>
      <c r="D14996" t="s">
        <v>12342</v>
      </c>
      <c r="E14996" t="s">
        <v>13853</v>
      </c>
      <c r="F14996" t="s">
        <v>16881</v>
      </c>
      <c r="G14996" t="s">
        <v>19494</v>
      </c>
      <c r="H14996" t="s">
        <v>24797</v>
      </c>
      <c r="I14996" t="s">
        <v>1357</v>
      </c>
      <c r="J14996" t="s">
        <v>1357</v>
      </c>
      <c r="K14996" t="s">
        <v>1357</v>
      </c>
      <c r="L14996" t="s">
        <v>1357</v>
      </c>
    </row>
    <row r="14997" spans="1:12">
      <c r="F14997" t="s">
        <v>16849</v>
      </c>
      <c r="G14997" t="s">
        <v>19464</v>
      </c>
      <c r="H14997" t="s">
        <v>24798</v>
      </c>
      <c r="I14997" t="s">
        <v>1357</v>
      </c>
      <c r="J14997" t="s">
        <v>1357</v>
      </c>
      <c r="K14997" t="s">
        <v>1357</v>
      </c>
      <c r="L14997" t="s">
        <v>1357</v>
      </c>
    </row>
    <row r="14998" spans="1:12">
      <c r="A14998" t="s">
        <v>11328</v>
      </c>
      <c r="B14998">
        <f>HYPERLINK("https://android.googlesource.com/platform/cts/+/4af7f62c031fc1cd6c9fd0bf24bebd8768d5d6d2", "4af7f62c031fc1cd6c9fd0bf24bebd8768d5d6d2")</f>
        <v>0</v>
      </c>
      <c r="C14998">
        <f>HYPERLINK("https://android.googlesource.com/platform/cts/+/afe84db29c7c22faec7dd5a182e2b0ba6b39f7d3", "afe84db29c7c22faec7dd5a182e2b0ba6b39f7d3")</f>
        <v>0</v>
      </c>
      <c r="D14998" t="s">
        <v>12360</v>
      </c>
      <c r="E14998" t="s">
        <v>13854</v>
      </c>
      <c r="F14998" t="s">
        <v>16868</v>
      </c>
      <c r="G14998" t="s">
        <v>19481</v>
      </c>
      <c r="H14998" t="s">
        <v>24787</v>
      </c>
      <c r="I14998" t="s">
        <v>1357</v>
      </c>
      <c r="J14998" t="s">
        <v>1357</v>
      </c>
      <c r="K14998" t="s">
        <v>1357</v>
      </c>
      <c r="L14998" t="s">
        <v>1357</v>
      </c>
    </row>
    <row r="14999" spans="1:12">
      <c r="A14999" t="s">
        <v>11329</v>
      </c>
      <c r="B14999">
        <f>HYPERLINK("https://android.googlesource.com/platform/cts/+/a8aba9454403f780b568e7b3444ef73117d517f8", "a8aba9454403f780b568e7b3444ef73117d517f8")</f>
        <v>0</v>
      </c>
      <c r="C14999">
        <f>HYPERLINK("https://android.googlesource.com/platform/cts/+/4af7f62c031fc1cd6c9fd0bf24bebd8768d5d6d2", "4af7f62c031fc1cd6c9fd0bf24bebd8768d5d6d2")</f>
        <v>0</v>
      </c>
      <c r="D14999" t="s">
        <v>12360</v>
      </c>
      <c r="E14999" t="s">
        <v>13855</v>
      </c>
      <c r="F14999" t="s">
        <v>16868</v>
      </c>
      <c r="G14999" t="s">
        <v>19481</v>
      </c>
      <c r="H14999" t="s">
        <v>24788</v>
      </c>
      <c r="I14999" t="s">
        <v>1357</v>
      </c>
      <c r="J14999" t="s">
        <v>1357</v>
      </c>
      <c r="K14999" t="s">
        <v>1357</v>
      </c>
      <c r="L14999" t="s">
        <v>1357</v>
      </c>
    </row>
    <row r="15000" spans="1:12">
      <c r="A15000" t="s">
        <v>11330</v>
      </c>
      <c r="B15000">
        <f>HYPERLINK("https://android.googlesource.com/platform/cts/+/5d583f0760f27a046e89a6d9c44239fbc6470b62", "5d583f0760f27a046e89a6d9c44239fbc6470b62")</f>
        <v>0</v>
      </c>
      <c r="C15000">
        <f>HYPERLINK("https://android.googlesource.com/platform/cts/+/a8aba9454403f780b568e7b3444ef73117d517f8", "a8aba9454403f780b568e7b3444ef73117d517f8")</f>
        <v>0</v>
      </c>
      <c r="D15000" t="s">
        <v>12360</v>
      </c>
      <c r="E15000" t="s">
        <v>13856</v>
      </c>
      <c r="F15000" t="s">
        <v>16868</v>
      </c>
      <c r="G15000" t="s">
        <v>19481</v>
      </c>
      <c r="H15000" t="s">
        <v>24799</v>
      </c>
      <c r="I15000" t="s">
        <v>1357</v>
      </c>
      <c r="J15000" t="s">
        <v>1357</v>
      </c>
      <c r="K15000" t="s">
        <v>1357</v>
      </c>
      <c r="L15000" t="s">
        <v>1357</v>
      </c>
    </row>
    <row r="15001" spans="1:12">
      <c r="A15001" t="s">
        <v>11331</v>
      </c>
      <c r="B15001">
        <f>HYPERLINK("https://android.googlesource.com/platform/cts/+/2dfcba1e4d4c9b825ec3cbe6478d3d394c9741f0", "2dfcba1e4d4c9b825ec3cbe6478d3d394c9741f0")</f>
        <v>0</v>
      </c>
      <c r="C15001">
        <f>HYPERLINK("https://android.googlesource.com/platform/cts/+/5d583f0760f27a046e89a6d9c44239fbc6470b62", "5d583f0760f27a046e89a6d9c44239fbc6470b62")</f>
        <v>0</v>
      </c>
      <c r="D15001" t="s">
        <v>12360</v>
      </c>
      <c r="E15001" t="s">
        <v>13857</v>
      </c>
      <c r="F15001" t="s">
        <v>16868</v>
      </c>
      <c r="G15001" t="s">
        <v>19481</v>
      </c>
      <c r="H15001" t="s">
        <v>24800</v>
      </c>
      <c r="I15001" t="s">
        <v>1357</v>
      </c>
      <c r="J15001" t="s">
        <v>1357</v>
      </c>
      <c r="K15001" t="s">
        <v>1357</v>
      </c>
      <c r="L15001" t="s">
        <v>1357</v>
      </c>
    </row>
    <row r="15002" spans="1:12">
      <c r="A15002" t="s">
        <v>11332</v>
      </c>
      <c r="B15002">
        <f>HYPERLINK("https://android.googlesource.com/platform/cts/+/91ef66a12b162e1afe470a0ac0c983efe2f7704c", "91ef66a12b162e1afe470a0ac0c983efe2f7704c")</f>
        <v>0</v>
      </c>
      <c r="C15002">
        <f>HYPERLINK("https://android.googlesource.com/platform/cts/+/2dfcba1e4d4c9b825ec3cbe6478d3d394c9741f0", "2dfcba1e4d4c9b825ec3cbe6478d3d394c9741f0")</f>
        <v>0</v>
      </c>
      <c r="D15002" t="s">
        <v>12360</v>
      </c>
      <c r="E15002" t="s">
        <v>13858</v>
      </c>
      <c r="F15002" t="s">
        <v>16868</v>
      </c>
      <c r="G15002" t="s">
        <v>19481</v>
      </c>
      <c r="H15002" t="s">
        <v>24801</v>
      </c>
      <c r="I15002" t="s">
        <v>1357</v>
      </c>
      <c r="J15002" t="s">
        <v>1357</v>
      </c>
      <c r="K15002" t="s">
        <v>1357</v>
      </c>
      <c r="L15002" t="s">
        <v>1357</v>
      </c>
    </row>
    <row r="15003" spans="1:12">
      <c r="A15003" t="s">
        <v>11333</v>
      </c>
      <c r="B15003">
        <f>HYPERLINK("https://android.googlesource.com/platform/cts/+/2cb23eedf80f26451b04a89f6173444f948126a9", "2cb23eedf80f26451b04a89f6173444f948126a9")</f>
        <v>0</v>
      </c>
      <c r="C15003">
        <f>HYPERLINK("https://android.googlesource.com/platform/cts/+/ce56f6595f19fde51648fb6acfbe96ad5741e4e5", "ce56f6595f19fde51648fb6acfbe96ad5741e4e5")</f>
        <v>0</v>
      </c>
      <c r="D15003" t="s">
        <v>12360</v>
      </c>
      <c r="E15003" t="s">
        <v>13859</v>
      </c>
      <c r="F15003" t="s">
        <v>16868</v>
      </c>
      <c r="G15003" t="s">
        <v>19481</v>
      </c>
      <c r="H15003" t="s">
        <v>24802</v>
      </c>
      <c r="I15003" t="s">
        <v>1357</v>
      </c>
      <c r="J15003" t="s">
        <v>1357</v>
      </c>
      <c r="K15003" t="s">
        <v>1357</v>
      </c>
      <c r="L15003" t="s">
        <v>1357</v>
      </c>
    </row>
    <row r="15004" spans="1:12">
      <c r="A15004" t="s">
        <v>11334</v>
      </c>
      <c r="B15004">
        <f>HYPERLINK("https://android.googlesource.com/platform/cts/+/5197494f6bfedb1d2d1ed60e7b41dab1177d0922", "5197494f6bfedb1d2d1ed60e7b41dab1177d0922")</f>
        <v>0</v>
      </c>
      <c r="C15004">
        <f>HYPERLINK("https://android.googlesource.com/platform/cts/+/b04678d72a6145a2dd25437d2ea8d4acb1982e0d", "b04678d72a6145a2dd25437d2ea8d4acb1982e0d")</f>
        <v>0</v>
      </c>
      <c r="D15004" t="s">
        <v>12163</v>
      </c>
      <c r="E15004" t="s">
        <v>13860</v>
      </c>
      <c r="F15004" t="s">
        <v>16882</v>
      </c>
      <c r="G15004" t="s">
        <v>19495</v>
      </c>
      <c r="H15004" t="s">
        <v>24803</v>
      </c>
      <c r="I15004" t="s">
        <v>1357</v>
      </c>
      <c r="J15004" t="s">
        <v>1357</v>
      </c>
      <c r="K15004" t="s">
        <v>1357</v>
      </c>
      <c r="L15004" t="s">
        <v>1357</v>
      </c>
    </row>
    <row r="15005" spans="1:12">
      <c r="F15005" t="s">
        <v>16138</v>
      </c>
      <c r="G15005" t="s">
        <v>18822</v>
      </c>
      <c r="H15005" t="s">
        <v>24804</v>
      </c>
      <c r="I15005" t="s">
        <v>1357</v>
      </c>
      <c r="J15005" t="s">
        <v>1357</v>
      </c>
      <c r="K15005" t="s">
        <v>1357</v>
      </c>
      <c r="L15005" t="s">
        <v>1357</v>
      </c>
    </row>
    <row r="15006" spans="1:12">
      <c r="A15006" t="s">
        <v>11335</v>
      </c>
      <c r="B15006">
        <f>HYPERLINK("https://android.googlesource.com/platform/cts/+/0f5ac24098056e0391db0cc244e25440948574f2", "0f5ac24098056e0391db0cc244e25440948574f2")</f>
        <v>0</v>
      </c>
      <c r="C15006">
        <f>HYPERLINK("https://android.googlesource.com/platform/cts/+/c05b74c3235be123060485cf2df4121faec2e355", "c05b74c3235be123060485cf2df4121faec2e355")</f>
        <v>0</v>
      </c>
      <c r="D15006" t="s">
        <v>12367</v>
      </c>
      <c r="E15006" t="s">
        <v>13861</v>
      </c>
      <c r="F15006" t="s">
        <v>16409</v>
      </c>
      <c r="G15006" t="s">
        <v>19075</v>
      </c>
      <c r="H15006" t="s">
        <v>24805</v>
      </c>
      <c r="I15006" t="s">
        <v>1357</v>
      </c>
      <c r="J15006" t="s">
        <v>1357</v>
      </c>
      <c r="K15006" t="s">
        <v>1357</v>
      </c>
      <c r="L15006" t="s">
        <v>1357</v>
      </c>
    </row>
    <row r="15007" spans="1:12">
      <c r="H15007" t="s">
        <v>24806</v>
      </c>
      <c r="I15007" t="s">
        <v>1357</v>
      </c>
      <c r="J15007" t="s">
        <v>1357</v>
      </c>
      <c r="K15007" t="s">
        <v>1357</v>
      </c>
      <c r="L15007" t="s">
        <v>1357</v>
      </c>
    </row>
    <row r="15008" spans="1:12">
      <c r="H15008" t="s">
        <v>24807</v>
      </c>
      <c r="I15008" t="s">
        <v>1357</v>
      </c>
      <c r="J15008" t="s">
        <v>1357</v>
      </c>
      <c r="K15008" t="s">
        <v>1357</v>
      </c>
      <c r="L15008" t="s">
        <v>1357</v>
      </c>
    </row>
    <row r="15009" spans="1:14">
      <c r="H15009" t="s">
        <v>23123</v>
      </c>
      <c r="I15009" t="s">
        <v>1357</v>
      </c>
      <c r="J15009" t="s">
        <v>1357</v>
      </c>
      <c r="K15009" t="s">
        <v>1357</v>
      </c>
      <c r="L15009" t="s">
        <v>1357</v>
      </c>
    </row>
    <row r="15010" spans="1:14">
      <c r="H15010" t="s">
        <v>24808</v>
      </c>
      <c r="I15010" t="s">
        <v>1357</v>
      </c>
      <c r="J15010" t="s">
        <v>1357</v>
      </c>
      <c r="K15010" t="s">
        <v>1357</v>
      </c>
      <c r="L15010" t="s">
        <v>1357</v>
      </c>
    </row>
    <row r="15011" spans="1:14">
      <c r="H15011" t="s">
        <v>24809</v>
      </c>
      <c r="I15011" t="s">
        <v>1357</v>
      </c>
      <c r="J15011" t="s">
        <v>1357</v>
      </c>
      <c r="K15011" t="s">
        <v>1357</v>
      </c>
      <c r="L15011" t="s">
        <v>1357</v>
      </c>
    </row>
    <row r="15012" spans="1:14">
      <c r="H15012" t="s">
        <v>24810</v>
      </c>
      <c r="I15012" t="s">
        <v>1357</v>
      </c>
      <c r="J15012" t="s">
        <v>1357</v>
      </c>
      <c r="K15012" t="s">
        <v>1357</v>
      </c>
      <c r="L15012" t="s">
        <v>1357</v>
      </c>
    </row>
    <row r="15013" spans="1:14">
      <c r="H15013" t="s">
        <v>24811</v>
      </c>
      <c r="I15013" t="s">
        <v>1357</v>
      </c>
      <c r="J15013" t="s">
        <v>1357</v>
      </c>
      <c r="K15013" t="s">
        <v>1357</v>
      </c>
      <c r="L15013" t="s">
        <v>1357</v>
      </c>
    </row>
    <row r="15014" spans="1:14">
      <c r="A15014" t="s">
        <v>11336</v>
      </c>
      <c r="B15014">
        <f>HYPERLINK("https://android.googlesource.com/platform/cts/+/6e0254906b8cd1e296efb1dfaa76c48d78cbf35a", "6e0254906b8cd1e296efb1dfaa76c48d78cbf35a")</f>
        <v>0</v>
      </c>
      <c r="C15014">
        <f>HYPERLINK("https://android.googlesource.com/platform/cts/+/f9e5832511aa4c940f88bd5df61ee3571a545a97", "f9e5832511aa4c940f88bd5df61ee3571a545a97")</f>
        <v>0</v>
      </c>
      <c r="D15014" t="s">
        <v>12370</v>
      </c>
      <c r="E15014" t="s">
        <v>13862</v>
      </c>
      <c r="F15014" t="s">
        <v>16883</v>
      </c>
      <c r="G15014" t="s">
        <v>19496</v>
      </c>
      <c r="H15014" t="s">
        <v>24812</v>
      </c>
      <c r="I15014" t="s">
        <v>1357</v>
      </c>
      <c r="J15014" t="s">
        <v>1357</v>
      </c>
      <c r="K15014" t="s">
        <v>1357</v>
      </c>
      <c r="L15014" t="s">
        <v>1357</v>
      </c>
    </row>
    <row r="15015" spans="1:14">
      <c r="A15015" t="s">
        <v>11337</v>
      </c>
      <c r="B15015">
        <f>HYPERLINK("https://android.googlesource.com/platform/cts/+/6e72bbb2fcc969f888b1fffb05794cb05fd032bb", "6e72bbb2fcc969f888b1fffb05794cb05fd032bb")</f>
        <v>0</v>
      </c>
      <c r="C15015">
        <f>HYPERLINK("https://android.googlesource.com/platform/cts/+/4e615d0683588ee85409b93d1f5d37dd51bbbec1", "4e615d0683588ee85409b93d1f5d37dd51bbbec1")</f>
        <v>0</v>
      </c>
      <c r="D15015" t="s">
        <v>12288</v>
      </c>
      <c r="E15015" t="s">
        <v>13847</v>
      </c>
      <c r="F15015" t="s">
        <v>16879</v>
      </c>
      <c r="G15015" t="s">
        <v>19492</v>
      </c>
      <c r="H15015" t="s">
        <v>24790</v>
      </c>
      <c r="I15015" t="s">
        <v>1357</v>
      </c>
      <c r="J15015" t="s">
        <v>1357</v>
      </c>
      <c r="K15015" t="s">
        <v>1357</v>
      </c>
      <c r="L15015" t="s">
        <v>1357</v>
      </c>
    </row>
    <row r="15016" spans="1:14">
      <c r="A15016" t="s">
        <v>11338</v>
      </c>
      <c r="B15016">
        <f>HYPERLINK("https://android.googlesource.com/platform/cts/+/16a1d099f104cf9f808c7925dd3251c2cc806a22", "16a1d099f104cf9f808c7925dd3251c2cc806a22")</f>
        <v>0</v>
      </c>
      <c r="C15016">
        <f>HYPERLINK("https://android.googlesource.com/platform/cts/+/3efeb79582d9555e8c9e9f286c17bd405d4cd159", "3efeb79582d9555e8c9e9f286c17bd405d4cd159")</f>
        <v>0</v>
      </c>
      <c r="D15016" t="s">
        <v>12371</v>
      </c>
      <c r="E15016" t="s">
        <v>13863</v>
      </c>
      <c r="F15016" t="s">
        <v>16048</v>
      </c>
      <c r="G15016" t="s">
        <v>18739</v>
      </c>
      <c r="H15016" t="s">
        <v>24813</v>
      </c>
      <c r="I15016" t="s">
        <v>1357</v>
      </c>
      <c r="J15016" t="s">
        <v>1357</v>
      </c>
      <c r="K15016" t="s">
        <v>1357</v>
      </c>
      <c r="L15016" t="s">
        <v>1357</v>
      </c>
    </row>
    <row r="15017" spans="1:14">
      <c r="A15017" t="s">
        <v>11339</v>
      </c>
      <c r="B15017">
        <f>HYPERLINK("https://android.googlesource.com/platform/cts/+/c0ce6574df7f69ef2edb923fc5ec0af4fb9266c9", "c0ce6574df7f69ef2edb923fc5ec0af4fb9266c9")</f>
        <v>0</v>
      </c>
      <c r="C15017">
        <f>HYPERLINK("https://android.googlesource.com/platform/cts/+/75b9a8634f166e9aa3bd3ea35d87738d71b999fb", "75b9a8634f166e9aa3bd3ea35d87738d71b999fb")</f>
        <v>0</v>
      </c>
      <c r="D15017" t="s">
        <v>12372</v>
      </c>
      <c r="E15017" t="s">
        <v>13864</v>
      </c>
      <c r="F15017" t="s">
        <v>16884</v>
      </c>
      <c r="G15017" t="s">
        <v>19497</v>
      </c>
      <c r="H15017" t="s">
        <v>24814</v>
      </c>
      <c r="I15017" t="s">
        <v>1357</v>
      </c>
      <c r="J15017" t="s">
        <v>1357</v>
      </c>
      <c r="K15017" t="s">
        <v>1357</v>
      </c>
      <c r="L15017" t="s">
        <v>1357</v>
      </c>
    </row>
    <row r="15018" spans="1:14">
      <c r="A15018" t="s">
        <v>11340</v>
      </c>
      <c r="B15018">
        <f>HYPERLINK("https://android.googlesource.com/platform/cts/+/0b3382a1e134746074f3afc2593039a38c41ab12", "0b3382a1e134746074f3afc2593039a38c41ab12")</f>
        <v>0</v>
      </c>
      <c r="C15018">
        <f>HYPERLINK("https://android.googlesource.com/platform/cts/+/41959ad743b2803898713da1e2d0a3e40ece7520", "41959ad743b2803898713da1e2d0a3e40ece7520")</f>
        <v>0</v>
      </c>
      <c r="D15018" t="s">
        <v>12246</v>
      </c>
      <c r="E15018" t="s">
        <v>13865</v>
      </c>
      <c r="F15018" t="s">
        <v>16885</v>
      </c>
      <c r="G15018" t="s">
        <v>19498</v>
      </c>
      <c r="H15018" t="s">
        <v>24815</v>
      </c>
      <c r="I15018" t="s">
        <v>1358</v>
      </c>
      <c r="J15018" t="s">
        <v>1358</v>
      </c>
      <c r="K15018" t="s">
        <v>1358</v>
      </c>
      <c r="L15018" t="s">
        <v>1358</v>
      </c>
      <c r="M15018" t="s">
        <v>27493</v>
      </c>
      <c r="N15018" t="s">
        <v>27531</v>
      </c>
    </row>
    <row r="15019" spans="1:14">
      <c r="H15019" t="s">
        <v>24816</v>
      </c>
      <c r="I15019" t="s">
        <v>1358</v>
      </c>
      <c r="J15019" t="s">
        <v>1358</v>
      </c>
      <c r="K15019" t="s">
        <v>1358</v>
      </c>
      <c r="L15019" t="s">
        <v>1358</v>
      </c>
      <c r="M15019" t="s">
        <v>27493</v>
      </c>
    </row>
    <row r="15020" spans="1:14">
      <c r="H15020" t="s">
        <v>24817</v>
      </c>
      <c r="I15020" t="s">
        <v>1358</v>
      </c>
      <c r="J15020" t="s">
        <v>1358</v>
      </c>
      <c r="K15020" t="s">
        <v>1358</v>
      </c>
      <c r="L15020" t="s">
        <v>1358</v>
      </c>
      <c r="M15020" t="s">
        <v>27493</v>
      </c>
    </row>
    <row r="15021" spans="1:14">
      <c r="H15021" t="s">
        <v>24818</v>
      </c>
      <c r="I15021" t="s">
        <v>1358</v>
      </c>
      <c r="J15021" t="s">
        <v>1358</v>
      </c>
      <c r="K15021" t="s">
        <v>1358</v>
      </c>
      <c r="L15021" t="s">
        <v>1358</v>
      </c>
      <c r="M15021" t="s">
        <v>27493</v>
      </c>
    </row>
    <row r="15022" spans="1:14">
      <c r="H15022" t="s">
        <v>24819</v>
      </c>
      <c r="I15022" t="s">
        <v>1358</v>
      </c>
      <c r="J15022" t="s">
        <v>1358</v>
      </c>
      <c r="K15022" t="s">
        <v>1358</v>
      </c>
      <c r="L15022" t="s">
        <v>1358</v>
      </c>
      <c r="M15022" t="s">
        <v>27493</v>
      </c>
    </row>
    <row r="15023" spans="1:14">
      <c r="H15023" t="s">
        <v>24820</v>
      </c>
      <c r="I15023" t="s">
        <v>1358</v>
      </c>
      <c r="J15023" t="s">
        <v>1358</v>
      </c>
      <c r="K15023" t="s">
        <v>1358</v>
      </c>
      <c r="L15023" t="s">
        <v>1358</v>
      </c>
      <c r="M15023" t="s">
        <v>27493</v>
      </c>
    </row>
    <row r="15024" spans="1:14">
      <c r="A15024" t="s">
        <v>11341</v>
      </c>
      <c r="B15024">
        <f>HYPERLINK("https://android.googlesource.com/platform/cts/+/bd6ac252660c6b78999a9bf7113640496f630331", "bd6ac252660c6b78999a9bf7113640496f630331")</f>
        <v>0</v>
      </c>
      <c r="C15024">
        <f>HYPERLINK("https://android.googlesource.com/platform/cts/+/b510e6c9d6fc2885f9730e860f5fa25ea843ac9d", "b510e6c9d6fc2885f9730e860f5fa25ea843ac9d")</f>
        <v>0</v>
      </c>
      <c r="D15024" t="s">
        <v>12372</v>
      </c>
      <c r="E15024" t="s">
        <v>13866</v>
      </c>
      <c r="F15024" t="s">
        <v>16884</v>
      </c>
      <c r="G15024" t="s">
        <v>19497</v>
      </c>
      <c r="H15024" t="s">
        <v>24821</v>
      </c>
      <c r="I15024" t="s">
        <v>1358</v>
      </c>
      <c r="J15024" t="s">
        <v>1358</v>
      </c>
      <c r="K15024" t="s">
        <v>1358</v>
      </c>
      <c r="L15024" t="s">
        <v>1358</v>
      </c>
      <c r="M15024" t="s">
        <v>27494</v>
      </c>
    </row>
    <row r="15025" spans="1:13">
      <c r="H15025" t="s">
        <v>24814</v>
      </c>
      <c r="I15025" t="s">
        <v>1357</v>
      </c>
      <c r="J15025" t="s">
        <v>1357</v>
      </c>
      <c r="K15025" t="s">
        <v>1357</v>
      </c>
      <c r="L15025" t="s">
        <v>1357</v>
      </c>
    </row>
    <row r="15026" spans="1:13">
      <c r="A15026" t="s">
        <v>11342</v>
      </c>
      <c r="B15026">
        <f>HYPERLINK("https://android.googlesource.com/platform/cts/+/cea8b19c53ee7724ffd1804971ec952f910970a6", "cea8b19c53ee7724ffd1804971ec952f910970a6")</f>
        <v>0</v>
      </c>
      <c r="C15026">
        <f>HYPERLINK("https://android.googlesource.com/platform/cts/+/1755cc13b3651b08ac6d2eb2215fd952dcb244bd", "1755cc13b3651b08ac6d2eb2215fd952dcb244bd")</f>
        <v>0</v>
      </c>
      <c r="D15026" t="s">
        <v>12372</v>
      </c>
      <c r="E15026" t="s">
        <v>13866</v>
      </c>
      <c r="F15026" t="s">
        <v>16884</v>
      </c>
      <c r="G15026" t="s">
        <v>19497</v>
      </c>
      <c r="H15026" t="s">
        <v>24821</v>
      </c>
      <c r="I15026" t="s">
        <v>1357</v>
      </c>
      <c r="J15026" t="s">
        <v>1357</v>
      </c>
      <c r="K15026" t="s">
        <v>1357</v>
      </c>
      <c r="L15026" t="s">
        <v>1357</v>
      </c>
      <c r="M15026" t="s">
        <v>9957</v>
      </c>
    </row>
    <row r="15027" spans="1:13">
      <c r="H15027" t="s">
        <v>24814</v>
      </c>
      <c r="I15027" t="s">
        <v>1357</v>
      </c>
      <c r="J15027" t="s">
        <v>1357</v>
      </c>
      <c r="K15027" t="s">
        <v>1357</v>
      </c>
      <c r="L15027" t="s">
        <v>1357</v>
      </c>
    </row>
    <row r="15028" spans="1:13">
      <c r="A15028" t="s">
        <v>11343</v>
      </c>
      <c r="B15028">
        <f>HYPERLINK("https://android.googlesource.com/platform/cts/+/aba7075fea7a761b796240fcd6142f142e6819ab", "aba7075fea7a761b796240fcd6142f142e6819ab")</f>
        <v>0</v>
      </c>
      <c r="C15028">
        <f>HYPERLINK("https://android.googlesource.com/platform/cts/+/df8182e6332b1dfb0d35d81daf0d8ffc93b93ad5", "df8182e6332b1dfb0d35d81daf0d8ffc93b93ad5")</f>
        <v>0</v>
      </c>
      <c r="D15028" t="s">
        <v>12047</v>
      </c>
      <c r="E15028" t="s">
        <v>13867</v>
      </c>
      <c r="F15028" t="s">
        <v>16886</v>
      </c>
      <c r="G15028" t="s">
        <v>19499</v>
      </c>
      <c r="H15028" t="s">
        <v>24822</v>
      </c>
      <c r="I15028" t="s">
        <v>1357</v>
      </c>
      <c r="J15028" t="s">
        <v>1357</v>
      </c>
      <c r="K15028" t="s">
        <v>1357</v>
      </c>
      <c r="L15028" t="s">
        <v>1357</v>
      </c>
    </row>
    <row r="15029" spans="1:13">
      <c r="H15029" t="s">
        <v>24823</v>
      </c>
      <c r="I15029" t="s">
        <v>1357</v>
      </c>
      <c r="J15029" t="s">
        <v>1357</v>
      </c>
      <c r="K15029" t="s">
        <v>1357</v>
      </c>
      <c r="L15029" t="s">
        <v>1357</v>
      </c>
    </row>
    <row r="15030" spans="1:13">
      <c r="H15030" t="s">
        <v>24824</v>
      </c>
      <c r="I15030" t="s">
        <v>1357</v>
      </c>
      <c r="J15030" t="s">
        <v>1357</v>
      </c>
      <c r="K15030" t="s">
        <v>1357</v>
      </c>
      <c r="L15030" t="s">
        <v>1357</v>
      </c>
    </row>
    <row r="15031" spans="1:13">
      <c r="H15031" t="s">
        <v>24825</v>
      </c>
      <c r="I15031" t="s">
        <v>1357</v>
      </c>
      <c r="J15031" t="s">
        <v>1357</v>
      </c>
      <c r="K15031" t="s">
        <v>1357</v>
      </c>
      <c r="L15031" t="s">
        <v>1357</v>
      </c>
    </row>
    <row r="15032" spans="1:13">
      <c r="H15032" t="s">
        <v>24826</v>
      </c>
      <c r="I15032" t="s">
        <v>1357</v>
      </c>
      <c r="J15032" t="s">
        <v>1357</v>
      </c>
      <c r="K15032" t="s">
        <v>1357</v>
      </c>
      <c r="L15032" t="s">
        <v>1357</v>
      </c>
    </row>
    <row r="15033" spans="1:13">
      <c r="H15033" t="s">
        <v>24827</v>
      </c>
      <c r="I15033" t="s">
        <v>1357</v>
      </c>
      <c r="J15033" t="s">
        <v>1357</v>
      </c>
      <c r="K15033" t="s">
        <v>1357</v>
      </c>
      <c r="L15033" t="s">
        <v>1357</v>
      </c>
    </row>
    <row r="15034" spans="1:13">
      <c r="H15034" t="s">
        <v>24828</v>
      </c>
      <c r="I15034" t="s">
        <v>1357</v>
      </c>
      <c r="J15034" t="s">
        <v>1357</v>
      </c>
      <c r="K15034" t="s">
        <v>1357</v>
      </c>
      <c r="L15034" t="s">
        <v>1357</v>
      </c>
    </row>
    <row r="15035" spans="1:13">
      <c r="H15035" t="s">
        <v>24829</v>
      </c>
      <c r="I15035" t="s">
        <v>1357</v>
      </c>
      <c r="J15035" t="s">
        <v>1357</v>
      </c>
      <c r="K15035" t="s">
        <v>1357</v>
      </c>
      <c r="L15035" t="s">
        <v>1357</v>
      </c>
    </row>
    <row r="15036" spans="1:13">
      <c r="H15036" t="s">
        <v>24830</v>
      </c>
      <c r="I15036" t="s">
        <v>1357</v>
      </c>
      <c r="J15036" t="s">
        <v>1357</v>
      </c>
      <c r="K15036" t="s">
        <v>1357</v>
      </c>
      <c r="L15036" t="s">
        <v>1357</v>
      </c>
    </row>
    <row r="15037" spans="1:13">
      <c r="H15037" t="s">
        <v>24831</v>
      </c>
      <c r="I15037" t="s">
        <v>1357</v>
      </c>
      <c r="J15037" t="s">
        <v>1357</v>
      </c>
      <c r="K15037" t="s">
        <v>1357</v>
      </c>
      <c r="L15037" t="s">
        <v>1357</v>
      </c>
    </row>
    <row r="15038" spans="1:13">
      <c r="H15038" t="s">
        <v>24832</v>
      </c>
      <c r="I15038" t="s">
        <v>1357</v>
      </c>
      <c r="J15038" t="s">
        <v>1357</v>
      </c>
      <c r="K15038" t="s">
        <v>1357</v>
      </c>
      <c r="L15038" t="s">
        <v>1357</v>
      </c>
    </row>
    <row r="15039" spans="1:13">
      <c r="H15039" t="s">
        <v>24833</v>
      </c>
      <c r="I15039" t="s">
        <v>1357</v>
      </c>
      <c r="J15039" t="s">
        <v>1357</v>
      </c>
      <c r="K15039" t="s">
        <v>1357</v>
      </c>
      <c r="L15039" t="s">
        <v>1357</v>
      </c>
    </row>
    <row r="15040" spans="1:13">
      <c r="H15040" t="s">
        <v>24834</v>
      </c>
      <c r="I15040" t="s">
        <v>1357</v>
      </c>
      <c r="J15040" t="s">
        <v>1357</v>
      </c>
      <c r="K15040" t="s">
        <v>1357</v>
      </c>
      <c r="L15040" t="s">
        <v>1357</v>
      </c>
    </row>
    <row r="15041" spans="1:13">
      <c r="H15041" t="s">
        <v>24835</v>
      </c>
      <c r="I15041" t="s">
        <v>1357</v>
      </c>
      <c r="J15041" t="s">
        <v>1357</v>
      </c>
      <c r="K15041" t="s">
        <v>1357</v>
      </c>
      <c r="L15041" t="s">
        <v>1357</v>
      </c>
    </row>
    <row r="15042" spans="1:13">
      <c r="H15042" t="s">
        <v>24836</v>
      </c>
      <c r="I15042" t="s">
        <v>1357</v>
      </c>
      <c r="J15042" t="s">
        <v>1357</v>
      </c>
      <c r="K15042" t="s">
        <v>1357</v>
      </c>
      <c r="L15042" t="s">
        <v>1357</v>
      </c>
    </row>
    <row r="15043" spans="1:13">
      <c r="H15043" t="s">
        <v>24837</v>
      </c>
      <c r="I15043" t="s">
        <v>1357</v>
      </c>
      <c r="J15043" t="s">
        <v>1357</v>
      </c>
      <c r="K15043" t="s">
        <v>1357</v>
      </c>
      <c r="L15043" t="s">
        <v>1357</v>
      </c>
    </row>
    <row r="15044" spans="1:13">
      <c r="H15044" t="s">
        <v>24838</v>
      </c>
      <c r="I15044" t="s">
        <v>1357</v>
      </c>
      <c r="J15044" t="s">
        <v>1357</v>
      </c>
      <c r="K15044" t="s">
        <v>1357</v>
      </c>
      <c r="L15044" t="s">
        <v>1357</v>
      </c>
    </row>
    <row r="15045" spans="1:13">
      <c r="H15045" t="s">
        <v>24839</v>
      </c>
      <c r="I15045" t="s">
        <v>1357</v>
      </c>
      <c r="J15045" t="s">
        <v>1357</v>
      </c>
      <c r="K15045" t="s">
        <v>1357</v>
      </c>
      <c r="L15045" t="s">
        <v>1357</v>
      </c>
    </row>
    <row r="15046" spans="1:13">
      <c r="H15046" t="s">
        <v>24840</v>
      </c>
      <c r="I15046" t="s">
        <v>1357</v>
      </c>
      <c r="J15046" t="s">
        <v>1357</v>
      </c>
      <c r="K15046" t="s">
        <v>1357</v>
      </c>
      <c r="L15046" t="s">
        <v>1357</v>
      </c>
    </row>
    <row r="15047" spans="1:13">
      <c r="H15047" t="s">
        <v>24841</v>
      </c>
      <c r="I15047" t="s">
        <v>1357</v>
      </c>
      <c r="J15047" t="s">
        <v>1357</v>
      </c>
      <c r="K15047" t="s">
        <v>1357</v>
      </c>
      <c r="L15047" t="s">
        <v>1357</v>
      </c>
    </row>
    <row r="15048" spans="1:13">
      <c r="A15048" t="s">
        <v>11344</v>
      </c>
      <c r="B15048">
        <f>HYPERLINK("https://android.googlesource.com/platform/cts/+/b247239cffdba7a9767a21ca6dc31755e782160c", "b247239cffdba7a9767a21ca6dc31755e782160c")</f>
        <v>0</v>
      </c>
      <c r="C15048">
        <f>HYPERLINK("https://android.googlesource.com/platform/cts/+/5f66384c4b5b90b642edc1be1d2f1eee2b705030", "5f66384c4b5b90b642edc1be1d2f1eee2b705030")</f>
        <v>0</v>
      </c>
      <c r="D15048" t="s">
        <v>12367</v>
      </c>
      <c r="E15048" t="s">
        <v>13868</v>
      </c>
      <c r="F15048" t="s">
        <v>16887</v>
      </c>
      <c r="G15048" t="s">
        <v>19500</v>
      </c>
      <c r="H15048" t="s">
        <v>24842</v>
      </c>
      <c r="I15048" t="s">
        <v>1357</v>
      </c>
      <c r="J15048" t="s">
        <v>1357</v>
      </c>
      <c r="K15048" t="s">
        <v>1357</v>
      </c>
      <c r="L15048" t="s">
        <v>1357</v>
      </c>
    </row>
    <row r="15049" spans="1:13">
      <c r="A15049" t="s">
        <v>11345</v>
      </c>
      <c r="B15049">
        <f>HYPERLINK("https://android.googlesource.com/platform/cts/+/9c5e09e7512100b305c603f3ede5da4a1237ce81", "9c5e09e7512100b305c603f3ede5da4a1237ce81")</f>
        <v>0</v>
      </c>
      <c r="C15049">
        <f>HYPERLINK("https://android.googlesource.com/platform/cts/+/46c062a108656aaf7a9f29b05fba464c077a2e4c", "46c062a108656aaf7a9f29b05fba464c077a2e4c")</f>
        <v>0</v>
      </c>
      <c r="D15049" t="s">
        <v>12163</v>
      </c>
      <c r="E15049" t="s">
        <v>13869</v>
      </c>
      <c r="F15049" t="s">
        <v>16888</v>
      </c>
      <c r="G15049" t="s">
        <v>19501</v>
      </c>
      <c r="H15049" t="s">
        <v>24843</v>
      </c>
      <c r="I15049" t="s">
        <v>1357</v>
      </c>
      <c r="J15049" t="s">
        <v>1357</v>
      </c>
      <c r="K15049" t="s">
        <v>1357</v>
      </c>
      <c r="L15049" t="s">
        <v>1357</v>
      </c>
    </row>
    <row r="15050" spans="1:13">
      <c r="A15050" t="s">
        <v>11346</v>
      </c>
      <c r="B15050">
        <f>HYPERLINK("https://android.googlesource.com/platform/cts/+/8eac859d54c1ca82ed472c2126c0bfe88abef302", "8eac859d54c1ca82ed472c2126c0bfe88abef302")</f>
        <v>0</v>
      </c>
      <c r="C15050">
        <f>HYPERLINK("https://android.googlesource.com/platform/cts/+/df897bd993d9df6d49d183cfe4bf2a37b8ba5057", "df897bd993d9df6d49d183cfe4bf2a37b8ba5057")</f>
        <v>0</v>
      </c>
      <c r="D15050" t="s">
        <v>12163</v>
      </c>
      <c r="E15050" t="s">
        <v>13869</v>
      </c>
      <c r="F15050" t="s">
        <v>16888</v>
      </c>
      <c r="G15050" t="s">
        <v>19501</v>
      </c>
      <c r="H15050" t="s">
        <v>24843</v>
      </c>
      <c r="I15050" t="s">
        <v>1357</v>
      </c>
      <c r="J15050" t="s">
        <v>1357</v>
      </c>
      <c r="K15050" t="s">
        <v>1357</v>
      </c>
      <c r="L15050" t="s">
        <v>1357</v>
      </c>
      <c r="M15050" t="s">
        <v>9957</v>
      </c>
    </row>
    <row r="15051" spans="1:13">
      <c r="A15051" t="s">
        <v>11347</v>
      </c>
      <c r="B15051">
        <f>HYPERLINK("https://android.googlesource.com/platform/cts/+/bd1f1a2cdb8e11fd85d10a8ead341d49a2d0c8a6", "bd1f1a2cdb8e11fd85d10a8ead341d49a2d0c8a6")</f>
        <v>0</v>
      </c>
      <c r="C15051">
        <f>HYPERLINK("https://android.googlesource.com/platform/cts/+/e818b872a5e5317393cfe2d861f65bad4526cbcd", "e818b872a5e5317393cfe2d861f65bad4526cbcd")</f>
        <v>0</v>
      </c>
      <c r="D15051" t="s">
        <v>12163</v>
      </c>
      <c r="E15051" t="s">
        <v>13870</v>
      </c>
      <c r="F15051" t="s">
        <v>16888</v>
      </c>
      <c r="G15051" t="s">
        <v>19501</v>
      </c>
      <c r="H15051" t="s">
        <v>24843</v>
      </c>
      <c r="I15051" t="s">
        <v>1357</v>
      </c>
      <c r="J15051" t="s">
        <v>1357</v>
      </c>
      <c r="K15051" t="s">
        <v>1357</v>
      </c>
      <c r="L15051" t="s">
        <v>1357</v>
      </c>
      <c r="M15051" t="s">
        <v>9957</v>
      </c>
    </row>
    <row r="15052" spans="1:13">
      <c r="A15052" t="s">
        <v>11348</v>
      </c>
      <c r="B15052">
        <f>HYPERLINK("https://android.googlesource.com/platform/cts/+/9d8153a667d44deb0d5f021250112593988d2fd9", "9d8153a667d44deb0d5f021250112593988d2fd9")</f>
        <v>0</v>
      </c>
      <c r="C15052">
        <f>HYPERLINK("https://android.googlesource.com/platform/cts/+/63c138cb1c0867ddb693f87f801097f58e840dc1", "63c138cb1c0867ddb693f87f801097f58e840dc1")</f>
        <v>0</v>
      </c>
      <c r="D15052" t="s">
        <v>12373</v>
      </c>
      <c r="E15052" t="s">
        <v>13871</v>
      </c>
      <c r="F15052" t="s">
        <v>16889</v>
      </c>
      <c r="G15052" t="s">
        <v>19502</v>
      </c>
      <c r="H15052" t="s">
        <v>24844</v>
      </c>
      <c r="I15052" t="s">
        <v>1357</v>
      </c>
      <c r="J15052" t="s">
        <v>1357</v>
      </c>
      <c r="K15052" t="s">
        <v>1357</v>
      </c>
      <c r="L15052" t="s">
        <v>1357</v>
      </c>
    </row>
    <row r="15053" spans="1:13">
      <c r="H15053" t="s">
        <v>24845</v>
      </c>
      <c r="I15053" t="s">
        <v>1357</v>
      </c>
      <c r="J15053" t="s">
        <v>1357</v>
      </c>
      <c r="K15053" t="s">
        <v>1357</v>
      </c>
      <c r="L15053" t="s">
        <v>1357</v>
      </c>
    </row>
    <row r="15054" spans="1:13">
      <c r="H15054" t="s">
        <v>24846</v>
      </c>
      <c r="I15054" t="s">
        <v>1357</v>
      </c>
      <c r="J15054" t="s">
        <v>1357</v>
      </c>
      <c r="K15054" t="s">
        <v>1357</v>
      </c>
      <c r="L15054" t="s">
        <v>1357</v>
      </c>
    </row>
    <row r="15055" spans="1:13">
      <c r="H15055" t="s">
        <v>24847</v>
      </c>
      <c r="I15055" t="s">
        <v>1357</v>
      </c>
      <c r="J15055" t="s">
        <v>1357</v>
      </c>
      <c r="K15055" t="s">
        <v>1357</v>
      </c>
      <c r="L15055" t="s">
        <v>1357</v>
      </c>
    </row>
    <row r="15056" spans="1:13">
      <c r="H15056" t="s">
        <v>24848</v>
      </c>
      <c r="I15056" t="s">
        <v>1357</v>
      </c>
      <c r="J15056" t="s">
        <v>1357</v>
      </c>
      <c r="K15056" t="s">
        <v>1357</v>
      </c>
      <c r="L15056" t="s">
        <v>1357</v>
      </c>
    </row>
    <row r="15057" spans="8:12">
      <c r="H15057" t="s">
        <v>24849</v>
      </c>
      <c r="I15057" t="s">
        <v>1357</v>
      </c>
      <c r="J15057" t="s">
        <v>1357</v>
      </c>
      <c r="K15057" t="s">
        <v>1357</v>
      </c>
      <c r="L15057" t="s">
        <v>1357</v>
      </c>
    </row>
    <row r="15058" spans="8:12">
      <c r="H15058" t="s">
        <v>24850</v>
      </c>
      <c r="I15058" t="s">
        <v>1357</v>
      </c>
      <c r="J15058" t="s">
        <v>1357</v>
      </c>
      <c r="K15058" t="s">
        <v>1357</v>
      </c>
      <c r="L15058" t="s">
        <v>1357</v>
      </c>
    </row>
    <row r="15059" spans="8:12">
      <c r="H15059" t="s">
        <v>24851</v>
      </c>
      <c r="I15059" t="s">
        <v>1357</v>
      </c>
      <c r="J15059" t="s">
        <v>1357</v>
      </c>
      <c r="K15059" t="s">
        <v>1357</v>
      </c>
      <c r="L15059" t="s">
        <v>1357</v>
      </c>
    </row>
    <row r="15060" spans="8:12">
      <c r="H15060" t="s">
        <v>24852</v>
      </c>
      <c r="I15060" t="s">
        <v>1357</v>
      </c>
      <c r="J15060" t="s">
        <v>1357</v>
      </c>
      <c r="K15060" t="s">
        <v>1357</v>
      </c>
      <c r="L15060" t="s">
        <v>1357</v>
      </c>
    </row>
    <row r="15061" spans="8:12">
      <c r="H15061" t="s">
        <v>24853</v>
      </c>
      <c r="I15061" t="s">
        <v>1357</v>
      </c>
      <c r="J15061" t="s">
        <v>1357</v>
      </c>
      <c r="K15061" t="s">
        <v>1357</v>
      </c>
      <c r="L15061" t="s">
        <v>1357</v>
      </c>
    </row>
    <row r="15062" spans="8:12">
      <c r="H15062" t="s">
        <v>24854</v>
      </c>
      <c r="I15062" t="s">
        <v>1357</v>
      </c>
      <c r="J15062" t="s">
        <v>1357</v>
      </c>
      <c r="K15062" t="s">
        <v>1357</v>
      </c>
      <c r="L15062" t="s">
        <v>1357</v>
      </c>
    </row>
    <row r="15063" spans="8:12">
      <c r="H15063" t="s">
        <v>24855</v>
      </c>
      <c r="I15063" t="s">
        <v>1357</v>
      </c>
      <c r="J15063" t="s">
        <v>1357</v>
      </c>
      <c r="K15063" t="s">
        <v>1357</v>
      </c>
      <c r="L15063" t="s">
        <v>1357</v>
      </c>
    </row>
    <row r="15064" spans="8:12">
      <c r="H15064" t="s">
        <v>24856</v>
      </c>
      <c r="I15064" t="s">
        <v>1357</v>
      </c>
      <c r="J15064" t="s">
        <v>1357</v>
      </c>
      <c r="K15064" t="s">
        <v>1357</v>
      </c>
      <c r="L15064" t="s">
        <v>1357</v>
      </c>
    </row>
    <row r="15065" spans="8:12">
      <c r="H15065" t="s">
        <v>24857</v>
      </c>
      <c r="I15065" t="s">
        <v>1357</v>
      </c>
      <c r="J15065" t="s">
        <v>1357</v>
      </c>
      <c r="K15065" t="s">
        <v>1357</v>
      </c>
      <c r="L15065" t="s">
        <v>1357</v>
      </c>
    </row>
    <row r="15066" spans="8:12">
      <c r="H15066" t="s">
        <v>24858</v>
      </c>
      <c r="I15066" t="s">
        <v>1357</v>
      </c>
      <c r="J15066" t="s">
        <v>1357</v>
      </c>
      <c r="K15066" t="s">
        <v>1357</v>
      </c>
      <c r="L15066" t="s">
        <v>1357</v>
      </c>
    </row>
    <row r="15067" spans="8:12">
      <c r="H15067" t="s">
        <v>24859</v>
      </c>
      <c r="I15067" t="s">
        <v>1357</v>
      </c>
      <c r="J15067" t="s">
        <v>1357</v>
      </c>
      <c r="K15067" t="s">
        <v>1357</v>
      </c>
      <c r="L15067" t="s">
        <v>1357</v>
      </c>
    </row>
    <row r="15068" spans="8:12">
      <c r="H15068" t="s">
        <v>24860</v>
      </c>
      <c r="I15068" t="s">
        <v>1357</v>
      </c>
      <c r="J15068" t="s">
        <v>1357</v>
      </c>
      <c r="K15068" t="s">
        <v>1357</v>
      </c>
      <c r="L15068" t="s">
        <v>1357</v>
      </c>
    </row>
    <row r="15069" spans="8:12">
      <c r="H15069" t="s">
        <v>24861</v>
      </c>
      <c r="I15069" t="s">
        <v>1357</v>
      </c>
      <c r="J15069" t="s">
        <v>1357</v>
      </c>
      <c r="K15069" t="s">
        <v>1357</v>
      </c>
      <c r="L15069" t="s">
        <v>1357</v>
      </c>
    </row>
    <row r="15070" spans="8:12">
      <c r="H15070" t="s">
        <v>24862</v>
      </c>
      <c r="I15070" t="s">
        <v>1357</v>
      </c>
      <c r="J15070" t="s">
        <v>1357</v>
      </c>
      <c r="K15070" t="s">
        <v>1357</v>
      </c>
      <c r="L15070" t="s">
        <v>1357</v>
      </c>
    </row>
    <row r="15071" spans="8:12">
      <c r="H15071" t="s">
        <v>24863</v>
      </c>
      <c r="I15071" t="s">
        <v>1357</v>
      </c>
      <c r="J15071" t="s">
        <v>1357</v>
      </c>
      <c r="K15071" t="s">
        <v>1357</v>
      </c>
      <c r="L15071" t="s">
        <v>1357</v>
      </c>
    </row>
    <row r="15072" spans="8:12">
      <c r="H15072" t="s">
        <v>24864</v>
      </c>
      <c r="I15072" t="s">
        <v>1357</v>
      </c>
      <c r="J15072" t="s">
        <v>1357</v>
      </c>
      <c r="K15072" t="s">
        <v>1357</v>
      </c>
      <c r="L15072" t="s">
        <v>1357</v>
      </c>
    </row>
    <row r="15073" spans="1:13">
      <c r="H15073" t="s">
        <v>24865</v>
      </c>
      <c r="I15073" t="s">
        <v>1357</v>
      </c>
      <c r="J15073" t="s">
        <v>1357</v>
      </c>
      <c r="K15073" t="s">
        <v>1357</v>
      </c>
      <c r="L15073" t="s">
        <v>1357</v>
      </c>
    </row>
    <row r="15074" spans="1:13">
      <c r="H15074" t="s">
        <v>24866</v>
      </c>
      <c r="I15074" t="s">
        <v>1357</v>
      </c>
      <c r="J15074" t="s">
        <v>1357</v>
      </c>
      <c r="K15074" t="s">
        <v>1357</v>
      </c>
      <c r="L15074" t="s">
        <v>1357</v>
      </c>
    </row>
    <row r="15075" spans="1:13">
      <c r="A15075" t="s">
        <v>11349</v>
      </c>
      <c r="B15075">
        <f>HYPERLINK("https://android.googlesource.com/platform/cts/+/fceba2788d94937297abc9b24f0d7778ef24e6b0", "fceba2788d94937297abc9b24f0d7778ef24e6b0")</f>
        <v>0</v>
      </c>
      <c r="C15075">
        <f>HYPERLINK("https://android.googlesource.com/platform/cts/+/732e8c0a45377477346c270a2bc46ec3f0bd220f", "732e8c0a45377477346c270a2bc46ec3f0bd220f")</f>
        <v>0</v>
      </c>
      <c r="D15075" t="s">
        <v>12360</v>
      </c>
      <c r="E15075" t="s">
        <v>13872</v>
      </c>
      <c r="F15075" t="s">
        <v>16745</v>
      </c>
      <c r="G15075" t="s">
        <v>19374</v>
      </c>
      <c r="H15075" t="s">
        <v>24867</v>
      </c>
      <c r="I15075" t="s">
        <v>1357</v>
      </c>
      <c r="J15075" t="s">
        <v>1357</v>
      </c>
      <c r="K15075" t="s">
        <v>1357</v>
      </c>
      <c r="L15075" t="s">
        <v>1357</v>
      </c>
    </row>
    <row r="15076" spans="1:13">
      <c r="A15076" t="s">
        <v>11350</v>
      </c>
      <c r="B15076">
        <f>HYPERLINK("https://android.googlesource.com/platform/cts/+/7b408341bae581d6e7c42da9220c05192d47f9d4", "7b408341bae581d6e7c42da9220c05192d47f9d4")</f>
        <v>0</v>
      </c>
      <c r="C15076">
        <f>HYPERLINK("https://android.googlesource.com/platform/cts/+/b5f3746ea912fc0e96070d5f205e703ba2e24535", "b5f3746ea912fc0e96070d5f205e703ba2e24535")</f>
        <v>0</v>
      </c>
      <c r="D15076" t="s">
        <v>12360</v>
      </c>
      <c r="E15076" t="s">
        <v>13873</v>
      </c>
      <c r="F15076" t="s">
        <v>16745</v>
      </c>
      <c r="G15076" t="s">
        <v>19374</v>
      </c>
      <c r="H15076" t="s">
        <v>24867</v>
      </c>
      <c r="I15076" t="s">
        <v>1357</v>
      </c>
      <c r="J15076" t="s">
        <v>1357</v>
      </c>
      <c r="K15076" t="s">
        <v>1357</v>
      </c>
      <c r="L15076" t="s">
        <v>1357</v>
      </c>
      <c r="M15076" t="s">
        <v>9957</v>
      </c>
    </row>
    <row r="15077" spans="1:13">
      <c r="A15077" t="s">
        <v>11351</v>
      </c>
      <c r="B15077">
        <f>HYPERLINK("https://android.googlesource.com/platform/cts/+/6821fbe308db9f18b9a70cc2f2a011b703cdc754", "6821fbe308db9f18b9a70cc2f2a011b703cdc754")</f>
        <v>0</v>
      </c>
      <c r="C15077">
        <f>HYPERLINK("https://android.googlesource.com/platform/cts/+/3413f284a5c3090c963ad2be81eac497d1bed564", "3413f284a5c3090c963ad2be81eac497d1bed564")</f>
        <v>0</v>
      </c>
      <c r="D15077" t="s">
        <v>12309</v>
      </c>
      <c r="E15077" t="s">
        <v>13874</v>
      </c>
      <c r="F15077" t="s">
        <v>16727</v>
      </c>
      <c r="G15077" t="s">
        <v>19358</v>
      </c>
      <c r="H15077" t="s">
        <v>24868</v>
      </c>
      <c r="I15077" t="s">
        <v>1357</v>
      </c>
      <c r="J15077" t="s">
        <v>1357</v>
      </c>
      <c r="K15077" t="s">
        <v>1357</v>
      </c>
      <c r="L15077" t="s">
        <v>1357</v>
      </c>
    </row>
    <row r="15078" spans="1:13">
      <c r="A15078" t="s">
        <v>11352</v>
      </c>
      <c r="B15078">
        <f>HYPERLINK("https://android.googlesource.com/platform/cts/+/fd069513059a6263ec30632df578b2025a678e35", "fd069513059a6263ec30632df578b2025a678e35")</f>
        <v>0</v>
      </c>
      <c r="C15078">
        <f>HYPERLINK("https://android.googlesource.com/platform/cts/+/dc5c2a4cf56e5327fecd30fe67e4e99987ce5356", "dc5c2a4cf56e5327fecd30fe67e4e99987ce5356")</f>
        <v>0</v>
      </c>
      <c r="D15078" t="s">
        <v>12374</v>
      </c>
      <c r="E15078" t="s">
        <v>13875</v>
      </c>
      <c r="F15078" t="s">
        <v>16890</v>
      </c>
      <c r="G15078" t="s">
        <v>19503</v>
      </c>
      <c r="H15078" t="s">
        <v>24869</v>
      </c>
      <c r="I15078" t="s">
        <v>1357</v>
      </c>
      <c r="J15078" t="s">
        <v>1357</v>
      </c>
      <c r="K15078" t="s">
        <v>1357</v>
      </c>
      <c r="L15078" t="s">
        <v>1357</v>
      </c>
    </row>
    <row r="15079" spans="1:13">
      <c r="F15079" t="s">
        <v>16891</v>
      </c>
      <c r="G15079" t="s">
        <v>19504</v>
      </c>
      <c r="H15079" t="s">
        <v>24869</v>
      </c>
      <c r="I15079" t="s">
        <v>1357</v>
      </c>
      <c r="J15079" t="s">
        <v>1357</v>
      </c>
      <c r="K15079" t="s">
        <v>1357</v>
      </c>
      <c r="L15079" t="s">
        <v>1357</v>
      </c>
    </row>
    <row r="15080" spans="1:13">
      <c r="A15080" t="s">
        <v>11353</v>
      </c>
      <c r="B15080">
        <f>HYPERLINK("https://android.googlesource.com/platform/cts/+/6fa0df9701ea7f3fb9b5d4742e6b26afc702c8f9", "6fa0df9701ea7f3fb9b5d4742e6b26afc702c8f9")</f>
        <v>0</v>
      </c>
      <c r="C15080">
        <f>HYPERLINK("https://android.googlesource.com/platform/cts/+/87564f017b250700e13b9e39909b8406253d2533", "87564f017b250700e13b9e39909b8406253d2533")</f>
        <v>0</v>
      </c>
      <c r="D15080" t="s">
        <v>12212</v>
      </c>
      <c r="E15080" t="s">
        <v>13876</v>
      </c>
      <c r="F15080" t="s">
        <v>16748</v>
      </c>
      <c r="G15080" t="s">
        <v>19377</v>
      </c>
      <c r="H15080" t="s">
        <v>24870</v>
      </c>
      <c r="I15080" t="s">
        <v>1357</v>
      </c>
      <c r="J15080" t="s">
        <v>1357</v>
      </c>
      <c r="K15080" t="s">
        <v>1357</v>
      </c>
      <c r="L15080" t="s">
        <v>1357</v>
      </c>
    </row>
    <row r="15081" spans="1:13">
      <c r="H15081" t="s">
        <v>24871</v>
      </c>
      <c r="I15081" t="s">
        <v>1357</v>
      </c>
      <c r="J15081" t="s">
        <v>1357</v>
      </c>
      <c r="K15081" t="s">
        <v>1357</v>
      </c>
      <c r="L15081" t="s">
        <v>1357</v>
      </c>
    </row>
    <row r="15082" spans="1:13">
      <c r="H15082" t="s">
        <v>24872</v>
      </c>
      <c r="I15082" t="s">
        <v>1357</v>
      </c>
      <c r="J15082" t="s">
        <v>1357</v>
      </c>
      <c r="K15082" t="s">
        <v>1357</v>
      </c>
      <c r="L15082" t="s">
        <v>1357</v>
      </c>
    </row>
    <row r="15083" spans="1:13">
      <c r="H15083" t="s">
        <v>24873</v>
      </c>
      <c r="I15083" t="s">
        <v>1357</v>
      </c>
      <c r="J15083" t="s">
        <v>1357</v>
      </c>
      <c r="K15083" t="s">
        <v>1357</v>
      </c>
      <c r="L15083" t="s">
        <v>1357</v>
      </c>
    </row>
    <row r="15084" spans="1:13">
      <c r="H15084" t="s">
        <v>24874</v>
      </c>
      <c r="I15084" t="s">
        <v>1357</v>
      </c>
      <c r="J15084" t="s">
        <v>1357</v>
      </c>
      <c r="K15084" t="s">
        <v>1357</v>
      </c>
      <c r="L15084" t="s">
        <v>1357</v>
      </c>
    </row>
    <row r="15085" spans="1:13">
      <c r="H15085" t="s">
        <v>24875</v>
      </c>
      <c r="I15085" t="s">
        <v>1357</v>
      </c>
      <c r="J15085" t="s">
        <v>1357</v>
      </c>
      <c r="K15085" t="s">
        <v>1357</v>
      </c>
      <c r="L15085" t="s">
        <v>1357</v>
      </c>
    </row>
    <row r="15086" spans="1:13">
      <c r="H15086" t="s">
        <v>24876</v>
      </c>
      <c r="I15086" t="s">
        <v>1357</v>
      </c>
      <c r="J15086" t="s">
        <v>1357</v>
      </c>
      <c r="K15086" t="s">
        <v>1357</v>
      </c>
      <c r="L15086" t="s">
        <v>1357</v>
      </c>
    </row>
    <row r="15087" spans="1:13">
      <c r="H15087" t="s">
        <v>24877</v>
      </c>
      <c r="I15087" t="s">
        <v>1357</v>
      </c>
      <c r="J15087" t="s">
        <v>1357</v>
      </c>
      <c r="K15087" t="s">
        <v>1357</v>
      </c>
      <c r="L15087" t="s">
        <v>1357</v>
      </c>
    </row>
    <row r="15088" spans="1:13">
      <c r="H15088" t="s">
        <v>24878</v>
      </c>
      <c r="I15088" t="s">
        <v>1357</v>
      </c>
      <c r="J15088" t="s">
        <v>1357</v>
      </c>
      <c r="K15088" t="s">
        <v>1357</v>
      </c>
      <c r="L15088" t="s">
        <v>1357</v>
      </c>
    </row>
    <row r="15089" spans="1:12">
      <c r="H15089" t="s">
        <v>24879</v>
      </c>
      <c r="I15089" t="s">
        <v>1357</v>
      </c>
      <c r="J15089" t="s">
        <v>1357</v>
      </c>
      <c r="K15089" t="s">
        <v>1357</v>
      </c>
      <c r="L15089" t="s">
        <v>1357</v>
      </c>
    </row>
    <row r="15090" spans="1:12">
      <c r="H15090" t="s">
        <v>24372</v>
      </c>
      <c r="I15090" t="s">
        <v>1357</v>
      </c>
      <c r="J15090" t="s">
        <v>1357</v>
      </c>
      <c r="K15090" t="s">
        <v>1357</v>
      </c>
      <c r="L15090" t="s">
        <v>1357</v>
      </c>
    </row>
    <row r="15091" spans="1:12">
      <c r="H15091" t="s">
        <v>24880</v>
      </c>
      <c r="I15091" t="s">
        <v>1357</v>
      </c>
      <c r="J15091" t="s">
        <v>1357</v>
      </c>
      <c r="K15091" t="s">
        <v>1357</v>
      </c>
      <c r="L15091" t="s">
        <v>1357</v>
      </c>
    </row>
    <row r="15092" spans="1:12">
      <c r="H15092" t="s">
        <v>24881</v>
      </c>
      <c r="I15092" t="s">
        <v>1357</v>
      </c>
      <c r="J15092" t="s">
        <v>1357</v>
      </c>
      <c r="K15092" t="s">
        <v>1357</v>
      </c>
      <c r="L15092" t="s">
        <v>1357</v>
      </c>
    </row>
    <row r="15093" spans="1:12">
      <c r="H15093" t="s">
        <v>24882</v>
      </c>
      <c r="I15093" t="s">
        <v>1357</v>
      </c>
      <c r="J15093" t="s">
        <v>1357</v>
      </c>
      <c r="K15093" t="s">
        <v>1357</v>
      </c>
      <c r="L15093" t="s">
        <v>1357</v>
      </c>
    </row>
    <row r="15094" spans="1:12">
      <c r="H15094" t="s">
        <v>24883</v>
      </c>
      <c r="I15094" t="s">
        <v>1357</v>
      </c>
      <c r="J15094" t="s">
        <v>1357</v>
      </c>
      <c r="K15094" t="s">
        <v>1357</v>
      </c>
      <c r="L15094" t="s">
        <v>1357</v>
      </c>
    </row>
    <row r="15095" spans="1:12">
      <c r="H15095" t="s">
        <v>24884</v>
      </c>
      <c r="I15095" t="s">
        <v>1357</v>
      </c>
      <c r="J15095" t="s">
        <v>1357</v>
      </c>
      <c r="K15095" t="s">
        <v>1357</v>
      </c>
      <c r="L15095" t="s">
        <v>1357</v>
      </c>
    </row>
    <row r="15096" spans="1:12">
      <c r="H15096" t="s">
        <v>24885</v>
      </c>
      <c r="I15096" t="s">
        <v>1357</v>
      </c>
      <c r="J15096" t="s">
        <v>1357</v>
      </c>
      <c r="K15096" t="s">
        <v>1357</v>
      </c>
      <c r="L15096" t="s">
        <v>1357</v>
      </c>
    </row>
    <row r="15097" spans="1:12">
      <c r="H15097" t="s">
        <v>24886</v>
      </c>
      <c r="I15097" t="s">
        <v>1357</v>
      </c>
      <c r="J15097" t="s">
        <v>1357</v>
      </c>
      <c r="K15097" t="s">
        <v>1357</v>
      </c>
      <c r="L15097" t="s">
        <v>1357</v>
      </c>
    </row>
    <row r="15098" spans="1:12">
      <c r="H15098" t="s">
        <v>24887</v>
      </c>
      <c r="I15098" t="s">
        <v>1357</v>
      </c>
      <c r="J15098" t="s">
        <v>1357</v>
      </c>
      <c r="K15098" t="s">
        <v>1357</v>
      </c>
      <c r="L15098" t="s">
        <v>1357</v>
      </c>
    </row>
    <row r="15099" spans="1:12">
      <c r="H15099" t="s">
        <v>24888</v>
      </c>
      <c r="I15099" t="s">
        <v>1357</v>
      </c>
      <c r="J15099" t="s">
        <v>1357</v>
      </c>
      <c r="K15099" t="s">
        <v>1357</v>
      </c>
      <c r="L15099" t="s">
        <v>1357</v>
      </c>
    </row>
    <row r="15100" spans="1:12">
      <c r="F15100" t="s">
        <v>16048</v>
      </c>
      <c r="G15100" t="s">
        <v>18739</v>
      </c>
      <c r="H15100" t="s">
        <v>24889</v>
      </c>
      <c r="I15100" t="s">
        <v>1357</v>
      </c>
      <c r="J15100" t="s">
        <v>1357</v>
      </c>
      <c r="K15100" t="s">
        <v>1357</v>
      </c>
      <c r="L15100" t="s">
        <v>1357</v>
      </c>
    </row>
    <row r="15101" spans="1:12">
      <c r="A15101" t="s">
        <v>11354</v>
      </c>
      <c r="B15101">
        <f>HYPERLINK("https://android.googlesource.com/platform/cts/+/f440a29be1e8bf61650c806d0e4ebc1f4a26581e", "f440a29be1e8bf61650c806d0e4ebc1f4a26581e")</f>
        <v>0</v>
      </c>
      <c r="C15101">
        <f>HYPERLINK("https://android.googlesource.com/platform/cts/+/f7898a64351119ade7f24692264dcca05491028a", "f7898a64351119ade7f24692264dcca05491028a")</f>
        <v>0</v>
      </c>
      <c r="D15101" t="s">
        <v>12187</v>
      </c>
      <c r="E15101" t="s">
        <v>13877</v>
      </c>
      <c r="F15101" t="s">
        <v>16133</v>
      </c>
      <c r="G15101" t="s">
        <v>18817</v>
      </c>
      <c r="H15101" t="s">
        <v>24890</v>
      </c>
      <c r="I15101" t="s">
        <v>1357</v>
      </c>
      <c r="J15101" t="s">
        <v>1357</v>
      </c>
      <c r="K15101" t="s">
        <v>1357</v>
      </c>
      <c r="L15101" t="s">
        <v>1357</v>
      </c>
    </row>
    <row r="15102" spans="1:12">
      <c r="A15102" t="s">
        <v>11355</v>
      </c>
      <c r="B15102">
        <f>HYPERLINK("https://android.googlesource.com/platform/cts/+/ebf24a0c4fc2b236d7c585864fa1801ae9842eb1", "ebf24a0c4fc2b236d7c585864fa1801ae9842eb1")</f>
        <v>0</v>
      </c>
      <c r="C15102">
        <f>HYPERLINK("https://android.googlesource.com/platform/cts/+/217b7e16c91320c10064b31f38d91f12db86094a", "217b7e16c91320c10064b31f38d91f12db86094a")</f>
        <v>0</v>
      </c>
      <c r="D15102" t="s">
        <v>12360</v>
      </c>
      <c r="E15102" t="s">
        <v>13878</v>
      </c>
      <c r="F15102" t="s">
        <v>16868</v>
      </c>
      <c r="G15102" t="s">
        <v>19481</v>
      </c>
      <c r="H15102" t="s">
        <v>24891</v>
      </c>
      <c r="I15102" t="s">
        <v>1357</v>
      </c>
      <c r="J15102" t="s">
        <v>1357</v>
      </c>
      <c r="K15102" t="s">
        <v>1357</v>
      </c>
      <c r="L15102" t="s">
        <v>1357</v>
      </c>
    </row>
    <row r="15103" spans="1:12">
      <c r="A15103" t="s">
        <v>11356</v>
      </c>
      <c r="B15103">
        <f>HYPERLINK("https://android.googlesource.com/platform/cts/+/4bd03ac09dd13ea428c3a981530f49739ec1be37", "4bd03ac09dd13ea428c3a981530f49739ec1be37")</f>
        <v>0</v>
      </c>
      <c r="C15103">
        <f>HYPERLINK("https://android.googlesource.com/platform/cts/+/ebf24a0c4fc2b236d7c585864fa1801ae9842eb1", "ebf24a0c4fc2b236d7c585864fa1801ae9842eb1")</f>
        <v>0</v>
      </c>
      <c r="D15103" t="s">
        <v>12360</v>
      </c>
      <c r="E15103" t="s">
        <v>13879</v>
      </c>
      <c r="F15103" t="s">
        <v>16868</v>
      </c>
      <c r="G15103" t="s">
        <v>19481</v>
      </c>
      <c r="H15103" t="s">
        <v>24892</v>
      </c>
      <c r="I15103" t="s">
        <v>1357</v>
      </c>
      <c r="J15103" t="s">
        <v>1357</v>
      </c>
      <c r="K15103" t="s">
        <v>1357</v>
      </c>
      <c r="L15103" t="s">
        <v>1357</v>
      </c>
    </row>
    <row r="15104" spans="1:12">
      <c r="A15104" t="s">
        <v>11357</v>
      </c>
      <c r="B15104">
        <f>HYPERLINK("https://android.googlesource.com/platform/cts/+/a67bea89b81bdf1b035f2257184e9e83ecaab870", "a67bea89b81bdf1b035f2257184e9e83ecaab870")</f>
        <v>0</v>
      </c>
      <c r="C15104">
        <f>HYPERLINK("https://android.googlesource.com/platform/cts/+/4bd03ac09dd13ea428c3a981530f49739ec1be37", "4bd03ac09dd13ea428c3a981530f49739ec1be37")</f>
        <v>0</v>
      </c>
      <c r="D15104" t="s">
        <v>12360</v>
      </c>
      <c r="E15104" t="s">
        <v>13880</v>
      </c>
      <c r="F15104" t="s">
        <v>16868</v>
      </c>
      <c r="G15104" t="s">
        <v>19481</v>
      </c>
      <c r="H15104" t="s">
        <v>24893</v>
      </c>
      <c r="I15104" t="s">
        <v>1357</v>
      </c>
      <c r="J15104" t="s">
        <v>1357</v>
      </c>
      <c r="K15104" t="s">
        <v>1357</v>
      </c>
      <c r="L15104" t="s">
        <v>1357</v>
      </c>
    </row>
    <row r="15105" spans="1:12">
      <c r="A15105" t="s">
        <v>11358</v>
      </c>
      <c r="B15105">
        <f>HYPERLINK("https://android.googlesource.com/platform/cts/+/d901f6bf5f13ac505882dac6ed822be0871358e7", "d901f6bf5f13ac505882dac6ed822be0871358e7")</f>
        <v>0</v>
      </c>
      <c r="C15105">
        <f>HYPERLINK("https://android.googlesource.com/platform/cts/+/a67bea89b81bdf1b035f2257184e9e83ecaab870", "a67bea89b81bdf1b035f2257184e9e83ecaab870")</f>
        <v>0</v>
      </c>
      <c r="D15105" t="s">
        <v>12360</v>
      </c>
      <c r="E15105" t="s">
        <v>13881</v>
      </c>
      <c r="F15105" t="s">
        <v>16868</v>
      </c>
      <c r="G15105" t="s">
        <v>19481</v>
      </c>
      <c r="H15105" t="s">
        <v>24894</v>
      </c>
      <c r="I15105" t="s">
        <v>1357</v>
      </c>
      <c r="J15105" t="s">
        <v>1357</v>
      </c>
      <c r="K15105" t="s">
        <v>1357</v>
      </c>
      <c r="L15105" t="s">
        <v>1357</v>
      </c>
    </row>
    <row r="15106" spans="1:12">
      <c r="A15106" t="s">
        <v>11359</v>
      </c>
      <c r="B15106">
        <f>HYPERLINK("https://android.googlesource.com/platform/cts/+/70173f2aac2d1a3abb15fa592b8f5c7e8820b891", "70173f2aac2d1a3abb15fa592b8f5c7e8820b891")</f>
        <v>0</v>
      </c>
      <c r="C15106">
        <f>HYPERLINK("https://android.googlesource.com/platform/cts/+/d901f6bf5f13ac505882dac6ed822be0871358e7", "d901f6bf5f13ac505882dac6ed822be0871358e7")</f>
        <v>0</v>
      </c>
      <c r="D15106" t="s">
        <v>12360</v>
      </c>
      <c r="E15106" t="s">
        <v>13882</v>
      </c>
      <c r="F15106" t="s">
        <v>16868</v>
      </c>
      <c r="G15106" t="s">
        <v>19481</v>
      </c>
      <c r="H15106" t="s">
        <v>24895</v>
      </c>
      <c r="I15106" t="s">
        <v>1357</v>
      </c>
      <c r="J15106" t="s">
        <v>1357</v>
      </c>
      <c r="K15106" t="s">
        <v>1357</v>
      </c>
      <c r="L15106" t="s">
        <v>1357</v>
      </c>
    </row>
    <row r="15107" spans="1:12">
      <c r="A15107" t="s">
        <v>11360</v>
      </c>
      <c r="B15107">
        <f>HYPERLINK("https://android.googlesource.com/platform/cts/+/f190957b1691000803268f9d0a65b1786bfb19c7", "f190957b1691000803268f9d0a65b1786bfb19c7")</f>
        <v>0</v>
      </c>
      <c r="C15107">
        <f>HYPERLINK("https://android.googlesource.com/platform/cts/+/70173f2aac2d1a3abb15fa592b8f5c7e8820b891", "70173f2aac2d1a3abb15fa592b8f5c7e8820b891")</f>
        <v>0</v>
      </c>
      <c r="D15107" t="s">
        <v>12360</v>
      </c>
      <c r="E15107" t="s">
        <v>13883</v>
      </c>
      <c r="F15107" t="s">
        <v>16868</v>
      </c>
      <c r="G15107" t="s">
        <v>19481</v>
      </c>
      <c r="H15107" t="s">
        <v>24799</v>
      </c>
      <c r="I15107" t="s">
        <v>1357</v>
      </c>
      <c r="J15107" t="s">
        <v>1357</v>
      </c>
      <c r="K15107" t="s">
        <v>1357</v>
      </c>
      <c r="L15107" t="s">
        <v>1357</v>
      </c>
    </row>
    <row r="15108" spans="1:12">
      <c r="A15108" t="s">
        <v>11361</v>
      </c>
      <c r="B15108">
        <f>HYPERLINK("https://android.googlesource.com/platform/cts/+/4a1ee646ffb45f45f156e493edb0d8b9b74adcfe", "4a1ee646ffb45f45f156e493edb0d8b9b74adcfe")</f>
        <v>0</v>
      </c>
      <c r="C15108">
        <f>HYPERLINK("https://android.googlesource.com/platform/cts/+/76d04449a4ad03f99f48756d5752a609eaa2703e", "76d04449a4ad03f99f48756d5752a609eaa2703e")</f>
        <v>0</v>
      </c>
      <c r="D15108" t="s">
        <v>12309</v>
      </c>
      <c r="E15108" t="s">
        <v>13884</v>
      </c>
      <c r="F15108" t="s">
        <v>16727</v>
      </c>
      <c r="G15108" t="s">
        <v>19358</v>
      </c>
      <c r="H15108" t="s">
        <v>24868</v>
      </c>
      <c r="I15108" t="s">
        <v>1357</v>
      </c>
      <c r="J15108" t="s">
        <v>1357</v>
      </c>
      <c r="K15108" t="s">
        <v>1357</v>
      </c>
      <c r="L15108" t="s">
        <v>1357</v>
      </c>
    </row>
    <row r="15109" spans="1:12">
      <c r="A15109" t="s">
        <v>11362</v>
      </c>
      <c r="B15109">
        <f>HYPERLINK("https://android.googlesource.com/platform/cts/+/030a920e3219f26c2acf9cec2523b0d1b26f3fa9", "030a920e3219f26c2acf9cec2523b0d1b26f3fa9")</f>
        <v>0</v>
      </c>
      <c r="C15109">
        <f>HYPERLINK("https://android.googlesource.com/platform/cts/+/fb8ea5a6b4c8fce41108226343cf38bc643103e7", "fb8ea5a6b4c8fce41108226343cf38bc643103e7")</f>
        <v>0</v>
      </c>
      <c r="D15109" t="s">
        <v>12375</v>
      </c>
      <c r="E15109" t="s">
        <v>13885</v>
      </c>
      <c r="F15109" t="s">
        <v>16892</v>
      </c>
      <c r="G15109" t="s">
        <v>19183</v>
      </c>
      <c r="H15109" t="s">
        <v>24896</v>
      </c>
      <c r="I15109" t="s">
        <v>1357</v>
      </c>
      <c r="J15109" t="s">
        <v>1357</v>
      </c>
      <c r="K15109" t="s">
        <v>1357</v>
      </c>
      <c r="L15109" t="s">
        <v>1357</v>
      </c>
    </row>
    <row r="15110" spans="1:12">
      <c r="A15110" t="s">
        <v>11363</v>
      </c>
      <c r="B15110">
        <f>HYPERLINK("https://android.googlesource.com/platform/cts/+/678eb4f9dd13e2b4adde67751982af5b282f65ee", "678eb4f9dd13e2b4adde67751982af5b282f65ee")</f>
        <v>0</v>
      </c>
      <c r="C15110">
        <f>HYPERLINK("https://android.googlesource.com/platform/cts/+/3eeaacfd0f1bbb7634a6cf69f399fb40a87c3948", "3eeaacfd0f1bbb7634a6cf69f399fb40a87c3948")</f>
        <v>0</v>
      </c>
      <c r="D15110" t="s">
        <v>12212</v>
      </c>
      <c r="E15110" t="s">
        <v>13886</v>
      </c>
      <c r="F15110" t="s">
        <v>16748</v>
      </c>
      <c r="G15110" t="s">
        <v>19377</v>
      </c>
      <c r="H15110" t="s">
        <v>24870</v>
      </c>
      <c r="I15110" t="s">
        <v>1357</v>
      </c>
      <c r="J15110" t="s">
        <v>1357</v>
      </c>
      <c r="K15110" t="s">
        <v>1357</v>
      </c>
      <c r="L15110" t="s">
        <v>1357</v>
      </c>
    </row>
    <row r="15111" spans="1:12">
      <c r="H15111" t="s">
        <v>24871</v>
      </c>
      <c r="I15111" t="s">
        <v>1357</v>
      </c>
      <c r="J15111" t="s">
        <v>1357</v>
      </c>
      <c r="K15111" t="s">
        <v>1357</v>
      </c>
      <c r="L15111" t="s">
        <v>1357</v>
      </c>
    </row>
    <row r="15112" spans="1:12">
      <c r="H15112" t="s">
        <v>24872</v>
      </c>
      <c r="I15112" t="s">
        <v>1357</v>
      </c>
      <c r="J15112" t="s">
        <v>1357</v>
      </c>
      <c r="K15112" t="s">
        <v>1357</v>
      </c>
      <c r="L15112" t="s">
        <v>1357</v>
      </c>
    </row>
    <row r="15113" spans="1:12">
      <c r="H15113" t="s">
        <v>24873</v>
      </c>
      <c r="I15113" t="s">
        <v>1357</v>
      </c>
      <c r="J15113" t="s">
        <v>1357</v>
      </c>
      <c r="K15113" t="s">
        <v>1357</v>
      </c>
      <c r="L15113" t="s">
        <v>1357</v>
      </c>
    </row>
    <row r="15114" spans="1:12">
      <c r="H15114" t="s">
        <v>24874</v>
      </c>
      <c r="I15114" t="s">
        <v>1357</v>
      </c>
      <c r="J15114" t="s">
        <v>1357</v>
      </c>
      <c r="K15114" t="s">
        <v>1357</v>
      </c>
      <c r="L15114" t="s">
        <v>1357</v>
      </c>
    </row>
    <row r="15115" spans="1:12">
      <c r="H15115" t="s">
        <v>24875</v>
      </c>
      <c r="I15115" t="s">
        <v>1357</v>
      </c>
      <c r="J15115" t="s">
        <v>1357</v>
      </c>
      <c r="K15115" t="s">
        <v>1357</v>
      </c>
      <c r="L15115" t="s">
        <v>1357</v>
      </c>
    </row>
    <row r="15116" spans="1:12">
      <c r="H15116" t="s">
        <v>24876</v>
      </c>
      <c r="I15116" t="s">
        <v>1357</v>
      </c>
      <c r="J15116" t="s">
        <v>1357</v>
      </c>
      <c r="K15116" t="s">
        <v>1357</v>
      </c>
      <c r="L15116" t="s">
        <v>1357</v>
      </c>
    </row>
    <row r="15117" spans="1:12">
      <c r="H15117" t="s">
        <v>24877</v>
      </c>
      <c r="I15117" t="s">
        <v>1357</v>
      </c>
      <c r="J15117" t="s">
        <v>1357</v>
      </c>
      <c r="K15117" t="s">
        <v>1357</v>
      </c>
      <c r="L15117" t="s">
        <v>1357</v>
      </c>
    </row>
    <row r="15118" spans="1:12">
      <c r="H15118" t="s">
        <v>24878</v>
      </c>
      <c r="I15118" t="s">
        <v>1357</v>
      </c>
      <c r="J15118" t="s">
        <v>1357</v>
      </c>
      <c r="K15118" t="s">
        <v>1357</v>
      </c>
      <c r="L15118" t="s">
        <v>1357</v>
      </c>
    </row>
    <row r="15119" spans="1:12">
      <c r="H15119" t="s">
        <v>24879</v>
      </c>
      <c r="I15119" t="s">
        <v>1357</v>
      </c>
      <c r="J15119" t="s">
        <v>1357</v>
      </c>
      <c r="K15119" t="s">
        <v>1357</v>
      </c>
      <c r="L15119" t="s">
        <v>1357</v>
      </c>
    </row>
    <row r="15120" spans="1:12">
      <c r="H15120" t="s">
        <v>24880</v>
      </c>
      <c r="I15120" t="s">
        <v>1357</v>
      </c>
      <c r="J15120" t="s">
        <v>1357</v>
      </c>
      <c r="K15120" t="s">
        <v>1357</v>
      </c>
      <c r="L15120" t="s">
        <v>1357</v>
      </c>
    </row>
    <row r="15121" spans="1:13">
      <c r="H15121" t="s">
        <v>24881</v>
      </c>
      <c r="I15121" t="s">
        <v>1357</v>
      </c>
      <c r="J15121" t="s">
        <v>1357</v>
      </c>
      <c r="K15121" t="s">
        <v>1357</v>
      </c>
      <c r="L15121" t="s">
        <v>1357</v>
      </c>
    </row>
    <row r="15122" spans="1:13">
      <c r="H15122" t="s">
        <v>24882</v>
      </c>
      <c r="I15122" t="s">
        <v>1357</v>
      </c>
      <c r="J15122" t="s">
        <v>1357</v>
      </c>
      <c r="K15122" t="s">
        <v>1357</v>
      </c>
      <c r="L15122" t="s">
        <v>1357</v>
      </c>
    </row>
    <row r="15123" spans="1:13">
      <c r="H15123" t="s">
        <v>24883</v>
      </c>
      <c r="I15123" t="s">
        <v>1357</v>
      </c>
      <c r="J15123" t="s">
        <v>1357</v>
      </c>
      <c r="K15123" t="s">
        <v>1357</v>
      </c>
      <c r="L15123" t="s">
        <v>1357</v>
      </c>
      <c r="M15123" t="s">
        <v>9957</v>
      </c>
    </row>
    <row r="15124" spans="1:13">
      <c r="H15124" t="s">
        <v>24884</v>
      </c>
      <c r="I15124" t="s">
        <v>1357</v>
      </c>
      <c r="J15124" t="s">
        <v>1357</v>
      </c>
      <c r="K15124" t="s">
        <v>1357</v>
      </c>
      <c r="L15124" t="s">
        <v>1357</v>
      </c>
    </row>
    <row r="15125" spans="1:13">
      <c r="H15125" t="s">
        <v>24885</v>
      </c>
      <c r="I15125" t="s">
        <v>1357</v>
      </c>
      <c r="J15125" t="s">
        <v>1357</v>
      </c>
      <c r="K15125" t="s">
        <v>1357</v>
      </c>
      <c r="L15125" t="s">
        <v>1357</v>
      </c>
    </row>
    <row r="15126" spans="1:13">
      <c r="H15126" t="s">
        <v>24886</v>
      </c>
      <c r="I15126" t="s">
        <v>1357</v>
      </c>
      <c r="J15126" t="s">
        <v>1357</v>
      </c>
      <c r="K15126" t="s">
        <v>1357</v>
      </c>
      <c r="L15126" t="s">
        <v>1357</v>
      </c>
    </row>
    <row r="15127" spans="1:13">
      <c r="H15127" t="s">
        <v>24887</v>
      </c>
      <c r="I15127" t="s">
        <v>1357</v>
      </c>
      <c r="J15127" t="s">
        <v>1357</v>
      </c>
      <c r="K15127" t="s">
        <v>1357</v>
      </c>
      <c r="L15127" t="s">
        <v>1357</v>
      </c>
    </row>
    <row r="15128" spans="1:13">
      <c r="H15128" t="s">
        <v>24888</v>
      </c>
      <c r="I15128" t="s">
        <v>1357</v>
      </c>
      <c r="J15128" t="s">
        <v>1357</v>
      </c>
      <c r="K15128" t="s">
        <v>1357</v>
      </c>
      <c r="L15128" t="s">
        <v>1357</v>
      </c>
    </row>
    <row r="15129" spans="1:13">
      <c r="F15129" t="s">
        <v>16893</v>
      </c>
      <c r="G15129" t="s">
        <v>19505</v>
      </c>
      <c r="H15129" t="s">
        <v>24889</v>
      </c>
      <c r="I15129" t="s">
        <v>1357</v>
      </c>
      <c r="J15129" t="s">
        <v>1357</v>
      </c>
      <c r="K15129" t="s">
        <v>1357</v>
      </c>
      <c r="L15129" t="s">
        <v>1357</v>
      </c>
    </row>
    <row r="15130" spans="1:13">
      <c r="A15130" t="s">
        <v>11364</v>
      </c>
      <c r="B15130">
        <f>HYPERLINK("https://android.googlesource.com/platform/cts/+/19ff1b7dfea1ada771a20089824fc5f75866ea4f", "19ff1b7dfea1ada771a20089824fc5f75866ea4f")</f>
        <v>0</v>
      </c>
      <c r="C15130">
        <f>HYPERLINK("https://android.googlesource.com/platform/cts/+/2d07a845dd77abe581aa7c33786c1e4d2f3d95d4", "2d07a845dd77abe581aa7c33786c1e4d2f3d95d4")</f>
        <v>0</v>
      </c>
      <c r="D15130" t="s">
        <v>12376</v>
      </c>
      <c r="E15130" t="s">
        <v>13887</v>
      </c>
      <c r="F15130" t="s">
        <v>16894</v>
      </c>
      <c r="G15130" t="s">
        <v>19506</v>
      </c>
      <c r="H15130" t="s">
        <v>24897</v>
      </c>
      <c r="I15130" t="s">
        <v>1357</v>
      </c>
      <c r="J15130" t="s">
        <v>1357</v>
      </c>
      <c r="K15130" t="s">
        <v>1357</v>
      </c>
      <c r="L15130" t="s">
        <v>1357</v>
      </c>
    </row>
    <row r="15131" spans="1:13">
      <c r="H15131" t="s">
        <v>24898</v>
      </c>
      <c r="I15131" t="s">
        <v>1357</v>
      </c>
      <c r="J15131" t="s">
        <v>1357</v>
      </c>
      <c r="K15131" t="s">
        <v>1357</v>
      </c>
      <c r="L15131" t="s">
        <v>1357</v>
      </c>
    </row>
    <row r="15132" spans="1:13">
      <c r="A15132" t="s">
        <v>11365</v>
      </c>
      <c r="B15132">
        <f>HYPERLINK("https://android.googlesource.com/platform/cts/+/c759cb4ec47bf6c5540531da5b8f537a2e4ef319", "c759cb4ec47bf6c5540531da5b8f537a2e4ef319")</f>
        <v>0</v>
      </c>
      <c r="C15132">
        <f>HYPERLINK("https://android.googlesource.com/platform/cts/+/2716d0e067e5a11e6c304943dbe53c071c29ade1", "2716d0e067e5a11e6c304943dbe53c071c29ade1")</f>
        <v>0</v>
      </c>
      <c r="D15132" t="s">
        <v>12377</v>
      </c>
      <c r="E15132" t="s">
        <v>13888</v>
      </c>
      <c r="F15132" t="s">
        <v>16794</v>
      </c>
      <c r="G15132" t="s">
        <v>19416</v>
      </c>
      <c r="H15132" t="s">
        <v>24503</v>
      </c>
      <c r="I15132" t="s">
        <v>1357</v>
      </c>
      <c r="J15132" t="s">
        <v>1357</v>
      </c>
      <c r="K15132" t="s">
        <v>1357</v>
      </c>
      <c r="L15132" t="s">
        <v>1357</v>
      </c>
    </row>
    <row r="15133" spans="1:13">
      <c r="A15133" t="s">
        <v>11366</v>
      </c>
      <c r="B15133">
        <f>HYPERLINK("https://android.googlesource.com/platform/cts/+/6305774a70fd4fa91964fb803d19c55b3f505e02", "6305774a70fd4fa91964fb803d19c55b3f505e02")</f>
        <v>0</v>
      </c>
      <c r="C15133">
        <f>HYPERLINK("https://android.googlesource.com/platform/cts/+/5bbe179c89cf82f72e0bd7f90d70549c6abe1fc3", "5bbe179c89cf82f72e0bd7f90d70549c6abe1fc3")</f>
        <v>0</v>
      </c>
      <c r="D15133" t="s">
        <v>12378</v>
      </c>
      <c r="E15133" t="s">
        <v>13889</v>
      </c>
      <c r="F15133" t="s">
        <v>16895</v>
      </c>
      <c r="G15133" t="s">
        <v>19507</v>
      </c>
      <c r="H15133" t="s">
        <v>24899</v>
      </c>
      <c r="I15133" t="s">
        <v>1358</v>
      </c>
      <c r="J15133" t="s">
        <v>1358</v>
      </c>
      <c r="K15133" t="s">
        <v>1358</v>
      </c>
      <c r="L15133" t="s">
        <v>1358</v>
      </c>
    </row>
    <row r="15134" spans="1:13">
      <c r="H15134" t="s">
        <v>24900</v>
      </c>
      <c r="I15134" t="s">
        <v>1358</v>
      </c>
      <c r="J15134" t="s">
        <v>1358</v>
      </c>
      <c r="K15134" t="s">
        <v>1358</v>
      </c>
      <c r="L15134" t="s">
        <v>1358</v>
      </c>
    </row>
    <row r="15135" spans="1:13">
      <c r="H15135" t="s">
        <v>24901</v>
      </c>
      <c r="I15135" t="s">
        <v>1358</v>
      </c>
      <c r="J15135" t="s">
        <v>1358</v>
      </c>
      <c r="K15135" t="s">
        <v>1358</v>
      </c>
      <c r="L15135" t="s">
        <v>1358</v>
      </c>
    </row>
    <row r="15136" spans="1:13">
      <c r="A15136" t="s">
        <v>11367</v>
      </c>
      <c r="B15136">
        <f>HYPERLINK("https://android.googlesource.com/platform/cts/+/1694ae40f8d5f07d7cd0035a6707421aa98eb138", "1694ae40f8d5f07d7cd0035a6707421aa98eb138")</f>
        <v>0</v>
      </c>
      <c r="C15136">
        <f>HYPERLINK("https://android.googlesource.com/platform/cts/+/cb8b808d3d1bf5ee012c38ca9270743fb5d7574f", "cb8b808d3d1bf5ee012c38ca9270743fb5d7574f")</f>
        <v>0</v>
      </c>
      <c r="D15136" t="s">
        <v>12372</v>
      </c>
      <c r="E15136" t="s">
        <v>13890</v>
      </c>
      <c r="F15136" t="s">
        <v>16884</v>
      </c>
      <c r="G15136" t="s">
        <v>19497</v>
      </c>
      <c r="H15136" t="s">
        <v>24902</v>
      </c>
      <c r="I15136" t="s">
        <v>1357</v>
      </c>
      <c r="J15136" t="s">
        <v>1357</v>
      </c>
      <c r="K15136" t="s">
        <v>1357</v>
      </c>
      <c r="L15136" t="s">
        <v>1357</v>
      </c>
    </row>
    <row r="15137" spans="1:13">
      <c r="H15137" t="s">
        <v>24814</v>
      </c>
      <c r="I15137" t="s">
        <v>1357</v>
      </c>
      <c r="J15137" t="s">
        <v>1357</v>
      </c>
      <c r="K15137" t="s">
        <v>1357</v>
      </c>
      <c r="L15137" t="s">
        <v>1357</v>
      </c>
    </row>
    <row r="15138" spans="1:13">
      <c r="A15138" t="s">
        <v>11368</v>
      </c>
      <c r="B15138">
        <f>HYPERLINK("https://android.googlesource.com/platform/cts/+/465631f79b0f7ee7cae5648155e4ea1bf36540c2", "465631f79b0f7ee7cae5648155e4ea1bf36540c2")</f>
        <v>0</v>
      </c>
      <c r="C15138">
        <f>HYPERLINK("https://android.googlesource.com/platform/cts/+/7abe3e0d31151e47df25d21874314ca90c2dde5a", "7abe3e0d31151e47df25d21874314ca90c2dde5a")</f>
        <v>0</v>
      </c>
      <c r="D15138" t="s">
        <v>12372</v>
      </c>
      <c r="E15138" t="s">
        <v>13890</v>
      </c>
      <c r="F15138" t="s">
        <v>16884</v>
      </c>
      <c r="G15138" t="s">
        <v>19497</v>
      </c>
      <c r="H15138" t="s">
        <v>24902</v>
      </c>
      <c r="I15138" t="s">
        <v>1357</v>
      </c>
      <c r="J15138" t="s">
        <v>1357</v>
      </c>
      <c r="K15138" t="s">
        <v>1357</v>
      </c>
      <c r="L15138" t="s">
        <v>1357</v>
      </c>
    </row>
    <row r="15139" spans="1:13">
      <c r="H15139" t="s">
        <v>24814</v>
      </c>
      <c r="I15139" t="s">
        <v>1357</v>
      </c>
      <c r="J15139" t="s">
        <v>1357</v>
      </c>
      <c r="K15139" t="s">
        <v>1357</v>
      </c>
      <c r="L15139" t="s">
        <v>1357</v>
      </c>
      <c r="M15139" t="s">
        <v>9957</v>
      </c>
    </row>
    <row r="15140" spans="1:13">
      <c r="A15140" t="s">
        <v>11369</v>
      </c>
      <c r="B15140">
        <f>HYPERLINK("https://android.googlesource.com/platform/cts/+/3972892e9b51db3fb97312458def30ca5b657b61", "3972892e9b51db3fb97312458def30ca5b657b61")</f>
        <v>0</v>
      </c>
      <c r="C15140">
        <f>HYPERLINK("https://android.googlesource.com/platform/cts/+/7fe91df272dd19b274b1cebcdb9e8c4a153a4d92", "7fe91df272dd19b274b1cebcdb9e8c4a153a4d92")</f>
        <v>0</v>
      </c>
      <c r="D15140" t="s">
        <v>12372</v>
      </c>
      <c r="E15140" t="s">
        <v>13890</v>
      </c>
      <c r="F15140" t="s">
        <v>16884</v>
      </c>
      <c r="G15140" t="s">
        <v>19497</v>
      </c>
      <c r="H15140" t="s">
        <v>24902</v>
      </c>
      <c r="I15140" t="s">
        <v>1357</v>
      </c>
      <c r="J15140" t="s">
        <v>1357</v>
      </c>
      <c r="K15140" t="s">
        <v>1357</v>
      </c>
      <c r="L15140" t="s">
        <v>1357</v>
      </c>
    </row>
    <row r="15141" spans="1:13">
      <c r="H15141" t="s">
        <v>24814</v>
      </c>
      <c r="I15141" t="s">
        <v>1357</v>
      </c>
      <c r="J15141" t="s">
        <v>1357</v>
      </c>
      <c r="K15141" t="s">
        <v>1357</v>
      </c>
      <c r="L15141" t="s">
        <v>1357</v>
      </c>
      <c r="M15141" t="s">
        <v>9957</v>
      </c>
    </row>
    <row r="15142" spans="1:13">
      <c r="A15142" t="s">
        <v>11370</v>
      </c>
      <c r="B15142">
        <f>HYPERLINK("https://android.googlesource.com/platform/cts/+/13c76d106a7352d1b2693390de4b7e5a14c3a24b", "13c76d106a7352d1b2693390de4b7e5a14c3a24b")</f>
        <v>0</v>
      </c>
      <c r="C15142">
        <f>HYPERLINK("https://android.googlesource.com/platform/cts/+/815316cfa4a644617034b31ae9b52858621532fd", "815316cfa4a644617034b31ae9b52858621532fd")</f>
        <v>0</v>
      </c>
      <c r="D15142" t="s">
        <v>12372</v>
      </c>
      <c r="E15142" t="s">
        <v>13890</v>
      </c>
      <c r="F15142" t="s">
        <v>16884</v>
      </c>
      <c r="G15142" t="s">
        <v>19497</v>
      </c>
      <c r="H15142" t="s">
        <v>24902</v>
      </c>
      <c r="I15142" t="s">
        <v>1357</v>
      </c>
      <c r="J15142" t="s">
        <v>1357</v>
      </c>
      <c r="K15142" t="s">
        <v>1357</v>
      </c>
      <c r="L15142" t="s">
        <v>1357</v>
      </c>
    </row>
    <row r="15143" spans="1:13">
      <c r="H15143" t="s">
        <v>24814</v>
      </c>
      <c r="I15143" t="s">
        <v>1357</v>
      </c>
      <c r="J15143" t="s">
        <v>1357</v>
      </c>
      <c r="K15143" t="s">
        <v>1357</v>
      </c>
      <c r="L15143" t="s">
        <v>1357</v>
      </c>
      <c r="M15143" t="s">
        <v>9957</v>
      </c>
    </row>
    <row r="15144" spans="1:13">
      <c r="A15144" t="s">
        <v>11371</v>
      </c>
      <c r="B15144">
        <f>HYPERLINK("https://android.googlesource.com/platform/cts/+/5961e8d5388d68a051e440dccfa95953b4018904", "5961e8d5388d68a051e440dccfa95953b4018904")</f>
        <v>0</v>
      </c>
      <c r="C15144">
        <f>HYPERLINK("https://android.googlesource.com/platform/cts/+/427a30db119ef92bf8d612de4f604d9e87862ce1", "427a30db119ef92bf8d612de4f604d9e87862ce1")</f>
        <v>0</v>
      </c>
      <c r="D15144" t="s">
        <v>12379</v>
      </c>
      <c r="E15144" t="s">
        <v>13891</v>
      </c>
      <c r="F15144" t="s">
        <v>16321</v>
      </c>
      <c r="G15144" t="s">
        <v>18991</v>
      </c>
      <c r="H15144" t="s">
        <v>24903</v>
      </c>
      <c r="I15144" t="s">
        <v>1357</v>
      </c>
      <c r="J15144" t="s">
        <v>1357</v>
      </c>
      <c r="K15144" t="s">
        <v>1357</v>
      </c>
      <c r="L15144" t="s">
        <v>1357</v>
      </c>
    </row>
    <row r="15145" spans="1:13">
      <c r="H15145" t="s">
        <v>24904</v>
      </c>
      <c r="I15145" t="s">
        <v>1357</v>
      </c>
      <c r="J15145" t="s">
        <v>1357</v>
      </c>
      <c r="K15145" t="s">
        <v>1357</v>
      </c>
      <c r="L15145" t="s">
        <v>1357</v>
      </c>
    </row>
    <row r="15146" spans="1:13">
      <c r="A15146" t="s">
        <v>11372</v>
      </c>
      <c r="B15146">
        <f>HYPERLINK("https://android.googlesource.com/platform/cts/+/02be782417ea1f646964c3c45e791c1773f4da6d", "02be782417ea1f646964c3c45e791c1773f4da6d")</f>
        <v>0</v>
      </c>
      <c r="C15146">
        <f>HYPERLINK("https://android.googlesource.com/platform/cts/+/f06316a937c8da1e129b45e7569ce5882d9e9795", "f06316a937c8da1e129b45e7569ce5882d9e9795")</f>
        <v>0</v>
      </c>
      <c r="D15146" t="s">
        <v>12342</v>
      </c>
      <c r="E15146" t="s">
        <v>13892</v>
      </c>
      <c r="F15146" t="s">
        <v>16818</v>
      </c>
      <c r="G15146" t="s">
        <v>19437</v>
      </c>
      <c r="H15146" t="s">
        <v>24905</v>
      </c>
      <c r="I15146" t="s">
        <v>1358</v>
      </c>
      <c r="J15146" t="s">
        <v>1358</v>
      </c>
      <c r="K15146" t="s">
        <v>1358</v>
      </c>
      <c r="L15146" t="s">
        <v>1358</v>
      </c>
    </row>
    <row r="15147" spans="1:13">
      <c r="H15147" t="s">
        <v>24906</v>
      </c>
      <c r="I15147" t="s">
        <v>1358</v>
      </c>
      <c r="J15147" t="s">
        <v>1358</v>
      </c>
      <c r="K15147" t="s">
        <v>1358</v>
      </c>
      <c r="L15147" t="s">
        <v>1358</v>
      </c>
    </row>
    <row r="15148" spans="1:13">
      <c r="H15148" t="s">
        <v>24907</v>
      </c>
      <c r="I15148" t="s">
        <v>1358</v>
      </c>
      <c r="J15148" t="s">
        <v>1358</v>
      </c>
      <c r="K15148" t="s">
        <v>1358</v>
      </c>
      <c r="L15148" t="s">
        <v>1358</v>
      </c>
    </row>
    <row r="15149" spans="1:13">
      <c r="H15149" t="s">
        <v>24908</v>
      </c>
      <c r="I15149" t="s">
        <v>1358</v>
      </c>
      <c r="J15149" t="s">
        <v>1358</v>
      </c>
      <c r="K15149" t="s">
        <v>1358</v>
      </c>
      <c r="L15149" t="s">
        <v>1358</v>
      </c>
    </row>
    <row r="15150" spans="1:13">
      <c r="H15150" t="s">
        <v>24909</v>
      </c>
      <c r="I15150" t="s">
        <v>1358</v>
      </c>
      <c r="J15150" t="s">
        <v>1358</v>
      </c>
      <c r="K15150" t="s">
        <v>1358</v>
      </c>
      <c r="L15150" t="s">
        <v>1358</v>
      </c>
    </row>
    <row r="15151" spans="1:13">
      <c r="H15151" t="s">
        <v>24910</v>
      </c>
      <c r="I15151" t="s">
        <v>1358</v>
      </c>
      <c r="J15151" t="s">
        <v>1358</v>
      </c>
      <c r="K15151" t="s">
        <v>1358</v>
      </c>
      <c r="L15151" t="s">
        <v>1358</v>
      </c>
    </row>
    <row r="15152" spans="1:13">
      <c r="H15152" t="s">
        <v>24911</v>
      </c>
      <c r="I15152" t="s">
        <v>1358</v>
      </c>
      <c r="J15152" t="s">
        <v>1358</v>
      </c>
      <c r="K15152" t="s">
        <v>1358</v>
      </c>
      <c r="L15152" t="s">
        <v>1358</v>
      </c>
    </row>
    <row r="15153" spans="1:12">
      <c r="H15153" t="s">
        <v>24912</v>
      </c>
      <c r="I15153" t="s">
        <v>1358</v>
      </c>
      <c r="J15153" t="s">
        <v>1358</v>
      </c>
      <c r="K15153" t="s">
        <v>1358</v>
      </c>
      <c r="L15153" t="s">
        <v>1358</v>
      </c>
    </row>
    <row r="15154" spans="1:12">
      <c r="H15154" t="s">
        <v>24913</v>
      </c>
      <c r="I15154" t="s">
        <v>1358</v>
      </c>
      <c r="J15154" t="s">
        <v>1358</v>
      </c>
      <c r="K15154" t="s">
        <v>1358</v>
      </c>
      <c r="L15154" t="s">
        <v>1358</v>
      </c>
    </row>
    <row r="15155" spans="1:12">
      <c r="H15155" t="s">
        <v>24914</v>
      </c>
      <c r="I15155" t="s">
        <v>1358</v>
      </c>
      <c r="J15155" t="s">
        <v>1358</v>
      </c>
      <c r="K15155" t="s">
        <v>1358</v>
      </c>
      <c r="L15155" t="s">
        <v>1358</v>
      </c>
    </row>
    <row r="15156" spans="1:12">
      <c r="H15156" t="s">
        <v>24915</v>
      </c>
      <c r="I15156" t="s">
        <v>1358</v>
      </c>
      <c r="J15156" t="s">
        <v>1358</v>
      </c>
      <c r="K15156" t="s">
        <v>1358</v>
      </c>
      <c r="L15156" t="s">
        <v>1358</v>
      </c>
    </row>
    <row r="15157" spans="1:12">
      <c r="A15157" t="s">
        <v>11373</v>
      </c>
      <c r="B15157">
        <f>HYPERLINK("https://android.googlesource.com/platform/cts/+/cc244bf268572a652c93845affb64b77872bacc6", "cc244bf268572a652c93845affb64b77872bacc6")</f>
        <v>0</v>
      </c>
      <c r="C15157">
        <f>HYPERLINK("https://android.googlesource.com/platform/cts/+/8fe84d69a60cc7534351650c7dac6ad163a90ebf", "8fe84d69a60cc7534351650c7dac6ad163a90ebf")</f>
        <v>0</v>
      </c>
      <c r="D15157" t="s">
        <v>12380</v>
      </c>
      <c r="E15157" t="s">
        <v>13893</v>
      </c>
      <c r="F15157" t="s">
        <v>16896</v>
      </c>
      <c r="G15157" t="s">
        <v>19508</v>
      </c>
      <c r="H15157" t="s">
        <v>24916</v>
      </c>
      <c r="I15157" t="s">
        <v>1359</v>
      </c>
      <c r="J15157" t="s">
        <v>1358</v>
      </c>
      <c r="K15157" t="s">
        <v>1357</v>
      </c>
      <c r="L15157" t="s">
        <v>1358</v>
      </c>
    </row>
    <row r="15158" spans="1:12">
      <c r="A15158" t="s">
        <v>11374</v>
      </c>
      <c r="B15158">
        <f>HYPERLINK("https://android.googlesource.com/platform/cts/+/94eec46283fdfb081148c5c887bf0ad58691409f", "94eec46283fdfb081148c5c887bf0ad58691409f")</f>
        <v>0</v>
      </c>
      <c r="C15158">
        <f>HYPERLINK("https://android.googlesource.com/platform/cts/+/c6fee6c910b2feaec67d7477cc2b78d13d2e2c25", "c6fee6c910b2feaec67d7477cc2b78d13d2e2c25")</f>
        <v>0</v>
      </c>
      <c r="D15158" t="s">
        <v>12381</v>
      </c>
      <c r="E15158" t="s">
        <v>13894</v>
      </c>
      <c r="F15158" t="s">
        <v>16897</v>
      </c>
      <c r="G15158" t="s">
        <v>19509</v>
      </c>
      <c r="H15158" t="s">
        <v>24917</v>
      </c>
      <c r="I15158" t="s">
        <v>1357</v>
      </c>
      <c r="J15158" t="s">
        <v>1357</v>
      </c>
      <c r="K15158" t="s">
        <v>1357</v>
      </c>
      <c r="L15158" t="s">
        <v>1357</v>
      </c>
    </row>
    <row r="15159" spans="1:12">
      <c r="F15159" t="s">
        <v>16898</v>
      </c>
      <c r="G15159" t="s">
        <v>19510</v>
      </c>
      <c r="H15159" t="s">
        <v>24918</v>
      </c>
      <c r="I15159" t="s">
        <v>1357</v>
      </c>
      <c r="J15159" t="s">
        <v>1357</v>
      </c>
      <c r="K15159" t="s">
        <v>1357</v>
      </c>
      <c r="L15159" t="s">
        <v>1357</v>
      </c>
    </row>
    <row r="15160" spans="1:12">
      <c r="A15160" t="s">
        <v>11375</v>
      </c>
      <c r="B15160">
        <f>HYPERLINK("https://android.googlesource.com/platform/cts/+/cc69d23758981b5f6a11850106870199b46dcc12", "cc69d23758981b5f6a11850106870199b46dcc12")</f>
        <v>0</v>
      </c>
      <c r="C15160">
        <f>HYPERLINK("https://android.googlesource.com/platform/cts/+/78279bdf1484095e09a8a123f8109510733e9740", "78279bdf1484095e09a8a123f8109510733e9740")</f>
        <v>0</v>
      </c>
      <c r="D15160" t="s">
        <v>12382</v>
      </c>
      <c r="E15160" t="s">
        <v>13895</v>
      </c>
      <c r="F15160" t="s">
        <v>16171</v>
      </c>
      <c r="G15160" t="s">
        <v>18734</v>
      </c>
      <c r="H15160" t="s">
        <v>24919</v>
      </c>
      <c r="I15160" t="s">
        <v>1357</v>
      </c>
      <c r="J15160" t="s">
        <v>1357</v>
      </c>
      <c r="K15160" t="s">
        <v>1357</v>
      </c>
      <c r="L15160" t="s">
        <v>1357</v>
      </c>
    </row>
    <row r="15161" spans="1:12">
      <c r="A15161" t="s">
        <v>11376</v>
      </c>
      <c r="B15161">
        <f>HYPERLINK("https://android.googlesource.com/platform/cts/+/e7920a2b36a188d10bcb57ef6d74fd7baa42d6bc", "e7920a2b36a188d10bcb57ef6d74fd7baa42d6bc")</f>
        <v>0</v>
      </c>
      <c r="C15161">
        <f>HYPERLINK("https://android.googlesource.com/platform/cts/+/d698c9e71efb082613a2b110be98383baaa9d8ad", "d698c9e71efb082613a2b110be98383baaa9d8ad")</f>
        <v>0</v>
      </c>
      <c r="D15161" t="s">
        <v>12383</v>
      </c>
      <c r="E15161" t="s">
        <v>13896</v>
      </c>
      <c r="F15161" t="s">
        <v>16899</v>
      </c>
      <c r="G15161" t="s">
        <v>19511</v>
      </c>
      <c r="H15161" t="s">
        <v>24920</v>
      </c>
      <c r="I15161" t="s">
        <v>1357</v>
      </c>
      <c r="J15161" t="s">
        <v>1357</v>
      </c>
      <c r="K15161" t="s">
        <v>1357</v>
      </c>
      <c r="L15161" t="s">
        <v>1357</v>
      </c>
    </row>
    <row r="15162" spans="1:12">
      <c r="A15162" t="s">
        <v>11377</v>
      </c>
      <c r="B15162">
        <f>HYPERLINK("https://android.googlesource.com/platform/cts/+/4f4511d942c610905dbdc873d8ea145ae7ff603b", "4f4511d942c610905dbdc873d8ea145ae7ff603b")</f>
        <v>0</v>
      </c>
      <c r="C15162">
        <f>HYPERLINK("https://android.googlesource.com/platform/cts/+/9d9baf36e20e81515f01a62ff3e2977ed8671e6b", "9d9baf36e20e81515f01a62ff3e2977ed8671e6b")</f>
        <v>0</v>
      </c>
      <c r="D15162" t="s">
        <v>12384</v>
      </c>
      <c r="E15162" t="s">
        <v>13897</v>
      </c>
      <c r="F15162" t="s">
        <v>16173</v>
      </c>
      <c r="G15162" t="s">
        <v>18853</v>
      </c>
      <c r="H15162" t="s">
        <v>24921</v>
      </c>
      <c r="I15162" t="s">
        <v>1358</v>
      </c>
      <c r="J15162" t="s">
        <v>1358</v>
      </c>
      <c r="K15162" t="s">
        <v>1358</v>
      </c>
      <c r="L15162" t="s">
        <v>1358</v>
      </c>
    </row>
    <row r="15163" spans="1:12">
      <c r="A15163" t="s">
        <v>11378</v>
      </c>
      <c r="B15163">
        <f>HYPERLINK("https://android.googlesource.com/platform/cts/+/5d9710d5b72136b2face76b578ac120ad6ed931e", "5d9710d5b72136b2face76b578ac120ad6ed931e")</f>
        <v>0</v>
      </c>
      <c r="C15163">
        <f>HYPERLINK("https://android.googlesource.com/platform/cts/+/5600812cbeddd7ac16ba72c6322f4f30a8d66739", "5600812cbeddd7ac16ba72c6322f4f30a8d66739")</f>
        <v>0</v>
      </c>
      <c r="D15163" t="s">
        <v>12189</v>
      </c>
      <c r="E15163" t="s">
        <v>13898</v>
      </c>
      <c r="F15163" t="s">
        <v>16900</v>
      </c>
      <c r="G15163" t="s">
        <v>19512</v>
      </c>
      <c r="H15163" t="s">
        <v>24922</v>
      </c>
      <c r="I15163" t="s">
        <v>1357</v>
      </c>
      <c r="J15163" t="s">
        <v>1357</v>
      </c>
      <c r="K15163" t="s">
        <v>1357</v>
      </c>
      <c r="L15163" t="s">
        <v>1357</v>
      </c>
    </row>
    <row r="15164" spans="1:12">
      <c r="H15164" t="s">
        <v>24923</v>
      </c>
      <c r="I15164" t="s">
        <v>1357</v>
      </c>
      <c r="J15164" t="s">
        <v>1357</v>
      </c>
      <c r="K15164" t="s">
        <v>1357</v>
      </c>
      <c r="L15164" t="s">
        <v>1357</v>
      </c>
    </row>
    <row r="15165" spans="1:12">
      <c r="H15165" t="s">
        <v>24924</v>
      </c>
      <c r="I15165" t="s">
        <v>1357</v>
      </c>
      <c r="J15165" t="s">
        <v>1357</v>
      </c>
      <c r="K15165" t="s">
        <v>1357</v>
      </c>
      <c r="L15165" t="s">
        <v>1357</v>
      </c>
    </row>
    <row r="15166" spans="1:12">
      <c r="H15166" t="s">
        <v>24925</v>
      </c>
      <c r="I15166" t="s">
        <v>1357</v>
      </c>
      <c r="J15166" t="s">
        <v>1357</v>
      </c>
      <c r="K15166" t="s">
        <v>1357</v>
      </c>
      <c r="L15166" t="s">
        <v>1357</v>
      </c>
    </row>
    <row r="15167" spans="1:12">
      <c r="H15167" t="s">
        <v>24926</v>
      </c>
      <c r="I15167" t="s">
        <v>1357</v>
      </c>
      <c r="J15167" t="s">
        <v>1357</v>
      </c>
      <c r="K15167" t="s">
        <v>1357</v>
      </c>
      <c r="L15167" t="s">
        <v>1357</v>
      </c>
    </row>
    <row r="15168" spans="1:12">
      <c r="H15168" t="s">
        <v>24927</v>
      </c>
      <c r="I15168" t="s">
        <v>1357</v>
      </c>
      <c r="J15168" t="s">
        <v>1357</v>
      </c>
      <c r="K15168" t="s">
        <v>1357</v>
      </c>
      <c r="L15168" t="s">
        <v>1357</v>
      </c>
    </row>
    <row r="15169" spans="1:13">
      <c r="A15169" t="s">
        <v>11379</v>
      </c>
      <c r="B15169">
        <f>HYPERLINK("https://android.googlesource.com/platform/cts/+/659c6ed9623919233d919228111104c4afec0852", "659c6ed9623919233d919228111104c4afec0852")</f>
        <v>0</v>
      </c>
      <c r="C15169">
        <f>HYPERLINK("https://android.googlesource.com/platform/cts/+/8791c13b560b58efbe30be5f0f62f1574131a7b8", "8791c13b560b58efbe30be5f0f62f1574131a7b8")</f>
        <v>0</v>
      </c>
      <c r="D15169" t="s">
        <v>12385</v>
      </c>
      <c r="E15169" t="s">
        <v>13899</v>
      </c>
      <c r="F15169" t="s">
        <v>16895</v>
      </c>
      <c r="G15169" t="s">
        <v>19507</v>
      </c>
      <c r="H15169" t="s">
        <v>24899</v>
      </c>
      <c r="I15169" t="s">
        <v>1358</v>
      </c>
      <c r="J15169" t="s">
        <v>1358</v>
      </c>
      <c r="K15169" t="s">
        <v>1358</v>
      </c>
      <c r="L15169" t="s">
        <v>1358</v>
      </c>
      <c r="M15169" t="s">
        <v>9957</v>
      </c>
    </row>
    <row r="15170" spans="1:13">
      <c r="H15170" t="s">
        <v>24900</v>
      </c>
      <c r="I15170" t="s">
        <v>1358</v>
      </c>
      <c r="J15170" t="s">
        <v>1358</v>
      </c>
      <c r="K15170" t="s">
        <v>1358</v>
      </c>
      <c r="L15170" t="s">
        <v>1358</v>
      </c>
    </row>
    <row r="15171" spans="1:13">
      <c r="H15171" t="s">
        <v>24901</v>
      </c>
      <c r="I15171" t="s">
        <v>1358</v>
      </c>
      <c r="J15171" t="s">
        <v>1358</v>
      </c>
      <c r="K15171" t="s">
        <v>1358</v>
      </c>
      <c r="L15171" t="s">
        <v>1358</v>
      </c>
    </row>
    <row r="15172" spans="1:13">
      <c r="A15172" t="s">
        <v>11380</v>
      </c>
      <c r="B15172">
        <f>HYPERLINK("https://android.googlesource.com/platform/cts/+/9e0978104b4068eaae059f743271a60d98ec8531", "9e0978104b4068eaae059f743271a60d98ec8531")</f>
        <v>0</v>
      </c>
      <c r="C15172">
        <f>HYPERLINK("https://android.googlesource.com/platform/cts/+/73bad6b1d1ce23bc811cccd04845db00d4d36d8c", "73bad6b1d1ce23bc811cccd04845db00d4d36d8c")</f>
        <v>0</v>
      </c>
      <c r="D15172" t="s">
        <v>12386</v>
      </c>
      <c r="E15172" t="s">
        <v>13900</v>
      </c>
      <c r="F15172" t="s">
        <v>16783</v>
      </c>
      <c r="G15172" t="s">
        <v>19308</v>
      </c>
      <c r="H15172" t="s">
        <v>24928</v>
      </c>
      <c r="I15172" t="s">
        <v>1358</v>
      </c>
      <c r="J15172" t="s">
        <v>1358</v>
      </c>
      <c r="K15172" t="s">
        <v>1358</v>
      </c>
      <c r="L15172" t="s">
        <v>1358</v>
      </c>
    </row>
    <row r="15173" spans="1:13">
      <c r="A15173" t="s">
        <v>11381</v>
      </c>
      <c r="B15173">
        <f>HYPERLINK("https://android.googlesource.com/platform/cts/+/16a726d6a23926f2939e5258dc86277c17815e77", "16a726d6a23926f2939e5258dc86277c17815e77")</f>
        <v>0</v>
      </c>
      <c r="C15173">
        <f>HYPERLINK("https://android.googlesource.com/platform/cts/+/a00d5a70c8fd3212da2cbfab60d0324ea1ef11d5", "a00d5a70c8fd3212da2cbfab60d0324ea1ef11d5")</f>
        <v>0</v>
      </c>
      <c r="D15173" t="s">
        <v>12315</v>
      </c>
      <c r="E15173" t="s">
        <v>13901</v>
      </c>
      <c r="F15173" t="s">
        <v>16783</v>
      </c>
      <c r="G15173" t="s">
        <v>19308</v>
      </c>
      <c r="H15173" t="s">
        <v>24928</v>
      </c>
      <c r="I15173" t="s">
        <v>1358</v>
      </c>
      <c r="J15173" t="s">
        <v>1358</v>
      </c>
      <c r="K15173" t="s">
        <v>1358</v>
      </c>
      <c r="L15173" t="s">
        <v>1358</v>
      </c>
      <c r="M15173" t="s">
        <v>9957</v>
      </c>
    </row>
    <row r="15174" spans="1:13">
      <c r="A15174" t="s">
        <v>11382</v>
      </c>
      <c r="B15174">
        <f>HYPERLINK("https://android.googlesource.com/platform/cts/+/ac1adbab4cae41154683a0f4d2211c630f142cf8", "ac1adbab4cae41154683a0f4d2211c630f142cf8")</f>
        <v>0</v>
      </c>
      <c r="C15174">
        <f>HYPERLINK("https://android.googlesource.com/platform/cts/+/9e465ae301aa6fdc0022c197e25b2ee40717e656", "9e465ae301aa6fdc0022c197e25b2ee40717e656")</f>
        <v>0</v>
      </c>
      <c r="D15174" t="s">
        <v>12102</v>
      </c>
      <c r="E15174" t="s">
        <v>13902</v>
      </c>
      <c r="F15174" t="s">
        <v>16731</v>
      </c>
      <c r="G15174" t="s">
        <v>19362</v>
      </c>
      <c r="H15174" t="s">
        <v>24929</v>
      </c>
      <c r="I15174" t="s">
        <v>1358</v>
      </c>
      <c r="J15174" t="s">
        <v>1358</v>
      </c>
      <c r="K15174" t="s">
        <v>1358</v>
      </c>
      <c r="L15174" t="s">
        <v>1358</v>
      </c>
    </row>
    <row r="15175" spans="1:13">
      <c r="A15175" t="s">
        <v>11383</v>
      </c>
      <c r="B15175">
        <f>HYPERLINK("https://android.googlesource.com/platform/cts/+/0ee356e8b2116932e9b4c2662e84e7ea388d1d2b", "0ee356e8b2116932e9b4c2662e84e7ea388d1d2b")</f>
        <v>0</v>
      </c>
      <c r="C15175">
        <f>HYPERLINK("https://android.googlesource.com/platform/cts/+/60f40c6bffc696ee28769b49caec7aaf76e13490", "60f40c6bffc696ee28769b49caec7aaf76e13490")</f>
        <v>0</v>
      </c>
      <c r="D15175" t="s">
        <v>12381</v>
      </c>
      <c r="E15175" t="s">
        <v>13903</v>
      </c>
      <c r="F15175" t="s">
        <v>16898</v>
      </c>
      <c r="G15175" t="s">
        <v>19510</v>
      </c>
      <c r="H15175" t="s">
        <v>24930</v>
      </c>
      <c r="I15175" t="s">
        <v>1358</v>
      </c>
      <c r="J15175" t="s">
        <v>1358</v>
      </c>
      <c r="K15175" t="s">
        <v>1358</v>
      </c>
      <c r="L15175" t="s">
        <v>1358</v>
      </c>
    </row>
    <row r="15176" spans="1:13">
      <c r="A15176" t="s">
        <v>11384</v>
      </c>
      <c r="B15176">
        <f>HYPERLINK("https://android.googlesource.com/platform/cts/+/72ca5ac7742ce1cd4c8441f321881fb1cf1c8e8b", "72ca5ac7742ce1cd4c8441f321881fb1cf1c8e8b")</f>
        <v>0</v>
      </c>
      <c r="C15176">
        <f>HYPERLINK("https://android.googlesource.com/platform/cts/+/6c88403737d3c34e4e5a1a8d1eeeefeadedb1b8f", "6c88403737d3c34e4e5a1a8d1eeeefeadedb1b8f")</f>
        <v>0</v>
      </c>
      <c r="D15176" t="s">
        <v>12356</v>
      </c>
      <c r="E15176" t="s">
        <v>13904</v>
      </c>
      <c r="F15176" t="s">
        <v>16717</v>
      </c>
      <c r="G15176" t="s">
        <v>19349</v>
      </c>
      <c r="H15176" t="s">
        <v>24931</v>
      </c>
      <c r="I15176" t="s">
        <v>1357</v>
      </c>
      <c r="J15176" t="s">
        <v>1357</v>
      </c>
      <c r="K15176" t="s">
        <v>1357</v>
      </c>
      <c r="L15176" t="s">
        <v>1357</v>
      </c>
    </row>
    <row r="15177" spans="1:13">
      <c r="H15177" t="s">
        <v>24932</v>
      </c>
      <c r="I15177" t="s">
        <v>1358</v>
      </c>
      <c r="J15177" t="s">
        <v>1358</v>
      </c>
      <c r="K15177" t="s">
        <v>1358</v>
      </c>
      <c r="L15177" t="s">
        <v>1358</v>
      </c>
    </row>
    <row r="15178" spans="1:13">
      <c r="H15178" t="s">
        <v>24933</v>
      </c>
      <c r="I15178" t="s">
        <v>1358</v>
      </c>
      <c r="J15178" t="s">
        <v>1358</v>
      </c>
      <c r="K15178" t="s">
        <v>1358</v>
      </c>
      <c r="L15178" t="s">
        <v>1358</v>
      </c>
    </row>
    <row r="15179" spans="1:13">
      <c r="F15179" t="s">
        <v>16901</v>
      </c>
      <c r="G15179" t="s">
        <v>19513</v>
      </c>
      <c r="H15179" t="s">
        <v>24934</v>
      </c>
      <c r="I15179" t="s">
        <v>1358</v>
      </c>
      <c r="J15179" t="s">
        <v>1358</v>
      </c>
      <c r="K15179" t="s">
        <v>1358</v>
      </c>
      <c r="L15179" t="s">
        <v>1358</v>
      </c>
    </row>
    <row r="15180" spans="1:13">
      <c r="H15180" t="s">
        <v>24935</v>
      </c>
      <c r="I15180" t="s">
        <v>1357</v>
      </c>
      <c r="J15180" t="s">
        <v>1357</v>
      </c>
      <c r="K15180" t="s">
        <v>1357</v>
      </c>
      <c r="L15180" t="s">
        <v>1357</v>
      </c>
    </row>
    <row r="15181" spans="1:13">
      <c r="A15181" t="s">
        <v>11385</v>
      </c>
      <c r="B15181">
        <f>HYPERLINK("https://android.googlesource.com/platform/cts/+/909349ea0bc42496d948445178cb587a3325172b", "909349ea0bc42496d948445178cb587a3325172b")</f>
        <v>0</v>
      </c>
      <c r="C15181">
        <f>HYPERLINK("https://android.googlesource.com/platform/cts/+/ec5a8216d3b95cad660dfe5754c4e2845ad022af", "ec5a8216d3b95cad660dfe5754c4e2845ad022af")</f>
        <v>0</v>
      </c>
      <c r="D15181" t="s">
        <v>12387</v>
      </c>
      <c r="E15181" t="s">
        <v>13905</v>
      </c>
      <c r="F15181" t="s">
        <v>16902</v>
      </c>
      <c r="G15181" t="s">
        <v>19514</v>
      </c>
      <c r="H15181" t="s">
        <v>24936</v>
      </c>
      <c r="I15181" t="s">
        <v>1357</v>
      </c>
      <c r="J15181" t="s">
        <v>1357</v>
      </c>
      <c r="K15181" t="s">
        <v>1357</v>
      </c>
      <c r="L15181" t="s">
        <v>1357</v>
      </c>
    </row>
    <row r="15182" spans="1:13">
      <c r="H15182" t="s">
        <v>24937</v>
      </c>
      <c r="I15182" t="s">
        <v>1357</v>
      </c>
      <c r="J15182" t="s">
        <v>1357</v>
      </c>
      <c r="K15182" t="s">
        <v>1357</v>
      </c>
      <c r="L15182" t="s">
        <v>1357</v>
      </c>
    </row>
    <row r="15183" spans="1:13">
      <c r="H15183" t="s">
        <v>24938</v>
      </c>
      <c r="I15183" t="s">
        <v>1357</v>
      </c>
      <c r="J15183" t="s">
        <v>1357</v>
      </c>
      <c r="K15183" t="s">
        <v>1357</v>
      </c>
      <c r="L15183" t="s">
        <v>1357</v>
      </c>
    </row>
    <row r="15184" spans="1:13">
      <c r="H15184" t="s">
        <v>24939</v>
      </c>
      <c r="I15184" t="s">
        <v>1357</v>
      </c>
      <c r="J15184" t="s">
        <v>1357</v>
      </c>
      <c r="K15184" t="s">
        <v>1357</v>
      </c>
      <c r="L15184" t="s">
        <v>1357</v>
      </c>
    </row>
    <row r="15185" spans="1:14">
      <c r="H15185" t="s">
        <v>24940</v>
      </c>
      <c r="I15185" t="s">
        <v>1357</v>
      </c>
      <c r="J15185" t="s">
        <v>1357</v>
      </c>
      <c r="K15185" t="s">
        <v>1357</v>
      </c>
      <c r="L15185" t="s">
        <v>1357</v>
      </c>
    </row>
    <row r="15186" spans="1:14">
      <c r="H15186" t="s">
        <v>24941</v>
      </c>
      <c r="I15186" t="s">
        <v>1357</v>
      </c>
      <c r="J15186" t="s">
        <v>1357</v>
      </c>
      <c r="K15186" t="s">
        <v>1357</v>
      </c>
      <c r="L15186" t="s">
        <v>1357</v>
      </c>
    </row>
    <row r="15187" spans="1:14">
      <c r="H15187" t="s">
        <v>24942</v>
      </c>
      <c r="I15187" t="s">
        <v>1357</v>
      </c>
      <c r="J15187" t="s">
        <v>1357</v>
      </c>
      <c r="K15187" t="s">
        <v>1357</v>
      </c>
      <c r="L15187" t="s">
        <v>1357</v>
      </c>
    </row>
    <row r="15188" spans="1:14">
      <c r="A15188" t="s">
        <v>11386</v>
      </c>
      <c r="B15188">
        <f>HYPERLINK("https://android.googlesource.com/platform/cts/+/e4acae7f8f02de9839f1b0b3545b254396777c2e", "e4acae7f8f02de9839f1b0b3545b254396777c2e")</f>
        <v>0</v>
      </c>
      <c r="C15188">
        <f>HYPERLINK("https://android.googlesource.com/platform/cts/+/10b200e9311d8631023a082a113d62cd9ae520cb", "10b200e9311d8631023a082a113d62cd9ae520cb")</f>
        <v>0</v>
      </c>
      <c r="D15188" t="s">
        <v>12388</v>
      </c>
      <c r="E15188" t="s">
        <v>13906</v>
      </c>
      <c r="F15188" t="s">
        <v>16903</v>
      </c>
      <c r="G15188" t="s">
        <v>19515</v>
      </c>
      <c r="H15188" t="s">
        <v>24943</v>
      </c>
      <c r="I15188" t="s">
        <v>1358</v>
      </c>
      <c r="J15188" t="s">
        <v>1358</v>
      </c>
      <c r="K15188" t="s">
        <v>1358</v>
      </c>
      <c r="L15188" t="s">
        <v>1358</v>
      </c>
    </row>
    <row r="15189" spans="1:14">
      <c r="A15189" t="s">
        <v>11387</v>
      </c>
      <c r="B15189">
        <f>HYPERLINK("https://android.googlesource.com/platform/cts/+/ccfd370f7c345a1e0da5d6c71903c0be81b66046", "ccfd370f7c345a1e0da5d6c71903c0be81b66046")</f>
        <v>0</v>
      </c>
      <c r="C15189">
        <f>HYPERLINK("https://android.googlesource.com/platform/cts/+/70a201393b990a0eb3ad5a7387c7b3d3a4c0951a", "70a201393b990a0eb3ad5a7387c7b3d3a4c0951a")</f>
        <v>0</v>
      </c>
      <c r="D15189" t="s">
        <v>12108</v>
      </c>
      <c r="E15189" t="s">
        <v>13907</v>
      </c>
      <c r="F15189" t="s">
        <v>16904</v>
      </c>
      <c r="G15189" t="s">
        <v>19516</v>
      </c>
      <c r="H15189" t="s">
        <v>24944</v>
      </c>
      <c r="I15189" t="s">
        <v>1357</v>
      </c>
      <c r="J15189" t="s">
        <v>1357</v>
      </c>
      <c r="K15189" t="s">
        <v>1357</v>
      </c>
      <c r="L15189" t="s">
        <v>1357</v>
      </c>
    </row>
    <row r="15190" spans="1:14">
      <c r="A15190" t="s">
        <v>11388</v>
      </c>
      <c r="B15190">
        <f>HYPERLINK("https://android.googlesource.com/platform/cts/+/9390fa136ce8e0bd6fe8472862ef2fedb3aa47da", "9390fa136ce8e0bd6fe8472862ef2fedb3aa47da")</f>
        <v>0</v>
      </c>
      <c r="C15190">
        <f>HYPERLINK("https://android.googlesource.com/platform/cts/+/1d2c79746ecfb1a8bc4e0eb100119a347ce94593", "1d2c79746ecfb1a8bc4e0eb100119a347ce94593")</f>
        <v>0</v>
      </c>
      <c r="D15190" t="s">
        <v>12108</v>
      </c>
      <c r="E15190" t="s">
        <v>13907</v>
      </c>
      <c r="F15190" t="s">
        <v>16904</v>
      </c>
      <c r="G15190" t="s">
        <v>19516</v>
      </c>
      <c r="H15190" t="s">
        <v>24944</v>
      </c>
      <c r="I15190" t="s">
        <v>1357</v>
      </c>
      <c r="J15190" t="s">
        <v>1357</v>
      </c>
      <c r="K15190" t="s">
        <v>1357</v>
      </c>
      <c r="L15190" t="s">
        <v>1357</v>
      </c>
      <c r="M15190" t="s">
        <v>9957</v>
      </c>
    </row>
    <row r="15191" spans="1:14">
      <c r="A15191" t="s">
        <v>11389</v>
      </c>
      <c r="B15191">
        <f>HYPERLINK("https://android.googlesource.com/platform/cts/+/92f090dfe7a47de2a150bee1176c7a24ba9eaea4", "92f090dfe7a47de2a150bee1176c7a24ba9eaea4")</f>
        <v>0</v>
      </c>
      <c r="C15191">
        <f>HYPERLINK("https://android.googlesource.com/platform/cts/+/448a3e0c93820e7df58f11ab77a89d9d7411a899", "448a3e0c93820e7df58f11ab77a89d9d7411a899")</f>
        <v>0</v>
      </c>
      <c r="D15191" t="s">
        <v>12108</v>
      </c>
      <c r="E15191" t="s">
        <v>13907</v>
      </c>
      <c r="F15191" t="s">
        <v>16904</v>
      </c>
      <c r="G15191" t="s">
        <v>19516</v>
      </c>
      <c r="H15191" t="s">
        <v>24944</v>
      </c>
      <c r="I15191" t="s">
        <v>1357</v>
      </c>
      <c r="J15191" t="s">
        <v>1357</v>
      </c>
      <c r="K15191" t="s">
        <v>1357</v>
      </c>
      <c r="L15191" t="s">
        <v>1357</v>
      </c>
      <c r="M15191" t="s">
        <v>9957</v>
      </c>
    </row>
    <row r="15192" spans="1:14">
      <c r="A15192" t="s">
        <v>11390</v>
      </c>
      <c r="B15192">
        <f>HYPERLINK("https://android.googlesource.com/platform/cts/+/6d89b9bfb0e8b8309e19be675ae54567a5332f85", "6d89b9bfb0e8b8309e19be675ae54567a5332f85")</f>
        <v>0</v>
      </c>
      <c r="C15192">
        <f>HYPERLINK("https://android.googlesource.com/platform/cts/+/e8995fddeb54adb5571bec3e1f53843c8d906160", "e8995fddeb54adb5571bec3e1f53843c8d906160")</f>
        <v>0</v>
      </c>
      <c r="D15192" t="s">
        <v>12108</v>
      </c>
      <c r="E15192" t="s">
        <v>13908</v>
      </c>
      <c r="F15192" t="s">
        <v>16904</v>
      </c>
      <c r="G15192" t="s">
        <v>19516</v>
      </c>
      <c r="H15192" t="s">
        <v>24944</v>
      </c>
      <c r="I15192" t="s">
        <v>1357</v>
      </c>
      <c r="J15192" t="s">
        <v>1357</v>
      </c>
      <c r="K15192" t="s">
        <v>1357</v>
      </c>
      <c r="L15192" t="s">
        <v>1357</v>
      </c>
      <c r="M15192" t="s">
        <v>9957</v>
      </c>
    </row>
    <row r="15193" spans="1:14">
      <c r="A15193" t="s">
        <v>11391</v>
      </c>
      <c r="B15193">
        <f>HYPERLINK("https://android.googlesource.com/platform/cts/+/54d2aa9985f2d6172d28d277feda51df40bae829", "54d2aa9985f2d6172d28d277feda51df40bae829")</f>
        <v>0</v>
      </c>
      <c r="C15193">
        <f>HYPERLINK("https://android.googlesource.com/platform/cts/+/e321bc2a1f38a341fdb0392b9d121fae33e9ef9a", "e321bc2a1f38a341fdb0392b9d121fae33e9ef9a")</f>
        <v>0</v>
      </c>
      <c r="D15193" t="s">
        <v>12108</v>
      </c>
      <c r="E15193" t="s">
        <v>13908</v>
      </c>
      <c r="F15193" t="s">
        <v>16904</v>
      </c>
      <c r="G15193" t="s">
        <v>19516</v>
      </c>
      <c r="H15193" t="s">
        <v>24944</v>
      </c>
      <c r="I15193" t="s">
        <v>1357</v>
      </c>
      <c r="J15193" t="s">
        <v>1357</v>
      </c>
      <c r="K15193" t="s">
        <v>1357</v>
      </c>
      <c r="L15193" t="s">
        <v>1357</v>
      </c>
      <c r="M15193" t="s">
        <v>9957</v>
      </c>
    </row>
    <row r="15194" spans="1:14">
      <c r="A15194" t="s">
        <v>11392</v>
      </c>
      <c r="B15194">
        <f>HYPERLINK("https://android.googlesource.com/platform/cts/+/f022b071b5d30361b8f77ab28ba49dafbc896e1e", "f022b071b5d30361b8f77ab28ba49dafbc896e1e")</f>
        <v>0</v>
      </c>
      <c r="C15194">
        <f>HYPERLINK("https://android.googlesource.com/platform/cts/+/0faa1f0840f155958ab31735d18a1a7d9d7f1cc2", "0faa1f0840f155958ab31735d18a1a7d9d7f1cc2")</f>
        <v>0</v>
      </c>
      <c r="D15194" t="s">
        <v>12374</v>
      </c>
      <c r="E15194" t="s">
        <v>13909</v>
      </c>
      <c r="F15194" t="s">
        <v>16890</v>
      </c>
      <c r="G15194" t="s">
        <v>19503</v>
      </c>
      <c r="H15194" t="s">
        <v>24945</v>
      </c>
      <c r="I15194" t="s">
        <v>1359</v>
      </c>
      <c r="J15194" t="s">
        <v>1358</v>
      </c>
      <c r="K15194" t="s">
        <v>1357</v>
      </c>
      <c r="L15194" t="s">
        <v>1358</v>
      </c>
      <c r="N15194" t="s">
        <v>25390</v>
      </c>
    </row>
    <row r="15195" spans="1:14">
      <c r="A15195" t="s">
        <v>11393</v>
      </c>
      <c r="B15195">
        <f>HYPERLINK("https://android.googlesource.com/platform/cts/+/09b9ea21d5d4545ea8cef21d714bc301021b5468", "09b9ea21d5d4545ea8cef21d714bc301021b5468")</f>
        <v>0</v>
      </c>
      <c r="C15195">
        <f>HYPERLINK("https://android.googlesource.com/platform/cts/+/f0076aeb585aa97e9cf3503a5935ac1095e989fc", "f0076aeb585aa97e9cf3503a5935ac1095e989fc")</f>
        <v>0</v>
      </c>
      <c r="D15195" t="s">
        <v>12389</v>
      </c>
      <c r="E15195" t="s">
        <v>13910</v>
      </c>
      <c r="F15195" t="s">
        <v>16905</v>
      </c>
      <c r="G15195" t="s">
        <v>19517</v>
      </c>
      <c r="H15195" t="s">
        <v>24946</v>
      </c>
      <c r="I15195" t="s">
        <v>1357</v>
      </c>
      <c r="J15195" t="s">
        <v>1357</v>
      </c>
      <c r="K15195" t="s">
        <v>1357</v>
      </c>
      <c r="L15195" t="s">
        <v>1357</v>
      </c>
      <c r="N15195" t="s">
        <v>27521</v>
      </c>
    </row>
    <row r="15196" spans="1:14">
      <c r="F15196" t="s">
        <v>16906</v>
      </c>
      <c r="G15196" t="s">
        <v>19518</v>
      </c>
      <c r="H15196" t="s">
        <v>24946</v>
      </c>
      <c r="I15196" t="s">
        <v>1357</v>
      </c>
      <c r="J15196" t="s">
        <v>1357</v>
      </c>
      <c r="K15196" t="s">
        <v>1357</v>
      </c>
      <c r="L15196" t="s">
        <v>1357</v>
      </c>
      <c r="N15196" t="s">
        <v>27521</v>
      </c>
    </row>
    <row r="15197" spans="1:14">
      <c r="A15197" t="s">
        <v>11394</v>
      </c>
      <c r="B15197">
        <f>HYPERLINK("https://android.googlesource.com/platform/cts/+/bbee0bfab532c3e22833dbcdd4495562e70d1b43", "bbee0bfab532c3e22833dbcdd4495562e70d1b43")</f>
        <v>0</v>
      </c>
      <c r="C15197">
        <f>HYPERLINK("https://android.googlesource.com/platform/cts/+/3379691627c48ed350db72ad31fe538b44267703", "3379691627c48ed350db72ad31fe538b44267703")</f>
        <v>0</v>
      </c>
      <c r="D15197" t="s">
        <v>12389</v>
      </c>
      <c r="E15197" t="s">
        <v>13910</v>
      </c>
      <c r="F15197" t="s">
        <v>16905</v>
      </c>
      <c r="G15197" t="s">
        <v>19517</v>
      </c>
      <c r="H15197" t="s">
        <v>24946</v>
      </c>
      <c r="I15197" t="s">
        <v>1357</v>
      </c>
      <c r="J15197" t="s">
        <v>1357</v>
      </c>
      <c r="K15197" t="s">
        <v>1357</v>
      </c>
      <c r="L15197" t="s">
        <v>1357</v>
      </c>
      <c r="M15197" t="s">
        <v>9957</v>
      </c>
      <c r="N15197" t="s">
        <v>27521</v>
      </c>
    </row>
    <row r="15198" spans="1:14">
      <c r="F15198" t="s">
        <v>16906</v>
      </c>
      <c r="G15198" t="s">
        <v>19518</v>
      </c>
      <c r="H15198" t="s">
        <v>24946</v>
      </c>
      <c r="I15198" t="s">
        <v>1357</v>
      </c>
      <c r="J15198" t="s">
        <v>1357</v>
      </c>
      <c r="K15198" t="s">
        <v>1357</v>
      </c>
      <c r="L15198" t="s">
        <v>1357</v>
      </c>
      <c r="N15198" t="s">
        <v>27521</v>
      </c>
    </row>
    <row r="15199" spans="1:14">
      <c r="A15199" t="s">
        <v>11395</v>
      </c>
      <c r="B15199">
        <f>HYPERLINK("https://android.googlesource.com/platform/cts/+/4fb54f1fa131bb03499483b6787c38c039b16060", "4fb54f1fa131bb03499483b6787c38c039b16060")</f>
        <v>0</v>
      </c>
      <c r="C15199">
        <f>HYPERLINK("https://android.googlesource.com/platform/cts/+/7976eeabd477f21bb84cf9c343f800758d142f17", "7976eeabd477f21bb84cf9c343f800758d142f17")</f>
        <v>0</v>
      </c>
      <c r="D15199" t="s">
        <v>12374</v>
      </c>
      <c r="E15199" t="s">
        <v>13909</v>
      </c>
      <c r="F15199" t="s">
        <v>16890</v>
      </c>
      <c r="G15199" t="s">
        <v>19503</v>
      </c>
      <c r="H15199" t="s">
        <v>24945</v>
      </c>
      <c r="I15199" t="s">
        <v>1359</v>
      </c>
      <c r="J15199" t="s">
        <v>1358</v>
      </c>
      <c r="K15199" t="s">
        <v>1357</v>
      </c>
      <c r="L15199" t="s">
        <v>1358</v>
      </c>
      <c r="M15199" t="s">
        <v>9957</v>
      </c>
      <c r="N15199" t="s">
        <v>25390</v>
      </c>
    </row>
    <row r="15200" spans="1:14">
      <c r="A15200" t="s">
        <v>11396</v>
      </c>
      <c r="B15200">
        <f>HYPERLINK("https://android.googlesource.com/platform/cts/+/be0683bc6a0057811480fc74d440db3749873dc3", "be0683bc6a0057811480fc74d440db3749873dc3")</f>
        <v>0</v>
      </c>
      <c r="C15200">
        <f>HYPERLINK("https://android.googlesource.com/platform/cts/+/1fa7a248d198aed79cd52b1a608d70784daeb3e3", "1fa7a248d198aed79cd52b1a608d70784daeb3e3")</f>
        <v>0</v>
      </c>
      <c r="D15200" t="s">
        <v>12270</v>
      </c>
      <c r="E15200" t="s">
        <v>13911</v>
      </c>
      <c r="F15200" t="s">
        <v>16823</v>
      </c>
      <c r="G15200" t="s">
        <v>19442</v>
      </c>
      <c r="H15200" t="s">
        <v>24947</v>
      </c>
      <c r="I15200" t="s">
        <v>1357</v>
      </c>
      <c r="J15200" t="s">
        <v>1357</v>
      </c>
      <c r="K15200" t="s">
        <v>1357</v>
      </c>
      <c r="L15200" t="s">
        <v>1357</v>
      </c>
    </row>
    <row r="15201" spans="1:13">
      <c r="F15201" t="s">
        <v>16907</v>
      </c>
      <c r="G15201" t="s">
        <v>19519</v>
      </c>
      <c r="H15201" t="s">
        <v>24948</v>
      </c>
      <c r="I15201" t="s">
        <v>1357</v>
      </c>
      <c r="J15201" t="s">
        <v>1357</v>
      </c>
      <c r="K15201" t="s">
        <v>1357</v>
      </c>
      <c r="L15201" t="s">
        <v>1357</v>
      </c>
    </row>
    <row r="15202" spans="1:13">
      <c r="H15202" t="s">
        <v>24949</v>
      </c>
      <c r="I15202" t="s">
        <v>1357</v>
      </c>
      <c r="J15202" t="s">
        <v>1357</v>
      </c>
      <c r="K15202" t="s">
        <v>1357</v>
      </c>
      <c r="L15202" t="s">
        <v>1357</v>
      </c>
    </row>
    <row r="15203" spans="1:13">
      <c r="A15203" t="s">
        <v>11397</v>
      </c>
      <c r="B15203">
        <f>HYPERLINK("https://android.googlesource.com/platform/cts/+/d08c53f2b5f8917816f44c227588a1fb14cb7612", "d08c53f2b5f8917816f44c227588a1fb14cb7612")</f>
        <v>0</v>
      </c>
      <c r="C15203">
        <f>HYPERLINK("https://android.googlesource.com/platform/cts/+/24224c0e36b7e6f202dfb477d875a768cc5605c8", "24224c0e36b7e6f202dfb477d875a768cc5605c8")</f>
        <v>0</v>
      </c>
      <c r="D15203" t="s">
        <v>12337</v>
      </c>
      <c r="E15203" t="s">
        <v>13912</v>
      </c>
      <c r="F15203" t="s">
        <v>16908</v>
      </c>
      <c r="G15203" t="s">
        <v>19520</v>
      </c>
      <c r="H15203" t="s">
        <v>24950</v>
      </c>
      <c r="I15203" t="s">
        <v>1357</v>
      </c>
      <c r="J15203" t="s">
        <v>1357</v>
      </c>
      <c r="K15203" t="s">
        <v>1357</v>
      </c>
      <c r="L15203" t="s">
        <v>1357</v>
      </c>
    </row>
    <row r="15204" spans="1:13">
      <c r="F15204" t="s">
        <v>16182</v>
      </c>
      <c r="G15204" t="s">
        <v>18862</v>
      </c>
      <c r="H15204" t="s">
        <v>24951</v>
      </c>
      <c r="I15204" t="s">
        <v>1357</v>
      </c>
      <c r="J15204" t="s">
        <v>1357</v>
      </c>
      <c r="K15204" t="s">
        <v>1357</v>
      </c>
      <c r="L15204" t="s">
        <v>1357</v>
      </c>
    </row>
    <row r="15205" spans="1:13">
      <c r="A15205" t="s">
        <v>11398</v>
      </c>
      <c r="B15205">
        <f>HYPERLINK("https://android.googlesource.com/platform/cts/+/c9c3fde5d5ac014f093f03a9e698d37358747a62", "c9c3fde5d5ac014f093f03a9e698d37358747a62")</f>
        <v>0</v>
      </c>
      <c r="C15205">
        <f>HYPERLINK("https://android.googlesource.com/platform/cts/+/6ca342a0ef73285ae341771e6f95ce344cf811fd", "6ca342a0ef73285ae341771e6f95ce344cf811fd")</f>
        <v>0</v>
      </c>
      <c r="D15205" t="s">
        <v>12360</v>
      </c>
      <c r="E15205" t="s">
        <v>13913</v>
      </c>
      <c r="F15205" t="s">
        <v>16868</v>
      </c>
      <c r="G15205" t="s">
        <v>19481</v>
      </c>
      <c r="H15205" t="s">
        <v>24952</v>
      </c>
      <c r="I15205" t="s">
        <v>1357</v>
      </c>
      <c r="J15205" t="s">
        <v>1357</v>
      </c>
      <c r="K15205" t="s">
        <v>1357</v>
      </c>
      <c r="L15205" t="s">
        <v>1357</v>
      </c>
    </row>
    <row r="15206" spans="1:13">
      <c r="A15206" t="s">
        <v>11399</v>
      </c>
      <c r="B15206">
        <f>HYPERLINK("https://android.googlesource.com/platform/cts/+/32798d7c5eea72af2e5bca2aac3ecc4fc6a8bc1f", "32798d7c5eea72af2e5bca2aac3ecc4fc6a8bc1f")</f>
        <v>0</v>
      </c>
      <c r="C15206">
        <f>HYPERLINK("https://android.googlesource.com/platform/cts/+/c9c3fde5d5ac014f093f03a9e698d37358747a62", "c9c3fde5d5ac014f093f03a9e698d37358747a62")</f>
        <v>0</v>
      </c>
      <c r="D15206" t="s">
        <v>12360</v>
      </c>
      <c r="E15206" t="s">
        <v>13914</v>
      </c>
      <c r="F15206" t="s">
        <v>16868</v>
      </c>
      <c r="G15206" t="s">
        <v>19481</v>
      </c>
      <c r="H15206" t="s">
        <v>24953</v>
      </c>
      <c r="I15206" t="s">
        <v>1357</v>
      </c>
      <c r="J15206" t="s">
        <v>1357</v>
      </c>
      <c r="K15206" t="s">
        <v>1357</v>
      </c>
      <c r="L15206" t="s">
        <v>1357</v>
      </c>
    </row>
    <row r="15207" spans="1:13">
      <c r="A15207" t="s">
        <v>11400</v>
      </c>
      <c r="B15207">
        <f>HYPERLINK("https://android.googlesource.com/platform/cts/+/5ed2c3f8ea18c00eb564e785e58c3b47de553bf0", "5ed2c3f8ea18c00eb564e785e58c3b47de553bf0")</f>
        <v>0</v>
      </c>
      <c r="C15207">
        <f>HYPERLINK("https://android.googlesource.com/platform/cts/+/32798d7c5eea72af2e5bca2aac3ecc4fc6a8bc1f", "32798d7c5eea72af2e5bca2aac3ecc4fc6a8bc1f")</f>
        <v>0</v>
      </c>
      <c r="D15207" t="s">
        <v>12360</v>
      </c>
      <c r="E15207" t="s">
        <v>13915</v>
      </c>
      <c r="F15207" t="s">
        <v>16868</v>
      </c>
      <c r="G15207" t="s">
        <v>19481</v>
      </c>
      <c r="H15207" t="s">
        <v>24954</v>
      </c>
      <c r="I15207" t="s">
        <v>1357</v>
      </c>
      <c r="J15207" t="s">
        <v>1357</v>
      </c>
      <c r="K15207" t="s">
        <v>1357</v>
      </c>
      <c r="L15207" t="s">
        <v>1357</v>
      </c>
    </row>
    <row r="15208" spans="1:13">
      <c r="A15208" t="s">
        <v>11401</v>
      </c>
      <c r="B15208">
        <f>HYPERLINK("https://android.googlesource.com/platform/cts/+/83b1b45fbc7612152c7db87bb3ecfdd2ae65fc3d", "83b1b45fbc7612152c7db87bb3ecfdd2ae65fc3d")</f>
        <v>0</v>
      </c>
      <c r="C15208">
        <f>HYPERLINK("https://android.googlesource.com/platform/cts/+/918ddde8412416e35055e9a0fe9021dcc7744fd8", "918ddde8412416e35055e9a0fe9021dcc7744fd8")</f>
        <v>0</v>
      </c>
      <c r="D15208" t="s">
        <v>12390</v>
      </c>
      <c r="E15208" t="s">
        <v>13916</v>
      </c>
      <c r="F15208" t="s">
        <v>16463</v>
      </c>
      <c r="G15208" t="s">
        <v>18722</v>
      </c>
      <c r="H15208" t="s">
        <v>24955</v>
      </c>
      <c r="I15208" t="s">
        <v>1358</v>
      </c>
      <c r="J15208" t="s">
        <v>1358</v>
      </c>
      <c r="K15208" t="s">
        <v>1358</v>
      </c>
      <c r="L15208" t="s">
        <v>1358</v>
      </c>
    </row>
    <row r="15209" spans="1:13">
      <c r="A15209" t="s">
        <v>11402</v>
      </c>
      <c r="B15209">
        <f>HYPERLINK("https://android.googlesource.com/platform/cts/+/82cc1a4d79e7a450159ecea6e9fb9176de01166b", "82cc1a4d79e7a450159ecea6e9fb9176de01166b")</f>
        <v>0</v>
      </c>
      <c r="C15209">
        <f>HYPERLINK("https://android.googlesource.com/platform/cts/+/5ed789ac41cfaed7d608f9b2c45a3293ed0f8a8b", "5ed789ac41cfaed7d608f9b2c45a3293ed0f8a8b")</f>
        <v>0</v>
      </c>
      <c r="D15209" t="s">
        <v>12390</v>
      </c>
      <c r="E15209" t="s">
        <v>13917</v>
      </c>
      <c r="F15209" t="s">
        <v>16463</v>
      </c>
      <c r="G15209" t="s">
        <v>18722</v>
      </c>
      <c r="H15209" t="s">
        <v>24955</v>
      </c>
      <c r="I15209" t="s">
        <v>1358</v>
      </c>
      <c r="J15209" t="s">
        <v>1358</v>
      </c>
      <c r="K15209" t="s">
        <v>1358</v>
      </c>
      <c r="L15209" t="s">
        <v>1358</v>
      </c>
      <c r="M15209" t="s">
        <v>9957</v>
      </c>
    </row>
    <row r="15210" spans="1:13">
      <c r="A15210" t="s">
        <v>11403</v>
      </c>
      <c r="B15210">
        <f>HYPERLINK("https://android.googlesource.com/platform/cts/+/f762bd55745c1cecbe3386f51bb310ba2422bcf2", "f762bd55745c1cecbe3386f51bb310ba2422bcf2")</f>
        <v>0</v>
      </c>
      <c r="C15210">
        <f>HYPERLINK("https://android.googlesource.com/platform/cts/+/9d9a48de808d34a0dd40ca5d7636b5ef4aa00cd5", "9d9a48de808d34a0dd40ca5d7636b5ef4aa00cd5")</f>
        <v>0</v>
      </c>
      <c r="D15210" t="s">
        <v>12390</v>
      </c>
      <c r="E15210" t="s">
        <v>13918</v>
      </c>
      <c r="F15210" t="s">
        <v>16463</v>
      </c>
      <c r="G15210" t="s">
        <v>18722</v>
      </c>
      <c r="H15210" t="s">
        <v>24955</v>
      </c>
      <c r="I15210" t="s">
        <v>1358</v>
      </c>
      <c r="J15210" t="s">
        <v>1358</v>
      </c>
      <c r="K15210" t="s">
        <v>1358</v>
      </c>
      <c r="L15210" t="s">
        <v>1358</v>
      </c>
      <c r="M15210" t="s">
        <v>9957</v>
      </c>
    </row>
    <row r="15211" spans="1:13">
      <c r="A15211" t="s">
        <v>11404</v>
      </c>
      <c r="B15211">
        <f>HYPERLINK("https://android.googlesource.com/platform/cts/+/6af4bd7e7a4d60138b3e00de4c91592242449bb7", "6af4bd7e7a4d60138b3e00de4c91592242449bb7")</f>
        <v>0</v>
      </c>
      <c r="C15211">
        <f>HYPERLINK("https://android.googlesource.com/platform/cts/+/c1e9b69f502c2f5baed1662cf4814a8a06ceea50", "c1e9b69f502c2f5baed1662cf4814a8a06ceea50")</f>
        <v>0</v>
      </c>
      <c r="D15211" t="s">
        <v>12100</v>
      </c>
      <c r="E15211" t="s">
        <v>13919</v>
      </c>
      <c r="F15211" t="s">
        <v>16207</v>
      </c>
      <c r="G15211" t="s">
        <v>18885</v>
      </c>
      <c r="H15211" t="s">
        <v>24956</v>
      </c>
      <c r="I15211" t="s">
        <v>1357</v>
      </c>
      <c r="J15211" t="s">
        <v>1357</v>
      </c>
      <c r="K15211" t="s">
        <v>1357</v>
      </c>
      <c r="L15211" t="s">
        <v>1357</v>
      </c>
    </row>
    <row r="15212" spans="1:13">
      <c r="A15212" t="s">
        <v>11405</v>
      </c>
      <c r="B15212">
        <f>HYPERLINK("https://android.googlesource.com/platform/cts/+/e2064c34236d1b1be0458b4d3625052d8c39b060", "e2064c34236d1b1be0458b4d3625052d8c39b060")</f>
        <v>0</v>
      </c>
      <c r="C15212">
        <f>HYPERLINK("https://android.googlesource.com/platform/cts/+/d61e778eaf901bccadefe6c64054ff9754e895e8", "d61e778eaf901bccadefe6c64054ff9754e895e8")</f>
        <v>0</v>
      </c>
      <c r="D15212" t="s">
        <v>12108</v>
      </c>
      <c r="E15212" t="s">
        <v>13920</v>
      </c>
      <c r="F15212" t="s">
        <v>16909</v>
      </c>
      <c r="G15212" t="s">
        <v>19521</v>
      </c>
      <c r="H15212" t="s">
        <v>24957</v>
      </c>
      <c r="I15212" t="s">
        <v>1357</v>
      </c>
      <c r="J15212" t="s">
        <v>1357</v>
      </c>
      <c r="K15212" t="s">
        <v>1357</v>
      </c>
      <c r="L15212" t="s">
        <v>1357</v>
      </c>
    </row>
    <row r="15213" spans="1:13">
      <c r="H15213" t="s">
        <v>24958</v>
      </c>
      <c r="I15213" t="s">
        <v>1357</v>
      </c>
      <c r="J15213" t="s">
        <v>1357</v>
      </c>
      <c r="K15213" t="s">
        <v>1357</v>
      </c>
      <c r="L15213" t="s">
        <v>1357</v>
      </c>
    </row>
    <row r="15214" spans="1:13">
      <c r="H15214" t="s">
        <v>24959</v>
      </c>
      <c r="I15214" t="s">
        <v>1357</v>
      </c>
      <c r="J15214" t="s">
        <v>1357</v>
      </c>
      <c r="K15214" t="s">
        <v>1357</v>
      </c>
      <c r="L15214" t="s">
        <v>1357</v>
      </c>
    </row>
    <row r="15215" spans="1:13">
      <c r="H15215" t="s">
        <v>24960</v>
      </c>
      <c r="I15215" t="s">
        <v>1357</v>
      </c>
      <c r="J15215" t="s">
        <v>1357</v>
      </c>
      <c r="K15215" t="s">
        <v>1357</v>
      </c>
      <c r="L15215" t="s">
        <v>1357</v>
      </c>
    </row>
    <row r="15216" spans="1:13">
      <c r="A15216" t="s">
        <v>11406</v>
      </c>
      <c r="B15216">
        <f>HYPERLINK("https://android.googlesource.com/platform/cts/+/9757ed948c02f0000f74ae2752e64b511eb49dcb", "9757ed948c02f0000f74ae2752e64b511eb49dcb")</f>
        <v>0</v>
      </c>
      <c r="C15216">
        <f>HYPERLINK("https://android.googlesource.com/platform/cts/+/d66584847243e450f0e3df13095831f84aeee67e", "d66584847243e450f0e3df13095831f84aeee67e")</f>
        <v>0</v>
      </c>
      <c r="D15216" t="s">
        <v>12163</v>
      </c>
      <c r="E15216" t="s">
        <v>13921</v>
      </c>
      <c r="F15216" t="s">
        <v>16748</v>
      </c>
      <c r="G15216" t="s">
        <v>19377</v>
      </c>
      <c r="H15216" t="s">
        <v>24870</v>
      </c>
      <c r="I15216" t="s">
        <v>1357</v>
      </c>
      <c r="J15216" t="s">
        <v>1357</v>
      </c>
      <c r="K15216" t="s">
        <v>1357</v>
      </c>
      <c r="L15216" t="s">
        <v>1357</v>
      </c>
    </row>
    <row r="15217" spans="8:13">
      <c r="H15217" t="s">
        <v>24871</v>
      </c>
      <c r="I15217" t="s">
        <v>1357</v>
      </c>
      <c r="J15217" t="s">
        <v>1357</v>
      </c>
      <c r="K15217" t="s">
        <v>1357</v>
      </c>
      <c r="L15217" t="s">
        <v>1357</v>
      </c>
    </row>
    <row r="15218" spans="8:13">
      <c r="H15218" t="s">
        <v>24872</v>
      </c>
      <c r="I15218" t="s">
        <v>1357</v>
      </c>
      <c r="J15218" t="s">
        <v>1357</v>
      </c>
      <c r="K15218" t="s">
        <v>1357</v>
      </c>
      <c r="L15218" t="s">
        <v>1357</v>
      </c>
    </row>
    <row r="15219" spans="8:13">
      <c r="H15219" t="s">
        <v>24873</v>
      </c>
      <c r="I15219" t="s">
        <v>1357</v>
      </c>
      <c r="J15219" t="s">
        <v>1357</v>
      </c>
      <c r="K15219" t="s">
        <v>1357</v>
      </c>
      <c r="L15219" t="s">
        <v>1357</v>
      </c>
    </row>
    <row r="15220" spans="8:13">
      <c r="H15220" t="s">
        <v>24874</v>
      </c>
      <c r="I15220" t="s">
        <v>1357</v>
      </c>
      <c r="J15220" t="s">
        <v>1357</v>
      </c>
      <c r="K15220" t="s">
        <v>1357</v>
      </c>
      <c r="L15220" t="s">
        <v>1357</v>
      </c>
    </row>
    <row r="15221" spans="8:13">
      <c r="H15221" t="s">
        <v>24875</v>
      </c>
      <c r="I15221" t="s">
        <v>1357</v>
      </c>
      <c r="J15221" t="s">
        <v>1357</v>
      </c>
      <c r="K15221" t="s">
        <v>1357</v>
      </c>
      <c r="L15221" t="s">
        <v>1357</v>
      </c>
    </row>
    <row r="15222" spans="8:13">
      <c r="H15222" t="s">
        <v>24876</v>
      </c>
      <c r="I15222" t="s">
        <v>1357</v>
      </c>
      <c r="J15222" t="s">
        <v>1357</v>
      </c>
      <c r="K15222" t="s">
        <v>1357</v>
      </c>
      <c r="L15222" t="s">
        <v>1357</v>
      </c>
    </row>
    <row r="15223" spans="8:13">
      <c r="H15223" t="s">
        <v>24877</v>
      </c>
      <c r="I15223" t="s">
        <v>1357</v>
      </c>
      <c r="J15223" t="s">
        <v>1357</v>
      </c>
      <c r="K15223" t="s">
        <v>1357</v>
      </c>
      <c r="L15223" t="s">
        <v>1357</v>
      </c>
    </row>
    <row r="15224" spans="8:13">
      <c r="H15224" t="s">
        <v>24878</v>
      </c>
      <c r="I15224" t="s">
        <v>1357</v>
      </c>
      <c r="J15224" t="s">
        <v>1357</v>
      </c>
      <c r="K15224" t="s">
        <v>1357</v>
      </c>
      <c r="L15224" t="s">
        <v>1357</v>
      </c>
    </row>
    <row r="15225" spans="8:13">
      <c r="H15225" t="s">
        <v>24879</v>
      </c>
      <c r="I15225" t="s">
        <v>1357</v>
      </c>
      <c r="J15225" t="s">
        <v>1357</v>
      </c>
      <c r="K15225" t="s">
        <v>1357</v>
      </c>
      <c r="L15225" t="s">
        <v>1357</v>
      </c>
    </row>
    <row r="15226" spans="8:13">
      <c r="H15226" t="s">
        <v>24880</v>
      </c>
      <c r="I15226" t="s">
        <v>1357</v>
      </c>
      <c r="J15226" t="s">
        <v>1357</v>
      </c>
      <c r="K15226" t="s">
        <v>1357</v>
      </c>
      <c r="L15226" t="s">
        <v>1357</v>
      </c>
    </row>
    <row r="15227" spans="8:13">
      <c r="H15227" t="s">
        <v>24881</v>
      </c>
      <c r="I15227" t="s">
        <v>1357</v>
      </c>
      <c r="J15227" t="s">
        <v>1357</v>
      </c>
      <c r="K15227" t="s">
        <v>1357</v>
      </c>
      <c r="L15227" t="s">
        <v>1357</v>
      </c>
    </row>
    <row r="15228" spans="8:13">
      <c r="H15228" t="s">
        <v>24882</v>
      </c>
      <c r="I15228" t="s">
        <v>1357</v>
      </c>
      <c r="J15228" t="s">
        <v>1357</v>
      </c>
      <c r="K15228" t="s">
        <v>1357</v>
      </c>
      <c r="L15228" t="s">
        <v>1357</v>
      </c>
    </row>
    <row r="15229" spans="8:13">
      <c r="H15229" t="s">
        <v>24883</v>
      </c>
      <c r="I15229" t="s">
        <v>1357</v>
      </c>
      <c r="J15229" t="s">
        <v>1357</v>
      </c>
      <c r="K15229" t="s">
        <v>1357</v>
      </c>
      <c r="L15229" t="s">
        <v>1357</v>
      </c>
      <c r="M15229" t="s">
        <v>9957</v>
      </c>
    </row>
    <row r="15230" spans="8:13">
      <c r="H15230" t="s">
        <v>24884</v>
      </c>
      <c r="I15230" t="s">
        <v>1357</v>
      </c>
      <c r="J15230" t="s">
        <v>1357</v>
      </c>
      <c r="K15230" t="s">
        <v>1357</v>
      </c>
      <c r="L15230" t="s">
        <v>1357</v>
      </c>
    </row>
    <row r="15231" spans="8:13">
      <c r="H15231" t="s">
        <v>24885</v>
      </c>
      <c r="I15231" t="s">
        <v>1357</v>
      </c>
      <c r="J15231" t="s">
        <v>1357</v>
      </c>
      <c r="K15231" t="s">
        <v>1357</v>
      </c>
      <c r="L15231" t="s">
        <v>1357</v>
      </c>
    </row>
    <row r="15232" spans="8:13">
      <c r="H15232" t="s">
        <v>24886</v>
      </c>
      <c r="I15232" t="s">
        <v>1357</v>
      </c>
      <c r="J15232" t="s">
        <v>1357</v>
      </c>
      <c r="K15232" t="s">
        <v>1357</v>
      </c>
      <c r="L15232" t="s">
        <v>1357</v>
      </c>
    </row>
    <row r="15233" spans="1:13">
      <c r="H15233" t="s">
        <v>24887</v>
      </c>
      <c r="I15233" t="s">
        <v>1357</v>
      </c>
      <c r="J15233" t="s">
        <v>1357</v>
      </c>
      <c r="K15233" t="s">
        <v>1357</v>
      </c>
      <c r="L15233" t="s">
        <v>1357</v>
      </c>
    </row>
    <row r="15234" spans="1:13">
      <c r="H15234" t="s">
        <v>24888</v>
      </c>
      <c r="I15234" t="s">
        <v>1357</v>
      </c>
      <c r="J15234" t="s">
        <v>1357</v>
      </c>
      <c r="K15234" t="s">
        <v>1357</v>
      </c>
      <c r="L15234" t="s">
        <v>1357</v>
      </c>
    </row>
    <row r="15235" spans="1:13">
      <c r="F15235" t="s">
        <v>16893</v>
      </c>
      <c r="G15235" t="s">
        <v>19505</v>
      </c>
      <c r="H15235" t="s">
        <v>24889</v>
      </c>
      <c r="I15235" t="s">
        <v>1357</v>
      </c>
      <c r="J15235" t="s">
        <v>1357</v>
      </c>
      <c r="K15235" t="s">
        <v>1357</v>
      </c>
      <c r="L15235" t="s">
        <v>1357</v>
      </c>
    </row>
    <row r="15236" spans="1:13">
      <c r="A15236" t="s">
        <v>11407</v>
      </c>
      <c r="B15236">
        <f>HYPERLINK("https://android.googlesource.com/platform/cts/+/1c9aafbbcf16a532935ebbf446309a0e9292d282", "1c9aafbbcf16a532935ebbf446309a0e9292d282")</f>
        <v>0</v>
      </c>
      <c r="C15236">
        <f>HYPERLINK("https://android.googlesource.com/platform/cts/+/8a1bac93f9bbb80e86539b4d50d290aa24198558", "8a1bac93f9bbb80e86539b4d50d290aa24198558")</f>
        <v>0</v>
      </c>
      <c r="D15236" t="s">
        <v>12391</v>
      </c>
      <c r="E15236" t="s">
        <v>13922</v>
      </c>
      <c r="F15236" t="s">
        <v>16910</v>
      </c>
      <c r="G15236" t="s">
        <v>19522</v>
      </c>
      <c r="H15236" t="s">
        <v>24961</v>
      </c>
      <c r="I15236" t="s">
        <v>1358</v>
      </c>
      <c r="J15236" t="s">
        <v>1358</v>
      </c>
      <c r="K15236" t="s">
        <v>1358</v>
      </c>
      <c r="L15236" t="s">
        <v>1358</v>
      </c>
    </row>
    <row r="15237" spans="1:13">
      <c r="A15237" t="s">
        <v>11408</v>
      </c>
      <c r="B15237">
        <f>HYPERLINK("https://android.googlesource.com/platform/cts/+/8e3d022b648a99041364e598017383f92d731b6d", "8e3d022b648a99041364e598017383f92d731b6d")</f>
        <v>0</v>
      </c>
      <c r="C15237">
        <f>HYPERLINK("https://android.googlesource.com/platform/cts/+/7416bdea2796b42bd24bbfed09fbdcb0d63edd02", "7416bdea2796b42bd24bbfed09fbdcb0d63edd02")</f>
        <v>0</v>
      </c>
      <c r="D15237" t="s">
        <v>12392</v>
      </c>
      <c r="E15237" t="s">
        <v>13923</v>
      </c>
      <c r="F15237" t="s">
        <v>14521</v>
      </c>
      <c r="G15237" t="s">
        <v>17366</v>
      </c>
      <c r="H15237" t="s">
        <v>24962</v>
      </c>
      <c r="I15237" t="s">
        <v>1357</v>
      </c>
      <c r="J15237" t="s">
        <v>1357</v>
      </c>
      <c r="K15237" t="s">
        <v>1357</v>
      </c>
      <c r="L15237" t="s">
        <v>1357</v>
      </c>
    </row>
    <row r="15238" spans="1:13">
      <c r="F15238" t="s">
        <v>16911</v>
      </c>
      <c r="G15238" t="s">
        <v>19523</v>
      </c>
      <c r="H15238" t="s">
        <v>24963</v>
      </c>
      <c r="I15238" t="s">
        <v>1357</v>
      </c>
      <c r="J15238" t="s">
        <v>1357</v>
      </c>
      <c r="K15238" t="s">
        <v>1357</v>
      </c>
      <c r="L15238" t="s">
        <v>1357</v>
      </c>
    </row>
    <row r="15239" spans="1:13">
      <c r="H15239" t="s">
        <v>24964</v>
      </c>
      <c r="I15239" t="s">
        <v>1357</v>
      </c>
      <c r="J15239" t="s">
        <v>1357</v>
      </c>
      <c r="K15239" t="s">
        <v>1357</v>
      </c>
      <c r="L15239" t="s">
        <v>1357</v>
      </c>
    </row>
    <row r="15240" spans="1:13">
      <c r="A15240" t="s">
        <v>11409</v>
      </c>
      <c r="B15240">
        <f>HYPERLINK("https://android.googlesource.com/platform/cts/+/40bc18f8dcaa8c5d15a4283fbebd2832253b1ba4", "40bc18f8dcaa8c5d15a4283fbebd2832253b1ba4")</f>
        <v>0</v>
      </c>
      <c r="C15240">
        <f>HYPERLINK("https://android.googlesource.com/platform/cts/+/d694092800a1302b53a4339203450459a59ec197", "d694092800a1302b53a4339203450459a59ec197")</f>
        <v>0</v>
      </c>
      <c r="D15240" t="s">
        <v>12171</v>
      </c>
      <c r="E15240" t="s">
        <v>13924</v>
      </c>
      <c r="F15240" t="s">
        <v>16912</v>
      </c>
      <c r="G15240" t="s">
        <v>19524</v>
      </c>
      <c r="H15240" t="s">
        <v>24965</v>
      </c>
      <c r="I15240" t="s">
        <v>1357</v>
      </c>
      <c r="J15240" t="s">
        <v>1357</v>
      </c>
      <c r="K15240" t="s">
        <v>1357</v>
      </c>
      <c r="L15240" t="s">
        <v>1357</v>
      </c>
    </row>
    <row r="15241" spans="1:13">
      <c r="A15241" t="s">
        <v>11410</v>
      </c>
      <c r="B15241">
        <f>HYPERLINK("https://android.googlesource.com/platform/cts/+/aab22ebff6a8b6889b571829e9a1be9d06bb4cee", "aab22ebff6a8b6889b571829e9a1be9d06bb4cee")</f>
        <v>0</v>
      </c>
      <c r="C15241">
        <f>HYPERLINK("https://android.googlesource.com/platform/cts/+/1c29eff3b822d70abbac9b13270aecb5ae32693b", "1c29eff3b822d70abbac9b13270aecb5ae32693b")</f>
        <v>0</v>
      </c>
      <c r="D15241" t="s">
        <v>12171</v>
      </c>
      <c r="E15241" t="s">
        <v>13925</v>
      </c>
      <c r="F15241" t="s">
        <v>16912</v>
      </c>
      <c r="G15241" t="s">
        <v>19524</v>
      </c>
      <c r="H15241" t="s">
        <v>24965</v>
      </c>
      <c r="I15241" t="s">
        <v>1357</v>
      </c>
      <c r="J15241" t="s">
        <v>1357</v>
      </c>
      <c r="K15241" t="s">
        <v>1357</v>
      </c>
      <c r="L15241" t="s">
        <v>1357</v>
      </c>
      <c r="M15241" t="s">
        <v>9957</v>
      </c>
    </row>
    <row r="15242" spans="1:13">
      <c r="A15242" t="s">
        <v>11411</v>
      </c>
      <c r="B15242">
        <f>HYPERLINK("https://android.googlesource.com/platform/cts/+/c55056dd13bfb0e8b3d04c5b882e1b5049adfbf9", "c55056dd13bfb0e8b3d04c5b882e1b5049adfbf9")</f>
        <v>0</v>
      </c>
      <c r="C15242">
        <f>HYPERLINK("https://android.googlesource.com/platform/cts/+/e63ef94f984f46c37e2d4adb95f64309351b4cb7", "e63ef94f984f46c37e2d4adb95f64309351b4cb7")</f>
        <v>0</v>
      </c>
      <c r="D15242" t="s">
        <v>12382</v>
      </c>
      <c r="E15242" t="s">
        <v>13926</v>
      </c>
      <c r="F15242" t="s">
        <v>16913</v>
      </c>
      <c r="G15242" t="s">
        <v>19137</v>
      </c>
      <c r="H15242" t="s">
        <v>24966</v>
      </c>
      <c r="I15242" t="s">
        <v>1357</v>
      </c>
      <c r="J15242" t="s">
        <v>1357</v>
      </c>
      <c r="K15242" t="s">
        <v>1357</v>
      </c>
      <c r="L15242" t="s">
        <v>1357</v>
      </c>
    </row>
    <row r="15243" spans="1:13">
      <c r="A15243" t="s">
        <v>11412</v>
      </c>
      <c r="B15243">
        <f>HYPERLINK("https://android.googlesource.com/platform/cts/+/e33cbf95138460868b85770b699822ec0ba1ecc1", "e33cbf95138460868b85770b699822ec0ba1ecc1")</f>
        <v>0</v>
      </c>
      <c r="C15243">
        <f>HYPERLINK("https://android.googlesource.com/platform/cts/+/e0c11bad5efc5a975d637acaa66a5b4d936d3ec3", "e0c11bad5efc5a975d637acaa66a5b4d936d3ec3")</f>
        <v>0</v>
      </c>
      <c r="D15243" t="s">
        <v>12375</v>
      </c>
      <c r="E15243" t="s">
        <v>13927</v>
      </c>
      <c r="F15243" t="s">
        <v>16892</v>
      </c>
      <c r="G15243" t="s">
        <v>19183</v>
      </c>
      <c r="H15243" t="s">
        <v>24896</v>
      </c>
      <c r="I15243" t="s">
        <v>1357</v>
      </c>
      <c r="J15243" t="s">
        <v>1357</v>
      </c>
      <c r="K15243" t="s">
        <v>1357</v>
      </c>
      <c r="L15243" t="s">
        <v>1357</v>
      </c>
    </row>
    <row r="15244" spans="1:13">
      <c r="A15244" t="s">
        <v>11413</v>
      </c>
      <c r="B15244">
        <f>HYPERLINK("https://android.googlesource.com/platform/cts/+/333b4a627bd9005d8f115a15e1938f3aec894ce7", "333b4a627bd9005d8f115a15e1938f3aec894ce7")</f>
        <v>0</v>
      </c>
      <c r="C15244">
        <f>HYPERLINK("https://android.googlesource.com/platform/cts/+/65dc0a4bba0749767e2746cea08a654e51699918", "65dc0a4bba0749767e2746cea08a654e51699918")</f>
        <v>0</v>
      </c>
      <c r="D15244" t="s">
        <v>12393</v>
      </c>
      <c r="E15244" t="s">
        <v>13928</v>
      </c>
      <c r="F15244" t="s">
        <v>16807</v>
      </c>
      <c r="G15244" t="s">
        <v>19428</v>
      </c>
      <c r="H15244" t="s">
        <v>24967</v>
      </c>
      <c r="I15244" t="s">
        <v>1357</v>
      </c>
      <c r="J15244" t="s">
        <v>1357</v>
      </c>
      <c r="K15244" t="s">
        <v>1357</v>
      </c>
      <c r="L15244" t="s">
        <v>1357</v>
      </c>
    </row>
    <row r="15245" spans="1:13">
      <c r="A15245" t="s">
        <v>11414</v>
      </c>
      <c r="B15245">
        <f>HYPERLINK("https://android.googlesource.com/platform/cts/+/935d71a4a157f12a9907139bbc1b6178f541f1f6", "935d71a4a157f12a9907139bbc1b6178f541f1f6")</f>
        <v>0</v>
      </c>
      <c r="C15245">
        <f>HYPERLINK("https://android.googlesource.com/platform/cts/+/7168452074033d83d2767ebfa958331a0c50bbd6", "7168452074033d83d2767ebfa958331a0c50bbd6")</f>
        <v>0</v>
      </c>
      <c r="D15245" t="s">
        <v>12394</v>
      </c>
      <c r="E15245" t="s">
        <v>13929</v>
      </c>
      <c r="F15245" t="s">
        <v>16914</v>
      </c>
      <c r="G15245" t="s">
        <v>19525</v>
      </c>
      <c r="H15245" t="s">
        <v>24968</v>
      </c>
      <c r="I15245" t="s">
        <v>1357</v>
      </c>
      <c r="J15245" t="s">
        <v>1357</v>
      </c>
      <c r="K15245" t="s">
        <v>1357</v>
      </c>
      <c r="L15245" t="s">
        <v>1357</v>
      </c>
    </row>
    <row r="15246" spans="1:13">
      <c r="H15246" t="s">
        <v>24969</v>
      </c>
      <c r="I15246" t="s">
        <v>1357</v>
      </c>
      <c r="J15246" t="s">
        <v>1357</v>
      </c>
      <c r="K15246" t="s">
        <v>1357</v>
      </c>
      <c r="L15246" t="s">
        <v>1357</v>
      </c>
    </row>
    <row r="15247" spans="1:13">
      <c r="H15247" t="s">
        <v>24970</v>
      </c>
      <c r="I15247" t="s">
        <v>1357</v>
      </c>
      <c r="J15247" t="s">
        <v>1357</v>
      </c>
      <c r="K15247" t="s">
        <v>1357</v>
      </c>
      <c r="L15247" t="s">
        <v>1357</v>
      </c>
    </row>
    <row r="15248" spans="1:13">
      <c r="H15248" t="s">
        <v>24971</v>
      </c>
      <c r="I15248" t="s">
        <v>1357</v>
      </c>
      <c r="J15248" t="s">
        <v>1357</v>
      </c>
      <c r="K15248" t="s">
        <v>1357</v>
      </c>
      <c r="L15248" t="s">
        <v>1357</v>
      </c>
    </row>
    <row r="15249" spans="6:12">
      <c r="H15249" t="s">
        <v>24972</v>
      </c>
      <c r="I15249" t="s">
        <v>1357</v>
      </c>
      <c r="J15249" t="s">
        <v>1357</v>
      </c>
      <c r="K15249" t="s">
        <v>1357</v>
      </c>
      <c r="L15249" t="s">
        <v>1357</v>
      </c>
    </row>
    <row r="15250" spans="6:12">
      <c r="H15250" t="s">
        <v>24973</v>
      </c>
      <c r="I15250" t="s">
        <v>1357</v>
      </c>
      <c r="J15250" t="s">
        <v>1357</v>
      </c>
      <c r="K15250" t="s">
        <v>1357</v>
      </c>
      <c r="L15250" t="s">
        <v>1357</v>
      </c>
    </row>
    <row r="15251" spans="6:12">
      <c r="F15251" t="s">
        <v>16915</v>
      </c>
      <c r="G15251" t="s">
        <v>19526</v>
      </c>
      <c r="H15251" t="s">
        <v>24974</v>
      </c>
      <c r="I15251" t="s">
        <v>1357</v>
      </c>
      <c r="J15251" t="s">
        <v>1357</v>
      </c>
      <c r="K15251" t="s">
        <v>1357</v>
      </c>
      <c r="L15251" t="s">
        <v>1357</v>
      </c>
    </row>
    <row r="15252" spans="6:12">
      <c r="H15252" t="s">
        <v>24975</v>
      </c>
      <c r="I15252" t="s">
        <v>1357</v>
      </c>
      <c r="J15252" t="s">
        <v>1357</v>
      </c>
      <c r="K15252" t="s">
        <v>1357</v>
      </c>
      <c r="L15252" t="s">
        <v>1357</v>
      </c>
    </row>
    <row r="15253" spans="6:12">
      <c r="H15253" t="s">
        <v>24976</v>
      </c>
      <c r="I15253" t="s">
        <v>1357</v>
      </c>
      <c r="J15253" t="s">
        <v>1357</v>
      </c>
      <c r="K15253" t="s">
        <v>1357</v>
      </c>
      <c r="L15253" t="s">
        <v>1357</v>
      </c>
    </row>
    <row r="15254" spans="6:12">
      <c r="H15254" t="s">
        <v>24977</v>
      </c>
      <c r="I15254" t="s">
        <v>1357</v>
      </c>
      <c r="J15254" t="s">
        <v>1357</v>
      </c>
      <c r="K15254" t="s">
        <v>1357</v>
      </c>
      <c r="L15254" t="s">
        <v>1357</v>
      </c>
    </row>
    <row r="15255" spans="6:12">
      <c r="H15255" t="s">
        <v>24978</v>
      </c>
      <c r="I15255" t="s">
        <v>1357</v>
      </c>
      <c r="J15255" t="s">
        <v>1357</v>
      </c>
      <c r="K15255" t="s">
        <v>1357</v>
      </c>
      <c r="L15255" t="s">
        <v>1357</v>
      </c>
    </row>
    <row r="15256" spans="6:12">
      <c r="H15256" t="s">
        <v>24979</v>
      </c>
      <c r="I15256" t="s">
        <v>1357</v>
      </c>
      <c r="J15256" t="s">
        <v>1357</v>
      </c>
      <c r="K15256" t="s">
        <v>1357</v>
      </c>
      <c r="L15256" t="s">
        <v>1357</v>
      </c>
    </row>
    <row r="15257" spans="6:12">
      <c r="H15257" t="s">
        <v>24980</v>
      </c>
      <c r="I15257" t="s">
        <v>1357</v>
      </c>
      <c r="J15257" t="s">
        <v>1357</v>
      </c>
      <c r="K15257" t="s">
        <v>1357</v>
      </c>
      <c r="L15257" t="s">
        <v>1357</v>
      </c>
    </row>
    <row r="15258" spans="6:12">
      <c r="H15258" t="s">
        <v>24981</v>
      </c>
      <c r="I15258" t="s">
        <v>1357</v>
      </c>
      <c r="J15258" t="s">
        <v>1357</v>
      </c>
      <c r="K15258" t="s">
        <v>1357</v>
      </c>
      <c r="L15258" t="s">
        <v>1357</v>
      </c>
    </row>
    <row r="15259" spans="6:12">
      <c r="H15259" t="s">
        <v>24982</v>
      </c>
      <c r="I15259" t="s">
        <v>1357</v>
      </c>
      <c r="J15259" t="s">
        <v>1357</v>
      </c>
      <c r="K15259" t="s">
        <v>1357</v>
      </c>
      <c r="L15259" t="s">
        <v>1357</v>
      </c>
    </row>
    <row r="15260" spans="6:12">
      <c r="F15260" t="s">
        <v>16916</v>
      </c>
      <c r="G15260" t="s">
        <v>19527</v>
      </c>
      <c r="H15260" t="s">
        <v>24983</v>
      </c>
      <c r="I15260" t="s">
        <v>1357</v>
      </c>
      <c r="J15260" t="s">
        <v>1357</v>
      </c>
      <c r="K15260" t="s">
        <v>1357</v>
      </c>
      <c r="L15260" t="s">
        <v>1357</v>
      </c>
    </row>
    <row r="15261" spans="6:12">
      <c r="H15261" t="s">
        <v>24984</v>
      </c>
      <c r="I15261" t="s">
        <v>1357</v>
      </c>
      <c r="J15261" t="s">
        <v>1357</v>
      </c>
      <c r="K15261" t="s">
        <v>1357</v>
      </c>
      <c r="L15261" t="s">
        <v>1357</v>
      </c>
    </row>
    <row r="15262" spans="6:12">
      <c r="F15262" t="s">
        <v>16917</v>
      </c>
      <c r="G15262" t="s">
        <v>19528</v>
      </c>
      <c r="H15262" t="s">
        <v>8862</v>
      </c>
      <c r="I15262" t="s">
        <v>1357</v>
      </c>
      <c r="J15262" t="s">
        <v>1357</v>
      </c>
      <c r="K15262" t="s">
        <v>1357</v>
      </c>
      <c r="L15262" t="s">
        <v>1357</v>
      </c>
    </row>
    <row r="15263" spans="6:12">
      <c r="H15263" t="s">
        <v>24985</v>
      </c>
      <c r="I15263" t="s">
        <v>1357</v>
      </c>
      <c r="J15263" t="s">
        <v>1357</v>
      </c>
      <c r="K15263" t="s">
        <v>1357</v>
      </c>
      <c r="L15263" t="s">
        <v>1357</v>
      </c>
    </row>
    <row r="15264" spans="6:12">
      <c r="H15264" t="s">
        <v>24986</v>
      </c>
      <c r="I15264" t="s">
        <v>1357</v>
      </c>
      <c r="J15264" t="s">
        <v>1357</v>
      </c>
      <c r="K15264" t="s">
        <v>1357</v>
      </c>
      <c r="L15264" t="s">
        <v>1357</v>
      </c>
    </row>
    <row r="15265" spans="6:12">
      <c r="H15265" t="s">
        <v>24987</v>
      </c>
      <c r="I15265" t="s">
        <v>1357</v>
      </c>
      <c r="J15265" t="s">
        <v>1357</v>
      </c>
      <c r="K15265" t="s">
        <v>1357</v>
      </c>
      <c r="L15265" t="s">
        <v>1357</v>
      </c>
    </row>
    <row r="15266" spans="6:12">
      <c r="H15266" t="s">
        <v>24988</v>
      </c>
      <c r="I15266" t="s">
        <v>1357</v>
      </c>
      <c r="J15266" t="s">
        <v>1357</v>
      </c>
      <c r="K15266" t="s">
        <v>1357</v>
      </c>
      <c r="L15266" t="s">
        <v>1357</v>
      </c>
    </row>
    <row r="15267" spans="6:12">
      <c r="H15267" t="s">
        <v>24989</v>
      </c>
      <c r="I15267" t="s">
        <v>1357</v>
      </c>
      <c r="J15267" t="s">
        <v>1357</v>
      </c>
      <c r="K15267" t="s">
        <v>1357</v>
      </c>
      <c r="L15267" t="s">
        <v>1357</v>
      </c>
    </row>
    <row r="15268" spans="6:12">
      <c r="H15268" t="s">
        <v>24990</v>
      </c>
      <c r="I15268" t="s">
        <v>1357</v>
      </c>
      <c r="J15268" t="s">
        <v>1357</v>
      </c>
      <c r="K15268" t="s">
        <v>1357</v>
      </c>
      <c r="L15268" t="s">
        <v>1357</v>
      </c>
    </row>
    <row r="15269" spans="6:12">
      <c r="H15269" t="s">
        <v>24991</v>
      </c>
      <c r="I15269" t="s">
        <v>1357</v>
      </c>
      <c r="J15269" t="s">
        <v>1357</v>
      </c>
      <c r="K15269" t="s">
        <v>1357</v>
      </c>
      <c r="L15269" t="s">
        <v>1357</v>
      </c>
    </row>
    <row r="15270" spans="6:12">
      <c r="H15270" t="s">
        <v>24992</v>
      </c>
      <c r="I15270" t="s">
        <v>1357</v>
      </c>
      <c r="J15270" t="s">
        <v>1357</v>
      </c>
      <c r="K15270" t="s">
        <v>1357</v>
      </c>
      <c r="L15270" t="s">
        <v>1357</v>
      </c>
    </row>
    <row r="15271" spans="6:12">
      <c r="H15271" t="s">
        <v>24993</v>
      </c>
      <c r="I15271" t="s">
        <v>1357</v>
      </c>
      <c r="J15271" t="s">
        <v>1357</v>
      </c>
      <c r="K15271" t="s">
        <v>1357</v>
      </c>
      <c r="L15271" t="s">
        <v>1357</v>
      </c>
    </row>
    <row r="15272" spans="6:12">
      <c r="H15272" t="s">
        <v>24994</v>
      </c>
      <c r="I15272" t="s">
        <v>1357</v>
      </c>
      <c r="J15272" t="s">
        <v>1357</v>
      </c>
      <c r="K15272" t="s">
        <v>1357</v>
      </c>
      <c r="L15272" t="s">
        <v>1357</v>
      </c>
    </row>
    <row r="15273" spans="6:12">
      <c r="H15273" t="s">
        <v>24995</v>
      </c>
      <c r="I15273" t="s">
        <v>1357</v>
      </c>
      <c r="J15273" t="s">
        <v>1357</v>
      </c>
      <c r="K15273" t="s">
        <v>1357</v>
      </c>
      <c r="L15273" t="s">
        <v>1357</v>
      </c>
    </row>
    <row r="15274" spans="6:12">
      <c r="H15274" t="s">
        <v>24996</v>
      </c>
      <c r="I15274" t="s">
        <v>1357</v>
      </c>
      <c r="J15274" t="s">
        <v>1357</v>
      </c>
      <c r="K15274" t="s">
        <v>1357</v>
      </c>
      <c r="L15274" t="s">
        <v>1357</v>
      </c>
    </row>
    <row r="15275" spans="6:12">
      <c r="H15275" t="s">
        <v>24997</v>
      </c>
      <c r="I15275" t="s">
        <v>1357</v>
      </c>
      <c r="J15275" t="s">
        <v>1357</v>
      </c>
      <c r="K15275" t="s">
        <v>1357</v>
      </c>
      <c r="L15275" t="s">
        <v>1357</v>
      </c>
    </row>
    <row r="15276" spans="6:12">
      <c r="H15276" t="s">
        <v>24998</v>
      </c>
      <c r="I15276" t="s">
        <v>1357</v>
      </c>
      <c r="J15276" t="s">
        <v>1357</v>
      </c>
      <c r="K15276" t="s">
        <v>1357</v>
      </c>
      <c r="L15276" t="s">
        <v>1357</v>
      </c>
    </row>
    <row r="15277" spans="6:12">
      <c r="F15277" t="s">
        <v>16918</v>
      </c>
      <c r="G15277" t="s">
        <v>19529</v>
      </c>
      <c r="H15277" t="s">
        <v>24999</v>
      </c>
      <c r="I15277" t="s">
        <v>1357</v>
      </c>
      <c r="J15277" t="s">
        <v>1357</v>
      </c>
      <c r="K15277" t="s">
        <v>1357</v>
      </c>
      <c r="L15277" t="s">
        <v>1357</v>
      </c>
    </row>
    <row r="15278" spans="6:12">
      <c r="H15278" t="s">
        <v>25000</v>
      </c>
      <c r="I15278" t="s">
        <v>1357</v>
      </c>
      <c r="J15278" t="s">
        <v>1357</v>
      </c>
      <c r="K15278" t="s">
        <v>1357</v>
      </c>
      <c r="L15278" t="s">
        <v>1357</v>
      </c>
    </row>
    <row r="15279" spans="6:12">
      <c r="H15279" t="s">
        <v>25001</v>
      </c>
      <c r="I15279" t="s">
        <v>1357</v>
      </c>
      <c r="J15279" t="s">
        <v>1357</v>
      </c>
      <c r="K15279" t="s">
        <v>1357</v>
      </c>
      <c r="L15279" t="s">
        <v>1357</v>
      </c>
    </row>
    <row r="15280" spans="6:12">
      <c r="H15280" t="s">
        <v>25002</v>
      </c>
      <c r="I15280" t="s">
        <v>1357</v>
      </c>
      <c r="J15280" t="s">
        <v>1357</v>
      </c>
      <c r="K15280" t="s">
        <v>1357</v>
      </c>
      <c r="L15280" t="s">
        <v>1357</v>
      </c>
    </row>
    <row r="15281" spans="6:12">
      <c r="F15281" t="s">
        <v>16919</v>
      </c>
      <c r="G15281" t="s">
        <v>19530</v>
      </c>
      <c r="H15281" t="s">
        <v>25003</v>
      </c>
      <c r="I15281" t="s">
        <v>1357</v>
      </c>
      <c r="J15281" t="s">
        <v>1357</v>
      </c>
      <c r="K15281" t="s">
        <v>1357</v>
      </c>
      <c r="L15281" t="s">
        <v>1357</v>
      </c>
    </row>
    <row r="15282" spans="6:12">
      <c r="H15282" t="s">
        <v>25004</v>
      </c>
      <c r="I15282" t="s">
        <v>1357</v>
      </c>
      <c r="J15282" t="s">
        <v>1357</v>
      </c>
      <c r="K15282" t="s">
        <v>1357</v>
      </c>
      <c r="L15282" t="s">
        <v>1357</v>
      </c>
    </row>
    <row r="15283" spans="6:12">
      <c r="H15283" t="s">
        <v>25005</v>
      </c>
      <c r="I15283" t="s">
        <v>1357</v>
      </c>
      <c r="J15283" t="s">
        <v>1357</v>
      </c>
      <c r="K15283" t="s">
        <v>1357</v>
      </c>
      <c r="L15283" t="s">
        <v>1357</v>
      </c>
    </row>
    <row r="15284" spans="6:12">
      <c r="F15284" t="s">
        <v>16920</v>
      </c>
      <c r="G15284" t="s">
        <v>19531</v>
      </c>
      <c r="H15284" t="s">
        <v>25006</v>
      </c>
      <c r="I15284" t="s">
        <v>1357</v>
      </c>
      <c r="J15284" t="s">
        <v>1357</v>
      </c>
      <c r="K15284" t="s">
        <v>1357</v>
      </c>
      <c r="L15284" t="s">
        <v>1357</v>
      </c>
    </row>
    <row r="15285" spans="6:12">
      <c r="F15285" t="s">
        <v>16921</v>
      </c>
      <c r="G15285" t="s">
        <v>19532</v>
      </c>
      <c r="H15285" t="s">
        <v>25007</v>
      </c>
      <c r="I15285" t="s">
        <v>1357</v>
      </c>
      <c r="J15285" t="s">
        <v>1357</v>
      </c>
      <c r="K15285" t="s">
        <v>1357</v>
      </c>
      <c r="L15285" t="s">
        <v>1357</v>
      </c>
    </row>
    <row r="15286" spans="6:12">
      <c r="H15286" t="s">
        <v>25008</v>
      </c>
      <c r="I15286" t="s">
        <v>1357</v>
      </c>
      <c r="J15286" t="s">
        <v>1357</v>
      </c>
      <c r="K15286" t="s">
        <v>1357</v>
      </c>
      <c r="L15286" t="s">
        <v>1357</v>
      </c>
    </row>
    <row r="15287" spans="6:12">
      <c r="H15287" t="s">
        <v>25009</v>
      </c>
      <c r="I15287" t="s">
        <v>1357</v>
      </c>
      <c r="J15287" t="s">
        <v>1357</v>
      </c>
      <c r="K15287" t="s">
        <v>1357</v>
      </c>
      <c r="L15287" t="s">
        <v>1357</v>
      </c>
    </row>
    <row r="15288" spans="6:12">
      <c r="H15288" t="s">
        <v>25010</v>
      </c>
      <c r="I15288" t="s">
        <v>1357</v>
      </c>
      <c r="J15288" t="s">
        <v>1357</v>
      </c>
      <c r="K15288" t="s">
        <v>1357</v>
      </c>
      <c r="L15288" t="s">
        <v>1357</v>
      </c>
    </row>
    <row r="15289" spans="6:12">
      <c r="H15289" t="s">
        <v>25011</v>
      </c>
      <c r="I15289" t="s">
        <v>1357</v>
      </c>
      <c r="J15289" t="s">
        <v>1357</v>
      </c>
      <c r="K15289" t="s">
        <v>1357</v>
      </c>
      <c r="L15289" t="s">
        <v>1357</v>
      </c>
    </row>
    <row r="15290" spans="6:12">
      <c r="H15290" t="s">
        <v>25012</v>
      </c>
      <c r="I15290" t="s">
        <v>1357</v>
      </c>
      <c r="J15290" t="s">
        <v>1357</v>
      </c>
      <c r="K15290" t="s">
        <v>1357</v>
      </c>
      <c r="L15290" t="s">
        <v>1357</v>
      </c>
    </row>
    <row r="15291" spans="6:12">
      <c r="H15291" t="s">
        <v>25013</v>
      </c>
      <c r="I15291" t="s">
        <v>1357</v>
      </c>
      <c r="J15291" t="s">
        <v>1357</v>
      </c>
      <c r="K15291" t="s">
        <v>1357</v>
      </c>
      <c r="L15291" t="s">
        <v>1357</v>
      </c>
    </row>
    <row r="15292" spans="6:12">
      <c r="H15292" t="s">
        <v>25014</v>
      </c>
      <c r="I15292" t="s">
        <v>1357</v>
      </c>
      <c r="J15292" t="s">
        <v>1357</v>
      </c>
      <c r="K15292" t="s">
        <v>1357</v>
      </c>
      <c r="L15292" t="s">
        <v>1357</v>
      </c>
    </row>
    <row r="15293" spans="6:12">
      <c r="H15293" t="s">
        <v>25015</v>
      </c>
      <c r="I15293" t="s">
        <v>1357</v>
      </c>
      <c r="J15293" t="s">
        <v>1357</v>
      </c>
      <c r="K15293" t="s">
        <v>1357</v>
      </c>
      <c r="L15293" t="s">
        <v>1357</v>
      </c>
    </row>
    <row r="15294" spans="6:12">
      <c r="H15294" t="s">
        <v>25016</v>
      </c>
      <c r="I15294" t="s">
        <v>1357</v>
      </c>
      <c r="J15294" t="s">
        <v>1357</v>
      </c>
      <c r="K15294" t="s">
        <v>1357</v>
      </c>
      <c r="L15294" t="s">
        <v>1357</v>
      </c>
    </row>
    <row r="15295" spans="6:12">
      <c r="H15295" t="s">
        <v>25017</v>
      </c>
      <c r="I15295" t="s">
        <v>1357</v>
      </c>
      <c r="J15295" t="s">
        <v>1357</v>
      </c>
      <c r="K15295" t="s">
        <v>1357</v>
      </c>
      <c r="L15295" t="s">
        <v>1357</v>
      </c>
    </row>
    <row r="15296" spans="6:12">
      <c r="F15296" t="s">
        <v>14522</v>
      </c>
      <c r="G15296" t="s">
        <v>17367</v>
      </c>
      <c r="H15296" t="s">
        <v>25018</v>
      </c>
      <c r="I15296" t="s">
        <v>1357</v>
      </c>
      <c r="J15296" t="s">
        <v>1357</v>
      </c>
      <c r="K15296" t="s">
        <v>1357</v>
      </c>
      <c r="L15296" t="s">
        <v>1357</v>
      </c>
    </row>
    <row r="15297" spans="8:12">
      <c r="H15297" t="s">
        <v>21226</v>
      </c>
      <c r="I15297" t="s">
        <v>1357</v>
      </c>
      <c r="J15297" t="s">
        <v>1357</v>
      </c>
      <c r="K15297" t="s">
        <v>1357</v>
      </c>
      <c r="L15297" t="s">
        <v>1357</v>
      </c>
    </row>
    <row r="15298" spans="8:12">
      <c r="H15298" t="s">
        <v>25019</v>
      </c>
      <c r="I15298" t="s">
        <v>1357</v>
      </c>
      <c r="J15298" t="s">
        <v>1357</v>
      </c>
      <c r="K15298" t="s">
        <v>1357</v>
      </c>
      <c r="L15298" t="s">
        <v>1357</v>
      </c>
    </row>
    <row r="15299" spans="8:12">
      <c r="H15299" t="s">
        <v>25020</v>
      </c>
      <c r="I15299" t="s">
        <v>1357</v>
      </c>
      <c r="J15299" t="s">
        <v>1357</v>
      </c>
      <c r="K15299" t="s">
        <v>1357</v>
      </c>
      <c r="L15299" t="s">
        <v>1357</v>
      </c>
    </row>
    <row r="15300" spans="8:12">
      <c r="H15300" t="s">
        <v>25021</v>
      </c>
      <c r="I15300" t="s">
        <v>1357</v>
      </c>
      <c r="J15300" t="s">
        <v>1357</v>
      </c>
      <c r="K15300" t="s">
        <v>1357</v>
      </c>
      <c r="L15300" t="s">
        <v>1357</v>
      </c>
    </row>
    <row r="15301" spans="8:12">
      <c r="H15301" t="s">
        <v>25022</v>
      </c>
      <c r="I15301" t="s">
        <v>1357</v>
      </c>
      <c r="J15301" t="s">
        <v>1357</v>
      </c>
      <c r="K15301" t="s">
        <v>1357</v>
      </c>
      <c r="L15301" t="s">
        <v>1357</v>
      </c>
    </row>
    <row r="15302" spans="8:12">
      <c r="H15302" t="s">
        <v>25023</v>
      </c>
      <c r="I15302" t="s">
        <v>1357</v>
      </c>
      <c r="J15302" t="s">
        <v>1357</v>
      </c>
      <c r="K15302" t="s">
        <v>1357</v>
      </c>
      <c r="L15302" t="s">
        <v>1357</v>
      </c>
    </row>
    <row r="15303" spans="8:12">
      <c r="H15303" t="s">
        <v>25024</v>
      </c>
      <c r="I15303" t="s">
        <v>1357</v>
      </c>
      <c r="J15303" t="s">
        <v>1357</v>
      </c>
      <c r="K15303" t="s">
        <v>1357</v>
      </c>
      <c r="L15303" t="s">
        <v>1357</v>
      </c>
    </row>
    <row r="15304" spans="8:12">
      <c r="H15304" t="s">
        <v>25025</v>
      </c>
      <c r="I15304" t="s">
        <v>1357</v>
      </c>
      <c r="J15304" t="s">
        <v>1357</v>
      </c>
      <c r="K15304" t="s">
        <v>1357</v>
      </c>
      <c r="L15304" t="s">
        <v>1357</v>
      </c>
    </row>
    <row r="15305" spans="8:12">
      <c r="H15305" t="s">
        <v>21921</v>
      </c>
      <c r="I15305" t="s">
        <v>1357</v>
      </c>
      <c r="J15305" t="s">
        <v>1357</v>
      </c>
      <c r="K15305" t="s">
        <v>1357</v>
      </c>
      <c r="L15305" t="s">
        <v>1357</v>
      </c>
    </row>
    <row r="15306" spans="8:12">
      <c r="H15306" t="s">
        <v>5894</v>
      </c>
      <c r="I15306" t="s">
        <v>1357</v>
      </c>
      <c r="J15306" t="s">
        <v>1357</v>
      </c>
      <c r="K15306" t="s">
        <v>1357</v>
      </c>
      <c r="L15306" t="s">
        <v>1357</v>
      </c>
    </row>
    <row r="15307" spans="8:12">
      <c r="H15307" t="s">
        <v>25026</v>
      </c>
      <c r="I15307" t="s">
        <v>1357</v>
      </c>
      <c r="J15307" t="s">
        <v>1357</v>
      </c>
      <c r="K15307" t="s">
        <v>1357</v>
      </c>
      <c r="L15307" t="s">
        <v>1357</v>
      </c>
    </row>
    <row r="15308" spans="8:12">
      <c r="H15308" t="s">
        <v>25027</v>
      </c>
      <c r="I15308" t="s">
        <v>1357</v>
      </c>
      <c r="J15308" t="s">
        <v>1357</v>
      </c>
      <c r="K15308" t="s">
        <v>1357</v>
      </c>
      <c r="L15308" t="s">
        <v>1357</v>
      </c>
    </row>
    <row r="15309" spans="8:12">
      <c r="H15309" t="s">
        <v>25028</v>
      </c>
      <c r="I15309" t="s">
        <v>1357</v>
      </c>
      <c r="J15309" t="s">
        <v>1357</v>
      </c>
      <c r="K15309" t="s">
        <v>1357</v>
      </c>
      <c r="L15309" t="s">
        <v>1357</v>
      </c>
    </row>
    <row r="15310" spans="8:12">
      <c r="H15310" t="s">
        <v>25029</v>
      </c>
      <c r="I15310" t="s">
        <v>1357</v>
      </c>
      <c r="J15310" t="s">
        <v>1357</v>
      </c>
      <c r="K15310" t="s">
        <v>1357</v>
      </c>
      <c r="L15310" t="s">
        <v>1357</v>
      </c>
    </row>
    <row r="15311" spans="8:12">
      <c r="H15311" t="s">
        <v>25030</v>
      </c>
      <c r="I15311" t="s">
        <v>1357</v>
      </c>
      <c r="J15311" t="s">
        <v>1357</v>
      </c>
      <c r="K15311" t="s">
        <v>1357</v>
      </c>
      <c r="L15311" t="s">
        <v>1357</v>
      </c>
    </row>
    <row r="15312" spans="8:12">
      <c r="H15312" t="s">
        <v>25031</v>
      </c>
      <c r="I15312" t="s">
        <v>1357</v>
      </c>
      <c r="J15312" t="s">
        <v>1357</v>
      </c>
      <c r="K15312" t="s">
        <v>1357</v>
      </c>
      <c r="L15312" t="s">
        <v>1357</v>
      </c>
    </row>
    <row r="15313" spans="6:12">
      <c r="H15313" t="s">
        <v>25032</v>
      </c>
      <c r="I15313" t="s">
        <v>1357</v>
      </c>
      <c r="J15313" t="s">
        <v>1357</v>
      </c>
      <c r="K15313" t="s">
        <v>1357</v>
      </c>
      <c r="L15313" t="s">
        <v>1357</v>
      </c>
    </row>
    <row r="15314" spans="6:12">
      <c r="H15314" t="s">
        <v>25033</v>
      </c>
      <c r="I15314" t="s">
        <v>1357</v>
      </c>
      <c r="J15314" t="s">
        <v>1357</v>
      </c>
      <c r="K15314" t="s">
        <v>1357</v>
      </c>
      <c r="L15314" t="s">
        <v>1357</v>
      </c>
    </row>
    <row r="15315" spans="6:12">
      <c r="H15315" t="s">
        <v>25034</v>
      </c>
      <c r="I15315" t="s">
        <v>1357</v>
      </c>
      <c r="J15315" t="s">
        <v>1357</v>
      </c>
      <c r="K15315" t="s">
        <v>1357</v>
      </c>
      <c r="L15315" t="s">
        <v>1357</v>
      </c>
    </row>
    <row r="15316" spans="6:12">
      <c r="H15316" t="s">
        <v>25035</v>
      </c>
      <c r="I15316" t="s">
        <v>1357</v>
      </c>
      <c r="J15316" t="s">
        <v>1357</v>
      </c>
      <c r="K15316" t="s">
        <v>1357</v>
      </c>
      <c r="L15316" t="s">
        <v>1357</v>
      </c>
    </row>
    <row r="15317" spans="6:12">
      <c r="H15317" t="s">
        <v>25036</v>
      </c>
      <c r="I15317" t="s">
        <v>1357</v>
      </c>
      <c r="J15317" t="s">
        <v>1357</v>
      </c>
      <c r="K15317" t="s">
        <v>1357</v>
      </c>
      <c r="L15317" t="s">
        <v>1357</v>
      </c>
    </row>
    <row r="15318" spans="6:12">
      <c r="H15318" t="s">
        <v>25037</v>
      </c>
      <c r="I15318" t="s">
        <v>1357</v>
      </c>
      <c r="J15318" t="s">
        <v>1357</v>
      </c>
      <c r="K15318" t="s">
        <v>1357</v>
      </c>
      <c r="L15318" t="s">
        <v>1357</v>
      </c>
    </row>
    <row r="15319" spans="6:12">
      <c r="H15319" t="s">
        <v>25038</v>
      </c>
      <c r="I15319" t="s">
        <v>1357</v>
      </c>
      <c r="J15319" t="s">
        <v>1357</v>
      </c>
      <c r="K15319" t="s">
        <v>1357</v>
      </c>
      <c r="L15319" t="s">
        <v>1357</v>
      </c>
    </row>
    <row r="15320" spans="6:12">
      <c r="H15320" t="s">
        <v>25039</v>
      </c>
      <c r="I15320" t="s">
        <v>1357</v>
      </c>
      <c r="J15320" t="s">
        <v>1357</v>
      </c>
      <c r="K15320" t="s">
        <v>1357</v>
      </c>
      <c r="L15320" t="s">
        <v>1357</v>
      </c>
    </row>
    <row r="15321" spans="6:12">
      <c r="H15321" t="s">
        <v>25040</v>
      </c>
      <c r="I15321" t="s">
        <v>1357</v>
      </c>
      <c r="J15321" t="s">
        <v>1357</v>
      </c>
      <c r="K15321" t="s">
        <v>1357</v>
      </c>
      <c r="L15321" t="s">
        <v>1357</v>
      </c>
    </row>
    <row r="15322" spans="6:12">
      <c r="F15322" t="s">
        <v>16922</v>
      </c>
      <c r="G15322" t="s">
        <v>19533</v>
      </c>
      <c r="H15322" t="s">
        <v>25041</v>
      </c>
      <c r="I15322" t="s">
        <v>1357</v>
      </c>
      <c r="J15322" t="s">
        <v>1357</v>
      </c>
      <c r="K15322" t="s">
        <v>1357</v>
      </c>
      <c r="L15322" t="s">
        <v>1357</v>
      </c>
    </row>
    <row r="15323" spans="6:12">
      <c r="F15323" t="s">
        <v>16665</v>
      </c>
      <c r="G15323" t="s">
        <v>19299</v>
      </c>
      <c r="H15323" t="s">
        <v>25042</v>
      </c>
      <c r="I15323" t="s">
        <v>1357</v>
      </c>
      <c r="J15323" t="s">
        <v>1357</v>
      </c>
      <c r="K15323" t="s">
        <v>1357</v>
      </c>
      <c r="L15323" t="s">
        <v>1357</v>
      </c>
    </row>
    <row r="15324" spans="6:12">
      <c r="H15324" t="s">
        <v>25043</v>
      </c>
      <c r="I15324" t="s">
        <v>1357</v>
      </c>
      <c r="J15324" t="s">
        <v>1357</v>
      </c>
      <c r="K15324" t="s">
        <v>1357</v>
      </c>
      <c r="L15324" t="s">
        <v>1357</v>
      </c>
    </row>
    <row r="15325" spans="6:12">
      <c r="H15325" t="s">
        <v>25044</v>
      </c>
      <c r="I15325" t="s">
        <v>1357</v>
      </c>
      <c r="J15325" t="s">
        <v>1357</v>
      </c>
      <c r="K15325" t="s">
        <v>1357</v>
      </c>
      <c r="L15325" t="s">
        <v>1357</v>
      </c>
    </row>
    <row r="15326" spans="6:12">
      <c r="H15326" t="s">
        <v>25045</v>
      </c>
      <c r="I15326" t="s">
        <v>1357</v>
      </c>
      <c r="J15326" t="s">
        <v>1357</v>
      </c>
      <c r="K15326" t="s">
        <v>1357</v>
      </c>
      <c r="L15326" t="s">
        <v>1357</v>
      </c>
    </row>
    <row r="15327" spans="6:12">
      <c r="H15327" t="s">
        <v>25046</v>
      </c>
      <c r="I15327" t="s">
        <v>1357</v>
      </c>
      <c r="J15327" t="s">
        <v>1357</v>
      </c>
      <c r="K15327" t="s">
        <v>1357</v>
      </c>
      <c r="L15327" t="s">
        <v>1357</v>
      </c>
    </row>
    <row r="15328" spans="6:12">
      <c r="H15328" t="s">
        <v>25047</v>
      </c>
      <c r="I15328" t="s">
        <v>1357</v>
      </c>
      <c r="J15328" t="s">
        <v>1357</v>
      </c>
      <c r="K15328" t="s">
        <v>1357</v>
      </c>
      <c r="L15328" t="s">
        <v>1357</v>
      </c>
    </row>
    <row r="15329" spans="8:12">
      <c r="H15329" t="s">
        <v>25048</v>
      </c>
      <c r="I15329" t="s">
        <v>1357</v>
      </c>
      <c r="J15329" t="s">
        <v>1357</v>
      </c>
      <c r="K15329" t="s">
        <v>1357</v>
      </c>
      <c r="L15329" t="s">
        <v>1357</v>
      </c>
    </row>
    <row r="15330" spans="8:12">
      <c r="H15330" t="s">
        <v>25049</v>
      </c>
      <c r="I15330" t="s">
        <v>1357</v>
      </c>
      <c r="J15330" t="s">
        <v>1357</v>
      </c>
      <c r="K15330" t="s">
        <v>1357</v>
      </c>
      <c r="L15330" t="s">
        <v>1357</v>
      </c>
    </row>
    <row r="15331" spans="8:12">
      <c r="H15331" t="s">
        <v>25050</v>
      </c>
      <c r="I15331" t="s">
        <v>1357</v>
      </c>
      <c r="J15331" t="s">
        <v>1357</v>
      </c>
      <c r="K15331" t="s">
        <v>1357</v>
      </c>
      <c r="L15331" t="s">
        <v>1357</v>
      </c>
    </row>
    <row r="15332" spans="8:12">
      <c r="H15332" t="s">
        <v>25051</v>
      </c>
      <c r="I15332" t="s">
        <v>1357</v>
      </c>
      <c r="J15332" t="s">
        <v>1357</v>
      </c>
      <c r="K15332" t="s">
        <v>1357</v>
      </c>
      <c r="L15332" t="s">
        <v>1357</v>
      </c>
    </row>
    <row r="15333" spans="8:12">
      <c r="H15333" t="s">
        <v>25052</v>
      </c>
      <c r="I15333" t="s">
        <v>1357</v>
      </c>
      <c r="J15333" t="s">
        <v>1357</v>
      </c>
      <c r="K15333" t="s">
        <v>1357</v>
      </c>
      <c r="L15333" t="s">
        <v>1357</v>
      </c>
    </row>
    <row r="15334" spans="8:12">
      <c r="H15334" t="s">
        <v>25053</v>
      </c>
      <c r="I15334" t="s">
        <v>1357</v>
      </c>
      <c r="J15334" t="s">
        <v>1357</v>
      </c>
      <c r="K15334" t="s">
        <v>1357</v>
      </c>
      <c r="L15334" t="s">
        <v>1357</v>
      </c>
    </row>
    <row r="15335" spans="8:12">
      <c r="H15335" t="s">
        <v>25054</v>
      </c>
      <c r="I15335" t="s">
        <v>1357</v>
      </c>
      <c r="J15335" t="s">
        <v>1357</v>
      </c>
      <c r="K15335" t="s">
        <v>1357</v>
      </c>
      <c r="L15335" t="s">
        <v>1357</v>
      </c>
    </row>
    <row r="15336" spans="8:12">
      <c r="H15336" t="s">
        <v>25055</v>
      </c>
      <c r="I15336" t="s">
        <v>1357</v>
      </c>
      <c r="J15336" t="s">
        <v>1357</v>
      </c>
      <c r="K15336" t="s">
        <v>1357</v>
      </c>
      <c r="L15336" t="s">
        <v>1357</v>
      </c>
    </row>
    <row r="15337" spans="8:12">
      <c r="H15337" t="s">
        <v>25056</v>
      </c>
      <c r="I15337" t="s">
        <v>1357</v>
      </c>
      <c r="J15337" t="s">
        <v>1357</v>
      </c>
      <c r="K15337" t="s">
        <v>1357</v>
      </c>
      <c r="L15337" t="s">
        <v>1357</v>
      </c>
    </row>
    <row r="15338" spans="8:12">
      <c r="H15338" t="s">
        <v>25057</v>
      </c>
      <c r="I15338" t="s">
        <v>1357</v>
      </c>
      <c r="J15338" t="s">
        <v>1357</v>
      </c>
      <c r="K15338" t="s">
        <v>1357</v>
      </c>
      <c r="L15338" t="s">
        <v>1357</v>
      </c>
    </row>
    <row r="15339" spans="8:12">
      <c r="H15339" t="s">
        <v>25058</v>
      </c>
      <c r="I15339" t="s">
        <v>1357</v>
      </c>
      <c r="J15339" t="s">
        <v>1357</v>
      </c>
      <c r="K15339" t="s">
        <v>1357</v>
      </c>
      <c r="L15339" t="s">
        <v>1357</v>
      </c>
    </row>
    <row r="15340" spans="8:12">
      <c r="H15340" t="s">
        <v>25059</v>
      </c>
      <c r="I15340" t="s">
        <v>1357</v>
      </c>
      <c r="J15340" t="s">
        <v>1357</v>
      </c>
      <c r="K15340" t="s">
        <v>1357</v>
      </c>
      <c r="L15340" t="s">
        <v>1357</v>
      </c>
    </row>
    <row r="15341" spans="8:12">
      <c r="H15341" t="s">
        <v>25060</v>
      </c>
      <c r="I15341" t="s">
        <v>1357</v>
      </c>
      <c r="J15341" t="s">
        <v>1357</v>
      </c>
      <c r="K15341" t="s">
        <v>1357</v>
      </c>
      <c r="L15341" t="s">
        <v>1357</v>
      </c>
    </row>
    <row r="15342" spans="8:12">
      <c r="H15342" t="s">
        <v>25061</v>
      </c>
      <c r="I15342" t="s">
        <v>1357</v>
      </c>
      <c r="J15342" t="s">
        <v>1357</v>
      </c>
      <c r="K15342" t="s">
        <v>1357</v>
      </c>
      <c r="L15342" t="s">
        <v>1357</v>
      </c>
    </row>
    <row r="15343" spans="8:12">
      <c r="H15343" t="s">
        <v>25062</v>
      </c>
      <c r="I15343" t="s">
        <v>1357</v>
      </c>
      <c r="J15343" t="s">
        <v>1357</v>
      </c>
      <c r="K15343" t="s">
        <v>1357</v>
      </c>
      <c r="L15343" t="s">
        <v>1357</v>
      </c>
    </row>
    <row r="15344" spans="8:12">
      <c r="H15344" t="s">
        <v>25063</v>
      </c>
      <c r="I15344" t="s">
        <v>1357</v>
      </c>
      <c r="J15344" t="s">
        <v>1357</v>
      </c>
      <c r="K15344" t="s">
        <v>1357</v>
      </c>
      <c r="L15344" t="s">
        <v>1357</v>
      </c>
    </row>
    <row r="15345" spans="6:12">
      <c r="H15345" t="s">
        <v>25064</v>
      </c>
      <c r="I15345" t="s">
        <v>1357</v>
      </c>
      <c r="J15345" t="s">
        <v>1357</v>
      </c>
      <c r="K15345" t="s">
        <v>1357</v>
      </c>
      <c r="L15345" t="s">
        <v>1357</v>
      </c>
    </row>
    <row r="15346" spans="6:12">
      <c r="F15346" t="s">
        <v>15910</v>
      </c>
      <c r="G15346" t="s">
        <v>18611</v>
      </c>
      <c r="H15346" t="s">
        <v>20545</v>
      </c>
      <c r="I15346" t="s">
        <v>1357</v>
      </c>
      <c r="J15346" t="s">
        <v>1357</v>
      </c>
      <c r="K15346" t="s">
        <v>1357</v>
      </c>
      <c r="L15346" t="s">
        <v>1357</v>
      </c>
    </row>
    <row r="15347" spans="6:12">
      <c r="F15347" t="s">
        <v>16923</v>
      </c>
      <c r="G15347" t="s">
        <v>19534</v>
      </c>
      <c r="H15347" t="s">
        <v>25065</v>
      </c>
      <c r="I15347" t="s">
        <v>1357</v>
      </c>
      <c r="J15347" t="s">
        <v>1357</v>
      </c>
      <c r="K15347" t="s">
        <v>1357</v>
      </c>
      <c r="L15347" t="s">
        <v>1357</v>
      </c>
    </row>
    <row r="15348" spans="6:12">
      <c r="H15348" t="s">
        <v>25066</v>
      </c>
      <c r="I15348" t="s">
        <v>1357</v>
      </c>
      <c r="J15348" t="s">
        <v>1357</v>
      </c>
      <c r="K15348" t="s">
        <v>1357</v>
      </c>
      <c r="L15348" t="s">
        <v>1357</v>
      </c>
    </row>
    <row r="15349" spans="6:12">
      <c r="H15349" t="s">
        <v>25067</v>
      </c>
      <c r="I15349" t="s">
        <v>1357</v>
      </c>
      <c r="J15349" t="s">
        <v>1357</v>
      </c>
      <c r="K15349" t="s">
        <v>1357</v>
      </c>
      <c r="L15349" t="s">
        <v>1357</v>
      </c>
    </row>
    <row r="15350" spans="6:12">
      <c r="H15350" t="s">
        <v>25068</v>
      </c>
      <c r="I15350" t="s">
        <v>1357</v>
      </c>
      <c r="J15350" t="s">
        <v>1357</v>
      </c>
      <c r="K15350" t="s">
        <v>1357</v>
      </c>
      <c r="L15350" t="s">
        <v>1357</v>
      </c>
    </row>
    <row r="15351" spans="6:12">
      <c r="H15351" t="s">
        <v>25069</v>
      </c>
      <c r="I15351" t="s">
        <v>1357</v>
      </c>
      <c r="J15351" t="s">
        <v>1357</v>
      </c>
      <c r="K15351" t="s">
        <v>1357</v>
      </c>
      <c r="L15351" t="s">
        <v>1357</v>
      </c>
    </row>
    <row r="15352" spans="6:12">
      <c r="H15352" t="s">
        <v>25070</v>
      </c>
      <c r="I15352" t="s">
        <v>1357</v>
      </c>
      <c r="J15352" t="s">
        <v>1357</v>
      </c>
      <c r="K15352" t="s">
        <v>1357</v>
      </c>
      <c r="L15352" t="s">
        <v>1357</v>
      </c>
    </row>
    <row r="15353" spans="6:12">
      <c r="H15353" t="s">
        <v>25071</v>
      </c>
      <c r="I15353" t="s">
        <v>1357</v>
      </c>
      <c r="J15353" t="s">
        <v>1357</v>
      </c>
      <c r="K15353" t="s">
        <v>1357</v>
      </c>
      <c r="L15353" t="s">
        <v>1357</v>
      </c>
    </row>
    <row r="15354" spans="6:12">
      <c r="H15354" t="s">
        <v>25072</v>
      </c>
      <c r="I15354" t="s">
        <v>1357</v>
      </c>
      <c r="J15354" t="s">
        <v>1357</v>
      </c>
      <c r="K15354" t="s">
        <v>1357</v>
      </c>
      <c r="L15354" t="s">
        <v>1357</v>
      </c>
    </row>
    <row r="15355" spans="6:12">
      <c r="H15355" t="s">
        <v>25073</v>
      </c>
      <c r="I15355" t="s">
        <v>1357</v>
      </c>
      <c r="J15355" t="s">
        <v>1357</v>
      </c>
      <c r="K15355" t="s">
        <v>1357</v>
      </c>
      <c r="L15355" t="s">
        <v>1357</v>
      </c>
    </row>
    <row r="15356" spans="6:12">
      <c r="H15356" t="s">
        <v>25074</v>
      </c>
      <c r="I15356" t="s">
        <v>1357</v>
      </c>
      <c r="J15356" t="s">
        <v>1357</v>
      </c>
      <c r="K15356" t="s">
        <v>1357</v>
      </c>
      <c r="L15356" t="s">
        <v>1357</v>
      </c>
    </row>
    <row r="15357" spans="6:12">
      <c r="H15357" t="s">
        <v>25075</v>
      </c>
      <c r="I15357" t="s">
        <v>1357</v>
      </c>
      <c r="J15357" t="s">
        <v>1357</v>
      </c>
      <c r="K15357" t="s">
        <v>1357</v>
      </c>
      <c r="L15357" t="s">
        <v>1357</v>
      </c>
    </row>
    <row r="15358" spans="6:12">
      <c r="F15358" t="s">
        <v>16924</v>
      </c>
      <c r="G15358" t="s">
        <v>19535</v>
      </c>
      <c r="H15358" t="s">
        <v>25076</v>
      </c>
      <c r="I15358" t="s">
        <v>1357</v>
      </c>
      <c r="J15358" t="s">
        <v>1357</v>
      </c>
      <c r="K15358" t="s">
        <v>1357</v>
      </c>
      <c r="L15358" t="s">
        <v>1357</v>
      </c>
    </row>
    <row r="15359" spans="6:12">
      <c r="H15359" t="s">
        <v>25077</v>
      </c>
      <c r="I15359" t="s">
        <v>1357</v>
      </c>
      <c r="J15359" t="s">
        <v>1357</v>
      </c>
      <c r="K15359" t="s">
        <v>1357</v>
      </c>
      <c r="L15359" t="s">
        <v>1357</v>
      </c>
    </row>
    <row r="15360" spans="6:12">
      <c r="H15360" t="s">
        <v>25078</v>
      </c>
      <c r="I15360" t="s">
        <v>1357</v>
      </c>
      <c r="J15360" t="s">
        <v>1357</v>
      </c>
      <c r="K15360" t="s">
        <v>1357</v>
      </c>
      <c r="L15360" t="s">
        <v>1357</v>
      </c>
    </row>
    <row r="15361" spans="6:12">
      <c r="H15361" t="s">
        <v>25079</v>
      </c>
      <c r="I15361" t="s">
        <v>1357</v>
      </c>
      <c r="J15361" t="s">
        <v>1357</v>
      </c>
      <c r="K15361" t="s">
        <v>1357</v>
      </c>
      <c r="L15361" t="s">
        <v>1357</v>
      </c>
    </row>
    <row r="15362" spans="6:12">
      <c r="H15362" t="s">
        <v>25080</v>
      </c>
      <c r="I15362" t="s">
        <v>1357</v>
      </c>
      <c r="J15362" t="s">
        <v>1357</v>
      </c>
      <c r="K15362" t="s">
        <v>1357</v>
      </c>
      <c r="L15362" t="s">
        <v>1357</v>
      </c>
    </row>
    <row r="15363" spans="6:12">
      <c r="H15363" t="s">
        <v>25081</v>
      </c>
      <c r="I15363" t="s">
        <v>1357</v>
      </c>
      <c r="J15363" t="s">
        <v>1357</v>
      </c>
      <c r="K15363" t="s">
        <v>1357</v>
      </c>
      <c r="L15363" t="s">
        <v>1357</v>
      </c>
    </row>
    <row r="15364" spans="6:12">
      <c r="F15364" t="s">
        <v>16925</v>
      </c>
      <c r="G15364" t="s">
        <v>19536</v>
      </c>
      <c r="H15364" t="s">
        <v>795</v>
      </c>
      <c r="I15364" t="s">
        <v>1357</v>
      </c>
      <c r="J15364" t="s">
        <v>1357</v>
      </c>
      <c r="K15364" t="s">
        <v>1357</v>
      </c>
      <c r="L15364" t="s">
        <v>1357</v>
      </c>
    </row>
    <row r="15365" spans="6:12">
      <c r="H15365" t="s">
        <v>25082</v>
      </c>
      <c r="I15365" t="s">
        <v>1357</v>
      </c>
      <c r="J15365" t="s">
        <v>1357</v>
      </c>
      <c r="K15365" t="s">
        <v>1357</v>
      </c>
      <c r="L15365" t="s">
        <v>1357</v>
      </c>
    </row>
    <row r="15366" spans="6:12">
      <c r="F15366" t="s">
        <v>16926</v>
      </c>
      <c r="G15366" t="s">
        <v>19537</v>
      </c>
      <c r="H15366" t="s">
        <v>25083</v>
      </c>
      <c r="I15366" t="s">
        <v>1357</v>
      </c>
      <c r="J15366" t="s">
        <v>1357</v>
      </c>
      <c r="K15366" t="s">
        <v>1357</v>
      </c>
      <c r="L15366" t="s">
        <v>1357</v>
      </c>
    </row>
    <row r="15367" spans="6:12">
      <c r="H15367" t="s">
        <v>25084</v>
      </c>
      <c r="I15367" t="s">
        <v>1357</v>
      </c>
      <c r="J15367" t="s">
        <v>1357</v>
      </c>
      <c r="K15367" t="s">
        <v>1357</v>
      </c>
      <c r="L15367" t="s">
        <v>1357</v>
      </c>
    </row>
    <row r="15368" spans="6:12">
      <c r="H15368" t="s">
        <v>25085</v>
      </c>
      <c r="I15368" t="s">
        <v>1357</v>
      </c>
      <c r="J15368" t="s">
        <v>1357</v>
      </c>
      <c r="K15368" t="s">
        <v>1357</v>
      </c>
      <c r="L15368" t="s">
        <v>1357</v>
      </c>
    </row>
    <row r="15369" spans="6:12">
      <c r="H15369" t="s">
        <v>25086</v>
      </c>
      <c r="I15369" t="s">
        <v>1357</v>
      </c>
      <c r="J15369" t="s">
        <v>1357</v>
      </c>
      <c r="K15369" t="s">
        <v>1357</v>
      </c>
      <c r="L15369" t="s">
        <v>1357</v>
      </c>
    </row>
    <row r="15370" spans="6:12">
      <c r="H15370" t="s">
        <v>25087</v>
      </c>
      <c r="I15370" t="s">
        <v>1357</v>
      </c>
      <c r="J15370" t="s">
        <v>1357</v>
      </c>
      <c r="K15370" t="s">
        <v>1357</v>
      </c>
      <c r="L15370" t="s">
        <v>1357</v>
      </c>
    </row>
    <row r="15371" spans="6:12">
      <c r="H15371" t="s">
        <v>25088</v>
      </c>
      <c r="I15371" t="s">
        <v>1357</v>
      </c>
      <c r="J15371" t="s">
        <v>1357</v>
      </c>
      <c r="K15371" t="s">
        <v>1357</v>
      </c>
      <c r="L15371" t="s">
        <v>1357</v>
      </c>
    </row>
    <row r="15372" spans="6:12">
      <c r="F15372" t="s">
        <v>16396</v>
      </c>
      <c r="G15372" t="s">
        <v>19062</v>
      </c>
      <c r="H15372" t="s">
        <v>22882</v>
      </c>
      <c r="I15372" t="s">
        <v>1357</v>
      </c>
      <c r="J15372" t="s">
        <v>1357</v>
      </c>
      <c r="K15372" t="s">
        <v>1357</v>
      </c>
      <c r="L15372" t="s">
        <v>1357</v>
      </c>
    </row>
    <row r="15373" spans="6:12">
      <c r="H15373" t="s">
        <v>22883</v>
      </c>
      <c r="I15373" t="s">
        <v>1357</v>
      </c>
      <c r="J15373" t="s">
        <v>1357</v>
      </c>
      <c r="K15373" t="s">
        <v>1357</v>
      </c>
      <c r="L15373" t="s">
        <v>1357</v>
      </c>
    </row>
    <row r="15374" spans="6:12">
      <c r="H15374" t="s">
        <v>25089</v>
      </c>
      <c r="I15374" t="s">
        <v>1357</v>
      </c>
      <c r="J15374" t="s">
        <v>1357</v>
      </c>
      <c r="K15374" t="s">
        <v>1357</v>
      </c>
      <c r="L15374" t="s">
        <v>1357</v>
      </c>
    </row>
    <row r="15375" spans="6:12">
      <c r="H15375" t="s">
        <v>25090</v>
      </c>
      <c r="I15375" t="s">
        <v>1357</v>
      </c>
      <c r="J15375" t="s">
        <v>1357</v>
      </c>
      <c r="K15375" t="s">
        <v>1357</v>
      </c>
      <c r="L15375" t="s">
        <v>1357</v>
      </c>
    </row>
    <row r="15376" spans="6:12">
      <c r="H15376" t="s">
        <v>25091</v>
      </c>
      <c r="I15376" t="s">
        <v>1357</v>
      </c>
      <c r="J15376" t="s">
        <v>1357</v>
      </c>
      <c r="K15376" t="s">
        <v>1357</v>
      </c>
      <c r="L15376" t="s">
        <v>1357</v>
      </c>
    </row>
    <row r="15377" spans="8:12">
      <c r="H15377" t="s">
        <v>25092</v>
      </c>
      <c r="I15377" t="s">
        <v>1357</v>
      </c>
      <c r="J15377" t="s">
        <v>1357</v>
      </c>
      <c r="K15377" t="s">
        <v>1357</v>
      </c>
      <c r="L15377" t="s">
        <v>1357</v>
      </c>
    </row>
    <row r="15378" spans="8:12">
      <c r="H15378" t="s">
        <v>25093</v>
      </c>
      <c r="I15378" t="s">
        <v>1357</v>
      </c>
      <c r="J15378" t="s">
        <v>1357</v>
      </c>
      <c r="K15378" t="s">
        <v>1357</v>
      </c>
      <c r="L15378" t="s">
        <v>1357</v>
      </c>
    </row>
    <row r="15379" spans="8:12">
      <c r="H15379" t="s">
        <v>25094</v>
      </c>
      <c r="I15379" t="s">
        <v>1357</v>
      </c>
      <c r="J15379" t="s">
        <v>1357</v>
      </c>
      <c r="K15379" t="s">
        <v>1357</v>
      </c>
      <c r="L15379" t="s">
        <v>1357</v>
      </c>
    </row>
    <row r="15380" spans="8:12">
      <c r="H15380" t="s">
        <v>25095</v>
      </c>
      <c r="I15380" t="s">
        <v>1357</v>
      </c>
      <c r="J15380" t="s">
        <v>1357</v>
      </c>
      <c r="K15380" t="s">
        <v>1357</v>
      </c>
      <c r="L15380" t="s">
        <v>1357</v>
      </c>
    </row>
    <row r="15381" spans="8:12">
      <c r="H15381" t="s">
        <v>25096</v>
      </c>
      <c r="I15381" t="s">
        <v>1357</v>
      </c>
      <c r="J15381" t="s">
        <v>1357</v>
      </c>
      <c r="K15381" t="s">
        <v>1357</v>
      </c>
      <c r="L15381" t="s">
        <v>1357</v>
      </c>
    </row>
    <row r="15382" spans="8:12">
      <c r="H15382" t="s">
        <v>25097</v>
      </c>
      <c r="I15382" t="s">
        <v>1357</v>
      </c>
      <c r="J15382" t="s">
        <v>1357</v>
      </c>
      <c r="K15382" t="s">
        <v>1357</v>
      </c>
      <c r="L15382" t="s">
        <v>1357</v>
      </c>
    </row>
    <row r="15383" spans="8:12">
      <c r="H15383" t="s">
        <v>25098</v>
      </c>
      <c r="I15383" t="s">
        <v>1357</v>
      </c>
      <c r="J15383" t="s">
        <v>1357</v>
      </c>
      <c r="K15383" t="s">
        <v>1357</v>
      </c>
      <c r="L15383" t="s">
        <v>1357</v>
      </c>
    </row>
    <row r="15384" spans="8:12">
      <c r="H15384" t="s">
        <v>25099</v>
      </c>
      <c r="I15384" t="s">
        <v>1357</v>
      </c>
      <c r="J15384" t="s">
        <v>1357</v>
      </c>
      <c r="K15384" t="s">
        <v>1357</v>
      </c>
      <c r="L15384" t="s">
        <v>1357</v>
      </c>
    </row>
    <row r="15385" spans="8:12">
      <c r="H15385" t="s">
        <v>25100</v>
      </c>
      <c r="I15385" t="s">
        <v>1357</v>
      </c>
      <c r="J15385" t="s">
        <v>1357</v>
      </c>
      <c r="K15385" t="s">
        <v>1357</v>
      </c>
      <c r="L15385" t="s">
        <v>1357</v>
      </c>
    </row>
    <row r="15386" spans="8:12">
      <c r="H15386" t="s">
        <v>25101</v>
      </c>
      <c r="I15386" t="s">
        <v>1357</v>
      </c>
      <c r="J15386" t="s">
        <v>1357</v>
      </c>
      <c r="K15386" t="s">
        <v>1357</v>
      </c>
      <c r="L15386" t="s">
        <v>1357</v>
      </c>
    </row>
    <row r="15387" spans="8:12">
      <c r="H15387" t="s">
        <v>25102</v>
      </c>
      <c r="I15387" t="s">
        <v>1357</v>
      </c>
      <c r="J15387" t="s">
        <v>1357</v>
      </c>
      <c r="K15387" t="s">
        <v>1357</v>
      </c>
      <c r="L15387" t="s">
        <v>1357</v>
      </c>
    </row>
    <row r="15388" spans="8:12">
      <c r="H15388" t="s">
        <v>25103</v>
      </c>
      <c r="I15388" t="s">
        <v>1357</v>
      </c>
      <c r="J15388" t="s">
        <v>1357</v>
      </c>
      <c r="K15388" t="s">
        <v>1357</v>
      </c>
      <c r="L15388" t="s">
        <v>1357</v>
      </c>
    </row>
    <row r="15389" spans="8:12">
      <c r="H15389" t="s">
        <v>25104</v>
      </c>
      <c r="I15389" t="s">
        <v>1357</v>
      </c>
      <c r="J15389" t="s">
        <v>1357</v>
      </c>
      <c r="K15389" t="s">
        <v>1357</v>
      </c>
      <c r="L15389" t="s">
        <v>1357</v>
      </c>
    </row>
    <row r="15390" spans="8:12">
      <c r="H15390" t="s">
        <v>25105</v>
      </c>
      <c r="I15390" t="s">
        <v>1357</v>
      </c>
      <c r="J15390" t="s">
        <v>1357</v>
      </c>
      <c r="K15390" t="s">
        <v>1357</v>
      </c>
      <c r="L15390" t="s">
        <v>1357</v>
      </c>
    </row>
    <row r="15391" spans="8:12">
      <c r="H15391" t="s">
        <v>25106</v>
      </c>
      <c r="I15391" t="s">
        <v>1357</v>
      </c>
      <c r="J15391" t="s">
        <v>1357</v>
      </c>
      <c r="K15391" t="s">
        <v>1357</v>
      </c>
      <c r="L15391" t="s">
        <v>1357</v>
      </c>
    </row>
    <row r="15392" spans="8:12">
      <c r="H15392" t="s">
        <v>25107</v>
      </c>
      <c r="I15392" t="s">
        <v>1357</v>
      </c>
      <c r="J15392" t="s">
        <v>1357</v>
      </c>
      <c r="K15392" t="s">
        <v>1357</v>
      </c>
      <c r="L15392" t="s">
        <v>1357</v>
      </c>
    </row>
    <row r="15393" spans="8:12">
      <c r="H15393" t="s">
        <v>25108</v>
      </c>
      <c r="I15393" t="s">
        <v>1357</v>
      </c>
      <c r="J15393" t="s">
        <v>1357</v>
      </c>
      <c r="K15393" t="s">
        <v>1357</v>
      </c>
      <c r="L15393" t="s">
        <v>1357</v>
      </c>
    </row>
    <row r="15394" spans="8:12">
      <c r="H15394" t="s">
        <v>25109</v>
      </c>
      <c r="I15394" t="s">
        <v>1357</v>
      </c>
      <c r="J15394" t="s">
        <v>1357</v>
      </c>
      <c r="K15394" t="s">
        <v>1357</v>
      </c>
      <c r="L15394" t="s">
        <v>1357</v>
      </c>
    </row>
    <row r="15395" spans="8:12">
      <c r="H15395" t="s">
        <v>25110</v>
      </c>
      <c r="I15395" t="s">
        <v>1357</v>
      </c>
      <c r="J15395" t="s">
        <v>1357</v>
      </c>
      <c r="K15395" t="s">
        <v>1357</v>
      </c>
      <c r="L15395" t="s">
        <v>1357</v>
      </c>
    </row>
    <row r="15396" spans="8:12">
      <c r="H15396" t="s">
        <v>25111</v>
      </c>
      <c r="I15396" t="s">
        <v>1357</v>
      </c>
      <c r="J15396" t="s">
        <v>1357</v>
      </c>
      <c r="K15396" t="s">
        <v>1357</v>
      </c>
      <c r="L15396" t="s">
        <v>1357</v>
      </c>
    </row>
    <row r="15397" spans="8:12">
      <c r="H15397" t="s">
        <v>25112</v>
      </c>
      <c r="I15397" t="s">
        <v>1357</v>
      </c>
      <c r="J15397" t="s">
        <v>1357</v>
      </c>
      <c r="K15397" t="s">
        <v>1357</v>
      </c>
      <c r="L15397" t="s">
        <v>1357</v>
      </c>
    </row>
    <row r="15398" spans="8:12">
      <c r="H15398" t="s">
        <v>25113</v>
      </c>
      <c r="I15398" t="s">
        <v>1357</v>
      </c>
      <c r="J15398" t="s">
        <v>1357</v>
      </c>
      <c r="K15398" t="s">
        <v>1357</v>
      </c>
      <c r="L15398" t="s">
        <v>1357</v>
      </c>
    </row>
    <row r="15399" spans="8:12">
      <c r="H15399" t="s">
        <v>25114</v>
      </c>
      <c r="I15399" t="s">
        <v>1357</v>
      </c>
      <c r="J15399" t="s">
        <v>1357</v>
      </c>
      <c r="K15399" t="s">
        <v>1357</v>
      </c>
      <c r="L15399" t="s">
        <v>1357</v>
      </c>
    </row>
    <row r="15400" spans="8:12">
      <c r="H15400" t="s">
        <v>25115</v>
      </c>
      <c r="I15400" t="s">
        <v>1357</v>
      </c>
      <c r="J15400" t="s">
        <v>1357</v>
      </c>
      <c r="K15400" t="s">
        <v>1357</v>
      </c>
      <c r="L15400" t="s">
        <v>1357</v>
      </c>
    </row>
    <row r="15401" spans="8:12">
      <c r="H15401" t="s">
        <v>25116</v>
      </c>
      <c r="I15401" t="s">
        <v>1357</v>
      </c>
      <c r="J15401" t="s">
        <v>1357</v>
      </c>
      <c r="K15401" t="s">
        <v>1357</v>
      </c>
      <c r="L15401" t="s">
        <v>1357</v>
      </c>
    </row>
    <row r="15402" spans="8:12">
      <c r="H15402" t="s">
        <v>25117</v>
      </c>
      <c r="I15402" t="s">
        <v>1357</v>
      </c>
      <c r="J15402" t="s">
        <v>1357</v>
      </c>
      <c r="K15402" t="s">
        <v>1357</v>
      </c>
      <c r="L15402" t="s">
        <v>1357</v>
      </c>
    </row>
    <row r="15403" spans="8:12">
      <c r="H15403" t="s">
        <v>25118</v>
      </c>
      <c r="I15403" t="s">
        <v>1357</v>
      </c>
      <c r="J15403" t="s">
        <v>1357</v>
      </c>
      <c r="K15403" t="s">
        <v>1357</v>
      </c>
      <c r="L15403" t="s">
        <v>1357</v>
      </c>
    </row>
    <row r="15404" spans="8:12">
      <c r="H15404" t="s">
        <v>25119</v>
      </c>
      <c r="I15404" t="s">
        <v>1357</v>
      </c>
      <c r="J15404" t="s">
        <v>1357</v>
      </c>
      <c r="K15404" t="s">
        <v>1357</v>
      </c>
      <c r="L15404" t="s">
        <v>1357</v>
      </c>
    </row>
    <row r="15405" spans="8:12">
      <c r="H15405" t="s">
        <v>25120</v>
      </c>
      <c r="I15405" t="s">
        <v>1357</v>
      </c>
      <c r="J15405" t="s">
        <v>1357</v>
      </c>
      <c r="K15405" t="s">
        <v>1357</v>
      </c>
      <c r="L15405" t="s">
        <v>1357</v>
      </c>
    </row>
    <row r="15406" spans="8:12">
      <c r="H15406" t="s">
        <v>25121</v>
      </c>
      <c r="I15406" t="s">
        <v>1357</v>
      </c>
      <c r="J15406" t="s">
        <v>1357</v>
      </c>
      <c r="K15406" t="s">
        <v>1357</v>
      </c>
      <c r="L15406" t="s">
        <v>1357</v>
      </c>
    </row>
    <row r="15407" spans="8:12">
      <c r="H15407" t="s">
        <v>25122</v>
      </c>
      <c r="I15407" t="s">
        <v>1357</v>
      </c>
      <c r="J15407" t="s">
        <v>1357</v>
      </c>
      <c r="K15407" t="s">
        <v>1357</v>
      </c>
      <c r="L15407" t="s">
        <v>1357</v>
      </c>
    </row>
    <row r="15408" spans="8:12">
      <c r="H15408" t="s">
        <v>25123</v>
      </c>
      <c r="I15408" t="s">
        <v>1357</v>
      </c>
      <c r="J15408" t="s">
        <v>1357</v>
      </c>
      <c r="K15408" t="s">
        <v>1357</v>
      </c>
      <c r="L15408" t="s">
        <v>1357</v>
      </c>
    </row>
    <row r="15409" spans="8:12">
      <c r="H15409" t="s">
        <v>25124</v>
      </c>
      <c r="I15409" t="s">
        <v>1357</v>
      </c>
      <c r="J15409" t="s">
        <v>1357</v>
      </c>
      <c r="K15409" t="s">
        <v>1357</v>
      </c>
      <c r="L15409" t="s">
        <v>1357</v>
      </c>
    </row>
    <row r="15410" spans="8:12">
      <c r="H15410" t="s">
        <v>25125</v>
      </c>
      <c r="I15410" t="s">
        <v>1357</v>
      </c>
      <c r="J15410" t="s">
        <v>1357</v>
      </c>
      <c r="K15410" t="s">
        <v>1357</v>
      </c>
      <c r="L15410" t="s">
        <v>1357</v>
      </c>
    </row>
    <row r="15411" spans="8:12">
      <c r="H15411" t="s">
        <v>25126</v>
      </c>
      <c r="I15411" t="s">
        <v>1357</v>
      </c>
      <c r="J15411" t="s">
        <v>1357</v>
      </c>
      <c r="K15411" t="s">
        <v>1357</v>
      </c>
      <c r="L15411" t="s">
        <v>1357</v>
      </c>
    </row>
    <row r="15412" spans="8:12">
      <c r="H15412" t="s">
        <v>25127</v>
      </c>
      <c r="I15412" t="s">
        <v>1357</v>
      </c>
      <c r="J15412" t="s">
        <v>1357</v>
      </c>
      <c r="K15412" t="s">
        <v>1357</v>
      </c>
      <c r="L15412" t="s">
        <v>1357</v>
      </c>
    </row>
    <row r="15413" spans="8:12">
      <c r="H15413" t="s">
        <v>25128</v>
      </c>
      <c r="I15413" t="s">
        <v>1357</v>
      </c>
      <c r="J15413" t="s">
        <v>1357</v>
      </c>
      <c r="K15413" t="s">
        <v>1357</v>
      </c>
      <c r="L15413" t="s">
        <v>1357</v>
      </c>
    </row>
    <row r="15414" spans="8:12">
      <c r="H15414" t="s">
        <v>25129</v>
      </c>
      <c r="I15414" t="s">
        <v>1357</v>
      </c>
      <c r="J15414" t="s">
        <v>1357</v>
      </c>
      <c r="K15414" t="s">
        <v>1357</v>
      </c>
      <c r="L15414" t="s">
        <v>1357</v>
      </c>
    </row>
    <row r="15415" spans="8:12">
      <c r="H15415" t="s">
        <v>25130</v>
      </c>
      <c r="I15415" t="s">
        <v>1357</v>
      </c>
      <c r="J15415" t="s">
        <v>1357</v>
      </c>
      <c r="K15415" t="s">
        <v>1357</v>
      </c>
      <c r="L15415" t="s">
        <v>1357</v>
      </c>
    </row>
    <row r="15416" spans="8:12">
      <c r="H15416" t="s">
        <v>25131</v>
      </c>
      <c r="I15416" t="s">
        <v>1357</v>
      </c>
      <c r="J15416" t="s">
        <v>1357</v>
      </c>
      <c r="K15416" t="s">
        <v>1357</v>
      </c>
      <c r="L15416" t="s">
        <v>1357</v>
      </c>
    </row>
    <row r="15417" spans="8:12">
      <c r="H15417" t="s">
        <v>25132</v>
      </c>
      <c r="I15417" t="s">
        <v>1357</v>
      </c>
      <c r="J15417" t="s">
        <v>1357</v>
      </c>
      <c r="K15417" t="s">
        <v>1357</v>
      </c>
      <c r="L15417" t="s">
        <v>1357</v>
      </c>
    </row>
    <row r="15418" spans="8:12">
      <c r="H15418" t="s">
        <v>25133</v>
      </c>
      <c r="I15418" t="s">
        <v>1357</v>
      </c>
      <c r="J15418" t="s">
        <v>1357</v>
      </c>
      <c r="K15418" t="s">
        <v>1357</v>
      </c>
      <c r="L15418" t="s">
        <v>1357</v>
      </c>
    </row>
    <row r="15419" spans="8:12">
      <c r="H15419" t="s">
        <v>25134</v>
      </c>
      <c r="I15419" t="s">
        <v>1357</v>
      </c>
      <c r="J15419" t="s">
        <v>1357</v>
      </c>
      <c r="K15419" t="s">
        <v>1357</v>
      </c>
      <c r="L15419" t="s">
        <v>1357</v>
      </c>
    </row>
    <row r="15420" spans="8:12">
      <c r="H15420" t="s">
        <v>25135</v>
      </c>
      <c r="I15420" t="s">
        <v>1357</v>
      </c>
      <c r="J15420" t="s">
        <v>1357</v>
      </c>
      <c r="K15420" t="s">
        <v>1357</v>
      </c>
      <c r="L15420" t="s">
        <v>1357</v>
      </c>
    </row>
    <row r="15421" spans="8:12">
      <c r="H15421" t="s">
        <v>25136</v>
      </c>
      <c r="I15421" t="s">
        <v>1357</v>
      </c>
      <c r="J15421" t="s">
        <v>1357</v>
      </c>
      <c r="K15421" t="s">
        <v>1357</v>
      </c>
      <c r="L15421" t="s">
        <v>1357</v>
      </c>
    </row>
    <row r="15422" spans="8:12">
      <c r="H15422" t="s">
        <v>25137</v>
      </c>
      <c r="I15422" t="s">
        <v>1357</v>
      </c>
      <c r="J15422" t="s">
        <v>1357</v>
      </c>
      <c r="K15422" t="s">
        <v>1357</v>
      </c>
      <c r="L15422" t="s">
        <v>1357</v>
      </c>
    </row>
    <row r="15423" spans="8:12">
      <c r="H15423" t="s">
        <v>25138</v>
      </c>
      <c r="I15423" t="s">
        <v>1357</v>
      </c>
      <c r="J15423" t="s">
        <v>1357</v>
      </c>
      <c r="K15423" t="s">
        <v>1357</v>
      </c>
      <c r="L15423" t="s">
        <v>1357</v>
      </c>
    </row>
    <row r="15424" spans="8:12">
      <c r="H15424" t="s">
        <v>25139</v>
      </c>
      <c r="I15424" t="s">
        <v>1357</v>
      </c>
      <c r="J15424" t="s">
        <v>1357</v>
      </c>
      <c r="K15424" t="s">
        <v>1357</v>
      </c>
      <c r="L15424" t="s">
        <v>1357</v>
      </c>
    </row>
    <row r="15425" spans="6:12">
      <c r="H15425" t="s">
        <v>25140</v>
      </c>
      <c r="I15425" t="s">
        <v>1357</v>
      </c>
      <c r="J15425" t="s">
        <v>1357</v>
      </c>
      <c r="K15425" t="s">
        <v>1357</v>
      </c>
      <c r="L15425" t="s">
        <v>1357</v>
      </c>
    </row>
    <row r="15426" spans="6:12">
      <c r="H15426" t="s">
        <v>25141</v>
      </c>
      <c r="I15426" t="s">
        <v>1357</v>
      </c>
      <c r="J15426" t="s">
        <v>1357</v>
      </c>
      <c r="K15426" t="s">
        <v>1357</v>
      </c>
      <c r="L15426" t="s">
        <v>1357</v>
      </c>
    </row>
    <row r="15427" spans="6:12">
      <c r="H15427" t="s">
        <v>25142</v>
      </c>
      <c r="I15427" t="s">
        <v>1357</v>
      </c>
      <c r="J15427" t="s">
        <v>1357</v>
      </c>
      <c r="K15427" t="s">
        <v>1357</v>
      </c>
      <c r="L15427" t="s">
        <v>1357</v>
      </c>
    </row>
    <row r="15428" spans="6:12">
      <c r="H15428" t="s">
        <v>25143</v>
      </c>
      <c r="I15428" t="s">
        <v>1357</v>
      </c>
      <c r="J15428" t="s">
        <v>1357</v>
      </c>
      <c r="K15428" t="s">
        <v>1357</v>
      </c>
      <c r="L15428" t="s">
        <v>1357</v>
      </c>
    </row>
    <row r="15429" spans="6:12">
      <c r="H15429" t="s">
        <v>25144</v>
      </c>
      <c r="I15429" t="s">
        <v>1357</v>
      </c>
      <c r="J15429" t="s">
        <v>1357</v>
      </c>
      <c r="K15429" t="s">
        <v>1357</v>
      </c>
      <c r="L15429" t="s">
        <v>1357</v>
      </c>
    </row>
    <row r="15430" spans="6:12">
      <c r="H15430" t="s">
        <v>25145</v>
      </c>
      <c r="I15430" t="s">
        <v>1357</v>
      </c>
      <c r="J15430" t="s">
        <v>1357</v>
      </c>
      <c r="K15430" t="s">
        <v>1357</v>
      </c>
      <c r="L15430" t="s">
        <v>1357</v>
      </c>
    </row>
    <row r="15431" spans="6:12">
      <c r="H15431" t="s">
        <v>25146</v>
      </c>
      <c r="I15431" t="s">
        <v>1357</v>
      </c>
      <c r="J15431" t="s">
        <v>1357</v>
      </c>
      <c r="K15431" t="s">
        <v>1357</v>
      </c>
      <c r="L15431" t="s">
        <v>1357</v>
      </c>
    </row>
    <row r="15432" spans="6:12">
      <c r="H15432" t="s">
        <v>25147</v>
      </c>
      <c r="I15432" t="s">
        <v>1357</v>
      </c>
      <c r="J15432" t="s">
        <v>1357</v>
      </c>
      <c r="K15432" t="s">
        <v>1357</v>
      </c>
      <c r="L15432" t="s">
        <v>1357</v>
      </c>
    </row>
    <row r="15433" spans="6:12">
      <c r="H15433" t="s">
        <v>25148</v>
      </c>
      <c r="I15433" t="s">
        <v>1357</v>
      </c>
      <c r="J15433" t="s">
        <v>1357</v>
      </c>
      <c r="K15433" t="s">
        <v>1357</v>
      </c>
      <c r="L15433" t="s">
        <v>1357</v>
      </c>
    </row>
    <row r="15434" spans="6:12">
      <c r="H15434" t="s">
        <v>25149</v>
      </c>
      <c r="I15434" t="s">
        <v>1357</v>
      </c>
      <c r="J15434" t="s">
        <v>1357</v>
      </c>
      <c r="K15434" t="s">
        <v>1357</v>
      </c>
      <c r="L15434" t="s">
        <v>1357</v>
      </c>
    </row>
    <row r="15435" spans="6:12">
      <c r="H15435" t="s">
        <v>25150</v>
      </c>
      <c r="I15435" t="s">
        <v>1357</v>
      </c>
      <c r="J15435" t="s">
        <v>1357</v>
      </c>
      <c r="K15435" t="s">
        <v>1357</v>
      </c>
      <c r="L15435" t="s">
        <v>1357</v>
      </c>
    </row>
    <row r="15436" spans="6:12">
      <c r="H15436" t="s">
        <v>25151</v>
      </c>
      <c r="I15436" t="s">
        <v>1357</v>
      </c>
      <c r="J15436" t="s">
        <v>1357</v>
      </c>
      <c r="K15436" t="s">
        <v>1357</v>
      </c>
      <c r="L15436" t="s">
        <v>1357</v>
      </c>
    </row>
    <row r="15437" spans="6:12">
      <c r="H15437" t="s">
        <v>25152</v>
      </c>
      <c r="I15437" t="s">
        <v>1357</v>
      </c>
      <c r="J15437" t="s">
        <v>1357</v>
      </c>
      <c r="K15437" t="s">
        <v>1357</v>
      </c>
      <c r="L15437" t="s">
        <v>1357</v>
      </c>
    </row>
    <row r="15438" spans="6:12">
      <c r="H15438" t="s">
        <v>25153</v>
      </c>
      <c r="I15438" t="s">
        <v>1357</v>
      </c>
      <c r="J15438" t="s">
        <v>1357</v>
      </c>
      <c r="K15438" t="s">
        <v>1357</v>
      </c>
      <c r="L15438" t="s">
        <v>1357</v>
      </c>
    </row>
    <row r="15439" spans="6:12">
      <c r="H15439" t="s">
        <v>25154</v>
      </c>
      <c r="I15439" t="s">
        <v>1357</v>
      </c>
      <c r="J15439" t="s">
        <v>1357</v>
      </c>
      <c r="K15439" t="s">
        <v>1357</v>
      </c>
      <c r="L15439" t="s">
        <v>1357</v>
      </c>
    </row>
    <row r="15440" spans="6:12">
      <c r="F15440" t="s">
        <v>16730</v>
      </c>
      <c r="G15440" t="s">
        <v>19361</v>
      </c>
      <c r="H15440" t="s">
        <v>25155</v>
      </c>
      <c r="I15440" t="s">
        <v>1357</v>
      </c>
      <c r="J15440" t="s">
        <v>1357</v>
      </c>
      <c r="K15440" t="s">
        <v>1357</v>
      </c>
      <c r="L15440" t="s">
        <v>1357</v>
      </c>
    </row>
    <row r="15441" spans="8:12">
      <c r="H15441" t="s">
        <v>25156</v>
      </c>
      <c r="I15441" t="s">
        <v>1357</v>
      </c>
      <c r="J15441" t="s">
        <v>1357</v>
      </c>
      <c r="K15441" t="s">
        <v>1357</v>
      </c>
      <c r="L15441" t="s">
        <v>1357</v>
      </c>
    </row>
    <row r="15442" spans="8:12">
      <c r="H15442" t="s">
        <v>25157</v>
      </c>
      <c r="I15442" t="s">
        <v>1357</v>
      </c>
      <c r="J15442" t="s">
        <v>1357</v>
      </c>
      <c r="K15442" t="s">
        <v>1357</v>
      </c>
      <c r="L15442" t="s">
        <v>1357</v>
      </c>
    </row>
    <row r="15443" spans="8:12">
      <c r="H15443" t="s">
        <v>25158</v>
      </c>
      <c r="I15443" t="s">
        <v>1357</v>
      </c>
      <c r="J15443" t="s">
        <v>1357</v>
      </c>
      <c r="K15443" t="s">
        <v>1357</v>
      </c>
      <c r="L15443" t="s">
        <v>1357</v>
      </c>
    </row>
    <row r="15444" spans="8:12">
      <c r="H15444" t="s">
        <v>25159</v>
      </c>
      <c r="I15444" t="s">
        <v>1357</v>
      </c>
      <c r="J15444" t="s">
        <v>1357</v>
      </c>
      <c r="K15444" t="s">
        <v>1357</v>
      </c>
      <c r="L15444" t="s">
        <v>1357</v>
      </c>
    </row>
    <row r="15445" spans="8:12">
      <c r="H15445" t="s">
        <v>25160</v>
      </c>
      <c r="I15445" t="s">
        <v>1357</v>
      </c>
      <c r="J15445" t="s">
        <v>1357</v>
      </c>
      <c r="K15445" t="s">
        <v>1357</v>
      </c>
      <c r="L15445" t="s">
        <v>1357</v>
      </c>
    </row>
    <row r="15446" spans="8:12">
      <c r="H15446" t="s">
        <v>25161</v>
      </c>
      <c r="I15446" t="s">
        <v>1357</v>
      </c>
      <c r="J15446" t="s">
        <v>1357</v>
      </c>
      <c r="K15446" t="s">
        <v>1357</v>
      </c>
      <c r="L15446" t="s">
        <v>1357</v>
      </c>
    </row>
    <row r="15447" spans="8:12">
      <c r="H15447" t="s">
        <v>25162</v>
      </c>
      <c r="I15447" t="s">
        <v>1357</v>
      </c>
      <c r="J15447" t="s">
        <v>1357</v>
      </c>
      <c r="K15447" t="s">
        <v>1357</v>
      </c>
      <c r="L15447" t="s">
        <v>1357</v>
      </c>
    </row>
    <row r="15448" spans="8:12">
      <c r="H15448" t="s">
        <v>25163</v>
      </c>
      <c r="I15448" t="s">
        <v>1357</v>
      </c>
      <c r="J15448" t="s">
        <v>1357</v>
      </c>
      <c r="K15448" t="s">
        <v>1357</v>
      </c>
      <c r="L15448" t="s">
        <v>1357</v>
      </c>
    </row>
    <row r="15449" spans="8:12">
      <c r="H15449" t="s">
        <v>25164</v>
      </c>
      <c r="I15449" t="s">
        <v>1357</v>
      </c>
      <c r="J15449" t="s">
        <v>1357</v>
      </c>
      <c r="K15449" t="s">
        <v>1357</v>
      </c>
      <c r="L15449" t="s">
        <v>1357</v>
      </c>
    </row>
    <row r="15450" spans="8:12">
      <c r="H15450" t="s">
        <v>25165</v>
      </c>
      <c r="I15450" t="s">
        <v>1357</v>
      </c>
      <c r="J15450" t="s">
        <v>1357</v>
      </c>
      <c r="K15450" t="s">
        <v>1357</v>
      </c>
      <c r="L15450" t="s">
        <v>1357</v>
      </c>
    </row>
    <row r="15451" spans="8:12">
      <c r="H15451" t="s">
        <v>25166</v>
      </c>
      <c r="I15451" t="s">
        <v>1357</v>
      </c>
      <c r="J15451" t="s">
        <v>1357</v>
      </c>
      <c r="K15451" t="s">
        <v>1357</v>
      </c>
      <c r="L15451" t="s">
        <v>1357</v>
      </c>
    </row>
    <row r="15452" spans="8:12">
      <c r="H15452" t="s">
        <v>25167</v>
      </c>
      <c r="I15452" t="s">
        <v>1357</v>
      </c>
      <c r="J15452" t="s">
        <v>1357</v>
      </c>
      <c r="K15452" t="s">
        <v>1357</v>
      </c>
      <c r="L15452" t="s">
        <v>1357</v>
      </c>
    </row>
    <row r="15453" spans="8:12">
      <c r="H15453" t="s">
        <v>25168</v>
      </c>
      <c r="I15453" t="s">
        <v>1357</v>
      </c>
      <c r="J15453" t="s">
        <v>1357</v>
      </c>
      <c r="K15453" t="s">
        <v>1357</v>
      </c>
      <c r="L15453" t="s">
        <v>1357</v>
      </c>
    </row>
    <row r="15454" spans="8:12">
      <c r="H15454" t="s">
        <v>25169</v>
      </c>
      <c r="I15454" t="s">
        <v>1357</v>
      </c>
      <c r="J15454" t="s">
        <v>1357</v>
      </c>
      <c r="K15454" t="s">
        <v>1357</v>
      </c>
      <c r="L15454" t="s">
        <v>1357</v>
      </c>
    </row>
    <row r="15455" spans="8:12">
      <c r="H15455" t="s">
        <v>25170</v>
      </c>
      <c r="I15455" t="s">
        <v>1357</v>
      </c>
      <c r="J15455" t="s">
        <v>1357</v>
      </c>
      <c r="K15455" t="s">
        <v>1357</v>
      </c>
      <c r="L15455" t="s">
        <v>1357</v>
      </c>
    </row>
    <row r="15456" spans="8:12">
      <c r="H15456" t="s">
        <v>25171</v>
      </c>
      <c r="I15456" t="s">
        <v>1357</v>
      </c>
      <c r="J15456" t="s">
        <v>1357</v>
      </c>
      <c r="K15456" t="s">
        <v>1357</v>
      </c>
      <c r="L15456" t="s">
        <v>1357</v>
      </c>
    </row>
    <row r="15457" spans="6:12">
      <c r="H15457" t="s">
        <v>25172</v>
      </c>
      <c r="I15457" t="s">
        <v>1357</v>
      </c>
      <c r="J15457" t="s">
        <v>1357</v>
      </c>
      <c r="K15457" t="s">
        <v>1357</v>
      </c>
      <c r="L15457" t="s">
        <v>1357</v>
      </c>
    </row>
    <row r="15458" spans="6:12">
      <c r="H15458" t="s">
        <v>25173</v>
      </c>
      <c r="I15458" t="s">
        <v>1357</v>
      </c>
      <c r="J15458" t="s">
        <v>1357</v>
      </c>
      <c r="K15458" t="s">
        <v>1357</v>
      </c>
      <c r="L15458" t="s">
        <v>1357</v>
      </c>
    </row>
    <row r="15459" spans="6:12">
      <c r="H15459" t="s">
        <v>25174</v>
      </c>
      <c r="I15459" t="s">
        <v>1357</v>
      </c>
      <c r="J15459" t="s">
        <v>1357</v>
      </c>
      <c r="K15459" t="s">
        <v>1357</v>
      </c>
      <c r="L15459" t="s">
        <v>1357</v>
      </c>
    </row>
    <row r="15460" spans="6:12">
      <c r="H15460" t="s">
        <v>25175</v>
      </c>
      <c r="I15460" t="s">
        <v>1357</v>
      </c>
      <c r="J15460" t="s">
        <v>1357</v>
      </c>
      <c r="K15460" t="s">
        <v>1357</v>
      </c>
      <c r="L15460" t="s">
        <v>1357</v>
      </c>
    </row>
    <row r="15461" spans="6:12">
      <c r="H15461" t="s">
        <v>25176</v>
      </c>
      <c r="I15461" t="s">
        <v>1357</v>
      </c>
      <c r="J15461" t="s">
        <v>1357</v>
      </c>
      <c r="K15461" t="s">
        <v>1357</v>
      </c>
      <c r="L15461" t="s">
        <v>1357</v>
      </c>
    </row>
    <row r="15462" spans="6:12">
      <c r="H15462" t="s">
        <v>25177</v>
      </c>
      <c r="I15462" t="s">
        <v>1357</v>
      </c>
      <c r="J15462" t="s">
        <v>1357</v>
      </c>
      <c r="K15462" t="s">
        <v>1357</v>
      </c>
      <c r="L15462" t="s">
        <v>1357</v>
      </c>
    </row>
    <row r="15463" spans="6:12">
      <c r="H15463" t="s">
        <v>25178</v>
      </c>
      <c r="I15463" t="s">
        <v>1357</v>
      </c>
      <c r="J15463" t="s">
        <v>1357</v>
      </c>
      <c r="K15463" t="s">
        <v>1357</v>
      </c>
      <c r="L15463" t="s">
        <v>1357</v>
      </c>
    </row>
    <row r="15464" spans="6:12">
      <c r="H15464" t="s">
        <v>25179</v>
      </c>
      <c r="I15464" t="s">
        <v>1357</v>
      </c>
      <c r="J15464" t="s">
        <v>1357</v>
      </c>
      <c r="K15464" t="s">
        <v>1357</v>
      </c>
      <c r="L15464" t="s">
        <v>1357</v>
      </c>
    </row>
    <row r="15465" spans="6:12">
      <c r="H15465" t="s">
        <v>25180</v>
      </c>
      <c r="I15465" t="s">
        <v>1357</v>
      </c>
      <c r="J15465" t="s">
        <v>1357</v>
      </c>
      <c r="K15465" t="s">
        <v>1357</v>
      </c>
      <c r="L15465" t="s">
        <v>1357</v>
      </c>
    </row>
    <row r="15466" spans="6:12">
      <c r="F15466" t="s">
        <v>16927</v>
      </c>
      <c r="G15466" t="s">
        <v>19538</v>
      </c>
      <c r="H15466" t="s">
        <v>25181</v>
      </c>
      <c r="I15466" t="s">
        <v>1357</v>
      </c>
      <c r="J15466" t="s">
        <v>1357</v>
      </c>
      <c r="K15466" t="s">
        <v>1357</v>
      </c>
      <c r="L15466" t="s">
        <v>1357</v>
      </c>
    </row>
    <row r="15467" spans="6:12">
      <c r="F15467" t="s">
        <v>16928</v>
      </c>
      <c r="G15467" t="s">
        <v>19539</v>
      </c>
      <c r="H15467" t="s">
        <v>25182</v>
      </c>
      <c r="I15467" t="s">
        <v>1357</v>
      </c>
      <c r="J15467" t="s">
        <v>1357</v>
      </c>
      <c r="K15467" t="s">
        <v>1357</v>
      </c>
      <c r="L15467" t="s">
        <v>1357</v>
      </c>
    </row>
    <row r="15468" spans="6:12">
      <c r="F15468" t="s">
        <v>16929</v>
      </c>
      <c r="G15468" t="s">
        <v>19540</v>
      </c>
      <c r="H15468" t="s">
        <v>20014</v>
      </c>
      <c r="I15468" t="s">
        <v>1357</v>
      </c>
      <c r="J15468" t="s">
        <v>1357</v>
      </c>
      <c r="K15468" t="s">
        <v>1357</v>
      </c>
      <c r="L15468" t="s">
        <v>1357</v>
      </c>
    </row>
    <row r="15469" spans="6:12">
      <c r="H15469" t="s">
        <v>3380</v>
      </c>
      <c r="I15469" t="s">
        <v>1357</v>
      </c>
      <c r="J15469" t="s">
        <v>1357</v>
      </c>
      <c r="K15469" t="s">
        <v>1357</v>
      </c>
      <c r="L15469" t="s">
        <v>1357</v>
      </c>
    </row>
    <row r="15470" spans="6:12">
      <c r="F15470" t="s">
        <v>16271</v>
      </c>
      <c r="G15470" t="s">
        <v>18944</v>
      </c>
      <c r="H15470" t="s">
        <v>25183</v>
      </c>
      <c r="I15470" t="s">
        <v>1357</v>
      </c>
      <c r="J15470" t="s">
        <v>1357</v>
      </c>
      <c r="K15470" t="s">
        <v>1357</v>
      </c>
      <c r="L15470" t="s">
        <v>1357</v>
      </c>
    </row>
    <row r="15471" spans="6:12">
      <c r="H15471" t="s">
        <v>4574</v>
      </c>
      <c r="I15471" t="s">
        <v>1357</v>
      </c>
      <c r="J15471" t="s">
        <v>1357</v>
      </c>
      <c r="K15471" t="s">
        <v>1357</v>
      </c>
      <c r="L15471" t="s">
        <v>1357</v>
      </c>
    </row>
    <row r="15472" spans="6:12">
      <c r="H15472" t="s">
        <v>22462</v>
      </c>
      <c r="I15472" t="s">
        <v>1357</v>
      </c>
      <c r="J15472" t="s">
        <v>1357</v>
      </c>
      <c r="K15472" t="s">
        <v>1357</v>
      </c>
      <c r="L15472" t="s">
        <v>1357</v>
      </c>
    </row>
    <row r="15473" spans="6:12">
      <c r="H15473" t="s">
        <v>22463</v>
      </c>
      <c r="I15473" t="s">
        <v>1357</v>
      </c>
      <c r="J15473" t="s">
        <v>1357</v>
      </c>
      <c r="K15473" t="s">
        <v>1357</v>
      </c>
      <c r="L15473" t="s">
        <v>1357</v>
      </c>
    </row>
    <row r="15474" spans="6:12">
      <c r="H15474" t="s">
        <v>25184</v>
      </c>
      <c r="I15474" t="s">
        <v>1357</v>
      </c>
      <c r="J15474" t="s">
        <v>1357</v>
      </c>
      <c r="K15474" t="s">
        <v>1357</v>
      </c>
      <c r="L15474" t="s">
        <v>1357</v>
      </c>
    </row>
    <row r="15475" spans="6:12">
      <c r="H15475" t="s">
        <v>25185</v>
      </c>
      <c r="I15475" t="s">
        <v>1357</v>
      </c>
      <c r="J15475" t="s">
        <v>1357</v>
      </c>
      <c r="K15475" t="s">
        <v>1357</v>
      </c>
      <c r="L15475" t="s">
        <v>1357</v>
      </c>
    </row>
    <row r="15476" spans="6:12">
      <c r="H15476" t="s">
        <v>25186</v>
      </c>
      <c r="I15476" t="s">
        <v>1357</v>
      </c>
      <c r="J15476" t="s">
        <v>1357</v>
      </c>
      <c r="K15476" t="s">
        <v>1357</v>
      </c>
      <c r="L15476" t="s">
        <v>1357</v>
      </c>
    </row>
    <row r="15477" spans="6:12">
      <c r="F15477" t="s">
        <v>16930</v>
      </c>
      <c r="G15477" t="s">
        <v>19541</v>
      </c>
      <c r="H15477" t="s">
        <v>25187</v>
      </c>
      <c r="I15477" t="s">
        <v>1357</v>
      </c>
      <c r="J15477" t="s">
        <v>1357</v>
      </c>
      <c r="K15477" t="s">
        <v>1357</v>
      </c>
      <c r="L15477" t="s">
        <v>1357</v>
      </c>
    </row>
    <row r="15478" spans="6:12">
      <c r="H15478" t="s">
        <v>25188</v>
      </c>
      <c r="I15478" t="s">
        <v>1357</v>
      </c>
      <c r="J15478" t="s">
        <v>1357</v>
      </c>
      <c r="K15478" t="s">
        <v>1357</v>
      </c>
      <c r="L15478" t="s">
        <v>1357</v>
      </c>
    </row>
    <row r="15479" spans="6:12">
      <c r="H15479" t="s">
        <v>25189</v>
      </c>
      <c r="I15479" t="s">
        <v>1357</v>
      </c>
      <c r="J15479" t="s">
        <v>1357</v>
      </c>
      <c r="K15479" t="s">
        <v>1357</v>
      </c>
      <c r="L15479" t="s">
        <v>1357</v>
      </c>
    </row>
    <row r="15480" spans="6:12">
      <c r="H15480" t="s">
        <v>25190</v>
      </c>
      <c r="I15480" t="s">
        <v>1357</v>
      </c>
      <c r="J15480" t="s">
        <v>1357</v>
      </c>
      <c r="K15480" t="s">
        <v>1357</v>
      </c>
      <c r="L15480" t="s">
        <v>1357</v>
      </c>
    </row>
    <row r="15481" spans="6:12">
      <c r="H15481" t="s">
        <v>25191</v>
      </c>
      <c r="I15481" t="s">
        <v>1357</v>
      </c>
      <c r="J15481" t="s">
        <v>1357</v>
      </c>
      <c r="K15481" t="s">
        <v>1357</v>
      </c>
      <c r="L15481" t="s">
        <v>1357</v>
      </c>
    </row>
    <row r="15482" spans="6:12">
      <c r="F15482" t="s">
        <v>16931</v>
      </c>
      <c r="G15482" t="s">
        <v>19542</v>
      </c>
      <c r="H15482" t="s">
        <v>25192</v>
      </c>
      <c r="I15482" t="s">
        <v>1357</v>
      </c>
      <c r="J15482" t="s">
        <v>1357</v>
      </c>
      <c r="K15482" t="s">
        <v>1357</v>
      </c>
      <c r="L15482" t="s">
        <v>1357</v>
      </c>
    </row>
    <row r="15483" spans="6:12">
      <c r="F15483" t="s">
        <v>16932</v>
      </c>
      <c r="G15483" t="s">
        <v>19543</v>
      </c>
      <c r="H15483" t="s">
        <v>25193</v>
      </c>
      <c r="I15483" t="s">
        <v>1357</v>
      </c>
      <c r="J15483" t="s">
        <v>1357</v>
      </c>
      <c r="K15483" t="s">
        <v>1357</v>
      </c>
      <c r="L15483" t="s">
        <v>1357</v>
      </c>
    </row>
    <row r="15484" spans="6:12">
      <c r="H15484" t="s">
        <v>25194</v>
      </c>
      <c r="I15484" t="s">
        <v>1357</v>
      </c>
      <c r="J15484" t="s">
        <v>1357</v>
      </c>
      <c r="K15484" t="s">
        <v>1357</v>
      </c>
      <c r="L15484" t="s">
        <v>1357</v>
      </c>
    </row>
    <row r="15485" spans="6:12">
      <c r="H15485" t="s">
        <v>25195</v>
      </c>
      <c r="I15485" t="s">
        <v>1357</v>
      </c>
      <c r="J15485" t="s">
        <v>1357</v>
      </c>
      <c r="K15485" t="s">
        <v>1357</v>
      </c>
      <c r="L15485" t="s">
        <v>1357</v>
      </c>
    </row>
    <row r="15486" spans="6:12">
      <c r="H15486" t="s">
        <v>25196</v>
      </c>
      <c r="I15486" t="s">
        <v>1357</v>
      </c>
      <c r="J15486" t="s">
        <v>1357</v>
      </c>
      <c r="K15486" t="s">
        <v>1357</v>
      </c>
      <c r="L15486" t="s">
        <v>1357</v>
      </c>
    </row>
    <row r="15487" spans="6:12">
      <c r="H15487" t="s">
        <v>25197</v>
      </c>
      <c r="I15487" t="s">
        <v>1357</v>
      </c>
      <c r="J15487" t="s">
        <v>1357</v>
      </c>
      <c r="K15487" t="s">
        <v>1357</v>
      </c>
      <c r="L15487" t="s">
        <v>1357</v>
      </c>
    </row>
    <row r="15488" spans="6:12">
      <c r="H15488" t="s">
        <v>25198</v>
      </c>
      <c r="I15488" t="s">
        <v>1357</v>
      </c>
      <c r="J15488" t="s">
        <v>1357</v>
      </c>
      <c r="K15488" t="s">
        <v>1357</v>
      </c>
      <c r="L15488" t="s">
        <v>1357</v>
      </c>
    </row>
    <row r="15489" spans="6:12">
      <c r="H15489" t="s">
        <v>25199</v>
      </c>
      <c r="I15489" t="s">
        <v>1357</v>
      </c>
      <c r="J15489" t="s">
        <v>1357</v>
      </c>
      <c r="K15489" t="s">
        <v>1357</v>
      </c>
      <c r="L15489" t="s">
        <v>1357</v>
      </c>
    </row>
    <row r="15490" spans="6:12">
      <c r="H15490" t="s">
        <v>25200</v>
      </c>
      <c r="I15490" t="s">
        <v>1357</v>
      </c>
      <c r="J15490" t="s">
        <v>1357</v>
      </c>
      <c r="K15490" t="s">
        <v>1357</v>
      </c>
      <c r="L15490" t="s">
        <v>1357</v>
      </c>
    </row>
    <row r="15491" spans="6:12">
      <c r="F15491" t="s">
        <v>16933</v>
      </c>
      <c r="G15491" t="s">
        <v>19544</v>
      </c>
      <c r="H15491" t="s">
        <v>20014</v>
      </c>
      <c r="I15491" t="s">
        <v>1357</v>
      </c>
      <c r="J15491" t="s">
        <v>1357</v>
      </c>
      <c r="K15491" t="s">
        <v>1357</v>
      </c>
      <c r="L15491" t="s">
        <v>1357</v>
      </c>
    </row>
    <row r="15492" spans="6:12">
      <c r="H15492" t="s">
        <v>3380</v>
      </c>
      <c r="I15492" t="s">
        <v>1357</v>
      </c>
      <c r="J15492" t="s">
        <v>1357</v>
      </c>
      <c r="K15492" t="s">
        <v>1357</v>
      </c>
      <c r="L15492" t="s">
        <v>1357</v>
      </c>
    </row>
    <row r="15493" spans="6:12">
      <c r="F15493" t="s">
        <v>16934</v>
      </c>
      <c r="G15493" t="s">
        <v>19545</v>
      </c>
      <c r="H15493" t="s">
        <v>20014</v>
      </c>
      <c r="I15493" t="s">
        <v>1357</v>
      </c>
      <c r="J15493" t="s">
        <v>1357</v>
      </c>
      <c r="K15493" t="s">
        <v>1357</v>
      </c>
      <c r="L15493" t="s">
        <v>1357</v>
      </c>
    </row>
    <row r="15494" spans="6:12">
      <c r="H15494" t="s">
        <v>3380</v>
      </c>
      <c r="I15494" t="s">
        <v>1357</v>
      </c>
      <c r="J15494" t="s">
        <v>1357</v>
      </c>
      <c r="K15494" t="s">
        <v>1357</v>
      </c>
      <c r="L15494" t="s">
        <v>1357</v>
      </c>
    </row>
    <row r="15495" spans="6:12">
      <c r="F15495" t="s">
        <v>16512</v>
      </c>
      <c r="G15495" t="s">
        <v>19170</v>
      </c>
      <c r="H15495" t="s">
        <v>25201</v>
      </c>
      <c r="I15495" t="s">
        <v>1357</v>
      </c>
      <c r="J15495" t="s">
        <v>1357</v>
      </c>
      <c r="K15495" t="s">
        <v>1357</v>
      </c>
      <c r="L15495" t="s">
        <v>1357</v>
      </c>
    </row>
    <row r="15496" spans="6:12">
      <c r="H15496" t="s">
        <v>25202</v>
      </c>
      <c r="I15496" t="s">
        <v>1357</v>
      </c>
      <c r="J15496" t="s">
        <v>1357</v>
      </c>
      <c r="K15496" t="s">
        <v>1357</v>
      </c>
      <c r="L15496" t="s">
        <v>1357</v>
      </c>
    </row>
    <row r="15497" spans="6:12">
      <c r="H15497" t="s">
        <v>25203</v>
      </c>
      <c r="I15497" t="s">
        <v>1357</v>
      </c>
      <c r="J15497" t="s">
        <v>1357</v>
      </c>
      <c r="K15497" t="s">
        <v>1357</v>
      </c>
      <c r="L15497" t="s">
        <v>1357</v>
      </c>
    </row>
    <row r="15498" spans="6:12">
      <c r="H15498" t="s">
        <v>25204</v>
      </c>
      <c r="I15498" t="s">
        <v>1357</v>
      </c>
      <c r="J15498" t="s">
        <v>1357</v>
      </c>
      <c r="K15498" t="s">
        <v>1357</v>
      </c>
      <c r="L15498" t="s">
        <v>1357</v>
      </c>
    </row>
    <row r="15499" spans="6:12">
      <c r="H15499" t="s">
        <v>25205</v>
      </c>
      <c r="I15499" t="s">
        <v>1357</v>
      </c>
      <c r="J15499" t="s">
        <v>1357</v>
      </c>
      <c r="K15499" t="s">
        <v>1357</v>
      </c>
      <c r="L15499" t="s">
        <v>1357</v>
      </c>
    </row>
    <row r="15500" spans="6:12">
      <c r="H15500" t="s">
        <v>25206</v>
      </c>
      <c r="I15500" t="s">
        <v>1357</v>
      </c>
      <c r="J15500" t="s">
        <v>1357</v>
      </c>
      <c r="K15500" t="s">
        <v>1357</v>
      </c>
      <c r="L15500" t="s">
        <v>1357</v>
      </c>
    </row>
    <row r="15501" spans="6:12">
      <c r="H15501" t="s">
        <v>25207</v>
      </c>
      <c r="I15501" t="s">
        <v>1357</v>
      </c>
      <c r="J15501" t="s">
        <v>1357</v>
      </c>
      <c r="K15501" t="s">
        <v>1357</v>
      </c>
      <c r="L15501" t="s">
        <v>1357</v>
      </c>
    </row>
    <row r="15502" spans="6:12">
      <c r="H15502" t="s">
        <v>25208</v>
      </c>
      <c r="I15502" t="s">
        <v>1357</v>
      </c>
      <c r="J15502" t="s">
        <v>1357</v>
      </c>
      <c r="K15502" t="s">
        <v>1357</v>
      </c>
      <c r="L15502" t="s">
        <v>1357</v>
      </c>
    </row>
    <row r="15503" spans="6:12">
      <c r="F15503" t="s">
        <v>16935</v>
      </c>
      <c r="G15503" t="s">
        <v>19546</v>
      </c>
      <c r="H15503" t="s">
        <v>25209</v>
      </c>
      <c r="I15503" t="s">
        <v>1357</v>
      </c>
      <c r="J15503" t="s">
        <v>1357</v>
      </c>
      <c r="K15503" t="s">
        <v>1357</v>
      </c>
      <c r="L15503" t="s">
        <v>1357</v>
      </c>
    </row>
    <row r="15504" spans="6:12">
      <c r="F15504" t="s">
        <v>16936</v>
      </c>
      <c r="G15504" t="s">
        <v>19547</v>
      </c>
      <c r="H15504" t="s">
        <v>25210</v>
      </c>
      <c r="I15504" t="s">
        <v>1357</v>
      </c>
      <c r="J15504" t="s">
        <v>1357</v>
      </c>
      <c r="K15504" t="s">
        <v>1357</v>
      </c>
      <c r="L15504" t="s">
        <v>1357</v>
      </c>
    </row>
    <row r="15505" spans="6:13">
      <c r="F15505" t="s">
        <v>16937</v>
      </c>
      <c r="G15505" t="s">
        <v>19548</v>
      </c>
      <c r="H15505" t="s">
        <v>795</v>
      </c>
      <c r="I15505" t="s">
        <v>1357</v>
      </c>
      <c r="J15505" t="s">
        <v>1357</v>
      </c>
      <c r="K15505" t="s">
        <v>1357</v>
      </c>
      <c r="L15505" t="s">
        <v>1357</v>
      </c>
    </row>
    <row r="15506" spans="6:13">
      <c r="H15506" t="s">
        <v>25211</v>
      </c>
      <c r="I15506" t="s">
        <v>1357</v>
      </c>
      <c r="J15506" t="s">
        <v>1357</v>
      </c>
      <c r="K15506" t="s">
        <v>1357</v>
      </c>
      <c r="L15506" t="s">
        <v>1357</v>
      </c>
    </row>
    <row r="15507" spans="6:13">
      <c r="H15507" t="s">
        <v>25212</v>
      </c>
      <c r="I15507" t="s">
        <v>1357</v>
      </c>
      <c r="J15507" t="s">
        <v>1357</v>
      </c>
      <c r="K15507" t="s">
        <v>1357</v>
      </c>
      <c r="L15507" t="s">
        <v>1357</v>
      </c>
    </row>
    <row r="15508" spans="6:13">
      <c r="H15508" t="s">
        <v>25213</v>
      </c>
      <c r="I15508" t="s">
        <v>1357</v>
      </c>
      <c r="J15508" t="s">
        <v>1357</v>
      </c>
      <c r="K15508" t="s">
        <v>1357</v>
      </c>
      <c r="L15508" t="s">
        <v>1357</v>
      </c>
    </row>
    <row r="15509" spans="6:13">
      <c r="F15509" t="s">
        <v>16938</v>
      </c>
      <c r="G15509" t="s">
        <v>19549</v>
      </c>
      <c r="H15509" t="s">
        <v>795</v>
      </c>
      <c r="I15509" t="s">
        <v>1357</v>
      </c>
      <c r="J15509" t="s">
        <v>1357</v>
      </c>
      <c r="K15509" t="s">
        <v>1357</v>
      </c>
      <c r="L15509" t="s">
        <v>1357</v>
      </c>
    </row>
    <row r="15510" spans="6:13">
      <c r="H15510" t="s">
        <v>25214</v>
      </c>
      <c r="I15510" t="s">
        <v>1357</v>
      </c>
      <c r="J15510" t="s">
        <v>1357</v>
      </c>
      <c r="K15510" t="s">
        <v>1357</v>
      </c>
      <c r="L15510" t="s">
        <v>1357</v>
      </c>
    </row>
    <row r="15511" spans="6:13">
      <c r="F15511" t="s">
        <v>16939</v>
      </c>
      <c r="G15511" t="s">
        <v>19550</v>
      </c>
      <c r="H15511" t="s">
        <v>25215</v>
      </c>
      <c r="I15511" t="s">
        <v>1357</v>
      </c>
      <c r="J15511" t="s">
        <v>1357</v>
      </c>
      <c r="K15511" t="s">
        <v>1357</v>
      </c>
      <c r="L15511" t="s">
        <v>1357</v>
      </c>
    </row>
    <row r="15512" spans="6:13">
      <c r="H15512" t="s">
        <v>25216</v>
      </c>
      <c r="I15512" t="s">
        <v>1357</v>
      </c>
      <c r="J15512" t="s">
        <v>1357</v>
      </c>
      <c r="K15512" t="s">
        <v>1357</v>
      </c>
      <c r="L15512" t="s">
        <v>1357</v>
      </c>
    </row>
    <row r="15513" spans="6:13">
      <c r="H15513" t="s">
        <v>25217</v>
      </c>
      <c r="I15513" t="s">
        <v>1357</v>
      </c>
      <c r="J15513" t="s">
        <v>1357</v>
      </c>
      <c r="K15513" t="s">
        <v>1357</v>
      </c>
      <c r="L15513" t="s">
        <v>1357</v>
      </c>
    </row>
    <row r="15514" spans="6:13">
      <c r="F15514" t="s">
        <v>16744</v>
      </c>
      <c r="G15514" t="s">
        <v>19373</v>
      </c>
      <c r="H15514" t="s">
        <v>25218</v>
      </c>
      <c r="I15514" t="s">
        <v>1357</v>
      </c>
      <c r="J15514" t="s">
        <v>1357</v>
      </c>
      <c r="K15514" t="s">
        <v>1357</v>
      </c>
      <c r="L15514" t="s">
        <v>1357</v>
      </c>
    </row>
    <row r="15515" spans="6:13">
      <c r="H15515" t="s">
        <v>25214</v>
      </c>
      <c r="I15515" t="s">
        <v>1357</v>
      </c>
      <c r="J15515" t="s">
        <v>1357</v>
      </c>
      <c r="K15515" t="s">
        <v>1357</v>
      </c>
      <c r="L15515" t="s">
        <v>1357</v>
      </c>
    </row>
    <row r="15516" spans="6:13">
      <c r="H15516" t="s">
        <v>25219</v>
      </c>
      <c r="I15516" t="s">
        <v>1357</v>
      </c>
      <c r="J15516" t="s">
        <v>1357</v>
      </c>
      <c r="K15516" t="s">
        <v>1357</v>
      </c>
      <c r="L15516" t="s">
        <v>1357</v>
      </c>
    </row>
    <row r="15517" spans="6:13">
      <c r="H15517" t="s">
        <v>25220</v>
      </c>
      <c r="I15517" t="s">
        <v>1357</v>
      </c>
      <c r="J15517" t="s">
        <v>1357</v>
      </c>
      <c r="K15517" t="s">
        <v>1357</v>
      </c>
      <c r="L15517" t="s">
        <v>1357</v>
      </c>
    </row>
    <row r="15518" spans="6:13">
      <c r="H15518" t="s">
        <v>25221</v>
      </c>
      <c r="I15518" t="s">
        <v>1357</v>
      </c>
      <c r="J15518" t="s">
        <v>1357</v>
      </c>
      <c r="K15518" t="s">
        <v>1357</v>
      </c>
      <c r="L15518" t="s">
        <v>1357</v>
      </c>
    </row>
    <row r="15519" spans="6:13">
      <c r="H15519" t="s">
        <v>25222</v>
      </c>
      <c r="I15519" t="s">
        <v>1357</v>
      </c>
      <c r="J15519" t="s">
        <v>1357</v>
      </c>
      <c r="K15519" t="s">
        <v>1357</v>
      </c>
      <c r="L15519" t="s">
        <v>1357</v>
      </c>
    </row>
    <row r="15520" spans="6:13">
      <c r="H15520" t="s">
        <v>25223</v>
      </c>
      <c r="I15520" t="s">
        <v>1357</v>
      </c>
      <c r="J15520" t="s">
        <v>1357</v>
      </c>
      <c r="K15520" t="s">
        <v>1357</v>
      </c>
      <c r="L15520" t="s">
        <v>1357</v>
      </c>
      <c r="M15520" t="s">
        <v>1361</v>
      </c>
    </row>
    <row r="15521" spans="6:12">
      <c r="H15521" t="s">
        <v>25224</v>
      </c>
      <c r="I15521" t="s">
        <v>1357</v>
      </c>
      <c r="J15521" t="s">
        <v>1357</v>
      </c>
      <c r="K15521" t="s">
        <v>1357</v>
      </c>
      <c r="L15521" t="s">
        <v>1357</v>
      </c>
    </row>
    <row r="15522" spans="6:12">
      <c r="F15522" t="s">
        <v>16940</v>
      </c>
      <c r="G15522" t="s">
        <v>19551</v>
      </c>
      <c r="H15522" t="s">
        <v>25225</v>
      </c>
      <c r="I15522" t="s">
        <v>1357</v>
      </c>
      <c r="J15522" t="s">
        <v>1357</v>
      </c>
      <c r="K15522" t="s">
        <v>1357</v>
      </c>
      <c r="L15522" t="s">
        <v>1357</v>
      </c>
    </row>
    <row r="15523" spans="6:12">
      <c r="F15523" t="s">
        <v>14545</v>
      </c>
      <c r="G15523" t="s">
        <v>17390</v>
      </c>
      <c r="H15523" t="s">
        <v>25226</v>
      </c>
      <c r="I15523" t="s">
        <v>1357</v>
      </c>
      <c r="J15523" t="s">
        <v>1357</v>
      </c>
      <c r="K15523" t="s">
        <v>1357</v>
      </c>
      <c r="L15523" t="s">
        <v>1357</v>
      </c>
    </row>
    <row r="15524" spans="6:12">
      <c r="H15524" t="s">
        <v>25227</v>
      </c>
      <c r="I15524" t="s">
        <v>1357</v>
      </c>
      <c r="J15524" t="s">
        <v>1357</v>
      </c>
      <c r="K15524" t="s">
        <v>1357</v>
      </c>
      <c r="L15524" t="s">
        <v>1357</v>
      </c>
    </row>
    <row r="15525" spans="6:12">
      <c r="H15525" t="s">
        <v>25228</v>
      </c>
      <c r="I15525" t="s">
        <v>1357</v>
      </c>
      <c r="J15525" t="s">
        <v>1357</v>
      </c>
      <c r="K15525" t="s">
        <v>1357</v>
      </c>
      <c r="L15525" t="s">
        <v>1357</v>
      </c>
    </row>
    <row r="15526" spans="6:12">
      <c r="H15526" t="s">
        <v>25229</v>
      </c>
      <c r="I15526" t="s">
        <v>1357</v>
      </c>
      <c r="J15526" t="s">
        <v>1357</v>
      </c>
      <c r="K15526" t="s">
        <v>1357</v>
      </c>
      <c r="L15526" t="s">
        <v>1357</v>
      </c>
    </row>
    <row r="15527" spans="6:12">
      <c r="H15527" t="s">
        <v>25230</v>
      </c>
      <c r="I15527" t="s">
        <v>1357</v>
      </c>
      <c r="J15527" t="s">
        <v>1357</v>
      </c>
      <c r="K15527" t="s">
        <v>1357</v>
      </c>
      <c r="L15527" t="s">
        <v>1357</v>
      </c>
    </row>
    <row r="15528" spans="6:12">
      <c r="F15528" t="s">
        <v>16941</v>
      </c>
      <c r="G15528" t="s">
        <v>19552</v>
      </c>
      <c r="H15528" t="s">
        <v>23990</v>
      </c>
      <c r="I15528" t="s">
        <v>1357</v>
      </c>
      <c r="J15528" t="s">
        <v>1357</v>
      </c>
      <c r="K15528" t="s">
        <v>1357</v>
      </c>
      <c r="L15528" t="s">
        <v>1357</v>
      </c>
    </row>
    <row r="15529" spans="6:12">
      <c r="H15529" t="s">
        <v>25231</v>
      </c>
      <c r="I15529" t="s">
        <v>1357</v>
      </c>
      <c r="J15529" t="s">
        <v>1357</v>
      </c>
      <c r="K15529" t="s">
        <v>1357</v>
      </c>
      <c r="L15529" t="s">
        <v>1357</v>
      </c>
    </row>
    <row r="15530" spans="6:12">
      <c r="H15530" t="s">
        <v>25232</v>
      </c>
      <c r="I15530" t="s">
        <v>1357</v>
      </c>
      <c r="J15530" t="s">
        <v>1357</v>
      </c>
      <c r="K15530" t="s">
        <v>1357</v>
      </c>
      <c r="L15530" t="s">
        <v>1357</v>
      </c>
    </row>
    <row r="15531" spans="6:12">
      <c r="H15531" t="s">
        <v>812</v>
      </c>
      <c r="I15531" t="s">
        <v>1357</v>
      </c>
      <c r="J15531" t="s">
        <v>1357</v>
      </c>
      <c r="K15531" t="s">
        <v>1357</v>
      </c>
      <c r="L15531" t="s">
        <v>1357</v>
      </c>
    </row>
    <row r="15532" spans="6:12">
      <c r="H15532" t="s">
        <v>1850</v>
      </c>
      <c r="I15532" t="s">
        <v>1357</v>
      </c>
      <c r="J15532" t="s">
        <v>1357</v>
      </c>
      <c r="K15532" t="s">
        <v>1357</v>
      </c>
      <c r="L15532" t="s">
        <v>1357</v>
      </c>
    </row>
    <row r="15533" spans="6:12">
      <c r="H15533" t="s">
        <v>25233</v>
      </c>
      <c r="I15533" t="s">
        <v>1357</v>
      </c>
      <c r="J15533" t="s">
        <v>1357</v>
      </c>
      <c r="K15533" t="s">
        <v>1357</v>
      </c>
      <c r="L15533" t="s">
        <v>1357</v>
      </c>
    </row>
    <row r="15534" spans="6:12">
      <c r="H15534" t="s">
        <v>25234</v>
      </c>
      <c r="I15534" t="s">
        <v>1357</v>
      </c>
      <c r="J15534" t="s">
        <v>1357</v>
      </c>
      <c r="K15534" t="s">
        <v>1357</v>
      </c>
      <c r="L15534" t="s">
        <v>1357</v>
      </c>
    </row>
    <row r="15535" spans="6:12">
      <c r="H15535" t="s">
        <v>25235</v>
      </c>
      <c r="I15535" t="s">
        <v>1357</v>
      </c>
      <c r="J15535" t="s">
        <v>1357</v>
      </c>
      <c r="K15535" t="s">
        <v>1357</v>
      </c>
      <c r="L15535" t="s">
        <v>1357</v>
      </c>
    </row>
    <row r="15536" spans="6:12">
      <c r="H15536" t="s">
        <v>25236</v>
      </c>
      <c r="I15536" t="s">
        <v>1357</v>
      </c>
      <c r="J15536" t="s">
        <v>1357</v>
      </c>
      <c r="K15536" t="s">
        <v>1357</v>
      </c>
      <c r="L15536" t="s">
        <v>1357</v>
      </c>
    </row>
    <row r="15537" spans="8:12">
      <c r="H15537" t="s">
        <v>25237</v>
      </c>
      <c r="I15537" t="s">
        <v>1357</v>
      </c>
      <c r="J15537" t="s">
        <v>1357</v>
      </c>
      <c r="K15537" t="s">
        <v>1357</v>
      </c>
      <c r="L15537" t="s">
        <v>1357</v>
      </c>
    </row>
    <row r="15538" spans="8:12">
      <c r="H15538" t="s">
        <v>25238</v>
      </c>
      <c r="I15538" t="s">
        <v>1357</v>
      </c>
      <c r="J15538" t="s">
        <v>1357</v>
      </c>
      <c r="K15538" t="s">
        <v>1357</v>
      </c>
      <c r="L15538" t="s">
        <v>1357</v>
      </c>
    </row>
    <row r="15539" spans="8:12">
      <c r="H15539" t="s">
        <v>25239</v>
      </c>
      <c r="I15539" t="s">
        <v>1357</v>
      </c>
      <c r="J15539" t="s">
        <v>1357</v>
      </c>
      <c r="K15539" t="s">
        <v>1357</v>
      </c>
      <c r="L15539" t="s">
        <v>1357</v>
      </c>
    </row>
    <row r="15540" spans="8:12">
      <c r="H15540" t="s">
        <v>25240</v>
      </c>
      <c r="I15540" t="s">
        <v>1357</v>
      </c>
      <c r="J15540" t="s">
        <v>1357</v>
      </c>
      <c r="K15540" t="s">
        <v>1357</v>
      </c>
      <c r="L15540" t="s">
        <v>1357</v>
      </c>
    </row>
    <row r="15541" spans="8:12">
      <c r="H15541" t="s">
        <v>25241</v>
      </c>
      <c r="I15541" t="s">
        <v>1357</v>
      </c>
      <c r="J15541" t="s">
        <v>1357</v>
      </c>
      <c r="K15541" t="s">
        <v>1357</v>
      </c>
      <c r="L15541" t="s">
        <v>1357</v>
      </c>
    </row>
    <row r="15542" spans="8:12">
      <c r="H15542" t="s">
        <v>25242</v>
      </c>
      <c r="I15542" t="s">
        <v>1357</v>
      </c>
      <c r="J15542" t="s">
        <v>1357</v>
      </c>
      <c r="K15542" t="s">
        <v>1357</v>
      </c>
      <c r="L15542" t="s">
        <v>1357</v>
      </c>
    </row>
    <row r="15543" spans="8:12">
      <c r="H15543" t="s">
        <v>25243</v>
      </c>
      <c r="I15543" t="s">
        <v>1357</v>
      </c>
      <c r="J15543" t="s">
        <v>1357</v>
      </c>
      <c r="K15543" t="s">
        <v>1357</v>
      </c>
      <c r="L15543" t="s">
        <v>1357</v>
      </c>
    </row>
    <row r="15544" spans="8:12">
      <c r="H15544" t="s">
        <v>25244</v>
      </c>
      <c r="I15544" t="s">
        <v>1357</v>
      </c>
      <c r="J15544" t="s">
        <v>1357</v>
      </c>
      <c r="K15544" t="s">
        <v>1357</v>
      </c>
      <c r="L15544" t="s">
        <v>1357</v>
      </c>
    </row>
    <row r="15545" spans="8:12">
      <c r="H15545" t="s">
        <v>25245</v>
      </c>
      <c r="I15545" t="s">
        <v>1357</v>
      </c>
      <c r="J15545" t="s">
        <v>1357</v>
      </c>
      <c r="K15545" t="s">
        <v>1357</v>
      </c>
      <c r="L15545" t="s">
        <v>1357</v>
      </c>
    </row>
    <row r="15546" spans="8:12">
      <c r="H15546" t="s">
        <v>25246</v>
      </c>
      <c r="I15546" t="s">
        <v>1357</v>
      </c>
      <c r="J15546" t="s">
        <v>1357</v>
      </c>
      <c r="K15546" t="s">
        <v>1357</v>
      </c>
      <c r="L15546" t="s">
        <v>1357</v>
      </c>
    </row>
    <row r="15547" spans="8:12">
      <c r="H15547" t="s">
        <v>25247</v>
      </c>
      <c r="I15547" t="s">
        <v>1357</v>
      </c>
      <c r="J15547" t="s">
        <v>1357</v>
      </c>
      <c r="K15547" t="s">
        <v>1357</v>
      </c>
      <c r="L15547" t="s">
        <v>1357</v>
      </c>
    </row>
    <row r="15548" spans="8:12">
      <c r="H15548" t="s">
        <v>25248</v>
      </c>
      <c r="I15548" t="s">
        <v>1357</v>
      </c>
      <c r="J15548" t="s">
        <v>1357</v>
      </c>
      <c r="K15548" t="s">
        <v>1357</v>
      </c>
      <c r="L15548" t="s">
        <v>1357</v>
      </c>
    </row>
    <row r="15549" spans="8:12">
      <c r="H15549" t="s">
        <v>25249</v>
      </c>
      <c r="I15549" t="s">
        <v>1357</v>
      </c>
      <c r="J15549" t="s">
        <v>1357</v>
      </c>
      <c r="K15549" t="s">
        <v>1357</v>
      </c>
      <c r="L15549" t="s">
        <v>1357</v>
      </c>
    </row>
    <row r="15550" spans="8:12">
      <c r="H15550" t="s">
        <v>25250</v>
      </c>
      <c r="I15550" t="s">
        <v>1357</v>
      </c>
      <c r="J15550" t="s">
        <v>1357</v>
      </c>
      <c r="K15550" t="s">
        <v>1357</v>
      </c>
      <c r="L15550" t="s">
        <v>1357</v>
      </c>
    </row>
    <row r="15551" spans="8:12">
      <c r="H15551" t="s">
        <v>25251</v>
      </c>
      <c r="I15551" t="s">
        <v>1357</v>
      </c>
      <c r="J15551" t="s">
        <v>1357</v>
      </c>
      <c r="K15551" t="s">
        <v>1357</v>
      </c>
      <c r="L15551" t="s">
        <v>1357</v>
      </c>
    </row>
    <row r="15552" spans="8:12">
      <c r="H15552" t="s">
        <v>25252</v>
      </c>
      <c r="I15552" t="s">
        <v>1357</v>
      </c>
      <c r="J15552" t="s">
        <v>1357</v>
      </c>
      <c r="K15552" t="s">
        <v>1357</v>
      </c>
      <c r="L15552" t="s">
        <v>1357</v>
      </c>
    </row>
    <row r="15553" spans="6:12">
      <c r="H15553" t="s">
        <v>25253</v>
      </c>
      <c r="I15553" t="s">
        <v>1357</v>
      </c>
      <c r="J15553" t="s">
        <v>1357</v>
      </c>
      <c r="K15553" t="s">
        <v>1357</v>
      </c>
      <c r="L15553" t="s">
        <v>1357</v>
      </c>
    </row>
    <row r="15554" spans="6:12">
      <c r="H15554" t="s">
        <v>25254</v>
      </c>
      <c r="I15554" t="s">
        <v>1357</v>
      </c>
      <c r="J15554" t="s">
        <v>1357</v>
      </c>
      <c r="K15554" t="s">
        <v>1357</v>
      </c>
      <c r="L15554" t="s">
        <v>1357</v>
      </c>
    </row>
    <row r="15555" spans="6:12">
      <c r="H15555" t="s">
        <v>25255</v>
      </c>
      <c r="I15555" t="s">
        <v>1357</v>
      </c>
      <c r="J15555" t="s">
        <v>1357</v>
      </c>
      <c r="K15555" t="s">
        <v>1357</v>
      </c>
      <c r="L15555" t="s">
        <v>1357</v>
      </c>
    </row>
    <row r="15556" spans="6:12">
      <c r="H15556" t="s">
        <v>25256</v>
      </c>
      <c r="I15556" t="s">
        <v>1357</v>
      </c>
      <c r="J15556" t="s">
        <v>1357</v>
      </c>
      <c r="K15556" t="s">
        <v>1357</v>
      </c>
      <c r="L15556" t="s">
        <v>1357</v>
      </c>
    </row>
    <row r="15557" spans="6:12">
      <c r="H15557" t="s">
        <v>25257</v>
      </c>
      <c r="I15557" t="s">
        <v>1357</v>
      </c>
      <c r="J15557" t="s">
        <v>1357</v>
      </c>
      <c r="K15557" t="s">
        <v>1357</v>
      </c>
      <c r="L15557" t="s">
        <v>1357</v>
      </c>
    </row>
    <row r="15558" spans="6:12">
      <c r="F15558" t="s">
        <v>16942</v>
      </c>
      <c r="G15558" t="s">
        <v>19553</v>
      </c>
      <c r="H15558" t="s">
        <v>25258</v>
      </c>
      <c r="I15558" t="s">
        <v>1357</v>
      </c>
      <c r="J15558" t="s">
        <v>1357</v>
      </c>
      <c r="K15558" t="s">
        <v>1357</v>
      </c>
      <c r="L15558" t="s">
        <v>1357</v>
      </c>
    </row>
    <row r="15559" spans="6:12">
      <c r="F15559" t="s">
        <v>16943</v>
      </c>
      <c r="G15559" t="s">
        <v>19554</v>
      </c>
      <c r="H15559" t="s">
        <v>25259</v>
      </c>
      <c r="I15559" t="s">
        <v>1357</v>
      </c>
      <c r="J15559" t="s">
        <v>1357</v>
      </c>
      <c r="K15559" t="s">
        <v>1357</v>
      </c>
      <c r="L15559" t="s">
        <v>1357</v>
      </c>
    </row>
    <row r="15560" spans="6:12">
      <c r="H15560" t="s">
        <v>25260</v>
      </c>
      <c r="I15560" t="s">
        <v>1357</v>
      </c>
      <c r="J15560" t="s">
        <v>1357</v>
      </c>
      <c r="K15560" t="s">
        <v>1357</v>
      </c>
      <c r="L15560" t="s">
        <v>1357</v>
      </c>
    </row>
    <row r="15561" spans="6:12">
      <c r="H15561" t="s">
        <v>25261</v>
      </c>
      <c r="I15561" t="s">
        <v>1357</v>
      </c>
      <c r="J15561" t="s">
        <v>1357</v>
      </c>
      <c r="K15561" t="s">
        <v>1357</v>
      </c>
      <c r="L15561" t="s">
        <v>1357</v>
      </c>
    </row>
    <row r="15562" spans="6:12">
      <c r="F15562" t="s">
        <v>16944</v>
      </c>
      <c r="G15562" t="s">
        <v>19555</v>
      </c>
      <c r="H15562" t="s">
        <v>25262</v>
      </c>
      <c r="I15562" t="s">
        <v>1357</v>
      </c>
      <c r="J15562" t="s">
        <v>1357</v>
      </c>
      <c r="K15562" t="s">
        <v>1357</v>
      </c>
      <c r="L15562" t="s">
        <v>1357</v>
      </c>
    </row>
    <row r="15563" spans="6:12">
      <c r="F15563" t="s">
        <v>16945</v>
      </c>
      <c r="G15563" t="s">
        <v>19556</v>
      </c>
      <c r="H15563" t="s">
        <v>795</v>
      </c>
      <c r="I15563" t="s">
        <v>1357</v>
      </c>
      <c r="J15563" t="s">
        <v>1357</v>
      </c>
      <c r="K15563" t="s">
        <v>1357</v>
      </c>
      <c r="L15563" t="s">
        <v>1357</v>
      </c>
    </row>
    <row r="15564" spans="6:12">
      <c r="F15564" t="s">
        <v>16946</v>
      </c>
      <c r="G15564" t="s">
        <v>19557</v>
      </c>
      <c r="H15564" t="s">
        <v>23247</v>
      </c>
      <c r="I15564" t="s">
        <v>1357</v>
      </c>
      <c r="J15564" t="s">
        <v>1357</v>
      </c>
      <c r="K15564" t="s">
        <v>1357</v>
      </c>
      <c r="L15564" t="s">
        <v>1357</v>
      </c>
    </row>
    <row r="15565" spans="6:12">
      <c r="H15565" t="s">
        <v>25263</v>
      </c>
      <c r="I15565" t="s">
        <v>1357</v>
      </c>
      <c r="J15565" t="s">
        <v>1357</v>
      </c>
      <c r="K15565" t="s">
        <v>1357</v>
      </c>
      <c r="L15565" t="s">
        <v>1357</v>
      </c>
    </row>
    <row r="15566" spans="6:12">
      <c r="H15566" t="s">
        <v>25264</v>
      </c>
      <c r="I15566" t="s">
        <v>1357</v>
      </c>
      <c r="J15566" t="s">
        <v>1357</v>
      </c>
      <c r="K15566" t="s">
        <v>1357</v>
      </c>
      <c r="L15566" t="s">
        <v>1357</v>
      </c>
    </row>
    <row r="15567" spans="6:12">
      <c r="H15567" t="s">
        <v>25265</v>
      </c>
      <c r="I15567" t="s">
        <v>1357</v>
      </c>
      <c r="J15567" t="s">
        <v>1357</v>
      </c>
      <c r="K15567" t="s">
        <v>1357</v>
      </c>
      <c r="L15567" t="s">
        <v>1357</v>
      </c>
    </row>
    <row r="15568" spans="6:12">
      <c r="H15568" t="s">
        <v>25266</v>
      </c>
      <c r="I15568" t="s">
        <v>1357</v>
      </c>
      <c r="J15568" t="s">
        <v>1357</v>
      </c>
      <c r="K15568" t="s">
        <v>1357</v>
      </c>
      <c r="L15568" t="s">
        <v>1357</v>
      </c>
    </row>
    <row r="15569" spans="6:12">
      <c r="H15569" t="s">
        <v>25267</v>
      </c>
      <c r="I15569" t="s">
        <v>1357</v>
      </c>
      <c r="J15569" t="s">
        <v>1357</v>
      </c>
      <c r="K15569" t="s">
        <v>1357</v>
      </c>
      <c r="L15569" t="s">
        <v>1357</v>
      </c>
    </row>
    <row r="15570" spans="6:12">
      <c r="F15570" t="s">
        <v>16947</v>
      </c>
      <c r="G15570" t="s">
        <v>19558</v>
      </c>
      <c r="H15570" t="s">
        <v>25268</v>
      </c>
      <c r="I15570" t="s">
        <v>1357</v>
      </c>
      <c r="J15570" t="s">
        <v>1357</v>
      </c>
      <c r="K15570" t="s">
        <v>1357</v>
      </c>
      <c r="L15570" t="s">
        <v>1357</v>
      </c>
    </row>
    <row r="15571" spans="6:12">
      <c r="F15571" t="s">
        <v>16948</v>
      </c>
      <c r="G15571" t="s">
        <v>19559</v>
      </c>
      <c r="H15571" t="s">
        <v>4690</v>
      </c>
      <c r="I15571" t="s">
        <v>1357</v>
      </c>
      <c r="J15571" t="s">
        <v>1357</v>
      </c>
      <c r="K15571" t="s">
        <v>1357</v>
      </c>
      <c r="L15571" t="s">
        <v>1357</v>
      </c>
    </row>
    <row r="15572" spans="6:12">
      <c r="H15572" t="s">
        <v>25269</v>
      </c>
      <c r="I15572" t="s">
        <v>1357</v>
      </c>
      <c r="J15572" t="s">
        <v>1357</v>
      </c>
      <c r="K15572" t="s">
        <v>1357</v>
      </c>
      <c r="L15572" t="s">
        <v>1357</v>
      </c>
    </row>
    <row r="15573" spans="6:12">
      <c r="H15573" t="s">
        <v>25270</v>
      </c>
      <c r="I15573" t="s">
        <v>1357</v>
      </c>
      <c r="J15573" t="s">
        <v>1357</v>
      </c>
      <c r="K15573" t="s">
        <v>1357</v>
      </c>
      <c r="L15573" t="s">
        <v>1357</v>
      </c>
    </row>
    <row r="15574" spans="6:12">
      <c r="F15574" t="s">
        <v>16949</v>
      </c>
      <c r="G15574" t="s">
        <v>19560</v>
      </c>
      <c r="H15574" t="s">
        <v>25271</v>
      </c>
      <c r="I15574" t="s">
        <v>1357</v>
      </c>
      <c r="J15574" t="s">
        <v>1357</v>
      </c>
      <c r="K15574" t="s">
        <v>1357</v>
      </c>
      <c r="L15574" t="s">
        <v>1357</v>
      </c>
    </row>
    <row r="15575" spans="6:12">
      <c r="H15575" t="s">
        <v>25272</v>
      </c>
      <c r="I15575" t="s">
        <v>1357</v>
      </c>
      <c r="J15575" t="s">
        <v>1357</v>
      </c>
      <c r="K15575" t="s">
        <v>1357</v>
      </c>
      <c r="L15575" t="s">
        <v>1357</v>
      </c>
    </row>
    <row r="15576" spans="6:12">
      <c r="H15576" t="s">
        <v>3303</v>
      </c>
      <c r="I15576" t="s">
        <v>1357</v>
      </c>
      <c r="J15576" t="s">
        <v>1357</v>
      </c>
      <c r="K15576" t="s">
        <v>1357</v>
      </c>
      <c r="L15576" t="s">
        <v>1357</v>
      </c>
    </row>
    <row r="15577" spans="6:12">
      <c r="H15577" t="s">
        <v>1083</v>
      </c>
      <c r="I15577" t="s">
        <v>1357</v>
      </c>
      <c r="J15577" t="s">
        <v>1357</v>
      </c>
      <c r="K15577" t="s">
        <v>1357</v>
      </c>
      <c r="L15577" t="s">
        <v>1357</v>
      </c>
    </row>
    <row r="15578" spans="6:12">
      <c r="H15578" t="s">
        <v>1077</v>
      </c>
      <c r="I15578" t="s">
        <v>1357</v>
      </c>
      <c r="J15578" t="s">
        <v>1357</v>
      </c>
      <c r="K15578" t="s">
        <v>1357</v>
      </c>
      <c r="L15578" t="s">
        <v>1357</v>
      </c>
    </row>
    <row r="15579" spans="6:12">
      <c r="H15579" t="s">
        <v>25273</v>
      </c>
      <c r="I15579" t="s">
        <v>1357</v>
      </c>
      <c r="J15579" t="s">
        <v>1357</v>
      </c>
      <c r="K15579" t="s">
        <v>1357</v>
      </c>
      <c r="L15579" t="s">
        <v>1357</v>
      </c>
    </row>
    <row r="15580" spans="6:12">
      <c r="F15580" t="s">
        <v>16950</v>
      </c>
      <c r="G15580" t="s">
        <v>19561</v>
      </c>
      <c r="H15580" t="s">
        <v>25274</v>
      </c>
      <c r="I15580" t="s">
        <v>1357</v>
      </c>
      <c r="J15580" t="s">
        <v>1357</v>
      </c>
      <c r="K15580" t="s">
        <v>1357</v>
      </c>
      <c r="L15580" t="s">
        <v>1357</v>
      </c>
    </row>
    <row r="15581" spans="6:12">
      <c r="H15581" t="s">
        <v>25275</v>
      </c>
      <c r="I15581" t="s">
        <v>1357</v>
      </c>
      <c r="J15581" t="s">
        <v>1357</v>
      </c>
      <c r="K15581" t="s">
        <v>1357</v>
      </c>
      <c r="L15581" t="s">
        <v>1357</v>
      </c>
    </row>
    <row r="15582" spans="6:12">
      <c r="H15582" t="s">
        <v>25276</v>
      </c>
      <c r="I15582" t="s">
        <v>1357</v>
      </c>
      <c r="J15582" t="s">
        <v>1357</v>
      </c>
      <c r="K15582" t="s">
        <v>1357</v>
      </c>
      <c r="L15582" t="s">
        <v>1357</v>
      </c>
    </row>
    <row r="15583" spans="6:12">
      <c r="H15583" t="s">
        <v>25277</v>
      </c>
      <c r="I15583" t="s">
        <v>1357</v>
      </c>
      <c r="J15583" t="s">
        <v>1357</v>
      </c>
      <c r="K15583" t="s">
        <v>1357</v>
      </c>
      <c r="L15583" t="s">
        <v>1357</v>
      </c>
    </row>
    <row r="15584" spans="6:12">
      <c r="H15584" t="s">
        <v>25278</v>
      </c>
      <c r="I15584" t="s">
        <v>1357</v>
      </c>
      <c r="J15584" t="s">
        <v>1357</v>
      </c>
      <c r="K15584" t="s">
        <v>1357</v>
      </c>
      <c r="L15584" t="s">
        <v>1357</v>
      </c>
    </row>
    <row r="15585" spans="1:13">
      <c r="F15585" t="s">
        <v>16951</v>
      </c>
      <c r="G15585" t="s">
        <v>19562</v>
      </c>
      <c r="H15585" t="s">
        <v>25279</v>
      </c>
      <c r="I15585" t="s">
        <v>1357</v>
      </c>
      <c r="J15585" t="s">
        <v>1357</v>
      </c>
      <c r="K15585" t="s">
        <v>1357</v>
      </c>
      <c r="L15585" t="s">
        <v>1357</v>
      </c>
    </row>
    <row r="15586" spans="1:13">
      <c r="H15586" t="s">
        <v>25280</v>
      </c>
      <c r="I15586" t="s">
        <v>1357</v>
      </c>
      <c r="J15586" t="s">
        <v>1357</v>
      </c>
      <c r="K15586" t="s">
        <v>1357</v>
      </c>
      <c r="L15586" t="s">
        <v>1357</v>
      </c>
    </row>
    <row r="15587" spans="1:13">
      <c r="H15587" t="s">
        <v>25281</v>
      </c>
      <c r="I15587" t="s">
        <v>1357</v>
      </c>
      <c r="J15587" t="s">
        <v>1357</v>
      </c>
      <c r="K15587" t="s">
        <v>1357</v>
      </c>
      <c r="L15587" t="s">
        <v>1357</v>
      </c>
    </row>
    <row r="15588" spans="1:13">
      <c r="H15588" t="s">
        <v>25282</v>
      </c>
      <c r="I15588" t="s">
        <v>1357</v>
      </c>
      <c r="J15588" t="s">
        <v>1357</v>
      </c>
      <c r="K15588" t="s">
        <v>1357</v>
      </c>
      <c r="L15588" t="s">
        <v>1357</v>
      </c>
    </row>
    <row r="15589" spans="1:13">
      <c r="H15589" t="s">
        <v>25283</v>
      </c>
      <c r="I15589" t="s">
        <v>1357</v>
      </c>
      <c r="J15589" t="s">
        <v>1357</v>
      </c>
      <c r="K15589" t="s">
        <v>1357</v>
      </c>
      <c r="L15589" t="s">
        <v>1357</v>
      </c>
    </row>
    <row r="15590" spans="1:13">
      <c r="H15590" t="s">
        <v>25284</v>
      </c>
      <c r="I15590" t="s">
        <v>1357</v>
      </c>
      <c r="J15590" t="s">
        <v>1357</v>
      </c>
      <c r="K15590" t="s">
        <v>1357</v>
      </c>
      <c r="L15590" t="s">
        <v>1357</v>
      </c>
    </row>
    <row r="15591" spans="1:13">
      <c r="H15591" t="s">
        <v>25285</v>
      </c>
      <c r="I15591" t="s">
        <v>1357</v>
      </c>
      <c r="J15591" t="s">
        <v>1357</v>
      </c>
      <c r="K15591" t="s">
        <v>1357</v>
      </c>
      <c r="L15591" t="s">
        <v>1357</v>
      </c>
    </row>
    <row r="15592" spans="1:13">
      <c r="H15592" t="s">
        <v>25286</v>
      </c>
      <c r="I15592" t="s">
        <v>1357</v>
      </c>
      <c r="J15592" t="s">
        <v>1357</v>
      </c>
      <c r="K15592" t="s">
        <v>1357</v>
      </c>
      <c r="L15592" t="s">
        <v>1357</v>
      </c>
    </row>
    <row r="15593" spans="1:13">
      <c r="A15593" t="s">
        <v>11415</v>
      </c>
      <c r="B15593">
        <f>HYPERLINK("https://android.googlesource.com/platform/cts/+/bb3ff4198092ee8a4a95c2f4b900bb4fbc69a38a", "bb3ff4198092ee8a4a95c2f4b900bb4fbc69a38a")</f>
        <v>0</v>
      </c>
      <c r="C15593">
        <f>HYPERLINK("https://android.googlesource.com/platform/cts/+/29241a943a681670aa8b20f32e1f06171c553af9", "29241a943a681670aa8b20f32e1f06171c553af9")</f>
        <v>0</v>
      </c>
      <c r="D15593" t="s">
        <v>12394</v>
      </c>
      <c r="E15593" t="s">
        <v>13930</v>
      </c>
      <c r="F15593" t="s">
        <v>16914</v>
      </c>
      <c r="G15593" t="s">
        <v>19525</v>
      </c>
      <c r="H15593" t="s">
        <v>24968</v>
      </c>
      <c r="I15593" t="s">
        <v>1357</v>
      </c>
      <c r="J15593" t="s">
        <v>1357</v>
      </c>
      <c r="K15593" t="s">
        <v>1357</v>
      </c>
      <c r="L15593" t="s">
        <v>1357</v>
      </c>
    </row>
    <row r="15594" spans="1:13">
      <c r="H15594" t="s">
        <v>24969</v>
      </c>
      <c r="I15594" t="s">
        <v>1357</v>
      </c>
      <c r="J15594" t="s">
        <v>1357</v>
      </c>
      <c r="K15594" t="s">
        <v>1357</v>
      </c>
      <c r="L15594" t="s">
        <v>1357</v>
      </c>
    </row>
    <row r="15595" spans="1:13">
      <c r="H15595" t="s">
        <v>24970</v>
      </c>
      <c r="I15595" t="s">
        <v>1357</v>
      </c>
      <c r="J15595" t="s">
        <v>1357</v>
      </c>
      <c r="K15595" t="s">
        <v>1357</v>
      </c>
      <c r="L15595" t="s">
        <v>1357</v>
      </c>
    </row>
    <row r="15596" spans="1:13">
      <c r="H15596" t="s">
        <v>24971</v>
      </c>
      <c r="I15596" t="s">
        <v>1357</v>
      </c>
      <c r="J15596" t="s">
        <v>1357</v>
      </c>
      <c r="K15596" t="s">
        <v>1357</v>
      </c>
      <c r="L15596" t="s">
        <v>1357</v>
      </c>
      <c r="M15596" t="s">
        <v>9957</v>
      </c>
    </row>
    <row r="15597" spans="1:13">
      <c r="H15597" t="s">
        <v>24972</v>
      </c>
      <c r="I15597" t="s">
        <v>1357</v>
      </c>
      <c r="J15597" t="s">
        <v>1357</v>
      </c>
      <c r="K15597" t="s">
        <v>1357</v>
      </c>
      <c r="L15597" t="s">
        <v>1357</v>
      </c>
    </row>
    <row r="15598" spans="1:13">
      <c r="H15598" t="s">
        <v>24973</v>
      </c>
      <c r="I15598" t="s">
        <v>1357</v>
      </c>
      <c r="J15598" t="s">
        <v>1357</v>
      </c>
      <c r="K15598" t="s">
        <v>1357</v>
      </c>
      <c r="L15598" t="s">
        <v>1357</v>
      </c>
    </row>
    <row r="15599" spans="1:13">
      <c r="F15599" t="s">
        <v>16915</v>
      </c>
      <c r="G15599" t="s">
        <v>19526</v>
      </c>
      <c r="H15599" t="s">
        <v>24974</v>
      </c>
      <c r="I15599" t="s">
        <v>1357</v>
      </c>
      <c r="J15599" t="s">
        <v>1357</v>
      </c>
      <c r="K15599" t="s">
        <v>1357</v>
      </c>
      <c r="L15599" t="s">
        <v>1357</v>
      </c>
    </row>
    <row r="15600" spans="1:13">
      <c r="H15600" t="s">
        <v>24975</v>
      </c>
      <c r="I15600" t="s">
        <v>1357</v>
      </c>
      <c r="J15600" t="s">
        <v>1357</v>
      </c>
      <c r="K15600" t="s">
        <v>1357</v>
      </c>
      <c r="L15600" t="s">
        <v>1357</v>
      </c>
    </row>
    <row r="15601" spans="6:12">
      <c r="H15601" t="s">
        <v>24976</v>
      </c>
      <c r="I15601" t="s">
        <v>1357</v>
      </c>
      <c r="J15601" t="s">
        <v>1357</v>
      </c>
      <c r="K15601" t="s">
        <v>1357</v>
      </c>
      <c r="L15601" t="s">
        <v>1357</v>
      </c>
    </row>
    <row r="15602" spans="6:12">
      <c r="H15602" t="s">
        <v>24977</v>
      </c>
      <c r="I15602" t="s">
        <v>1357</v>
      </c>
      <c r="J15602" t="s">
        <v>1357</v>
      </c>
      <c r="K15602" t="s">
        <v>1357</v>
      </c>
      <c r="L15602" t="s">
        <v>1357</v>
      </c>
    </row>
    <row r="15603" spans="6:12">
      <c r="H15603" t="s">
        <v>24978</v>
      </c>
      <c r="I15603" t="s">
        <v>1357</v>
      </c>
      <c r="J15603" t="s">
        <v>1357</v>
      </c>
      <c r="K15603" t="s">
        <v>1357</v>
      </c>
      <c r="L15603" t="s">
        <v>1357</v>
      </c>
    </row>
    <row r="15604" spans="6:12">
      <c r="H15604" t="s">
        <v>24979</v>
      </c>
      <c r="I15604" t="s">
        <v>1357</v>
      </c>
      <c r="J15604" t="s">
        <v>1357</v>
      </c>
      <c r="K15604" t="s">
        <v>1357</v>
      </c>
      <c r="L15604" t="s">
        <v>1357</v>
      </c>
    </row>
    <row r="15605" spans="6:12">
      <c r="H15605" t="s">
        <v>24980</v>
      </c>
      <c r="I15605" t="s">
        <v>1357</v>
      </c>
      <c r="J15605" t="s">
        <v>1357</v>
      </c>
      <c r="K15605" t="s">
        <v>1357</v>
      </c>
      <c r="L15605" t="s">
        <v>1357</v>
      </c>
    </row>
    <row r="15606" spans="6:12">
      <c r="H15606" t="s">
        <v>24981</v>
      </c>
      <c r="I15606" t="s">
        <v>1357</v>
      </c>
      <c r="J15606" t="s">
        <v>1357</v>
      </c>
      <c r="K15606" t="s">
        <v>1357</v>
      </c>
      <c r="L15606" t="s">
        <v>1357</v>
      </c>
    </row>
    <row r="15607" spans="6:12">
      <c r="H15607" t="s">
        <v>24982</v>
      </c>
      <c r="I15607" t="s">
        <v>1357</v>
      </c>
      <c r="J15607" t="s">
        <v>1357</v>
      </c>
      <c r="K15607" t="s">
        <v>1357</v>
      </c>
      <c r="L15607" t="s">
        <v>1357</v>
      </c>
    </row>
    <row r="15608" spans="6:12">
      <c r="F15608" t="s">
        <v>16916</v>
      </c>
      <c r="G15608" t="s">
        <v>19527</v>
      </c>
      <c r="H15608" t="s">
        <v>24983</v>
      </c>
      <c r="I15608" t="s">
        <v>1357</v>
      </c>
      <c r="J15608" t="s">
        <v>1357</v>
      </c>
      <c r="K15608" t="s">
        <v>1357</v>
      </c>
      <c r="L15608" t="s">
        <v>1357</v>
      </c>
    </row>
    <row r="15609" spans="6:12">
      <c r="H15609" t="s">
        <v>24984</v>
      </c>
      <c r="I15609" t="s">
        <v>1357</v>
      </c>
      <c r="J15609" t="s">
        <v>1357</v>
      </c>
      <c r="K15609" t="s">
        <v>1357</v>
      </c>
      <c r="L15609" t="s">
        <v>1357</v>
      </c>
    </row>
    <row r="15610" spans="6:12">
      <c r="F15610" t="s">
        <v>16917</v>
      </c>
      <c r="G15610" t="s">
        <v>19528</v>
      </c>
      <c r="H15610" t="s">
        <v>8862</v>
      </c>
      <c r="I15610" t="s">
        <v>1357</v>
      </c>
      <c r="J15610" t="s">
        <v>1357</v>
      </c>
      <c r="K15610" t="s">
        <v>1357</v>
      </c>
      <c r="L15610" t="s">
        <v>1357</v>
      </c>
    </row>
    <row r="15611" spans="6:12">
      <c r="H15611" t="s">
        <v>24985</v>
      </c>
      <c r="I15611" t="s">
        <v>1357</v>
      </c>
      <c r="J15611" t="s">
        <v>1357</v>
      </c>
      <c r="K15611" t="s">
        <v>1357</v>
      </c>
      <c r="L15611" t="s">
        <v>1357</v>
      </c>
    </row>
    <row r="15612" spans="6:12">
      <c r="H15612" t="s">
        <v>24986</v>
      </c>
      <c r="I15612" t="s">
        <v>1357</v>
      </c>
      <c r="J15612" t="s">
        <v>1357</v>
      </c>
      <c r="K15612" t="s">
        <v>1357</v>
      </c>
      <c r="L15612" t="s">
        <v>1357</v>
      </c>
    </row>
    <row r="15613" spans="6:12">
      <c r="H15613" t="s">
        <v>24987</v>
      </c>
      <c r="I15613" t="s">
        <v>1357</v>
      </c>
      <c r="J15613" t="s">
        <v>1357</v>
      </c>
      <c r="K15613" t="s">
        <v>1357</v>
      </c>
      <c r="L15613" t="s">
        <v>1357</v>
      </c>
    </row>
    <row r="15614" spans="6:12">
      <c r="H15614" t="s">
        <v>24988</v>
      </c>
      <c r="I15614" t="s">
        <v>1357</v>
      </c>
      <c r="J15614" t="s">
        <v>1357</v>
      </c>
      <c r="K15614" t="s">
        <v>1357</v>
      </c>
      <c r="L15614" t="s">
        <v>1357</v>
      </c>
    </row>
    <row r="15615" spans="6:12">
      <c r="H15615" t="s">
        <v>24989</v>
      </c>
      <c r="I15615" t="s">
        <v>1357</v>
      </c>
      <c r="J15615" t="s">
        <v>1357</v>
      </c>
      <c r="K15615" t="s">
        <v>1357</v>
      </c>
      <c r="L15615" t="s">
        <v>1357</v>
      </c>
    </row>
    <row r="15616" spans="6:12">
      <c r="H15616" t="s">
        <v>24990</v>
      </c>
      <c r="I15616" t="s">
        <v>1357</v>
      </c>
      <c r="J15616" t="s">
        <v>1357</v>
      </c>
      <c r="K15616" t="s">
        <v>1357</v>
      </c>
      <c r="L15616" t="s">
        <v>1357</v>
      </c>
    </row>
    <row r="15617" spans="6:12">
      <c r="H15617" t="s">
        <v>24991</v>
      </c>
      <c r="I15617" t="s">
        <v>1357</v>
      </c>
      <c r="J15617" t="s">
        <v>1357</v>
      </c>
      <c r="K15617" t="s">
        <v>1357</v>
      </c>
      <c r="L15617" t="s">
        <v>1357</v>
      </c>
    </row>
    <row r="15618" spans="6:12">
      <c r="H15618" t="s">
        <v>24992</v>
      </c>
      <c r="I15618" t="s">
        <v>1357</v>
      </c>
      <c r="J15618" t="s">
        <v>1357</v>
      </c>
      <c r="K15618" t="s">
        <v>1357</v>
      </c>
      <c r="L15618" t="s">
        <v>1357</v>
      </c>
    </row>
    <row r="15619" spans="6:12">
      <c r="H15619" t="s">
        <v>24993</v>
      </c>
      <c r="I15619" t="s">
        <v>1357</v>
      </c>
      <c r="J15619" t="s">
        <v>1357</v>
      </c>
      <c r="K15619" t="s">
        <v>1357</v>
      </c>
      <c r="L15619" t="s">
        <v>1357</v>
      </c>
    </row>
    <row r="15620" spans="6:12">
      <c r="H15620" t="s">
        <v>24994</v>
      </c>
      <c r="I15620" t="s">
        <v>1357</v>
      </c>
      <c r="J15620" t="s">
        <v>1357</v>
      </c>
      <c r="K15620" t="s">
        <v>1357</v>
      </c>
      <c r="L15620" t="s">
        <v>1357</v>
      </c>
    </row>
    <row r="15621" spans="6:12">
      <c r="H15621" t="s">
        <v>24995</v>
      </c>
      <c r="I15621" t="s">
        <v>1357</v>
      </c>
      <c r="J15621" t="s">
        <v>1357</v>
      </c>
      <c r="K15621" t="s">
        <v>1357</v>
      </c>
      <c r="L15621" t="s">
        <v>1357</v>
      </c>
    </row>
    <row r="15622" spans="6:12">
      <c r="H15622" t="s">
        <v>24996</v>
      </c>
      <c r="I15622" t="s">
        <v>1357</v>
      </c>
      <c r="J15622" t="s">
        <v>1357</v>
      </c>
      <c r="K15622" t="s">
        <v>1357</v>
      </c>
      <c r="L15622" t="s">
        <v>1357</v>
      </c>
    </row>
    <row r="15623" spans="6:12">
      <c r="H15623" t="s">
        <v>24997</v>
      </c>
      <c r="I15623" t="s">
        <v>1357</v>
      </c>
      <c r="J15623" t="s">
        <v>1357</v>
      </c>
      <c r="K15623" t="s">
        <v>1357</v>
      </c>
      <c r="L15623" t="s">
        <v>1357</v>
      </c>
    </row>
    <row r="15624" spans="6:12">
      <c r="H15624" t="s">
        <v>24998</v>
      </c>
      <c r="I15624" t="s">
        <v>1357</v>
      </c>
      <c r="J15624" t="s">
        <v>1357</v>
      </c>
      <c r="K15624" t="s">
        <v>1357</v>
      </c>
      <c r="L15624" t="s">
        <v>1357</v>
      </c>
    </row>
    <row r="15625" spans="6:12">
      <c r="F15625" t="s">
        <v>16918</v>
      </c>
      <c r="G15625" t="s">
        <v>19529</v>
      </c>
      <c r="H15625" t="s">
        <v>24999</v>
      </c>
      <c r="I15625" t="s">
        <v>1357</v>
      </c>
      <c r="J15625" t="s">
        <v>1357</v>
      </c>
      <c r="K15625" t="s">
        <v>1357</v>
      </c>
      <c r="L15625" t="s">
        <v>1357</v>
      </c>
    </row>
    <row r="15626" spans="6:12">
      <c r="H15626" t="s">
        <v>25000</v>
      </c>
      <c r="I15626" t="s">
        <v>1357</v>
      </c>
      <c r="J15626" t="s">
        <v>1357</v>
      </c>
      <c r="K15626" t="s">
        <v>1357</v>
      </c>
      <c r="L15626" t="s">
        <v>1357</v>
      </c>
    </row>
    <row r="15627" spans="6:12">
      <c r="H15627" t="s">
        <v>25001</v>
      </c>
      <c r="I15627" t="s">
        <v>1357</v>
      </c>
      <c r="J15627" t="s">
        <v>1357</v>
      </c>
      <c r="K15627" t="s">
        <v>1357</v>
      </c>
      <c r="L15627" t="s">
        <v>1357</v>
      </c>
    </row>
    <row r="15628" spans="6:12">
      <c r="H15628" t="s">
        <v>25002</v>
      </c>
      <c r="I15628" t="s">
        <v>1357</v>
      </c>
      <c r="J15628" t="s">
        <v>1357</v>
      </c>
      <c r="K15628" t="s">
        <v>1357</v>
      </c>
      <c r="L15628" t="s">
        <v>1357</v>
      </c>
    </row>
    <row r="15629" spans="6:12">
      <c r="F15629" t="s">
        <v>16919</v>
      </c>
      <c r="G15629" t="s">
        <v>19530</v>
      </c>
      <c r="H15629" t="s">
        <v>25003</v>
      </c>
      <c r="I15629" t="s">
        <v>1357</v>
      </c>
      <c r="J15629" t="s">
        <v>1357</v>
      </c>
      <c r="K15629" t="s">
        <v>1357</v>
      </c>
      <c r="L15629" t="s">
        <v>1357</v>
      </c>
    </row>
    <row r="15630" spans="6:12">
      <c r="H15630" t="s">
        <v>25004</v>
      </c>
      <c r="I15630" t="s">
        <v>1357</v>
      </c>
      <c r="J15630" t="s">
        <v>1357</v>
      </c>
      <c r="K15630" t="s">
        <v>1357</v>
      </c>
      <c r="L15630" t="s">
        <v>1357</v>
      </c>
    </row>
    <row r="15631" spans="6:12">
      <c r="H15631" t="s">
        <v>25005</v>
      </c>
      <c r="I15631" t="s">
        <v>1357</v>
      </c>
      <c r="J15631" t="s">
        <v>1357</v>
      </c>
      <c r="K15631" t="s">
        <v>1357</v>
      </c>
      <c r="L15631" t="s">
        <v>1357</v>
      </c>
    </row>
    <row r="15632" spans="6:12">
      <c r="F15632" t="s">
        <v>16920</v>
      </c>
      <c r="G15632" t="s">
        <v>19531</v>
      </c>
      <c r="H15632" t="s">
        <v>25006</v>
      </c>
      <c r="I15632" t="s">
        <v>1357</v>
      </c>
      <c r="J15632" t="s">
        <v>1357</v>
      </c>
      <c r="K15632" t="s">
        <v>1357</v>
      </c>
      <c r="L15632" t="s">
        <v>1357</v>
      </c>
    </row>
    <row r="15633" spans="6:12">
      <c r="F15633" t="s">
        <v>16921</v>
      </c>
      <c r="G15633" t="s">
        <v>19532</v>
      </c>
      <c r="H15633" t="s">
        <v>25007</v>
      </c>
      <c r="I15633" t="s">
        <v>1357</v>
      </c>
      <c r="J15633" t="s">
        <v>1357</v>
      </c>
      <c r="K15633" t="s">
        <v>1357</v>
      </c>
      <c r="L15633" t="s">
        <v>1357</v>
      </c>
    </row>
    <row r="15634" spans="6:12">
      <c r="H15634" t="s">
        <v>25008</v>
      </c>
      <c r="I15634" t="s">
        <v>1357</v>
      </c>
      <c r="J15634" t="s">
        <v>1357</v>
      </c>
      <c r="K15634" t="s">
        <v>1357</v>
      </c>
      <c r="L15634" t="s">
        <v>1357</v>
      </c>
    </row>
    <row r="15635" spans="6:12">
      <c r="H15635" t="s">
        <v>25009</v>
      </c>
      <c r="I15635" t="s">
        <v>1357</v>
      </c>
      <c r="J15635" t="s">
        <v>1357</v>
      </c>
      <c r="K15635" t="s">
        <v>1357</v>
      </c>
      <c r="L15635" t="s">
        <v>1357</v>
      </c>
    </row>
    <row r="15636" spans="6:12">
      <c r="H15636" t="s">
        <v>25010</v>
      </c>
      <c r="I15636" t="s">
        <v>1357</v>
      </c>
      <c r="J15636" t="s">
        <v>1357</v>
      </c>
      <c r="K15636" t="s">
        <v>1357</v>
      </c>
      <c r="L15636" t="s">
        <v>1357</v>
      </c>
    </row>
    <row r="15637" spans="6:12">
      <c r="H15637" t="s">
        <v>25011</v>
      </c>
      <c r="I15637" t="s">
        <v>1357</v>
      </c>
      <c r="J15637" t="s">
        <v>1357</v>
      </c>
      <c r="K15637" t="s">
        <v>1357</v>
      </c>
      <c r="L15637" t="s">
        <v>1357</v>
      </c>
    </row>
    <row r="15638" spans="6:12">
      <c r="H15638" t="s">
        <v>25012</v>
      </c>
      <c r="I15638" t="s">
        <v>1357</v>
      </c>
      <c r="J15638" t="s">
        <v>1357</v>
      </c>
      <c r="K15638" t="s">
        <v>1357</v>
      </c>
      <c r="L15638" t="s">
        <v>1357</v>
      </c>
    </row>
    <row r="15639" spans="6:12">
      <c r="H15639" t="s">
        <v>25013</v>
      </c>
      <c r="I15639" t="s">
        <v>1357</v>
      </c>
      <c r="J15639" t="s">
        <v>1357</v>
      </c>
      <c r="K15639" t="s">
        <v>1357</v>
      </c>
      <c r="L15639" t="s">
        <v>1357</v>
      </c>
    </row>
    <row r="15640" spans="6:12">
      <c r="H15640" t="s">
        <v>25014</v>
      </c>
      <c r="I15640" t="s">
        <v>1357</v>
      </c>
      <c r="J15640" t="s">
        <v>1357</v>
      </c>
      <c r="K15640" t="s">
        <v>1357</v>
      </c>
      <c r="L15640" t="s">
        <v>1357</v>
      </c>
    </row>
    <row r="15641" spans="6:12">
      <c r="H15641" t="s">
        <v>25015</v>
      </c>
      <c r="I15641" t="s">
        <v>1357</v>
      </c>
      <c r="J15641" t="s">
        <v>1357</v>
      </c>
      <c r="K15641" t="s">
        <v>1357</v>
      </c>
      <c r="L15641" t="s">
        <v>1357</v>
      </c>
    </row>
    <row r="15642" spans="6:12">
      <c r="H15642" t="s">
        <v>25016</v>
      </c>
      <c r="I15642" t="s">
        <v>1357</v>
      </c>
      <c r="J15642" t="s">
        <v>1357</v>
      </c>
      <c r="K15642" t="s">
        <v>1357</v>
      </c>
      <c r="L15642" t="s">
        <v>1357</v>
      </c>
    </row>
    <row r="15643" spans="6:12">
      <c r="H15643" t="s">
        <v>25017</v>
      </c>
      <c r="I15643" t="s">
        <v>1357</v>
      </c>
      <c r="J15643" t="s">
        <v>1357</v>
      </c>
      <c r="K15643" t="s">
        <v>1357</v>
      </c>
      <c r="L15643" t="s">
        <v>1357</v>
      </c>
    </row>
    <row r="15644" spans="6:12">
      <c r="F15644" t="s">
        <v>14522</v>
      </c>
      <c r="G15644" t="s">
        <v>17367</v>
      </c>
      <c r="H15644" t="s">
        <v>25018</v>
      </c>
      <c r="I15644" t="s">
        <v>1357</v>
      </c>
      <c r="J15644" t="s">
        <v>1357</v>
      </c>
      <c r="K15644" t="s">
        <v>1357</v>
      </c>
      <c r="L15644" t="s">
        <v>1357</v>
      </c>
    </row>
    <row r="15645" spans="6:12">
      <c r="H15645" t="s">
        <v>21226</v>
      </c>
      <c r="I15645" t="s">
        <v>1357</v>
      </c>
      <c r="J15645" t="s">
        <v>1357</v>
      </c>
      <c r="K15645" t="s">
        <v>1357</v>
      </c>
      <c r="L15645" t="s">
        <v>1357</v>
      </c>
    </row>
    <row r="15646" spans="6:12">
      <c r="H15646" t="s">
        <v>25019</v>
      </c>
      <c r="I15646" t="s">
        <v>1357</v>
      </c>
      <c r="J15646" t="s">
        <v>1357</v>
      </c>
      <c r="K15646" t="s">
        <v>1357</v>
      </c>
      <c r="L15646" t="s">
        <v>1357</v>
      </c>
    </row>
    <row r="15647" spans="6:12">
      <c r="H15647" t="s">
        <v>25020</v>
      </c>
      <c r="I15647" t="s">
        <v>1357</v>
      </c>
      <c r="J15647" t="s">
        <v>1357</v>
      </c>
      <c r="K15647" t="s">
        <v>1357</v>
      </c>
      <c r="L15647" t="s">
        <v>1357</v>
      </c>
    </row>
    <row r="15648" spans="6:12">
      <c r="H15648" t="s">
        <v>25021</v>
      </c>
      <c r="I15648" t="s">
        <v>1357</v>
      </c>
      <c r="J15648" t="s">
        <v>1357</v>
      </c>
      <c r="K15648" t="s">
        <v>1357</v>
      </c>
      <c r="L15648" t="s">
        <v>1357</v>
      </c>
    </row>
    <row r="15649" spans="8:12">
      <c r="H15649" t="s">
        <v>25022</v>
      </c>
      <c r="I15649" t="s">
        <v>1357</v>
      </c>
      <c r="J15649" t="s">
        <v>1357</v>
      </c>
      <c r="K15649" t="s">
        <v>1357</v>
      </c>
      <c r="L15649" t="s">
        <v>1357</v>
      </c>
    </row>
    <row r="15650" spans="8:12">
      <c r="H15650" t="s">
        <v>25023</v>
      </c>
      <c r="I15650" t="s">
        <v>1357</v>
      </c>
      <c r="J15650" t="s">
        <v>1357</v>
      </c>
      <c r="K15650" t="s">
        <v>1357</v>
      </c>
      <c r="L15650" t="s">
        <v>1357</v>
      </c>
    </row>
    <row r="15651" spans="8:12">
      <c r="H15651" t="s">
        <v>25024</v>
      </c>
      <c r="I15651" t="s">
        <v>1357</v>
      </c>
      <c r="J15651" t="s">
        <v>1357</v>
      </c>
      <c r="K15651" t="s">
        <v>1357</v>
      </c>
      <c r="L15651" t="s">
        <v>1357</v>
      </c>
    </row>
    <row r="15652" spans="8:12">
      <c r="H15652" t="s">
        <v>25025</v>
      </c>
      <c r="I15652" t="s">
        <v>1357</v>
      </c>
      <c r="J15652" t="s">
        <v>1357</v>
      </c>
      <c r="K15652" t="s">
        <v>1357</v>
      </c>
      <c r="L15652" t="s">
        <v>1357</v>
      </c>
    </row>
    <row r="15653" spans="8:12">
      <c r="H15653" t="s">
        <v>21921</v>
      </c>
      <c r="I15653" t="s">
        <v>1357</v>
      </c>
      <c r="J15653" t="s">
        <v>1357</v>
      </c>
      <c r="K15653" t="s">
        <v>1357</v>
      </c>
      <c r="L15653" t="s">
        <v>1357</v>
      </c>
    </row>
    <row r="15654" spans="8:12">
      <c r="H15654" t="s">
        <v>5894</v>
      </c>
      <c r="I15654" t="s">
        <v>1357</v>
      </c>
      <c r="J15654" t="s">
        <v>1357</v>
      </c>
      <c r="K15654" t="s">
        <v>1357</v>
      </c>
      <c r="L15654" t="s">
        <v>1357</v>
      </c>
    </row>
    <row r="15655" spans="8:12">
      <c r="H15655" t="s">
        <v>25026</v>
      </c>
      <c r="I15655" t="s">
        <v>1357</v>
      </c>
      <c r="J15655" t="s">
        <v>1357</v>
      </c>
      <c r="K15655" t="s">
        <v>1357</v>
      </c>
      <c r="L15655" t="s">
        <v>1357</v>
      </c>
    </row>
    <row r="15656" spans="8:12">
      <c r="H15656" t="s">
        <v>25027</v>
      </c>
      <c r="I15656" t="s">
        <v>1357</v>
      </c>
      <c r="J15656" t="s">
        <v>1357</v>
      </c>
      <c r="K15656" t="s">
        <v>1357</v>
      </c>
      <c r="L15656" t="s">
        <v>1357</v>
      </c>
    </row>
    <row r="15657" spans="8:12">
      <c r="H15657" t="s">
        <v>25028</v>
      </c>
      <c r="I15657" t="s">
        <v>1357</v>
      </c>
      <c r="J15657" t="s">
        <v>1357</v>
      </c>
      <c r="K15657" t="s">
        <v>1357</v>
      </c>
      <c r="L15657" t="s">
        <v>1357</v>
      </c>
    </row>
    <row r="15658" spans="8:12">
      <c r="H15658" t="s">
        <v>25029</v>
      </c>
      <c r="I15658" t="s">
        <v>1357</v>
      </c>
      <c r="J15658" t="s">
        <v>1357</v>
      </c>
      <c r="K15658" t="s">
        <v>1357</v>
      </c>
      <c r="L15658" t="s">
        <v>1357</v>
      </c>
    </row>
    <row r="15659" spans="8:12">
      <c r="H15659" t="s">
        <v>25030</v>
      </c>
      <c r="I15659" t="s">
        <v>1357</v>
      </c>
      <c r="J15659" t="s">
        <v>1357</v>
      </c>
      <c r="K15659" t="s">
        <v>1357</v>
      </c>
      <c r="L15659" t="s">
        <v>1357</v>
      </c>
    </row>
    <row r="15660" spans="8:12">
      <c r="H15660" t="s">
        <v>25031</v>
      </c>
      <c r="I15660" t="s">
        <v>1357</v>
      </c>
      <c r="J15660" t="s">
        <v>1357</v>
      </c>
      <c r="K15660" t="s">
        <v>1357</v>
      </c>
      <c r="L15660" t="s">
        <v>1357</v>
      </c>
    </row>
    <row r="15661" spans="8:12">
      <c r="H15661" t="s">
        <v>25032</v>
      </c>
      <c r="I15661" t="s">
        <v>1357</v>
      </c>
      <c r="J15661" t="s">
        <v>1357</v>
      </c>
      <c r="K15661" t="s">
        <v>1357</v>
      </c>
      <c r="L15661" t="s">
        <v>1357</v>
      </c>
    </row>
    <row r="15662" spans="8:12">
      <c r="H15662" t="s">
        <v>25033</v>
      </c>
      <c r="I15662" t="s">
        <v>1357</v>
      </c>
      <c r="J15662" t="s">
        <v>1357</v>
      </c>
      <c r="K15662" t="s">
        <v>1357</v>
      </c>
      <c r="L15662" t="s">
        <v>1357</v>
      </c>
    </row>
    <row r="15663" spans="8:12">
      <c r="H15663" t="s">
        <v>25034</v>
      </c>
      <c r="I15663" t="s">
        <v>1357</v>
      </c>
      <c r="J15663" t="s">
        <v>1357</v>
      </c>
      <c r="K15663" t="s">
        <v>1357</v>
      </c>
      <c r="L15663" t="s">
        <v>1357</v>
      </c>
    </row>
    <row r="15664" spans="8:12">
      <c r="H15664" t="s">
        <v>25035</v>
      </c>
      <c r="I15664" t="s">
        <v>1357</v>
      </c>
      <c r="J15664" t="s">
        <v>1357</v>
      </c>
      <c r="K15664" t="s">
        <v>1357</v>
      </c>
      <c r="L15664" t="s">
        <v>1357</v>
      </c>
    </row>
    <row r="15665" spans="6:12">
      <c r="H15665" t="s">
        <v>25036</v>
      </c>
      <c r="I15665" t="s">
        <v>1357</v>
      </c>
      <c r="J15665" t="s">
        <v>1357</v>
      </c>
      <c r="K15665" t="s">
        <v>1357</v>
      </c>
      <c r="L15665" t="s">
        <v>1357</v>
      </c>
    </row>
    <row r="15666" spans="6:12">
      <c r="H15666" t="s">
        <v>25037</v>
      </c>
      <c r="I15666" t="s">
        <v>1357</v>
      </c>
      <c r="J15666" t="s">
        <v>1357</v>
      </c>
      <c r="K15666" t="s">
        <v>1357</v>
      </c>
      <c r="L15666" t="s">
        <v>1357</v>
      </c>
    </row>
    <row r="15667" spans="6:12">
      <c r="H15667" t="s">
        <v>25038</v>
      </c>
      <c r="I15667" t="s">
        <v>1357</v>
      </c>
      <c r="J15667" t="s">
        <v>1357</v>
      </c>
      <c r="K15667" t="s">
        <v>1357</v>
      </c>
      <c r="L15667" t="s">
        <v>1357</v>
      </c>
    </row>
    <row r="15668" spans="6:12">
      <c r="H15668" t="s">
        <v>25039</v>
      </c>
      <c r="I15668" t="s">
        <v>1357</v>
      </c>
      <c r="J15668" t="s">
        <v>1357</v>
      </c>
      <c r="K15668" t="s">
        <v>1357</v>
      </c>
      <c r="L15668" t="s">
        <v>1357</v>
      </c>
    </row>
    <row r="15669" spans="6:12">
      <c r="H15669" t="s">
        <v>25040</v>
      </c>
      <c r="I15669" t="s">
        <v>1357</v>
      </c>
      <c r="J15669" t="s">
        <v>1357</v>
      </c>
      <c r="K15669" t="s">
        <v>1357</v>
      </c>
      <c r="L15669" t="s">
        <v>1357</v>
      </c>
    </row>
    <row r="15670" spans="6:12">
      <c r="F15670" t="s">
        <v>16922</v>
      </c>
      <c r="G15670" t="s">
        <v>19533</v>
      </c>
      <c r="H15670" t="s">
        <v>25041</v>
      </c>
      <c r="I15670" t="s">
        <v>1357</v>
      </c>
      <c r="J15670" t="s">
        <v>1357</v>
      </c>
      <c r="K15670" t="s">
        <v>1357</v>
      </c>
      <c r="L15670" t="s">
        <v>1357</v>
      </c>
    </row>
    <row r="15671" spans="6:12">
      <c r="F15671" t="s">
        <v>16665</v>
      </c>
      <c r="G15671" t="s">
        <v>19299</v>
      </c>
      <c r="H15671" t="s">
        <v>25042</v>
      </c>
      <c r="I15671" t="s">
        <v>1357</v>
      </c>
      <c r="J15671" t="s">
        <v>1357</v>
      </c>
      <c r="K15671" t="s">
        <v>1357</v>
      </c>
      <c r="L15671" t="s">
        <v>1357</v>
      </c>
    </row>
    <row r="15672" spans="6:12">
      <c r="H15672" t="s">
        <v>25043</v>
      </c>
      <c r="I15672" t="s">
        <v>1357</v>
      </c>
      <c r="J15672" t="s">
        <v>1357</v>
      </c>
      <c r="K15672" t="s">
        <v>1357</v>
      </c>
      <c r="L15672" t="s">
        <v>1357</v>
      </c>
    </row>
    <row r="15673" spans="6:12">
      <c r="H15673" t="s">
        <v>25044</v>
      </c>
      <c r="I15673" t="s">
        <v>1357</v>
      </c>
      <c r="J15673" t="s">
        <v>1357</v>
      </c>
      <c r="K15673" t="s">
        <v>1357</v>
      </c>
      <c r="L15673" t="s">
        <v>1357</v>
      </c>
    </row>
    <row r="15674" spans="6:12">
      <c r="H15674" t="s">
        <v>25045</v>
      </c>
      <c r="I15674" t="s">
        <v>1357</v>
      </c>
      <c r="J15674" t="s">
        <v>1357</v>
      </c>
      <c r="K15674" t="s">
        <v>1357</v>
      </c>
      <c r="L15674" t="s">
        <v>1357</v>
      </c>
    </row>
    <row r="15675" spans="6:12">
      <c r="H15675" t="s">
        <v>25046</v>
      </c>
      <c r="I15675" t="s">
        <v>1357</v>
      </c>
      <c r="J15675" t="s">
        <v>1357</v>
      </c>
      <c r="K15675" t="s">
        <v>1357</v>
      </c>
      <c r="L15675" t="s">
        <v>1357</v>
      </c>
    </row>
    <row r="15676" spans="6:12">
      <c r="H15676" t="s">
        <v>25047</v>
      </c>
      <c r="I15676" t="s">
        <v>1357</v>
      </c>
      <c r="J15676" t="s">
        <v>1357</v>
      </c>
      <c r="K15676" t="s">
        <v>1357</v>
      </c>
      <c r="L15676" t="s">
        <v>1357</v>
      </c>
    </row>
    <row r="15677" spans="6:12">
      <c r="H15677" t="s">
        <v>25048</v>
      </c>
      <c r="I15677" t="s">
        <v>1357</v>
      </c>
      <c r="J15677" t="s">
        <v>1357</v>
      </c>
      <c r="K15677" t="s">
        <v>1357</v>
      </c>
      <c r="L15677" t="s">
        <v>1357</v>
      </c>
    </row>
    <row r="15678" spans="6:12">
      <c r="H15678" t="s">
        <v>25049</v>
      </c>
      <c r="I15678" t="s">
        <v>1357</v>
      </c>
      <c r="J15678" t="s">
        <v>1357</v>
      </c>
      <c r="K15678" t="s">
        <v>1357</v>
      </c>
      <c r="L15678" t="s">
        <v>1357</v>
      </c>
    </row>
    <row r="15679" spans="6:12">
      <c r="H15679" t="s">
        <v>25050</v>
      </c>
      <c r="I15679" t="s">
        <v>1357</v>
      </c>
      <c r="J15679" t="s">
        <v>1357</v>
      </c>
      <c r="K15679" t="s">
        <v>1357</v>
      </c>
      <c r="L15679" t="s">
        <v>1357</v>
      </c>
    </row>
    <row r="15680" spans="6:12">
      <c r="H15680" t="s">
        <v>25051</v>
      </c>
      <c r="I15680" t="s">
        <v>1357</v>
      </c>
      <c r="J15680" t="s">
        <v>1357</v>
      </c>
      <c r="K15680" t="s">
        <v>1357</v>
      </c>
      <c r="L15680" t="s">
        <v>1357</v>
      </c>
    </row>
    <row r="15681" spans="6:12">
      <c r="H15681" t="s">
        <v>25052</v>
      </c>
      <c r="I15681" t="s">
        <v>1357</v>
      </c>
      <c r="J15681" t="s">
        <v>1357</v>
      </c>
      <c r="K15681" t="s">
        <v>1357</v>
      </c>
      <c r="L15681" t="s">
        <v>1357</v>
      </c>
    </row>
    <row r="15682" spans="6:12">
      <c r="H15682" t="s">
        <v>25053</v>
      </c>
      <c r="I15682" t="s">
        <v>1357</v>
      </c>
      <c r="J15682" t="s">
        <v>1357</v>
      </c>
      <c r="K15682" t="s">
        <v>1357</v>
      </c>
      <c r="L15682" t="s">
        <v>1357</v>
      </c>
    </row>
    <row r="15683" spans="6:12">
      <c r="H15683" t="s">
        <v>25054</v>
      </c>
      <c r="I15683" t="s">
        <v>1357</v>
      </c>
      <c r="J15683" t="s">
        <v>1357</v>
      </c>
      <c r="K15683" t="s">
        <v>1357</v>
      </c>
      <c r="L15683" t="s">
        <v>1357</v>
      </c>
    </row>
    <row r="15684" spans="6:12">
      <c r="H15684" t="s">
        <v>25055</v>
      </c>
      <c r="I15684" t="s">
        <v>1357</v>
      </c>
      <c r="J15684" t="s">
        <v>1357</v>
      </c>
      <c r="K15684" t="s">
        <v>1357</v>
      </c>
      <c r="L15684" t="s">
        <v>1357</v>
      </c>
    </row>
    <row r="15685" spans="6:12">
      <c r="H15685" t="s">
        <v>25056</v>
      </c>
      <c r="I15685" t="s">
        <v>1357</v>
      </c>
      <c r="J15685" t="s">
        <v>1357</v>
      </c>
      <c r="K15685" t="s">
        <v>1357</v>
      </c>
      <c r="L15685" t="s">
        <v>1357</v>
      </c>
    </row>
    <row r="15686" spans="6:12">
      <c r="H15686" t="s">
        <v>25057</v>
      </c>
      <c r="I15686" t="s">
        <v>1357</v>
      </c>
      <c r="J15686" t="s">
        <v>1357</v>
      </c>
      <c r="K15686" t="s">
        <v>1357</v>
      </c>
      <c r="L15686" t="s">
        <v>1357</v>
      </c>
    </row>
    <row r="15687" spans="6:12">
      <c r="H15687" t="s">
        <v>25058</v>
      </c>
      <c r="I15687" t="s">
        <v>1357</v>
      </c>
      <c r="J15687" t="s">
        <v>1357</v>
      </c>
      <c r="K15687" t="s">
        <v>1357</v>
      </c>
      <c r="L15687" t="s">
        <v>1357</v>
      </c>
    </row>
    <row r="15688" spans="6:12">
      <c r="H15688" t="s">
        <v>25059</v>
      </c>
      <c r="I15688" t="s">
        <v>1357</v>
      </c>
      <c r="J15688" t="s">
        <v>1357</v>
      </c>
      <c r="K15688" t="s">
        <v>1357</v>
      </c>
      <c r="L15688" t="s">
        <v>1357</v>
      </c>
    </row>
    <row r="15689" spans="6:12">
      <c r="H15689" t="s">
        <v>25060</v>
      </c>
      <c r="I15689" t="s">
        <v>1357</v>
      </c>
      <c r="J15689" t="s">
        <v>1357</v>
      </c>
      <c r="K15689" t="s">
        <v>1357</v>
      </c>
      <c r="L15689" t="s">
        <v>1357</v>
      </c>
    </row>
    <row r="15690" spans="6:12">
      <c r="H15690" t="s">
        <v>25061</v>
      </c>
      <c r="I15690" t="s">
        <v>1357</v>
      </c>
      <c r="J15690" t="s">
        <v>1357</v>
      </c>
      <c r="K15690" t="s">
        <v>1357</v>
      </c>
      <c r="L15690" t="s">
        <v>1357</v>
      </c>
    </row>
    <row r="15691" spans="6:12">
      <c r="H15691" t="s">
        <v>25062</v>
      </c>
      <c r="I15691" t="s">
        <v>1357</v>
      </c>
      <c r="J15691" t="s">
        <v>1357</v>
      </c>
      <c r="K15691" t="s">
        <v>1357</v>
      </c>
      <c r="L15691" t="s">
        <v>1357</v>
      </c>
    </row>
    <row r="15692" spans="6:12">
      <c r="H15692" t="s">
        <v>25063</v>
      </c>
      <c r="I15692" t="s">
        <v>1357</v>
      </c>
      <c r="J15692" t="s">
        <v>1357</v>
      </c>
      <c r="K15692" t="s">
        <v>1357</v>
      </c>
      <c r="L15692" t="s">
        <v>1357</v>
      </c>
    </row>
    <row r="15693" spans="6:12">
      <c r="H15693" t="s">
        <v>25064</v>
      </c>
      <c r="I15693" t="s">
        <v>1357</v>
      </c>
      <c r="J15693" t="s">
        <v>1357</v>
      </c>
      <c r="K15693" t="s">
        <v>1357</v>
      </c>
      <c r="L15693" t="s">
        <v>1357</v>
      </c>
    </row>
    <row r="15694" spans="6:12">
      <c r="F15694" t="s">
        <v>15910</v>
      </c>
      <c r="G15694" t="s">
        <v>18611</v>
      </c>
      <c r="H15694" t="s">
        <v>20545</v>
      </c>
      <c r="I15694" t="s">
        <v>1357</v>
      </c>
      <c r="J15694" t="s">
        <v>1357</v>
      </c>
      <c r="K15694" t="s">
        <v>1357</v>
      </c>
      <c r="L15694" t="s">
        <v>1357</v>
      </c>
    </row>
    <row r="15695" spans="6:12">
      <c r="F15695" t="s">
        <v>16923</v>
      </c>
      <c r="G15695" t="s">
        <v>19534</v>
      </c>
      <c r="H15695" t="s">
        <v>25065</v>
      </c>
      <c r="I15695" t="s">
        <v>1357</v>
      </c>
      <c r="J15695" t="s">
        <v>1357</v>
      </c>
      <c r="K15695" t="s">
        <v>1357</v>
      </c>
      <c r="L15695" t="s">
        <v>1357</v>
      </c>
    </row>
    <row r="15696" spans="6:12">
      <c r="H15696" t="s">
        <v>25066</v>
      </c>
      <c r="I15696" t="s">
        <v>1357</v>
      </c>
      <c r="J15696" t="s">
        <v>1357</v>
      </c>
      <c r="K15696" t="s">
        <v>1357</v>
      </c>
      <c r="L15696" t="s">
        <v>1357</v>
      </c>
    </row>
    <row r="15697" spans="6:12">
      <c r="H15697" t="s">
        <v>25067</v>
      </c>
      <c r="I15697" t="s">
        <v>1357</v>
      </c>
      <c r="J15697" t="s">
        <v>1357</v>
      </c>
      <c r="K15697" t="s">
        <v>1357</v>
      </c>
      <c r="L15697" t="s">
        <v>1357</v>
      </c>
    </row>
    <row r="15698" spans="6:12">
      <c r="H15698" t="s">
        <v>25068</v>
      </c>
      <c r="I15698" t="s">
        <v>1357</v>
      </c>
      <c r="J15698" t="s">
        <v>1357</v>
      </c>
      <c r="K15698" t="s">
        <v>1357</v>
      </c>
      <c r="L15698" t="s">
        <v>1357</v>
      </c>
    </row>
    <row r="15699" spans="6:12">
      <c r="H15699" t="s">
        <v>25069</v>
      </c>
      <c r="I15699" t="s">
        <v>1357</v>
      </c>
      <c r="J15699" t="s">
        <v>1357</v>
      </c>
      <c r="K15699" t="s">
        <v>1357</v>
      </c>
      <c r="L15699" t="s">
        <v>1357</v>
      </c>
    </row>
    <row r="15700" spans="6:12">
      <c r="H15700" t="s">
        <v>25070</v>
      </c>
      <c r="I15700" t="s">
        <v>1357</v>
      </c>
      <c r="J15700" t="s">
        <v>1357</v>
      </c>
      <c r="K15700" t="s">
        <v>1357</v>
      </c>
      <c r="L15700" t="s">
        <v>1357</v>
      </c>
    </row>
    <row r="15701" spans="6:12">
      <c r="H15701" t="s">
        <v>25071</v>
      </c>
      <c r="I15701" t="s">
        <v>1357</v>
      </c>
      <c r="J15701" t="s">
        <v>1357</v>
      </c>
      <c r="K15701" t="s">
        <v>1357</v>
      </c>
      <c r="L15701" t="s">
        <v>1357</v>
      </c>
    </row>
    <row r="15702" spans="6:12">
      <c r="H15702" t="s">
        <v>25072</v>
      </c>
      <c r="I15702" t="s">
        <v>1357</v>
      </c>
      <c r="J15702" t="s">
        <v>1357</v>
      </c>
      <c r="K15702" t="s">
        <v>1357</v>
      </c>
      <c r="L15702" t="s">
        <v>1357</v>
      </c>
    </row>
    <row r="15703" spans="6:12">
      <c r="H15703" t="s">
        <v>25073</v>
      </c>
      <c r="I15703" t="s">
        <v>1357</v>
      </c>
      <c r="J15703" t="s">
        <v>1357</v>
      </c>
      <c r="K15703" t="s">
        <v>1357</v>
      </c>
      <c r="L15703" t="s">
        <v>1357</v>
      </c>
    </row>
    <row r="15704" spans="6:12">
      <c r="H15704" t="s">
        <v>25074</v>
      </c>
      <c r="I15704" t="s">
        <v>1357</v>
      </c>
      <c r="J15704" t="s">
        <v>1357</v>
      </c>
      <c r="K15704" t="s">
        <v>1357</v>
      </c>
      <c r="L15704" t="s">
        <v>1357</v>
      </c>
    </row>
    <row r="15705" spans="6:12">
      <c r="H15705" t="s">
        <v>25075</v>
      </c>
      <c r="I15705" t="s">
        <v>1357</v>
      </c>
      <c r="J15705" t="s">
        <v>1357</v>
      </c>
      <c r="K15705" t="s">
        <v>1357</v>
      </c>
      <c r="L15705" t="s">
        <v>1357</v>
      </c>
    </row>
    <row r="15706" spans="6:12">
      <c r="F15706" t="s">
        <v>16924</v>
      </c>
      <c r="G15706" t="s">
        <v>19535</v>
      </c>
      <c r="H15706" t="s">
        <v>25076</v>
      </c>
      <c r="I15706" t="s">
        <v>1357</v>
      </c>
      <c r="J15706" t="s">
        <v>1357</v>
      </c>
      <c r="K15706" t="s">
        <v>1357</v>
      </c>
      <c r="L15706" t="s">
        <v>1357</v>
      </c>
    </row>
    <row r="15707" spans="6:12">
      <c r="H15707" t="s">
        <v>25077</v>
      </c>
      <c r="I15707" t="s">
        <v>1357</v>
      </c>
      <c r="J15707" t="s">
        <v>1357</v>
      </c>
      <c r="K15707" t="s">
        <v>1357</v>
      </c>
      <c r="L15707" t="s">
        <v>1357</v>
      </c>
    </row>
    <row r="15708" spans="6:12">
      <c r="H15708" t="s">
        <v>25078</v>
      </c>
      <c r="I15708" t="s">
        <v>1357</v>
      </c>
      <c r="J15708" t="s">
        <v>1357</v>
      </c>
      <c r="K15708" t="s">
        <v>1357</v>
      </c>
      <c r="L15708" t="s">
        <v>1357</v>
      </c>
    </row>
    <row r="15709" spans="6:12">
      <c r="H15709" t="s">
        <v>25079</v>
      </c>
      <c r="I15709" t="s">
        <v>1357</v>
      </c>
      <c r="J15709" t="s">
        <v>1357</v>
      </c>
      <c r="K15709" t="s">
        <v>1357</v>
      </c>
      <c r="L15709" t="s">
        <v>1357</v>
      </c>
    </row>
    <row r="15710" spans="6:12">
      <c r="H15710" t="s">
        <v>25080</v>
      </c>
      <c r="I15710" t="s">
        <v>1357</v>
      </c>
      <c r="J15710" t="s">
        <v>1357</v>
      </c>
      <c r="K15710" t="s">
        <v>1357</v>
      </c>
      <c r="L15710" t="s">
        <v>1357</v>
      </c>
    </row>
    <row r="15711" spans="6:12">
      <c r="H15711" t="s">
        <v>25081</v>
      </c>
      <c r="I15711" t="s">
        <v>1357</v>
      </c>
      <c r="J15711" t="s">
        <v>1357</v>
      </c>
      <c r="K15711" t="s">
        <v>1357</v>
      </c>
      <c r="L15711" t="s">
        <v>1357</v>
      </c>
    </row>
    <row r="15712" spans="6:12">
      <c r="F15712" t="s">
        <v>16925</v>
      </c>
      <c r="G15712" t="s">
        <v>19536</v>
      </c>
      <c r="H15712" t="s">
        <v>795</v>
      </c>
      <c r="I15712" t="s">
        <v>1357</v>
      </c>
      <c r="J15712" t="s">
        <v>1357</v>
      </c>
      <c r="K15712" t="s">
        <v>1357</v>
      </c>
      <c r="L15712" t="s">
        <v>1357</v>
      </c>
    </row>
    <row r="15713" spans="6:12">
      <c r="H15713" t="s">
        <v>25082</v>
      </c>
      <c r="I15713" t="s">
        <v>1357</v>
      </c>
      <c r="J15713" t="s">
        <v>1357</v>
      </c>
      <c r="K15713" t="s">
        <v>1357</v>
      </c>
      <c r="L15713" t="s">
        <v>1357</v>
      </c>
    </row>
    <row r="15714" spans="6:12">
      <c r="F15714" t="s">
        <v>16926</v>
      </c>
      <c r="G15714" t="s">
        <v>19537</v>
      </c>
      <c r="H15714" t="s">
        <v>25083</v>
      </c>
      <c r="I15714" t="s">
        <v>1357</v>
      </c>
      <c r="J15714" t="s">
        <v>1357</v>
      </c>
      <c r="K15714" t="s">
        <v>1357</v>
      </c>
      <c r="L15714" t="s">
        <v>1357</v>
      </c>
    </row>
    <row r="15715" spans="6:12">
      <c r="H15715" t="s">
        <v>25084</v>
      </c>
      <c r="I15715" t="s">
        <v>1357</v>
      </c>
      <c r="J15715" t="s">
        <v>1357</v>
      </c>
      <c r="K15715" t="s">
        <v>1357</v>
      </c>
      <c r="L15715" t="s">
        <v>1357</v>
      </c>
    </row>
    <row r="15716" spans="6:12">
      <c r="H15716" t="s">
        <v>25085</v>
      </c>
      <c r="I15716" t="s">
        <v>1357</v>
      </c>
      <c r="J15716" t="s">
        <v>1357</v>
      </c>
      <c r="K15716" t="s">
        <v>1357</v>
      </c>
      <c r="L15716" t="s">
        <v>1357</v>
      </c>
    </row>
    <row r="15717" spans="6:12">
      <c r="H15717" t="s">
        <v>25086</v>
      </c>
      <c r="I15717" t="s">
        <v>1357</v>
      </c>
      <c r="J15717" t="s">
        <v>1357</v>
      </c>
      <c r="K15717" t="s">
        <v>1357</v>
      </c>
      <c r="L15717" t="s">
        <v>1357</v>
      </c>
    </row>
    <row r="15718" spans="6:12">
      <c r="H15718" t="s">
        <v>25087</v>
      </c>
      <c r="I15718" t="s">
        <v>1357</v>
      </c>
      <c r="J15718" t="s">
        <v>1357</v>
      </c>
      <c r="K15718" t="s">
        <v>1357</v>
      </c>
      <c r="L15718" t="s">
        <v>1357</v>
      </c>
    </row>
    <row r="15719" spans="6:12">
      <c r="H15719" t="s">
        <v>25088</v>
      </c>
      <c r="I15719" t="s">
        <v>1357</v>
      </c>
      <c r="J15719" t="s">
        <v>1357</v>
      </c>
      <c r="K15719" t="s">
        <v>1357</v>
      </c>
      <c r="L15719" t="s">
        <v>1357</v>
      </c>
    </row>
    <row r="15720" spans="6:12">
      <c r="F15720" t="s">
        <v>16396</v>
      </c>
      <c r="G15720" t="s">
        <v>19062</v>
      </c>
      <c r="H15720" t="s">
        <v>22882</v>
      </c>
      <c r="I15720" t="s">
        <v>1357</v>
      </c>
      <c r="J15720" t="s">
        <v>1357</v>
      </c>
      <c r="K15720" t="s">
        <v>1357</v>
      </c>
      <c r="L15720" t="s">
        <v>1357</v>
      </c>
    </row>
    <row r="15721" spans="6:12">
      <c r="H15721" t="s">
        <v>22883</v>
      </c>
      <c r="I15721" t="s">
        <v>1357</v>
      </c>
      <c r="J15721" t="s">
        <v>1357</v>
      </c>
      <c r="K15721" t="s">
        <v>1357</v>
      </c>
      <c r="L15721" t="s">
        <v>1357</v>
      </c>
    </row>
    <row r="15722" spans="6:12">
      <c r="H15722" t="s">
        <v>25089</v>
      </c>
      <c r="I15722" t="s">
        <v>1357</v>
      </c>
      <c r="J15722" t="s">
        <v>1357</v>
      </c>
      <c r="K15722" t="s">
        <v>1357</v>
      </c>
      <c r="L15722" t="s">
        <v>1357</v>
      </c>
    </row>
    <row r="15723" spans="6:12">
      <c r="H15723" t="s">
        <v>25090</v>
      </c>
      <c r="I15723" t="s">
        <v>1357</v>
      </c>
      <c r="J15723" t="s">
        <v>1357</v>
      </c>
      <c r="K15723" t="s">
        <v>1357</v>
      </c>
      <c r="L15723" t="s">
        <v>1357</v>
      </c>
    </row>
    <row r="15724" spans="6:12">
      <c r="H15724" t="s">
        <v>25091</v>
      </c>
      <c r="I15724" t="s">
        <v>1357</v>
      </c>
      <c r="J15724" t="s">
        <v>1357</v>
      </c>
      <c r="K15724" t="s">
        <v>1357</v>
      </c>
      <c r="L15724" t="s">
        <v>1357</v>
      </c>
    </row>
    <row r="15725" spans="6:12">
      <c r="H15725" t="s">
        <v>25092</v>
      </c>
      <c r="I15725" t="s">
        <v>1357</v>
      </c>
      <c r="J15725" t="s">
        <v>1357</v>
      </c>
      <c r="K15725" t="s">
        <v>1357</v>
      </c>
      <c r="L15725" t="s">
        <v>1357</v>
      </c>
    </row>
    <row r="15726" spans="6:12">
      <c r="H15726" t="s">
        <v>25093</v>
      </c>
      <c r="I15726" t="s">
        <v>1357</v>
      </c>
      <c r="J15726" t="s">
        <v>1357</v>
      </c>
      <c r="K15726" t="s">
        <v>1357</v>
      </c>
      <c r="L15726" t="s">
        <v>1357</v>
      </c>
    </row>
    <row r="15727" spans="6:12">
      <c r="H15727" t="s">
        <v>25094</v>
      </c>
      <c r="I15727" t="s">
        <v>1357</v>
      </c>
      <c r="J15727" t="s">
        <v>1357</v>
      </c>
      <c r="K15727" t="s">
        <v>1357</v>
      </c>
      <c r="L15727" t="s">
        <v>1357</v>
      </c>
    </row>
    <row r="15728" spans="6:12">
      <c r="H15728" t="s">
        <v>25095</v>
      </c>
      <c r="I15728" t="s">
        <v>1357</v>
      </c>
      <c r="J15728" t="s">
        <v>1357</v>
      </c>
      <c r="K15728" t="s">
        <v>1357</v>
      </c>
      <c r="L15728" t="s">
        <v>1357</v>
      </c>
    </row>
    <row r="15729" spans="8:12">
      <c r="H15729" t="s">
        <v>25096</v>
      </c>
      <c r="I15729" t="s">
        <v>1357</v>
      </c>
      <c r="J15729" t="s">
        <v>1357</v>
      </c>
      <c r="K15729" t="s">
        <v>1357</v>
      </c>
      <c r="L15729" t="s">
        <v>1357</v>
      </c>
    </row>
    <row r="15730" spans="8:12">
      <c r="H15730" t="s">
        <v>25097</v>
      </c>
      <c r="I15730" t="s">
        <v>1357</v>
      </c>
      <c r="J15730" t="s">
        <v>1357</v>
      </c>
      <c r="K15730" t="s">
        <v>1357</v>
      </c>
      <c r="L15730" t="s">
        <v>1357</v>
      </c>
    </row>
    <row r="15731" spans="8:12">
      <c r="H15731" t="s">
        <v>25098</v>
      </c>
      <c r="I15731" t="s">
        <v>1357</v>
      </c>
      <c r="J15731" t="s">
        <v>1357</v>
      </c>
      <c r="K15731" t="s">
        <v>1357</v>
      </c>
      <c r="L15731" t="s">
        <v>1357</v>
      </c>
    </row>
    <row r="15732" spans="8:12">
      <c r="H15732" t="s">
        <v>25099</v>
      </c>
      <c r="I15732" t="s">
        <v>1357</v>
      </c>
      <c r="J15732" t="s">
        <v>1357</v>
      </c>
      <c r="K15732" t="s">
        <v>1357</v>
      </c>
      <c r="L15732" t="s">
        <v>1357</v>
      </c>
    </row>
    <row r="15733" spans="8:12">
      <c r="H15733" t="s">
        <v>25100</v>
      </c>
      <c r="I15733" t="s">
        <v>1357</v>
      </c>
      <c r="J15733" t="s">
        <v>1357</v>
      </c>
      <c r="K15733" t="s">
        <v>1357</v>
      </c>
      <c r="L15733" t="s">
        <v>1357</v>
      </c>
    </row>
    <row r="15734" spans="8:12">
      <c r="H15734" t="s">
        <v>25101</v>
      </c>
      <c r="I15734" t="s">
        <v>1357</v>
      </c>
      <c r="J15734" t="s">
        <v>1357</v>
      </c>
      <c r="K15734" t="s">
        <v>1357</v>
      </c>
      <c r="L15734" t="s">
        <v>1357</v>
      </c>
    </row>
    <row r="15735" spans="8:12">
      <c r="H15735" t="s">
        <v>25102</v>
      </c>
      <c r="I15735" t="s">
        <v>1357</v>
      </c>
      <c r="J15735" t="s">
        <v>1357</v>
      </c>
      <c r="K15735" t="s">
        <v>1357</v>
      </c>
      <c r="L15735" t="s">
        <v>1357</v>
      </c>
    </row>
    <row r="15736" spans="8:12">
      <c r="H15736" t="s">
        <v>25103</v>
      </c>
      <c r="I15736" t="s">
        <v>1357</v>
      </c>
      <c r="J15736" t="s">
        <v>1357</v>
      </c>
      <c r="K15736" t="s">
        <v>1357</v>
      </c>
      <c r="L15736" t="s">
        <v>1357</v>
      </c>
    </row>
    <row r="15737" spans="8:12">
      <c r="H15737" t="s">
        <v>25104</v>
      </c>
      <c r="I15737" t="s">
        <v>1357</v>
      </c>
      <c r="J15737" t="s">
        <v>1357</v>
      </c>
      <c r="K15737" t="s">
        <v>1357</v>
      </c>
      <c r="L15737" t="s">
        <v>1357</v>
      </c>
    </row>
    <row r="15738" spans="8:12">
      <c r="H15738" t="s">
        <v>25105</v>
      </c>
      <c r="I15738" t="s">
        <v>1357</v>
      </c>
      <c r="J15738" t="s">
        <v>1357</v>
      </c>
      <c r="K15738" t="s">
        <v>1357</v>
      </c>
      <c r="L15738" t="s">
        <v>1357</v>
      </c>
    </row>
    <row r="15739" spans="8:12">
      <c r="H15739" t="s">
        <v>25106</v>
      </c>
      <c r="I15739" t="s">
        <v>1357</v>
      </c>
      <c r="J15739" t="s">
        <v>1357</v>
      </c>
      <c r="K15739" t="s">
        <v>1357</v>
      </c>
      <c r="L15739" t="s">
        <v>1357</v>
      </c>
    </row>
    <row r="15740" spans="8:12">
      <c r="H15740" t="s">
        <v>25107</v>
      </c>
      <c r="I15740" t="s">
        <v>1357</v>
      </c>
      <c r="J15740" t="s">
        <v>1357</v>
      </c>
      <c r="K15740" t="s">
        <v>1357</v>
      </c>
      <c r="L15740" t="s">
        <v>1357</v>
      </c>
    </row>
    <row r="15741" spans="8:12">
      <c r="H15741" t="s">
        <v>25108</v>
      </c>
      <c r="I15741" t="s">
        <v>1357</v>
      </c>
      <c r="J15741" t="s">
        <v>1357</v>
      </c>
      <c r="K15741" t="s">
        <v>1357</v>
      </c>
      <c r="L15741" t="s">
        <v>1357</v>
      </c>
    </row>
    <row r="15742" spans="8:12">
      <c r="H15742" t="s">
        <v>25109</v>
      </c>
      <c r="I15742" t="s">
        <v>1357</v>
      </c>
      <c r="J15742" t="s">
        <v>1357</v>
      </c>
      <c r="K15742" t="s">
        <v>1357</v>
      </c>
      <c r="L15742" t="s">
        <v>1357</v>
      </c>
    </row>
    <row r="15743" spans="8:12">
      <c r="H15743" t="s">
        <v>25110</v>
      </c>
      <c r="I15743" t="s">
        <v>1357</v>
      </c>
      <c r="J15743" t="s">
        <v>1357</v>
      </c>
      <c r="K15743" t="s">
        <v>1357</v>
      </c>
      <c r="L15743" t="s">
        <v>1357</v>
      </c>
    </row>
    <row r="15744" spans="8:12">
      <c r="H15744" t="s">
        <v>25111</v>
      </c>
      <c r="I15744" t="s">
        <v>1357</v>
      </c>
      <c r="J15744" t="s">
        <v>1357</v>
      </c>
      <c r="K15744" t="s">
        <v>1357</v>
      </c>
      <c r="L15744" t="s">
        <v>1357</v>
      </c>
    </row>
    <row r="15745" spans="8:12">
      <c r="H15745" t="s">
        <v>25112</v>
      </c>
      <c r="I15745" t="s">
        <v>1357</v>
      </c>
      <c r="J15745" t="s">
        <v>1357</v>
      </c>
      <c r="K15745" t="s">
        <v>1357</v>
      </c>
      <c r="L15745" t="s">
        <v>1357</v>
      </c>
    </row>
    <row r="15746" spans="8:12">
      <c r="H15746" t="s">
        <v>25113</v>
      </c>
      <c r="I15746" t="s">
        <v>1357</v>
      </c>
      <c r="J15746" t="s">
        <v>1357</v>
      </c>
      <c r="K15746" t="s">
        <v>1357</v>
      </c>
      <c r="L15746" t="s">
        <v>1357</v>
      </c>
    </row>
    <row r="15747" spans="8:12">
      <c r="H15747" t="s">
        <v>25114</v>
      </c>
      <c r="I15747" t="s">
        <v>1357</v>
      </c>
      <c r="J15747" t="s">
        <v>1357</v>
      </c>
      <c r="K15747" t="s">
        <v>1357</v>
      </c>
      <c r="L15747" t="s">
        <v>1357</v>
      </c>
    </row>
    <row r="15748" spans="8:12">
      <c r="H15748" t="s">
        <v>25115</v>
      </c>
      <c r="I15748" t="s">
        <v>1357</v>
      </c>
      <c r="J15748" t="s">
        <v>1357</v>
      </c>
      <c r="K15748" t="s">
        <v>1357</v>
      </c>
      <c r="L15748" t="s">
        <v>1357</v>
      </c>
    </row>
    <row r="15749" spans="8:12">
      <c r="H15749" t="s">
        <v>25116</v>
      </c>
      <c r="I15749" t="s">
        <v>1357</v>
      </c>
      <c r="J15749" t="s">
        <v>1357</v>
      </c>
      <c r="K15749" t="s">
        <v>1357</v>
      </c>
      <c r="L15749" t="s">
        <v>1357</v>
      </c>
    </row>
    <row r="15750" spans="8:12">
      <c r="H15750" t="s">
        <v>25117</v>
      </c>
      <c r="I15750" t="s">
        <v>1357</v>
      </c>
      <c r="J15750" t="s">
        <v>1357</v>
      </c>
      <c r="K15750" t="s">
        <v>1357</v>
      </c>
      <c r="L15750" t="s">
        <v>1357</v>
      </c>
    </row>
    <row r="15751" spans="8:12">
      <c r="H15751" t="s">
        <v>25118</v>
      </c>
      <c r="I15751" t="s">
        <v>1357</v>
      </c>
      <c r="J15751" t="s">
        <v>1357</v>
      </c>
      <c r="K15751" t="s">
        <v>1357</v>
      </c>
      <c r="L15751" t="s">
        <v>1357</v>
      </c>
    </row>
    <row r="15752" spans="8:12">
      <c r="H15752" t="s">
        <v>25119</v>
      </c>
      <c r="I15752" t="s">
        <v>1357</v>
      </c>
      <c r="J15752" t="s">
        <v>1357</v>
      </c>
      <c r="K15752" t="s">
        <v>1357</v>
      </c>
      <c r="L15752" t="s">
        <v>1357</v>
      </c>
    </row>
    <row r="15753" spans="8:12">
      <c r="H15753" t="s">
        <v>25120</v>
      </c>
      <c r="I15753" t="s">
        <v>1357</v>
      </c>
      <c r="J15753" t="s">
        <v>1357</v>
      </c>
      <c r="K15753" t="s">
        <v>1357</v>
      </c>
      <c r="L15753" t="s">
        <v>1357</v>
      </c>
    </row>
    <row r="15754" spans="8:12">
      <c r="H15754" t="s">
        <v>25121</v>
      </c>
      <c r="I15754" t="s">
        <v>1357</v>
      </c>
      <c r="J15754" t="s">
        <v>1357</v>
      </c>
      <c r="K15754" t="s">
        <v>1357</v>
      </c>
      <c r="L15754" t="s">
        <v>1357</v>
      </c>
    </row>
    <row r="15755" spans="8:12">
      <c r="H15755" t="s">
        <v>25122</v>
      </c>
      <c r="I15755" t="s">
        <v>1357</v>
      </c>
      <c r="J15755" t="s">
        <v>1357</v>
      </c>
      <c r="K15755" t="s">
        <v>1357</v>
      </c>
      <c r="L15755" t="s">
        <v>1357</v>
      </c>
    </row>
    <row r="15756" spans="8:12">
      <c r="H15756" t="s">
        <v>25123</v>
      </c>
      <c r="I15756" t="s">
        <v>1357</v>
      </c>
      <c r="J15756" t="s">
        <v>1357</v>
      </c>
      <c r="K15756" t="s">
        <v>1357</v>
      </c>
      <c r="L15756" t="s">
        <v>1357</v>
      </c>
    </row>
    <row r="15757" spans="8:12">
      <c r="H15757" t="s">
        <v>25124</v>
      </c>
      <c r="I15757" t="s">
        <v>1357</v>
      </c>
      <c r="J15757" t="s">
        <v>1357</v>
      </c>
      <c r="K15757" t="s">
        <v>1357</v>
      </c>
      <c r="L15757" t="s">
        <v>1357</v>
      </c>
    </row>
    <row r="15758" spans="8:12">
      <c r="H15758" t="s">
        <v>25125</v>
      </c>
      <c r="I15758" t="s">
        <v>1357</v>
      </c>
      <c r="J15758" t="s">
        <v>1357</v>
      </c>
      <c r="K15758" t="s">
        <v>1357</v>
      </c>
      <c r="L15758" t="s">
        <v>1357</v>
      </c>
    </row>
    <row r="15759" spans="8:12">
      <c r="H15759" t="s">
        <v>25126</v>
      </c>
      <c r="I15759" t="s">
        <v>1357</v>
      </c>
      <c r="J15759" t="s">
        <v>1357</v>
      </c>
      <c r="K15759" t="s">
        <v>1357</v>
      </c>
      <c r="L15759" t="s">
        <v>1357</v>
      </c>
    </row>
    <row r="15760" spans="8:12">
      <c r="H15760" t="s">
        <v>25127</v>
      </c>
      <c r="I15760" t="s">
        <v>1357</v>
      </c>
      <c r="J15760" t="s">
        <v>1357</v>
      </c>
      <c r="K15760" t="s">
        <v>1357</v>
      </c>
      <c r="L15760" t="s">
        <v>1357</v>
      </c>
    </row>
    <row r="15761" spans="8:12">
      <c r="H15761" t="s">
        <v>25128</v>
      </c>
      <c r="I15761" t="s">
        <v>1357</v>
      </c>
      <c r="J15761" t="s">
        <v>1357</v>
      </c>
      <c r="K15761" t="s">
        <v>1357</v>
      </c>
      <c r="L15761" t="s">
        <v>1357</v>
      </c>
    </row>
    <row r="15762" spans="8:12">
      <c r="H15762" t="s">
        <v>25129</v>
      </c>
      <c r="I15762" t="s">
        <v>1357</v>
      </c>
      <c r="J15762" t="s">
        <v>1357</v>
      </c>
      <c r="K15762" t="s">
        <v>1357</v>
      </c>
      <c r="L15762" t="s">
        <v>1357</v>
      </c>
    </row>
    <row r="15763" spans="8:12">
      <c r="H15763" t="s">
        <v>25130</v>
      </c>
      <c r="I15763" t="s">
        <v>1357</v>
      </c>
      <c r="J15763" t="s">
        <v>1357</v>
      </c>
      <c r="K15763" t="s">
        <v>1357</v>
      </c>
      <c r="L15763" t="s">
        <v>1357</v>
      </c>
    </row>
    <row r="15764" spans="8:12">
      <c r="H15764" t="s">
        <v>25131</v>
      </c>
      <c r="I15764" t="s">
        <v>1357</v>
      </c>
      <c r="J15764" t="s">
        <v>1357</v>
      </c>
      <c r="K15764" t="s">
        <v>1357</v>
      </c>
      <c r="L15764" t="s">
        <v>1357</v>
      </c>
    </row>
    <row r="15765" spans="8:12">
      <c r="H15765" t="s">
        <v>25132</v>
      </c>
      <c r="I15765" t="s">
        <v>1357</v>
      </c>
      <c r="J15765" t="s">
        <v>1357</v>
      </c>
      <c r="K15765" t="s">
        <v>1357</v>
      </c>
      <c r="L15765" t="s">
        <v>1357</v>
      </c>
    </row>
    <row r="15766" spans="8:12">
      <c r="H15766" t="s">
        <v>25133</v>
      </c>
      <c r="I15766" t="s">
        <v>1357</v>
      </c>
      <c r="J15766" t="s">
        <v>1357</v>
      </c>
      <c r="K15766" t="s">
        <v>1357</v>
      </c>
      <c r="L15766" t="s">
        <v>1357</v>
      </c>
    </row>
    <row r="15767" spans="8:12">
      <c r="H15767" t="s">
        <v>25134</v>
      </c>
      <c r="I15767" t="s">
        <v>1357</v>
      </c>
      <c r="J15767" t="s">
        <v>1357</v>
      </c>
      <c r="K15767" t="s">
        <v>1357</v>
      </c>
      <c r="L15767" t="s">
        <v>1357</v>
      </c>
    </row>
    <row r="15768" spans="8:12">
      <c r="H15768" t="s">
        <v>25135</v>
      </c>
      <c r="I15768" t="s">
        <v>1357</v>
      </c>
      <c r="J15768" t="s">
        <v>1357</v>
      </c>
      <c r="K15768" t="s">
        <v>1357</v>
      </c>
      <c r="L15768" t="s">
        <v>1357</v>
      </c>
    </row>
    <row r="15769" spans="8:12">
      <c r="H15769" t="s">
        <v>25136</v>
      </c>
      <c r="I15769" t="s">
        <v>1357</v>
      </c>
      <c r="J15769" t="s">
        <v>1357</v>
      </c>
      <c r="K15769" t="s">
        <v>1357</v>
      </c>
      <c r="L15769" t="s">
        <v>1357</v>
      </c>
    </row>
    <row r="15770" spans="8:12">
      <c r="H15770" t="s">
        <v>25137</v>
      </c>
      <c r="I15770" t="s">
        <v>1357</v>
      </c>
      <c r="J15770" t="s">
        <v>1357</v>
      </c>
      <c r="K15770" t="s">
        <v>1357</v>
      </c>
      <c r="L15770" t="s">
        <v>1357</v>
      </c>
    </row>
    <row r="15771" spans="8:12">
      <c r="H15771" t="s">
        <v>25138</v>
      </c>
      <c r="I15771" t="s">
        <v>1357</v>
      </c>
      <c r="J15771" t="s">
        <v>1357</v>
      </c>
      <c r="K15771" t="s">
        <v>1357</v>
      </c>
      <c r="L15771" t="s">
        <v>1357</v>
      </c>
    </row>
    <row r="15772" spans="8:12">
      <c r="H15772" t="s">
        <v>25139</v>
      </c>
      <c r="I15772" t="s">
        <v>1357</v>
      </c>
      <c r="J15772" t="s">
        <v>1357</v>
      </c>
      <c r="K15772" t="s">
        <v>1357</v>
      </c>
      <c r="L15772" t="s">
        <v>1357</v>
      </c>
    </row>
    <row r="15773" spans="8:12">
      <c r="H15773" t="s">
        <v>25140</v>
      </c>
      <c r="I15773" t="s">
        <v>1357</v>
      </c>
      <c r="J15773" t="s">
        <v>1357</v>
      </c>
      <c r="K15773" t="s">
        <v>1357</v>
      </c>
      <c r="L15773" t="s">
        <v>1357</v>
      </c>
    </row>
    <row r="15774" spans="8:12">
      <c r="H15774" t="s">
        <v>25141</v>
      </c>
      <c r="I15774" t="s">
        <v>1357</v>
      </c>
      <c r="J15774" t="s">
        <v>1357</v>
      </c>
      <c r="K15774" t="s">
        <v>1357</v>
      </c>
      <c r="L15774" t="s">
        <v>1357</v>
      </c>
    </row>
    <row r="15775" spans="8:12">
      <c r="H15775" t="s">
        <v>25142</v>
      </c>
      <c r="I15775" t="s">
        <v>1357</v>
      </c>
      <c r="J15775" t="s">
        <v>1357</v>
      </c>
      <c r="K15775" t="s">
        <v>1357</v>
      </c>
      <c r="L15775" t="s">
        <v>1357</v>
      </c>
    </row>
    <row r="15776" spans="8:12">
      <c r="H15776" t="s">
        <v>25143</v>
      </c>
      <c r="I15776" t="s">
        <v>1357</v>
      </c>
      <c r="J15776" t="s">
        <v>1357</v>
      </c>
      <c r="K15776" t="s">
        <v>1357</v>
      </c>
      <c r="L15776" t="s">
        <v>1357</v>
      </c>
    </row>
    <row r="15777" spans="6:12">
      <c r="H15777" t="s">
        <v>25144</v>
      </c>
      <c r="I15777" t="s">
        <v>1357</v>
      </c>
      <c r="J15777" t="s">
        <v>1357</v>
      </c>
      <c r="K15777" t="s">
        <v>1357</v>
      </c>
      <c r="L15777" t="s">
        <v>1357</v>
      </c>
    </row>
    <row r="15778" spans="6:12">
      <c r="H15778" t="s">
        <v>25145</v>
      </c>
      <c r="I15778" t="s">
        <v>1357</v>
      </c>
      <c r="J15778" t="s">
        <v>1357</v>
      </c>
      <c r="K15778" t="s">
        <v>1357</v>
      </c>
      <c r="L15778" t="s">
        <v>1357</v>
      </c>
    </row>
    <row r="15779" spans="6:12">
      <c r="H15779" t="s">
        <v>25146</v>
      </c>
      <c r="I15779" t="s">
        <v>1357</v>
      </c>
      <c r="J15779" t="s">
        <v>1357</v>
      </c>
      <c r="K15779" t="s">
        <v>1357</v>
      </c>
      <c r="L15779" t="s">
        <v>1357</v>
      </c>
    </row>
    <row r="15780" spans="6:12">
      <c r="H15780" t="s">
        <v>25147</v>
      </c>
      <c r="I15780" t="s">
        <v>1357</v>
      </c>
      <c r="J15780" t="s">
        <v>1357</v>
      </c>
      <c r="K15780" t="s">
        <v>1357</v>
      </c>
      <c r="L15780" t="s">
        <v>1357</v>
      </c>
    </row>
    <row r="15781" spans="6:12">
      <c r="H15781" t="s">
        <v>25148</v>
      </c>
      <c r="I15781" t="s">
        <v>1357</v>
      </c>
      <c r="J15781" t="s">
        <v>1357</v>
      </c>
      <c r="K15781" t="s">
        <v>1357</v>
      </c>
      <c r="L15781" t="s">
        <v>1357</v>
      </c>
    </row>
    <row r="15782" spans="6:12">
      <c r="H15782" t="s">
        <v>25149</v>
      </c>
      <c r="I15782" t="s">
        <v>1357</v>
      </c>
      <c r="J15782" t="s">
        <v>1357</v>
      </c>
      <c r="K15782" t="s">
        <v>1357</v>
      </c>
      <c r="L15782" t="s">
        <v>1357</v>
      </c>
    </row>
    <row r="15783" spans="6:12">
      <c r="H15783" t="s">
        <v>25150</v>
      </c>
      <c r="I15783" t="s">
        <v>1357</v>
      </c>
      <c r="J15783" t="s">
        <v>1357</v>
      </c>
      <c r="K15783" t="s">
        <v>1357</v>
      </c>
      <c r="L15783" t="s">
        <v>1357</v>
      </c>
    </row>
    <row r="15784" spans="6:12">
      <c r="H15784" t="s">
        <v>25151</v>
      </c>
      <c r="I15784" t="s">
        <v>1357</v>
      </c>
      <c r="J15784" t="s">
        <v>1357</v>
      </c>
      <c r="K15784" t="s">
        <v>1357</v>
      </c>
      <c r="L15784" t="s">
        <v>1357</v>
      </c>
    </row>
    <row r="15785" spans="6:12">
      <c r="H15785" t="s">
        <v>25152</v>
      </c>
      <c r="I15785" t="s">
        <v>1357</v>
      </c>
      <c r="J15785" t="s">
        <v>1357</v>
      </c>
      <c r="K15785" t="s">
        <v>1357</v>
      </c>
      <c r="L15785" t="s">
        <v>1357</v>
      </c>
    </row>
    <row r="15786" spans="6:12">
      <c r="H15786" t="s">
        <v>25153</v>
      </c>
      <c r="I15786" t="s">
        <v>1357</v>
      </c>
      <c r="J15786" t="s">
        <v>1357</v>
      </c>
      <c r="K15786" t="s">
        <v>1357</v>
      </c>
      <c r="L15786" t="s">
        <v>1357</v>
      </c>
    </row>
    <row r="15787" spans="6:12">
      <c r="H15787" t="s">
        <v>25154</v>
      </c>
      <c r="I15787" t="s">
        <v>1357</v>
      </c>
      <c r="J15787" t="s">
        <v>1357</v>
      </c>
      <c r="K15787" t="s">
        <v>1357</v>
      </c>
      <c r="L15787" t="s">
        <v>1357</v>
      </c>
    </row>
    <row r="15788" spans="6:12">
      <c r="F15788" t="s">
        <v>16730</v>
      </c>
      <c r="G15788" t="s">
        <v>19361</v>
      </c>
      <c r="H15788" t="s">
        <v>25155</v>
      </c>
      <c r="I15788" t="s">
        <v>1357</v>
      </c>
      <c r="J15788" t="s">
        <v>1357</v>
      </c>
      <c r="K15788" t="s">
        <v>1357</v>
      </c>
      <c r="L15788" t="s">
        <v>1357</v>
      </c>
    </row>
    <row r="15789" spans="6:12">
      <c r="H15789" t="s">
        <v>25156</v>
      </c>
      <c r="I15789" t="s">
        <v>1357</v>
      </c>
      <c r="J15789" t="s">
        <v>1357</v>
      </c>
      <c r="K15789" t="s">
        <v>1357</v>
      </c>
      <c r="L15789" t="s">
        <v>1357</v>
      </c>
    </row>
    <row r="15790" spans="6:12">
      <c r="H15790" t="s">
        <v>25157</v>
      </c>
      <c r="I15790" t="s">
        <v>1357</v>
      </c>
      <c r="J15790" t="s">
        <v>1357</v>
      </c>
      <c r="K15790" t="s">
        <v>1357</v>
      </c>
      <c r="L15790" t="s">
        <v>1357</v>
      </c>
    </row>
    <row r="15791" spans="6:12">
      <c r="H15791" t="s">
        <v>25158</v>
      </c>
      <c r="I15791" t="s">
        <v>1357</v>
      </c>
      <c r="J15791" t="s">
        <v>1357</v>
      </c>
      <c r="K15791" t="s">
        <v>1357</v>
      </c>
      <c r="L15791" t="s">
        <v>1357</v>
      </c>
    </row>
    <row r="15792" spans="6:12">
      <c r="H15792" t="s">
        <v>25159</v>
      </c>
      <c r="I15792" t="s">
        <v>1357</v>
      </c>
      <c r="J15792" t="s">
        <v>1357</v>
      </c>
      <c r="K15792" t="s">
        <v>1357</v>
      </c>
      <c r="L15792" t="s">
        <v>1357</v>
      </c>
    </row>
    <row r="15793" spans="8:12">
      <c r="H15793" t="s">
        <v>25160</v>
      </c>
      <c r="I15793" t="s">
        <v>1357</v>
      </c>
      <c r="J15793" t="s">
        <v>1357</v>
      </c>
      <c r="K15793" t="s">
        <v>1357</v>
      </c>
      <c r="L15793" t="s">
        <v>1357</v>
      </c>
    </row>
    <row r="15794" spans="8:12">
      <c r="H15794" t="s">
        <v>25161</v>
      </c>
      <c r="I15794" t="s">
        <v>1357</v>
      </c>
      <c r="J15794" t="s">
        <v>1357</v>
      </c>
      <c r="K15794" t="s">
        <v>1357</v>
      </c>
      <c r="L15794" t="s">
        <v>1357</v>
      </c>
    </row>
    <row r="15795" spans="8:12">
      <c r="H15795" t="s">
        <v>25162</v>
      </c>
      <c r="I15795" t="s">
        <v>1357</v>
      </c>
      <c r="J15795" t="s">
        <v>1357</v>
      </c>
      <c r="K15795" t="s">
        <v>1357</v>
      </c>
      <c r="L15795" t="s">
        <v>1357</v>
      </c>
    </row>
    <row r="15796" spans="8:12">
      <c r="H15796" t="s">
        <v>25163</v>
      </c>
      <c r="I15796" t="s">
        <v>1357</v>
      </c>
      <c r="J15796" t="s">
        <v>1357</v>
      </c>
      <c r="K15796" t="s">
        <v>1357</v>
      </c>
      <c r="L15796" t="s">
        <v>1357</v>
      </c>
    </row>
    <row r="15797" spans="8:12">
      <c r="H15797" t="s">
        <v>25164</v>
      </c>
      <c r="I15797" t="s">
        <v>1357</v>
      </c>
      <c r="J15797" t="s">
        <v>1357</v>
      </c>
      <c r="K15797" t="s">
        <v>1357</v>
      </c>
      <c r="L15797" t="s">
        <v>1357</v>
      </c>
    </row>
    <row r="15798" spans="8:12">
      <c r="H15798" t="s">
        <v>25165</v>
      </c>
      <c r="I15798" t="s">
        <v>1357</v>
      </c>
      <c r="J15798" t="s">
        <v>1357</v>
      </c>
      <c r="K15798" t="s">
        <v>1357</v>
      </c>
      <c r="L15798" t="s">
        <v>1357</v>
      </c>
    </row>
    <row r="15799" spans="8:12">
      <c r="H15799" t="s">
        <v>25166</v>
      </c>
      <c r="I15799" t="s">
        <v>1357</v>
      </c>
      <c r="J15799" t="s">
        <v>1357</v>
      </c>
      <c r="K15799" t="s">
        <v>1357</v>
      </c>
      <c r="L15799" t="s">
        <v>1357</v>
      </c>
    </row>
    <row r="15800" spans="8:12">
      <c r="H15800" t="s">
        <v>25167</v>
      </c>
      <c r="I15800" t="s">
        <v>1357</v>
      </c>
      <c r="J15800" t="s">
        <v>1357</v>
      </c>
      <c r="K15800" t="s">
        <v>1357</v>
      </c>
      <c r="L15800" t="s">
        <v>1357</v>
      </c>
    </row>
    <row r="15801" spans="8:12">
      <c r="H15801" t="s">
        <v>25168</v>
      </c>
      <c r="I15801" t="s">
        <v>1357</v>
      </c>
      <c r="J15801" t="s">
        <v>1357</v>
      </c>
      <c r="K15801" t="s">
        <v>1357</v>
      </c>
      <c r="L15801" t="s">
        <v>1357</v>
      </c>
    </row>
    <row r="15802" spans="8:12">
      <c r="H15802" t="s">
        <v>25169</v>
      </c>
      <c r="I15802" t="s">
        <v>1357</v>
      </c>
      <c r="J15802" t="s">
        <v>1357</v>
      </c>
      <c r="K15802" t="s">
        <v>1357</v>
      </c>
      <c r="L15802" t="s">
        <v>1357</v>
      </c>
    </row>
    <row r="15803" spans="8:12">
      <c r="H15803" t="s">
        <v>25170</v>
      </c>
      <c r="I15803" t="s">
        <v>1357</v>
      </c>
      <c r="J15803" t="s">
        <v>1357</v>
      </c>
      <c r="K15803" t="s">
        <v>1357</v>
      </c>
      <c r="L15803" t="s">
        <v>1357</v>
      </c>
    </row>
    <row r="15804" spans="8:12">
      <c r="H15804" t="s">
        <v>25171</v>
      </c>
      <c r="I15804" t="s">
        <v>1357</v>
      </c>
      <c r="J15804" t="s">
        <v>1357</v>
      </c>
      <c r="K15804" t="s">
        <v>1357</v>
      </c>
      <c r="L15804" t="s">
        <v>1357</v>
      </c>
    </row>
    <row r="15805" spans="8:12">
      <c r="H15805" t="s">
        <v>25172</v>
      </c>
      <c r="I15805" t="s">
        <v>1357</v>
      </c>
      <c r="J15805" t="s">
        <v>1357</v>
      </c>
      <c r="K15805" t="s">
        <v>1357</v>
      </c>
      <c r="L15805" t="s">
        <v>1357</v>
      </c>
    </row>
    <row r="15806" spans="8:12">
      <c r="H15806" t="s">
        <v>25173</v>
      </c>
      <c r="I15806" t="s">
        <v>1357</v>
      </c>
      <c r="J15806" t="s">
        <v>1357</v>
      </c>
      <c r="K15806" t="s">
        <v>1357</v>
      </c>
      <c r="L15806" t="s">
        <v>1357</v>
      </c>
    </row>
    <row r="15807" spans="8:12">
      <c r="H15807" t="s">
        <v>25174</v>
      </c>
      <c r="I15807" t="s">
        <v>1357</v>
      </c>
      <c r="J15807" t="s">
        <v>1357</v>
      </c>
      <c r="K15807" t="s">
        <v>1357</v>
      </c>
      <c r="L15807" t="s">
        <v>1357</v>
      </c>
    </row>
    <row r="15808" spans="8:12">
      <c r="H15808" t="s">
        <v>25175</v>
      </c>
      <c r="I15808" t="s">
        <v>1357</v>
      </c>
      <c r="J15808" t="s">
        <v>1357</v>
      </c>
      <c r="K15808" t="s">
        <v>1357</v>
      </c>
      <c r="L15808" t="s">
        <v>1357</v>
      </c>
    </row>
    <row r="15809" spans="6:12">
      <c r="H15809" t="s">
        <v>25176</v>
      </c>
      <c r="I15809" t="s">
        <v>1357</v>
      </c>
      <c r="J15809" t="s">
        <v>1357</v>
      </c>
      <c r="K15809" t="s">
        <v>1357</v>
      </c>
      <c r="L15809" t="s">
        <v>1357</v>
      </c>
    </row>
    <row r="15810" spans="6:12">
      <c r="H15810" t="s">
        <v>25177</v>
      </c>
      <c r="I15810" t="s">
        <v>1357</v>
      </c>
      <c r="J15810" t="s">
        <v>1357</v>
      </c>
      <c r="K15810" t="s">
        <v>1357</v>
      </c>
      <c r="L15810" t="s">
        <v>1357</v>
      </c>
    </row>
    <row r="15811" spans="6:12">
      <c r="H15811" t="s">
        <v>25178</v>
      </c>
      <c r="I15811" t="s">
        <v>1357</v>
      </c>
      <c r="J15811" t="s">
        <v>1357</v>
      </c>
      <c r="K15811" t="s">
        <v>1357</v>
      </c>
      <c r="L15811" t="s">
        <v>1357</v>
      </c>
    </row>
    <row r="15812" spans="6:12">
      <c r="H15812" t="s">
        <v>25179</v>
      </c>
      <c r="I15812" t="s">
        <v>1357</v>
      </c>
      <c r="J15812" t="s">
        <v>1357</v>
      </c>
      <c r="K15812" t="s">
        <v>1357</v>
      </c>
      <c r="L15812" t="s">
        <v>1357</v>
      </c>
    </row>
    <row r="15813" spans="6:12">
      <c r="H15813" t="s">
        <v>25180</v>
      </c>
      <c r="I15813" t="s">
        <v>1357</v>
      </c>
      <c r="J15813" t="s">
        <v>1357</v>
      </c>
      <c r="K15813" t="s">
        <v>1357</v>
      </c>
      <c r="L15813" t="s">
        <v>1357</v>
      </c>
    </row>
    <row r="15814" spans="6:12">
      <c r="F15814" t="s">
        <v>16927</v>
      </c>
      <c r="G15814" t="s">
        <v>19538</v>
      </c>
      <c r="H15814" t="s">
        <v>25181</v>
      </c>
      <c r="I15814" t="s">
        <v>1357</v>
      </c>
      <c r="J15814" t="s">
        <v>1357</v>
      </c>
      <c r="K15814" t="s">
        <v>1357</v>
      </c>
      <c r="L15814" t="s">
        <v>1357</v>
      </c>
    </row>
    <row r="15815" spans="6:12">
      <c r="F15815" t="s">
        <v>16928</v>
      </c>
      <c r="G15815" t="s">
        <v>19539</v>
      </c>
      <c r="H15815" t="s">
        <v>25182</v>
      </c>
      <c r="I15815" t="s">
        <v>1357</v>
      </c>
      <c r="J15815" t="s">
        <v>1357</v>
      </c>
      <c r="K15815" t="s">
        <v>1357</v>
      </c>
      <c r="L15815" t="s">
        <v>1357</v>
      </c>
    </row>
    <row r="15816" spans="6:12">
      <c r="F15816" t="s">
        <v>16929</v>
      </c>
      <c r="G15816" t="s">
        <v>19540</v>
      </c>
      <c r="H15816" t="s">
        <v>20014</v>
      </c>
      <c r="I15816" t="s">
        <v>1357</v>
      </c>
      <c r="J15816" t="s">
        <v>1357</v>
      </c>
      <c r="K15816" t="s">
        <v>1357</v>
      </c>
      <c r="L15816" t="s">
        <v>1357</v>
      </c>
    </row>
    <row r="15817" spans="6:12">
      <c r="H15817" t="s">
        <v>3380</v>
      </c>
      <c r="I15817" t="s">
        <v>1357</v>
      </c>
      <c r="J15817" t="s">
        <v>1357</v>
      </c>
      <c r="K15817" t="s">
        <v>1357</v>
      </c>
      <c r="L15817" t="s">
        <v>1357</v>
      </c>
    </row>
    <row r="15818" spans="6:12">
      <c r="F15818" t="s">
        <v>16271</v>
      </c>
      <c r="G15818" t="s">
        <v>18944</v>
      </c>
      <c r="H15818" t="s">
        <v>25183</v>
      </c>
      <c r="I15818" t="s">
        <v>1357</v>
      </c>
      <c r="J15818" t="s">
        <v>1357</v>
      </c>
      <c r="K15818" t="s">
        <v>1357</v>
      </c>
      <c r="L15818" t="s">
        <v>1357</v>
      </c>
    </row>
    <row r="15819" spans="6:12">
      <c r="H15819" t="s">
        <v>4574</v>
      </c>
      <c r="I15819" t="s">
        <v>1357</v>
      </c>
      <c r="J15819" t="s">
        <v>1357</v>
      </c>
      <c r="K15819" t="s">
        <v>1357</v>
      </c>
      <c r="L15819" t="s">
        <v>1357</v>
      </c>
    </row>
    <row r="15820" spans="6:12">
      <c r="H15820" t="s">
        <v>22462</v>
      </c>
      <c r="I15820" t="s">
        <v>1357</v>
      </c>
      <c r="J15820" t="s">
        <v>1357</v>
      </c>
      <c r="K15820" t="s">
        <v>1357</v>
      </c>
      <c r="L15820" t="s">
        <v>1357</v>
      </c>
    </row>
    <row r="15821" spans="6:12">
      <c r="H15821" t="s">
        <v>22463</v>
      </c>
      <c r="I15821" t="s">
        <v>1357</v>
      </c>
      <c r="J15821" t="s">
        <v>1357</v>
      </c>
      <c r="K15821" t="s">
        <v>1357</v>
      </c>
      <c r="L15821" t="s">
        <v>1357</v>
      </c>
    </row>
    <row r="15822" spans="6:12">
      <c r="H15822" t="s">
        <v>25184</v>
      </c>
      <c r="I15822" t="s">
        <v>1357</v>
      </c>
      <c r="J15822" t="s">
        <v>1357</v>
      </c>
      <c r="K15822" t="s">
        <v>1357</v>
      </c>
      <c r="L15822" t="s">
        <v>1357</v>
      </c>
    </row>
    <row r="15823" spans="6:12">
      <c r="H15823" t="s">
        <v>25185</v>
      </c>
      <c r="I15823" t="s">
        <v>1357</v>
      </c>
      <c r="J15823" t="s">
        <v>1357</v>
      </c>
      <c r="K15823" t="s">
        <v>1357</v>
      </c>
      <c r="L15823" t="s">
        <v>1357</v>
      </c>
    </row>
    <row r="15824" spans="6:12">
      <c r="H15824" t="s">
        <v>25186</v>
      </c>
      <c r="I15824" t="s">
        <v>1357</v>
      </c>
      <c r="J15824" t="s">
        <v>1357</v>
      </c>
      <c r="K15824" t="s">
        <v>1357</v>
      </c>
      <c r="L15824" t="s">
        <v>1357</v>
      </c>
    </row>
    <row r="15825" spans="6:12">
      <c r="F15825" t="s">
        <v>16930</v>
      </c>
      <c r="G15825" t="s">
        <v>19541</v>
      </c>
      <c r="H15825" t="s">
        <v>25187</v>
      </c>
      <c r="I15825" t="s">
        <v>1357</v>
      </c>
      <c r="J15825" t="s">
        <v>1357</v>
      </c>
      <c r="K15825" t="s">
        <v>1357</v>
      </c>
      <c r="L15825" t="s">
        <v>1357</v>
      </c>
    </row>
    <row r="15826" spans="6:12">
      <c r="H15826" t="s">
        <v>25188</v>
      </c>
      <c r="I15826" t="s">
        <v>1357</v>
      </c>
      <c r="J15826" t="s">
        <v>1357</v>
      </c>
      <c r="K15826" t="s">
        <v>1357</v>
      </c>
      <c r="L15826" t="s">
        <v>1357</v>
      </c>
    </row>
    <row r="15827" spans="6:12">
      <c r="H15827" t="s">
        <v>25189</v>
      </c>
      <c r="I15827" t="s">
        <v>1357</v>
      </c>
      <c r="J15827" t="s">
        <v>1357</v>
      </c>
      <c r="K15827" t="s">
        <v>1357</v>
      </c>
      <c r="L15827" t="s">
        <v>1357</v>
      </c>
    </row>
    <row r="15828" spans="6:12">
      <c r="H15828" t="s">
        <v>25190</v>
      </c>
      <c r="I15828" t="s">
        <v>1357</v>
      </c>
      <c r="J15828" t="s">
        <v>1357</v>
      </c>
      <c r="K15828" t="s">
        <v>1357</v>
      </c>
      <c r="L15828" t="s">
        <v>1357</v>
      </c>
    </row>
    <row r="15829" spans="6:12">
      <c r="H15829" t="s">
        <v>25191</v>
      </c>
      <c r="I15829" t="s">
        <v>1357</v>
      </c>
      <c r="J15829" t="s">
        <v>1357</v>
      </c>
      <c r="K15829" t="s">
        <v>1357</v>
      </c>
      <c r="L15829" t="s">
        <v>1357</v>
      </c>
    </row>
    <row r="15830" spans="6:12">
      <c r="F15830" t="s">
        <v>16931</v>
      </c>
      <c r="G15830" t="s">
        <v>19542</v>
      </c>
      <c r="H15830" t="s">
        <v>25192</v>
      </c>
      <c r="I15830" t="s">
        <v>1357</v>
      </c>
      <c r="J15830" t="s">
        <v>1357</v>
      </c>
      <c r="K15830" t="s">
        <v>1357</v>
      </c>
      <c r="L15830" t="s">
        <v>1357</v>
      </c>
    </row>
    <row r="15831" spans="6:12">
      <c r="F15831" t="s">
        <v>16932</v>
      </c>
      <c r="G15831" t="s">
        <v>19543</v>
      </c>
      <c r="H15831" t="s">
        <v>25193</v>
      </c>
      <c r="I15831" t="s">
        <v>1357</v>
      </c>
      <c r="J15831" t="s">
        <v>1357</v>
      </c>
      <c r="K15831" t="s">
        <v>1357</v>
      </c>
      <c r="L15831" t="s">
        <v>1357</v>
      </c>
    </row>
    <row r="15832" spans="6:12">
      <c r="H15832" t="s">
        <v>25194</v>
      </c>
      <c r="I15832" t="s">
        <v>1357</v>
      </c>
      <c r="J15832" t="s">
        <v>1357</v>
      </c>
      <c r="K15832" t="s">
        <v>1357</v>
      </c>
      <c r="L15832" t="s">
        <v>1357</v>
      </c>
    </row>
    <row r="15833" spans="6:12">
      <c r="H15833" t="s">
        <v>25195</v>
      </c>
      <c r="I15833" t="s">
        <v>1357</v>
      </c>
      <c r="J15833" t="s">
        <v>1357</v>
      </c>
      <c r="K15833" t="s">
        <v>1357</v>
      </c>
      <c r="L15833" t="s">
        <v>1357</v>
      </c>
    </row>
    <row r="15834" spans="6:12">
      <c r="H15834" t="s">
        <v>25196</v>
      </c>
      <c r="I15834" t="s">
        <v>1357</v>
      </c>
      <c r="J15834" t="s">
        <v>1357</v>
      </c>
      <c r="K15834" t="s">
        <v>1357</v>
      </c>
      <c r="L15834" t="s">
        <v>1357</v>
      </c>
    </row>
    <row r="15835" spans="6:12">
      <c r="H15835" t="s">
        <v>25197</v>
      </c>
      <c r="I15835" t="s">
        <v>1357</v>
      </c>
      <c r="J15835" t="s">
        <v>1357</v>
      </c>
      <c r="K15835" t="s">
        <v>1357</v>
      </c>
      <c r="L15835" t="s">
        <v>1357</v>
      </c>
    </row>
    <row r="15836" spans="6:12">
      <c r="H15836" t="s">
        <v>25198</v>
      </c>
      <c r="I15836" t="s">
        <v>1357</v>
      </c>
      <c r="J15836" t="s">
        <v>1357</v>
      </c>
      <c r="K15836" t="s">
        <v>1357</v>
      </c>
      <c r="L15836" t="s">
        <v>1357</v>
      </c>
    </row>
    <row r="15837" spans="6:12">
      <c r="H15837" t="s">
        <v>25199</v>
      </c>
      <c r="I15837" t="s">
        <v>1357</v>
      </c>
      <c r="J15837" t="s">
        <v>1357</v>
      </c>
      <c r="K15837" t="s">
        <v>1357</v>
      </c>
      <c r="L15837" t="s">
        <v>1357</v>
      </c>
    </row>
    <row r="15838" spans="6:12">
      <c r="H15838" t="s">
        <v>25200</v>
      </c>
      <c r="I15838" t="s">
        <v>1357</v>
      </c>
      <c r="J15838" t="s">
        <v>1357</v>
      </c>
      <c r="K15838" t="s">
        <v>1357</v>
      </c>
      <c r="L15838" t="s">
        <v>1357</v>
      </c>
    </row>
    <row r="15839" spans="6:12">
      <c r="F15839" t="s">
        <v>16933</v>
      </c>
      <c r="G15839" t="s">
        <v>19544</v>
      </c>
      <c r="H15839" t="s">
        <v>20014</v>
      </c>
      <c r="I15839" t="s">
        <v>1357</v>
      </c>
      <c r="J15839" t="s">
        <v>1357</v>
      </c>
      <c r="K15839" t="s">
        <v>1357</v>
      </c>
      <c r="L15839" t="s">
        <v>1357</v>
      </c>
    </row>
    <row r="15840" spans="6:12">
      <c r="H15840" t="s">
        <v>3380</v>
      </c>
      <c r="I15840" t="s">
        <v>1357</v>
      </c>
      <c r="J15840" t="s">
        <v>1357</v>
      </c>
      <c r="K15840" t="s">
        <v>1357</v>
      </c>
      <c r="L15840" t="s">
        <v>1357</v>
      </c>
    </row>
    <row r="15841" spans="6:12">
      <c r="F15841" t="s">
        <v>16934</v>
      </c>
      <c r="G15841" t="s">
        <v>19545</v>
      </c>
      <c r="H15841" t="s">
        <v>20014</v>
      </c>
      <c r="I15841" t="s">
        <v>1357</v>
      </c>
      <c r="J15841" t="s">
        <v>1357</v>
      </c>
      <c r="K15841" t="s">
        <v>1357</v>
      </c>
      <c r="L15841" t="s">
        <v>1357</v>
      </c>
    </row>
    <row r="15842" spans="6:12">
      <c r="H15842" t="s">
        <v>3380</v>
      </c>
      <c r="I15842" t="s">
        <v>1357</v>
      </c>
      <c r="J15842" t="s">
        <v>1357</v>
      </c>
      <c r="K15842" t="s">
        <v>1357</v>
      </c>
      <c r="L15842" t="s">
        <v>1357</v>
      </c>
    </row>
    <row r="15843" spans="6:12">
      <c r="F15843" t="s">
        <v>16512</v>
      </c>
      <c r="G15843" t="s">
        <v>19170</v>
      </c>
      <c r="H15843" t="s">
        <v>25201</v>
      </c>
      <c r="I15843" t="s">
        <v>1357</v>
      </c>
      <c r="J15843" t="s">
        <v>1357</v>
      </c>
      <c r="K15843" t="s">
        <v>1357</v>
      </c>
      <c r="L15843" t="s">
        <v>1357</v>
      </c>
    </row>
    <row r="15844" spans="6:12">
      <c r="H15844" t="s">
        <v>25202</v>
      </c>
      <c r="I15844" t="s">
        <v>1357</v>
      </c>
      <c r="J15844" t="s">
        <v>1357</v>
      </c>
      <c r="K15844" t="s">
        <v>1357</v>
      </c>
      <c r="L15844" t="s">
        <v>1357</v>
      </c>
    </row>
    <row r="15845" spans="6:12">
      <c r="H15845" t="s">
        <v>25203</v>
      </c>
      <c r="I15845" t="s">
        <v>1357</v>
      </c>
      <c r="J15845" t="s">
        <v>1357</v>
      </c>
      <c r="K15845" t="s">
        <v>1357</v>
      </c>
      <c r="L15845" t="s">
        <v>1357</v>
      </c>
    </row>
    <row r="15846" spans="6:12">
      <c r="H15846" t="s">
        <v>25204</v>
      </c>
      <c r="I15846" t="s">
        <v>1357</v>
      </c>
      <c r="J15846" t="s">
        <v>1357</v>
      </c>
      <c r="K15846" t="s">
        <v>1357</v>
      </c>
      <c r="L15846" t="s">
        <v>1357</v>
      </c>
    </row>
    <row r="15847" spans="6:12">
      <c r="H15847" t="s">
        <v>25205</v>
      </c>
      <c r="I15847" t="s">
        <v>1357</v>
      </c>
      <c r="J15847" t="s">
        <v>1357</v>
      </c>
      <c r="K15847" t="s">
        <v>1357</v>
      </c>
      <c r="L15847" t="s">
        <v>1357</v>
      </c>
    </row>
    <row r="15848" spans="6:12">
      <c r="H15848" t="s">
        <v>25206</v>
      </c>
      <c r="I15848" t="s">
        <v>1357</v>
      </c>
      <c r="J15848" t="s">
        <v>1357</v>
      </c>
      <c r="K15848" t="s">
        <v>1357</v>
      </c>
      <c r="L15848" t="s">
        <v>1357</v>
      </c>
    </row>
    <row r="15849" spans="6:12">
      <c r="H15849" t="s">
        <v>25207</v>
      </c>
      <c r="I15849" t="s">
        <v>1357</v>
      </c>
      <c r="J15849" t="s">
        <v>1357</v>
      </c>
      <c r="K15849" t="s">
        <v>1357</v>
      </c>
      <c r="L15849" t="s">
        <v>1357</v>
      </c>
    </row>
    <row r="15850" spans="6:12">
      <c r="H15850" t="s">
        <v>25208</v>
      </c>
      <c r="I15850" t="s">
        <v>1357</v>
      </c>
      <c r="J15850" t="s">
        <v>1357</v>
      </c>
      <c r="K15850" t="s">
        <v>1357</v>
      </c>
      <c r="L15850" t="s">
        <v>1357</v>
      </c>
    </row>
    <row r="15851" spans="6:12">
      <c r="F15851" t="s">
        <v>16935</v>
      </c>
      <c r="G15851" t="s">
        <v>19546</v>
      </c>
      <c r="H15851" t="s">
        <v>25209</v>
      </c>
      <c r="I15851" t="s">
        <v>1357</v>
      </c>
      <c r="J15851" t="s">
        <v>1357</v>
      </c>
      <c r="K15851" t="s">
        <v>1357</v>
      </c>
      <c r="L15851" t="s">
        <v>1357</v>
      </c>
    </row>
    <row r="15852" spans="6:12">
      <c r="F15852" t="s">
        <v>16936</v>
      </c>
      <c r="G15852" t="s">
        <v>19547</v>
      </c>
      <c r="H15852" t="s">
        <v>25210</v>
      </c>
      <c r="I15852" t="s">
        <v>1357</v>
      </c>
      <c r="J15852" t="s">
        <v>1357</v>
      </c>
      <c r="K15852" t="s">
        <v>1357</v>
      </c>
      <c r="L15852" t="s">
        <v>1357</v>
      </c>
    </row>
    <row r="15853" spans="6:12">
      <c r="F15853" t="s">
        <v>16937</v>
      </c>
      <c r="G15853" t="s">
        <v>19548</v>
      </c>
      <c r="H15853" t="s">
        <v>795</v>
      </c>
      <c r="I15853" t="s">
        <v>1357</v>
      </c>
      <c r="J15853" t="s">
        <v>1357</v>
      </c>
      <c r="K15853" t="s">
        <v>1357</v>
      </c>
      <c r="L15853" t="s">
        <v>1357</v>
      </c>
    </row>
    <row r="15854" spans="6:12">
      <c r="H15854" t="s">
        <v>25211</v>
      </c>
      <c r="I15854" t="s">
        <v>1357</v>
      </c>
      <c r="J15854" t="s">
        <v>1357</v>
      </c>
      <c r="K15854" t="s">
        <v>1357</v>
      </c>
      <c r="L15854" t="s">
        <v>1357</v>
      </c>
    </row>
    <row r="15855" spans="6:12">
      <c r="H15855" t="s">
        <v>25212</v>
      </c>
      <c r="I15855" t="s">
        <v>1357</v>
      </c>
      <c r="J15855" t="s">
        <v>1357</v>
      </c>
      <c r="K15855" t="s">
        <v>1357</v>
      </c>
      <c r="L15855" t="s">
        <v>1357</v>
      </c>
    </row>
    <row r="15856" spans="6:12">
      <c r="H15856" t="s">
        <v>25213</v>
      </c>
      <c r="I15856" t="s">
        <v>1357</v>
      </c>
      <c r="J15856" t="s">
        <v>1357</v>
      </c>
      <c r="K15856" t="s">
        <v>1357</v>
      </c>
      <c r="L15856" t="s">
        <v>1357</v>
      </c>
    </row>
    <row r="15857" spans="6:13">
      <c r="F15857" t="s">
        <v>16938</v>
      </c>
      <c r="G15857" t="s">
        <v>19549</v>
      </c>
      <c r="H15857" t="s">
        <v>795</v>
      </c>
      <c r="I15857" t="s">
        <v>1357</v>
      </c>
      <c r="J15857" t="s">
        <v>1357</v>
      </c>
      <c r="K15857" t="s">
        <v>1357</v>
      </c>
      <c r="L15857" t="s">
        <v>1357</v>
      </c>
    </row>
    <row r="15858" spans="6:13">
      <c r="H15858" t="s">
        <v>25214</v>
      </c>
      <c r="I15858" t="s">
        <v>1357</v>
      </c>
      <c r="J15858" t="s">
        <v>1357</v>
      </c>
      <c r="K15858" t="s">
        <v>1357</v>
      </c>
      <c r="L15858" t="s">
        <v>1357</v>
      </c>
    </row>
    <row r="15859" spans="6:13">
      <c r="F15859" t="s">
        <v>16939</v>
      </c>
      <c r="G15859" t="s">
        <v>19550</v>
      </c>
      <c r="H15859" t="s">
        <v>25215</v>
      </c>
      <c r="I15859" t="s">
        <v>1357</v>
      </c>
      <c r="J15859" t="s">
        <v>1357</v>
      </c>
      <c r="K15859" t="s">
        <v>1357</v>
      </c>
      <c r="L15859" t="s">
        <v>1357</v>
      </c>
    </row>
    <row r="15860" spans="6:13">
      <c r="H15860" t="s">
        <v>25216</v>
      </c>
      <c r="I15860" t="s">
        <v>1357</v>
      </c>
      <c r="J15860" t="s">
        <v>1357</v>
      </c>
      <c r="K15860" t="s">
        <v>1357</v>
      </c>
      <c r="L15860" t="s">
        <v>1357</v>
      </c>
    </row>
    <row r="15861" spans="6:13">
      <c r="H15861" t="s">
        <v>25217</v>
      </c>
      <c r="I15861" t="s">
        <v>1357</v>
      </c>
      <c r="J15861" t="s">
        <v>1357</v>
      </c>
      <c r="K15861" t="s">
        <v>1357</v>
      </c>
      <c r="L15861" t="s">
        <v>1357</v>
      </c>
    </row>
    <row r="15862" spans="6:13">
      <c r="F15862" t="s">
        <v>16744</v>
      </c>
      <c r="G15862" t="s">
        <v>19373</v>
      </c>
      <c r="H15862" t="s">
        <v>25218</v>
      </c>
      <c r="I15862" t="s">
        <v>1357</v>
      </c>
      <c r="J15862" t="s">
        <v>1357</v>
      </c>
      <c r="K15862" t="s">
        <v>1357</v>
      </c>
      <c r="L15862" t="s">
        <v>1357</v>
      </c>
    </row>
    <row r="15863" spans="6:13">
      <c r="H15863" t="s">
        <v>25214</v>
      </c>
      <c r="I15863" t="s">
        <v>1357</v>
      </c>
      <c r="J15863" t="s">
        <v>1357</v>
      </c>
      <c r="K15863" t="s">
        <v>1357</v>
      </c>
      <c r="L15863" t="s">
        <v>1357</v>
      </c>
    </row>
    <row r="15864" spans="6:13">
      <c r="H15864" t="s">
        <v>25219</v>
      </c>
      <c r="I15864" t="s">
        <v>1357</v>
      </c>
      <c r="J15864" t="s">
        <v>1357</v>
      </c>
      <c r="K15864" t="s">
        <v>1357</v>
      </c>
      <c r="L15864" t="s">
        <v>1357</v>
      </c>
      <c r="M15864" t="s">
        <v>9957</v>
      </c>
    </row>
    <row r="15865" spans="6:13">
      <c r="H15865" t="s">
        <v>25220</v>
      </c>
      <c r="I15865" t="s">
        <v>1357</v>
      </c>
      <c r="J15865" t="s">
        <v>1357</v>
      </c>
      <c r="K15865" t="s">
        <v>1357</v>
      </c>
      <c r="L15865" t="s">
        <v>1357</v>
      </c>
    </row>
    <row r="15866" spans="6:13">
      <c r="H15866" t="s">
        <v>25221</v>
      </c>
      <c r="I15866" t="s">
        <v>1357</v>
      </c>
      <c r="J15866" t="s">
        <v>1357</v>
      </c>
      <c r="K15866" t="s">
        <v>1357</v>
      </c>
      <c r="L15866" t="s">
        <v>1357</v>
      </c>
    </row>
    <row r="15867" spans="6:13">
      <c r="H15867" t="s">
        <v>25222</v>
      </c>
      <c r="I15867" t="s">
        <v>1357</v>
      </c>
      <c r="J15867" t="s">
        <v>1357</v>
      </c>
      <c r="K15867" t="s">
        <v>1357</v>
      </c>
      <c r="L15867" t="s">
        <v>1357</v>
      </c>
    </row>
    <row r="15868" spans="6:13">
      <c r="H15868" t="s">
        <v>25223</v>
      </c>
      <c r="I15868" t="s">
        <v>1357</v>
      </c>
      <c r="J15868" t="s">
        <v>1357</v>
      </c>
      <c r="K15868" t="s">
        <v>1357</v>
      </c>
      <c r="L15868" t="s">
        <v>1357</v>
      </c>
    </row>
    <row r="15869" spans="6:13">
      <c r="H15869" t="s">
        <v>25224</v>
      </c>
      <c r="I15869" t="s">
        <v>1357</v>
      </c>
      <c r="J15869" t="s">
        <v>1357</v>
      </c>
      <c r="K15869" t="s">
        <v>1357</v>
      </c>
      <c r="L15869" t="s">
        <v>1357</v>
      </c>
    </row>
    <row r="15870" spans="6:13">
      <c r="F15870" t="s">
        <v>16940</v>
      </c>
      <c r="G15870" t="s">
        <v>19551</v>
      </c>
      <c r="H15870" t="s">
        <v>25225</v>
      </c>
      <c r="I15870" t="s">
        <v>1357</v>
      </c>
      <c r="J15870" t="s">
        <v>1357</v>
      </c>
      <c r="K15870" t="s">
        <v>1357</v>
      </c>
      <c r="L15870" t="s">
        <v>1357</v>
      </c>
    </row>
    <row r="15871" spans="6:13">
      <c r="F15871" t="s">
        <v>14545</v>
      </c>
      <c r="G15871" t="s">
        <v>17390</v>
      </c>
      <c r="H15871" t="s">
        <v>25226</v>
      </c>
      <c r="I15871" t="s">
        <v>1357</v>
      </c>
      <c r="J15871" t="s">
        <v>1357</v>
      </c>
      <c r="K15871" t="s">
        <v>1357</v>
      </c>
      <c r="L15871" t="s">
        <v>1357</v>
      </c>
    </row>
    <row r="15872" spans="6:13">
      <c r="H15872" t="s">
        <v>25227</v>
      </c>
      <c r="I15872" t="s">
        <v>1357</v>
      </c>
      <c r="J15872" t="s">
        <v>1357</v>
      </c>
      <c r="K15872" t="s">
        <v>1357</v>
      </c>
      <c r="L15872" t="s">
        <v>1357</v>
      </c>
    </row>
    <row r="15873" spans="6:12">
      <c r="H15873" t="s">
        <v>25228</v>
      </c>
      <c r="I15873" t="s">
        <v>1357</v>
      </c>
      <c r="J15873" t="s">
        <v>1357</v>
      </c>
      <c r="K15873" t="s">
        <v>1357</v>
      </c>
      <c r="L15873" t="s">
        <v>1357</v>
      </c>
    </row>
    <row r="15874" spans="6:12">
      <c r="H15874" t="s">
        <v>25229</v>
      </c>
      <c r="I15874" t="s">
        <v>1357</v>
      </c>
      <c r="J15874" t="s">
        <v>1357</v>
      </c>
      <c r="K15874" t="s">
        <v>1357</v>
      </c>
      <c r="L15874" t="s">
        <v>1357</v>
      </c>
    </row>
    <row r="15875" spans="6:12">
      <c r="H15875" t="s">
        <v>25230</v>
      </c>
      <c r="I15875" t="s">
        <v>1357</v>
      </c>
      <c r="J15875" t="s">
        <v>1357</v>
      </c>
      <c r="K15875" t="s">
        <v>1357</v>
      </c>
      <c r="L15875" t="s">
        <v>1357</v>
      </c>
    </row>
    <row r="15876" spans="6:12">
      <c r="F15876" t="s">
        <v>16941</v>
      </c>
      <c r="G15876" t="s">
        <v>19552</v>
      </c>
      <c r="H15876" t="s">
        <v>23990</v>
      </c>
      <c r="I15876" t="s">
        <v>1357</v>
      </c>
      <c r="J15876" t="s">
        <v>1357</v>
      </c>
      <c r="K15876" t="s">
        <v>1357</v>
      </c>
      <c r="L15876" t="s">
        <v>1357</v>
      </c>
    </row>
    <row r="15877" spans="6:12">
      <c r="H15877" t="s">
        <v>25231</v>
      </c>
      <c r="I15877" t="s">
        <v>1357</v>
      </c>
      <c r="J15877" t="s">
        <v>1357</v>
      </c>
      <c r="K15877" t="s">
        <v>1357</v>
      </c>
      <c r="L15877" t="s">
        <v>1357</v>
      </c>
    </row>
    <row r="15878" spans="6:12">
      <c r="H15878" t="s">
        <v>25232</v>
      </c>
      <c r="I15878" t="s">
        <v>1357</v>
      </c>
      <c r="J15878" t="s">
        <v>1357</v>
      </c>
      <c r="K15878" t="s">
        <v>1357</v>
      </c>
      <c r="L15878" t="s">
        <v>1357</v>
      </c>
    </row>
    <row r="15879" spans="6:12">
      <c r="H15879" t="s">
        <v>812</v>
      </c>
      <c r="I15879" t="s">
        <v>1357</v>
      </c>
      <c r="J15879" t="s">
        <v>1357</v>
      </c>
      <c r="K15879" t="s">
        <v>1357</v>
      </c>
      <c r="L15879" t="s">
        <v>1357</v>
      </c>
    </row>
    <row r="15880" spans="6:12">
      <c r="H15880" t="s">
        <v>1850</v>
      </c>
      <c r="I15880" t="s">
        <v>1357</v>
      </c>
      <c r="J15880" t="s">
        <v>1357</v>
      </c>
      <c r="K15880" t="s">
        <v>1357</v>
      </c>
      <c r="L15880" t="s">
        <v>1357</v>
      </c>
    </row>
    <row r="15881" spans="6:12">
      <c r="H15881" t="s">
        <v>25233</v>
      </c>
      <c r="I15881" t="s">
        <v>1357</v>
      </c>
      <c r="J15881" t="s">
        <v>1357</v>
      </c>
      <c r="K15881" t="s">
        <v>1357</v>
      </c>
      <c r="L15881" t="s">
        <v>1357</v>
      </c>
    </row>
    <row r="15882" spans="6:12">
      <c r="H15882" t="s">
        <v>25234</v>
      </c>
      <c r="I15882" t="s">
        <v>1357</v>
      </c>
      <c r="J15882" t="s">
        <v>1357</v>
      </c>
      <c r="K15882" t="s">
        <v>1357</v>
      </c>
      <c r="L15882" t="s">
        <v>1357</v>
      </c>
    </row>
    <row r="15883" spans="6:12">
      <c r="H15883" t="s">
        <v>25235</v>
      </c>
      <c r="I15883" t="s">
        <v>1357</v>
      </c>
      <c r="J15883" t="s">
        <v>1357</v>
      </c>
      <c r="K15883" t="s">
        <v>1357</v>
      </c>
      <c r="L15883" t="s">
        <v>1357</v>
      </c>
    </row>
    <row r="15884" spans="6:12">
      <c r="H15884" t="s">
        <v>25236</v>
      </c>
      <c r="I15884" t="s">
        <v>1357</v>
      </c>
      <c r="J15884" t="s">
        <v>1357</v>
      </c>
      <c r="K15884" t="s">
        <v>1357</v>
      </c>
      <c r="L15884" t="s">
        <v>1357</v>
      </c>
    </row>
    <row r="15885" spans="6:12">
      <c r="H15885" t="s">
        <v>25237</v>
      </c>
      <c r="I15885" t="s">
        <v>1357</v>
      </c>
      <c r="J15885" t="s">
        <v>1357</v>
      </c>
      <c r="K15885" t="s">
        <v>1357</v>
      </c>
      <c r="L15885" t="s">
        <v>1357</v>
      </c>
    </row>
    <row r="15886" spans="6:12">
      <c r="H15886" t="s">
        <v>25238</v>
      </c>
      <c r="I15886" t="s">
        <v>1357</v>
      </c>
      <c r="J15886" t="s">
        <v>1357</v>
      </c>
      <c r="K15886" t="s">
        <v>1357</v>
      </c>
      <c r="L15886" t="s">
        <v>1357</v>
      </c>
    </row>
    <row r="15887" spans="6:12">
      <c r="H15887" t="s">
        <v>25239</v>
      </c>
      <c r="I15887" t="s">
        <v>1357</v>
      </c>
      <c r="J15887" t="s">
        <v>1357</v>
      </c>
      <c r="K15887" t="s">
        <v>1357</v>
      </c>
      <c r="L15887" t="s">
        <v>1357</v>
      </c>
    </row>
    <row r="15888" spans="6:12">
      <c r="H15888" t="s">
        <v>25240</v>
      </c>
      <c r="I15888" t="s">
        <v>1357</v>
      </c>
      <c r="J15888" t="s">
        <v>1357</v>
      </c>
      <c r="K15888" t="s">
        <v>1357</v>
      </c>
      <c r="L15888" t="s">
        <v>1357</v>
      </c>
    </row>
    <row r="15889" spans="8:12">
      <c r="H15889" t="s">
        <v>25241</v>
      </c>
      <c r="I15889" t="s">
        <v>1357</v>
      </c>
      <c r="J15889" t="s">
        <v>1357</v>
      </c>
      <c r="K15889" t="s">
        <v>1357</v>
      </c>
      <c r="L15889" t="s">
        <v>1357</v>
      </c>
    </row>
    <row r="15890" spans="8:12">
      <c r="H15890" t="s">
        <v>25242</v>
      </c>
      <c r="I15890" t="s">
        <v>1357</v>
      </c>
      <c r="J15890" t="s">
        <v>1357</v>
      </c>
      <c r="K15890" t="s">
        <v>1357</v>
      </c>
      <c r="L15890" t="s">
        <v>1357</v>
      </c>
    </row>
    <row r="15891" spans="8:12">
      <c r="H15891" t="s">
        <v>25243</v>
      </c>
      <c r="I15891" t="s">
        <v>1357</v>
      </c>
      <c r="J15891" t="s">
        <v>1357</v>
      </c>
      <c r="K15891" t="s">
        <v>1357</v>
      </c>
      <c r="L15891" t="s">
        <v>1357</v>
      </c>
    </row>
    <row r="15892" spans="8:12">
      <c r="H15892" t="s">
        <v>25244</v>
      </c>
      <c r="I15892" t="s">
        <v>1357</v>
      </c>
      <c r="J15892" t="s">
        <v>1357</v>
      </c>
      <c r="K15892" t="s">
        <v>1357</v>
      </c>
      <c r="L15892" t="s">
        <v>1357</v>
      </c>
    </row>
    <row r="15893" spans="8:12">
      <c r="H15893" t="s">
        <v>25245</v>
      </c>
      <c r="I15893" t="s">
        <v>1357</v>
      </c>
      <c r="J15893" t="s">
        <v>1357</v>
      </c>
      <c r="K15893" t="s">
        <v>1357</v>
      </c>
      <c r="L15893" t="s">
        <v>1357</v>
      </c>
    </row>
    <row r="15894" spans="8:12">
      <c r="H15894" t="s">
        <v>25246</v>
      </c>
      <c r="I15894" t="s">
        <v>1357</v>
      </c>
      <c r="J15894" t="s">
        <v>1357</v>
      </c>
      <c r="K15894" t="s">
        <v>1357</v>
      </c>
      <c r="L15894" t="s">
        <v>1357</v>
      </c>
    </row>
    <row r="15895" spans="8:12">
      <c r="H15895" t="s">
        <v>25247</v>
      </c>
      <c r="I15895" t="s">
        <v>1357</v>
      </c>
      <c r="J15895" t="s">
        <v>1357</v>
      </c>
      <c r="K15895" t="s">
        <v>1357</v>
      </c>
      <c r="L15895" t="s">
        <v>1357</v>
      </c>
    </row>
    <row r="15896" spans="8:12">
      <c r="H15896" t="s">
        <v>25248</v>
      </c>
      <c r="I15896" t="s">
        <v>1357</v>
      </c>
      <c r="J15896" t="s">
        <v>1357</v>
      </c>
      <c r="K15896" t="s">
        <v>1357</v>
      </c>
      <c r="L15896" t="s">
        <v>1357</v>
      </c>
    </row>
    <row r="15897" spans="8:12">
      <c r="H15897" t="s">
        <v>25249</v>
      </c>
      <c r="I15897" t="s">
        <v>1357</v>
      </c>
      <c r="J15897" t="s">
        <v>1357</v>
      </c>
      <c r="K15897" t="s">
        <v>1357</v>
      </c>
      <c r="L15897" t="s">
        <v>1357</v>
      </c>
    </row>
    <row r="15898" spans="8:12">
      <c r="H15898" t="s">
        <v>25250</v>
      </c>
      <c r="I15898" t="s">
        <v>1357</v>
      </c>
      <c r="J15898" t="s">
        <v>1357</v>
      </c>
      <c r="K15898" t="s">
        <v>1357</v>
      </c>
      <c r="L15898" t="s">
        <v>1357</v>
      </c>
    </row>
    <row r="15899" spans="8:12">
      <c r="H15899" t="s">
        <v>25251</v>
      </c>
      <c r="I15899" t="s">
        <v>1357</v>
      </c>
      <c r="J15899" t="s">
        <v>1357</v>
      </c>
      <c r="K15899" t="s">
        <v>1357</v>
      </c>
      <c r="L15899" t="s">
        <v>1357</v>
      </c>
    </row>
    <row r="15900" spans="8:12">
      <c r="H15900" t="s">
        <v>25252</v>
      </c>
      <c r="I15900" t="s">
        <v>1357</v>
      </c>
      <c r="J15900" t="s">
        <v>1357</v>
      </c>
      <c r="K15900" t="s">
        <v>1357</v>
      </c>
      <c r="L15900" t="s">
        <v>1357</v>
      </c>
    </row>
    <row r="15901" spans="8:12">
      <c r="H15901" t="s">
        <v>25253</v>
      </c>
      <c r="I15901" t="s">
        <v>1357</v>
      </c>
      <c r="J15901" t="s">
        <v>1357</v>
      </c>
      <c r="K15901" t="s">
        <v>1357</v>
      </c>
      <c r="L15901" t="s">
        <v>1357</v>
      </c>
    </row>
    <row r="15902" spans="8:12">
      <c r="H15902" t="s">
        <v>25254</v>
      </c>
      <c r="I15902" t="s">
        <v>1357</v>
      </c>
      <c r="J15902" t="s">
        <v>1357</v>
      </c>
      <c r="K15902" t="s">
        <v>1357</v>
      </c>
      <c r="L15902" t="s">
        <v>1357</v>
      </c>
    </row>
    <row r="15903" spans="8:12">
      <c r="H15903" t="s">
        <v>25255</v>
      </c>
      <c r="I15903" t="s">
        <v>1357</v>
      </c>
      <c r="J15903" t="s">
        <v>1357</v>
      </c>
      <c r="K15903" t="s">
        <v>1357</v>
      </c>
      <c r="L15903" t="s">
        <v>1357</v>
      </c>
    </row>
    <row r="15904" spans="8:12">
      <c r="H15904" t="s">
        <v>25256</v>
      </c>
      <c r="I15904" t="s">
        <v>1357</v>
      </c>
      <c r="J15904" t="s">
        <v>1357</v>
      </c>
      <c r="K15904" t="s">
        <v>1357</v>
      </c>
      <c r="L15904" t="s">
        <v>1357</v>
      </c>
    </row>
    <row r="15905" spans="6:12">
      <c r="H15905" t="s">
        <v>25257</v>
      </c>
      <c r="I15905" t="s">
        <v>1357</v>
      </c>
      <c r="J15905" t="s">
        <v>1357</v>
      </c>
      <c r="K15905" t="s">
        <v>1357</v>
      </c>
      <c r="L15905" t="s">
        <v>1357</v>
      </c>
    </row>
    <row r="15906" spans="6:12">
      <c r="F15906" t="s">
        <v>16942</v>
      </c>
      <c r="G15906" t="s">
        <v>19553</v>
      </c>
      <c r="H15906" t="s">
        <v>25258</v>
      </c>
      <c r="I15906" t="s">
        <v>1357</v>
      </c>
      <c r="J15906" t="s">
        <v>1357</v>
      </c>
      <c r="K15906" t="s">
        <v>1357</v>
      </c>
      <c r="L15906" t="s">
        <v>1357</v>
      </c>
    </row>
    <row r="15907" spans="6:12">
      <c r="F15907" t="s">
        <v>16943</v>
      </c>
      <c r="G15907" t="s">
        <v>19554</v>
      </c>
      <c r="H15907" t="s">
        <v>25259</v>
      </c>
      <c r="I15907" t="s">
        <v>1357</v>
      </c>
      <c r="J15907" t="s">
        <v>1357</v>
      </c>
      <c r="K15907" t="s">
        <v>1357</v>
      </c>
      <c r="L15907" t="s">
        <v>1357</v>
      </c>
    </row>
    <row r="15908" spans="6:12">
      <c r="H15908" t="s">
        <v>25260</v>
      </c>
      <c r="I15908" t="s">
        <v>1357</v>
      </c>
      <c r="J15908" t="s">
        <v>1357</v>
      </c>
      <c r="K15908" t="s">
        <v>1357</v>
      </c>
      <c r="L15908" t="s">
        <v>1357</v>
      </c>
    </row>
    <row r="15909" spans="6:12">
      <c r="H15909" t="s">
        <v>25261</v>
      </c>
      <c r="I15909" t="s">
        <v>1357</v>
      </c>
      <c r="J15909" t="s">
        <v>1357</v>
      </c>
      <c r="K15909" t="s">
        <v>1357</v>
      </c>
      <c r="L15909" t="s">
        <v>1357</v>
      </c>
    </row>
    <row r="15910" spans="6:12">
      <c r="F15910" t="s">
        <v>16944</v>
      </c>
      <c r="G15910" t="s">
        <v>19555</v>
      </c>
      <c r="H15910" t="s">
        <v>25262</v>
      </c>
      <c r="I15910" t="s">
        <v>1357</v>
      </c>
      <c r="J15910" t="s">
        <v>1357</v>
      </c>
      <c r="K15910" t="s">
        <v>1357</v>
      </c>
      <c r="L15910" t="s">
        <v>1357</v>
      </c>
    </row>
    <row r="15911" spans="6:12">
      <c r="F15911" t="s">
        <v>16945</v>
      </c>
      <c r="G15911" t="s">
        <v>19556</v>
      </c>
      <c r="H15911" t="s">
        <v>795</v>
      </c>
      <c r="I15911" t="s">
        <v>1357</v>
      </c>
      <c r="J15911" t="s">
        <v>1357</v>
      </c>
      <c r="K15911" t="s">
        <v>1357</v>
      </c>
      <c r="L15911" t="s">
        <v>1357</v>
      </c>
    </row>
    <row r="15912" spans="6:12">
      <c r="F15912" t="s">
        <v>16946</v>
      </c>
      <c r="G15912" t="s">
        <v>19557</v>
      </c>
      <c r="H15912" t="s">
        <v>23247</v>
      </c>
      <c r="I15912" t="s">
        <v>1357</v>
      </c>
      <c r="J15912" t="s">
        <v>1357</v>
      </c>
      <c r="K15912" t="s">
        <v>1357</v>
      </c>
      <c r="L15912" t="s">
        <v>1357</v>
      </c>
    </row>
    <row r="15913" spans="6:12">
      <c r="H15913" t="s">
        <v>25263</v>
      </c>
      <c r="I15913" t="s">
        <v>1357</v>
      </c>
      <c r="J15913" t="s">
        <v>1357</v>
      </c>
      <c r="K15913" t="s">
        <v>1357</v>
      </c>
      <c r="L15913" t="s">
        <v>1357</v>
      </c>
    </row>
    <row r="15914" spans="6:12">
      <c r="H15914" t="s">
        <v>25264</v>
      </c>
      <c r="I15914" t="s">
        <v>1357</v>
      </c>
      <c r="J15914" t="s">
        <v>1357</v>
      </c>
      <c r="K15914" t="s">
        <v>1357</v>
      </c>
      <c r="L15914" t="s">
        <v>1357</v>
      </c>
    </row>
    <row r="15915" spans="6:12">
      <c r="H15915" t="s">
        <v>25265</v>
      </c>
      <c r="I15915" t="s">
        <v>1357</v>
      </c>
      <c r="J15915" t="s">
        <v>1357</v>
      </c>
      <c r="K15915" t="s">
        <v>1357</v>
      </c>
      <c r="L15915" t="s">
        <v>1357</v>
      </c>
    </row>
    <row r="15916" spans="6:12">
      <c r="H15916" t="s">
        <v>25266</v>
      </c>
      <c r="I15916" t="s">
        <v>1357</v>
      </c>
      <c r="J15916" t="s">
        <v>1357</v>
      </c>
      <c r="K15916" t="s">
        <v>1357</v>
      </c>
      <c r="L15916" t="s">
        <v>1357</v>
      </c>
    </row>
    <row r="15917" spans="6:12">
      <c r="H15917" t="s">
        <v>25267</v>
      </c>
      <c r="I15917" t="s">
        <v>1357</v>
      </c>
      <c r="J15917" t="s">
        <v>1357</v>
      </c>
      <c r="K15917" t="s">
        <v>1357</v>
      </c>
      <c r="L15917" t="s">
        <v>1357</v>
      </c>
    </row>
    <row r="15918" spans="6:12">
      <c r="F15918" t="s">
        <v>16947</v>
      </c>
      <c r="G15918" t="s">
        <v>19558</v>
      </c>
      <c r="H15918" t="s">
        <v>25268</v>
      </c>
      <c r="I15918" t="s">
        <v>1357</v>
      </c>
      <c r="J15918" t="s">
        <v>1357</v>
      </c>
      <c r="K15918" t="s">
        <v>1357</v>
      </c>
      <c r="L15918" t="s">
        <v>1357</v>
      </c>
    </row>
    <row r="15919" spans="6:12">
      <c r="F15919" t="s">
        <v>16948</v>
      </c>
      <c r="G15919" t="s">
        <v>19559</v>
      </c>
      <c r="H15919" t="s">
        <v>4690</v>
      </c>
      <c r="I15919" t="s">
        <v>1357</v>
      </c>
      <c r="J15919" t="s">
        <v>1357</v>
      </c>
      <c r="K15919" t="s">
        <v>1357</v>
      </c>
      <c r="L15919" t="s">
        <v>1357</v>
      </c>
    </row>
    <row r="15920" spans="6:12">
      <c r="H15920" t="s">
        <v>25269</v>
      </c>
      <c r="I15920" t="s">
        <v>1357</v>
      </c>
      <c r="J15920" t="s">
        <v>1357</v>
      </c>
      <c r="K15920" t="s">
        <v>1357</v>
      </c>
      <c r="L15920" t="s">
        <v>1357</v>
      </c>
    </row>
    <row r="15921" spans="6:12">
      <c r="H15921" t="s">
        <v>25270</v>
      </c>
      <c r="I15921" t="s">
        <v>1357</v>
      </c>
      <c r="J15921" t="s">
        <v>1357</v>
      </c>
      <c r="K15921" t="s">
        <v>1357</v>
      </c>
      <c r="L15921" t="s">
        <v>1357</v>
      </c>
    </row>
    <row r="15922" spans="6:12">
      <c r="F15922" t="s">
        <v>16949</v>
      </c>
      <c r="G15922" t="s">
        <v>19560</v>
      </c>
      <c r="H15922" t="s">
        <v>25271</v>
      </c>
      <c r="I15922" t="s">
        <v>1357</v>
      </c>
      <c r="J15922" t="s">
        <v>1357</v>
      </c>
      <c r="K15922" t="s">
        <v>1357</v>
      </c>
      <c r="L15922" t="s">
        <v>1357</v>
      </c>
    </row>
    <row r="15923" spans="6:12">
      <c r="H15923" t="s">
        <v>25272</v>
      </c>
      <c r="I15923" t="s">
        <v>1357</v>
      </c>
      <c r="J15923" t="s">
        <v>1357</v>
      </c>
      <c r="K15923" t="s">
        <v>1357</v>
      </c>
      <c r="L15923" t="s">
        <v>1357</v>
      </c>
    </row>
    <row r="15924" spans="6:12">
      <c r="H15924" t="s">
        <v>3303</v>
      </c>
      <c r="I15924" t="s">
        <v>1357</v>
      </c>
      <c r="J15924" t="s">
        <v>1357</v>
      </c>
      <c r="K15924" t="s">
        <v>1357</v>
      </c>
      <c r="L15924" t="s">
        <v>1357</v>
      </c>
    </row>
    <row r="15925" spans="6:12">
      <c r="H15925" t="s">
        <v>1083</v>
      </c>
      <c r="I15925" t="s">
        <v>1357</v>
      </c>
      <c r="J15925" t="s">
        <v>1357</v>
      </c>
      <c r="K15925" t="s">
        <v>1357</v>
      </c>
      <c r="L15925" t="s">
        <v>1357</v>
      </c>
    </row>
    <row r="15926" spans="6:12">
      <c r="H15926" t="s">
        <v>1077</v>
      </c>
      <c r="I15926" t="s">
        <v>1357</v>
      </c>
      <c r="J15926" t="s">
        <v>1357</v>
      </c>
      <c r="K15926" t="s">
        <v>1357</v>
      </c>
      <c r="L15926" t="s">
        <v>1357</v>
      </c>
    </row>
    <row r="15927" spans="6:12">
      <c r="H15927" t="s">
        <v>25273</v>
      </c>
      <c r="I15927" t="s">
        <v>1357</v>
      </c>
      <c r="J15927" t="s">
        <v>1357</v>
      </c>
      <c r="K15927" t="s">
        <v>1357</v>
      </c>
      <c r="L15927" t="s">
        <v>1357</v>
      </c>
    </row>
    <row r="15928" spans="6:12">
      <c r="F15928" t="s">
        <v>16950</v>
      </c>
      <c r="G15928" t="s">
        <v>19561</v>
      </c>
      <c r="H15928" t="s">
        <v>25274</v>
      </c>
      <c r="I15928" t="s">
        <v>1357</v>
      </c>
      <c r="J15928" t="s">
        <v>1357</v>
      </c>
      <c r="K15928" t="s">
        <v>1357</v>
      </c>
      <c r="L15928" t="s">
        <v>1357</v>
      </c>
    </row>
    <row r="15929" spans="6:12">
      <c r="H15929" t="s">
        <v>25275</v>
      </c>
      <c r="I15929" t="s">
        <v>1357</v>
      </c>
      <c r="J15929" t="s">
        <v>1357</v>
      </c>
      <c r="K15929" t="s">
        <v>1357</v>
      </c>
      <c r="L15929" t="s">
        <v>1357</v>
      </c>
    </row>
    <row r="15930" spans="6:12">
      <c r="H15930" t="s">
        <v>25276</v>
      </c>
      <c r="I15930" t="s">
        <v>1357</v>
      </c>
      <c r="J15930" t="s">
        <v>1357</v>
      </c>
      <c r="K15930" t="s">
        <v>1357</v>
      </c>
      <c r="L15930" t="s">
        <v>1357</v>
      </c>
    </row>
    <row r="15931" spans="6:12">
      <c r="H15931" t="s">
        <v>25277</v>
      </c>
      <c r="I15931" t="s">
        <v>1357</v>
      </c>
      <c r="J15931" t="s">
        <v>1357</v>
      </c>
      <c r="K15931" t="s">
        <v>1357</v>
      </c>
      <c r="L15931" t="s">
        <v>1357</v>
      </c>
    </row>
    <row r="15932" spans="6:12">
      <c r="H15932" t="s">
        <v>25278</v>
      </c>
      <c r="I15932" t="s">
        <v>1357</v>
      </c>
      <c r="J15932" t="s">
        <v>1357</v>
      </c>
      <c r="K15932" t="s">
        <v>1357</v>
      </c>
      <c r="L15932" t="s">
        <v>1357</v>
      </c>
    </row>
    <row r="15933" spans="6:12">
      <c r="F15933" t="s">
        <v>16951</v>
      </c>
      <c r="G15933" t="s">
        <v>19562</v>
      </c>
      <c r="H15933" t="s">
        <v>25279</v>
      </c>
      <c r="I15933" t="s">
        <v>1357</v>
      </c>
      <c r="J15933" t="s">
        <v>1357</v>
      </c>
      <c r="K15933" t="s">
        <v>1357</v>
      </c>
      <c r="L15933" t="s">
        <v>1357</v>
      </c>
    </row>
    <row r="15934" spans="6:12">
      <c r="H15934" t="s">
        <v>25280</v>
      </c>
      <c r="I15934" t="s">
        <v>1357</v>
      </c>
      <c r="J15934" t="s">
        <v>1357</v>
      </c>
      <c r="K15934" t="s">
        <v>1357</v>
      </c>
      <c r="L15934" t="s">
        <v>1357</v>
      </c>
    </row>
    <row r="15935" spans="6:12">
      <c r="H15935" t="s">
        <v>25281</v>
      </c>
      <c r="I15935" t="s">
        <v>1357</v>
      </c>
      <c r="J15935" t="s">
        <v>1357</v>
      </c>
      <c r="K15935" t="s">
        <v>1357</v>
      </c>
      <c r="L15935" t="s">
        <v>1357</v>
      </c>
    </row>
    <row r="15936" spans="6:12">
      <c r="H15936" t="s">
        <v>25282</v>
      </c>
      <c r="I15936" t="s">
        <v>1357</v>
      </c>
      <c r="J15936" t="s">
        <v>1357</v>
      </c>
      <c r="K15936" t="s">
        <v>1357</v>
      </c>
      <c r="L15936" t="s">
        <v>1357</v>
      </c>
    </row>
    <row r="15937" spans="1:13">
      <c r="H15937" t="s">
        <v>25283</v>
      </c>
      <c r="I15937" t="s">
        <v>1357</v>
      </c>
      <c r="J15937" t="s">
        <v>1357</v>
      </c>
      <c r="K15937" t="s">
        <v>1357</v>
      </c>
      <c r="L15937" t="s">
        <v>1357</v>
      </c>
    </row>
    <row r="15938" spans="1:13">
      <c r="H15938" t="s">
        <v>25284</v>
      </c>
      <c r="I15938" t="s">
        <v>1357</v>
      </c>
      <c r="J15938" t="s">
        <v>1357</v>
      </c>
      <c r="K15938" t="s">
        <v>1357</v>
      </c>
      <c r="L15938" t="s">
        <v>1357</v>
      </c>
    </row>
    <row r="15939" spans="1:13">
      <c r="H15939" t="s">
        <v>25285</v>
      </c>
      <c r="I15939" t="s">
        <v>1357</v>
      </c>
      <c r="J15939" t="s">
        <v>1357</v>
      </c>
      <c r="K15939" t="s">
        <v>1357</v>
      </c>
      <c r="L15939" t="s">
        <v>1357</v>
      </c>
    </row>
    <row r="15940" spans="1:13">
      <c r="H15940" t="s">
        <v>25286</v>
      </c>
      <c r="I15940" t="s">
        <v>1357</v>
      </c>
      <c r="J15940" t="s">
        <v>1357</v>
      </c>
      <c r="K15940" t="s">
        <v>1357</v>
      </c>
      <c r="L15940" t="s">
        <v>1357</v>
      </c>
    </row>
    <row r="15941" spans="1:13">
      <c r="A15941" t="s">
        <v>11416</v>
      </c>
      <c r="B15941">
        <f>HYPERLINK("https://android.googlesource.com/platform/cts/+/daf55da8c6be33c9421e0ff5d4f7e03c7c75c0bd", "daf55da8c6be33c9421e0ff5d4f7e03c7c75c0bd")</f>
        <v>0</v>
      </c>
      <c r="C15941">
        <f>HYPERLINK("https://android.googlesource.com/platform/cts/+/57a7572fe52032f6656b77decb0acb7846e62f36", "57a7572fe52032f6656b77decb0acb7846e62f36")</f>
        <v>0</v>
      </c>
      <c r="D15941" t="s">
        <v>12394</v>
      </c>
      <c r="E15941" t="s">
        <v>13931</v>
      </c>
      <c r="F15941" t="s">
        <v>16914</v>
      </c>
      <c r="G15941" t="s">
        <v>19525</v>
      </c>
      <c r="H15941" t="s">
        <v>24968</v>
      </c>
      <c r="I15941" t="s">
        <v>1357</v>
      </c>
      <c r="J15941" t="s">
        <v>1357</v>
      </c>
      <c r="K15941" t="s">
        <v>1357</v>
      </c>
      <c r="L15941" t="s">
        <v>1357</v>
      </c>
    </row>
    <row r="15942" spans="1:13">
      <c r="H15942" t="s">
        <v>24969</v>
      </c>
      <c r="I15942" t="s">
        <v>1357</v>
      </c>
      <c r="J15942" t="s">
        <v>1357</v>
      </c>
      <c r="K15942" t="s">
        <v>1357</v>
      </c>
      <c r="L15942" t="s">
        <v>1357</v>
      </c>
    </row>
    <row r="15943" spans="1:13">
      <c r="H15943" t="s">
        <v>24970</v>
      </c>
      <c r="I15943" t="s">
        <v>1357</v>
      </c>
      <c r="J15943" t="s">
        <v>1357</v>
      </c>
      <c r="K15943" t="s">
        <v>1357</v>
      </c>
      <c r="L15943" t="s">
        <v>1357</v>
      </c>
    </row>
    <row r="15944" spans="1:13">
      <c r="H15944" t="s">
        <v>24971</v>
      </c>
      <c r="I15944" t="s">
        <v>1357</v>
      </c>
      <c r="J15944" t="s">
        <v>1357</v>
      </c>
      <c r="K15944" t="s">
        <v>1357</v>
      </c>
      <c r="L15944" t="s">
        <v>1357</v>
      </c>
      <c r="M15944" t="s">
        <v>9957</v>
      </c>
    </row>
    <row r="15945" spans="1:13">
      <c r="H15945" t="s">
        <v>24972</v>
      </c>
      <c r="I15945" t="s">
        <v>1357</v>
      </c>
      <c r="J15945" t="s">
        <v>1357</v>
      </c>
      <c r="K15945" t="s">
        <v>1357</v>
      </c>
      <c r="L15945" t="s">
        <v>1357</v>
      </c>
    </row>
    <row r="15946" spans="1:13">
      <c r="H15946" t="s">
        <v>24973</v>
      </c>
      <c r="I15946" t="s">
        <v>1357</v>
      </c>
      <c r="J15946" t="s">
        <v>1357</v>
      </c>
      <c r="K15946" t="s">
        <v>1357</v>
      </c>
      <c r="L15946" t="s">
        <v>1357</v>
      </c>
    </row>
    <row r="15947" spans="1:13">
      <c r="F15947" t="s">
        <v>16915</v>
      </c>
      <c r="G15947" t="s">
        <v>19526</v>
      </c>
      <c r="H15947" t="s">
        <v>24974</v>
      </c>
      <c r="I15947" t="s">
        <v>1357</v>
      </c>
      <c r="J15947" t="s">
        <v>1357</v>
      </c>
      <c r="K15947" t="s">
        <v>1357</v>
      </c>
      <c r="L15947" t="s">
        <v>1357</v>
      </c>
    </row>
    <row r="15948" spans="1:13">
      <c r="H15948" t="s">
        <v>24975</v>
      </c>
      <c r="I15948" t="s">
        <v>1357</v>
      </c>
      <c r="J15948" t="s">
        <v>1357</v>
      </c>
      <c r="K15948" t="s">
        <v>1357</v>
      </c>
      <c r="L15948" t="s">
        <v>1357</v>
      </c>
    </row>
    <row r="15949" spans="1:13">
      <c r="H15949" t="s">
        <v>24976</v>
      </c>
      <c r="I15949" t="s">
        <v>1357</v>
      </c>
      <c r="J15949" t="s">
        <v>1357</v>
      </c>
      <c r="K15949" t="s">
        <v>1357</v>
      </c>
      <c r="L15949" t="s">
        <v>1357</v>
      </c>
    </row>
    <row r="15950" spans="1:13">
      <c r="H15950" t="s">
        <v>24977</v>
      </c>
      <c r="I15950" t="s">
        <v>1357</v>
      </c>
      <c r="J15950" t="s">
        <v>1357</v>
      </c>
      <c r="K15950" t="s">
        <v>1357</v>
      </c>
      <c r="L15950" t="s">
        <v>1357</v>
      </c>
    </row>
    <row r="15951" spans="1:13">
      <c r="H15951" t="s">
        <v>24978</v>
      </c>
      <c r="I15951" t="s">
        <v>1357</v>
      </c>
      <c r="J15951" t="s">
        <v>1357</v>
      </c>
      <c r="K15951" t="s">
        <v>1357</v>
      </c>
      <c r="L15951" t="s">
        <v>1357</v>
      </c>
    </row>
    <row r="15952" spans="1:13">
      <c r="H15952" t="s">
        <v>24979</v>
      </c>
      <c r="I15952" t="s">
        <v>1357</v>
      </c>
      <c r="J15952" t="s">
        <v>1357</v>
      </c>
      <c r="K15952" t="s">
        <v>1357</v>
      </c>
      <c r="L15952" t="s">
        <v>1357</v>
      </c>
    </row>
    <row r="15953" spans="6:12">
      <c r="H15953" t="s">
        <v>24980</v>
      </c>
      <c r="I15953" t="s">
        <v>1357</v>
      </c>
      <c r="J15953" t="s">
        <v>1357</v>
      </c>
      <c r="K15953" t="s">
        <v>1357</v>
      </c>
      <c r="L15953" t="s">
        <v>1357</v>
      </c>
    </row>
    <row r="15954" spans="6:12">
      <c r="H15954" t="s">
        <v>24981</v>
      </c>
      <c r="I15954" t="s">
        <v>1357</v>
      </c>
      <c r="J15954" t="s">
        <v>1357</v>
      </c>
      <c r="K15954" t="s">
        <v>1357</v>
      </c>
      <c r="L15954" t="s">
        <v>1357</v>
      </c>
    </row>
    <row r="15955" spans="6:12">
      <c r="H15955" t="s">
        <v>24982</v>
      </c>
      <c r="I15955" t="s">
        <v>1357</v>
      </c>
      <c r="J15955" t="s">
        <v>1357</v>
      </c>
      <c r="K15955" t="s">
        <v>1357</v>
      </c>
      <c r="L15955" t="s">
        <v>1357</v>
      </c>
    </row>
    <row r="15956" spans="6:12">
      <c r="F15956" t="s">
        <v>16916</v>
      </c>
      <c r="G15956" t="s">
        <v>19527</v>
      </c>
      <c r="H15956" t="s">
        <v>24983</v>
      </c>
      <c r="I15956" t="s">
        <v>1357</v>
      </c>
      <c r="J15956" t="s">
        <v>1357</v>
      </c>
      <c r="K15956" t="s">
        <v>1357</v>
      </c>
      <c r="L15956" t="s">
        <v>1357</v>
      </c>
    </row>
    <row r="15957" spans="6:12">
      <c r="H15957" t="s">
        <v>24984</v>
      </c>
      <c r="I15957" t="s">
        <v>1357</v>
      </c>
      <c r="J15957" t="s">
        <v>1357</v>
      </c>
      <c r="K15957" t="s">
        <v>1357</v>
      </c>
      <c r="L15957" t="s">
        <v>1357</v>
      </c>
    </row>
    <row r="15958" spans="6:12">
      <c r="F15958" t="s">
        <v>16917</v>
      </c>
      <c r="G15958" t="s">
        <v>19528</v>
      </c>
      <c r="H15958" t="s">
        <v>8862</v>
      </c>
      <c r="I15958" t="s">
        <v>1357</v>
      </c>
      <c r="J15958" t="s">
        <v>1357</v>
      </c>
      <c r="K15958" t="s">
        <v>1357</v>
      </c>
      <c r="L15958" t="s">
        <v>1357</v>
      </c>
    </row>
    <row r="15959" spans="6:12">
      <c r="H15959" t="s">
        <v>24985</v>
      </c>
      <c r="I15959" t="s">
        <v>1357</v>
      </c>
      <c r="J15959" t="s">
        <v>1357</v>
      </c>
      <c r="K15959" t="s">
        <v>1357</v>
      </c>
      <c r="L15959" t="s">
        <v>1357</v>
      </c>
    </row>
    <row r="15960" spans="6:12">
      <c r="H15960" t="s">
        <v>24986</v>
      </c>
      <c r="I15960" t="s">
        <v>1357</v>
      </c>
      <c r="J15960" t="s">
        <v>1357</v>
      </c>
      <c r="K15960" t="s">
        <v>1357</v>
      </c>
      <c r="L15960" t="s">
        <v>1357</v>
      </c>
    </row>
    <row r="15961" spans="6:12">
      <c r="H15961" t="s">
        <v>24987</v>
      </c>
      <c r="I15961" t="s">
        <v>1357</v>
      </c>
      <c r="J15961" t="s">
        <v>1357</v>
      </c>
      <c r="K15961" t="s">
        <v>1357</v>
      </c>
      <c r="L15961" t="s">
        <v>1357</v>
      </c>
    </row>
    <row r="15962" spans="6:12">
      <c r="H15962" t="s">
        <v>24988</v>
      </c>
      <c r="I15962" t="s">
        <v>1357</v>
      </c>
      <c r="J15962" t="s">
        <v>1357</v>
      </c>
      <c r="K15962" t="s">
        <v>1357</v>
      </c>
      <c r="L15962" t="s">
        <v>1357</v>
      </c>
    </row>
    <row r="15963" spans="6:12">
      <c r="H15963" t="s">
        <v>24989</v>
      </c>
      <c r="I15963" t="s">
        <v>1357</v>
      </c>
      <c r="J15963" t="s">
        <v>1357</v>
      </c>
      <c r="K15963" t="s">
        <v>1357</v>
      </c>
      <c r="L15963" t="s">
        <v>1357</v>
      </c>
    </row>
    <row r="15964" spans="6:12">
      <c r="H15964" t="s">
        <v>24990</v>
      </c>
      <c r="I15964" t="s">
        <v>1357</v>
      </c>
      <c r="J15964" t="s">
        <v>1357</v>
      </c>
      <c r="K15964" t="s">
        <v>1357</v>
      </c>
      <c r="L15964" t="s">
        <v>1357</v>
      </c>
    </row>
    <row r="15965" spans="6:12">
      <c r="H15965" t="s">
        <v>24991</v>
      </c>
      <c r="I15965" t="s">
        <v>1357</v>
      </c>
      <c r="J15965" t="s">
        <v>1357</v>
      </c>
      <c r="K15965" t="s">
        <v>1357</v>
      </c>
      <c r="L15965" t="s">
        <v>1357</v>
      </c>
    </row>
    <row r="15966" spans="6:12">
      <c r="H15966" t="s">
        <v>24992</v>
      </c>
      <c r="I15966" t="s">
        <v>1357</v>
      </c>
      <c r="J15966" t="s">
        <v>1357</v>
      </c>
      <c r="K15966" t="s">
        <v>1357</v>
      </c>
      <c r="L15966" t="s">
        <v>1357</v>
      </c>
    </row>
    <row r="15967" spans="6:12">
      <c r="H15967" t="s">
        <v>24993</v>
      </c>
      <c r="I15967" t="s">
        <v>1357</v>
      </c>
      <c r="J15967" t="s">
        <v>1357</v>
      </c>
      <c r="K15967" t="s">
        <v>1357</v>
      </c>
      <c r="L15967" t="s">
        <v>1357</v>
      </c>
    </row>
    <row r="15968" spans="6:12">
      <c r="H15968" t="s">
        <v>24994</v>
      </c>
      <c r="I15968" t="s">
        <v>1357</v>
      </c>
      <c r="J15968" t="s">
        <v>1357</v>
      </c>
      <c r="K15968" t="s">
        <v>1357</v>
      </c>
      <c r="L15968" t="s">
        <v>1357</v>
      </c>
    </row>
    <row r="15969" spans="6:12">
      <c r="H15969" t="s">
        <v>24995</v>
      </c>
      <c r="I15969" t="s">
        <v>1357</v>
      </c>
      <c r="J15969" t="s">
        <v>1357</v>
      </c>
      <c r="K15969" t="s">
        <v>1357</v>
      </c>
      <c r="L15969" t="s">
        <v>1357</v>
      </c>
    </row>
    <row r="15970" spans="6:12">
      <c r="H15970" t="s">
        <v>24996</v>
      </c>
      <c r="I15970" t="s">
        <v>1357</v>
      </c>
      <c r="J15970" t="s">
        <v>1357</v>
      </c>
      <c r="K15970" t="s">
        <v>1357</v>
      </c>
      <c r="L15970" t="s">
        <v>1357</v>
      </c>
    </row>
    <row r="15971" spans="6:12">
      <c r="H15971" t="s">
        <v>24997</v>
      </c>
      <c r="I15971" t="s">
        <v>1357</v>
      </c>
      <c r="J15971" t="s">
        <v>1357</v>
      </c>
      <c r="K15971" t="s">
        <v>1357</v>
      </c>
      <c r="L15971" t="s">
        <v>1357</v>
      </c>
    </row>
    <row r="15972" spans="6:12">
      <c r="H15972" t="s">
        <v>24998</v>
      </c>
      <c r="I15972" t="s">
        <v>1357</v>
      </c>
      <c r="J15972" t="s">
        <v>1357</v>
      </c>
      <c r="K15972" t="s">
        <v>1357</v>
      </c>
      <c r="L15972" t="s">
        <v>1357</v>
      </c>
    </row>
    <row r="15973" spans="6:12">
      <c r="F15973" t="s">
        <v>16918</v>
      </c>
      <c r="G15973" t="s">
        <v>19529</v>
      </c>
      <c r="H15973" t="s">
        <v>24999</v>
      </c>
      <c r="I15973" t="s">
        <v>1357</v>
      </c>
      <c r="J15973" t="s">
        <v>1357</v>
      </c>
      <c r="K15973" t="s">
        <v>1357</v>
      </c>
      <c r="L15973" t="s">
        <v>1357</v>
      </c>
    </row>
    <row r="15974" spans="6:12">
      <c r="H15974" t="s">
        <v>25000</v>
      </c>
      <c r="I15974" t="s">
        <v>1357</v>
      </c>
      <c r="J15974" t="s">
        <v>1357</v>
      </c>
      <c r="K15974" t="s">
        <v>1357</v>
      </c>
      <c r="L15974" t="s">
        <v>1357</v>
      </c>
    </row>
    <row r="15975" spans="6:12">
      <c r="H15975" t="s">
        <v>25001</v>
      </c>
      <c r="I15975" t="s">
        <v>1357</v>
      </c>
      <c r="J15975" t="s">
        <v>1357</v>
      </c>
      <c r="K15975" t="s">
        <v>1357</v>
      </c>
      <c r="L15975" t="s">
        <v>1357</v>
      </c>
    </row>
    <row r="15976" spans="6:12">
      <c r="H15976" t="s">
        <v>25002</v>
      </c>
      <c r="I15976" t="s">
        <v>1357</v>
      </c>
      <c r="J15976" t="s">
        <v>1357</v>
      </c>
      <c r="K15976" t="s">
        <v>1357</v>
      </c>
      <c r="L15976" t="s">
        <v>1357</v>
      </c>
    </row>
    <row r="15977" spans="6:12">
      <c r="F15977" t="s">
        <v>16919</v>
      </c>
      <c r="G15977" t="s">
        <v>19530</v>
      </c>
      <c r="H15977" t="s">
        <v>25003</v>
      </c>
      <c r="I15977" t="s">
        <v>1357</v>
      </c>
      <c r="J15977" t="s">
        <v>1357</v>
      </c>
      <c r="K15977" t="s">
        <v>1357</v>
      </c>
      <c r="L15977" t="s">
        <v>1357</v>
      </c>
    </row>
    <row r="15978" spans="6:12">
      <c r="H15978" t="s">
        <v>25004</v>
      </c>
      <c r="I15978" t="s">
        <v>1357</v>
      </c>
      <c r="J15978" t="s">
        <v>1357</v>
      </c>
      <c r="K15978" t="s">
        <v>1357</v>
      </c>
      <c r="L15978" t="s">
        <v>1357</v>
      </c>
    </row>
    <row r="15979" spans="6:12">
      <c r="H15979" t="s">
        <v>25005</v>
      </c>
      <c r="I15979" t="s">
        <v>1357</v>
      </c>
      <c r="J15979" t="s">
        <v>1357</v>
      </c>
      <c r="K15979" t="s">
        <v>1357</v>
      </c>
      <c r="L15979" t="s">
        <v>1357</v>
      </c>
    </row>
    <row r="15980" spans="6:12">
      <c r="F15980" t="s">
        <v>16920</v>
      </c>
      <c r="G15980" t="s">
        <v>19531</v>
      </c>
      <c r="H15980" t="s">
        <v>25006</v>
      </c>
      <c r="I15980" t="s">
        <v>1357</v>
      </c>
      <c r="J15980" t="s">
        <v>1357</v>
      </c>
      <c r="K15980" t="s">
        <v>1357</v>
      </c>
      <c r="L15980" t="s">
        <v>1357</v>
      </c>
    </row>
    <row r="15981" spans="6:12">
      <c r="F15981" t="s">
        <v>16921</v>
      </c>
      <c r="G15981" t="s">
        <v>19532</v>
      </c>
      <c r="H15981" t="s">
        <v>25007</v>
      </c>
      <c r="I15981" t="s">
        <v>1357</v>
      </c>
      <c r="J15981" t="s">
        <v>1357</v>
      </c>
      <c r="K15981" t="s">
        <v>1357</v>
      </c>
      <c r="L15981" t="s">
        <v>1357</v>
      </c>
    </row>
    <row r="15982" spans="6:12">
      <c r="H15982" t="s">
        <v>25008</v>
      </c>
      <c r="I15982" t="s">
        <v>1357</v>
      </c>
      <c r="J15982" t="s">
        <v>1357</v>
      </c>
      <c r="K15982" t="s">
        <v>1357</v>
      </c>
      <c r="L15982" t="s">
        <v>1357</v>
      </c>
    </row>
    <row r="15983" spans="6:12">
      <c r="H15983" t="s">
        <v>25009</v>
      </c>
      <c r="I15983" t="s">
        <v>1357</v>
      </c>
      <c r="J15983" t="s">
        <v>1357</v>
      </c>
      <c r="K15983" t="s">
        <v>1357</v>
      </c>
      <c r="L15983" t="s">
        <v>1357</v>
      </c>
    </row>
    <row r="15984" spans="6:12">
      <c r="H15984" t="s">
        <v>25010</v>
      </c>
      <c r="I15984" t="s">
        <v>1357</v>
      </c>
      <c r="J15984" t="s">
        <v>1357</v>
      </c>
      <c r="K15984" t="s">
        <v>1357</v>
      </c>
      <c r="L15984" t="s">
        <v>1357</v>
      </c>
    </row>
    <row r="15985" spans="6:12">
      <c r="H15985" t="s">
        <v>25011</v>
      </c>
      <c r="I15985" t="s">
        <v>1357</v>
      </c>
      <c r="J15985" t="s">
        <v>1357</v>
      </c>
      <c r="K15985" t="s">
        <v>1357</v>
      </c>
      <c r="L15985" t="s">
        <v>1357</v>
      </c>
    </row>
    <row r="15986" spans="6:12">
      <c r="H15986" t="s">
        <v>25012</v>
      </c>
      <c r="I15986" t="s">
        <v>1357</v>
      </c>
      <c r="J15986" t="s">
        <v>1357</v>
      </c>
      <c r="K15986" t="s">
        <v>1357</v>
      </c>
      <c r="L15986" t="s">
        <v>1357</v>
      </c>
    </row>
    <row r="15987" spans="6:12">
      <c r="H15987" t="s">
        <v>25013</v>
      </c>
      <c r="I15987" t="s">
        <v>1357</v>
      </c>
      <c r="J15987" t="s">
        <v>1357</v>
      </c>
      <c r="K15987" t="s">
        <v>1357</v>
      </c>
      <c r="L15987" t="s">
        <v>1357</v>
      </c>
    </row>
    <row r="15988" spans="6:12">
      <c r="H15988" t="s">
        <v>25014</v>
      </c>
      <c r="I15988" t="s">
        <v>1357</v>
      </c>
      <c r="J15988" t="s">
        <v>1357</v>
      </c>
      <c r="K15988" t="s">
        <v>1357</v>
      </c>
      <c r="L15988" t="s">
        <v>1357</v>
      </c>
    </row>
    <row r="15989" spans="6:12">
      <c r="H15989" t="s">
        <v>25015</v>
      </c>
      <c r="I15989" t="s">
        <v>1357</v>
      </c>
      <c r="J15989" t="s">
        <v>1357</v>
      </c>
      <c r="K15989" t="s">
        <v>1357</v>
      </c>
      <c r="L15989" t="s">
        <v>1357</v>
      </c>
    </row>
    <row r="15990" spans="6:12">
      <c r="H15990" t="s">
        <v>25016</v>
      </c>
      <c r="I15990" t="s">
        <v>1357</v>
      </c>
      <c r="J15990" t="s">
        <v>1357</v>
      </c>
      <c r="K15990" t="s">
        <v>1357</v>
      </c>
      <c r="L15990" t="s">
        <v>1357</v>
      </c>
    </row>
    <row r="15991" spans="6:12">
      <c r="H15991" t="s">
        <v>25017</v>
      </c>
      <c r="I15991" t="s">
        <v>1357</v>
      </c>
      <c r="J15991" t="s">
        <v>1357</v>
      </c>
      <c r="K15991" t="s">
        <v>1357</v>
      </c>
      <c r="L15991" t="s">
        <v>1357</v>
      </c>
    </row>
    <row r="15992" spans="6:12">
      <c r="F15992" t="s">
        <v>14522</v>
      </c>
      <c r="G15992" t="s">
        <v>17367</v>
      </c>
      <c r="H15992" t="s">
        <v>25018</v>
      </c>
      <c r="I15992" t="s">
        <v>1357</v>
      </c>
      <c r="J15992" t="s">
        <v>1357</v>
      </c>
      <c r="K15992" t="s">
        <v>1357</v>
      </c>
      <c r="L15992" t="s">
        <v>1357</v>
      </c>
    </row>
    <row r="15993" spans="6:12">
      <c r="H15993" t="s">
        <v>21226</v>
      </c>
      <c r="I15993" t="s">
        <v>1357</v>
      </c>
      <c r="J15993" t="s">
        <v>1357</v>
      </c>
      <c r="K15993" t="s">
        <v>1357</v>
      </c>
      <c r="L15993" t="s">
        <v>1357</v>
      </c>
    </row>
    <row r="15994" spans="6:12">
      <c r="H15994" t="s">
        <v>25019</v>
      </c>
      <c r="I15994" t="s">
        <v>1357</v>
      </c>
      <c r="J15994" t="s">
        <v>1357</v>
      </c>
      <c r="K15994" t="s">
        <v>1357</v>
      </c>
      <c r="L15994" t="s">
        <v>1357</v>
      </c>
    </row>
    <row r="15995" spans="6:12">
      <c r="H15995" t="s">
        <v>25020</v>
      </c>
      <c r="I15995" t="s">
        <v>1357</v>
      </c>
      <c r="J15995" t="s">
        <v>1357</v>
      </c>
      <c r="K15995" t="s">
        <v>1357</v>
      </c>
      <c r="L15995" t="s">
        <v>1357</v>
      </c>
    </row>
    <row r="15996" spans="6:12">
      <c r="H15996" t="s">
        <v>25021</v>
      </c>
      <c r="I15996" t="s">
        <v>1357</v>
      </c>
      <c r="J15996" t="s">
        <v>1357</v>
      </c>
      <c r="K15996" t="s">
        <v>1357</v>
      </c>
      <c r="L15996" t="s">
        <v>1357</v>
      </c>
    </row>
    <row r="15997" spans="6:12">
      <c r="H15997" t="s">
        <v>25022</v>
      </c>
      <c r="I15997" t="s">
        <v>1357</v>
      </c>
      <c r="J15997" t="s">
        <v>1357</v>
      </c>
      <c r="K15997" t="s">
        <v>1357</v>
      </c>
      <c r="L15997" t="s">
        <v>1357</v>
      </c>
    </row>
    <row r="15998" spans="6:12">
      <c r="H15998" t="s">
        <v>25023</v>
      </c>
      <c r="I15998" t="s">
        <v>1357</v>
      </c>
      <c r="J15998" t="s">
        <v>1357</v>
      </c>
      <c r="K15998" t="s">
        <v>1357</v>
      </c>
      <c r="L15998" t="s">
        <v>1357</v>
      </c>
    </row>
    <row r="15999" spans="6:12">
      <c r="H15999" t="s">
        <v>25024</v>
      </c>
      <c r="I15999" t="s">
        <v>1357</v>
      </c>
      <c r="J15999" t="s">
        <v>1357</v>
      </c>
      <c r="K15999" t="s">
        <v>1357</v>
      </c>
      <c r="L15999" t="s">
        <v>1357</v>
      </c>
    </row>
    <row r="16000" spans="6:12">
      <c r="H16000" t="s">
        <v>25025</v>
      </c>
      <c r="I16000" t="s">
        <v>1357</v>
      </c>
      <c r="J16000" t="s">
        <v>1357</v>
      </c>
      <c r="K16000" t="s">
        <v>1357</v>
      </c>
      <c r="L16000" t="s">
        <v>1357</v>
      </c>
    </row>
    <row r="16001" spans="8:12">
      <c r="H16001" t="s">
        <v>21921</v>
      </c>
      <c r="I16001" t="s">
        <v>1357</v>
      </c>
      <c r="J16001" t="s">
        <v>1357</v>
      </c>
      <c r="K16001" t="s">
        <v>1357</v>
      </c>
      <c r="L16001" t="s">
        <v>1357</v>
      </c>
    </row>
    <row r="16002" spans="8:12">
      <c r="H16002" t="s">
        <v>5894</v>
      </c>
      <c r="I16002" t="s">
        <v>1357</v>
      </c>
      <c r="J16002" t="s">
        <v>1357</v>
      </c>
      <c r="K16002" t="s">
        <v>1357</v>
      </c>
      <c r="L16002" t="s">
        <v>1357</v>
      </c>
    </row>
    <row r="16003" spans="8:12">
      <c r="H16003" t="s">
        <v>25026</v>
      </c>
      <c r="I16003" t="s">
        <v>1357</v>
      </c>
      <c r="J16003" t="s">
        <v>1357</v>
      </c>
      <c r="K16003" t="s">
        <v>1357</v>
      </c>
      <c r="L16003" t="s">
        <v>1357</v>
      </c>
    </row>
    <row r="16004" spans="8:12">
      <c r="H16004" t="s">
        <v>25027</v>
      </c>
      <c r="I16004" t="s">
        <v>1357</v>
      </c>
      <c r="J16004" t="s">
        <v>1357</v>
      </c>
      <c r="K16004" t="s">
        <v>1357</v>
      </c>
      <c r="L16004" t="s">
        <v>1357</v>
      </c>
    </row>
    <row r="16005" spans="8:12">
      <c r="H16005" t="s">
        <v>25028</v>
      </c>
      <c r="I16005" t="s">
        <v>1357</v>
      </c>
      <c r="J16005" t="s">
        <v>1357</v>
      </c>
      <c r="K16005" t="s">
        <v>1357</v>
      </c>
      <c r="L16005" t="s">
        <v>1357</v>
      </c>
    </row>
    <row r="16006" spans="8:12">
      <c r="H16006" t="s">
        <v>25029</v>
      </c>
      <c r="I16006" t="s">
        <v>1357</v>
      </c>
      <c r="J16006" t="s">
        <v>1357</v>
      </c>
      <c r="K16006" t="s">
        <v>1357</v>
      </c>
      <c r="L16006" t="s">
        <v>1357</v>
      </c>
    </row>
    <row r="16007" spans="8:12">
      <c r="H16007" t="s">
        <v>25030</v>
      </c>
      <c r="I16007" t="s">
        <v>1357</v>
      </c>
      <c r="J16007" t="s">
        <v>1357</v>
      </c>
      <c r="K16007" t="s">
        <v>1357</v>
      </c>
      <c r="L16007" t="s">
        <v>1357</v>
      </c>
    </row>
    <row r="16008" spans="8:12">
      <c r="H16008" t="s">
        <v>25031</v>
      </c>
      <c r="I16008" t="s">
        <v>1357</v>
      </c>
      <c r="J16008" t="s">
        <v>1357</v>
      </c>
      <c r="K16008" t="s">
        <v>1357</v>
      </c>
      <c r="L16008" t="s">
        <v>1357</v>
      </c>
    </row>
    <row r="16009" spans="8:12">
      <c r="H16009" t="s">
        <v>25032</v>
      </c>
      <c r="I16009" t="s">
        <v>1357</v>
      </c>
      <c r="J16009" t="s">
        <v>1357</v>
      </c>
      <c r="K16009" t="s">
        <v>1357</v>
      </c>
      <c r="L16009" t="s">
        <v>1357</v>
      </c>
    </row>
    <row r="16010" spans="8:12">
      <c r="H16010" t="s">
        <v>25033</v>
      </c>
      <c r="I16010" t="s">
        <v>1357</v>
      </c>
      <c r="J16010" t="s">
        <v>1357</v>
      </c>
      <c r="K16010" t="s">
        <v>1357</v>
      </c>
      <c r="L16010" t="s">
        <v>1357</v>
      </c>
    </row>
    <row r="16011" spans="8:12">
      <c r="H16011" t="s">
        <v>25034</v>
      </c>
      <c r="I16011" t="s">
        <v>1357</v>
      </c>
      <c r="J16011" t="s">
        <v>1357</v>
      </c>
      <c r="K16011" t="s">
        <v>1357</v>
      </c>
      <c r="L16011" t="s">
        <v>1357</v>
      </c>
    </row>
    <row r="16012" spans="8:12">
      <c r="H16012" t="s">
        <v>25035</v>
      </c>
      <c r="I16012" t="s">
        <v>1357</v>
      </c>
      <c r="J16012" t="s">
        <v>1357</v>
      </c>
      <c r="K16012" t="s">
        <v>1357</v>
      </c>
      <c r="L16012" t="s">
        <v>1357</v>
      </c>
    </row>
    <row r="16013" spans="8:12">
      <c r="H16013" t="s">
        <v>25036</v>
      </c>
      <c r="I16013" t="s">
        <v>1357</v>
      </c>
      <c r="J16013" t="s">
        <v>1357</v>
      </c>
      <c r="K16013" t="s">
        <v>1357</v>
      </c>
      <c r="L16013" t="s">
        <v>1357</v>
      </c>
    </row>
    <row r="16014" spans="8:12">
      <c r="H16014" t="s">
        <v>25037</v>
      </c>
      <c r="I16014" t="s">
        <v>1357</v>
      </c>
      <c r="J16014" t="s">
        <v>1357</v>
      </c>
      <c r="K16014" t="s">
        <v>1357</v>
      </c>
      <c r="L16014" t="s">
        <v>1357</v>
      </c>
    </row>
    <row r="16015" spans="8:12">
      <c r="H16015" t="s">
        <v>25038</v>
      </c>
      <c r="I16015" t="s">
        <v>1357</v>
      </c>
      <c r="J16015" t="s">
        <v>1357</v>
      </c>
      <c r="K16015" t="s">
        <v>1357</v>
      </c>
      <c r="L16015" t="s">
        <v>1357</v>
      </c>
    </row>
    <row r="16016" spans="8:12">
      <c r="H16016" t="s">
        <v>25039</v>
      </c>
      <c r="I16016" t="s">
        <v>1357</v>
      </c>
      <c r="J16016" t="s">
        <v>1357</v>
      </c>
      <c r="K16016" t="s">
        <v>1357</v>
      </c>
      <c r="L16016" t="s">
        <v>1357</v>
      </c>
    </row>
    <row r="16017" spans="6:12">
      <c r="H16017" t="s">
        <v>25040</v>
      </c>
      <c r="I16017" t="s">
        <v>1357</v>
      </c>
      <c r="J16017" t="s">
        <v>1357</v>
      </c>
      <c r="K16017" t="s">
        <v>1357</v>
      </c>
      <c r="L16017" t="s">
        <v>1357</v>
      </c>
    </row>
    <row r="16018" spans="6:12">
      <c r="F16018" t="s">
        <v>16922</v>
      </c>
      <c r="G16018" t="s">
        <v>19533</v>
      </c>
      <c r="H16018" t="s">
        <v>25041</v>
      </c>
      <c r="I16018" t="s">
        <v>1357</v>
      </c>
      <c r="J16018" t="s">
        <v>1357</v>
      </c>
      <c r="K16018" t="s">
        <v>1357</v>
      </c>
      <c r="L16018" t="s">
        <v>1357</v>
      </c>
    </row>
    <row r="16019" spans="6:12">
      <c r="F16019" t="s">
        <v>16665</v>
      </c>
      <c r="G16019" t="s">
        <v>19299</v>
      </c>
      <c r="H16019" t="s">
        <v>25042</v>
      </c>
      <c r="I16019" t="s">
        <v>1357</v>
      </c>
      <c r="J16019" t="s">
        <v>1357</v>
      </c>
      <c r="K16019" t="s">
        <v>1357</v>
      </c>
      <c r="L16019" t="s">
        <v>1357</v>
      </c>
    </row>
    <row r="16020" spans="6:12">
      <c r="H16020" t="s">
        <v>25043</v>
      </c>
      <c r="I16020" t="s">
        <v>1357</v>
      </c>
      <c r="J16020" t="s">
        <v>1357</v>
      </c>
      <c r="K16020" t="s">
        <v>1357</v>
      </c>
      <c r="L16020" t="s">
        <v>1357</v>
      </c>
    </row>
    <row r="16021" spans="6:12">
      <c r="H16021" t="s">
        <v>25044</v>
      </c>
      <c r="I16021" t="s">
        <v>1357</v>
      </c>
      <c r="J16021" t="s">
        <v>1357</v>
      </c>
      <c r="K16021" t="s">
        <v>1357</v>
      </c>
      <c r="L16021" t="s">
        <v>1357</v>
      </c>
    </row>
    <row r="16022" spans="6:12">
      <c r="H16022" t="s">
        <v>25045</v>
      </c>
      <c r="I16022" t="s">
        <v>1357</v>
      </c>
      <c r="J16022" t="s">
        <v>1357</v>
      </c>
      <c r="K16022" t="s">
        <v>1357</v>
      </c>
      <c r="L16022" t="s">
        <v>1357</v>
      </c>
    </row>
    <row r="16023" spans="6:12">
      <c r="H16023" t="s">
        <v>25046</v>
      </c>
      <c r="I16023" t="s">
        <v>1357</v>
      </c>
      <c r="J16023" t="s">
        <v>1357</v>
      </c>
      <c r="K16023" t="s">
        <v>1357</v>
      </c>
      <c r="L16023" t="s">
        <v>1357</v>
      </c>
    </row>
    <row r="16024" spans="6:12">
      <c r="H16024" t="s">
        <v>25047</v>
      </c>
      <c r="I16024" t="s">
        <v>1357</v>
      </c>
      <c r="J16024" t="s">
        <v>1357</v>
      </c>
      <c r="K16024" t="s">
        <v>1357</v>
      </c>
      <c r="L16024" t="s">
        <v>1357</v>
      </c>
    </row>
    <row r="16025" spans="6:12">
      <c r="H16025" t="s">
        <v>25048</v>
      </c>
      <c r="I16025" t="s">
        <v>1357</v>
      </c>
      <c r="J16025" t="s">
        <v>1357</v>
      </c>
      <c r="K16025" t="s">
        <v>1357</v>
      </c>
      <c r="L16025" t="s">
        <v>1357</v>
      </c>
    </row>
    <row r="16026" spans="6:12">
      <c r="H16026" t="s">
        <v>25049</v>
      </c>
      <c r="I16026" t="s">
        <v>1357</v>
      </c>
      <c r="J16026" t="s">
        <v>1357</v>
      </c>
      <c r="K16026" t="s">
        <v>1357</v>
      </c>
      <c r="L16026" t="s">
        <v>1357</v>
      </c>
    </row>
    <row r="16027" spans="6:12">
      <c r="H16027" t="s">
        <v>25050</v>
      </c>
      <c r="I16027" t="s">
        <v>1357</v>
      </c>
      <c r="J16027" t="s">
        <v>1357</v>
      </c>
      <c r="K16027" t="s">
        <v>1357</v>
      </c>
      <c r="L16027" t="s">
        <v>1357</v>
      </c>
    </row>
    <row r="16028" spans="6:12">
      <c r="H16028" t="s">
        <v>25051</v>
      </c>
      <c r="I16028" t="s">
        <v>1357</v>
      </c>
      <c r="J16028" t="s">
        <v>1357</v>
      </c>
      <c r="K16028" t="s">
        <v>1357</v>
      </c>
      <c r="L16028" t="s">
        <v>1357</v>
      </c>
    </row>
    <row r="16029" spans="6:12">
      <c r="H16029" t="s">
        <v>25052</v>
      </c>
      <c r="I16029" t="s">
        <v>1357</v>
      </c>
      <c r="J16029" t="s">
        <v>1357</v>
      </c>
      <c r="K16029" t="s">
        <v>1357</v>
      </c>
      <c r="L16029" t="s">
        <v>1357</v>
      </c>
    </row>
    <row r="16030" spans="6:12">
      <c r="H16030" t="s">
        <v>25053</v>
      </c>
      <c r="I16030" t="s">
        <v>1357</v>
      </c>
      <c r="J16030" t="s">
        <v>1357</v>
      </c>
      <c r="K16030" t="s">
        <v>1357</v>
      </c>
      <c r="L16030" t="s">
        <v>1357</v>
      </c>
    </row>
    <row r="16031" spans="6:12">
      <c r="H16031" t="s">
        <v>25054</v>
      </c>
      <c r="I16031" t="s">
        <v>1357</v>
      </c>
      <c r="J16031" t="s">
        <v>1357</v>
      </c>
      <c r="K16031" t="s">
        <v>1357</v>
      </c>
      <c r="L16031" t="s">
        <v>1357</v>
      </c>
    </row>
    <row r="16032" spans="6:12">
      <c r="H16032" t="s">
        <v>25055</v>
      </c>
      <c r="I16032" t="s">
        <v>1357</v>
      </c>
      <c r="J16032" t="s">
        <v>1357</v>
      </c>
      <c r="K16032" t="s">
        <v>1357</v>
      </c>
      <c r="L16032" t="s">
        <v>1357</v>
      </c>
    </row>
    <row r="16033" spans="6:12">
      <c r="H16033" t="s">
        <v>25056</v>
      </c>
      <c r="I16033" t="s">
        <v>1357</v>
      </c>
      <c r="J16033" t="s">
        <v>1357</v>
      </c>
      <c r="K16033" t="s">
        <v>1357</v>
      </c>
      <c r="L16033" t="s">
        <v>1357</v>
      </c>
    </row>
    <row r="16034" spans="6:12">
      <c r="H16034" t="s">
        <v>25057</v>
      </c>
      <c r="I16034" t="s">
        <v>1357</v>
      </c>
      <c r="J16034" t="s">
        <v>1357</v>
      </c>
      <c r="K16034" t="s">
        <v>1357</v>
      </c>
      <c r="L16034" t="s">
        <v>1357</v>
      </c>
    </row>
    <row r="16035" spans="6:12">
      <c r="H16035" t="s">
        <v>25058</v>
      </c>
      <c r="I16035" t="s">
        <v>1357</v>
      </c>
      <c r="J16035" t="s">
        <v>1357</v>
      </c>
      <c r="K16035" t="s">
        <v>1357</v>
      </c>
      <c r="L16035" t="s">
        <v>1357</v>
      </c>
    </row>
    <row r="16036" spans="6:12">
      <c r="H16036" t="s">
        <v>25059</v>
      </c>
      <c r="I16036" t="s">
        <v>1357</v>
      </c>
      <c r="J16036" t="s">
        <v>1357</v>
      </c>
      <c r="K16036" t="s">
        <v>1357</v>
      </c>
      <c r="L16036" t="s">
        <v>1357</v>
      </c>
    </row>
    <row r="16037" spans="6:12">
      <c r="H16037" t="s">
        <v>25060</v>
      </c>
      <c r="I16037" t="s">
        <v>1357</v>
      </c>
      <c r="J16037" t="s">
        <v>1357</v>
      </c>
      <c r="K16037" t="s">
        <v>1357</v>
      </c>
      <c r="L16037" t="s">
        <v>1357</v>
      </c>
    </row>
    <row r="16038" spans="6:12">
      <c r="H16038" t="s">
        <v>25061</v>
      </c>
      <c r="I16038" t="s">
        <v>1357</v>
      </c>
      <c r="J16038" t="s">
        <v>1357</v>
      </c>
      <c r="K16038" t="s">
        <v>1357</v>
      </c>
      <c r="L16038" t="s">
        <v>1357</v>
      </c>
    </row>
    <row r="16039" spans="6:12">
      <c r="H16039" t="s">
        <v>25062</v>
      </c>
      <c r="I16039" t="s">
        <v>1357</v>
      </c>
      <c r="J16039" t="s">
        <v>1357</v>
      </c>
      <c r="K16039" t="s">
        <v>1357</v>
      </c>
      <c r="L16039" t="s">
        <v>1357</v>
      </c>
    </row>
    <row r="16040" spans="6:12">
      <c r="H16040" t="s">
        <v>25063</v>
      </c>
      <c r="I16040" t="s">
        <v>1357</v>
      </c>
      <c r="J16040" t="s">
        <v>1357</v>
      </c>
      <c r="K16040" t="s">
        <v>1357</v>
      </c>
      <c r="L16040" t="s">
        <v>1357</v>
      </c>
    </row>
    <row r="16041" spans="6:12">
      <c r="H16041" t="s">
        <v>25064</v>
      </c>
      <c r="I16041" t="s">
        <v>1357</v>
      </c>
      <c r="J16041" t="s">
        <v>1357</v>
      </c>
      <c r="K16041" t="s">
        <v>1357</v>
      </c>
      <c r="L16041" t="s">
        <v>1357</v>
      </c>
    </row>
    <row r="16042" spans="6:12">
      <c r="F16042" t="s">
        <v>15910</v>
      </c>
      <c r="G16042" t="s">
        <v>18611</v>
      </c>
      <c r="H16042" t="s">
        <v>20545</v>
      </c>
      <c r="I16042" t="s">
        <v>1357</v>
      </c>
      <c r="J16042" t="s">
        <v>1357</v>
      </c>
      <c r="K16042" t="s">
        <v>1357</v>
      </c>
      <c r="L16042" t="s">
        <v>1357</v>
      </c>
    </row>
    <row r="16043" spans="6:12">
      <c r="F16043" t="s">
        <v>16923</v>
      </c>
      <c r="G16043" t="s">
        <v>19534</v>
      </c>
      <c r="H16043" t="s">
        <v>25065</v>
      </c>
      <c r="I16043" t="s">
        <v>1357</v>
      </c>
      <c r="J16043" t="s">
        <v>1357</v>
      </c>
      <c r="K16043" t="s">
        <v>1357</v>
      </c>
      <c r="L16043" t="s">
        <v>1357</v>
      </c>
    </row>
    <row r="16044" spans="6:12">
      <c r="H16044" t="s">
        <v>25066</v>
      </c>
      <c r="I16044" t="s">
        <v>1357</v>
      </c>
      <c r="J16044" t="s">
        <v>1357</v>
      </c>
      <c r="K16044" t="s">
        <v>1357</v>
      </c>
      <c r="L16044" t="s">
        <v>1357</v>
      </c>
    </row>
    <row r="16045" spans="6:12">
      <c r="H16045" t="s">
        <v>25067</v>
      </c>
      <c r="I16045" t="s">
        <v>1357</v>
      </c>
      <c r="J16045" t="s">
        <v>1357</v>
      </c>
      <c r="K16045" t="s">
        <v>1357</v>
      </c>
      <c r="L16045" t="s">
        <v>1357</v>
      </c>
    </row>
    <row r="16046" spans="6:12">
      <c r="H16046" t="s">
        <v>25068</v>
      </c>
      <c r="I16046" t="s">
        <v>1357</v>
      </c>
      <c r="J16046" t="s">
        <v>1357</v>
      </c>
      <c r="K16046" t="s">
        <v>1357</v>
      </c>
      <c r="L16046" t="s">
        <v>1357</v>
      </c>
    </row>
    <row r="16047" spans="6:12">
      <c r="H16047" t="s">
        <v>25069</v>
      </c>
      <c r="I16047" t="s">
        <v>1357</v>
      </c>
      <c r="J16047" t="s">
        <v>1357</v>
      </c>
      <c r="K16047" t="s">
        <v>1357</v>
      </c>
      <c r="L16047" t="s">
        <v>1357</v>
      </c>
    </row>
    <row r="16048" spans="6:12">
      <c r="H16048" t="s">
        <v>25070</v>
      </c>
      <c r="I16048" t="s">
        <v>1357</v>
      </c>
      <c r="J16048" t="s">
        <v>1357</v>
      </c>
      <c r="K16048" t="s">
        <v>1357</v>
      </c>
      <c r="L16048" t="s">
        <v>1357</v>
      </c>
    </row>
    <row r="16049" spans="6:12">
      <c r="H16049" t="s">
        <v>25071</v>
      </c>
      <c r="I16049" t="s">
        <v>1357</v>
      </c>
      <c r="J16049" t="s">
        <v>1357</v>
      </c>
      <c r="K16049" t="s">
        <v>1357</v>
      </c>
      <c r="L16049" t="s">
        <v>1357</v>
      </c>
    </row>
    <row r="16050" spans="6:12">
      <c r="H16050" t="s">
        <v>25072</v>
      </c>
      <c r="I16050" t="s">
        <v>1357</v>
      </c>
      <c r="J16050" t="s">
        <v>1357</v>
      </c>
      <c r="K16050" t="s">
        <v>1357</v>
      </c>
      <c r="L16050" t="s">
        <v>1357</v>
      </c>
    </row>
    <row r="16051" spans="6:12">
      <c r="H16051" t="s">
        <v>25073</v>
      </c>
      <c r="I16051" t="s">
        <v>1357</v>
      </c>
      <c r="J16051" t="s">
        <v>1357</v>
      </c>
      <c r="K16051" t="s">
        <v>1357</v>
      </c>
      <c r="L16051" t="s">
        <v>1357</v>
      </c>
    </row>
    <row r="16052" spans="6:12">
      <c r="H16052" t="s">
        <v>25074</v>
      </c>
      <c r="I16052" t="s">
        <v>1357</v>
      </c>
      <c r="J16052" t="s">
        <v>1357</v>
      </c>
      <c r="K16052" t="s">
        <v>1357</v>
      </c>
      <c r="L16052" t="s">
        <v>1357</v>
      </c>
    </row>
    <row r="16053" spans="6:12">
      <c r="H16053" t="s">
        <v>25075</v>
      </c>
      <c r="I16053" t="s">
        <v>1357</v>
      </c>
      <c r="J16053" t="s">
        <v>1357</v>
      </c>
      <c r="K16053" t="s">
        <v>1357</v>
      </c>
      <c r="L16053" t="s">
        <v>1357</v>
      </c>
    </row>
    <row r="16054" spans="6:12">
      <c r="F16054" t="s">
        <v>16924</v>
      </c>
      <c r="G16054" t="s">
        <v>19535</v>
      </c>
      <c r="H16054" t="s">
        <v>25076</v>
      </c>
      <c r="I16054" t="s">
        <v>1357</v>
      </c>
      <c r="J16054" t="s">
        <v>1357</v>
      </c>
      <c r="K16054" t="s">
        <v>1357</v>
      </c>
      <c r="L16054" t="s">
        <v>1357</v>
      </c>
    </row>
    <row r="16055" spans="6:12">
      <c r="H16055" t="s">
        <v>25077</v>
      </c>
      <c r="I16055" t="s">
        <v>1357</v>
      </c>
      <c r="J16055" t="s">
        <v>1357</v>
      </c>
      <c r="K16055" t="s">
        <v>1357</v>
      </c>
      <c r="L16055" t="s">
        <v>1357</v>
      </c>
    </row>
    <row r="16056" spans="6:12">
      <c r="H16056" t="s">
        <v>25078</v>
      </c>
      <c r="I16056" t="s">
        <v>1357</v>
      </c>
      <c r="J16056" t="s">
        <v>1357</v>
      </c>
      <c r="K16056" t="s">
        <v>1357</v>
      </c>
      <c r="L16056" t="s">
        <v>1357</v>
      </c>
    </row>
    <row r="16057" spans="6:12">
      <c r="H16057" t="s">
        <v>25079</v>
      </c>
      <c r="I16057" t="s">
        <v>1357</v>
      </c>
      <c r="J16057" t="s">
        <v>1357</v>
      </c>
      <c r="K16057" t="s">
        <v>1357</v>
      </c>
      <c r="L16057" t="s">
        <v>1357</v>
      </c>
    </row>
    <row r="16058" spans="6:12">
      <c r="H16058" t="s">
        <v>25080</v>
      </c>
      <c r="I16058" t="s">
        <v>1357</v>
      </c>
      <c r="J16058" t="s">
        <v>1357</v>
      </c>
      <c r="K16058" t="s">
        <v>1357</v>
      </c>
      <c r="L16058" t="s">
        <v>1357</v>
      </c>
    </row>
    <row r="16059" spans="6:12">
      <c r="H16059" t="s">
        <v>25081</v>
      </c>
      <c r="I16059" t="s">
        <v>1357</v>
      </c>
      <c r="J16059" t="s">
        <v>1357</v>
      </c>
      <c r="K16059" t="s">
        <v>1357</v>
      </c>
      <c r="L16059" t="s">
        <v>1357</v>
      </c>
    </row>
    <row r="16060" spans="6:12">
      <c r="F16060" t="s">
        <v>16925</v>
      </c>
      <c r="G16060" t="s">
        <v>19536</v>
      </c>
      <c r="H16060" t="s">
        <v>795</v>
      </c>
      <c r="I16060" t="s">
        <v>1357</v>
      </c>
      <c r="J16060" t="s">
        <v>1357</v>
      </c>
      <c r="K16060" t="s">
        <v>1357</v>
      </c>
      <c r="L16060" t="s">
        <v>1357</v>
      </c>
    </row>
    <row r="16061" spans="6:12">
      <c r="H16061" t="s">
        <v>25082</v>
      </c>
      <c r="I16061" t="s">
        <v>1357</v>
      </c>
      <c r="J16061" t="s">
        <v>1357</v>
      </c>
      <c r="K16061" t="s">
        <v>1357</v>
      </c>
      <c r="L16061" t="s">
        <v>1357</v>
      </c>
    </row>
    <row r="16062" spans="6:12">
      <c r="F16062" t="s">
        <v>16926</v>
      </c>
      <c r="G16062" t="s">
        <v>19537</v>
      </c>
      <c r="H16062" t="s">
        <v>25083</v>
      </c>
      <c r="I16062" t="s">
        <v>1357</v>
      </c>
      <c r="J16062" t="s">
        <v>1357</v>
      </c>
      <c r="K16062" t="s">
        <v>1357</v>
      </c>
      <c r="L16062" t="s">
        <v>1357</v>
      </c>
    </row>
    <row r="16063" spans="6:12">
      <c r="H16063" t="s">
        <v>25084</v>
      </c>
      <c r="I16063" t="s">
        <v>1357</v>
      </c>
      <c r="J16063" t="s">
        <v>1357</v>
      </c>
      <c r="K16063" t="s">
        <v>1357</v>
      </c>
      <c r="L16063" t="s">
        <v>1357</v>
      </c>
    </row>
    <row r="16064" spans="6:12">
      <c r="H16064" t="s">
        <v>25085</v>
      </c>
      <c r="I16064" t="s">
        <v>1357</v>
      </c>
      <c r="J16064" t="s">
        <v>1357</v>
      </c>
      <c r="K16064" t="s">
        <v>1357</v>
      </c>
      <c r="L16064" t="s">
        <v>1357</v>
      </c>
    </row>
    <row r="16065" spans="6:12">
      <c r="H16065" t="s">
        <v>25086</v>
      </c>
      <c r="I16065" t="s">
        <v>1357</v>
      </c>
      <c r="J16065" t="s">
        <v>1357</v>
      </c>
      <c r="K16065" t="s">
        <v>1357</v>
      </c>
      <c r="L16065" t="s">
        <v>1357</v>
      </c>
    </row>
    <row r="16066" spans="6:12">
      <c r="H16066" t="s">
        <v>25087</v>
      </c>
      <c r="I16066" t="s">
        <v>1357</v>
      </c>
      <c r="J16066" t="s">
        <v>1357</v>
      </c>
      <c r="K16066" t="s">
        <v>1357</v>
      </c>
      <c r="L16066" t="s">
        <v>1357</v>
      </c>
    </row>
    <row r="16067" spans="6:12">
      <c r="H16067" t="s">
        <v>25088</v>
      </c>
      <c r="I16067" t="s">
        <v>1357</v>
      </c>
      <c r="J16067" t="s">
        <v>1357</v>
      </c>
      <c r="K16067" t="s">
        <v>1357</v>
      </c>
      <c r="L16067" t="s">
        <v>1357</v>
      </c>
    </row>
    <row r="16068" spans="6:12">
      <c r="F16068" t="s">
        <v>16396</v>
      </c>
      <c r="G16068" t="s">
        <v>19062</v>
      </c>
      <c r="H16068" t="s">
        <v>22882</v>
      </c>
      <c r="I16068" t="s">
        <v>1357</v>
      </c>
      <c r="J16068" t="s">
        <v>1357</v>
      </c>
      <c r="K16068" t="s">
        <v>1357</v>
      </c>
      <c r="L16068" t="s">
        <v>1357</v>
      </c>
    </row>
    <row r="16069" spans="6:12">
      <c r="H16069" t="s">
        <v>22883</v>
      </c>
      <c r="I16069" t="s">
        <v>1357</v>
      </c>
      <c r="J16069" t="s">
        <v>1357</v>
      </c>
      <c r="K16069" t="s">
        <v>1357</v>
      </c>
      <c r="L16069" t="s">
        <v>1357</v>
      </c>
    </row>
    <row r="16070" spans="6:12">
      <c r="H16070" t="s">
        <v>25089</v>
      </c>
      <c r="I16070" t="s">
        <v>1357</v>
      </c>
      <c r="J16070" t="s">
        <v>1357</v>
      </c>
      <c r="K16070" t="s">
        <v>1357</v>
      </c>
      <c r="L16070" t="s">
        <v>1357</v>
      </c>
    </row>
    <row r="16071" spans="6:12">
      <c r="H16071" t="s">
        <v>25090</v>
      </c>
      <c r="I16071" t="s">
        <v>1357</v>
      </c>
      <c r="J16071" t="s">
        <v>1357</v>
      </c>
      <c r="K16071" t="s">
        <v>1357</v>
      </c>
      <c r="L16071" t="s">
        <v>1357</v>
      </c>
    </row>
    <row r="16072" spans="6:12">
      <c r="H16072" t="s">
        <v>25091</v>
      </c>
      <c r="I16072" t="s">
        <v>1357</v>
      </c>
      <c r="J16072" t="s">
        <v>1357</v>
      </c>
      <c r="K16072" t="s">
        <v>1357</v>
      </c>
      <c r="L16072" t="s">
        <v>1357</v>
      </c>
    </row>
    <row r="16073" spans="6:12">
      <c r="H16073" t="s">
        <v>25092</v>
      </c>
      <c r="I16073" t="s">
        <v>1357</v>
      </c>
      <c r="J16073" t="s">
        <v>1357</v>
      </c>
      <c r="K16073" t="s">
        <v>1357</v>
      </c>
      <c r="L16073" t="s">
        <v>1357</v>
      </c>
    </row>
    <row r="16074" spans="6:12">
      <c r="H16074" t="s">
        <v>25093</v>
      </c>
      <c r="I16074" t="s">
        <v>1357</v>
      </c>
      <c r="J16074" t="s">
        <v>1357</v>
      </c>
      <c r="K16074" t="s">
        <v>1357</v>
      </c>
      <c r="L16074" t="s">
        <v>1357</v>
      </c>
    </row>
    <row r="16075" spans="6:12">
      <c r="H16075" t="s">
        <v>25094</v>
      </c>
      <c r="I16075" t="s">
        <v>1357</v>
      </c>
      <c r="J16075" t="s">
        <v>1357</v>
      </c>
      <c r="K16075" t="s">
        <v>1357</v>
      </c>
      <c r="L16075" t="s">
        <v>1357</v>
      </c>
    </row>
    <row r="16076" spans="6:12">
      <c r="H16076" t="s">
        <v>25095</v>
      </c>
      <c r="I16076" t="s">
        <v>1357</v>
      </c>
      <c r="J16076" t="s">
        <v>1357</v>
      </c>
      <c r="K16076" t="s">
        <v>1357</v>
      </c>
      <c r="L16076" t="s">
        <v>1357</v>
      </c>
    </row>
    <row r="16077" spans="6:12">
      <c r="H16077" t="s">
        <v>25096</v>
      </c>
      <c r="I16077" t="s">
        <v>1357</v>
      </c>
      <c r="J16077" t="s">
        <v>1357</v>
      </c>
      <c r="K16077" t="s">
        <v>1357</v>
      </c>
      <c r="L16077" t="s">
        <v>1357</v>
      </c>
    </row>
    <row r="16078" spans="6:12">
      <c r="H16078" t="s">
        <v>25097</v>
      </c>
      <c r="I16078" t="s">
        <v>1357</v>
      </c>
      <c r="J16078" t="s">
        <v>1357</v>
      </c>
      <c r="K16078" t="s">
        <v>1357</v>
      </c>
      <c r="L16078" t="s">
        <v>1357</v>
      </c>
    </row>
    <row r="16079" spans="6:12">
      <c r="H16079" t="s">
        <v>25098</v>
      </c>
      <c r="I16079" t="s">
        <v>1357</v>
      </c>
      <c r="J16079" t="s">
        <v>1357</v>
      </c>
      <c r="K16079" t="s">
        <v>1357</v>
      </c>
      <c r="L16079" t="s">
        <v>1357</v>
      </c>
    </row>
    <row r="16080" spans="6:12">
      <c r="H16080" t="s">
        <v>25099</v>
      </c>
      <c r="I16080" t="s">
        <v>1357</v>
      </c>
      <c r="J16080" t="s">
        <v>1357</v>
      </c>
      <c r="K16080" t="s">
        <v>1357</v>
      </c>
      <c r="L16080" t="s">
        <v>1357</v>
      </c>
    </row>
    <row r="16081" spans="8:12">
      <c r="H16081" t="s">
        <v>25100</v>
      </c>
      <c r="I16081" t="s">
        <v>1357</v>
      </c>
      <c r="J16081" t="s">
        <v>1357</v>
      </c>
      <c r="K16081" t="s">
        <v>1357</v>
      </c>
      <c r="L16081" t="s">
        <v>1357</v>
      </c>
    </row>
    <row r="16082" spans="8:12">
      <c r="H16082" t="s">
        <v>25101</v>
      </c>
      <c r="I16082" t="s">
        <v>1357</v>
      </c>
      <c r="J16082" t="s">
        <v>1357</v>
      </c>
      <c r="K16082" t="s">
        <v>1357</v>
      </c>
      <c r="L16082" t="s">
        <v>1357</v>
      </c>
    </row>
    <row r="16083" spans="8:12">
      <c r="H16083" t="s">
        <v>25102</v>
      </c>
      <c r="I16083" t="s">
        <v>1357</v>
      </c>
      <c r="J16083" t="s">
        <v>1357</v>
      </c>
      <c r="K16083" t="s">
        <v>1357</v>
      </c>
      <c r="L16083" t="s">
        <v>1357</v>
      </c>
    </row>
    <row r="16084" spans="8:12">
      <c r="H16084" t="s">
        <v>25103</v>
      </c>
      <c r="I16084" t="s">
        <v>1357</v>
      </c>
      <c r="J16084" t="s">
        <v>1357</v>
      </c>
      <c r="K16084" t="s">
        <v>1357</v>
      </c>
      <c r="L16084" t="s">
        <v>1357</v>
      </c>
    </row>
    <row r="16085" spans="8:12">
      <c r="H16085" t="s">
        <v>25104</v>
      </c>
      <c r="I16085" t="s">
        <v>1357</v>
      </c>
      <c r="J16085" t="s">
        <v>1357</v>
      </c>
      <c r="K16085" t="s">
        <v>1357</v>
      </c>
      <c r="L16085" t="s">
        <v>1357</v>
      </c>
    </row>
    <row r="16086" spans="8:12">
      <c r="H16086" t="s">
        <v>25105</v>
      </c>
      <c r="I16086" t="s">
        <v>1357</v>
      </c>
      <c r="J16086" t="s">
        <v>1357</v>
      </c>
      <c r="K16086" t="s">
        <v>1357</v>
      </c>
      <c r="L16086" t="s">
        <v>1357</v>
      </c>
    </row>
    <row r="16087" spans="8:12">
      <c r="H16087" t="s">
        <v>25106</v>
      </c>
      <c r="I16087" t="s">
        <v>1357</v>
      </c>
      <c r="J16087" t="s">
        <v>1357</v>
      </c>
      <c r="K16087" t="s">
        <v>1357</v>
      </c>
      <c r="L16087" t="s">
        <v>1357</v>
      </c>
    </row>
    <row r="16088" spans="8:12">
      <c r="H16088" t="s">
        <v>25107</v>
      </c>
      <c r="I16088" t="s">
        <v>1357</v>
      </c>
      <c r="J16088" t="s">
        <v>1357</v>
      </c>
      <c r="K16088" t="s">
        <v>1357</v>
      </c>
      <c r="L16088" t="s">
        <v>1357</v>
      </c>
    </row>
    <row r="16089" spans="8:12">
      <c r="H16089" t="s">
        <v>25108</v>
      </c>
      <c r="I16089" t="s">
        <v>1357</v>
      </c>
      <c r="J16089" t="s">
        <v>1357</v>
      </c>
      <c r="K16089" t="s">
        <v>1357</v>
      </c>
      <c r="L16089" t="s">
        <v>1357</v>
      </c>
    </row>
    <row r="16090" spans="8:12">
      <c r="H16090" t="s">
        <v>25109</v>
      </c>
      <c r="I16090" t="s">
        <v>1357</v>
      </c>
      <c r="J16090" t="s">
        <v>1357</v>
      </c>
      <c r="K16090" t="s">
        <v>1357</v>
      </c>
      <c r="L16090" t="s">
        <v>1357</v>
      </c>
    </row>
    <row r="16091" spans="8:12">
      <c r="H16091" t="s">
        <v>25110</v>
      </c>
      <c r="I16091" t="s">
        <v>1357</v>
      </c>
      <c r="J16091" t="s">
        <v>1357</v>
      </c>
      <c r="K16091" t="s">
        <v>1357</v>
      </c>
      <c r="L16091" t="s">
        <v>1357</v>
      </c>
    </row>
    <row r="16092" spans="8:12">
      <c r="H16092" t="s">
        <v>25111</v>
      </c>
      <c r="I16092" t="s">
        <v>1357</v>
      </c>
      <c r="J16092" t="s">
        <v>1357</v>
      </c>
      <c r="K16092" t="s">
        <v>1357</v>
      </c>
      <c r="L16092" t="s">
        <v>1357</v>
      </c>
    </row>
    <row r="16093" spans="8:12">
      <c r="H16093" t="s">
        <v>25112</v>
      </c>
      <c r="I16093" t="s">
        <v>1357</v>
      </c>
      <c r="J16093" t="s">
        <v>1357</v>
      </c>
      <c r="K16093" t="s">
        <v>1357</v>
      </c>
      <c r="L16093" t="s">
        <v>1357</v>
      </c>
    </row>
    <row r="16094" spans="8:12">
      <c r="H16094" t="s">
        <v>25113</v>
      </c>
      <c r="I16094" t="s">
        <v>1357</v>
      </c>
      <c r="J16094" t="s">
        <v>1357</v>
      </c>
      <c r="K16094" t="s">
        <v>1357</v>
      </c>
      <c r="L16094" t="s">
        <v>1357</v>
      </c>
    </row>
    <row r="16095" spans="8:12">
      <c r="H16095" t="s">
        <v>25114</v>
      </c>
      <c r="I16095" t="s">
        <v>1357</v>
      </c>
      <c r="J16095" t="s">
        <v>1357</v>
      </c>
      <c r="K16095" t="s">
        <v>1357</v>
      </c>
      <c r="L16095" t="s">
        <v>1357</v>
      </c>
    </row>
    <row r="16096" spans="8:12">
      <c r="H16096" t="s">
        <v>25115</v>
      </c>
      <c r="I16096" t="s">
        <v>1357</v>
      </c>
      <c r="J16096" t="s">
        <v>1357</v>
      </c>
      <c r="K16096" t="s">
        <v>1357</v>
      </c>
      <c r="L16096" t="s">
        <v>1357</v>
      </c>
    </row>
    <row r="16097" spans="8:12">
      <c r="H16097" t="s">
        <v>25116</v>
      </c>
      <c r="I16097" t="s">
        <v>1357</v>
      </c>
      <c r="J16097" t="s">
        <v>1357</v>
      </c>
      <c r="K16097" t="s">
        <v>1357</v>
      </c>
      <c r="L16097" t="s">
        <v>1357</v>
      </c>
    </row>
    <row r="16098" spans="8:12">
      <c r="H16098" t="s">
        <v>25117</v>
      </c>
      <c r="I16098" t="s">
        <v>1357</v>
      </c>
      <c r="J16098" t="s">
        <v>1357</v>
      </c>
      <c r="K16098" t="s">
        <v>1357</v>
      </c>
      <c r="L16098" t="s">
        <v>1357</v>
      </c>
    </row>
    <row r="16099" spans="8:12">
      <c r="H16099" t="s">
        <v>25118</v>
      </c>
      <c r="I16099" t="s">
        <v>1357</v>
      </c>
      <c r="J16099" t="s">
        <v>1357</v>
      </c>
      <c r="K16099" t="s">
        <v>1357</v>
      </c>
      <c r="L16099" t="s">
        <v>1357</v>
      </c>
    </row>
    <row r="16100" spans="8:12">
      <c r="H16100" t="s">
        <v>25119</v>
      </c>
      <c r="I16100" t="s">
        <v>1357</v>
      </c>
      <c r="J16100" t="s">
        <v>1357</v>
      </c>
      <c r="K16100" t="s">
        <v>1357</v>
      </c>
      <c r="L16100" t="s">
        <v>1357</v>
      </c>
    </row>
    <row r="16101" spans="8:12">
      <c r="H16101" t="s">
        <v>25120</v>
      </c>
      <c r="I16101" t="s">
        <v>1357</v>
      </c>
      <c r="J16101" t="s">
        <v>1357</v>
      </c>
      <c r="K16101" t="s">
        <v>1357</v>
      </c>
      <c r="L16101" t="s">
        <v>1357</v>
      </c>
    </row>
    <row r="16102" spans="8:12">
      <c r="H16102" t="s">
        <v>25121</v>
      </c>
      <c r="I16102" t="s">
        <v>1357</v>
      </c>
      <c r="J16102" t="s">
        <v>1357</v>
      </c>
      <c r="K16102" t="s">
        <v>1357</v>
      </c>
      <c r="L16102" t="s">
        <v>1357</v>
      </c>
    </row>
    <row r="16103" spans="8:12">
      <c r="H16103" t="s">
        <v>25122</v>
      </c>
      <c r="I16103" t="s">
        <v>1357</v>
      </c>
      <c r="J16103" t="s">
        <v>1357</v>
      </c>
      <c r="K16103" t="s">
        <v>1357</v>
      </c>
      <c r="L16103" t="s">
        <v>1357</v>
      </c>
    </row>
    <row r="16104" spans="8:12">
      <c r="H16104" t="s">
        <v>25123</v>
      </c>
      <c r="I16104" t="s">
        <v>1357</v>
      </c>
      <c r="J16104" t="s">
        <v>1357</v>
      </c>
      <c r="K16104" t="s">
        <v>1357</v>
      </c>
      <c r="L16104" t="s">
        <v>1357</v>
      </c>
    </row>
    <row r="16105" spans="8:12">
      <c r="H16105" t="s">
        <v>25124</v>
      </c>
      <c r="I16105" t="s">
        <v>1357</v>
      </c>
      <c r="J16105" t="s">
        <v>1357</v>
      </c>
      <c r="K16105" t="s">
        <v>1357</v>
      </c>
      <c r="L16105" t="s">
        <v>1357</v>
      </c>
    </row>
    <row r="16106" spans="8:12">
      <c r="H16106" t="s">
        <v>25125</v>
      </c>
      <c r="I16106" t="s">
        <v>1357</v>
      </c>
      <c r="J16106" t="s">
        <v>1357</v>
      </c>
      <c r="K16106" t="s">
        <v>1357</v>
      </c>
      <c r="L16106" t="s">
        <v>1357</v>
      </c>
    </row>
    <row r="16107" spans="8:12">
      <c r="H16107" t="s">
        <v>25126</v>
      </c>
      <c r="I16107" t="s">
        <v>1357</v>
      </c>
      <c r="J16107" t="s">
        <v>1357</v>
      </c>
      <c r="K16107" t="s">
        <v>1357</v>
      </c>
      <c r="L16107" t="s">
        <v>1357</v>
      </c>
    </row>
    <row r="16108" spans="8:12">
      <c r="H16108" t="s">
        <v>25127</v>
      </c>
      <c r="I16108" t="s">
        <v>1357</v>
      </c>
      <c r="J16108" t="s">
        <v>1357</v>
      </c>
      <c r="K16108" t="s">
        <v>1357</v>
      </c>
      <c r="L16108" t="s">
        <v>1357</v>
      </c>
    </row>
    <row r="16109" spans="8:12">
      <c r="H16109" t="s">
        <v>25128</v>
      </c>
      <c r="I16109" t="s">
        <v>1357</v>
      </c>
      <c r="J16109" t="s">
        <v>1357</v>
      </c>
      <c r="K16109" t="s">
        <v>1357</v>
      </c>
      <c r="L16109" t="s">
        <v>1357</v>
      </c>
    </row>
    <row r="16110" spans="8:12">
      <c r="H16110" t="s">
        <v>25129</v>
      </c>
      <c r="I16110" t="s">
        <v>1357</v>
      </c>
      <c r="J16110" t="s">
        <v>1357</v>
      </c>
      <c r="K16110" t="s">
        <v>1357</v>
      </c>
      <c r="L16110" t="s">
        <v>1357</v>
      </c>
    </row>
    <row r="16111" spans="8:12">
      <c r="H16111" t="s">
        <v>25130</v>
      </c>
      <c r="I16111" t="s">
        <v>1357</v>
      </c>
      <c r="J16111" t="s">
        <v>1357</v>
      </c>
      <c r="K16111" t="s">
        <v>1357</v>
      </c>
      <c r="L16111" t="s">
        <v>1357</v>
      </c>
    </row>
    <row r="16112" spans="8:12">
      <c r="H16112" t="s">
        <v>25131</v>
      </c>
      <c r="I16112" t="s">
        <v>1357</v>
      </c>
      <c r="J16112" t="s">
        <v>1357</v>
      </c>
      <c r="K16112" t="s">
        <v>1357</v>
      </c>
      <c r="L16112" t="s">
        <v>1357</v>
      </c>
    </row>
    <row r="16113" spans="8:12">
      <c r="H16113" t="s">
        <v>25132</v>
      </c>
      <c r="I16113" t="s">
        <v>1357</v>
      </c>
      <c r="J16113" t="s">
        <v>1357</v>
      </c>
      <c r="K16113" t="s">
        <v>1357</v>
      </c>
      <c r="L16113" t="s">
        <v>1357</v>
      </c>
    </row>
    <row r="16114" spans="8:12">
      <c r="H16114" t="s">
        <v>25133</v>
      </c>
      <c r="I16114" t="s">
        <v>1357</v>
      </c>
      <c r="J16114" t="s">
        <v>1357</v>
      </c>
      <c r="K16114" t="s">
        <v>1357</v>
      </c>
      <c r="L16114" t="s">
        <v>1357</v>
      </c>
    </row>
    <row r="16115" spans="8:12">
      <c r="H16115" t="s">
        <v>25134</v>
      </c>
      <c r="I16115" t="s">
        <v>1357</v>
      </c>
      <c r="J16115" t="s">
        <v>1357</v>
      </c>
      <c r="K16115" t="s">
        <v>1357</v>
      </c>
      <c r="L16115" t="s">
        <v>1357</v>
      </c>
    </row>
    <row r="16116" spans="8:12">
      <c r="H16116" t="s">
        <v>25135</v>
      </c>
      <c r="I16116" t="s">
        <v>1357</v>
      </c>
      <c r="J16116" t="s">
        <v>1357</v>
      </c>
      <c r="K16116" t="s">
        <v>1357</v>
      </c>
      <c r="L16116" t="s">
        <v>1357</v>
      </c>
    </row>
    <row r="16117" spans="8:12">
      <c r="H16117" t="s">
        <v>25136</v>
      </c>
      <c r="I16117" t="s">
        <v>1357</v>
      </c>
      <c r="J16117" t="s">
        <v>1357</v>
      </c>
      <c r="K16117" t="s">
        <v>1357</v>
      </c>
      <c r="L16117" t="s">
        <v>1357</v>
      </c>
    </row>
    <row r="16118" spans="8:12">
      <c r="H16118" t="s">
        <v>25137</v>
      </c>
      <c r="I16118" t="s">
        <v>1357</v>
      </c>
      <c r="J16118" t="s">
        <v>1357</v>
      </c>
      <c r="K16118" t="s">
        <v>1357</v>
      </c>
      <c r="L16118" t="s">
        <v>1357</v>
      </c>
    </row>
    <row r="16119" spans="8:12">
      <c r="H16119" t="s">
        <v>25138</v>
      </c>
      <c r="I16119" t="s">
        <v>1357</v>
      </c>
      <c r="J16119" t="s">
        <v>1357</v>
      </c>
      <c r="K16119" t="s">
        <v>1357</v>
      </c>
      <c r="L16119" t="s">
        <v>1357</v>
      </c>
    </row>
    <row r="16120" spans="8:12">
      <c r="H16120" t="s">
        <v>25139</v>
      </c>
      <c r="I16120" t="s">
        <v>1357</v>
      </c>
      <c r="J16120" t="s">
        <v>1357</v>
      </c>
      <c r="K16120" t="s">
        <v>1357</v>
      </c>
      <c r="L16120" t="s">
        <v>1357</v>
      </c>
    </row>
    <row r="16121" spans="8:12">
      <c r="H16121" t="s">
        <v>25140</v>
      </c>
      <c r="I16121" t="s">
        <v>1357</v>
      </c>
      <c r="J16121" t="s">
        <v>1357</v>
      </c>
      <c r="K16121" t="s">
        <v>1357</v>
      </c>
      <c r="L16121" t="s">
        <v>1357</v>
      </c>
    </row>
    <row r="16122" spans="8:12">
      <c r="H16122" t="s">
        <v>25141</v>
      </c>
      <c r="I16122" t="s">
        <v>1357</v>
      </c>
      <c r="J16122" t="s">
        <v>1357</v>
      </c>
      <c r="K16122" t="s">
        <v>1357</v>
      </c>
      <c r="L16122" t="s">
        <v>1357</v>
      </c>
    </row>
    <row r="16123" spans="8:12">
      <c r="H16123" t="s">
        <v>25142</v>
      </c>
      <c r="I16123" t="s">
        <v>1357</v>
      </c>
      <c r="J16123" t="s">
        <v>1357</v>
      </c>
      <c r="K16123" t="s">
        <v>1357</v>
      </c>
      <c r="L16123" t="s">
        <v>1357</v>
      </c>
    </row>
    <row r="16124" spans="8:12">
      <c r="H16124" t="s">
        <v>25143</v>
      </c>
      <c r="I16124" t="s">
        <v>1357</v>
      </c>
      <c r="J16124" t="s">
        <v>1357</v>
      </c>
      <c r="K16124" t="s">
        <v>1357</v>
      </c>
      <c r="L16124" t="s">
        <v>1357</v>
      </c>
    </row>
    <row r="16125" spans="8:12">
      <c r="H16125" t="s">
        <v>25144</v>
      </c>
      <c r="I16125" t="s">
        <v>1357</v>
      </c>
      <c r="J16125" t="s">
        <v>1357</v>
      </c>
      <c r="K16125" t="s">
        <v>1357</v>
      </c>
      <c r="L16125" t="s">
        <v>1357</v>
      </c>
    </row>
    <row r="16126" spans="8:12">
      <c r="H16126" t="s">
        <v>25145</v>
      </c>
      <c r="I16126" t="s">
        <v>1357</v>
      </c>
      <c r="J16126" t="s">
        <v>1357</v>
      </c>
      <c r="K16126" t="s">
        <v>1357</v>
      </c>
      <c r="L16126" t="s">
        <v>1357</v>
      </c>
    </row>
    <row r="16127" spans="8:12">
      <c r="H16127" t="s">
        <v>25146</v>
      </c>
      <c r="I16127" t="s">
        <v>1357</v>
      </c>
      <c r="J16127" t="s">
        <v>1357</v>
      </c>
      <c r="K16127" t="s">
        <v>1357</v>
      </c>
      <c r="L16127" t="s">
        <v>1357</v>
      </c>
    </row>
    <row r="16128" spans="8:12">
      <c r="H16128" t="s">
        <v>25147</v>
      </c>
      <c r="I16128" t="s">
        <v>1357</v>
      </c>
      <c r="J16128" t="s">
        <v>1357</v>
      </c>
      <c r="K16128" t="s">
        <v>1357</v>
      </c>
      <c r="L16128" t="s">
        <v>1357</v>
      </c>
    </row>
    <row r="16129" spans="6:12">
      <c r="H16129" t="s">
        <v>25148</v>
      </c>
      <c r="I16129" t="s">
        <v>1357</v>
      </c>
      <c r="J16129" t="s">
        <v>1357</v>
      </c>
      <c r="K16129" t="s">
        <v>1357</v>
      </c>
      <c r="L16129" t="s">
        <v>1357</v>
      </c>
    </row>
    <row r="16130" spans="6:12">
      <c r="H16130" t="s">
        <v>25149</v>
      </c>
      <c r="I16130" t="s">
        <v>1357</v>
      </c>
      <c r="J16130" t="s">
        <v>1357</v>
      </c>
      <c r="K16130" t="s">
        <v>1357</v>
      </c>
      <c r="L16130" t="s">
        <v>1357</v>
      </c>
    </row>
    <row r="16131" spans="6:12">
      <c r="H16131" t="s">
        <v>25150</v>
      </c>
      <c r="I16131" t="s">
        <v>1357</v>
      </c>
      <c r="J16131" t="s">
        <v>1357</v>
      </c>
      <c r="K16131" t="s">
        <v>1357</v>
      </c>
      <c r="L16131" t="s">
        <v>1357</v>
      </c>
    </row>
    <row r="16132" spans="6:12">
      <c r="H16132" t="s">
        <v>25151</v>
      </c>
      <c r="I16132" t="s">
        <v>1357</v>
      </c>
      <c r="J16132" t="s">
        <v>1357</v>
      </c>
      <c r="K16132" t="s">
        <v>1357</v>
      </c>
      <c r="L16132" t="s">
        <v>1357</v>
      </c>
    </row>
    <row r="16133" spans="6:12">
      <c r="H16133" t="s">
        <v>25152</v>
      </c>
      <c r="I16133" t="s">
        <v>1357</v>
      </c>
      <c r="J16133" t="s">
        <v>1357</v>
      </c>
      <c r="K16133" t="s">
        <v>1357</v>
      </c>
      <c r="L16133" t="s">
        <v>1357</v>
      </c>
    </row>
    <row r="16134" spans="6:12">
      <c r="H16134" t="s">
        <v>25153</v>
      </c>
      <c r="I16134" t="s">
        <v>1357</v>
      </c>
      <c r="J16134" t="s">
        <v>1357</v>
      </c>
      <c r="K16134" t="s">
        <v>1357</v>
      </c>
      <c r="L16134" t="s">
        <v>1357</v>
      </c>
    </row>
    <row r="16135" spans="6:12">
      <c r="H16135" t="s">
        <v>25154</v>
      </c>
      <c r="I16135" t="s">
        <v>1357</v>
      </c>
      <c r="J16135" t="s">
        <v>1357</v>
      </c>
      <c r="K16135" t="s">
        <v>1357</v>
      </c>
      <c r="L16135" t="s">
        <v>1357</v>
      </c>
    </row>
    <row r="16136" spans="6:12">
      <c r="F16136" t="s">
        <v>16730</v>
      </c>
      <c r="G16136" t="s">
        <v>19361</v>
      </c>
      <c r="H16136" t="s">
        <v>25155</v>
      </c>
      <c r="I16136" t="s">
        <v>1357</v>
      </c>
      <c r="J16136" t="s">
        <v>1357</v>
      </c>
      <c r="K16136" t="s">
        <v>1357</v>
      </c>
      <c r="L16136" t="s">
        <v>1357</v>
      </c>
    </row>
    <row r="16137" spans="6:12">
      <c r="H16137" t="s">
        <v>25156</v>
      </c>
      <c r="I16137" t="s">
        <v>1357</v>
      </c>
      <c r="J16137" t="s">
        <v>1357</v>
      </c>
      <c r="K16137" t="s">
        <v>1357</v>
      </c>
      <c r="L16137" t="s">
        <v>1357</v>
      </c>
    </row>
    <row r="16138" spans="6:12">
      <c r="H16138" t="s">
        <v>25157</v>
      </c>
      <c r="I16138" t="s">
        <v>1357</v>
      </c>
      <c r="J16138" t="s">
        <v>1357</v>
      </c>
      <c r="K16138" t="s">
        <v>1357</v>
      </c>
      <c r="L16138" t="s">
        <v>1357</v>
      </c>
    </row>
    <row r="16139" spans="6:12">
      <c r="H16139" t="s">
        <v>25158</v>
      </c>
      <c r="I16139" t="s">
        <v>1357</v>
      </c>
      <c r="J16139" t="s">
        <v>1357</v>
      </c>
      <c r="K16139" t="s">
        <v>1357</v>
      </c>
      <c r="L16139" t="s">
        <v>1357</v>
      </c>
    </row>
    <row r="16140" spans="6:12">
      <c r="H16140" t="s">
        <v>25159</v>
      </c>
      <c r="I16140" t="s">
        <v>1357</v>
      </c>
      <c r="J16140" t="s">
        <v>1357</v>
      </c>
      <c r="K16140" t="s">
        <v>1357</v>
      </c>
      <c r="L16140" t="s">
        <v>1357</v>
      </c>
    </row>
    <row r="16141" spans="6:12">
      <c r="H16141" t="s">
        <v>25160</v>
      </c>
      <c r="I16141" t="s">
        <v>1357</v>
      </c>
      <c r="J16141" t="s">
        <v>1357</v>
      </c>
      <c r="K16141" t="s">
        <v>1357</v>
      </c>
      <c r="L16141" t="s">
        <v>1357</v>
      </c>
    </row>
    <row r="16142" spans="6:12">
      <c r="H16142" t="s">
        <v>25161</v>
      </c>
      <c r="I16142" t="s">
        <v>1357</v>
      </c>
      <c r="J16142" t="s">
        <v>1357</v>
      </c>
      <c r="K16142" t="s">
        <v>1357</v>
      </c>
      <c r="L16142" t="s">
        <v>1357</v>
      </c>
    </row>
    <row r="16143" spans="6:12">
      <c r="H16143" t="s">
        <v>25162</v>
      </c>
      <c r="I16143" t="s">
        <v>1357</v>
      </c>
      <c r="J16143" t="s">
        <v>1357</v>
      </c>
      <c r="K16143" t="s">
        <v>1357</v>
      </c>
      <c r="L16143" t="s">
        <v>1357</v>
      </c>
    </row>
    <row r="16144" spans="6:12">
      <c r="H16144" t="s">
        <v>25163</v>
      </c>
      <c r="I16144" t="s">
        <v>1357</v>
      </c>
      <c r="J16144" t="s">
        <v>1357</v>
      </c>
      <c r="K16144" t="s">
        <v>1357</v>
      </c>
      <c r="L16144" t="s">
        <v>1357</v>
      </c>
    </row>
    <row r="16145" spans="8:12">
      <c r="H16145" t="s">
        <v>25164</v>
      </c>
      <c r="I16145" t="s">
        <v>1357</v>
      </c>
      <c r="J16145" t="s">
        <v>1357</v>
      </c>
      <c r="K16145" t="s">
        <v>1357</v>
      </c>
      <c r="L16145" t="s">
        <v>1357</v>
      </c>
    </row>
    <row r="16146" spans="8:12">
      <c r="H16146" t="s">
        <v>25165</v>
      </c>
      <c r="I16146" t="s">
        <v>1357</v>
      </c>
      <c r="J16146" t="s">
        <v>1357</v>
      </c>
      <c r="K16146" t="s">
        <v>1357</v>
      </c>
      <c r="L16146" t="s">
        <v>1357</v>
      </c>
    </row>
    <row r="16147" spans="8:12">
      <c r="H16147" t="s">
        <v>25166</v>
      </c>
      <c r="I16147" t="s">
        <v>1357</v>
      </c>
      <c r="J16147" t="s">
        <v>1357</v>
      </c>
      <c r="K16147" t="s">
        <v>1357</v>
      </c>
      <c r="L16147" t="s">
        <v>1357</v>
      </c>
    </row>
    <row r="16148" spans="8:12">
      <c r="H16148" t="s">
        <v>25167</v>
      </c>
      <c r="I16148" t="s">
        <v>1357</v>
      </c>
      <c r="J16148" t="s">
        <v>1357</v>
      </c>
      <c r="K16148" t="s">
        <v>1357</v>
      </c>
      <c r="L16148" t="s">
        <v>1357</v>
      </c>
    </row>
    <row r="16149" spans="8:12">
      <c r="H16149" t="s">
        <v>25168</v>
      </c>
      <c r="I16149" t="s">
        <v>1357</v>
      </c>
      <c r="J16149" t="s">
        <v>1357</v>
      </c>
      <c r="K16149" t="s">
        <v>1357</v>
      </c>
      <c r="L16149" t="s">
        <v>1357</v>
      </c>
    </row>
    <row r="16150" spans="8:12">
      <c r="H16150" t="s">
        <v>25169</v>
      </c>
      <c r="I16150" t="s">
        <v>1357</v>
      </c>
      <c r="J16150" t="s">
        <v>1357</v>
      </c>
      <c r="K16150" t="s">
        <v>1357</v>
      </c>
      <c r="L16150" t="s">
        <v>1357</v>
      </c>
    </row>
    <row r="16151" spans="8:12">
      <c r="H16151" t="s">
        <v>25170</v>
      </c>
      <c r="I16151" t="s">
        <v>1357</v>
      </c>
      <c r="J16151" t="s">
        <v>1357</v>
      </c>
      <c r="K16151" t="s">
        <v>1357</v>
      </c>
      <c r="L16151" t="s">
        <v>1357</v>
      </c>
    </row>
    <row r="16152" spans="8:12">
      <c r="H16152" t="s">
        <v>25171</v>
      </c>
      <c r="I16152" t="s">
        <v>1357</v>
      </c>
      <c r="J16152" t="s">
        <v>1357</v>
      </c>
      <c r="K16152" t="s">
        <v>1357</v>
      </c>
      <c r="L16152" t="s">
        <v>1357</v>
      </c>
    </row>
    <row r="16153" spans="8:12">
      <c r="H16153" t="s">
        <v>25172</v>
      </c>
      <c r="I16153" t="s">
        <v>1357</v>
      </c>
      <c r="J16153" t="s">
        <v>1357</v>
      </c>
      <c r="K16153" t="s">
        <v>1357</v>
      </c>
      <c r="L16153" t="s">
        <v>1357</v>
      </c>
    </row>
    <row r="16154" spans="8:12">
      <c r="H16154" t="s">
        <v>25173</v>
      </c>
      <c r="I16154" t="s">
        <v>1357</v>
      </c>
      <c r="J16154" t="s">
        <v>1357</v>
      </c>
      <c r="K16154" t="s">
        <v>1357</v>
      </c>
      <c r="L16154" t="s">
        <v>1357</v>
      </c>
    </row>
    <row r="16155" spans="8:12">
      <c r="H16155" t="s">
        <v>25174</v>
      </c>
      <c r="I16155" t="s">
        <v>1357</v>
      </c>
      <c r="J16155" t="s">
        <v>1357</v>
      </c>
      <c r="K16155" t="s">
        <v>1357</v>
      </c>
      <c r="L16155" t="s">
        <v>1357</v>
      </c>
    </row>
    <row r="16156" spans="8:12">
      <c r="H16156" t="s">
        <v>25175</v>
      </c>
      <c r="I16156" t="s">
        <v>1357</v>
      </c>
      <c r="J16156" t="s">
        <v>1357</v>
      </c>
      <c r="K16156" t="s">
        <v>1357</v>
      </c>
      <c r="L16156" t="s">
        <v>1357</v>
      </c>
    </row>
    <row r="16157" spans="8:12">
      <c r="H16157" t="s">
        <v>25176</v>
      </c>
      <c r="I16157" t="s">
        <v>1357</v>
      </c>
      <c r="J16157" t="s">
        <v>1357</v>
      </c>
      <c r="K16157" t="s">
        <v>1357</v>
      </c>
      <c r="L16157" t="s">
        <v>1357</v>
      </c>
    </row>
    <row r="16158" spans="8:12">
      <c r="H16158" t="s">
        <v>25177</v>
      </c>
      <c r="I16158" t="s">
        <v>1357</v>
      </c>
      <c r="J16158" t="s">
        <v>1357</v>
      </c>
      <c r="K16158" t="s">
        <v>1357</v>
      </c>
      <c r="L16158" t="s">
        <v>1357</v>
      </c>
    </row>
    <row r="16159" spans="8:12">
      <c r="H16159" t="s">
        <v>25178</v>
      </c>
      <c r="I16159" t="s">
        <v>1357</v>
      </c>
      <c r="J16159" t="s">
        <v>1357</v>
      </c>
      <c r="K16159" t="s">
        <v>1357</v>
      </c>
      <c r="L16159" t="s">
        <v>1357</v>
      </c>
    </row>
    <row r="16160" spans="8:12">
      <c r="H16160" t="s">
        <v>25179</v>
      </c>
      <c r="I16160" t="s">
        <v>1357</v>
      </c>
      <c r="J16160" t="s">
        <v>1357</v>
      </c>
      <c r="K16160" t="s">
        <v>1357</v>
      </c>
      <c r="L16160" t="s">
        <v>1357</v>
      </c>
    </row>
    <row r="16161" spans="6:12">
      <c r="H16161" t="s">
        <v>25180</v>
      </c>
      <c r="I16161" t="s">
        <v>1357</v>
      </c>
      <c r="J16161" t="s">
        <v>1357</v>
      </c>
      <c r="K16161" t="s">
        <v>1357</v>
      </c>
      <c r="L16161" t="s">
        <v>1357</v>
      </c>
    </row>
    <row r="16162" spans="6:12">
      <c r="F16162" t="s">
        <v>16927</v>
      </c>
      <c r="G16162" t="s">
        <v>19538</v>
      </c>
      <c r="H16162" t="s">
        <v>25181</v>
      </c>
      <c r="I16162" t="s">
        <v>1357</v>
      </c>
      <c r="J16162" t="s">
        <v>1357</v>
      </c>
      <c r="K16162" t="s">
        <v>1357</v>
      </c>
      <c r="L16162" t="s">
        <v>1357</v>
      </c>
    </row>
    <row r="16163" spans="6:12">
      <c r="F16163" t="s">
        <v>16928</v>
      </c>
      <c r="G16163" t="s">
        <v>19539</v>
      </c>
      <c r="H16163" t="s">
        <v>25182</v>
      </c>
      <c r="I16163" t="s">
        <v>1357</v>
      </c>
      <c r="J16163" t="s">
        <v>1357</v>
      </c>
      <c r="K16163" t="s">
        <v>1357</v>
      </c>
      <c r="L16163" t="s">
        <v>1357</v>
      </c>
    </row>
    <row r="16164" spans="6:12">
      <c r="F16164" t="s">
        <v>16929</v>
      </c>
      <c r="G16164" t="s">
        <v>19540</v>
      </c>
      <c r="H16164" t="s">
        <v>20014</v>
      </c>
      <c r="I16164" t="s">
        <v>1357</v>
      </c>
      <c r="J16164" t="s">
        <v>1357</v>
      </c>
      <c r="K16164" t="s">
        <v>1357</v>
      </c>
      <c r="L16164" t="s">
        <v>1357</v>
      </c>
    </row>
    <row r="16165" spans="6:12">
      <c r="H16165" t="s">
        <v>3380</v>
      </c>
      <c r="I16165" t="s">
        <v>1357</v>
      </c>
      <c r="J16165" t="s">
        <v>1357</v>
      </c>
      <c r="K16165" t="s">
        <v>1357</v>
      </c>
      <c r="L16165" t="s">
        <v>1357</v>
      </c>
    </row>
    <row r="16166" spans="6:12">
      <c r="F16166" t="s">
        <v>16271</v>
      </c>
      <c r="G16166" t="s">
        <v>18944</v>
      </c>
      <c r="H16166" t="s">
        <v>25183</v>
      </c>
      <c r="I16166" t="s">
        <v>1357</v>
      </c>
      <c r="J16166" t="s">
        <v>1357</v>
      </c>
      <c r="K16166" t="s">
        <v>1357</v>
      </c>
      <c r="L16166" t="s">
        <v>1357</v>
      </c>
    </row>
    <row r="16167" spans="6:12">
      <c r="H16167" t="s">
        <v>4574</v>
      </c>
      <c r="I16167" t="s">
        <v>1357</v>
      </c>
      <c r="J16167" t="s">
        <v>1357</v>
      </c>
      <c r="K16167" t="s">
        <v>1357</v>
      </c>
      <c r="L16167" t="s">
        <v>1357</v>
      </c>
    </row>
    <row r="16168" spans="6:12">
      <c r="H16168" t="s">
        <v>22462</v>
      </c>
      <c r="I16168" t="s">
        <v>1357</v>
      </c>
      <c r="J16168" t="s">
        <v>1357</v>
      </c>
      <c r="K16168" t="s">
        <v>1357</v>
      </c>
      <c r="L16168" t="s">
        <v>1357</v>
      </c>
    </row>
    <row r="16169" spans="6:12">
      <c r="H16169" t="s">
        <v>22463</v>
      </c>
      <c r="I16169" t="s">
        <v>1357</v>
      </c>
      <c r="J16169" t="s">
        <v>1357</v>
      </c>
      <c r="K16169" t="s">
        <v>1357</v>
      </c>
      <c r="L16169" t="s">
        <v>1357</v>
      </c>
    </row>
    <row r="16170" spans="6:12">
      <c r="H16170" t="s">
        <v>25184</v>
      </c>
      <c r="I16170" t="s">
        <v>1357</v>
      </c>
      <c r="J16170" t="s">
        <v>1357</v>
      </c>
      <c r="K16170" t="s">
        <v>1357</v>
      </c>
      <c r="L16170" t="s">
        <v>1357</v>
      </c>
    </row>
    <row r="16171" spans="6:12">
      <c r="H16171" t="s">
        <v>25185</v>
      </c>
      <c r="I16171" t="s">
        <v>1357</v>
      </c>
      <c r="J16171" t="s">
        <v>1357</v>
      </c>
      <c r="K16171" t="s">
        <v>1357</v>
      </c>
      <c r="L16171" t="s">
        <v>1357</v>
      </c>
    </row>
    <row r="16172" spans="6:12">
      <c r="H16172" t="s">
        <v>25186</v>
      </c>
      <c r="I16172" t="s">
        <v>1357</v>
      </c>
      <c r="J16172" t="s">
        <v>1357</v>
      </c>
      <c r="K16172" t="s">
        <v>1357</v>
      </c>
      <c r="L16172" t="s">
        <v>1357</v>
      </c>
    </row>
    <row r="16173" spans="6:12">
      <c r="F16173" t="s">
        <v>16930</v>
      </c>
      <c r="G16173" t="s">
        <v>19541</v>
      </c>
      <c r="H16173" t="s">
        <v>25187</v>
      </c>
      <c r="I16173" t="s">
        <v>1357</v>
      </c>
      <c r="J16173" t="s">
        <v>1357</v>
      </c>
      <c r="K16173" t="s">
        <v>1357</v>
      </c>
      <c r="L16173" t="s">
        <v>1357</v>
      </c>
    </row>
    <row r="16174" spans="6:12">
      <c r="H16174" t="s">
        <v>25188</v>
      </c>
      <c r="I16174" t="s">
        <v>1357</v>
      </c>
      <c r="J16174" t="s">
        <v>1357</v>
      </c>
      <c r="K16174" t="s">
        <v>1357</v>
      </c>
      <c r="L16174" t="s">
        <v>1357</v>
      </c>
    </row>
    <row r="16175" spans="6:12">
      <c r="H16175" t="s">
        <v>25189</v>
      </c>
      <c r="I16175" t="s">
        <v>1357</v>
      </c>
      <c r="J16175" t="s">
        <v>1357</v>
      </c>
      <c r="K16175" t="s">
        <v>1357</v>
      </c>
      <c r="L16175" t="s">
        <v>1357</v>
      </c>
    </row>
    <row r="16176" spans="6:12">
      <c r="H16176" t="s">
        <v>25190</v>
      </c>
      <c r="I16176" t="s">
        <v>1357</v>
      </c>
      <c r="J16176" t="s">
        <v>1357</v>
      </c>
      <c r="K16176" t="s">
        <v>1357</v>
      </c>
      <c r="L16176" t="s">
        <v>1357</v>
      </c>
    </row>
    <row r="16177" spans="6:12">
      <c r="H16177" t="s">
        <v>25191</v>
      </c>
      <c r="I16177" t="s">
        <v>1357</v>
      </c>
      <c r="J16177" t="s">
        <v>1357</v>
      </c>
      <c r="K16177" t="s">
        <v>1357</v>
      </c>
      <c r="L16177" t="s">
        <v>1357</v>
      </c>
    </row>
    <row r="16178" spans="6:12">
      <c r="F16178" t="s">
        <v>16931</v>
      </c>
      <c r="G16178" t="s">
        <v>19542</v>
      </c>
      <c r="H16178" t="s">
        <v>25192</v>
      </c>
      <c r="I16178" t="s">
        <v>1357</v>
      </c>
      <c r="J16178" t="s">
        <v>1357</v>
      </c>
      <c r="K16178" t="s">
        <v>1357</v>
      </c>
      <c r="L16178" t="s">
        <v>1357</v>
      </c>
    </row>
    <row r="16179" spans="6:12">
      <c r="F16179" t="s">
        <v>16932</v>
      </c>
      <c r="G16179" t="s">
        <v>19543</v>
      </c>
      <c r="H16179" t="s">
        <v>25193</v>
      </c>
      <c r="I16179" t="s">
        <v>1357</v>
      </c>
      <c r="J16179" t="s">
        <v>1357</v>
      </c>
      <c r="K16179" t="s">
        <v>1357</v>
      </c>
      <c r="L16179" t="s">
        <v>1357</v>
      </c>
    </row>
    <row r="16180" spans="6:12">
      <c r="H16180" t="s">
        <v>25194</v>
      </c>
      <c r="I16180" t="s">
        <v>1357</v>
      </c>
      <c r="J16180" t="s">
        <v>1357</v>
      </c>
      <c r="K16180" t="s">
        <v>1357</v>
      </c>
      <c r="L16180" t="s">
        <v>1357</v>
      </c>
    </row>
    <row r="16181" spans="6:12">
      <c r="H16181" t="s">
        <v>25195</v>
      </c>
      <c r="I16181" t="s">
        <v>1357</v>
      </c>
      <c r="J16181" t="s">
        <v>1357</v>
      </c>
      <c r="K16181" t="s">
        <v>1357</v>
      </c>
      <c r="L16181" t="s">
        <v>1357</v>
      </c>
    </row>
    <row r="16182" spans="6:12">
      <c r="H16182" t="s">
        <v>25196</v>
      </c>
      <c r="I16182" t="s">
        <v>1357</v>
      </c>
      <c r="J16182" t="s">
        <v>1357</v>
      </c>
      <c r="K16182" t="s">
        <v>1357</v>
      </c>
      <c r="L16182" t="s">
        <v>1357</v>
      </c>
    </row>
    <row r="16183" spans="6:12">
      <c r="H16183" t="s">
        <v>25197</v>
      </c>
      <c r="I16183" t="s">
        <v>1357</v>
      </c>
      <c r="J16183" t="s">
        <v>1357</v>
      </c>
      <c r="K16183" t="s">
        <v>1357</v>
      </c>
      <c r="L16183" t="s">
        <v>1357</v>
      </c>
    </row>
    <row r="16184" spans="6:12">
      <c r="H16184" t="s">
        <v>25198</v>
      </c>
      <c r="I16184" t="s">
        <v>1357</v>
      </c>
      <c r="J16184" t="s">
        <v>1357</v>
      </c>
      <c r="K16184" t="s">
        <v>1357</v>
      </c>
      <c r="L16184" t="s">
        <v>1357</v>
      </c>
    </row>
    <row r="16185" spans="6:12">
      <c r="H16185" t="s">
        <v>25199</v>
      </c>
      <c r="I16185" t="s">
        <v>1357</v>
      </c>
      <c r="J16185" t="s">
        <v>1357</v>
      </c>
      <c r="K16185" t="s">
        <v>1357</v>
      </c>
      <c r="L16185" t="s">
        <v>1357</v>
      </c>
    </row>
    <row r="16186" spans="6:12">
      <c r="H16186" t="s">
        <v>25200</v>
      </c>
      <c r="I16186" t="s">
        <v>1357</v>
      </c>
      <c r="J16186" t="s">
        <v>1357</v>
      </c>
      <c r="K16186" t="s">
        <v>1357</v>
      </c>
      <c r="L16186" t="s">
        <v>1357</v>
      </c>
    </row>
    <row r="16187" spans="6:12">
      <c r="F16187" t="s">
        <v>16933</v>
      </c>
      <c r="G16187" t="s">
        <v>19544</v>
      </c>
      <c r="H16187" t="s">
        <v>20014</v>
      </c>
      <c r="I16187" t="s">
        <v>1357</v>
      </c>
      <c r="J16187" t="s">
        <v>1357</v>
      </c>
      <c r="K16187" t="s">
        <v>1357</v>
      </c>
      <c r="L16187" t="s">
        <v>1357</v>
      </c>
    </row>
    <row r="16188" spans="6:12">
      <c r="H16188" t="s">
        <v>3380</v>
      </c>
      <c r="I16188" t="s">
        <v>1357</v>
      </c>
      <c r="J16188" t="s">
        <v>1357</v>
      </c>
      <c r="K16188" t="s">
        <v>1357</v>
      </c>
      <c r="L16188" t="s">
        <v>1357</v>
      </c>
    </row>
    <row r="16189" spans="6:12">
      <c r="F16189" t="s">
        <v>16934</v>
      </c>
      <c r="G16189" t="s">
        <v>19545</v>
      </c>
      <c r="H16189" t="s">
        <v>20014</v>
      </c>
      <c r="I16189" t="s">
        <v>1357</v>
      </c>
      <c r="J16189" t="s">
        <v>1357</v>
      </c>
      <c r="K16189" t="s">
        <v>1357</v>
      </c>
      <c r="L16189" t="s">
        <v>1357</v>
      </c>
    </row>
    <row r="16190" spans="6:12">
      <c r="H16190" t="s">
        <v>3380</v>
      </c>
      <c r="I16190" t="s">
        <v>1357</v>
      </c>
      <c r="J16190" t="s">
        <v>1357</v>
      </c>
      <c r="K16190" t="s">
        <v>1357</v>
      </c>
      <c r="L16190" t="s">
        <v>1357</v>
      </c>
    </row>
    <row r="16191" spans="6:12">
      <c r="F16191" t="s">
        <v>16512</v>
      </c>
      <c r="G16191" t="s">
        <v>19170</v>
      </c>
      <c r="H16191" t="s">
        <v>25201</v>
      </c>
      <c r="I16191" t="s">
        <v>1357</v>
      </c>
      <c r="J16191" t="s">
        <v>1357</v>
      </c>
      <c r="K16191" t="s">
        <v>1357</v>
      </c>
      <c r="L16191" t="s">
        <v>1357</v>
      </c>
    </row>
    <row r="16192" spans="6:12">
      <c r="H16192" t="s">
        <v>25202</v>
      </c>
      <c r="I16192" t="s">
        <v>1357</v>
      </c>
      <c r="J16192" t="s">
        <v>1357</v>
      </c>
      <c r="K16192" t="s">
        <v>1357</v>
      </c>
      <c r="L16192" t="s">
        <v>1357</v>
      </c>
    </row>
    <row r="16193" spans="6:12">
      <c r="H16193" t="s">
        <v>25203</v>
      </c>
      <c r="I16193" t="s">
        <v>1357</v>
      </c>
      <c r="J16193" t="s">
        <v>1357</v>
      </c>
      <c r="K16193" t="s">
        <v>1357</v>
      </c>
      <c r="L16193" t="s">
        <v>1357</v>
      </c>
    </row>
    <row r="16194" spans="6:12">
      <c r="H16194" t="s">
        <v>25204</v>
      </c>
      <c r="I16194" t="s">
        <v>1357</v>
      </c>
      <c r="J16194" t="s">
        <v>1357</v>
      </c>
      <c r="K16194" t="s">
        <v>1357</v>
      </c>
      <c r="L16194" t="s">
        <v>1357</v>
      </c>
    </row>
    <row r="16195" spans="6:12">
      <c r="H16195" t="s">
        <v>25205</v>
      </c>
      <c r="I16195" t="s">
        <v>1357</v>
      </c>
      <c r="J16195" t="s">
        <v>1357</v>
      </c>
      <c r="K16195" t="s">
        <v>1357</v>
      </c>
      <c r="L16195" t="s">
        <v>1357</v>
      </c>
    </row>
    <row r="16196" spans="6:12">
      <c r="H16196" t="s">
        <v>25206</v>
      </c>
      <c r="I16196" t="s">
        <v>1357</v>
      </c>
      <c r="J16196" t="s">
        <v>1357</v>
      </c>
      <c r="K16196" t="s">
        <v>1357</v>
      </c>
      <c r="L16196" t="s">
        <v>1357</v>
      </c>
    </row>
    <row r="16197" spans="6:12">
      <c r="H16197" t="s">
        <v>25207</v>
      </c>
      <c r="I16197" t="s">
        <v>1357</v>
      </c>
      <c r="J16197" t="s">
        <v>1357</v>
      </c>
      <c r="K16197" t="s">
        <v>1357</v>
      </c>
      <c r="L16197" t="s">
        <v>1357</v>
      </c>
    </row>
    <row r="16198" spans="6:12">
      <c r="H16198" t="s">
        <v>25208</v>
      </c>
      <c r="I16198" t="s">
        <v>1357</v>
      </c>
      <c r="J16198" t="s">
        <v>1357</v>
      </c>
      <c r="K16198" t="s">
        <v>1357</v>
      </c>
      <c r="L16198" t="s">
        <v>1357</v>
      </c>
    </row>
    <row r="16199" spans="6:12">
      <c r="F16199" t="s">
        <v>16935</v>
      </c>
      <c r="G16199" t="s">
        <v>19546</v>
      </c>
      <c r="H16199" t="s">
        <v>25209</v>
      </c>
      <c r="I16199" t="s">
        <v>1357</v>
      </c>
      <c r="J16199" t="s">
        <v>1357</v>
      </c>
      <c r="K16199" t="s">
        <v>1357</v>
      </c>
      <c r="L16199" t="s">
        <v>1357</v>
      </c>
    </row>
    <row r="16200" spans="6:12">
      <c r="F16200" t="s">
        <v>16936</v>
      </c>
      <c r="G16200" t="s">
        <v>19547</v>
      </c>
      <c r="H16200" t="s">
        <v>25210</v>
      </c>
      <c r="I16200" t="s">
        <v>1357</v>
      </c>
      <c r="J16200" t="s">
        <v>1357</v>
      </c>
      <c r="K16200" t="s">
        <v>1357</v>
      </c>
      <c r="L16200" t="s">
        <v>1357</v>
      </c>
    </row>
    <row r="16201" spans="6:12">
      <c r="F16201" t="s">
        <v>16937</v>
      </c>
      <c r="G16201" t="s">
        <v>19548</v>
      </c>
      <c r="H16201" t="s">
        <v>795</v>
      </c>
      <c r="I16201" t="s">
        <v>1357</v>
      </c>
      <c r="J16201" t="s">
        <v>1357</v>
      </c>
      <c r="K16201" t="s">
        <v>1357</v>
      </c>
      <c r="L16201" t="s">
        <v>1357</v>
      </c>
    </row>
    <row r="16202" spans="6:12">
      <c r="H16202" t="s">
        <v>25211</v>
      </c>
      <c r="I16202" t="s">
        <v>1357</v>
      </c>
      <c r="J16202" t="s">
        <v>1357</v>
      </c>
      <c r="K16202" t="s">
        <v>1357</v>
      </c>
      <c r="L16202" t="s">
        <v>1357</v>
      </c>
    </row>
    <row r="16203" spans="6:12">
      <c r="H16203" t="s">
        <v>25212</v>
      </c>
      <c r="I16203" t="s">
        <v>1357</v>
      </c>
      <c r="J16203" t="s">
        <v>1357</v>
      </c>
      <c r="K16203" t="s">
        <v>1357</v>
      </c>
      <c r="L16203" t="s">
        <v>1357</v>
      </c>
    </row>
    <row r="16204" spans="6:12">
      <c r="H16204" t="s">
        <v>25213</v>
      </c>
      <c r="I16204" t="s">
        <v>1357</v>
      </c>
      <c r="J16204" t="s">
        <v>1357</v>
      </c>
      <c r="K16204" t="s">
        <v>1357</v>
      </c>
      <c r="L16204" t="s">
        <v>1357</v>
      </c>
    </row>
    <row r="16205" spans="6:12">
      <c r="F16205" t="s">
        <v>16938</v>
      </c>
      <c r="G16205" t="s">
        <v>19549</v>
      </c>
      <c r="H16205" t="s">
        <v>795</v>
      </c>
      <c r="I16205" t="s">
        <v>1357</v>
      </c>
      <c r="J16205" t="s">
        <v>1357</v>
      </c>
      <c r="K16205" t="s">
        <v>1357</v>
      </c>
      <c r="L16205" t="s">
        <v>1357</v>
      </c>
    </row>
    <row r="16206" spans="6:12">
      <c r="H16206" t="s">
        <v>25214</v>
      </c>
      <c r="I16206" t="s">
        <v>1357</v>
      </c>
      <c r="J16206" t="s">
        <v>1357</v>
      </c>
      <c r="K16206" t="s">
        <v>1357</v>
      </c>
      <c r="L16206" t="s">
        <v>1357</v>
      </c>
    </row>
    <row r="16207" spans="6:12">
      <c r="F16207" t="s">
        <v>16939</v>
      </c>
      <c r="G16207" t="s">
        <v>19550</v>
      </c>
      <c r="H16207" t="s">
        <v>25215</v>
      </c>
      <c r="I16207" t="s">
        <v>1357</v>
      </c>
      <c r="J16207" t="s">
        <v>1357</v>
      </c>
      <c r="K16207" t="s">
        <v>1357</v>
      </c>
      <c r="L16207" t="s">
        <v>1357</v>
      </c>
    </row>
    <row r="16208" spans="6:12">
      <c r="H16208" t="s">
        <v>25216</v>
      </c>
      <c r="I16208" t="s">
        <v>1357</v>
      </c>
      <c r="J16208" t="s">
        <v>1357</v>
      </c>
      <c r="K16208" t="s">
        <v>1357</v>
      </c>
      <c r="L16208" t="s">
        <v>1357</v>
      </c>
    </row>
    <row r="16209" spans="6:13">
      <c r="H16209" t="s">
        <v>25217</v>
      </c>
      <c r="I16209" t="s">
        <v>1357</v>
      </c>
      <c r="J16209" t="s">
        <v>1357</v>
      </c>
      <c r="K16209" t="s">
        <v>1357</v>
      </c>
      <c r="L16209" t="s">
        <v>1357</v>
      </c>
    </row>
    <row r="16210" spans="6:13">
      <c r="F16210" t="s">
        <v>16744</v>
      </c>
      <c r="G16210" t="s">
        <v>19373</v>
      </c>
      <c r="H16210" t="s">
        <v>25218</v>
      </c>
      <c r="I16210" t="s">
        <v>1357</v>
      </c>
      <c r="J16210" t="s">
        <v>1357</v>
      </c>
      <c r="K16210" t="s">
        <v>1357</v>
      </c>
      <c r="L16210" t="s">
        <v>1357</v>
      </c>
    </row>
    <row r="16211" spans="6:13">
      <c r="H16211" t="s">
        <v>25214</v>
      </c>
      <c r="I16211" t="s">
        <v>1357</v>
      </c>
      <c r="J16211" t="s">
        <v>1357</v>
      </c>
      <c r="K16211" t="s">
        <v>1357</v>
      </c>
      <c r="L16211" t="s">
        <v>1357</v>
      </c>
    </row>
    <row r="16212" spans="6:13">
      <c r="H16212" t="s">
        <v>25219</v>
      </c>
      <c r="I16212" t="s">
        <v>1357</v>
      </c>
      <c r="J16212" t="s">
        <v>1357</v>
      </c>
      <c r="K16212" t="s">
        <v>1357</v>
      </c>
      <c r="L16212" t="s">
        <v>1357</v>
      </c>
      <c r="M16212" t="s">
        <v>9957</v>
      </c>
    </row>
    <row r="16213" spans="6:13">
      <c r="H16213" t="s">
        <v>25220</v>
      </c>
      <c r="I16213" t="s">
        <v>1357</v>
      </c>
      <c r="J16213" t="s">
        <v>1357</v>
      </c>
      <c r="K16213" t="s">
        <v>1357</v>
      </c>
      <c r="L16213" t="s">
        <v>1357</v>
      </c>
    </row>
    <row r="16214" spans="6:13">
      <c r="H16214" t="s">
        <v>25221</v>
      </c>
      <c r="I16214" t="s">
        <v>1357</v>
      </c>
      <c r="J16214" t="s">
        <v>1357</v>
      </c>
      <c r="K16214" t="s">
        <v>1357</v>
      </c>
      <c r="L16214" t="s">
        <v>1357</v>
      </c>
    </row>
    <row r="16215" spans="6:13">
      <c r="H16215" t="s">
        <v>25222</v>
      </c>
      <c r="I16215" t="s">
        <v>1357</v>
      </c>
      <c r="J16215" t="s">
        <v>1357</v>
      </c>
      <c r="K16215" t="s">
        <v>1357</v>
      </c>
      <c r="L16215" t="s">
        <v>1357</v>
      </c>
    </row>
    <row r="16216" spans="6:13">
      <c r="H16216" t="s">
        <v>25223</v>
      </c>
      <c r="I16216" t="s">
        <v>1357</v>
      </c>
      <c r="J16216" t="s">
        <v>1357</v>
      </c>
      <c r="K16216" t="s">
        <v>1357</v>
      </c>
      <c r="L16216" t="s">
        <v>1357</v>
      </c>
    </row>
    <row r="16217" spans="6:13">
      <c r="H16217" t="s">
        <v>25224</v>
      </c>
      <c r="I16217" t="s">
        <v>1357</v>
      </c>
      <c r="J16217" t="s">
        <v>1357</v>
      </c>
      <c r="K16217" t="s">
        <v>1357</v>
      </c>
      <c r="L16217" t="s">
        <v>1357</v>
      </c>
    </row>
    <row r="16218" spans="6:13">
      <c r="F16218" t="s">
        <v>16940</v>
      </c>
      <c r="G16218" t="s">
        <v>19551</v>
      </c>
      <c r="H16218" t="s">
        <v>25225</v>
      </c>
      <c r="I16218" t="s">
        <v>1357</v>
      </c>
      <c r="J16218" t="s">
        <v>1357</v>
      </c>
      <c r="K16218" t="s">
        <v>1357</v>
      </c>
      <c r="L16218" t="s">
        <v>1357</v>
      </c>
    </row>
    <row r="16219" spans="6:13">
      <c r="F16219" t="s">
        <v>14545</v>
      </c>
      <c r="G16219" t="s">
        <v>17390</v>
      </c>
      <c r="H16219" t="s">
        <v>25226</v>
      </c>
      <c r="I16219" t="s">
        <v>1357</v>
      </c>
      <c r="J16219" t="s">
        <v>1357</v>
      </c>
      <c r="K16219" t="s">
        <v>1357</v>
      </c>
      <c r="L16219" t="s">
        <v>1357</v>
      </c>
    </row>
    <row r="16220" spans="6:13">
      <c r="H16220" t="s">
        <v>25227</v>
      </c>
      <c r="I16220" t="s">
        <v>1357</v>
      </c>
      <c r="J16220" t="s">
        <v>1357</v>
      </c>
      <c r="K16220" t="s">
        <v>1357</v>
      </c>
      <c r="L16220" t="s">
        <v>1357</v>
      </c>
    </row>
    <row r="16221" spans="6:13">
      <c r="H16221" t="s">
        <v>25228</v>
      </c>
      <c r="I16221" t="s">
        <v>1357</v>
      </c>
      <c r="J16221" t="s">
        <v>1357</v>
      </c>
      <c r="K16221" t="s">
        <v>1357</v>
      </c>
      <c r="L16221" t="s">
        <v>1357</v>
      </c>
    </row>
    <row r="16222" spans="6:13">
      <c r="H16222" t="s">
        <v>25229</v>
      </c>
      <c r="I16222" t="s">
        <v>1357</v>
      </c>
      <c r="J16222" t="s">
        <v>1357</v>
      </c>
      <c r="K16222" t="s">
        <v>1357</v>
      </c>
      <c r="L16222" t="s">
        <v>1357</v>
      </c>
    </row>
    <row r="16223" spans="6:13">
      <c r="H16223" t="s">
        <v>25230</v>
      </c>
      <c r="I16223" t="s">
        <v>1357</v>
      </c>
      <c r="J16223" t="s">
        <v>1357</v>
      </c>
      <c r="K16223" t="s">
        <v>1357</v>
      </c>
      <c r="L16223" t="s">
        <v>1357</v>
      </c>
    </row>
    <row r="16224" spans="6:13">
      <c r="F16224" t="s">
        <v>16941</v>
      </c>
      <c r="G16224" t="s">
        <v>19552</v>
      </c>
      <c r="H16224" t="s">
        <v>23990</v>
      </c>
      <c r="I16224" t="s">
        <v>1357</v>
      </c>
      <c r="J16224" t="s">
        <v>1357</v>
      </c>
      <c r="K16224" t="s">
        <v>1357</v>
      </c>
      <c r="L16224" t="s">
        <v>1357</v>
      </c>
    </row>
    <row r="16225" spans="8:12">
      <c r="H16225" t="s">
        <v>25231</v>
      </c>
      <c r="I16225" t="s">
        <v>1357</v>
      </c>
      <c r="J16225" t="s">
        <v>1357</v>
      </c>
      <c r="K16225" t="s">
        <v>1357</v>
      </c>
      <c r="L16225" t="s">
        <v>1357</v>
      </c>
    </row>
    <row r="16226" spans="8:12">
      <c r="H16226" t="s">
        <v>25232</v>
      </c>
      <c r="I16226" t="s">
        <v>1357</v>
      </c>
      <c r="J16226" t="s">
        <v>1357</v>
      </c>
      <c r="K16226" t="s">
        <v>1357</v>
      </c>
      <c r="L16226" t="s">
        <v>1357</v>
      </c>
    </row>
    <row r="16227" spans="8:12">
      <c r="H16227" t="s">
        <v>812</v>
      </c>
      <c r="I16227" t="s">
        <v>1357</v>
      </c>
      <c r="J16227" t="s">
        <v>1357</v>
      </c>
      <c r="K16227" t="s">
        <v>1357</v>
      </c>
      <c r="L16227" t="s">
        <v>1357</v>
      </c>
    </row>
    <row r="16228" spans="8:12">
      <c r="H16228" t="s">
        <v>1850</v>
      </c>
      <c r="I16228" t="s">
        <v>1357</v>
      </c>
      <c r="J16228" t="s">
        <v>1357</v>
      </c>
      <c r="K16228" t="s">
        <v>1357</v>
      </c>
      <c r="L16228" t="s">
        <v>1357</v>
      </c>
    </row>
    <row r="16229" spans="8:12">
      <c r="H16229" t="s">
        <v>25233</v>
      </c>
      <c r="I16229" t="s">
        <v>1357</v>
      </c>
      <c r="J16229" t="s">
        <v>1357</v>
      </c>
      <c r="K16229" t="s">
        <v>1357</v>
      </c>
      <c r="L16229" t="s">
        <v>1357</v>
      </c>
    </row>
    <row r="16230" spans="8:12">
      <c r="H16230" t="s">
        <v>25234</v>
      </c>
      <c r="I16230" t="s">
        <v>1357</v>
      </c>
      <c r="J16230" t="s">
        <v>1357</v>
      </c>
      <c r="K16230" t="s">
        <v>1357</v>
      </c>
      <c r="L16230" t="s">
        <v>1357</v>
      </c>
    </row>
    <row r="16231" spans="8:12">
      <c r="H16231" t="s">
        <v>25235</v>
      </c>
      <c r="I16231" t="s">
        <v>1357</v>
      </c>
      <c r="J16231" t="s">
        <v>1357</v>
      </c>
      <c r="K16231" t="s">
        <v>1357</v>
      </c>
      <c r="L16231" t="s">
        <v>1357</v>
      </c>
    </row>
    <row r="16232" spans="8:12">
      <c r="H16232" t="s">
        <v>25236</v>
      </c>
      <c r="I16232" t="s">
        <v>1357</v>
      </c>
      <c r="J16232" t="s">
        <v>1357</v>
      </c>
      <c r="K16232" t="s">
        <v>1357</v>
      </c>
      <c r="L16232" t="s">
        <v>1357</v>
      </c>
    </row>
    <row r="16233" spans="8:12">
      <c r="H16233" t="s">
        <v>25237</v>
      </c>
      <c r="I16233" t="s">
        <v>1357</v>
      </c>
      <c r="J16233" t="s">
        <v>1357</v>
      </c>
      <c r="K16233" t="s">
        <v>1357</v>
      </c>
      <c r="L16233" t="s">
        <v>1357</v>
      </c>
    </row>
    <row r="16234" spans="8:12">
      <c r="H16234" t="s">
        <v>25238</v>
      </c>
      <c r="I16234" t="s">
        <v>1357</v>
      </c>
      <c r="J16234" t="s">
        <v>1357</v>
      </c>
      <c r="K16234" t="s">
        <v>1357</v>
      </c>
      <c r="L16234" t="s">
        <v>1357</v>
      </c>
    </row>
    <row r="16235" spans="8:12">
      <c r="H16235" t="s">
        <v>25239</v>
      </c>
      <c r="I16235" t="s">
        <v>1357</v>
      </c>
      <c r="J16235" t="s">
        <v>1357</v>
      </c>
      <c r="K16235" t="s">
        <v>1357</v>
      </c>
      <c r="L16235" t="s">
        <v>1357</v>
      </c>
    </row>
    <row r="16236" spans="8:12">
      <c r="H16236" t="s">
        <v>25240</v>
      </c>
      <c r="I16236" t="s">
        <v>1357</v>
      </c>
      <c r="J16236" t="s">
        <v>1357</v>
      </c>
      <c r="K16236" t="s">
        <v>1357</v>
      </c>
      <c r="L16236" t="s">
        <v>1357</v>
      </c>
    </row>
    <row r="16237" spans="8:12">
      <c r="H16237" t="s">
        <v>25241</v>
      </c>
      <c r="I16237" t="s">
        <v>1357</v>
      </c>
      <c r="J16237" t="s">
        <v>1357</v>
      </c>
      <c r="K16237" t="s">
        <v>1357</v>
      </c>
      <c r="L16237" t="s">
        <v>1357</v>
      </c>
    </row>
    <row r="16238" spans="8:12">
      <c r="H16238" t="s">
        <v>25242</v>
      </c>
      <c r="I16238" t="s">
        <v>1357</v>
      </c>
      <c r="J16238" t="s">
        <v>1357</v>
      </c>
      <c r="K16238" t="s">
        <v>1357</v>
      </c>
      <c r="L16238" t="s">
        <v>1357</v>
      </c>
    </row>
    <row r="16239" spans="8:12">
      <c r="H16239" t="s">
        <v>25243</v>
      </c>
      <c r="I16239" t="s">
        <v>1357</v>
      </c>
      <c r="J16239" t="s">
        <v>1357</v>
      </c>
      <c r="K16239" t="s">
        <v>1357</v>
      </c>
      <c r="L16239" t="s">
        <v>1357</v>
      </c>
    </row>
    <row r="16240" spans="8:12">
      <c r="H16240" t="s">
        <v>25244</v>
      </c>
      <c r="I16240" t="s">
        <v>1357</v>
      </c>
      <c r="J16240" t="s">
        <v>1357</v>
      </c>
      <c r="K16240" t="s">
        <v>1357</v>
      </c>
      <c r="L16240" t="s">
        <v>1357</v>
      </c>
    </row>
    <row r="16241" spans="6:12">
      <c r="H16241" t="s">
        <v>25245</v>
      </c>
      <c r="I16241" t="s">
        <v>1357</v>
      </c>
      <c r="J16241" t="s">
        <v>1357</v>
      </c>
      <c r="K16241" t="s">
        <v>1357</v>
      </c>
      <c r="L16241" t="s">
        <v>1357</v>
      </c>
    </row>
    <row r="16242" spans="6:12">
      <c r="H16242" t="s">
        <v>25246</v>
      </c>
      <c r="I16242" t="s">
        <v>1357</v>
      </c>
      <c r="J16242" t="s">
        <v>1357</v>
      </c>
      <c r="K16242" t="s">
        <v>1357</v>
      </c>
      <c r="L16242" t="s">
        <v>1357</v>
      </c>
    </row>
    <row r="16243" spans="6:12">
      <c r="H16243" t="s">
        <v>25247</v>
      </c>
      <c r="I16243" t="s">
        <v>1357</v>
      </c>
      <c r="J16243" t="s">
        <v>1357</v>
      </c>
      <c r="K16243" t="s">
        <v>1357</v>
      </c>
      <c r="L16243" t="s">
        <v>1357</v>
      </c>
    </row>
    <row r="16244" spans="6:12">
      <c r="H16244" t="s">
        <v>25248</v>
      </c>
      <c r="I16244" t="s">
        <v>1357</v>
      </c>
      <c r="J16244" t="s">
        <v>1357</v>
      </c>
      <c r="K16244" t="s">
        <v>1357</v>
      </c>
      <c r="L16244" t="s">
        <v>1357</v>
      </c>
    </row>
    <row r="16245" spans="6:12">
      <c r="H16245" t="s">
        <v>25249</v>
      </c>
      <c r="I16245" t="s">
        <v>1357</v>
      </c>
      <c r="J16245" t="s">
        <v>1357</v>
      </c>
      <c r="K16245" t="s">
        <v>1357</v>
      </c>
      <c r="L16245" t="s">
        <v>1357</v>
      </c>
    </row>
    <row r="16246" spans="6:12">
      <c r="H16246" t="s">
        <v>25250</v>
      </c>
      <c r="I16246" t="s">
        <v>1357</v>
      </c>
      <c r="J16246" t="s">
        <v>1357</v>
      </c>
      <c r="K16246" t="s">
        <v>1357</v>
      </c>
      <c r="L16246" t="s">
        <v>1357</v>
      </c>
    </row>
    <row r="16247" spans="6:12">
      <c r="H16247" t="s">
        <v>25251</v>
      </c>
      <c r="I16247" t="s">
        <v>1357</v>
      </c>
      <c r="J16247" t="s">
        <v>1357</v>
      </c>
      <c r="K16247" t="s">
        <v>1357</v>
      </c>
      <c r="L16247" t="s">
        <v>1357</v>
      </c>
    </row>
    <row r="16248" spans="6:12">
      <c r="H16248" t="s">
        <v>25252</v>
      </c>
      <c r="I16248" t="s">
        <v>1357</v>
      </c>
      <c r="J16248" t="s">
        <v>1357</v>
      </c>
      <c r="K16248" t="s">
        <v>1357</v>
      </c>
      <c r="L16248" t="s">
        <v>1357</v>
      </c>
    </row>
    <row r="16249" spans="6:12">
      <c r="H16249" t="s">
        <v>25253</v>
      </c>
      <c r="I16249" t="s">
        <v>1357</v>
      </c>
      <c r="J16249" t="s">
        <v>1357</v>
      </c>
      <c r="K16249" t="s">
        <v>1357</v>
      </c>
      <c r="L16249" t="s">
        <v>1357</v>
      </c>
    </row>
    <row r="16250" spans="6:12">
      <c r="H16250" t="s">
        <v>25254</v>
      </c>
      <c r="I16250" t="s">
        <v>1357</v>
      </c>
      <c r="J16250" t="s">
        <v>1357</v>
      </c>
      <c r="K16250" t="s">
        <v>1357</v>
      </c>
      <c r="L16250" t="s">
        <v>1357</v>
      </c>
    </row>
    <row r="16251" spans="6:12">
      <c r="H16251" t="s">
        <v>25255</v>
      </c>
      <c r="I16251" t="s">
        <v>1357</v>
      </c>
      <c r="J16251" t="s">
        <v>1357</v>
      </c>
      <c r="K16251" t="s">
        <v>1357</v>
      </c>
      <c r="L16251" t="s">
        <v>1357</v>
      </c>
    </row>
    <row r="16252" spans="6:12">
      <c r="H16252" t="s">
        <v>25256</v>
      </c>
      <c r="I16252" t="s">
        <v>1357</v>
      </c>
      <c r="J16252" t="s">
        <v>1357</v>
      </c>
      <c r="K16252" t="s">
        <v>1357</v>
      </c>
      <c r="L16252" t="s">
        <v>1357</v>
      </c>
    </row>
    <row r="16253" spans="6:12">
      <c r="H16253" t="s">
        <v>25257</v>
      </c>
      <c r="I16253" t="s">
        <v>1357</v>
      </c>
      <c r="J16253" t="s">
        <v>1357</v>
      </c>
      <c r="K16253" t="s">
        <v>1357</v>
      </c>
      <c r="L16253" t="s">
        <v>1357</v>
      </c>
    </row>
    <row r="16254" spans="6:12">
      <c r="F16254" t="s">
        <v>16942</v>
      </c>
      <c r="G16254" t="s">
        <v>19553</v>
      </c>
      <c r="H16254" t="s">
        <v>25258</v>
      </c>
      <c r="I16254" t="s">
        <v>1357</v>
      </c>
      <c r="J16254" t="s">
        <v>1357</v>
      </c>
      <c r="K16254" t="s">
        <v>1357</v>
      </c>
      <c r="L16254" t="s">
        <v>1357</v>
      </c>
    </row>
    <row r="16255" spans="6:12">
      <c r="F16255" t="s">
        <v>16943</v>
      </c>
      <c r="G16255" t="s">
        <v>19554</v>
      </c>
      <c r="H16255" t="s">
        <v>25259</v>
      </c>
      <c r="I16255" t="s">
        <v>1357</v>
      </c>
      <c r="J16255" t="s">
        <v>1357</v>
      </c>
      <c r="K16255" t="s">
        <v>1357</v>
      </c>
      <c r="L16255" t="s">
        <v>1357</v>
      </c>
    </row>
    <row r="16256" spans="6:12">
      <c r="H16256" t="s">
        <v>25260</v>
      </c>
      <c r="I16256" t="s">
        <v>1357</v>
      </c>
      <c r="J16256" t="s">
        <v>1357</v>
      </c>
      <c r="K16256" t="s">
        <v>1357</v>
      </c>
      <c r="L16256" t="s">
        <v>1357</v>
      </c>
    </row>
    <row r="16257" spans="6:12">
      <c r="H16257" t="s">
        <v>25261</v>
      </c>
      <c r="I16257" t="s">
        <v>1357</v>
      </c>
      <c r="J16257" t="s">
        <v>1357</v>
      </c>
      <c r="K16257" t="s">
        <v>1357</v>
      </c>
      <c r="L16257" t="s">
        <v>1357</v>
      </c>
    </row>
    <row r="16258" spans="6:12">
      <c r="F16258" t="s">
        <v>16944</v>
      </c>
      <c r="G16258" t="s">
        <v>19555</v>
      </c>
      <c r="H16258" t="s">
        <v>25262</v>
      </c>
      <c r="I16258" t="s">
        <v>1357</v>
      </c>
      <c r="J16258" t="s">
        <v>1357</v>
      </c>
      <c r="K16258" t="s">
        <v>1357</v>
      </c>
      <c r="L16258" t="s">
        <v>1357</v>
      </c>
    </row>
    <row r="16259" spans="6:12">
      <c r="F16259" t="s">
        <v>16945</v>
      </c>
      <c r="G16259" t="s">
        <v>19556</v>
      </c>
      <c r="H16259" t="s">
        <v>795</v>
      </c>
      <c r="I16259" t="s">
        <v>1357</v>
      </c>
      <c r="J16259" t="s">
        <v>1357</v>
      </c>
      <c r="K16259" t="s">
        <v>1357</v>
      </c>
      <c r="L16259" t="s">
        <v>1357</v>
      </c>
    </row>
    <row r="16260" spans="6:12">
      <c r="F16260" t="s">
        <v>16946</v>
      </c>
      <c r="G16260" t="s">
        <v>19557</v>
      </c>
      <c r="H16260" t="s">
        <v>23247</v>
      </c>
      <c r="I16260" t="s">
        <v>1357</v>
      </c>
      <c r="J16260" t="s">
        <v>1357</v>
      </c>
      <c r="K16260" t="s">
        <v>1357</v>
      </c>
      <c r="L16260" t="s">
        <v>1357</v>
      </c>
    </row>
    <row r="16261" spans="6:12">
      <c r="H16261" t="s">
        <v>25263</v>
      </c>
      <c r="I16261" t="s">
        <v>1357</v>
      </c>
      <c r="J16261" t="s">
        <v>1357</v>
      </c>
      <c r="K16261" t="s">
        <v>1357</v>
      </c>
      <c r="L16261" t="s">
        <v>1357</v>
      </c>
    </row>
    <row r="16262" spans="6:12">
      <c r="H16262" t="s">
        <v>25264</v>
      </c>
      <c r="I16262" t="s">
        <v>1357</v>
      </c>
      <c r="J16262" t="s">
        <v>1357</v>
      </c>
      <c r="K16262" t="s">
        <v>1357</v>
      </c>
      <c r="L16262" t="s">
        <v>1357</v>
      </c>
    </row>
    <row r="16263" spans="6:12">
      <c r="H16263" t="s">
        <v>25265</v>
      </c>
      <c r="I16263" t="s">
        <v>1357</v>
      </c>
      <c r="J16263" t="s">
        <v>1357</v>
      </c>
      <c r="K16263" t="s">
        <v>1357</v>
      </c>
      <c r="L16263" t="s">
        <v>1357</v>
      </c>
    </row>
    <row r="16264" spans="6:12">
      <c r="H16264" t="s">
        <v>25266</v>
      </c>
      <c r="I16264" t="s">
        <v>1357</v>
      </c>
      <c r="J16264" t="s">
        <v>1357</v>
      </c>
      <c r="K16264" t="s">
        <v>1357</v>
      </c>
      <c r="L16264" t="s">
        <v>1357</v>
      </c>
    </row>
    <row r="16265" spans="6:12">
      <c r="H16265" t="s">
        <v>25267</v>
      </c>
      <c r="I16265" t="s">
        <v>1357</v>
      </c>
      <c r="J16265" t="s">
        <v>1357</v>
      </c>
      <c r="K16265" t="s">
        <v>1357</v>
      </c>
      <c r="L16265" t="s">
        <v>1357</v>
      </c>
    </row>
    <row r="16266" spans="6:12">
      <c r="F16266" t="s">
        <v>16947</v>
      </c>
      <c r="G16266" t="s">
        <v>19558</v>
      </c>
      <c r="H16266" t="s">
        <v>25268</v>
      </c>
      <c r="I16266" t="s">
        <v>1357</v>
      </c>
      <c r="J16266" t="s">
        <v>1357</v>
      </c>
      <c r="K16266" t="s">
        <v>1357</v>
      </c>
      <c r="L16266" t="s">
        <v>1357</v>
      </c>
    </row>
    <row r="16267" spans="6:12">
      <c r="F16267" t="s">
        <v>16948</v>
      </c>
      <c r="G16267" t="s">
        <v>19559</v>
      </c>
      <c r="H16267" t="s">
        <v>4690</v>
      </c>
      <c r="I16267" t="s">
        <v>1357</v>
      </c>
      <c r="J16267" t="s">
        <v>1357</v>
      </c>
      <c r="K16267" t="s">
        <v>1357</v>
      </c>
      <c r="L16267" t="s">
        <v>1357</v>
      </c>
    </row>
    <row r="16268" spans="6:12">
      <c r="H16268" t="s">
        <v>25269</v>
      </c>
      <c r="I16268" t="s">
        <v>1357</v>
      </c>
      <c r="J16268" t="s">
        <v>1357</v>
      </c>
      <c r="K16268" t="s">
        <v>1357</v>
      </c>
      <c r="L16268" t="s">
        <v>1357</v>
      </c>
    </row>
    <row r="16269" spans="6:12">
      <c r="H16269" t="s">
        <v>25270</v>
      </c>
      <c r="I16269" t="s">
        <v>1357</v>
      </c>
      <c r="J16269" t="s">
        <v>1357</v>
      </c>
      <c r="K16269" t="s">
        <v>1357</v>
      </c>
      <c r="L16269" t="s">
        <v>1357</v>
      </c>
    </row>
    <row r="16270" spans="6:12">
      <c r="F16270" t="s">
        <v>16949</v>
      </c>
      <c r="G16270" t="s">
        <v>19560</v>
      </c>
      <c r="H16270" t="s">
        <v>25271</v>
      </c>
      <c r="I16270" t="s">
        <v>1357</v>
      </c>
      <c r="J16270" t="s">
        <v>1357</v>
      </c>
      <c r="K16270" t="s">
        <v>1357</v>
      </c>
      <c r="L16270" t="s">
        <v>1357</v>
      </c>
    </row>
    <row r="16271" spans="6:12">
      <c r="H16271" t="s">
        <v>25272</v>
      </c>
      <c r="I16271" t="s">
        <v>1357</v>
      </c>
      <c r="J16271" t="s">
        <v>1357</v>
      </c>
      <c r="K16271" t="s">
        <v>1357</v>
      </c>
      <c r="L16271" t="s">
        <v>1357</v>
      </c>
    </row>
    <row r="16272" spans="6:12">
      <c r="H16272" t="s">
        <v>3303</v>
      </c>
      <c r="I16272" t="s">
        <v>1357</v>
      </c>
      <c r="J16272" t="s">
        <v>1357</v>
      </c>
      <c r="K16272" t="s">
        <v>1357</v>
      </c>
      <c r="L16272" t="s">
        <v>1357</v>
      </c>
    </row>
    <row r="16273" spans="6:12">
      <c r="H16273" t="s">
        <v>1083</v>
      </c>
      <c r="I16273" t="s">
        <v>1357</v>
      </c>
      <c r="J16273" t="s">
        <v>1357</v>
      </c>
      <c r="K16273" t="s">
        <v>1357</v>
      </c>
      <c r="L16273" t="s">
        <v>1357</v>
      </c>
    </row>
    <row r="16274" spans="6:12">
      <c r="H16274" t="s">
        <v>1077</v>
      </c>
      <c r="I16274" t="s">
        <v>1357</v>
      </c>
      <c r="J16274" t="s">
        <v>1357</v>
      </c>
      <c r="K16274" t="s">
        <v>1357</v>
      </c>
      <c r="L16274" t="s">
        <v>1357</v>
      </c>
    </row>
    <row r="16275" spans="6:12">
      <c r="H16275" t="s">
        <v>25273</v>
      </c>
      <c r="I16275" t="s">
        <v>1357</v>
      </c>
      <c r="J16275" t="s">
        <v>1357</v>
      </c>
      <c r="K16275" t="s">
        <v>1357</v>
      </c>
      <c r="L16275" t="s">
        <v>1357</v>
      </c>
    </row>
    <row r="16276" spans="6:12">
      <c r="F16276" t="s">
        <v>16950</v>
      </c>
      <c r="G16276" t="s">
        <v>19561</v>
      </c>
      <c r="H16276" t="s">
        <v>25274</v>
      </c>
      <c r="I16276" t="s">
        <v>1357</v>
      </c>
      <c r="J16276" t="s">
        <v>1357</v>
      </c>
      <c r="K16276" t="s">
        <v>1357</v>
      </c>
      <c r="L16276" t="s">
        <v>1357</v>
      </c>
    </row>
    <row r="16277" spans="6:12">
      <c r="H16277" t="s">
        <v>25275</v>
      </c>
      <c r="I16277" t="s">
        <v>1357</v>
      </c>
      <c r="J16277" t="s">
        <v>1357</v>
      </c>
      <c r="K16277" t="s">
        <v>1357</v>
      </c>
      <c r="L16277" t="s">
        <v>1357</v>
      </c>
    </row>
    <row r="16278" spans="6:12">
      <c r="H16278" t="s">
        <v>25276</v>
      </c>
      <c r="I16278" t="s">
        <v>1357</v>
      </c>
      <c r="J16278" t="s">
        <v>1357</v>
      </c>
      <c r="K16278" t="s">
        <v>1357</v>
      </c>
      <c r="L16278" t="s">
        <v>1357</v>
      </c>
    </row>
    <row r="16279" spans="6:12">
      <c r="H16279" t="s">
        <v>25277</v>
      </c>
      <c r="I16279" t="s">
        <v>1357</v>
      </c>
      <c r="J16279" t="s">
        <v>1357</v>
      </c>
      <c r="K16279" t="s">
        <v>1357</v>
      </c>
      <c r="L16279" t="s">
        <v>1357</v>
      </c>
    </row>
    <row r="16280" spans="6:12">
      <c r="H16280" t="s">
        <v>25278</v>
      </c>
      <c r="I16280" t="s">
        <v>1357</v>
      </c>
      <c r="J16280" t="s">
        <v>1357</v>
      </c>
      <c r="K16280" t="s">
        <v>1357</v>
      </c>
      <c r="L16280" t="s">
        <v>1357</v>
      </c>
    </row>
    <row r="16281" spans="6:12">
      <c r="F16281" t="s">
        <v>16951</v>
      </c>
      <c r="G16281" t="s">
        <v>19562</v>
      </c>
      <c r="H16281" t="s">
        <v>25279</v>
      </c>
      <c r="I16281" t="s">
        <v>1357</v>
      </c>
      <c r="J16281" t="s">
        <v>1357</v>
      </c>
      <c r="K16281" t="s">
        <v>1357</v>
      </c>
      <c r="L16281" t="s">
        <v>1357</v>
      </c>
    </row>
    <row r="16282" spans="6:12">
      <c r="H16282" t="s">
        <v>25280</v>
      </c>
      <c r="I16282" t="s">
        <v>1357</v>
      </c>
      <c r="J16282" t="s">
        <v>1357</v>
      </c>
      <c r="K16282" t="s">
        <v>1357</v>
      </c>
      <c r="L16282" t="s">
        <v>1357</v>
      </c>
    </row>
    <row r="16283" spans="6:12">
      <c r="H16283" t="s">
        <v>25281</v>
      </c>
      <c r="I16283" t="s">
        <v>1357</v>
      </c>
      <c r="J16283" t="s">
        <v>1357</v>
      </c>
      <c r="K16283" t="s">
        <v>1357</v>
      </c>
      <c r="L16283" t="s">
        <v>1357</v>
      </c>
    </row>
    <row r="16284" spans="6:12">
      <c r="H16284" t="s">
        <v>25282</v>
      </c>
      <c r="I16284" t="s">
        <v>1357</v>
      </c>
      <c r="J16284" t="s">
        <v>1357</v>
      </c>
      <c r="K16284" t="s">
        <v>1357</v>
      </c>
      <c r="L16284" t="s">
        <v>1357</v>
      </c>
    </row>
    <row r="16285" spans="6:12">
      <c r="H16285" t="s">
        <v>25283</v>
      </c>
      <c r="I16285" t="s">
        <v>1357</v>
      </c>
      <c r="J16285" t="s">
        <v>1357</v>
      </c>
      <c r="K16285" t="s">
        <v>1357</v>
      </c>
      <c r="L16285" t="s">
        <v>1357</v>
      </c>
    </row>
    <row r="16286" spans="6:12">
      <c r="H16286" t="s">
        <v>25284</v>
      </c>
      <c r="I16286" t="s">
        <v>1357</v>
      </c>
      <c r="J16286" t="s">
        <v>1357</v>
      </c>
      <c r="K16286" t="s">
        <v>1357</v>
      </c>
      <c r="L16286" t="s">
        <v>1357</v>
      </c>
    </row>
    <row r="16287" spans="6:12">
      <c r="H16287" t="s">
        <v>25285</v>
      </c>
      <c r="I16287" t="s">
        <v>1357</v>
      </c>
      <c r="J16287" t="s">
        <v>1357</v>
      </c>
      <c r="K16287" t="s">
        <v>1357</v>
      </c>
      <c r="L16287" t="s">
        <v>1357</v>
      </c>
    </row>
    <row r="16288" spans="6:12">
      <c r="H16288" t="s">
        <v>25286</v>
      </c>
      <c r="I16288" t="s">
        <v>1357</v>
      </c>
      <c r="J16288" t="s">
        <v>1357</v>
      </c>
      <c r="K16288" t="s">
        <v>1357</v>
      </c>
      <c r="L16288" t="s">
        <v>1357</v>
      </c>
    </row>
    <row r="16289" spans="1:13">
      <c r="A16289" t="s">
        <v>11417</v>
      </c>
      <c r="B16289">
        <f>HYPERLINK("https://android.googlesource.com/platform/cts/+/11b7995d722e2365b1db426fadbeaac9e50d2f1e", "11b7995d722e2365b1db426fadbeaac9e50d2f1e")</f>
        <v>0</v>
      </c>
      <c r="C16289">
        <f>HYPERLINK("https://android.googlesource.com/platform/cts/+/ce5ac3c10780be2aab4f37342150eca46cc415d7", "ce5ac3c10780be2aab4f37342150eca46cc415d7")</f>
        <v>0</v>
      </c>
      <c r="D16289" t="s">
        <v>12345</v>
      </c>
      <c r="E16289" t="s">
        <v>13932</v>
      </c>
      <c r="F16289" t="s">
        <v>16383</v>
      </c>
      <c r="G16289" t="s">
        <v>17408</v>
      </c>
      <c r="H16289" t="s">
        <v>25287</v>
      </c>
      <c r="I16289" t="s">
        <v>1357</v>
      </c>
      <c r="J16289" t="s">
        <v>1357</v>
      </c>
      <c r="K16289" t="s">
        <v>1357</v>
      </c>
      <c r="L16289" t="s">
        <v>1357</v>
      </c>
    </row>
    <row r="16290" spans="1:13">
      <c r="A16290" t="s">
        <v>11418</v>
      </c>
      <c r="B16290">
        <f>HYPERLINK("https://android.googlesource.com/platform/cts/+/2bc5d17211e4bb9e9f60c08d3a82f7377c4080e5", "2bc5d17211e4bb9e9f60c08d3a82f7377c4080e5")</f>
        <v>0</v>
      </c>
      <c r="C16290">
        <f>HYPERLINK("https://android.googlesource.com/platform/cts/+/2cdb98fc16e2f854300adaa7a3b776a41ed40b77", "2cdb98fc16e2f854300adaa7a3b776a41ed40b77")</f>
        <v>0</v>
      </c>
      <c r="D16290" t="s">
        <v>12196</v>
      </c>
      <c r="E16290" t="s">
        <v>13933</v>
      </c>
      <c r="F16290" t="s">
        <v>16952</v>
      </c>
      <c r="G16290" t="s">
        <v>19563</v>
      </c>
      <c r="H16290" t="s">
        <v>25288</v>
      </c>
      <c r="I16290" t="s">
        <v>1357</v>
      </c>
      <c r="J16290" t="s">
        <v>1357</v>
      </c>
      <c r="K16290" t="s">
        <v>1357</v>
      </c>
      <c r="L16290" t="s">
        <v>1357</v>
      </c>
    </row>
    <row r="16291" spans="1:13">
      <c r="H16291" t="s">
        <v>25289</v>
      </c>
      <c r="I16291" t="s">
        <v>1357</v>
      </c>
      <c r="J16291" t="s">
        <v>1357</v>
      </c>
      <c r="K16291" t="s">
        <v>1357</v>
      </c>
      <c r="L16291" t="s">
        <v>1357</v>
      </c>
    </row>
    <row r="16292" spans="1:13">
      <c r="H16292" t="s">
        <v>25290</v>
      </c>
      <c r="I16292" t="s">
        <v>1357</v>
      </c>
      <c r="J16292" t="s">
        <v>1357</v>
      </c>
      <c r="K16292" t="s">
        <v>1357</v>
      </c>
      <c r="L16292" t="s">
        <v>1357</v>
      </c>
    </row>
    <row r="16293" spans="1:13">
      <c r="A16293" t="s">
        <v>11419</v>
      </c>
      <c r="B16293">
        <f>HYPERLINK("https://android.googlesource.com/platform/cts/+/5e5e6fab77295819ea83f742fba1a8ef5c147be8", "5e5e6fab77295819ea83f742fba1a8ef5c147be8")</f>
        <v>0</v>
      </c>
      <c r="C16293">
        <f>HYPERLINK("https://android.googlesource.com/platform/cts/+/c758cc645a3d0ff21ecdf8fcef5c43b8648e75ee", "c758cc645a3d0ff21ecdf8fcef5c43b8648e75ee")</f>
        <v>0</v>
      </c>
      <c r="D16293" t="s">
        <v>12394</v>
      </c>
      <c r="E16293" t="s">
        <v>13934</v>
      </c>
      <c r="F16293" t="s">
        <v>16914</v>
      </c>
      <c r="G16293" t="s">
        <v>19525</v>
      </c>
      <c r="H16293" t="s">
        <v>24968</v>
      </c>
      <c r="I16293" t="s">
        <v>1357</v>
      </c>
      <c r="J16293" t="s">
        <v>1357</v>
      </c>
      <c r="K16293" t="s">
        <v>1357</v>
      </c>
      <c r="L16293" t="s">
        <v>1357</v>
      </c>
    </row>
    <row r="16294" spans="1:13">
      <c r="H16294" t="s">
        <v>24969</v>
      </c>
      <c r="I16294" t="s">
        <v>1357</v>
      </c>
      <c r="J16294" t="s">
        <v>1357</v>
      </c>
      <c r="K16294" t="s">
        <v>1357</v>
      </c>
      <c r="L16294" t="s">
        <v>1357</v>
      </c>
    </row>
    <row r="16295" spans="1:13">
      <c r="H16295" t="s">
        <v>24970</v>
      </c>
      <c r="I16295" t="s">
        <v>1357</v>
      </c>
      <c r="J16295" t="s">
        <v>1357</v>
      </c>
      <c r="K16295" t="s">
        <v>1357</v>
      </c>
      <c r="L16295" t="s">
        <v>1357</v>
      </c>
    </row>
    <row r="16296" spans="1:13">
      <c r="H16296" t="s">
        <v>24971</v>
      </c>
      <c r="I16296" t="s">
        <v>1357</v>
      </c>
      <c r="J16296" t="s">
        <v>1357</v>
      </c>
      <c r="K16296" t="s">
        <v>1357</v>
      </c>
      <c r="L16296" t="s">
        <v>1357</v>
      </c>
      <c r="M16296" t="s">
        <v>9957</v>
      </c>
    </row>
    <row r="16297" spans="1:13">
      <c r="H16297" t="s">
        <v>24972</v>
      </c>
      <c r="I16297" t="s">
        <v>1357</v>
      </c>
      <c r="J16297" t="s">
        <v>1357</v>
      </c>
      <c r="K16297" t="s">
        <v>1357</v>
      </c>
      <c r="L16297" t="s">
        <v>1357</v>
      </c>
    </row>
    <row r="16298" spans="1:13">
      <c r="H16298" t="s">
        <v>24973</v>
      </c>
      <c r="I16298" t="s">
        <v>1357</v>
      </c>
      <c r="J16298" t="s">
        <v>1357</v>
      </c>
      <c r="K16298" t="s">
        <v>1357</v>
      </c>
      <c r="L16298" t="s">
        <v>1357</v>
      </c>
    </row>
    <row r="16299" spans="1:13">
      <c r="F16299" t="s">
        <v>16915</v>
      </c>
      <c r="G16299" t="s">
        <v>19526</v>
      </c>
      <c r="H16299" t="s">
        <v>24974</v>
      </c>
      <c r="I16299" t="s">
        <v>1357</v>
      </c>
      <c r="J16299" t="s">
        <v>1357</v>
      </c>
      <c r="K16299" t="s">
        <v>1357</v>
      </c>
      <c r="L16299" t="s">
        <v>1357</v>
      </c>
    </row>
    <row r="16300" spans="1:13">
      <c r="H16300" t="s">
        <v>24975</v>
      </c>
      <c r="I16300" t="s">
        <v>1357</v>
      </c>
      <c r="J16300" t="s">
        <v>1357</v>
      </c>
      <c r="K16300" t="s">
        <v>1357</v>
      </c>
      <c r="L16300" t="s">
        <v>1357</v>
      </c>
    </row>
    <row r="16301" spans="1:13">
      <c r="H16301" t="s">
        <v>24976</v>
      </c>
      <c r="I16301" t="s">
        <v>1357</v>
      </c>
      <c r="J16301" t="s">
        <v>1357</v>
      </c>
      <c r="K16301" t="s">
        <v>1357</v>
      </c>
      <c r="L16301" t="s">
        <v>1357</v>
      </c>
    </row>
    <row r="16302" spans="1:13">
      <c r="H16302" t="s">
        <v>24977</v>
      </c>
      <c r="I16302" t="s">
        <v>1357</v>
      </c>
      <c r="J16302" t="s">
        <v>1357</v>
      </c>
      <c r="K16302" t="s">
        <v>1357</v>
      </c>
      <c r="L16302" t="s">
        <v>1357</v>
      </c>
    </row>
    <row r="16303" spans="1:13">
      <c r="H16303" t="s">
        <v>24978</v>
      </c>
      <c r="I16303" t="s">
        <v>1357</v>
      </c>
      <c r="J16303" t="s">
        <v>1357</v>
      </c>
      <c r="K16303" t="s">
        <v>1357</v>
      </c>
      <c r="L16303" t="s">
        <v>1357</v>
      </c>
    </row>
    <row r="16304" spans="1:13">
      <c r="H16304" t="s">
        <v>24979</v>
      </c>
      <c r="I16304" t="s">
        <v>1357</v>
      </c>
      <c r="J16304" t="s">
        <v>1357</v>
      </c>
      <c r="K16304" t="s">
        <v>1357</v>
      </c>
      <c r="L16304" t="s">
        <v>1357</v>
      </c>
    </row>
    <row r="16305" spans="6:12">
      <c r="H16305" t="s">
        <v>24980</v>
      </c>
      <c r="I16305" t="s">
        <v>1357</v>
      </c>
      <c r="J16305" t="s">
        <v>1357</v>
      </c>
      <c r="K16305" t="s">
        <v>1357</v>
      </c>
      <c r="L16305" t="s">
        <v>1357</v>
      </c>
    </row>
    <row r="16306" spans="6:12">
      <c r="H16306" t="s">
        <v>24981</v>
      </c>
      <c r="I16306" t="s">
        <v>1357</v>
      </c>
      <c r="J16306" t="s">
        <v>1357</v>
      </c>
      <c r="K16306" t="s">
        <v>1357</v>
      </c>
      <c r="L16306" t="s">
        <v>1357</v>
      </c>
    </row>
    <row r="16307" spans="6:12">
      <c r="H16307" t="s">
        <v>24982</v>
      </c>
      <c r="I16307" t="s">
        <v>1357</v>
      </c>
      <c r="J16307" t="s">
        <v>1357</v>
      </c>
      <c r="K16307" t="s">
        <v>1357</v>
      </c>
      <c r="L16307" t="s">
        <v>1357</v>
      </c>
    </row>
    <row r="16308" spans="6:12">
      <c r="F16308" t="s">
        <v>16916</v>
      </c>
      <c r="G16308" t="s">
        <v>19527</v>
      </c>
      <c r="H16308" t="s">
        <v>24983</v>
      </c>
      <c r="I16308" t="s">
        <v>1357</v>
      </c>
      <c r="J16308" t="s">
        <v>1357</v>
      </c>
      <c r="K16308" t="s">
        <v>1357</v>
      </c>
      <c r="L16308" t="s">
        <v>1357</v>
      </c>
    </row>
    <row r="16309" spans="6:12">
      <c r="H16309" t="s">
        <v>24984</v>
      </c>
      <c r="I16309" t="s">
        <v>1357</v>
      </c>
      <c r="J16309" t="s">
        <v>1357</v>
      </c>
      <c r="K16309" t="s">
        <v>1357</v>
      </c>
      <c r="L16309" t="s">
        <v>1357</v>
      </c>
    </row>
    <row r="16310" spans="6:12">
      <c r="F16310" t="s">
        <v>16917</v>
      </c>
      <c r="G16310" t="s">
        <v>19528</v>
      </c>
      <c r="H16310" t="s">
        <v>8862</v>
      </c>
      <c r="I16310" t="s">
        <v>1357</v>
      </c>
      <c r="J16310" t="s">
        <v>1357</v>
      </c>
      <c r="K16310" t="s">
        <v>1357</v>
      </c>
      <c r="L16310" t="s">
        <v>1357</v>
      </c>
    </row>
    <row r="16311" spans="6:12">
      <c r="H16311" t="s">
        <v>24985</v>
      </c>
      <c r="I16311" t="s">
        <v>1357</v>
      </c>
      <c r="J16311" t="s">
        <v>1357</v>
      </c>
      <c r="K16311" t="s">
        <v>1357</v>
      </c>
      <c r="L16311" t="s">
        <v>1357</v>
      </c>
    </row>
    <row r="16312" spans="6:12">
      <c r="H16312" t="s">
        <v>24986</v>
      </c>
      <c r="I16312" t="s">
        <v>1357</v>
      </c>
      <c r="J16312" t="s">
        <v>1357</v>
      </c>
      <c r="K16312" t="s">
        <v>1357</v>
      </c>
      <c r="L16312" t="s">
        <v>1357</v>
      </c>
    </row>
    <row r="16313" spans="6:12">
      <c r="H16313" t="s">
        <v>24987</v>
      </c>
      <c r="I16313" t="s">
        <v>1357</v>
      </c>
      <c r="J16313" t="s">
        <v>1357</v>
      </c>
      <c r="K16313" t="s">
        <v>1357</v>
      </c>
      <c r="L16313" t="s">
        <v>1357</v>
      </c>
    </row>
    <row r="16314" spans="6:12">
      <c r="H16314" t="s">
        <v>24988</v>
      </c>
      <c r="I16314" t="s">
        <v>1357</v>
      </c>
      <c r="J16314" t="s">
        <v>1357</v>
      </c>
      <c r="K16314" t="s">
        <v>1357</v>
      </c>
      <c r="L16314" t="s">
        <v>1357</v>
      </c>
    </row>
    <row r="16315" spans="6:12">
      <c r="H16315" t="s">
        <v>24989</v>
      </c>
      <c r="I16315" t="s">
        <v>1357</v>
      </c>
      <c r="J16315" t="s">
        <v>1357</v>
      </c>
      <c r="K16315" t="s">
        <v>1357</v>
      </c>
      <c r="L16315" t="s">
        <v>1357</v>
      </c>
    </row>
    <row r="16316" spans="6:12">
      <c r="H16316" t="s">
        <v>24990</v>
      </c>
      <c r="I16316" t="s">
        <v>1357</v>
      </c>
      <c r="J16316" t="s">
        <v>1357</v>
      </c>
      <c r="K16316" t="s">
        <v>1357</v>
      </c>
      <c r="L16316" t="s">
        <v>1357</v>
      </c>
    </row>
    <row r="16317" spans="6:12">
      <c r="H16317" t="s">
        <v>24991</v>
      </c>
      <c r="I16317" t="s">
        <v>1357</v>
      </c>
      <c r="J16317" t="s">
        <v>1357</v>
      </c>
      <c r="K16317" t="s">
        <v>1357</v>
      </c>
      <c r="L16317" t="s">
        <v>1357</v>
      </c>
    </row>
    <row r="16318" spans="6:12">
      <c r="H16318" t="s">
        <v>24992</v>
      </c>
      <c r="I16318" t="s">
        <v>1357</v>
      </c>
      <c r="J16318" t="s">
        <v>1357</v>
      </c>
      <c r="K16318" t="s">
        <v>1357</v>
      </c>
      <c r="L16318" t="s">
        <v>1357</v>
      </c>
    </row>
    <row r="16319" spans="6:12">
      <c r="H16319" t="s">
        <v>24993</v>
      </c>
      <c r="I16319" t="s">
        <v>1357</v>
      </c>
      <c r="J16319" t="s">
        <v>1357</v>
      </c>
      <c r="K16319" t="s">
        <v>1357</v>
      </c>
      <c r="L16319" t="s">
        <v>1357</v>
      </c>
    </row>
    <row r="16320" spans="6:12">
      <c r="H16320" t="s">
        <v>24994</v>
      </c>
      <c r="I16320" t="s">
        <v>1357</v>
      </c>
      <c r="J16320" t="s">
        <v>1357</v>
      </c>
      <c r="K16320" t="s">
        <v>1357</v>
      </c>
      <c r="L16320" t="s">
        <v>1357</v>
      </c>
    </row>
    <row r="16321" spans="6:12">
      <c r="H16321" t="s">
        <v>24995</v>
      </c>
      <c r="I16321" t="s">
        <v>1357</v>
      </c>
      <c r="J16321" t="s">
        <v>1357</v>
      </c>
      <c r="K16321" t="s">
        <v>1357</v>
      </c>
      <c r="L16321" t="s">
        <v>1357</v>
      </c>
    </row>
    <row r="16322" spans="6:12">
      <c r="H16322" t="s">
        <v>24996</v>
      </c>
      <c r="I16322" t="s">
        <v>1357</v>
      </c>
      <c r="J16322" t="s">
        <v>1357</v>
      </c>
      <c r="K16322" t="s">
        <v>1357</v>
      </c>
      <c r="L16322" t="s">
        <v>1357</v>
      </c>
    </row>
    <row r="16323" spans="6:12">
      <c r="H16323" t="s">
        <v>24997</v>
      </c>
      <c r="I16323" t="s">
        <v>1357</v>
      </c>
      <c r="J16323" t="s">
        <v>1357</v>
      </c>
      <c r="K16323" t="s">
        <v>1357</v>
      </c>
      <c r="L16323" t="s">
        <v>1357</v>
      </c>
    </row>
    <row r="16324" spans="6:12">
      <c r="F16324" t="s">
        <v>16918</v>
      </c>
      <c r="G16324" t="s">
        <v>19529</v>
      </c>
      <c r="H16324" t="s">
        <v>24999</v>
      </c>
      <c r="I16324" t="s">
        <v>1357</v>
      </c>
      <c r="J16324" t="s">
        <v>1357</v>
      </c>
      <c r="K16324" t="s">
        <v>1357</v>
      </c>
      <c r="L16324" t="s">
        <v>1357</v>
      </c>
    </row>
    <row r="16325" spans="6:12">
      <c r="H16325" t="s">
        <v>25000</v>
      </c>
      <c r="I16325" t="s">
        <v>1357</v>
      </c>
      <c r="J16325" t="s">
        <v>1357</v>
      </c>
      <c r="K16325" t="s">
        <v>1357</v>
      </c>
      <c r="L16325" t="s">
        <v>1357</v>
      </c>
    </row>
    <row r="16326" spans="6:12">
      <c r="H16326" t="s">
        <v>25001</v>
      </c>
      <c r="I16326" t="s">
        <v>1357</v>
      </c>
      <c r="J16326" t="s">
        <v>1357</v>
      </c>
      <c r="K16326" t="s">
        <v>1357</v>
      </c>
      <c r="L16326" t="s">
        <v>1357</v>
      </c>
    </row>
    <row r="16327" spans="6:12">
      <c r="H16327" t="s">
        <v>25002</v>
      </c>
      <c r="I16327" t="s">
        <v>1357</v>
      </c>
      <c r="J16327" t="s">
        <v>1357</v>
      </c>
      <c r="K16327" t="s">
        <v>1357</v>
      </c>
      <c r="L16327" t="s">
        <v>1357</v>
      </c>
    </row>
    <row r="16328" spans="6:12">
      <c r="F16328" t="s">
        <v>16919</v>
      </c>
      <c r="G16328" t="s">
        <v>19530</v>
      </c>
      <c r="H16328" t="s">
        <v>25003</v>
      </c>
      <c r="I16328" t="s">
        <v>1357</v>
      </c>
      <c r="J16328" t="s">
        <v>1357</v>
      </c>
      <c r="K16328" t="s">
        <v>1357</v>
      </c>
      <c r="L16328" t="s">
        <v>1357</v>
      </c>
    </row>
    <row r="16329" spans="6:12">
      <c r="H16329" t="s">
        <v>25004</v>
      </c>
      <c r="I16329" t="s">
        <v>1357</v>
      </c>
      <c r="J16329" t="s">
        <v>1357</v>
      </c>
      <c r="K16329" t="s">
        <v>1357</v>
      </c>
      <c r="L16329" t="s">
        <v>1357</v>
      </c>
    </row>
    <row r="16330" spans="6:12">
      <c r="H16330" t="s">
        <v>25005</v>
      </c>
      <c r="I16330" t="s">
        <v>1357</v>
      </c>
      <c r="J16330" t="s">
        <v>1357</v>
      </c>
      <c r="K16330" t="s">
        <v>1357</v>
      </c>
      <c r="L16330" t="s">
        <v>1357</v>
      </c>
    </row>
    <row r="16331" spans="6:12">
      <c r="F16331" t="s">
        <v>16920</v>
      </c>
      <c r="G16331" t="s">
        <v>19531</v>
      </c>
      <c r="H16331" t="s">
        <v>25006</v>
      </c>
      <c r="I16331" t="s">
        <v>1357</v>
      </c>
      <c r="J16331" t="s">
        <v>1357</v>
      </c>
      <c r="K16331" t="s">
        <v>1357</v>
      </c>
      <c r="L16331" t="s">
        <v>1357</v>
      </c>
    </row>
    <row r="16332" spans="6:12">
      <c r="F16332" t="s">
        <v>16921</v>
      </c>
      <c r="G16332" t="s">
        <v>19532</v>
      </c>
      <c r="H16332" t="s">
        <v>25007</v>
      </c>
      <c r="I16332" t="s">
        <v>1357</v>
      </c>
      <c r="J16332" t="s">
        <v>1357</v>
      </c>
      <c r="K16332" t="s">
        <v>1357</v>
      </c>
      <c r="L16332" t="s">
        <v>1357</v>
      </c>
    </row>
    <row r="16333" spans="6:12">
      <c r="H16333" t="s">
        <v>25008</v>
      </c>
      <c r="I16333" t="s">
        <v>1357</v>
      </c>
      <c r="J16333" t="s">
        <v>1357</v>
      </c>
      <c r="K16333" t="s">
        <v>1357</v>
      </c>
      <c r="L16333" t="s">
        <v>1357</v>
      </c>
    </row>
    <row r="16334" spans="6:12">
      <c r="H16334" t="s">
        <v>25009</v>
      </c>
      <c r="I16334" t="s">
        <v>1357</v>
      </c>
      <c r="J16334" t="s">
        <v>1357</v>
      </c>
      <c r="K16334" t="s">
        <v>1357</v>
      </c>
      <c r="L16334" t="s">
        <v>1357</v>
      </c>
    </row>
    <row r="16335" spans="6:12">
      <c r="H16335" t="s">
        <v>25010</v>
      </c>
      <c r="I16335" t="s">
        <v>1357</v>
      </c>
      <c r="J16335" t="s">
        <v>1357</v>
      </c>
      <c r="K16335" t="s">
        <v>1357</v>
      </c>
      <c r="L16335" t="s">
        <v>1357</v>
      </c>
    </row>
    <row r="16336" spans="6:12">
      <c r="H16336" t="s">
        <v>25011</v>
      </c>
      <c r="I16336" t="s">
        <v>1357</v>
      </c>
      <c r="J16336" t="s">
        <v>1357</v>
      </c>
      <c r="K16336" t="s">
        <v>1357</v>
      </c>
      <c r="L16336" t="s">
        <v>1357</v>
      </c>
    </row>
    <row r="16337" spans="6:12">
      <c r="H16337" t="s">
        <v>25012</v>
      </c>
      <c r="I16337" t="s">
        <v>1357</v>
      </c>
      <c r="J16337" t="s">
        <v>1357</v>
      </c>
      <c r="K16337" t="s">
        <v>1357</v>
      </c>
      <c r="L16337" t="s">
        <v>1357</v>
      </c>
    </row>
    <row r="16338" spans="6:12">
      <c r="H16338" t="s">
        <v>25013</v>
      </c>
      <c r="I16338" t="s">
        <v>1357</v>
      </c>
      <c r="J16338" t="s">
        <v>1357</v>
      </c>
      <c r="K16338" t="s">
        <v>1357</v>
      </c>
      <c r="L16338" t="s">
        <v>1357</v>
      </c>
    </row>
    <row r="16339" spans="6:12">
      <c r="H16339" t="s">
        <v>25014</v>
      </c>
      <c r="I16339" t="s">
        <v>1357</v>
      </c>
      <c r="J16339" t="s">
        <v>1357</v>
      </c>
      <c r="K16339" t="s">
        <v>1357</v>
      </c>
      <c r="L16339" t="s">
        <v>1357</v>
      </c>
    </row>
    <row r="16340" spans="6:12">
      <c r="H16340" t="s">
        <v>25015</v>
      </c>
      <c r="I16340" t="s">
        <v>1357</v>
      </c>
      <c r="J16340" t="s">
        <v>1357</v>
      </c>
      <c r="K16340" t="s">
        <v>1357</v>
      </c>
      <c r="L16340" t="s">
        <v>1357</v>
      </c>
    </row>
    <row r="16341" spans="6:12">
      <c r="H16341" t="s">
        <v>25016</v>
      </c>
      <c r="I16341" t="s">
        <v>1357</v>
      </c>
      <c r="J16341" t="s">
        <v>1357</v>
      </c>
      <c r="K16341" t="s">
        <v>1357</v>
      </c>
      <c r="L16341" t="s">
        <v>1357</v>
      </c>
    </row>
    <row r="16342" spans="6:12">
      <c r="H16342" t="s">
        <v>25017</v>
      </c>
      <c r="I16342" t="s">
        <v>1357</v>
      </c>
      <c r="J16342" t="s">
        <v>1357</v>
      </c>
      <c r="K16342" t="s">
        <v>1357</v>
      </c>
      <c r="L16342" t="s">
        <v>1357</v>
      </c>
    </row>
    <row r="16343" spans="6:12">
      <c r="F16343" t="s">
        <v>14522</v>
      </c>
      <c r="G16343" t="s">
        <v>17367</v>
      </c>
      <c r="H16343" t="s">
        <v>25018</v>
      </c>
      <c r="I16343" t="s">
        <v>1357</v>
      </c>
      <c r="J16343" t="s">
        <v>1357</v>
      </c>
      <c r="K16343" t="s">
        <v>1357</v>
      </c>
      <c r="L16343" t="s">
        <v>1357</v>
      </c>
    </row>
    <row r="16344" spans="6:12">
      <c r="H16344" t="s">
        <v>21226</v>
      </c>
      <c r="I16344" t="s">
        <v>1357</v>
      </c>
      <c r="J16344" t="s">
        <v>1357</v>
      </c>
      <c r="K16344" t="s">
        <v>1357</v>
      </c>
      <c r="L16344" t="s">
        <v>1357</v>
      </c>
    </row>
    <row r="16345" spans="6:12">
      <c r="H16345" t="s">
        <v>25019</v>
      </c>
      <c r="I16345" t="s">
        <v>1357</v>
      </c>
      <c r="J16345" t="s">
        <v>1357</v>
      </c>
      <c r="K16345" t="s">
        <v>1357</v>
      </c>
      <c r="L16345" t="s">
        <v>1357</v>
      </c>
    </row>
    <row r="16346" spans="6:12">
      <c r="H16346" t="s">
        <v>25020</v>
      </c>
      <c r="I16346" t="s">
        <v>1357</v>
      </c>
      <c r="J16346" t="s">
        <v>1357</v>
      </c>
      <c r="K16346" t="s">
        <v>1357</v>
      </c>
      <c r="L16346" t="s">
        <v>1357</v>
      </c>
    </row>
    <row r="16347" spans="6:12">
      <c r="H16347" t="s">
        <v>25021</v>
      </c>
      <c r="I16347" t="s">
        <v>1357</v>
      </c>
      <c r="J16347" t="s">
        <v>1357</v>
      </c>
      <c r="K16347" t="s">
        <v>1357</v>
      </c>
      <c r="L16347" t="s">
        <v>1357</v>
      </c>
    </row>
    <row r="16348" spans="6:12">
      <c r="H16348" t="s">
        <v>25022</v>
      </c>
      <c r="I16348" t="s">
        <v>1357</v>
      </c>
      <c r="J16348" t="s">
        <v>1357</v>
      </c>
      <c r="K16348" t="s">
        <v>1357</v>
      </c>
      <c r="L16348" t="s">
        <v>1357</v>
      </c>
    </row>
    <row r="16349" spans="6:12">
      <c r="H16349" t="s">
        <v>25023</v>
      </c>
      <c r="I16349" t="s">
        <v>1357</v>
      </c>
      <c r="J16349" t="s">
        <v>1357</v>
      </c>
      <c r="K16349" t="s">
        <v>1357</v>
      </c>
      <c r="L16349" t="s">
        <v>1357</v>
      </c>
    </row>
    <row r="16350" spans="6:12">
      <c r="H16350" t="s">
        <v>25024</v>
      </c>
      <c r="I16350" t="s">
        <v>1357</v>
      </c>
      <c r="J16350" t="s">
        <v>1357</v>
      </c>
      <c r="K16350" t="s">
        <v>1357</v>
      </c>
      <c r="L16350" t="s">
        <v>1357</v>
      </c>
    </row>
    <row r="16351" spans="6:12">
      <c r="H16351" t="s">
        <v>25025</v>
      </c>
      <c r="I16351" t="s">
        <v>1357</v>
      </c>
      <c r="J16351" t="s">
        <v>1357</v>
      </c>
      <c r="K16351" t="s">
        <v>1357</v>
      </c>
      <c r="L16351" t="s">
        <v>1357</v>
      </c>
    </row>
    <row r="16352" spans="6:12">
      <c r="H16352" t="s">
        <v>21921</v>
      </c>
      <c r="I16352" t="s">
        <v>1357</v>
      </c>
      <c r="J16352" t="s">
        <v>1357</v>
      </c>
      <c r="K16352" t="s">
        <v>1357</v>
      </c>
      <c r="L16352" t="s">
        <v>1357</v>
      </c>
    </row>
    <row r="16353" spans="6:12">
      <c r="H16353" t="s">
        <v>5894</v>
      </c>
      <c r="I16353" t="s">
        <v>1357</v>
      </c>
      <c r="J16353" t="s">
        <v>1357</v>
      </c>
      <c r="K16353" t="s">
        <v>1357</v>
      </c>
      <c r="L16353" t="s">
        <v>1357</v>
      </c>
    </row>
    <row r="16354" spans="6:12">
      <c r="H16354" t="s">
        <v>25026</v>
      </c>
      <c r="I16354" t="s">
        <v>1357</v>
      </c>
      <c r="J16354" t="s">
        <v>1357</v>
      </c>
      <c r="K16354" t="s">
        <v>1357</v>
      </c>
      <c r="L16354" t="s">
        <v>1357</v>
      </c>
    </row>
    <row r="16355" spans="6:12">
      <c r="H16355" t="s">
        <v>25027</v>
      </c>
      <c r="I16355" t="s">
        <v>1357</v>
      </c>
      <c r="J16355" t="s">
        <v>1357</v>
      </c>
      <c r="K16355" t="s">
        <v>1357</v>
      </c>
      <c r="L16355" t="s">
        <v>1357</v>
      </c>
    </row>
    <row r="16356" spans="6:12">
      <c r="H16356" t="s">
        <v>25028</v>
      </c>
      <c r="I16356" t="s">
        <v>1357</v>
      </c>
      <c r="J16356" t="s">
        <v>1357</v>
      </c>
      <c r="K16356" t="s">
        <v>1357</v>
      </c>
      <c r="L16356" t="s">
        <v>1357</v>
      </c>
    </row>
    <row r="16357" spans="6:12">
      <c r="H16357" t="s">
        <v>25029</v>
      </c>
      <c r="I16357" t="s">
        <v>1357</v>
      </c>
      <c r="J16357" t="s">
        <v>1357</v>
      </c>
      <c r="K16357" t="s">
        <v>1357</v>
      </c>
      <c r="L16357" t="s">
        <v>1357</v>
      </c>
    </row>
    <row r="16358" spans="6:12">
      <c r="H16358" t="s">
        <v>25030</v>
      </c>
      <c r="I16358" t="s">
        <v>1357</v>
      </c>
      <c r="J16358" t="s">
        <v>1357</v>
      </c>
      <c r="K16358" t="s">
        <v>1357</v>
      </c>
      <c r="L16358" t="s">
        <v>1357</v>
      </c>
    </row>
    <row r="16359" spans="6:12">
      <c r="H16359" t="s">
        <v>25031</v>
      </c>
      <c r="I16359" t="s">
        <v>1357</v>
      </c>
      <c r="J16359" t="s">
        <v>1357</v>
      </c>
      <c r="K16359" t="s">
        <v>1357</v>
      </c>
      <c r="L16359" t="s">
        <v>1357</v>
      </c>
    </row>
    <row r="16360" spans="6:12">
      <c r="H16360" t="s">
        <v>25032</v>
      </c>
      <c r="I16360" t="s">
        <v>1357</v>
      </c>
      <c r="J16360" t="s">
        <v>1357</v>
      </c>
      <c r="K16360" t="s">
        <v>1357</v>
      </c>
      <c r="L16360" t="s">
        <v>1357</v>
      </c>
    </row>
    <row r="16361" spans="6:12">
      <c r="H16361" t="s">
        <v>25033</v>
      </c>
      <c r="I16361" t="s">
        <v>1357</v>
      </c>
      <c r="J16361" t="s">
        <v>1357</v>
      </c>
      <c r="K16361" t="s">
        <v>1357</v>
      </c>
      <c r="L16361" t="s">
        <v>1357</v>
      </c>
    </row>
    <row r="16362" spans="6:12">
      <c r="H16362" t="s">
        <v>25034</v>
      </c>
      <c r="I16362" t="s">
        <v>1357</v>
      </c>
      <c r="J16362" t="s">
        <v>1357</v>
      </c>
      <c r="K16362" t="s">
        <v>1357</v>
      </c>
      <c r="L16362" t="s">
        <v>1357</v>
      </c>
    </row>
    <row r="16363" spans="6:12">
      <c r="H16363" t="s">
        <v>25035</v>
      </c>
      <c r="I16363" t="s">
        <v>1357</v>
      </c>
      <c r="J16363" t="s">
        <v>1357</v>
      </c>
      <c r="K16363" t="s">
        <v>1357</v>
      </c>
      <c r="L16363" t="s">
        <v>1357</v>
      </c>
    </row>
    <row r="16364" spans="6:12">
      <c r="H16364" t="s">
        <v>25036</v>
      </c>
      <c r="I16364" t="s">
        <v>1357</v>
      </c>
      <c r="J16364" t="s">
        <v>1357</v>
      </c>
      <c r="K16364" t="s">
        <v>1357</v>
      </c>
      <c r="L16364" t="s">
        <v>1357</v>
      </c>
    </row>
    <row r="16365" spans="6:12">
      <c r="H16365" t="s">
        <v>25037</v>
      </c>
      <c r="I16365" t="s">
        <v>1357</v>
      </c>
      <c r="J16365" t="s">
        <v>1357</v>
      </c>
      <c r="K16365" t="s">
        <v>1357</v>
      </c>
      <c r="L16365" t="s">
        <v>1357</v>
      </c>
    </row>
    <row r="16366" spans="6:12">
      <c r="H16366" t="s">
        <v>25038</v>
      </c>
      <c r="I16366" t="s">
        <v>1357</v>
      </c>
      <c r="J16366" t="s">
        <v>1357</v>
      </c>
      <c r="K16366" t="s">
        <v>1357</v>
      </c>
      <c r="L16366" t="s">
        <v>1357</v>
      </c>
    </row>
    <row r="16367" spans="6:12">
      <c r="F16367" t="s">
        <v>16922</v>
      </c>
      <c r="G16367" t="s">
        <v>19533</v>
      </c>
      <c r="H16367" t="s">
        <v>25041</v>
      </c>
      <c r="I16367" t="s">
        <v>1357</v>
      </c>
      <c r="J16367" t="s">
        <v>1357</v>
      </c>
      <c r="K16367" t="s">
        <v>1357</v>
      </c>
      <c r="L16367" t="s">
        <v>1357</v>
      </c>
    </row>
    <row r="16368" spans="6:12">
      <c r="F16368" t="s">
        <v>16665</v>
      </c>
      <c r="G16368" t="s">
        <v>19299</v>
      </c>
      <c r="H16368" t="s">
        <v>25042</v>
      </c>
      <c r="I16368" t="s">
        <v>1357</v>
      </c>
      <c r="J16368" t="s">
        <v>1357</v>
      </c>
      <c r="K16368" t="s">
        <v>1357</v>
      </c>
      <c r="L16368" t="s">
        <v>1357</v>
      </c>
    </row>
    <row r="16369" spans="8:12">
      <c r="H16369" t="s">
        <v>25043</v>
      </c>
      <c r="I16369" t="s">
        <v>1357</v>
      </c>
      <c r="J16369" t="s">
        <v>1357</v>
      </c>
      <c r="K16369" t="s">
        <v>1357</v>
      </c>
      <c r="L16369" t="s">
        <v>1357</v>
      </c>
    </row>
    <row r="16370" spans="8:12">
      <c r="H16370" t="s">
        <v>25044</v>
      </c>
      <c r="I16370" t="s">
        <v>1357</v>
      </c>
      <c r="J16370" t="s">
        <v>1357</v>
      </c>
      <c r="K16370" t="s">
        <v>1357</v>
      </c>
      <c r="L16370" t="s">
        <v>1357</v>
      </c>
    </row>
    <row r="16371" spans="8:12">
      <c r="H16371" t="s">
        <v>25045</v>
      </c>
      <c r="I16371" t="s">
        <v>1357</v>
      </c>
      <c r="J16371" t="s">
        <v>1357</v>
      </c>
      <c r="K16371" t="s">
        <v>1357</v>
      </c>
      <c r="L16371" t="s">
        <v>1357</v>
      </c>
    </row>
    <row r="16372" spans="8:12">
      <c r="H16372" t="s">
        <v>25046</v>
      </c>
      <c r="I16372" t="s">
        <v>1357</v>
      </c>
      <c r="J16372" t="s">
        <v>1357</v>
      </c>
      <c r="K16372" t="s">
        <v>1357</v>
      </c>
      <c r="L16372" t="s">
        <v>1357</v>
      </c>
    </row>
    <row r="16373" spans="8:12">
      <c r="H16373" t="s">
        <v>25047</v>
      </c>
      <c r="I16373" t="s">
        <v>1357</v>
      </c>
      <c r="J16373" t="s">
        <v>1357</v>
      </c>
      <c r="K16373" t="s">
        <v>1357</v>
      </c>
      <c r="L16373" t="s">
        <v>1357</v>
      </c>
    </row>
    <row r="16374" spans="8:12">
      <c r="H16374" t="s">
        <v>25048</v>
      </c>
      <c r="I16374" t="s">
        <v>1357</v>
      </c>
      <c r="J16374" t="s">
        <v>1357</v>
      </c>
      <c r="K16374" t="s">
        <v>1357</v>
      </c>
      <c r="L16374" t="s">
        <v>1357</v>
      </c>
    </row>
    <row r="16375" spans="8:12">
      <c r="H16375" t="s">
        <v>25049</v>
      </c>
      <c r="I16375" t="s">
        <v>1357</v>
      </c>
      <c r="J16375" t="s">
        <v>1357</v>
      </c>
      <c r="K16375" t="s">
        <v>1357</v>
      </c>
      <c r="L16375" t="s">
        <v>1357</v>
      </c>
    </row>
    <row r="16376" spans="8:12">
      <c r="H16376" t="s">
        <v>25050</v>
      </c>
      <c r="I16376" t="s">
        <v>1357</v>
      </c>
      <c r="J16376" t="s">
        <v>1357</v>
      </c>
      <c r="K16376" t="s">
        <v>1357</v>
      </c>
      <c r="L16376" t="s">
        <v>1357</v>
      </c>
    </row>
    <row r="16377" spans="8:12">
      <c r="H16377" t="s">
        <v>25051</v>
      </c>
      <c r="I16377" t="s">
        <v>1357</v>
      </c>
      <c r="J16377" t="s">
        <v>1357</v>
      </c>
      <c r="K16377" t="s">
        <v>1357</v>
      </c>
      <c r="L16377" t="s">
        <v>1357</v>
      </c>
    </row>
    <row r="16378" spans="8:12">
      <c r="H16378" t="s">
        <v>25052</v>
      </c>
      <c r="I16378" t="s">
        <v>1357</v>
      </c>
      <c r="J16378" t="s">
        <v>1357</v>
      </c>
      <c r="K16378" t="s">
        <v>1357</v>
      </c>
      <c r="L16378" t="s">
        <v>1357</v>
      </c>
    </row>
    <row r="16379" spans="8:12">
      <c r="H16379" t="s">
        <v>25053</v>
      </c>
      <c r="I16379" t="s">
        <v>1357</v>
      </c>
      <c r="J16379" t="s">
        <v>1357</v>
      </c>
      <c r="K16379" t="s">
        <v>1357</v>
      </c>
      <c r="L16379" t="s">
        <v>1357</v>
      </c>
    </row>
    <row r="16380" spans="8:12">
      <c r="H16380" t="s">
        <v>25054</v>
      </c>
      <c r="I16380" t="s">
        <v>1357</v>
      </c>
      <c r="J16380" t="s">
        <v>1357</v>
      </c>
      <c r="K16380" t="s">
        <v>1357</v>
      </c>
      <c r="L16380" t="s">
        <v>1357</v>
      </c>
    </row>
    <row r="16381" spans="8:12">
      <c r="H16381" t="s">
        <v>25055</v>
      </c>
      <c r="I16381" t="s">
        <v>1357</v>
      </c>
      <c r="J16381" t="s">
        <v>1357</v>
      </c>
      <c r="K16381" t="s">
        <v>1357</v>
      </c>
      <c r="L16381" t="s">
        <v>1357</v>
      </c>
    </row>
    <row r="16382" spans="8:12">
      <c r="H16382" t="s">
        <v>25056</v>
      </c>
      <c r="I16382" t="s">
        <v>1357</v>
      </c>
      <c r="J16382" t="s">
        <v>1357</v>
      </c>
      <c r="K16382" t="s">
        <v>1357</v>
      </c>
      <c r="L16382" t="s">
        <v>1357</v>
      </c>
    </row>
    <row r="16383" spans="8:12">
      <c r="H16383" t="s">
        <v>25057</v>
      </c>
      <c r="I16383" t="s">
        <v>1357</v>
      </c>
      <c r="J16383" t="s">
        <v>1357</v>
      </c>
      <c r="K16383" t="s">
        <v>1357</v>
      </c>
      <c r="L16383" t="s">
        <v>1357</v>
      </c>
    </row>
    <row r="16384" spans="8:12">
      <c r="H16384" t="s">
        <v>25058</v>
      </c>
      <c r="I16384" t="s">
        <v>1357</v>
      </c>
      <c r="J16384" t="s">
        <v>1357</v>
      </c>
      <c r="K16384" t="s">
        <v>1357</v>
      </c>
      <c r="L16384" t="s">
        <v>1357</v>
      </c>
    </row>
    <row r="16385" spans="6:12">
      <c r="H16385" t="s">
        <v>25059</v>
      </c>
      <c r="I16385" t="s">
        <v>1357</v>
      </c>
      <c r="J16385" t="s">
        <v>1357</v>
      </c>
      <c r="K16385" t="s">
        <v>1357</v>
      </c>
      <c r="L16385" t="s">
        <v>1357</v>
      </c>
    </row>
    <row r="16386" spans="6:12">
      <c r="H16386" t="s">
        <v>25060</v>
      </c>
      <c r="I16386" t="s">
        <v>1357</v>
      </c>
      <c r="J16386" t="s">
        <v>1357</v>
      </c>
      <c r="K16386" t="s">
        <v>1357</v>
      </c>
      <c r="L16386" t="s">
        <v>1357</v>
      </c>
    </row>
    <row r="16387" spans="6:12">
      <c r="H16387" t="s">
        <v>25061</v>
      </c>
      <c r="I16387" t="s">
        <v>1357</v>
      </c>
      <c r="J16387" t="s">
        <v>1357</v>
      </c>
      <c r="K16387" t="s">
        <v>1357</v>
      </c>
      <c r="L16387" t="s">
        <v>1357</v>
      </c>
    </row>
    <row r="16388" spans="6:12">
      <c r="H16388" t="s">
        <v>25062</v>
      </c>
      <c r="I16388" t="s">
        <v>1357</v>
      </c>
      <c r="J16388" t="s">
        <v>1357</v>
      </c>
      <c r="K16388" t="s">
        <v>1357</v>
      </c>
      <c r="L16388" t="s">
        <v>1357</v>
      </c>
    </row>
    <row r="16389" spans="6:12">
      <c r="H16389" t="s">
        <v>25063</v>
      </c>
      <c r="I16389" t="s">
        <v>1357</v>
      </c>
      <c r="J16389" t="s">
        <v>1357</v>
      </c>
      <c r="K16389" t="s">
        <v>1357</v>
      </c>
      <c r="L16389" t="s">
        <v>1357</v>
      </c>
    </row>
    <row r="16390" spans="6:12">
      <c r="H16390" t="s">
        <v>25064</v>
      </c>
      <c r="I16390" t="s">
        <v>1357</v>
      </c>
      <c r="J16390" t="s">
        <v>1357</v>
      </c>
      <c r="K16390" t="s">
        <v>1357</v>
      </c>
      <c r="L16390" t="s">
        <v>1357</v>
      </c>
    </row>
    <row r="16391" spans="6:12">
      <c r="F16391" t="s">
        <v>15910</v>
      </c>
      <c r="G16391" t="s">
        <v>18611</v>
      </c>
      <c r="H16391" t="s">
        <v>20545</v>
      </c>
      <c r="I16391" t="s">
        <v>1357</v>
      </c>
      <c r="J16391" t="s">
        <v>1357</v>
      </c>
      <c r="K16391" t="s">
        <v>1357</v>
      </c>
      <c r="L16391" t="s">
        <v>1357</v>
      </c>
    </row>
    <row r="16392" spans="6:12">
      <c r="F16392" t="s">
        <v>16923</v>
      </c>
      <c r="G16392" t="s">
        <v>19534</v>
      </c>
      <c r="H16392" t="s">
        <v>25065</v>
      </c>
      <c r="I16392" t="s">
        <v>1357</v>
      </c>
      <c r="J16392" t="s">
        <v>1357</v>
      </c>
      <c r="K16392" t="s">
        <v>1357</v>
      </c>
      <c r="L16392" t="s">
        <v>1357</v>
      </c>
    </row>
    <row r="16393" spans="6:12">
      <c r="H16393" t="s">
        <v>25066</v>
      </c>
      <c r="I16393" t="s">
        <v>1357</v>
      </c>
      <c r="J16393" t="s">
        <v>1357</v>
      </c>
      <c r="K16393" t="s">
        <v>1357</v>
      </c>
      <c r="L16393" t="s">
        <v>1357</v>
      </c>
    </row>
    <row r="16394" spans="6:12">
      <c r="H16394" t="s">
        <v>25067</v>
      </c>
      <c r="I16394" t="s">
        <v>1357</v>
      </c>
      <c r="J16394" t="s">
        <v>1357</v>
      </c>
      <c r="K16394" t="s">
        <v>1357</v>
      </c>
      <c r="L16394" t="s">
        <v>1357</v>
      </c>
    </row>
    <row r="16395" spans="6:12">
      <c r="H16395" t="s">
        <v>25068</v>
      </c>
      <c r="I16395" t="s">
        <v>1357</v>
      </c>
      <c r="J16395" t="s">
        <v>1357</v>
      </c>
      <c r="K16395" t="s">
        <v>1357</v>
      </c>
      <c r="L16395" t="s">
        <v>1357</v>
      </c>
    </row>
    <row r="16396" spans="6:12">
      <c r="H16396" t="s">
        <v>25069</v>
      </c>
      <c r="I16396" t="s">
        <v>1357</v>
      </c>
      <c r="J16396" t="s">
        <v>1357</v>
      </c>
      <c r="K16396" t="s">
        <v>1357</v>
      </c>
      <c r="L16396" t="s">
        <v>1357</v>
      </c>
    </row>
    <row r="16397" spans="6:12">
      <c r="H16397" t="s">
        <v>25070</v>
      </c>
      <c r="I16397" t="s">
        <v>1357</v>
      </c>
      <c r="J16397" t="s">
        <v>1357</v>
      </c>
      <c r="K16397" t="s">
        <v>1357</v>
      </c>
      <c r="L16397" t="s">
        <v>1357</v>
      </c>
    </row>
    <row r="16398" spans="6:12">
      <c r="H16398" t="s">
        <v>25071</v>
      </c>
      <c r="I16398" t="s">
        <v>1357</v>
      </c>
      <c r="J16398" t="s">
        <v>1357</v>
      </c>
      <c r="K16398" t="s">
        <v>1357</v>
      </c>
      <c r="L16398" t="s">
        <v>1357</v>
      </c>
    </row>
    <row r="16399" spans="6:12">
      <c r="H16399" t="s">
        <v>25072</v>
      </c>
      <c r="I16399" t="s">
        <v>1357</v>
      </c>
      <c r="J16399" t="s">
        <v>1357</v>
      </c>
      <c r="K16399" t="s">
        <v>1357</v>
      </c>
      <c r="L16399" t="s">
        <v>1357</v>
      </c>
    </row>
    <row r="16400" spans="6:12">
      <c r="H16400" t="s">
        <v>25073</v>
      </c>
      <c r="I16400" t="s">
        <v>1357</v>
      </c>
      <c r="J16400" t="s">
        <v>1357</v>
      </c>
      <c r="K16400" t="s">
        <v>1357</v>
      </c>
      <c r="L16400" t="s">
        <v>1357</v>
      </c>
    </row>
    <row r="16401" spans="6:12">
      <c r="H16401" t="s">
        <v>25074</v>
      </c>
      <c r="I16401" t="s">
        <v>1357</v>
      </c>
      <c r="J16401" t="s">
        <v>1357</v>
      </c>
      <c r="K16401" t="s">
        <v>1357</v>
      </c>
      <c r="L16401" t="s">
        <v>1357</v>
      </c>
    </row>
    <row r="16402" spans="6:12">
      <c r="H16402" t="s">
        <v>25075</v>
      </c>
      <c r="I16402" t="s">
        <v>1357</v>
      </c>
      <c r="J16402" t="s">
        <v>1357</v>
      </c>
      <c r="K16402" t="s">
        <v>1357</v>
      </c>
      <c r="L16402" t="s">
        <v>1357</v>
      </c>
    </row>
    <row r="16403" spans="6:12">
      <c r="F16403" t="s">
        <v>16924</v>
      </c>
      <c r="G16403" t="s">
        <v>19535</v>
      </c>
      <c r="H16403" t="s">
        <v>25076</v>
      </c>
      <c r="I16403" t="s">
        <v>1357</v>
      </c>
      <c r="J16403" t="s">
        <v>1357</v>
      </c>
      <c r="K16403" t="s">
        <v>1357</v>
      </c>
      <c r="L16403" t="s">
        <v>1357</v>
      </c>
    </row>
    <row r="16404" spans="6:12">
      <c r="H16404" t="s">
        <v>25077</v>
      </c>
      <c r="I16404" t="s">
        <v>1357</v>
      </c>
      <c r="J16404" t="s">
        <v>1357</v>
      </c>
      <c r="K16404" t="s">
        <v>1357</v>
      </c>
      <c r="L16404" t="s">
        <v>1357</v>
      </c>
    </row>
    <row r="16405" spans="6:12">
      <c r="H16405" t="s">
        <v>25078</v>
      </c>
      <c r="I16405" t="s">
        <v>1357</v>
      </c>
      <c r="J16405" t="s">
        <v>1357</v>
      </c>
      <c r="K16405" t="s">
        <v>1357</v>
      </c>
      <c r="L16405" t="s">
        <v>1357</v>
      </c>
    </row>
    <row r="16406" spans="6:12">
      <c r="H16406" t="s">
        <v>25079</v>
      </c>
      <c r="I16406" t="s">
        <v>1357</v>
      </c>
      <c r="J16406" t="s">
        <v>1357</v>
      </c>
      <c r="K16406" t="s">
        <v>1357</v>
      </c>
      <c r="L16406" t="s">
        <v>1357</v>
      </c>
    </row>
    <row r="16407" spans="6:12">
      <c r="H16407" t="s">
        <v>25080</v>
      </c>
      <c r="I16407" t="s">
        <v>1357</v>
      </c>
      <c r="J16407" t="s">
        <v>1357</v>
      </c>
      <c r="K16407" t="s">
        <v>1357</v>
      </c>
      <c r="L16407" t="s">
        <v>1357</v>
      </c>
    </row>
    <row r="16408" spans="6:12">
      <c r="H16408" t="s">
        <v>25081</v>
      </c>
      <c r="I16408" t="s">
        <v>1357</v>
      </c>
      <c r="J16408" t="s">
        <v>1357</v>
      </c>
      <c r="K16408" t="s">
        <v>1357</v>
      </c>
      <c r="L16408" t="s">
        <v>1357</v>
      </c>
    </row>
    <row r="16409" spans="6:12">
      <c r="F16409" t="s">
        <v>16925</v>
      </c>
      <c r="G16409" t="s">
        <v>19536</v>
      </c>
      <c r="H16409" t="s">
        <v>795</v>
      </c>
      <c r="I16409" t="s">
        <v>1357</v>
      </c>
      <c r="J16409" t="s">
        <v>1357</v>
      </c>
      <c r="K16409" t="s">
        <v>1357</v>
      </c>
      <c r="L16409" t="s">
        <v>1357</v>
      </c>
    </row>
    <row r="16410" spans="6:12">
      <c r="H16410" t="s">
        <v>25082</v>
      </c>
      <c r="I16410" t="s">
        <v>1357</v>
      </c>
      <c r="J16410" t="s">
        <v>1357</v>
      </c>
      <c r="K16410" t="s">
        <v>1357</v>
      </c>
      <c r="L16410" t="s">
        <v>1357</v>
      </c>
    </row>
    <row r="16411" spans="6:12">
      <c r="F16411" t="s">
        <v>16926</v>
      </c>
      <c r="G16411" t="s">
        <v>19537</v>
      </c>
      <c r="H16411" t="s">
        <v>25083</v>
      </c>
      <c r="I16411" t="s">
        <v>1357</v>
      </c>
      <c r="J16411" t="s">
        <v>1357</v>
      </c>
      <c r="K16411" t="s">
        <v>1357</v>
      </c>
      <c r="L16411" t="s">
        <v>1357</v>
      </c>
    </row>
    <row r="16412" spans="6:12">
      <c r="H16412" t="s">
        <v>25084</v>
      </c>
      <c r="I16412" t="s">
        <v>1357</v>
      </c>
      <c r="J16412" t="s">
        <v>1357</v>
      </c>
      <c r="K16412" t="s">
        <v>1357</v>
      </c>
      <c r="L16412" t="s">
        <v>1357</v>
      </c>
    </row>
    <row r="16413" spans="6:12">
      <c r="H16413" t="s">
        <v>25085</v>
      </c>
      <c r="I16413" t="s">
        <v>1357</v>
      </c>
      <c r="J16413" t="s">
        <v>1357</v>
      </c>
      <c r="K16413" t="s">
        <v>1357</v>
      </c>
      <c r="L16413" t="s">
        <v>1357</v>
      </c>
    </row>
    <row r="16414" spans="6:12">
      <c r="H16414" t="s">
        <v>25086</v>
      </c>
      <c r="I16414" t="s">
        <v>1357</v>
      </c>
      <c r="J16414" t="s">
        <v>1357</v>
      </c>
      <c r="K16414" t="s">
        <v>1357</v>
      </c>
      <c r="L16414" t="s">
        <v>1357</v>
      </c>
    </row>
    <row r="16415" spans="6:12">
      <c r="H16415" t="s">
        <v>25087</v>
      </c>
      <c r="I16415" t="s">
        <v>1357</v>
      </c>
      <c r="J16415" t="s">
        <v>1357</v>
      </c>
      <c r="K16415" t="s">
        <v>1357</v>
      </c>
      <c r="L16415" t="s">
        <v>1357</v>
      </c>
    </row>
    <row r="16416" spans="6:12">
      <c r="H16416" t="s">
        <v>25088</v>
      </c>
      <c r="I16416" t="s">
        <v>1357</v>
      </c>
      <c r="J16416" t="s">
        <v>1357</v>
      </c>
      <c r="K16416" t="s">
        <v>1357</v>
      </c>
      <c r="L16416" t="s">
        <v>1357</v>
      </c>
    </row>
    <row r="16417" spans="6:12">
      <c r="F16417" t="s">
        <v>16396</v>
      </c>
      <c r="G16417" t="s">
        <v>19062</v>
      </c>
      <c r="H16417" t="s">
        <v>22882</v>
      </c>
      <c r="I16417" t="s">
        <v>1357</v>
      </c>
      <c r="J16417" t="s">
        <v>1357</v>
      </c>
      <c r="K16417" t="s">
        <v>1357</v>
      </c>
      <c r="L16417" t="s">
        <v>1357</v>
      </c>
    </row>
    <row r="16418" spans="6:12">
      <c r="H16418" t="s">
        <v>22883</v>
      </c>
      <c r="I16418" t="s">
        <v>1357</v>
      </c>
      <c r="J16418" t="s">
        <v>1357</v>
      </c>
      <c r="K16418" t="s">
        <v>1357</v>
      </c>
      <c r="L16418" t="s">
        <v>1357</v>
      </c>
    </row>
    <row r="16419" spans="6:12">
      <c r="H16419" t="s">
        <v>25089</v>
      </c>
      <c r="I16419" t="s">
        <v>1357</v>
      </c>
      <c r="J16419" t="s">
        <v>1357</v>
      </c>
      <c r="K16419" t="s">
        <v>1357</v>
      </c>
      <c r="L16419" t="s">
        <v>1357</v>
      </c>
    </row>
    <row r="16420" spans="6:12">
      <c r="H16420" t="s">
        <v>25090</v>
      </c>
      <c r="I16420" t="s">
        <v>1357</v>
      </c>
      <c r="J16420" t="s">
        <v>1357</v>
      </c>
      <c r="K16420" t="s">
        <v>1357</v>
      </c>
      <c r="L16420" t="s">
        <v>1357</v>
      </c>
    </row>
    <row r="16421" spans="6:12">
      <c r="H16421" t="s">
        <v>25091</v>
      </c>
      <c r="I16421" t="s">
        <v>1357</v>
      </c>
      <c r="J16421" t="s">
        <v>1357</v>
      </c>
      <c r="K16421" t="s">
        <v>1357</v>
      </c>
      <c r="L16421" t="s">
        <v>1357</v>
      </c>
    </row>
    <row r="16422" spans="6:12">
      <c r="H16422" t="s">
        <v>25092</v>
      </c>
      <c r="I16422" t="s">
        <v>1357</v>
      </c>
      <c r="J16422" t="s">
        <v>1357</v>
      </c>
      <c r="K16422" t="s">
        <v>1357</v>
      </c>
      <c r="L16422" t="s">
        <v>1357</v>
      </c>
    </row>
    <row r="16423" spans="6:12">
      <c r="H16423" t="s">
        <v>25093</v>
      </c>
      <c r="I16423" t="s">
        <v>1357</v>
      </c>
      <c r="J16423" t="s">
        <v>1357</v>
      </c>
      <c r="K16423" t="s">
        <v>1357</v>
      </c>
      <c r="L16423" t="s">
        <v>1357</v>
      </c>
    </row>
    <row r="16424" spans="6:12">
      <c r="H16424" t="s">
        <v>25094</v>
      </c>
      <c r="I16424" t="s">
        <v>1357</v>
      </c>
      <c r="J16424" t="s">
        <v>1357</v>
      </c>
      <c r="K16424" t="s">
        <v>1357</v>
      </c>
      <c r="L16424" t="s">
        <v>1357</v>
      </c>
    </row>
    <row r="16425" spans="6:12">
      <c r="H16425" t="s">
        <v>25095</v>
      </c>
      <c r="I16425" t="s">
        <v>1357</v>
      </c>
      <c r="J16425" t="s">
        <v>1357</v>
      </c>
      <c r="K16425" t="s">
        <v>1357</v>
      </c>
      <c r="L16425" t="s">
        <v>1357</v>
      </c>
    </row>
    <row r="16426" spans="6:12">
      <c r="H16426" t="s">
        <v>25096</v>
      </c>
      <c r="I16426" t="s">
        <v>1357</v>
      </c>
      <c r="J16426" t="s">
        <v>1357</v>
      </c>
      <c r="K16426" t="s">
        <v>1357</v>
      </c>
      <c r="L16426" t="s">
        <v>1357</v>
      </c>
    </row>
    <row r="16427" spans="6:12">
      <c r="H16427" t="s">
        <v>25097</v>
      </c>
      <c r="I16427" t="s">
        <v>1357</v>
      </c>
      <c r="J16427" t="s">
        <v>1357</v>
      </c>
      <c r="K16427" t="s">
        <v>1357</v>
      </c>
      <c r="L16427" t="s">
        <v>1357</v>
      </c>
    </row>
    <row r="16428" spans="6:12">
      <c r="H16428" t="s">
        <v>25098</v>
      </c>
      <c r="I16428" t="s">
        <v>1357</v>
      </c>
      <c r="J16428" t="s">
        <v>1357</v>
      </c>
      <c r="K16428" t="s">
        <v>1357</v>
      </c>
      <c r="L16428" t="s">
        <v>1357</v>
      </c>
    </row>
    <row r="16429" spans="6:12">
      <c r="H16429" t="s">
        <v>25099</v>
      </c>
      <c r="I16429" t="s">
        <v>1357</v>
      </c>
      <c r="J16429" t="s">
        <v>1357</v>
      </c>
      <c r="K16429" t="s">
        <v>1357</v>
      </c>
      <c r="L16429" t="s">
        <v>1357</v>
      </c>
    </row>
    <row r="16430" spans="6:12">
      <c r="H16430" t="s">
        <v>25100</v>
      </c>
      <c r="I16430" t="s">
        <v>1357</v>
      </c>
      <c r="J16430" t="s">
        <v>1357</v>
      </c>
      <c r="K16430" t="s">
        <v>1357</v>
      </c>
      <c r="L16430" t="s">
        <v>1357</v>
      </c>
    </row>
    <row r="16431" spans="6:12">
      <c r="H16431" t="s">
        <v>25101</v>
      </c>
      <c r="I16431" t="s">
        <v>1357</v>
      </c>
      <c r="J16431" t="s">
        <v>1357</v>
      </c>
      <c r="K16431" t="s">
        <v>1357</v>
      </c>
      <c r="L16431" t="s">
        <v>1357</v>
      </c>
    </row>
    <row r="16432" spans="6:12">
      <c r="H16432" t="s">
        <v>25102</v>
      </c>
      <c r="I16432" t="s">
        <v>1357</v>
      </c>
      <c r="J16432" t="s">
        <v>1357</v>
      </c>
      <c r="K16432" t="s">
        <v>1357</v>
      </c>
      <c r="L16432" t="s">
        <v>1357</v>
      </c>
    </row>
    <row r="16433" spans="8:12">
      <c r="H16433" t="s">
        <v>25103</v>
      </c>
      <c r="I16433" t="s">
        <v>1357</v>
      </c>
      <c r="J16433" t="s">
        <v>1357</v>
      </c>
      <c r="K16433" t="s">
        <v>1357</v>
      </c>
      <c r="L16433" t="s">
        <v>1357</v>
      </c>
    </row>
    <row r="16434" spans="8:12">
      <c r="H16434" t="s">
        <v>25104</v>
      </c>
      <c r="I16434" t="s">
        <v>1357</v>
      </c>
      <c r="J16434" t="s">
        <v>1357</v>
      </c>
      <c r="K16434" t="s">
        <v>1357</v>
      </c>
      <c r="L16434" t="s">
        <v>1357</v>
      </c>
    </row>
    <row r="16435" spans="8:12">
      <c r="H16435" t="s">
        <v>25105</v>
      </c>
      <c r="I16435" t="s">
        <v>1357</v>
      </c>
      <c r="J16435" t="s">
        <v>1357</v>
      </c>
      <c r="K16435" t="s">
        <v>1357</v>
      </c>
      <c r="L16435" t="s">
        <v>1357</v>
      </c>
    </row>
    <row r="16436" spans="8:12">
      <c r="H16436" t="s">
        <v>25106</v>
      </c>
      <c r="I16436" t="s">
        <v>1357</v>
      </c>
      <c r="J16436" t="s">
        <v>1357</v>
      </c>
      <c r="K16436" t="s">
        <v>1357</v>
      </c>
      <c r="L16436" t="s">
        <v>1357</v>
      </c>
    </row>
    <row r="16437" spans="8:12">
      <c r="H16437" t="s">
        <v>25107</v>
      </c>
      <c r="I16437" t="s">
        <v>1357</v>
      </c>
      <c r="J16437" t="s">
        <v>1357</v>
      </c>
      <c r="K16437" t="s">
        <v>1357</v>
      </c>
      <c r="L16437" t="s">
        <v>1357</v>
      </c>
    </row>
    <row r="16438" spans="8:12">
      <c r="H16438" t="s">
        <v>25108</v>
      </c>
      <c r="I16438" t="s">
        <v>1357</v>
      </c>
      <c r="J16438" t="s">
        <v>1357</v>
      </c>
      <c r="K16438" t="s">
        <v>1357</v>
      </c>
      <c r="L16438" t="s">
        <v>1357</v>
      </c>
    </row>
    <row r="16439" spans="8:12">
      <c r="H16439" t="s">
        <v>25109</v>
      </c>
      <c r="I16439" t="s">
        <v>1357</v>
      </c>
      <c r="J16439" t="s">
        <v>1357</v>
      </c>
      <c r="K16439" t="s">
        <v>1357</v>
      </c>
      <c r="L16439" t="s">
        <v>1357</v>
      </c>
    </row>
    <row r="16440" spans="8:12">
      <c r="H16440" t="s">
        <v>25110</v>
      </c>
      <c r="I16440" t="s">
        <v>1357</v>
      </c>
      <c r="J16440" t="s">
        <v>1357</v>
      </c>
      <c r="K16440" t="s">
        <v>1357</v>
      </c>
      <c r="L16440" t="s">
        <v>1357</v>
      </c>
    </row>
    <row r="16441" spans="8:12">
      <c r="H16441" t="s">
        <v>25111</v>
      </c>
      <c r="I16441" t="s">
        <v>1357</v>
      </c>
      <c r="J16441" t="s">
        <v>1357</v>
      </c>
      <c r="K16441" t="s">
        <v>1357</v>
      </c>
      <c r="L16441" t="s">
        <v>1357</v>
      </c>
    </row>
    <row r="16442" spans="8:12">
      <c r="H16442" t="s">
        <v>25112</v>
      </c>
      <c r="I16442" t="s">
        <v>1357</v>
      </c>
      <c r="J16442" t="s">
        <v>1357</v>
      </c>
      <c r="K16442" t="s">
        <v>1357</v>
      </c>
      <c r="L16442" t="s">
        <v>1357</v>
      </c>
    </row>
    <row r="16443" spans="8:12">
      <c r="H16443" t="s">
        <v>25113</v>
      </c>
      <c r="I16443" t="s">
        <v>1357</v>
      </c>
      <c r="J16443" t="s">
        <v>1357</v>
      </c>
      <c r="K16443" t="s">
        <v>1357</v>
      </c>
      <c r="L16443" t="s">
        <v>1357</v>
      </c>
    </row>
    <row r="16444" spans="8:12">
      <c r="H16444" t="s">
        <v>25114</v>
      </c>
      <c r="I16444" t="s">
        <v>1357</v>
      </c>
      <c r="J16444" t="s">
        <v>1357</v>
      </c>
      <c r="K16444" t="s">
        <v>1357</v>
      </c>
      <c r="L16444" t="s">
        <v>1357</v>
      </c>
    </row>
    <row r="16445" spans="8:12">
      <c r="H16445" t="s">
        <v>25115</v>
      </c>
      <c r="I16445" t="s">
        <v>1357</v>
      </c>
      <c r="J16445" t="s">
        <v>1357</v>
      </c>
      <c r="K16445" t="s">
        <v>1357</v>
      </c>
      <c r="L16445" t="s">
        <v>1357</v>
      </c>
    </row>
    <row r="16446" spans="8:12">
      <c r="H16446" t="s">
        <v>25116</v>
      </c>
      <c r="I16446" t="s">
        <v>1357</v>
      </c>
      <c r="J16446" t="s">
        <v>1357</v>
      </c>
      <c r="K16446" t="s">
        <v>1357</v>
      </c>
      <c r="L16446" t="s">
        <v>1357</v>
      </c>
    </row>
    <row r="16447" spans="8:12">
      <c r="H16447" t="s">
        <v>25117</v>
      </c>
      <c r="I16447" t="s">
        <v>1357</v>
      </c>
      <c r="J16447" t="s">
        <v>1357</v>
      </c>
      <c r="K16447" t="s">
        <v>1357</v>
      </c>
      <c r="L16447" t="s">
        <v>1357</v>
      </c>
    </row>
    <row r="16448" spans="8:12">
      <c r="H16448" t="s">
        <v>25118</v>
      </c>
      <c r="I16448" t="s">
        <v>1357</v>
      </c>
      <c r="J16448" t="s">
        <v>1357</v>
      </c>
      <c r="K16448" t="s">
        <v>1357</v>
      </c>
      <c r="L16448" t="s">
        <v>1357</v>
      </c>
    </row>
    <row r="16449" spans="8:12">
      <c r="H16449" t="s">
        <v>25119</v>
      </c>
      <c r="I16449" t="s">
        <v>1357</v>
      </c>
      <c r="J16449" t="s">
        <v>1357</v>
      </c>
      <c r="K16449" t="s">
        <v>1357</v>
      </c>
      <c r="L16449" t="s">
        <v>1357</v>
      </c>
    </row>
    <row r="16450" spans="8:12">
      <c r="H16450" t="s">
        <v>25120</v>
      </c>
      <c r="I16450" t="s">
        <v>1357</v>
      </c>
      <c r="J16450" t="s">
        <v>1357</v>
      </c>
      <c r="K16450" t="s">
        <v>1357</v>
      </c>
      <c r="L16450" t="s">
        <v>1357</v>
      </c>
    </row>
    <row r="16451" spans="8:12">
      <c r="H16451" t="s">
        <v>25121</v>
      </c>
      <c r="I16451" t="s">
        <v>1357</v>
      </c>
      <c r="J16451" t="s">
        <v>1357</v>
      </c>
      <c r="K16451" t="s">
        <v>1357</v>
      </c>
      <c r="L16451" t="s">
        <v>1357</v>
      </c>
    </row>
    <row r="16452" spans="8:12">
      <c r="H16452" t="s">
        <v>25122</v>
      </c>
      <c r="I16452" t="s">
        <v>1357</v>
      </c>
      <c r="J16452" t="s">
        <v>1357</v>
      </c>
      <c r="K16452" t="s">
        <v>1357</v>
      </c>
      <c r="L16452" t="s">
        <v>1357</v>
      </c>
    </row>
    <row r="16453" spans="8:12">
      <c r="H16453" t="s">
        <v>25123</v>
      </c>
      <c r="I16453" t="s">
        <v>1357</v>
      </c>
      <c r="J16453" t="s">
        <v>1357</v>
      </c>
      <c r="K16453" t="s">
        <v>1357</v>
      </c>
      <c r="L16453" t="s">
        <v>1357</v>
      </c>
    </row>
    <row r="16454" spans="8:12">
      <c r="H16454" t="s">
        <v>25124</v>
      </c>
      <c r="I16454" t="s">
        <v>1357</v>
      </c>
      <c r="J16454" t="s">
        <v>1357</v>
      </c>
      <c r="K16454" t="s">
        <v>1357</v>
      </c>
      <c r="L16454" t="s">
        <v>1357</v>
      </c>
    </row>
    <row r="16455" spans="8:12">
      <c r="H16455" t="s">
        <v>25125</v>
      </c>
      <c r="I16455" t="s">
        <v>1357</v>
      </c>
      <c r="J16455" t="s">
        <v>1357</v>
      </c>
      <c r="K16455" t="s">
        <v>1357</v>
      </c>
      <c r="L16455" t="s">
        <v>1357</v>
      </c>
    </row>
    <row r="16456" spans="8:12">
      <c r="H16456" t="s">
        <v>25126</v>
      </c>
      <c r="I16456" t="s">
        <v>1357</v>
      </c>
      <c r="J16456" t="s">
        <v>1357</v>
      </c>
      <c r="K16456" t="s">
        <v>1357</v>
      </c>
      <c r="L16456" t="s">
        <v>1357</v>
      </c>
    </row>
    <row r="16457" spans="8:12">
      <c r="H16457" t="s">
        <v>25127</v>
      </c>
      <c r="I16457" t="s">
        <v>1357</v>
      </c>
      <c r="J16457" t="s">
        <v>1357</v>
      </c>
      <c r="K16457" t="s">
        <v>1357</v>
      </c>
      <c r="L16457" t="s">
        <v>1357</v>
      </c>
    </row>
    <row r="16458" spans="8:12">
      <c r="H16458" t="s">
        <v>25128</v>
      </c>
      <c r="I16458" t="s">
        <v>1357</v>
      </c>
      <c r="J16458" t="s">
        <v>1357</v>
      </c>
      <c r="K16458" t="s">
        <v>1357</v>
      </c>
      <c r="L16458" t="s">
        <v>1357</v>
      </c>
    </row>
    <row r="16459" spans="8:12">
      <c r="H16459" t="s">
        <v>25129</v>
      </c>
      <c r="I16459" t="s">
        <v>1357</v>
      </c>
      <c r="J16459" t="s">
        <v>1357</v>
      </c>
      <c r="K16459" t="s">
        <v>1357</v>
      </c>
      <c r="L16459" t="s">
        <v>1357</v>
      </c>
    </row>
    <row r="16460" spans="8:12">
      <c r="H16460" t="s">
        <v>25130</v>
      </c>
      <c r="I16460" t="s">
        <v>1357</v>
      </c>
      <c r="J16460" t="s">
        <v>1357</v>
      </c>
      <c r="K16460" t="s">
        <v>1357</v>
      </c>
      <c r="L16460" t="s">
        <v>1357</v>
      </c>
    </row>
    <row r="16461" spans="8:12">
      <c r="H16461" t="s">
        <v>25131</v>
      </c>
      <c r="I16461" t="s">
        <v>1357</v>
      </c>
      <c r="J16461" t="s">
        <v>1357</v>
      </c>
      <c r="K16461" t="s">
        <v>1357</v>
      </c>
      <c r="L16461" t="s">
        <v>1357</v>
      </c>
    </row>
    <row r="16462" spans="8:12">
      <c r="H16462" t="s">
        <v>25132</v>
      </c>
      <c r="I16462" t="s">
        <v>1357</v>
      </c>
      <c r="J16462" t="s">
        <v>1357</v>
      </c>
      <c r="K16462" t="s">
        <v>1357</v>
      </c>
      <c r="L16462" t="s">
        <v>1357</v>
      </c>
    </row>
    <row r="16463" spans="8:12">
      <c r="H16463" t="s">
        <v>25133</v>
      </c>
      <c r="I16463" t="s">
        <v>1357</v>
      </c>
      <c r="J16463" t="s">
        <v>1357</v>
      </c>
      <c r="K16463" t="s">
        <v>1357</v>
      </c>
      <c r="L16463" t="s">
        <v>1357</v>
      </c>
    </row>
    <row r="16464" spans="8:12">
      <c r="H16464" t="s">
        <v>25134</v>
      </c>
      <c r="I16464" t="s">
        <v>1357</v>
      </c>
      <c r="J16464" t="s">
        <v>1357</v>
      </c>
      <c r="K16464" t="s">
        <v>1357</v>
      </c>
      <c r="L16464" t="s">
        <v>1357</v>
      </c>
    </row>
    <row r="16465" spans="8:12">
      <c r="H16465" t="s">
        <v>25135</v>
      </c>
      <c r="I16465" t="s">
        <v>1357</v>
      </c>
      <c r="J16465" t="s">
        <v>1357</v>
      </c>
      <c r="K16465" t="s">
        <v>1357</v>
      </c>
      <c r="L16465" t="s">
        <v>1357</v>
      </c>
    </row>
    <row r="16466" spans="8:12">
      <c r="H16466" t="s">
        <v>25136</v>
      </c>
      <c r="I16466" t="s">
        <v>1357</v>
      </c>
      <c r="J16466" t="s">
        <v>1357</v>
      </c>
      <c r="K16466" t="s">
        <v>1357</v>
      </c>
      <c r="L16466" t="s">
        <v>1357</v>
      </c>
    </row>
    <row r="16467" spans="8:12">
      <c r="H16467" t="s">
        <v>25137</v>
      </c>
      <c r="I16467" t="s">
        <v>1357</v>
      </c>
      <c r="J16467" t="s">
        <v>1357</v>
      </c>
      <c r="K16467" t="s">
        <v>1357</v>
      </c>
      <c r="L16467" t="s">
        <v>1357</v>
      </c>
    </row>
    <row r="16468" spans="8:12">
      <c r="H16468" t="s">
        <v>25138</v>
      </c>
      <c r="I16468" t="s">
        <v>1357</v>
      </c>
      <c r="J16468" t="s">
        <v>1357</v>
      </c>
      <c r="K16468" t="s">
        <v>1357</v>
      </c>
      <c r="L16468" t="s">
        <v>1357</v>
      </c>
    </row>
    <row r="16469" spans="8:12">
      <c r="H16469" t="s">
        <v>25139</v>
      </c>
      <c r="I16469" t="s">
        <v>1357</v>
      </c>
      <c r="J16469" t="s">
        <v>1357</v>
      </c>
      <c r="K16469" t="s">
        <v>1357</v>
      </c>
      <c r="L16469" t="s">
        <v>1357</v>
      </c>
    </row>
    <row r="16470" spans="8:12">
      <c r="H16470" t="s">
        <v>25140</v>
      </c>
      <c r="I16470" t="s">
        <v>1357</v>
      </c>
      <c r="J16470" t="s">
        <v>1357</v>
      </c>
      <c r="K16470" t="s">
        <v>1357</v>
      </c>
      <c r="L16470" t="s">
        <v>1357</v>
      </c>
    </row>
    <row r="16471" spans="8:12">
      <c r="H16471" t="s">
        <v>25141</v>
      </c>
      <c r="I16471" t="s">
        <v>1357</v>
      </c>
      <c r="J16471" t="s">
        <v>1357</v>
      </c>
      <c r="K16471" t="s">
        <v>1357</v>
      </c>
      <c r="L16471" t="s">
        <v>1357</v>
      </c>
    </row>
    <row r="16472" spans="8:12">
      <c r="H16472" t="s">
        <v>25142</v>
      </c>
      <c r="I16472" t="s">
        <v>1357</v>
      </c>
      <c r="J16472" t="s">
        <v>1357</v>
      </c>
      <c r="K16472" t="s">
        <v>1357</v>
      </c>
      <c r="L16472" t="s">
        <v>1357</v>
      </c>
    </row>
    <row r="16473" spans="8:12">
      <c r="H16473" t="s">
        <v>25143</v>
      </c>
      <c r="I16473" t="s">
        <v>1357</v>
      </c>
      <c r="J16473" t="s">
        <v>1357</v>
      </c>
      <c r="K16473" t="s">
        <v>1357</v>
      </c>
      <c r="L16473" t="s">
        <v>1357</v>
      </c>
    </row>
    <row r="16474" spans="8:12">
      <c r="H16474" t="s">
        <v>25144</v>
      </c>
      <c r="I16474" t="s">
        <v>1357</v>
      </c>
      <c r="J16474" t="s">
        <v>1357</v>
      </c>
      <c r="K16474" t="s">
        <v>1357</v>
      </c>
      <c r="L16474" t="s">
        <v>1357</v>
      </c>
    </row>
    <row r="16475" spans="8:12">
      <c r="H16475" t="s">
        <v>25145</v>
      </c>
      <c r="I16475" t="s">
        <v>1357</v>
      </c>
      <c r="J16475" t="s">
        <v>1357</v>
      </c>
      <c r="K16475" t="s">
        <v>1357</v>
      </c>
      <c r="L16475" t="s">
        <v>1357</v>
      </c>
    </row>
    <row r="16476" spans="8:12">
      <c r="H16476" t="s">
        <v>25146</v>
      </c>
      <c r="I16476" t="s">
        <v>1357</v>
      </c>
      <c r="J16476" t="s">
        <v>1357</v>
      </c>
      <c r="K16476" t="s">
        <v>1357</v>
      </c>
      <c r="L16476" t="s">
        <v>1357</v>
      </c>
    </row>
    <row r="16477" spans="8:12">
      <c r="H16477" t="s">
        <v>25147</v>
      </c>
      <c r="I16477" t="s">
        <v>1357</v>
      </c>
      <c r="J16477" t="s">
        <v>1357</v>
      </c>
      <c r="K16477" t="s">
        <v>1357</v>
      </c>
      <c r="L16477" t="s">
        <v>1357</v>
      </c>
    </row>
    <row r="16478" spans="8:12">
      <c r="H16478" t="s">
        <v>25148</v>
      </c>
      <c r="I16478" t="s">
        <v>1357</v>
      </c>
      <c r="J16478" t="s">
        <v>1357</v>
      </c>
      <c r="K16478" t="s">
        <v>1357</v>
      </c>
      <c r="L16478" t="s">
        <v>1357</v>
      </c>
    </row>
    <row r="16479" spans="8:12">
      <c r="H16479" t="s">
        <v>25149</v>
      </c>
      <c r="I16479" t="s">
        <v>1357</v>
      </c>
      <c r="J16479" t="s">
        <v>1357</v>
      </c>
      <c r="K16479" t="s">
        <v>1357</v>
      </c>
      <c r="L16479" t="s">
        <v>1357</v>
      </c>
    </row>
    <row r="16480" spans="8:12">
      <c r="H16480" t="s">
        <v>25150</v>
      </c>
      <c r="I16480" t="s">
        <v>1357</v>
      </c>
      <c r="J16480" t="s">
        <v>1357</v>
      </c>
      <c r="K16480" t="s">
        <v>1357</v>
      </c>
      <c r="L16480" t="s">
        <v>1357</v>
      </c>
    </row>
    <row r="16481" spans="6:12">
      <c r="H16481" t="s">
        <v>25151</v>
      </c>
      <c r="I16481" t="s">
        <v>1357</v>
      </c>
      <c r="J16481" t="s">
        <v>1357</v>
      </c>
      <c r="K16481" t="s">
        <v>1357</v>
      </c>
      <c r="L16481" t="s">
        <v>1357</v>
      </c>
    </row>
    <row r="16482" spans="6:12">
      <c r="H16482" t="s">
        <v>25152</v>
      </c>
      <c r="I16482" t="s">
        <v>1357</v>
      </c>
      <c r="J16482" t="s">
        <v>1357</v>
      </c>
      <c r="K16482" t="s">
        <v>1357</v>
      </c>
      <c r="L16482" t="s">
        <v>1357</v>
      </c>
    </row>
    <row r="16483" spans="6:12">
      <c r="H16483" t="s">
        <v>25153</v>
      </c>
      <c r="I16483" t="s">
        <v>1357</v>
      </c>
      <c r="J16483" t="s">
        <v>1357</v>
      </c>
      <c r="K16483" t="s">
        <v>1357</v>
      </c>
      <c r="L16483" t="s">
        <v>1357</v>
      </c>
    </row>
    <row r="16484" spans="6:12">
      <c r="H16484" t="s">
        <v>25154</v>
      </c>
      <c r="I16484" t="s">
        <v>1357</v>
      </c>
      <c r="J16484" t="s">
        <v>1357</v>
      </c>
      <c r="K16484" t="s">
        <v>1357</v>
      </c>
      <c r="L16484" t="s">
        <v>1357</v>
      </c>
    </row>
    <row r="16485" spans="6:12">
      <c r="F16485" t="s">
        <v>16730</v>
      </c>
      <c r="G16485" t="s">
        <v>19361</v>
      </c>
      <c r="H16485" t="s">
        <v>25155</v>
      </c>
      <c r="I16485" t="s">
        <v>1357</v>
      </c>
      <c r="J16485" t="s">
        <v>1357</v>
      </c>
      <c r="K16485" t="s">
        <v>1357</v>
      </c>
      <c r="L16485" t="s">
        <v>1357</v>
      </c>
    </row>
    <row r="16486" spans="6:12">
      <c r="H16486" t="s">
        <v>25156</v>
      </c>
      <c r="I16486" t="s">
        <v>1357</v>
      </c>
      <c r="J16486" t="s">
        <v>1357</v>
      </c>
      <c r="K16486" t="s">
        <v>1357</v>
      </c>
      <c r="L16486" t="s">
        <v>1357</v>
      </c>
    </row>
    <row r="16487" spans="6:12">
      <c r="H16487" t="s">
        <v>25157</v>
      </c>
      <c r="I16487" t="s">
        <v>1357</v>
      </c>
      <c r="J16487" t="s">
        <v>1357</v>
      </c>
      <c r="K16487" t="s">
        <v>1357</v>
      </c>
      <c r="L16487" t="s">
        <v>1357</v>
      </c>
    </row>
    <row r="16488" spans="6:12">
      <c r="H16488" t="s">
        <v>25158</v>
      </c>
      <c r="I16488" t="s">
        <v>1357</v>
      </c>
      <c r="J16488" t="s">
        <v>1357</v>
      </c>
      <c r="K16488" t="s">
        <v>1357</v>
      </c>
      <c r="L16488" t="s">
        <v>1357</v>
      </c>
    </row>
    <row r="16489" spans="6:12">
      <c r="H16489" t="s">
        <v>25159</v>
      </c>
      <c r="I16489" t="s">
        <v>1357</v>
      </c>
      <c r="J16489" t="s">
        <v>1357</v>
      </c>
      <c r="K16489" t="s">
        <v>1357</v>
      </c>
      <c r="L16489" t="s">
        <v>1357</v>
      </c>
    </row>
    <row r="16490" spans="6:12">
      <c r="H16490" t="s">
        <v>25160</v>
      </c>
      <c r="I16490" t="s">
        <v>1357</v>
      </c>
      <c r="J16490" t="s">
        <v>1357</v>
      </c>
      <c r="K16490" t="s">
        <v>1357</v>
      </c>
      <c r="L16490" t="s">
        <v>1357</v>
      </c>
    </row>
    <row r="16491" spans="6:12">
      <c r="H16491" t="s">
        <v>25161</v>
      </c>
      <c r="I16491" t="s">
        <v>1357</v>
      </c>
      <c r="J16491" t="s">
        <v>1357</v>
      </c>
      <c r="K16491" t="s">
        <v>1357</v>
      </c>
      <c r="L16491" t="s">
        <v>1357</v>
      </c>
    </row>
    <row r="16492" spans="6:12">
      <c r="H16492" t="s">
        <v>25162</v>
      </c>
      <c r="I16492" t="s">
        <v>1357</v>
      </c>
      <c r="J16492" t="s">
        <v>1357</v>
      </c>
      <c r="K16492" t="s">
        <v>1357</v>
      </c>
      <c r="L16492" t="s">
        <v>1357</v>
      </c>
    </row>
    <row r="16493" spans="6:12">
      <c r="H16493" t="s">
        <v>25163</v>
      </c>
      <c r="I16493" t="s">
        <v>1357</v>
      </c>
      <c r="J16493" t="s">
        <v>1357</v>
      </c>
      <c r="K16493" t="s">
        <v>1357</v>
      </c>
      <c r="L16493" t="s">
        <v>1357</v>
      </c>
    </row>
    <row r="16494" spans="6:12">
      <c r="H16494" t="s">
        <v>25164</v>
      </c>
      <c r="I16494" t="s">
        <v>1357</v>
      </c>
      <c r="J16494" t="s">
        <v>1357</v>
      </c>
      <c r="K16494" t="s">
        <v>1357</v>
      </c>
      <c r="L16494" t="s">
        <v>1357</v>
      </c>
    </row>
    <row r="16495" spans="6:12">
      <c r="H16495" t="s">
        <v>25165</v>
      </c>
      <c r="I16495" t="s">
        <v>1357</v>
      </c>
      <c r="J16495" t="s">
        <v>1357</v>
      </c>
      <c r="K16495" t="s">
        <v>1357</v>
      </c>
      <c r="L16495" t="s">
        <v>1357</v>
      </c>
    </row>
    <row r="16496" spans="6:12">
      <c r="H16496" t="s">
        <v>25166</v>
      </c>
      <c r="I16496" t="s">
        <v>1357</v>
      </c>
      <c r="J16496" t="s">
        <v>1357</v>
      </c>
      <c r="K16496" t="s">
        <v>1357</v>
      </c>
      <c r="L16496" t="s">
        <v>1357</v>
      </c>
    </row>
    <row r="16497" spans="6:12">
      <c r="H16497" t="s">
        <v>25167</v>
      </c>
      <c r="I16497" t="s">
        <v>1357</v>
      </c>
      <c r="J16497" t="s">
        <v>1357</v>
      </c>
      <c r="K16497" t="s">
        <v>1357</v>
      </c>
      <c r="L16497" t="s">
        <v>1357</v>
      </c>
    </row>
    <row r="16498" spans="6:12">
      <c r="H16498" t="s">
        <v>25168</v>
      </c>
      <c r="I16498" t="s">
        <v>1357</v>
      </c>
      <c r="J16498" t="s">
        <v>1357</v>
      </c>
      <c r="K16498" t="s">
        <v>1357</v>
      </c>
      <c r="L16498" t="s">
        <v>1357</v>
      </c>
    </row>
    <row r="16499" spans="6:12">
      <c r="H16499" t="s">
        <v>25169</v>
      </c>
      <c r="I16499" t="s">
        <v>1357</v>
      </c>
      <c r="J16499" t="s">
        <v>1357</v>
      </c>
      <c r="K16499" t="s">
        <v>1357</v>
      </c>
      <c r="L16499" t="s">
        <v>1357</v>
      </c>
    </row>
    <row r="16500" spans="6:12">
      <c r="H16500" t="s">
        <v>25170</v>
      </c>
      <c r="I16500" t="s">
        <v>1357</v>
      </c>
      <c r="J16500" t="s">
        <v>1357</v>
      </c>
      <c r="K16500" t="s">
        <v>1357</v>
      </c>
      <c r="L16500" t="s">
        <v>1357</v>
      </c>
    </row>
    <row r="16501" spans="6:12">
      <c r="H16501" t="s">
        <v>25171</v>
      </c>
      <c r="I16501" t="s">
        <v>1357</v>
      </c>
      <c r="J16501" t="s">
        <v>1357</v>
      </c>
      <c r="K16501" t="s">
        <v>1357</v>
      </c>
      <c r="L16501" t="s">
        <v>1357</v>
      </c>
    </row>
    <row r="16502" spans="6:12">
      <c r="H16502" t="s">
        <v>25172</v>
      </c>
      <c r="I16502" t="s">
        <v>1357</v>
      </c>
      <c r="J16502" t="s">
        <v>1357</v>
      </c>
      <c r="K16502" t="s">
        <v>1357</v>
      </c>
      <c r="L16502" t="s">
        <v>1357</v>
      </c>
    </row>
    <row r="16503" spans="6:12">
      <c r="H16503" t="s">
        <v>25173</v>
      </c>
      <c r="I16503" t="s">
        <v>1357</v>
      </c>
      <c r="J16503" t="s">
        <v>1357</v>
      </c>
      <c r="K16503" t="s">
        <v>1357</v>
      </c>
      <c r="L16503" t="s">
        <v>1357</v>
      </c>
    </row>
    <row r="16504" spans="6:12">
      <c r="H16504" t="s">
        <v>25174</v>
      </c>
      <c r="I16504" t="s">
        <v>1357</v>
      </c>
      <c r="J16504" t="s">
        <v>1357</v>
      </c>
      <c r="K16504" t="s">
        <v>1357</v>
      </c>
      <c r="L16504" t="s">
        <v>1357</v>
      </c>
    </row>
    <row r="16505" spans="6:12">
      <c r="H16505" t="s">
        <v>25175</v>
      </c>
      <c r="I16505" t="s">
        <v>1357</v>
      </c>
      <c r="J16505" t="s">
        <v>1357</v>
      </c>
      <c r="K16505" t="s">
        <v>1357</v>
      </c>
      <c r="L16505" t="s">
        <v>1357</v>
      </c>
    </row>
    <row r="16506" spans="6:12">
      <c r="H16506" t="s">
        <v>25176</v>
      </c>
      <c r="I16506" t="s">
        <v>1357</v>
      </c>
      <c r="J16506" t="s">
        <v>1357</v>
      </c>
      <c r="K16506" t="s">
        <v>1357</v>
      </c>
      <c r="L16506" t="s">
        <v>1357</v>
      </c>
    </row>
    <row r="16507" spans="6:12">
      <c r="H16507" t="s">
        <v>25177</v>
      </c>
      <c r="I16507" t="s">
        <v>1357</v>
      </c>
      <c r="J16507" t="s">
        <v>1357</v>
      </c>
      <c r="K16507" t="s">
        <v>1357</v>
      </c>
      <c r="L16507" t="s">
        <v>1357</v>
      </c>
    </row>
    <row r="16508" spans="6:12">
      <c r="H16508" t="s">
        <v>25178</v>
      </c>
      <c r="I16508" t="s">
        <v>1357</v>
      </c>
      <c r="J16508" t="s">
        <v>1357</v>
      </c>
      <c r="K16508" t="s">
        <v>1357</v>
      </c>
      <c r="L16508" t="s">
        <v>1357</v>
      </c>
    </row>
    <row r="16509" spans="6:12">
      <c r="H16509" t="s">
        <v>25179</v>
      </c>
      <c r="I16509" t="s">
        <v>1357</v>
      </c>
      <c r="J16509" t="s">
        <v>1357</v>
      </c>
      <c r="K16509" t="s">
        <v>1357</v>
      </c>
      <c r="L16509" t="s">
        <v>1357</v>
      </c>
    </row>
    <row r="16510" spans="6:12">
      <c r="H16510" t="s">
        <v>25180</v>
      </c>
      <c r="I16510" t="s">
        <v>1357</v>
      </c>
      <c r="J16510" t="s">
        <v>1357</v>
      </c>
      <c r="K16510" t="s">
        <v>1357</v>
      </c>
      <c r="L16510" t="s">
        <v>1357</v>
      </c>
    </row>
    <row r="16511" spans="6:12">
      <c r="F16511" t="s">
        <v>16927</v>
      </c>
      <c r="G16511" t="s">
        <v>19538</v>
      </c>
      <c r="H16511" t="s">
        <v>25181</v>
      </c>
      <c r="I16511" t="s">
        <v>1357</v>
      </c>
      <c r="J16511" t="s">
        <v>1357</v>
      </c>
      <c r="K16511" t="s">
        <v>1357</v>
      </c>
      <c r="L16511" t="s">
        <v>1357</v>
      </c>
    </row>
    <row r="16512" spans="6:12">
      <c r="F16512" t="s">
        <v>16928</v>
      </c>
      <c r="G16512" t="s">
        <v>19539</v>
      </c>
      <c r="H16512" t="s">
        <v>25182</v>
      </c>
      <c r="I16512" t="s">
        <v>1357</v>
      </c>
      <c r="J16512" t="s">
        <v>1357</v>
      </c>
      <c r="K16512" t="s">
        <v>1357</v>
      </c>
      <c r="L16512" t="s">
        <v>1357</v>
      </c>
    </row>
    <row r="16513" spans="6:12">
      <c r="F16513" t="s">
        <v>16929</v>
      </c>
      <c r="G16513" t="s">
        <v>19540</v>
      </c>
      <c r="H16513" t="s">
        <v>20014</v>
      </c>
      <c r="I16513" t="s">
        <v>1357</v>
      </c>
      <c r="J16513" t="s">
        <v>1357</v>
      </c>
      <c r="K16513" t="s">
        <v>1357</v>
      </c>
      <c r="L16513" t="s">
        <v>1357</v>
      </c>
    </row>
    <row r="16514" spans="6:12">
      <c r="H16514" t="s">
        <v>3380</v>
      </c>
      <c r="I16514" t="s">
        <v>1357</v>
      </c>
      <c r="J16514" t="s">
        <v>1357</v>
      </c>
      <c r="K16514" t="s">
        <v>1357</v>
      </c>
      <c r="L16514" t="s">
        <v>1357</v>
      </c>
    </row>
    <row r="16515" spans="6:12">
      <c r="F16515" t="s">
        <v>16271</v>
      </c>
      <c r="G16515" t="s">
        <v>18944</v>
      </c>
      <c r="H16515" t="s">
        <v>25183</v>
      </c>
      <c r="I16515" t="s">
        <v>1357</v>
      </c>
      <c r="J16515" t="s">
        <v>1357</v>
      </c>
      <c r="K16515" t="s">
        <v>1357</v>
      </c>
      <c r="L16515" t="s">
        <v>1357</v>
      </c>
    </row>
    <row r="16516" spans="6:12">
      <c r="H16516" t="s">
        <v>4574</v>
      </c>
      <c r="I16516" t="s">
        <v>1357</v>
      </c>
      <c r="J16516" t="s">
        <v>1357</v>
      </c>
      <c r="K16516" t="s">
        <v>1357</v>
      </c>
      <c r="L16516" t="s">
        <v>1357</v>
      </c>
    </row>
    <row r="16517" spans="6:12">
      <c r="H16517" t="s">
        <v>22462</v>
      </c>
      <c r="I16517" t="s">
        <v>1357</v>
      </c>
      <c r="J16517" t="s">
        <v>1357</v>
      </c>
      <c r="K16517" t="s">
        <v>1357</v>
      </c>
      <c r="L16517" t="s">
        <v>1357</v>
      </c>
    </row>
    <row r="16518" spans="6:12">
      <c r="H16518" t="s">
        <v>22463</v>
      </c>
      <c r="I16518" t="s">
        <v>1357</v>
      </c>
      <c r="J16518" t="s">
        <v>1357</v>
      </c>
      <c r="K16518" t="s">
        <v>1357</v>
      </c>
      <c r="L16518" t="s">
        <v>1357</v>
      </c>
    </row>
    <row r="16519" spans="6:12">
      <c r="H16519" t="s">
        <v>25184</v>
      </c>
      <c r="I16519" t="s">
        <v>1357</v>
      </c>
      <c r="J16519" t="s">
        <v>1357</v>
      </c>
      <c r="K16519" t="s">
        <v>1357</v>
      </c>
      <c r="L16519" t="s">
        <v>1357</v>
      </c>
    </row>
    <row r="16520" spans="6:12">
      <c r="H16520" t="s">
        <v>25185</v>
      </c>
      <c r="I16520" t="s">
        <v>1357</v>
      </c>
      <c r="J16520" t="s">
        <v>1357</v>
      </c>
      <c r="K16520" t="s">
        <v>1357</v>
      </c>
      <c r="L16520" t="s">
        <v>1357</v>
      </c>
    </row>
    <row r="16521" spans="6:12">
      <c r="H16521" t="s">
        <v>25186</v>
      </c>
      <c r="I16521" t="s">
        <v>1357</v>
      </c>
      <c r="J16521" t="s">
        <v>1357</v>
      </c>
      <c r="K16521" t="s">
        <v>1357</v>
      </c>
      <c r="L16521" t="s">
        <v>1357</v>
      </c>
    </row>
    <row r="16522" spans="6:12">
      <c r="F16522" t="s">
        <v>16930</v>
      </c>
      <c r="G16522" t="s">
        <v>19541</v>
      </c>
      <c r="H16522" t="s">
        <v>25187</v>
      </c>
      <c r="I16522" t="s">
        <v>1357</v>
      </c>
      <c r="J16522" t="s">
        <v>1357</v>
      </c>
      <c r="K16522" t="s">
        <v>1357</v>
      </c>
      <c r="L16522" t="s">
        <v>1357</v>
      </c>
    </row>
    <row r="16523" spans="6:12">
      <c r="H16523" t="s">
        <v>25188</v>
      </c>
      <c r="I16523" t="s">
        <v>1357</v>
      </c>
      <c r="J16523" t="s">
        <v>1357</v>
      </c>
      <c r="K16523" t="s">
        <v>1357</v>
      </c>
      <c r="L16523" t="s">
        <v>1357</v>
      </c>
    </row>
    <row r="16524" spans="6:12">
      <c r="H16524" t="s">
        <v>25189</v>
      </c>
      <c r="I16524" t="s">
        <v>1357</v>
      </c>
      <c r="J16524" t="s">
        <v>1357</v>
      </c>
      <c r="K16524" t="s">
        <v>1357</v>
      </c>
      <c r="L16524" t="s">
        <v>1357</v>
      </c>
    </row>
    <row r="16525" spans="6:12">
      <c r="H16525" t="s">
        <v>25190</v>
      </c>
      <c r="I16525" t="s">
        <v>1357</v>
      </c>
      <c r="J16525" t="s">
        <v>1357</v>
      </c>
      <c r="K16525" t="s">
        <v>1357</v>
      </c>
      <c r="L16525" t="s">
        <v>1357</v>
      </c>
    </row>
    <row r="16526" spans="6:12">
      <c r="H16526" t="s">
        <v>25191</v>
      </c>
      <c r="I16526" t="s">
        <v>1357</v>
      </c>
      <c r="J16526" t="s">
        <v>1357</v>
      </c>
      <c r="K16526" t="s">
        <v>1357</v>
      </c>
      <c r="L16526" t="s">
        <v>1357</v>
      </c>
    </row>
    <row r="16527" spans="6:12">
      <c r="F16527" t="s">
        <v>16931</v>
      </c>
      <c r="G16527" t="s">
        <v>19542</v>
      </c>
      <c r="H16527" t="s">
        <v>25192</v>
      </c>
      <c r="I16527" t="s">
        <v>1357</v>
      </c>
      <c r="J16527" t="s">
        <v>1357</v>
      </c>
      <c r="K16527" t="s">
        <v>1357</v>
      </c>
      <c r="L16527" t="s">
        <v>1357</v>
      </c>
    </row>
    <row r="16528" spans="6:12">
      <c r="F16528" t="s">
        <v>16932</v>
      </c>
      <c r="G16528" t="s">
        <v>19543</v>
      </c>
      <c r="H16528" t="s">
        <v>25193</v>
      </c>
      <c r="I16528" t="s">
        <v>1357</v>
      </c>
      <c r="J16528" t="s">
        <v>1357</v>
      </c>
      <c r="K16528" t="s">
        <v>1357</v>
      </c>
      <c r="L16528" t="s">
        <v>1357</v>
      </c>
    </row>
    <row r="16529" spans="6:12">
      <c r="H16529" t="s">
        <v>25194</v>
      </c>
      <c r="I16529" t="s">
        <v>1357</v>
      </c>
      <c r="J16529" t="s">
        <v>1357</v>
      </c>
      <c r="K16529" t="s">
        <v>1357</v>
      </c>
      <c r="L16529" t="s">
        <v>1357</v>
      </c>
    </row>
    <row r="16530" spans="6:12">
      <c r="H16530" t="s">
        <v>25195</v>
      </c>
      <c r="I16530" t="s">
        <v>1357</v>
      </c>
      <c r="J16530" t="s">
        <v>1357</v>
      </c>
      <c r="K16530" t="s">
        <v>1357</v>
      </c>
      <c r="L16530" t="s">
        <v>1357</v>
      </c>
    </row>
    <row r="16531" spans="6:12">
      <c r="H16531" t="s">
        <v>25196</v>
      </c>
      <c r="I16531" t="s">
        <v>1357</v>
      </c>
      <c r="J16531" t="s">
        <v>1357</v>
      </c>
      <c r="K16531" t="s">
        <v>1357</v>
      </c>
      <c r="L16531" t="s">
        <v>1357</v>
      </c>
    </row>
    <row r="16532" spans="6:12">
      <c r="H16532" t="s">
        <v>25197</v>
      </c>
      <c r="I16532" t="s">
        <v>1357</v>
      </c>
      <c r="J16532" t="s">
        <v>1357</v>
      </c>
      <c r="K16532" t="s">
        <v>1357</v>
      </c>
      <c r="L16532" t="s">
        <v>1357</v>
      </c>
    </row>
    <row r="16533" spans="6:12">
      <c r="H16533" t="s">
        <v>25198</v>
      </c>
      <c r="I16533" t="s">
        <v>1357</v>
      </c>
      <c r="J16533" t="s">
        <v>1357</v>
      </c>
      <c r="K16533" t="s">
        <v>1357</v>
      </c>
      <c r="L16533" t="s">
        <v>1357</v>
      </c>
    </row>
    <row r="16534" spans="6:12">
      <c r="H16534" t="s">
        <v>25199</v>
      </c>
      <c r="I16534" t="s">
        <v>1357</v>
      </c>
      <c r="J16534" t="s">
        <v>1357</v>
      </c>
      <c r="K16534" t="s">
        <v>1357</v>
      </c>
      <c r="L16534" t="s">
        <v>1357</v>
      </c>
    </row>
    <row r="16535" spans="6:12">
      <c r="H16535" t="s">
        <v>25200</v>
      </c>
      <c r="I16535" t="s">
        <v>1357</v>
      </c>
      <c r="J16535" t="s">
        <v>1357</v>
      </c>
      <c r="K16535" t="s">
        <v>1357</v>
      </c>
      <c r="L16535" t="s">
        <v>1357</v>
      </c>
    </row>
    <row r="16536" spans="6:12">
      <c r="F16536" t="s">
        <v>16933</v>
      </c>
      <c r="G16536" t="s">
        <v>19544</v>
      </c>
      <c r="H16536" t="s">
        <v>20014</v>
      </c>
      <c r="I16536" t="s">
        <v>1357</v>
      </c>
      <c r="J16536" t="s">
        <v>1357</v>
      </c>
      <c r="K16536" t="s">
        <v>1357</v>
      </c>
      <c r="L16536" t="s">
        <v>1357</v>
      </c>
    </row>
    <row r="16537" spans="6:12">
      <c r="H16537" t="s">
        <v>3380</v>
      </c>
      <c r="I16537" t="s">
        <v>1357</v>
      </c>
      <c r="J16537" t="s">
        <v>1357</v>
      </c>
      <c r="K16537" t="s">
        <v>1357</v>
      </c>
      <c r="L16537" t="s">
        <v>1357</v>
      </c>
    </row>
    <row r="16538" spans="6:12">
      <c r="F16538" t="s">
        <v>16934</v>
      </c>
      <c r="G16538" t="s">
        <v>19545</v>
      </c>
      <c r="H16538" t="s">
        <v>20014</v>
      </c>
      <c r="I16538" t="s">
        <v>1357</v>
      </c>
      <c r="J16538" t="s">
        <v>1357</v>
      </c>
      <c r="K16538" t="s">
        <v>1357</v>
      </c>
      <c r="L16538" t="s">
        <v>1357</v>
      </c>
    </row>
    <row r="16539" spans="6:12">
      <c r="H16539" t="s">
        <v>3380</v>
      </c>
      <c r="I16539" t="s">
        <v>1357</v>
      </c>
      <c r="J16539" t="s">
        <v>1357</v>
      </c>
      <c r="K16539" t="s">
        <v>1357</v>
      </c>
      <c r="L16539" t="s">
        <v>1357</v>
      </c>
    </row>
    <row r="16540" spans="6:12">
      <c r="F16540" t="s">
        <v>16512</v>
      </c>
      <c r="G16540" t="s">
        <v>19170</v>
      </c>
      <c r="H16540" t="s">
        <v>25201</v>
      </c>
      <c r="I16540" t="s">
        <v>1357</v>
      </c>
      <c r="J16540" t="s">
        <v>1357</v>
      </c>
      <c r="K16540" t="s">
        <v>1357</v>
      </c>
      <c r="L16540" t="s">
        <v>1357</v>
      </c>
    </row>
    <row r="16541" spans="6:12">
      <c r="H16541" t="s">
        <v>25202</v>
      </c>
      <c r="I16541" t="s">
        <v>1357</v>
      </c>
      <c r="J16541" t="s">
        <v>1357</v>
      </c>
      <c r="K16541" t="s">
        <v>1357</v>
      </c>
      <c r="L16541" t="s">
        <v>1357</v>
      </c>
    </row>
    <row r="16542" spans="6:12">
      <c r="H16542" t="s">
        <v>25203</v>
      </c>
      <c r="I16542" t="s">
        <v>1357</v>
      </c>
      <c r="J16542" t="s">
        <v>1357</v>
      </c>
      <c r="K16542" t="s">
        <v>1357</v>
      </c>
      <c r="L16542" t="s">
        <v>1357</v>
      </c>
    </row>
    <row r="16543" spans="6:12">
      <c r="H16543" t="s">
        <v>25204</v>
      </c>
      <c r="I16543" t="s">
        <v>1357</v>
      </c>
      <c r="J16543" t="s">
        <v>1357</v>
      </c>
      <c r="K16543" t="s">
        <v>1357</v>
      </c>
      <c r="L16543" t="s">
        <v>1357</v>
      </c>
    </row>
    <row r="16544" spans="6:12">
      <c r="H16544" t="s">
        <v>25205</v>
      </c>
      <c r="I16544" t="s">
        <v>1357</v>
      </c>
      <c r="J16544" t="s">
        <v>1357</v>
      </c>
      <c r="K16544" t="s">
        <v>1357</v>
      </c>
      <c r="L16544" t="s">
        <v>1357</v>
      </c>
    </row>
    <row r="16545" spans="6:12">
      <c r="H16545" t="s">
        <v>25206</v>
      </c>
      <c r="I16545" t="s">
        <v>1357</v>
      </c>
      <c r="J16545" t="s">
        <v>1357</v>
      </c>
      <c r="K16545" t="s">
        <v>1357</v>
      </c>
      <c r="L16545" t="s">
        <v>1357</v>
      </c>
    </row>
    <row r="16546" spans="6:12">
      <c r="H16546" t="s">
        <v>25207</v>
      </c>
      <c r="I16546" t="s">
        <v>1357</v>
      </c>
      <c r="J16546" t="s">
        <v>1357</v>
      </c>
      <c r="K16546" t="s">
        <v>1357</v>
      </c>
      <c r="L16546" t="s">
        <v>1357</v>
      </c>
    </row>
    <row r="16547" spans="6:12">
      <c r="H16547" t="s">
        <v>25208</v>
      </c>
      <c r="I16547" t="s">
        <v>1357</v>
      </c>
      <c r="J16547" t="s">
        <v>1357</v>
      </c>
      <c r="K16547" t="s">
        <v>1357</v>
      </c>
      <c r="L16547" t="s">
        <v>1357</v>
      </c>
    </row>
    <row r="16548" spans="6:12">
      <c r="F16548" t="s">
        <v>16935</v>
      </c>
      <c r="G16548" t="s">
        <v>19546</v>
      </c>
      <c r="H16548" t="s">
        <v>25209</v>
      </c>
      <c r="I16548" t="s">
        <v>1357</v>
      </c>
      <c r="J16548" t="s">
        <v>1357</v>
      </c>
      <c r="K16548" t="s">
        <v>1357</v>
      </c>
      <c r="L16548" t="s">
        <v>1357</v>
      </c>
    </row>
    <row r="16549" spans="6:12">
      <c r="F16549" t="s">
        <v>16936</v>
      </c>
      <c r="G16549" t="s">
        <v>19547</v>
      </c>
      <c r="H16549" t="s">
        <v>25210</v>
      </c>
      <c r="I16549" t="s">
        <v>1357</v>
      </c>
      <c r="J16549" t="s">
        <v>1357</v>
      </c>
      <c r="K16549" t="s">
        <v>1357</v>
      </c>
      <c r="L16549" t="s">
        <v>1357</v>
      </c>
    </row>
    <row r="16550" spans="6:12">
      <c r="F16550" t="s">
        <v>16937</v>
      </c>
      <c r="G16550" t="s">
        <v>19548</v>
      </c>
      <c r="H16550" t="s">
        <v>795</v>
      </c>
      <c r="I16550" t="s">
        <v>1357</v>
      </c>
      <c r="J16550" t="s">
        <v>1357</v>
      </c>
      <c r="K16550" t="s">
        <v>1357</v>
      </c>
      <c r="L16550" t="s">
        <v>1357</v>
      </c>
    </row>
    <row r="16551" spans="6:12">
      <c r="H16551" t="s">
        <v>25211</v>
      </c>
      <c r="I16551" t="s">
        <v>1357</v>
      </c>
      <c r="J16551" t="s">
        <v>1357</v>
      </c>
      <c r="K16551" t="s">
        <v>1357</v>
      </c>
      <c r="L16551" t="s">
        <v>1357</v>
      </c>
    </row>
    <row r="16552" spans="6:12">
      <c r="H16552" t="s">
        <v>25212</v>
      </c>
      <c r="I16552" t="s">
        <v>1357</v>
      </c>
      <c r="J16552" t="s">
        <v>1357</v>
      </c>
      <c r="K16552" t="s">
        <v>1357</v>
      </c>
      <c r="L16552" t="s">
        <v>1357</v>
      </c>
    </row>
    <row r="16553" spans="6:12">
      <c r="H16553" t="s">
        <v>25213</v>
      </c>
      <c r="I16553" t="s">
        <v>1357</v>
      </c>
      <c r="J16553" t="s">
        <v>1357</v>
      </c>
      <c r="K16553" t="s">
        <v>1357</v>
      </c>
      <c r="L16553" t="s">
        <v>1357</v>
      </c>
    </row>
    <row r="16554" spans="6:12">
      <c r="F16554" t="s">
        <v>16938</v>
      </c>
      <c r="G16554" t="s">
        <v>19549</v>
      </c>
      <c r="H16554" t="s">
        <v>795</v>
      </c>
      <c r="I16554" t="s">
        <v>1357</v>
      </c>
      <c r="J16554" t="s">
        <v>1357</v>
      </c>
      <c r="K16554" t="s">
        <v>1357</v>
      </c>
      <c r="L16554" t="s">
        <v>1357</v>
      </c>
    </row>
    <row r="16555" spans="6:12">
      <c r="H16555" t="s">
        <v>25214</v>
      </c>
      <c r="I16555" t="s">
        <v>1357</v>
      </c>
      <c r="J16555" t="s">
        <v>1357</v>
      </c>
      <c r="K16555" t="s">
        <v>1357</v>
      </c>
      <c r="L16555" t="s">
        <v>1357</v>
      </c>
    </row>
    <row r="16556" spans="6:12">
      <c r="F16556" t="s">
        <v>16939</v>
      </c>
      <c r="G16556" t="s">
        <v>19550</v>
      </c>
      <c r="H16556" t="s">
        <v>25215</v>
      </c>
      <c r="I16556" t="s">
        <v>1357</v>
      </c>
      <c r="J16556" t="s">
        <v>1357</v>
      </c>
      <c r="K16556" t="s">
        <v>1357</v>
      </c>
      <c r="L16556" t="s">
        <v>1357</v>
      </c>
    </row>
    <row r="16557" spans="6:12">
      <c r="H16557" t="s">
        <v>25216</v>
      </c>
      <c r="I16557" t="s">
        <v>1357</v>
      </c>
      <c r="J16557" t="s">
        <v>1357</v>
      </c>
      <c r="K16557" t="s">
        <v>1357</v>
      </c>
      <c r="L16557" t="s">
        <v>1357</v>
      </c>
    </row>
    <row r="16558" spans="6:12">
      <c r="H16558" t="s">
        <v>25217</v>
      </c>
      <c r="I16558" t="s">
        <v>1357</v>
      </c>
      <c r="J16558" t="s">
        <v>1357</v>
      </c>
      <c r="K16558" t="s">
        <v>1357</v>
      </c>
      <c r="L16558" t="s">
        <v>1357</v>
      </c>
    </row>
    <row r="16559" spans="6:12">
      <c r="F16559" t="s">
        <v>16744</v>
      </c>
      <c r="G16559" t="s">
        <v>19373</v>
      </c>
      <c r="H16559" t="s">
        <v>25218</v>
      </c>
      <c r="I16559" t="s">
        <v>1357</v>
      </c>
      <c r="J16559" t="s">
        <v>1357</v>
      </c>
      <c r="K16559" t="s">
        <v>1357</v>
      </c>
      <c r="L16559" t="s">
        <v>1357</v>
      </c>
    </row>
    <row r="16560" spans="6:12">
      <c r="H16560" t="s">
        <v>25214</v>
      </c>
      <c r="I16560" t="s">
        <v>1357</v>
      </c>
      <c r="J16560" t="s">
        <v>1357</v>
      </c>
      <c r="K16560" t="s">
        <v>1357</v>
      </c>
      <c r="L16560" t="s">
        <v>1357</v>
      </c>
    </row>
    <row r="16561" spans="6:13">
      <c r="H16561" t="s">
        <v>25219</v>
      </c>
      <c r="I16561" t="s">
        <v>1357</v>
      </c>
      <c r="J16561" t="s">
        <v>1357</v>
      </c>
      <c r="K16561" t="s">
        <v>1357</v>
      </c>
      <c r="L16561" t="s">
        <v>1357</v>
      </c>
      <c r="M16561" t="s">
        <v>9957</v>
      </c>
    </row>
    <row r="16562" spans="6:13">
      <c r="H16562" t="s">
        <v>25220</v>
      </c>
      <c r="I16562" t="s">
        <v>1357</v>
      </c>
      <c r="J16562" t="s">
        <v>1357</v>
      </c>
      <c r="K16562" t="s">
        <v>1357</v>
      </c>
      <c r="L16562" t="s">
        <v>1357</v>
      </c>
    </row>
    <row r="16563" spans="6:13">
      <c r="H16563" t="s">
        <v>25221</v>
      </c>
      <c r="I16563" t="s">
        <v>1357</v>
      </c>
      <c r="J16563" t="s">
        <v>1357</v>
      </c>
      <c r="K16563" t="s">
        <v>1357</v>
      </c>
      <c r="L16563" t="s">
        <v>1357</v>
      </c>
    </row>
    <row r="16564" spans="6:13">
      <c r="H16564" t="s">
        <v>25222</v>
      </c>
      <c r="I16564" t="s">
        <v>1357</v>
      </c>
      <c r="J16564" t="s">
        <v>1357</v>
      </c>
      <c r="K16564" t="s">
        <v>1357</v>
      </c>
      <c r="L16564" t="s">
        <v>1357</v>
      </c>
    </row>
    <row r="16565" spans="6:13">
      <c r="H16565" t="s">
        <v>25223</v>
      </c>
      <c r="I16565" t="s">
        <v>1357</v>
      </c>
      <c r="J16565" t="s">
        <v>1357</v>
      </c>
      <c r="K16565" t="s">
        <v>1357</v>
      </c>
      <c r="L16565" t="s">
        <v>1357</v>
      </c>
    </row>
    <row r="16566" spans="6:13">
      <c r="H16566" t="s">
        <v>25224</v>
      </c>
      <c r="I16566" t="s">
        <v>1357</v>
      </c>
      <c r="J16566" t="s">
        <v>1357</v>
      </c>
      <c r="K16566" t="s">
        <v>1357</v>
      </c>
      <c r="L16566" t="s">
        <v>1357</v>
      </c>
    </row>
    <row r="16567" spans="6:13">
      <c r="F16567" t="s">
        <v>16940</v>
      </c>
      <c r="G16567" t="s">
        <v>19551</v>
      </c>
      <c r="H16567" t="s">
        <v>25225</v>
      </c>
      <c r="I16567" t="s">
        <v>1357</v>
      </c>
      <c r="J16567" t="s">
        <v>1357</v>
      </c>
      <c r="K16567" t="s">
        <v>1357</v>
      </c>
      <c r="L16567" t="s">
        <v>1357</v>
      </c>
    </row>
    <row r="16568" spans="6:13">
      <c r="F16568" t="s">
        <v>14545</v>
      </c>
      <c r="G16568" t="s">
        <v>17390</v>
      </c>
      <c r="H16568" t="s">
        <v>25226</v>
      </c>
      <c r="I16568" t="s">
        <v>1357</v>
      </c>
      <c r="J16568" t="s">
        <v>1357</v>
      </c>
      <c r="K16568" t="s">
        <v>1357</v>
      </c>
      <c r="L16568" t="s">
        <v>1357</v>
      </c>
    </row>
    <row r="16569" spans="6:13">
      <c r="H16569" t="s">
        <v>25227</v>
      </c>
      <c r="I16569" t="s">
        <v>1357</v>
      </c>
      <c r="J16569" t="s">
        <v>1357</v>
      </c>
      <c r="K16569" t="s">
        <v>1357</v>
      </c>
      <c r="L16569" t="s">
        <v>1357</v>
      </c>
    </row>
    <row r="16570" spans="6:13">
      <c r="H16570" t="s">
        <v>25228</v>
      </c>
      <c r="I16570" t="s">
        <v>1357</v>
      </c>
      <c r="J16570" t="s">
        <v>1357</v>
      </c>
      <c r="K16570" t="s">
        <v>1357</v>
      </c>
      <c r="L16570" t="s">
        <v>1357</v>
      </c>
    </row>
    <row r="16571" spans="6:13">
      <c r="H16571" t="s">
        <v>25229</v>
      </c>
      <c r="I16571" t="s">
        <v>1357</v>
      </c>
      <c r="J16571" t="s">
        <v>1357</v>
      </c>
      <c r="K16571" t="s">
        <v>1357</v>
      </c>
      <c r="L16571" t="s">
        <v>1357</v>
      </c>
    </row>
    <row r="16572" spans="6:13">
      <c r="H16572" t="s">
        <v>25230</v>
      </c>
      <c r="I16572" t="s">
        <v>1357</v>
      </c>
      <c r="J16572" t="s">
        <v>1357</v>
      </c>
      <c r="K16572" t="s">
        <v>1357</v>
      </c>
      <c r="L16572" t="s">
        <v>1357</v>
      </c>
    </row>
    <row r="16573" spans="6:13">
      <c r="F16573" t="s">
        <v>16941</v>
      </c>
      <c r="G16573" t="s">
        <v>19552</v>
      </c>
      <c r="H16573" t="s">
        <v>23990</v>
      </c>
      <c r="I16573" t="s">
        <v>1357</v>
      </c>
      <c r="J16573" t="s">
        <v>1357</v>
      </c>
      <c r="K16573" t="s">
        <v>1357</v>
      </c>
      <c r="L16573" t="s">
        <v>1357</v>
      </c>
    </row>
    <row r="16574" spans="6:13">
      <c r="H16574" t="s">
        <v>25231</v>
      </c>
      <c r="I16574" t="s">
        <v>1357</v>
      </c>
      <c r="J16574" t="s">
        <v>1357</v>
      </c>
      <c r="K16574" t="s">
        <v>1357</v>
      </c>
      <c r="L16574" t="s">
        <v>1357</v>
      </c>
    </row>
    <row r="16575" spans="6:13">
      <c r="H16575" t="s">
        <v>25232</v>
      </c>
      <c r="I16575" t="s">
        <v>1357</v>
      </c>
      <c r="J16575" t="s">
        <v>1357</v>
      </c>
      <c r="K16575" t="s">
        <v>1357</v>
      </c>
      <c r="L16575" t="s">
        <v>1357</v>
      </c>
    </row>
    <row r="16576" spans="6:13">
      <c r="H16576" t="s">
        <v>812</v>
      </c>
      <c r="I16576" t="s">
        <v>1357</v>
      </c>
      <c r="J16576" t="s">
        <v>1357</v>
      </c>
      <c r="K16576" t="s">
        <v>1357</v>
      </c>
      <c r="L16576" t="s">
        <v>1357</v>
      </c>
    </row>
    <row r="16577" spans="8:12">
      <c r="H16577" t="s">
        <v>1850</v>
      </c>
      <c r="I16577" t="s">
        <v>1357</v>
      </c>
      <c r="J16577" t="s">
        <v>1357</v>
      </c>
      <c r="K16577" t="s">
        <v>1357</v>
      </c>
      <c r="L16577" t="s">
        <v>1357</v>
      </c>
    </row>
    <row r="16578" spans="8:12">
      <c r="H16578" t="s">
        <v>25233</v>
      </c>
      <c r="I16578" t="s">
        <v>1357</v>
      </c>
      <c r="J16578" t="s">
        <v>1357</v>
      </c>
      <c r="K16578" t="s">
        <v>1357</v>
      </c>
      <c r="L16578" t="s">
        <v>1357</v>
      </c>
    </row>
    <row r="16579" spans="8:12">
      <c r="H16579" t="s">
        <v>25234</v>
      </c>
      <c r="I16579" t="s">
        <v>1357</v>
      </c>
      <c r="J16579" t="s">
        <v>1357</v>
      </c>
      <c r="K16579" t="s">
        <v>1357</v>
      </c>
      <c r="L16579" t="s">
        <v>1357</v>
      </c>
    </row>
    <row r="16580" spans="8:12">
      <c r="H16580" t="s">
        <v>25235</v>
      </c>
      <c r="I16580" t="s">
        <v>1357</v>
      </c>
      <c r="J16580" t="s">
        <v>1357</v>
      </c>
      <c r="K16580" t="s">
        <v>1357</v>
      </c>
      <c r="L16580" t="s">
        <v>1357</v>
      </c>
    </row>
    <row r="16581" spans="8:12">
      <c r="H16581" t="s">
        <v>25236</v>
      </c>
      <c r="I16581" t="s">
        <v>1357</v>
      </c>
      <c r="J16581" t="s">
        <v>1357</v>
      </c>
      <c r="K16581" t="s">
        <v>1357</v>
      </c>
      <c r="L16581" t="s">
        <v>1357</v>
      </c>
    </row>
    <row r="16582" spans="8:12">
      <c r="H16582" t="s">
        <v>25237</v>
      </c>
      <c r="I16582" t="s">
        <v>1357</v>
      </c>
      <c r="J16582" t="s">
        <v>1357</v>
      </c>
      <c r="K16582" t="s">
        <v>1357</v>
      </c>
      <c r="L16582" t="s">
        <v>1357</v>
      </c>
    </row>
    <row r="16583" spans="8:12">
      <c r="H16583" t="s">
        <v>25238</v>
      </c>
      <c r="I16583" t="s">
        <v>1357</v>
      </c>
      <c r="J16583" t="s">
        <v>1357</v>
      </c>
      <c r="K16583" t="s">
        <v>1357</v>
      </c>
      <c r="L16583" t="s">
        <v>1357</v>
      </c>
    </row>
    <row r="16584" spans="8:12">
      <c r="H16584" t="s">
        <v>25239</v>
      </c>
      <c r="I16584" t="s">
        <v>1357</v>
      </c>
      <c r="J16584" t="s">
        <v>1357</v>
      </c>
      <c r="K16584" t="s">
        <v>1357</v>
      </c>
      <c r="L16584" t="s">
        <v>1357</v>
      </c>
    </row>
    <row r="16585" spans="8:12">
      <c r="H16585" t="s">
        <v>25240</v>
      </c>
      <c r="I16585" t="s">
        <v>1357</v>
      </c>
      <c r="J16585" t="s">
        <v>1357</v>
      </c>
      <c r="K16585" t="s">
        <v>1357</v>
      </c>
      <c r="L16585" t="s">
        <v>1357</v>
      </c>
    </row>
    <row r="16586" spans="8:12">
      <c r="H16586" t="s">
        <v>25241</v>
      </c>
      <c r="I16586" t="s">
        <v>1357</v>
      </c>
      <c r="J16586" t="s">
        <v>1357</v>
      </c>
      <c r="K16586" t="s">
        <v>1357</v>
      </c>
      <c r="L16586" t="s">
        <v>1357</v>
      </c>
    </row>
    <row r="16587" spans="8:12">
      <c r="H16587" t="s">
        <v>25242</v>
      </c>
      <c r="I16587" t="s">
        <v>1357</v>
      </c>
      <c r="J16587" t="s">
        <v>1357</v>
      </c>
      <c r="K16587" t="s">
        <v>1357</v>
      </c>
      <c r="L16587" t="s">
        <v>1357</v>
      </c>
    </row>
    <row r="16588" spans="8:12">
      <c r="H16588" t="s">
        <v>25243</v>
      </c>
      <c r="I16588" t="s">
        <v>1357</v>
      </c>
      <c r="J16588" t="s">
        <v>1357</v>
      </c>
      <c r="K16588" t="s">
        <v>1357</v>
      </c>
      <c r="L16588" t="s">
        <v>1357</v>
      </c>
    </row>
    <row r="16589" spans="8:12">
      <c r="H16589" t="s">
        <v>25244</v>
      </c>
      <c r="I16589" t="s">
        <v>1357</v>
      </c>
      <c r="J16589" t="s">
        <v>1357</v>
      </c>
      <c r="K16589" t="s">
        <v>1357</v>
      </c>
      <c r="L16589" t="s">
        <v>1357</v>
      </c>
    </row>
    <row r="16590" spans="8:12">
      <c r="H16590" t="s">
        <v>25245</v>
      </c>
      <c r="I16590" t="s">
        <v>1357</v>
      </c>
      <c r="J16590" t="s">
        <v>1357</v>
      </c>
      <c r="K16590" t="s">
        <v>1357</v>
      </c>
      <c r="L16590" t="s">
        <v>1357</v>
      </c>
    </row>
    <row r="16591" spans="8:12">
      <c r="H16591" t="s">
        <v>25246</v>
      </c>
      <c r="I16591" t="s">
        <v>1357</v>
      </c>
      <c r="J16591" t="s">
        <v>1357</v>
      </c>
      <c r="K16591" t="s">
        <v>1357</v>
      </c>
      <c r="L16591" t="s">
        <v>1357</v>
      </c>
    </row>
    <row r="16592" spans="8:12">
      <c r="H16592" t="s">
        <v>25247</v>
      </c>
      <c r="I16592" t="s">
        <v>1357</v>
      </c>
      <c r="J16592" t="s">
        <v>1357</v>
      </c>
      <c r="K16592" t="s">
        <v>1357</v>
      </c>
      <c r="L16592" t="s">
        <v>1357</v>
      </c>
    </row>
    <row r="16593" spans="6:12">
      <c r="H16593" t="s">
        <v>25248</v>
      </c>
      <c r="I16593" t="s">
        <v>1357</v>
      </c>
      <c r="J16593" t="s">
        <v>1357</v>
      </c>
      <c r="K16593" t="s">
        <v>1357</v>
      </c>
      <c r="L16593" t="s">
        <v>1357</v>
      </c>
    </row>
    <row r="16594" spans="6:12">
      <c r="H16594" t="s">
        <v>25249</v>
      </c>
      <c r="I16594" t="s">
        <v>1357</v>
      </c>
      <c r="J16594" t="s">
        <v>1357</v>
      </c>
      <c r="K16594" t="s">
        <v>1357</v>
      </c>
      <c r="L16594" t="s">
        <v>1357</v>
      </c>
    </row>
    <row r="16595" spans="6:12">
      <c r="H16595" t="s">
        <v>25250</v>
      </c>
      <c r="I16595" t="s">
        <v>1357</v>
      </c>
      <c r="J16595" t="s">
        <v>1357</v>
      </c>
      <c r="K16595" t="s">
        <v>1357</v>
      </c>
      <c r="L16595" t="s">
        <v>1357</v>
      </c>
    </row>
    <row r="16596" spans="6:12">
      <c r="H16596" t="s">
        <v>25251</v>
      </c>
      <c r="I16596" t="s">
        <v>1357</v>
      </c>
      <c r="J16596" t="s">
        <v>1357</v>
      </c>
      <c r="K16596" t="s">
        <v>1357</v>
      </c>
      <c r="L16596" t="s">
        <v>1357</v>
      </c>
    </row>
    <row r="16597" spans="6:12">
      <c r="H16597" t="s">
        <v>25252</v>
      </c>
      <c r="I16597" t="s">
        <v>1357</v>
      </c>
      <c r="J16597" t="s">
        <v>1357</v>
      </c>
      <c r="K16597" t="s">
        <v>1357</v>
      </c>
      <c r="L16597" t="s">
        <v>1357</v>
      </c>
    </row>
    <row r="16598" spans="6:12">
      <c r="H16598" t="s">
        <v>25253</v>
      </c>
      <c r="I16598" t="s">
        <v>1357</v>
      </c>
      <c r="J16598" t="s">
        <v>1357</v>
      </c>
      <c r="K16598" t="s">
        <v>1357</v>
      </c>
      <c r="L16598" t="s">
        <v>1357</v>
      </c>
    </row>
    <row r="16599" spans="6:12">
      <c r="H16599" t="s">
        <v>25254</v>
      </c>
      <c r="I16599" t="s">
        <v>1357</v>
      </c>
      <c r="J16599" t="s">
        <v>1357</v>
      </c>
      <c r="K16599" t="s">
        <v>1357</v>
      </c>
      <c r="L16599" t="s">
        <v>1357</v>
      </c>
    </row>
    <row r="16600" spans="6:12">
      <c r="H16600" t="s">
        <v>25255</v>
      </c>
      <c r="I16600" t="s">
        <v>1357</v>
      </c>
      <c r="J16600" t="s">
        <v>1357</v>
      </c>
      <c r="K16600" t="s">
        <v>1357</v>
      </c>
      <c r="L16600" t="s">
        <v>1357</v>
      </c>
    </row>
    <row r="16601" spans="6:12">
      <c r="H16601" t="s">
        <v>25256</v>
      </c>
      <c r="I16601" t="s">
        <v>1357</v>
      </c>
      <c r="J16601" t="s">
        <v>1357</v>
      </c>
      <c r="K16601" t="s">
        <v>1357</v>
      </c>
      <c r="L16601" t="s">
        <v>1357</v>
      </c>
    </row>
    <row r="16602" spans="6:12">
      <c r="H16602" t="s">
        <v>25257</v>
      </c>
      <c r="I16602" t="s">
        <v>1357</v>
      </c>
      <c r="J16602" t="s">
        <v>1357</v>
      </c>
      <c r="K16602" t="s">
        <v>1357</v>
      </c>
      <c r="L16602" t="s">
        <v>1357</v>
      </c>
    </row>
    <row r="16603" spans="6:12">
      <c r="F16603" t="s">
        <v>16942</v>
      </c>
      <c r="G16603" t="s">
        <v>19553</v>
      </c>
      <c r="H16603" t="s">
        <v>25258</v>
      </c>
      <c r="I16603" t="s">
        <v>1357</v>
      </c>
      <c r="J16603" t="s">
        <v>1357</v>
      </c>
      <c r="K16603" t="s">
        <v>1357</v>
      </c>
      <c r="L16603" t="s">
        <v>1357</v>
      </c>
    </row>
    <row r="16604" spans="6:12">
      <c r="F16604" t="s">
        <v>16943</v>
      </c>
      <c r="G16604" t="s">
        <v>19554</v>
      </c>
      <c r="H16604" t="s">
        <v>25259</v>
      </c>
      <c r="I16604" t="s">
        <v>1357</v>
      </c>
      <c r="J16604" t="s">
        <v>1357</v>
      </c>
      <c r="K16604" t="s">
        <v>1357</v>
      </c>
      <c r="L16604" t="s">
        <v>1357</v>
      </c>
    </row>
    <row r="16605" spans="6:12">
      <c r="H16605" t="s">
        <v>25260</v>
      </c>
      <c r="I16605" t="s">
        <v>1357</v>
      </c>
      <c r="J16605" t="s">
        <v>1357</v>
      </c>
      <c r="K16605" t="s">
        <v>1357</v>
      </c>
      <c r="L16605" t="s">
        <v>1357</v>
      </c>
    </row>
    <row r="16606" spans="6:12">
      <c r="H16606" t="s">
        <v>25261</v>
      </c>
      <c r="I16606" t="s">
        <v>1357</v>
      </c>
      <c r="J16606" t="s">
        <v>1357</v>
      </c>
      <c r="K16606" t="s">
        <v>1357</v>
      </c>
      <c r="L16606" t="s">
        <v>1357</v>
      </c>
    </row>
    <row r="16607" spans="6:12">
      <c r="F16607" t="s">
        <v>16944</v>
      </c>
      <c r="G16607" t="s">
        <v>19555</v>
      </c>
      <c r="H16607" t="s">
        <v>25262</v>
      </c>
      <c r="I16607" t="s">
        <v>1357</v>
      </c>
      <c r="J16607" t="s">
        <v>1357</v>
      </c>
      <c r="K16607" t="s">
        <v>1357</v>
      </c>
      <c r="L16607" t="s">
        <v>1357</v>
      </c>
    </row>
    <row r="16608" spans="6:12">
      <c r="F16608" t="s">
        <v>16945</v>
      </c>
      <c r="G16608" t="s">
        <v>19556</v>
      </c>
      <c r="H16608" t="s">
        <v>795</v>
      </c>
      <c r="I16608" t="s">
        <v>1357</v>
      </c>
      <c r="J16608" t="s">
        <v>1357</v>
      </c>
      <c r="K16608" t="s">
        <v>1357</v>
      </c>
      <c r="L16608" t="s">
        <v>1357</v>
      </c>
    </row>
    <row r="16609" spans="6:12">
      <c r="F16609" t="s">
        <v>16946</v>
      </c>
      <c r="G16609" t="s">
        <v>19557</v>
      </c>
      <c r="H16609" t="s">
        <v>23247</v>
      </c>
      <c r="I16609" t="s">
        <v>1357</v>
      </c>
      <c r="J16609" t="s">
        <v>1357</v>
      </c>
      <c r="K16609" t="s">
        <v>1357</v>
      </c>
      <c r="L16609" t="s">
        <v>1357</v>
      </c>
    </row>
    <row r="16610" spans="6:12">
      <c r="H16610" t="s">
        <v>25263</v>
      </c>
      <c r="I16610" t="s">
        <v>1357</v>
      </c>
      <c r="J16610" t="s">
        <v>1357</v>
      </c>
      <c r="K16610" t="s">
        <v>1357</v>
      </c>
      <c r="L16610" t="s">
        <v>1357</v>
      </c>
    </row>
    <row r="16611" spans="6:12">
      <c r="H16611" t="s">
        <v>25264</v>
      </c>
      <c r="I16611" t="s">
        <v>1357</v>
      </c>
      <c r="J16611" t="s">
        <v>1357</v>
      </c>
      <c r="K16611" t="s">
        <v>1357</v>
      </c>
      <c r="L16611" t="s">
        <v>1357</v>
      </c>
    </row>
    <row r="16612" spans="6:12">
      <c r="H16612" t="s">
        <v>25265</v>
      </c>
      <c r="I16612" t="s">
        <v>1357</v>
      </c>
      <c r="J16612" t="s">
        <v>1357</v>
      </c>
      <c r="K16612" t="s">
        <v>1357</v>
      </c>
      <c r="L16612" t="s">
        <v>1357</v>
      </c>
    </row>
    <row r="16613" spans="6:12">
      <c r="H16613" t="s">
        <v>25266</v>
      </c>
      <c r="I16613" t="s">
        <v>1357</v>
      </c>
      <c r="J16613" t="s">
        <v>1357</v>
      </c>
      <c r="K16613" t="s">
        <v>1357</v>
      </c>
      <c r="L16613" t="s">
        <v>1357</v>
      </c>
    </row>
    <row r="16614" spans="6:12">
      <c r="H16614" t="s">
        <v>25267</v>
      </c>
      <c r="I16614" t="s">
        <v>1357</v>
      </c>
      <c r="J16614" t="s">
        <v>1357</v>
      </c>
      <c r="K16614" t="s">
        <v>1357</v>
      </c>
      <c r="L16614" t="s">
        <v>1357</v>
      </c>
    </row>
    <row r="16615" spans="6:12">
      <c r="F16615" t="s">
        <v>16947</v>
      </c>
      <c r="G16615" t="s">
        <v>19558</v>
      </c>
      <c r="H16615" t="s">
        <v>25268</v>
      </c>
      <c r="I16615" t="s">
        <v>1357</v>
      </c>
      <c r="J16615" t="s">
        <v>1357</v>
      </c>
      <c r="K16615" t="s">
        <v>1357</v>
      </c>
      <c r="L16615" t="s">
        <v>1357</v>
      </c>
    </row>
    <row r="16616" spans="6:12">
      <c r="F16616" t="s">
        <v>16948</v>
      </c>
      <c r="G16616" t="s">
        <v>19559</v>
      </c>
      <c r="H16616" t="s">
        <v>4690</v>
      </c>
      <c r="I16616" t="s">
        <v>1357</v>
      </c>
      <c r="J16616" t="s">
        <v>1357</v>
      </c>
      <c r="K16616" t="s">
        <v>1357</v>
      </c>
      <c r="L16616" t="s">
        <v>1357</v>
      </c>
    </row>
    <row r="16617" spans="6:12">
      <c r="H16617" t="s">
        <v>25269</v>
      </c>
      <c r="I16617" t="s">
        <v>1357</v>
      </c>
      <c r="J16617" t="s">
        <v>1357</v>
      </c>
      <c r="K16617" t="s">
        <v>1357</v>
      </c>
      <c r="L16617" t="s">
        <v>1357</v>
      </c>
    </row>
    <row r="16618" spans="6:12">
      <c r="H16618" t="s">
        <v>25270</v>
      </c>
      <c r="I16618" t="s">
        <v>1357</v>
      </c>
      <c r="J16618" t="s">
        <v>1357</v>
      </c>
      <c r="K16618" t="s">
        <v>1357</v>
      </c>
      <c r="L16618" t="s">
        <v>1357</v>
      </c>
    </row>
    <row r="16619" spans="6:12">
      <c r="F16619" t="s">
        <v>16949</v>
      </c>
      <c r="G16619" t="s">
        <v>19560</v>
      </c>
      <c r="H16619" t="s">
        <v>25271</v>
      </c>
      <c r="I16619" t="s">
        <v>1357</v>
      </c>
      <c r="J16619" t="s">
        <v>1357</v>
      </c>
      <c r="K16619" t="s">
        <v>1357</v>
      </c>
      <c r="L16619" t="s">
        <v>1357</v>
      </c>
    </row>
    <row r="16620" spans="6:12">
      <c r="H16620" t="s">
        <v>25272</v>
      </c>
      <c r="I16620" t="s">
        <v>1357</v>
      </c>
      <c r="J16620" t="s">
        <v>1357</v>
      </c>
      <c r="K16620" t="s">
        <v>1357</v>
      </c>
      <c r="L16620" t="s">
        <v>1357</v>
      </c>
    </row>
    <row r="16621" spans="6:12">
      <c r="H16621" t="s">
        <v>3303</v>
      </c>
      <c r="I16621" t="s">
        <v>1357</v>
      </c>
      <c r="J16621" t="s">
        <v>1357</v>
      </c>
      <c r="K16621" t="s">
        <v>1357</v>
      </c>
      <c r="L16621" t="s">
        <v>1357</v>
      </c>
    </row>
    <row r="16622" spans="6:12">
      <c r="H16622" t="s">
        <v>1083</v>
      </c>
      <c r="I16622" t="s">
        <v>1357</v>
      </c>
      <c r="J16622" t="s">
        <v>1357</v>
      </c>
      <c r="K16622" t="s">
        <v>1357</v>
      </c>
      <c r="L16622" t="s">
        <v>1357</v>
      </c>
    </row>
    <row r="16623" spans="6:12">
      <c r="H16623" t="s">
        <v>1077</v>
      </c>
      <c r="I16623" t="s">
        <v>1357</v>
      </c>
      <c r="J16623" t="s">
        <v>1357</v>
      </c>
      <c r="K16623" t="s">
        <v>1357</v>
      </c>
      <c r="L16623" t="s">
        <v>1357</v>
      </c>
    </row>
    <row r="16624" spans="6:12">
      <c r="H16624" t="s">
        <v>25273</v>
      </c>
      <c r="I16624" t="s">
        <v>1357</v>
      </c>
      <c r="J16624" t="s">
        <v>1357</v>
      </c>
      <c r="K16624" t="s">
        <v>1357</v>
      </c>
      <c r="L16624" t="s">
        <v>1357</v>
      </c>
    </row>
    <row r="16625" spans="1:12">
      <c r="F16625" t="s">
        <v>16950</v>
      </c>
      <c r="G16625" t="s">
        <v>19561</v>
      </c>
      <c r="H16625" t="s">
        <v>25274</v>
      </c>
      <c r="I16625" t="s">
        <v>1357</v>
      </c>
      <c r="J16625" t="s">
        <v>1357</v>
      </c>
      <c r="K16625" t="s">
        <v>1357</v>
      </c>
      <c r="L16625" t="s">
        <v>1357</v>
      </c>
    </row>
    <row r="16626" spans="1:12">
      <c r="H16626" t="s">
        <v>25275</v>
      </c>
      <c r="I16626" t="s">
        <v>1357</v>
      </c>
      <c r="J16626" t="s">
        <v>1357</v>
      </c>
      <c r="K16626" t="s">
        <v>1357</v>
      </c>
      <c r="L16626" t="s">
        <v>1357</v>
      </c>
    </row>
    <row r="16627" spans="1:12">
      <c r="H16627" t="s">
        <v>25276</v>
      </c>
      <c r="I16627" t="s">
        <v>1357</v>
      </c>
      <c r="J16627" t="s">
        <v>1357</v>
      </c>
      <c r="K16627" t="s">
        <v>1357</v>
      </c>
      <c r="L16627" t="s">
        <v>1357</v>
      </c>
    </row>
    <row r="16628" spans="1:12">
      <c r="H16628" t="s">
        <v>25277</v>
      </c>
      <c r="I16628" t="s">
        <v>1357</v>
      </c>
      <c r="J16628" t="s">
        <v>1357</v>
      </c>
      <c r="K16628" t="s">
        <v>1357</v>
      </c>
      <c r="L16628" t="s">
        <v>1357</v>
      </c>
    </row>
    <row r="16629" spans="1:12">
      <c r="H16629" t="s">
        <v>25278</v>
      </c>
      <c r="I16629" t="s">
        <v>1357</v>
      </c>
      <c r="J16629" t="s">
        <v>1357</v>
      </c>
      <c r="K16629" t="s">
        <v>1357</v>
      </c>
      <c r="L16629" t="s">
        <v>1357</v>
      </c>
    </row>
    <row r="16630" spans="1:12">
      <c r="F16630" t="s">
        <v>16951</v>
      </c>
      <c r="G16630" t="s">
        <v>19562</v>
      </c>
      <c r="H16630" t="s">
        <v>25279</v>
      </c>
      <c r="I16630" t="s">
        <v>1357</v>
      </c>
      <c r="J16630" t="s">
        <v>1357</v>
      </c>
      <c r="K16630" t="s">
        <v>1357</v>
      </c>
      <c r="L16630" t="s">
        <v>1357</v>
      </c>
    </row>
    <row r="16631" spans="1:12">
      <c r="H16631" t="s">
        <v>25280</v>
      </c>
      <c r="I16631" t="s">
        <v>1357</v>
      </c>
      <c r="J16631" t="s">
        <v>1357</v>
      </c>
      <c r="K16631" t="s">
        <v>1357</v>
      </c>
      <c r="L16631" t="s">
        <v>1357</v>
      </c>
    </row>
    <row r="16632" spans="1:12">
      <c r="H16632" t="s">
        <v>25281</v>
      </c>
      <c r="I16632" t="s">
        <v>1357</v>
      </c>
      <c r="J16632" t="s">
        <v>1357</v>
      </c>
      <c r="K16632" t="s">
        <v>1357</v>
      </c>
      <c r="L16632" t="s">
        <v>1357</v>
      </c>
    </row>
    <row r="16633" spans="1:12">
      <c r="H16633" t="s">
        <v>25282</v>
      </c>
      <c r="I16633" t="s">
        <v>1357</v>
      </c>
      <c r="J16633" t="s">
        <v>1357</v>
      </c>
      <c r="K16633" t="s">
        <v>1357</v>
      </c>
      <c r="L16633" t="s">
        <v>1357</v>
      </c>
    </row>
    <row r="16634" spans="1:12">
      <c r="H16634" t="s">
        <v>25283</v>
      </c>
      <c r="I16634" t="s">
        <v>1357</v>
      </c>
      <c r="J16634" t="s">
        <v>1357</v>
      </c>
      <c r="K16634" t="s">
        <v>1357</v>
      </c>
      <c r="L16634" t="s">
        <v>1357</v>
      </c>
    </row>
    <row r="16635" spans="1:12">
      <c r="H16635" t="s">
        <v>25284</v>
      </c>
      <c r="I16635" t="s">
        <v>1357</v>
      </c>
      <c r="J16635" t="s">
        <v>1357</v>
      </c>
      <c r="K16635" t="s">
        <v>1357</v>
      </c>
      <c r="L16635" t="s">
        <v>1357</v>
      </c>
    </row>
    <row r="16636" spans="1:12">
      <c r="H16636" t="s">
        <v>25285</v>
      </c>
      <c r="I16636" t="s">
        <v>1357</v>
      </c>
      <c r="J16636" t="s">
        <v>1357</v>
      </c>
      <c r="K16636" t="s">
        <v>1357</v>
      </c>
      <c r="L16636" t="s">
        <v>1357</v>
      </c>
    </row>
    <row r="16637" spans="1:12">
      <c r="H16637" t="s">
        <v>25286</v>
      </c>
      <c r="I16637" t="s">
        <v>1357</v>
      </c>
      <c r="J16637" t="s">
        <v>1357</v>
      </c>
      <c r="K16637" t="s">
        <v>1357</v>
      </c>
      <c r="L16637" t="s">
        <v>1357</v>
      </c>
    </row>
    <row r="16638" spans="1:12">
      <c r="A16638" t="s">
        <v>11420</v>
      </c>
      <c r="B16638">
        <f>HYPERLINK("https://android.googlesource.com/platform/cts/+/1e7db08346f5634967f8328fd48a265c6d7b001b", "1e7db08346f5634967f8328fd48a265c6d7b001b")</f>
        <v>0</v>
      </c>
      <c r="C16638">
        <f>HYPERLINK("https://android.googlesource.com/platform/cts/+/ce5ac3c10780be2aab4f37342150eca46cc415d7", "ce5ac3c10780be2aab4f37342150eca46cc415d7")</f>
        <v>0</v>
      </c>
      <c r="D16638" t="s">
        <v>12395</v>
      </c>
      <c r="E16638" t="s">
        <v>13935</v>
      </c>
      <c r="F16638" t="s">
        <v>16746</v>
      </c>
      <c r="G16638" t="s">
        <v>19375</v>
      </c>
      <c r="H16638" t="s">
        <v>25291</v>
      </c>
      <c r="I16638" t="s">
        <v>1357</v>
      </c>
      <c r="J16638" t="s">
        <v>1357</v>
      </c>
      <c r="K16638" t="s">
        <v>1357</v>
      </c>
      <c r="L16638" t="s">
        <v>1357</v>
      </c>
    </row>
    <row r="16639" spans="1:12">
      <c r="H16639" t="s">
        <v>25292</v>
      </c>
      <c r="I16639" t="s">
        <v>1357</v>
      </c>
      <c r="J16639" t="s">
        <v>1357</v>
      </c>
      <c r="K16639" t="s">
        <v>1357</v>
      </c>
      <c r="L16639" t="s">
        <v>1357</v>
      </c>
    </row>
    <row r="16640" spans="1:12">
      <c r="H16640" t="s">
        <v>25293</v>
      </c>
      <c r="I16640" t="s">
        <v>1357</v>
      </c>
      <c r="J16640" t="s">
        <v>1357</v>
      </c>
      <c r="K16640" t="s">
        <v>1357</v>
      </c>
      <c r="L16640" t="s">
        <v>1357</v>
      </c>
    </row>
    <row r="16641" spans="1:13">
      <c r="H16641" t="s">
        <v>25294</v>
      </c>
      <c r="I16641" t="s">
        <v>1357</v>
      </c>
      <c r="J16641" t="s">
        <v>1357</v>
      </c>
      <c r="K16641" t="s">
        <v>1357</v>
      </c>
      <c r="L16641" t="s">
        <v>1357</v>
      </c>
    </row>
    <row r="16642" spans="1:13">
      <c r="H16642" t="s">
        <v>25295</v>
      </c>
      <c r="I16642" t="s">
        <v>1357</v>
      </c>
      <c r="J16642" t="s">
        <v>1357</v>
      </c>
      <c r="K16642" t="s">
        <v>1357</v>
      </c>
      <c r="L16642" t="s">
        <v>1357</v>
      </c>
    </row>
    <row r="16643" spans="1:13">
      <c r="A16643" t="s">
        <v>11421</v>
      </c>
      <c r="B16643">
        <f>HYPERLINK("https://android.googlesource.com/platform/cts/+/6955d33cabced75ae1992638d0c2b7d2986ff53a", "6955d33cabced75ae1992638d0c2b7d2986ff53a")</f>
        <v>0</v>
      </c>
      <c r="C16643">
        <f>HYPERLINK("https://android.googlesource.com/platform/cts/+/0d43f7e9de7b3a689ec72a2db259160540f9a4f4", "0d43f7e9de7b3a689ec72a2db259160540f9a4f4")</f>
        <v>0</v>
      </c>
      <c r="D16643" t="s">
        <v>12394</v>
      </c>
      <c r="E16643" t="s">
        <v>13936</v>
      </c>
      <c r="F16643" t="s">
        <v>16914</v>
      </c>
      <c r="G16643" t="s">
        <v>19525</v>
      </c>
      <c r="H16643" t="s">
        <v>24968</v>
      </c>
      <c r="I16643" t="s">
        <v>1357</v>
      </c>
      <c r="J16643" t="s">
        <v>1357</v>
      </c>
      <c r="K16643" t="s">
        <v>1357</v>
      </c>
      <c r="L16643" t="s">
        <v>1357</v>
      </c>
    </row>
    <row r="16644" spans="1:13">
      <c r="H16644" t="s">
        <v>24969</v>
      </c>
      <c r="I16644" t="s">
        <v>1357</v>
      </c>
      <c r="J16644" t="s">
        <v>1357</v>
      </c>
      <c r="K16644" t="s">
        <v>1357</v>
      </c>
      <c r="L16644" t="s">
        <v>1357</v>
      </c>
    </row>
    <row r="16645" spans="1:13">
      <c r="H16645" t="s">
        <v>24970</v>
      </c>
      <c r="I16645" t="s">
        <v>1357</v>
      </c>
      <c r="J16645" t="s">
        <v>1357</v>
      </c>
      <c r="K16645" t="s">
        <v>1357</v>
      </c>
      <c r="L16645" t="s">
        <v>1357</v>
      </c>
    </row>
    <row r="16646" spans="1:13">
      <c r="H16646" t="s">
        <v>24971</v>
      </c>
      <c r="I16646" t="s">
        <v>1357</v>
      </c>
      <c r="J16646" t="s">
        <v>1357</v>
      </c>
      <c r="K16646" t="s">
        <v>1357</v>
      </c>
      <c r="L16646" t="s">
        <v>1357</v>
      </c>
      <c r="M16646" t="s">
        <v>9957</v>
      </c>
    </row>
    <row r="16647" spans="1:13">
      <c r="H16647" t="s">
        <v>24972</v>
      </c>
      <c r="I16647" t="s">
        <v>1357</v>
      </c>
      <c r="J16647" t="s">
        <v>1357</v>
      </c>
      <c r="K16647" t="s">
        <v>1357</v>
      </c>
      <c r="L16647" t="s">
        <v>1357</v>
      </c>
    </row>
    <row r="16648" spans="1:13">
      <c r="H16648" t="s">
        <v>24973</v>
      </c>
      <c r="I16648" t="s">
        <v>1357</v>
      </c>
      <c r="J16648" t="s">
        <v>1357</v>
      </c>
      <c r="K16648" t="s">
        <v>1357</v>
      </c>
      <c r="L16648" t="s">
        <v>1357</v>
      </c>
    </row>
    <row r="16649" spans="1:13">
      <c r="F16649" t="s">
        <v>16915</v>
      </c>
      <c r="G16649" t="s">
        <v>19526</v>
      </c>
      <c r="H16649" t="s">
        <v>24974</v>
      </c>
      <c r="I16649" t="s">
        <v>1357</v>
      </c>
      <c r="J16649" t="s">
        <v>1357</v>
      </c>
      <c r="K16649" t="s">
        <v>1357</v>
      </c>
      <c r="L16649" t="s">
        <v>1357</v>
      </c>
    </row>
    <row r="16650" spans="1:13">
      <c r="H16650" t="s">
        <v>24975</v>
      </c>
      <c r="I16650" t="s">
        <v>1357</v>
      </c>
      <c r="J16650" t="s">
        <v>1357</v>
      </c>
      <c r="K16650" t="s">
        <v>1357</v>
      </c>
      <c r="L16650" t="s">
        <v>1357</v>
      </c>
    </row>
    <row r="16651" spans="1:13">
      <c r="H16651" t="s">
        <v>24976</v>
      </c>
      <c r="I16651" t="s">
        <v>1357</v>
      </c>
      <c r="J16651" t="s">
        <v>1357</v>
      </c>
      <c r="K16651" t="s">
        <v>1357</v>
      </c>
      <c r="L16651" t="s">
        <v>1357</v>
      </c>
    </row>
    <row r="16652" spans="1:13">
      <c r="H16652" t="s">
        <v>24977</v>
      </c>
      <c r="I16652" t="s">
        <v>1357</v>
      </c>
      <c r="J16652" t="s">
        <v>1357</v>
      </c>
      <c r="K16652" t="s">
        <v>1357</v>
      </c>
      <c r="L16652" t="s">
        <v>1357</v>
      </c>
    </row>
    <row r="16653" spans="1:13">
      <c r="H16653" t="s">
        <v>24978</v>
      </c>
      <c r="I16653" t="s">
        <v>1357</v>
      </c>
      <c r="J16653" t="s">
        <v>1357</v>
      </c>
      <c r="K16653" t="s">
        <v>1357</v>
      </c>
      <c r="L16653" t="s">
        <v>1357</v>
      </c>
    </row>
    <row r="16654" spans="1:13">
      <c r="H16654" t="s">
        <v>24979</v>
      </c>
      <c r="I16654" t="s">
        <v>1357</v>
      </c>
      <c r="J16654" t="s">
        <v>1357</v>
      </c>
      <c r="K16654" t="s">
        <v>1357</v>
      </c>
      <c r="L16654" t="s">
        <v>1357</v>
      </c>
    </row>
    <row r="16655" spans="1:13">
      <c r="H16655" t="s">
        <v>24980</v>
      </c>
      <c r="I16655" t="s">
        <v>1357</v>
      </c>
      <c r="J16655" t="s">
        <v>1357</v>
      </c>
      <c r="K16655" t="s">
        <v>1357</v>
      </c>
      <c r="L16655" t="s">
        <v>1357</v>
      </c>
    </row>
    <row r="16656" spans="1:13">
      <c r="H16656" t="s">
        <v>24981</v>
      </c>
      <c r="I16656" t="s">
        <v>1357</v>
      </c>
      <c r="J16656" t="s">
        <v>1357</v>
      </c>
      <c r="K16656" t="s">
        <v>1357</v>
      </c>
      <c r="L16656" t="s">
        <v>1357</v>
      </c>
    </row>
    <row r="16657" spans="6:12">
      <c r="H16657" t="s">
        <v>24982</v>
      </c>
      <c r="I16657" t="s">
        <v>1357</v>
      </c>
      <c r="J16657" t="s">
        <v>1357</v>
      </c>
      <c r="K16657" t="s">
        <v>1357</v>
      </c>
      <c r="L16657" t="s">
        <v>1357</v>
      </c>
    </row>
    <row r="16658" spans="6:12">
      <c r="F16658" t="s">
        <v>16916</v>
      </c>
      <c r="G16658" t="s">
        <v>19527</v>
      </c>
      <c r="H16658" t="s">
        <v>24983</v>
      </c>
      <c r="I16658" t="s">
        <v>1357</v>
      </c>
      <c r="J16658" t="s">
        <v>1357</v>
      </c>
      <c r="K16658" t="s">
        <v>1357</v>
      </c>
      <c r="L16658" t="s">
        <v>1357</v>
      </c>
    </row>
    <row r="16659" spans="6:12">
      <c r="H16659" t="s">
        <v>24984</v>
      </c>
      <c r="I16659" t="s">
        <v>1357</v>
      </c>
      <c r="J16659" t="s">
        <v>1357</v>
      </c>
      <c r="K16659" t="s">
        <v>1357</v>
      </c>
      <c r="L16659" t="s">
        <v>1357</v>
      </c>
    </row>
    <row r="16660" spans="6:12">
      <c r="F16660" t="s">
        <v>16917</v>
      </c>
      <c r="G16660" t="s">
        <v>19528</v>
      </c>
      <c r="H16660" t="s">
        <v>8862</v>
      </c>
      <c r="I16660" t="s">
        <v>1357</v>
      </c>
      <c r="J16660" t="s">
        <v>1357</v>
      </c>
      <c r="K16660" t="s">
        <v>1357</v>
      </c>
      <c r="L16660" t="s">
        <v>1357</v>
      </c>
    </row>
    <row r="16661" spans="6:12">
      <c r="H16661" t="s">
        <v>24985</v>
      </c>
      <c r="I16661" t="s">
        <v>1357</v>
      </c>
      <c r="J16661" t="s">
        <v>1357</v>
      </c>
      <c r="K16661" t="s">
        <v>1357</v>
      </c>
      <c r="L16661" t="s">
        <v>1357</v>
      </c>
    </row>
    <row r="16662" spans="6:12">
      <c r="H16662" t="s">
        <v>24986</v>
      </c>
      <c r="I16662" t="s">
        <v>1357</v>
      </c>
      <c r="J16662" t="s">
        <v>1357</v>
      </c>
      <c r="K16662" t="s">
        <v>1357</v>
      </c>
      <c r="L16662" t="s">
        <v>1357</v>
      </c>
    </row>
    <row r="16663" spans="6:12">
      <c r="H16663" t="s">
        <v>24987</v>
      </c>
      <c r="I16663" t="s">
        <v>1357</v>
      </c>
      <c r="J16663" t="s">
        <v>1357</v>
      </c>
      <c r="K16663" t="s">
        <v>1357</v>
      </c>
      <c r="L16663" t="s">
        <v>1357</v>
      </c>
    </row>
    <row r="16664" spans="6:12">
      <c r="H16664" t="s">
        <v>24988</v>
      </c>
      <c r="I16664" t="s">
        <v>1357</v>
      </c>
      <c r="J16664" t="s">
        <v>1357</v>
      </c>
      <c r="K16664" t="s">
        <v>1357</v>
      </c>
      <c r="L16664" t="s">
        <v>1357</v>
      </c>
    </row>
    <row r="16665" spans="6:12">
      <c r="H16665" t="s">
        <v>24989</v>
      </c>
      <c r="I16665" t="s">
        <v>1357</v>
      </c>
      <c r="J16665" t="s">
        <v>1357</v>
      </c>
      <c r="K16665" t="s">
        <v>1357</v>
      </c>
      <c r="L16665" t="s">
        <v>1357</v>
      </c>
    </row>
    <row r="16666" spans="6:12">
      <c r="H16666" t="s">
        <v>24990</v>
      </c>
      <c r="I16666" t="s">
        <v>1357</v>
      </c>
      <c r="J16666" t="s">
        <v>1357</v>
      </c>
      <c r="K16666" t="s">
        <v>1357</v>
      </c>
      <c r="L16666" t="s">
        <v>1357</v>
      </c>
    </row>
    <row r="16667" spans="6:12">
      <c r="H16667" t="s">
        <v>24991</v>
      </c>
      <c r="I16667" t="s">
        <v>1357</v>
      </c>
      <c r="J16667" t="s">
        <v>1357</v>
      </c>
      <c r="K16667" t="s">
        <v>1357</v>
      </c>
      <c r="L16667" t="s">
        <v>1357</v>
      </c>
    </row>
    <row r="16668" spans="6:12">
      <c r="H16668" t="s">
        <v>24992</v>
      </c>
      <c r="I16668" t="s">
        <v>1357</v>
      </c>
      <c r="J16668" t="s">
        <v>1357</v>
      </c>
      <c r="K16668" t="s">
        <v>1357</v>
      </c>
      <c r="L16668" t="s">
        <v>1357</v>
      </c>
    </row>
    <row r="16669" spans="6:12">
      <c r="H16669" t="s">
        <v>24993</v>
      </c>
      <c r="I16669" t="s">
        <v>1357</v>
      </c>
      <c r="J16669" t="s">
        <v>1357</v>
      </c>
      <c r="K16669" t="s">
        <v>1357</v>
      </c>
      <c r="L16669" t="s">
        <v>1357</v>
      </c>
    </row>
    <row r="16670" spans="6:12">
      <c r="H16670" t="s">
        <v>24994</v>
      </c>
      <c r="I16670" t="s">
        <v>1357</v>
      </c>
      <c r="J16670" t="s">
        <v>1357</v>
      </c>
      <c r="K16670" t="s">
        <v>1357</v>
      </c>
      <c r="L16670" t="s">
        <v>1357</v>
      </c>
    </row>
    <row r="16671" spans="6:12">
      <c r="H16671" t="s">
        <v>24995</v>
      </c>
      <c r="I16671" t="s">
        <v>1357</v>
      </c>
      <c r="J16671" t="s">
        <v>1357</v>
      </c>
      <c r="K16671" t="s">
        <v>1357</v>
      </c>
      <c r="L16671" t="s">
        <v>1357</v>
      </c>
    </row>
    <row r="16672" spans="6:12">
      <c r="H16672" t="s">
        <v>24996</v>
      </c>
      <c r="I16672" t="s">
        <v>1357</v>
      </c>
      <c r="J16672" t="s">
        <v>1357</v>
      </c>
      <c r="K16672" t="s">
        <v>1357</v>
      </c>
      <c r="L16672" t="s">
        <v>1357</v>
      </c>
    </row>
    <row r="16673" spans="6:12">
      <c r="H16673" t="s">
        <v>24997</v>
      </c>
      <c r="I16673" t="s">
        <v>1357</v>
      </c>
      <c r="J16673" t="s">
        <v>1357</v>
      </c>
      <c r="K16673" t="s">
        <v>1357</v>
      </c>
      <c r="L16673" t="s">
        <v>1357</v>
      </c>
    </row>
    <row r="16674" spans="6:12">
      <c r="H16674" t="s">
        <v>24998</v>
      </c>
      <c r="I16674" t="s">
        <v>1357</v>
      </c>
      <c r="J16674" t="s">
        <v>1357</v>
      </c>
      <c r="K16674" t="s">
        <v>1357</v>
      </c>
      <c r="L16674" t="s">
        <v>1357</v>
      </c>
    </row>
    <row r="16675" spans="6:12">
      <c r="F16675" t="s">
        <v>16918</v>
      </c>
      <c r="G16675" t="s">
        <v>19529</v>
      </c>
      <c r="H16675" t="s">
        <v>24999</v>
      </c>
      <c r="I16675" t="s">
        <v>1357</v>
      </c>
      <c r="J16675" t="s">
        <v>1357</v>
      </c>
      <c r="K16675" t="s">
        <v>1357</v>
      </c>
      <c r="L16675" t="s">
        <v>1357</v>
      </c>
    </row>
    <row r="16676" spans="6:12">
      <c r="H16676" t="s">
        <v>25000</v>
      </c>
      <c r="I16676" t="s">
        <v>1357</v>
      </c>
      <c r="J16676" t="s">
        <v>1357</v>
      </c>
      <c r="K16676" t="s">
        <v>1357</v>
      </c>
      <c r="L16676" t="s">
        <v>1357</v>
      </c>
    </row>
    <row r="16677" spans="6:12">
      <c r="H16677" t="s">
        <v>25001</v>
      </c>
      <c r="I16677" t="s">
        <v>1357</v>
      </c>
      <c r="J16677" t="s">
        <v>1357</v>
      </c>
      <c r="K16677" t="s">
        <v>1357</v>
      </c>
      <c r="L16677" t="s">
        <v>1357</v>
      </c>
    </row>
    <row r="16678" spans="6:12">
      <c r="H16678" t="s">
        <v>25002</v>
      </c>
      <c r="I16678" t="s">
        <v>1357</v>
      </c>
      <c r="J16678" t="s">
        <v>1357</v>
      </c>
      <c r="K16678" t="s">
        <v>1357</v>
      </c>
      <c r="L16678" t="s">
        <v>1357</v>
      </c>
    </row>
    <row r="16679" spans="6:12">
      <c r="F16679" t="s">
        <v>16919</v>
      </c>
      <c r="G16679" t="s">
        <v>19530</v>
      </c>
      <c r="H16679" t="s">
        <v>25003</v>
      </c>
      <c r="I16679" t="s">
        <v>1357</v>
      </c>
      <c r="J16679" t="s">
        <v>1357</v>
      </c>
      <c r="K16679" t="s">
        <v>1357</v>
      </c>
      <c r="L16679" t="s">
        <v>1357</v>
      </c>
    </row>
    <row r="16680" spans="6:12">
      <c r="H16680" t="s">
        <v>25004</v>
      </c>
      <c r="I16680" t="s">
        <v>1357</v>
      </c>
      <c r="J16680" t="s">
        <v>1357</v>
      </c>
      <c r="K16680" t="s">
        <v>1357</v>
      </c>
      <c r="L16680" t="s">
        <v>1357</v>
      </c>
    </row>
    <row r="16681" spans="6:12">
      <c r="H16681" t="s">
        <v>25005</v>
      </c>
      <c r="I16681" t="s">
        <v>1357</v>
      </c>
      <c r="J16681" t="s">
        <v>1357</v>
      </c>
      <c r="K16681" t="s">
        <v>1357</v>
      </c>
      <c r="L16681" t="s">
        <v>1357</v>
      </c>
    </row>
    <row r="16682" spans="6:12">
      <c r="F16682" t="s">
        <v>16920</v>
      </c>
      <c r="G16682" t="s">
        <v>19531</v>
      </c>
      <c r="H16682" t="s">
        <v>25006</v>
      </c>
      <c r="I16682" t="s">
        <v>1357</v>
      </c>
      <c r="J16682" t="s">
        <v>1357</v>
      </c>
      <c r="K16682" t="s">
        <v>1357</v>
      </c>
      <c r="L16682" t="s">
        <v>1357</v>
      </c>
    </row>
    <row r="16683" spans="6:12">
      <c r="F16683" t="s">
        <v>16921</v>
      </c>
      <c r="G16683" t="s">
        <v>19532</v>
      </c>
      <c r="H16683" t="s">
        <v>25007</v>
      </c>
      <c r="I16683" t="s">
        <v>1357</v>
      </c>
      <c r="J16683" t="s">
        <v>1357</v>
      </c>
      <c r="K16683" t="s">
        <v>1357</v>
      </c>
      <c r="L16683" t="s">
        <v>1357</v>
      </c>
    </row>
    <row r="16684" spans="6:12">
      <c r="H16684" t="s">
        <v>25008</v>
      </c>
      <c r="I16684" t="s">
        <v>1357</v>
      </c>
      <c r="J16684" t="s">
        <v>1357</v>
      </c>
      <c r="K16684" t="s">
        <v>1357</v>
      </c>
      <c r="L16684" t="s">
        <v>1357</v>
      </c>
    </row>
    <row r="16685" spans="6:12">
      <c r="H16685" t="s">
        <v>25009</v>
      </c>
      <c r="I16685" t="s">
        <v>1357</v>
      </c>
      <c r="J16685" t="s">
        <v>1357</v>
      </c>
      <c r="K16685" t="s">
        <v>1357</v>
      </c>
      <c r="L16685" t="s">
        <v>1357</v>
      </c>
    </row>
    <row r="16686" spans="6:12">
      <c r="H16686" t="s">
        <v>25010</v>
      </c>
      <c r="I16686" t="s">
        <v>1357</v>
      </c>
      <c r="J16686" t="s">
        <v>1357</v>
      </c>
      <c r="K16686" t="s">
        <v>1357</v>
      </c>
      <c r="L16686" t="s">
        <v>1357</v>
      </c>
    </row>
    <row r="16687" spans="6:12">
      <c r="H16687" t="s">
        <v>25011</v>
      </c>
      <c r="I16687" t="s">
        <v>1357</v>
      </c>
      <c r="J16687" t="s">
        <v>1357</v>
      </c>
      <c r="K16687" t="s">
        <v>1357</v>
      </c>
      <c r="L16687" t="s">
        <v>1357</v>
      </c>
    </row>
    <row r="16688" spans="6:12">
      <c r="H16688" t="s">
        <v>25012</v>
      </c>
      <c r="I16688" t="s">
        <v>1357</v>
      </c>
      <c r="J16688" t="s">
        <v>1357</v>
      </c>
      <c r="K16688" t="s">
        <v>1357</v>
      </c>
      <c r="L16688" t="s">
        <v>1357</v>
      </c>
    </row>
    <row r="16689" spans="6:12">
      <c r="H16689" t="s">
        <v>25013</v>
      </c>
      <c r="I16689" t="s">
        <v>1357</v>
      </c>
      <c r="J16689" t="s">
        <v>1357</v>
      </c>
      <c r="K16689" t="s">
        <v>1357</v>
      </c>
      <c r="L16689" t="s">
        <v>1357</v>
      </c>
    </row>
    <row r="16690" spans="6:12">
      <c r="H16690" t="s">
        <v>25014</v>
      </c>
      <c r="I16690" t="s">
        <v>1357</v>
      </c>
      <c r="J16690" t="s">
        <v>1357</v>
      </c>
      <c r="K16690" t="s">
        <v>1357</v>
      </c>
      <c r="L16690" t="s">
        <v>1357</v>
      </c>
    </row>
    <row r="16691" spans="6:12">
      <c r="H16691" t="s">
        <v>25015</v>
      </c>
      <c r="I16691" t="s">
        <v>1357</v>
      </c>
      <c r="J16691" t="s">
        <v>1357</v>
      </c>
      <c r="K16691" t="s">
        <v>1357</v>
      </c>
      <c r="L16691" t="s">
        <v>1357</v>
      </c>
    </row>
    <row r="16692" spans="6:12">
      <c r="H16692" t="s">
        <v>25016</v>
      </c>
      <c r="I16692" t="s">
        <v>1357</v>
      </c>
      <c r="J16692" t="s">
        <v>1357</v>
      </c>
      <c r="K16692" t="s">
        <v>1357</v>
      </c>
      <c r="L16692" t="s">
        <v>1357</v>
      </c>
    </row>
    <row r="16693" spans="6:12">
      <c r="H16693" t="s">
        <v>25017</v>
      </c>
      <c r="I16693" t="s">
        <v>1357</v>
      </c>
      <c r="J16693" t="s">
        <v>1357</v>
      </c>
      <c r="K16693" t="s">
        <v>1357</v>
      </c>
      <c r="L16693" t="s">
        <v>1357</v>
      </c>
    </row>
    <row r="16694" spans="6:12">
      <c r="F16694" t="s">
        <v>14522</v>
      </c>
      <c r="G16694" t="s">
        <v>17367</v>
      </c>
      <c r="H16694" t="s">
        <v>25018</v>
      </c>
      <c r="I16694" t="s">
        <v>1357</v>
      </c>
      <c r="J16694" t="s">
        <v>1357</v>
      </c>
      <c r="K16694" t="s">
        <v>1357</v>
      </c>
      <c r="L16694" t="s">
        <v>1357</v>
      </c>
    </row>
    <row r="16695" spans="6:12">
      <c r="H16695" t="s">
        <v>21226</v>
      </c>
      <c r="I16695" t="s">
        <v>1357</v>
      </c>
      <c r="J16695" t="s">
        <v>1357</v>
      </c>
      <c r="K16695" t="s">
        <v>1357</v>
      </c>
      <c r="L16695" t="s">
        <v>1357</v>
      </c>
    </row>
    <row r="16696" spans="6:12">
      <c r="H16696" t="s">
        <v>25019</v>
      </c>
      <c r="I16696" t="s">
        <v>1357</v>
      </c>
      <c r="J16696" t="s">
        <v>1357</v>
      </c>
      <c r="K16696" t="s">
        <v>1357</v>
      </c>
      <c r="L16696" t="s">
        <v>1357</v>
      </c>
    </row>
    <row r="16697" spans="6:12">
      <c r="H16697" t="s">
        <v>25020</v>
      </c>
      <c r="I16697" t="s">
        <v>1357</v>
      </c>
      <c r="J16697" t="s">
        <v>1357</v>
      </c>
      <c r="K16697" t="s">
        <v>1357</v>
      </c>
      <c r="L16697" t="s">
        <v>1357</v>
      </c>
    </row>
    <row r="16698" spans="6:12">
      <c r="H16698" t="s">
        <v>25021</v>
      </c>
      <c r="I16698" t="s">
        <v>1357</v>
      </c>
      <c r="J16698" t="s">
        <v>1357</v>
      </c>
      <c r="K16698" t="s">
        <v>1357</v>
      </c>
      <c r="L16698" t="s">
        <v>1357</v>
      </c>
    </row>
    <row r="16699" spans="6:12">
      <c r="H16699" t="s">
        <v>25022</v>
      </c>
      <c r="I16699" t="s">
        <v>1357</v>
      </c>
      <c r="J16699" t="s">
        <v>1357</v>
      </c>
      <c r="K16699" t="s">
        <v>1357</v>
      </c>
      <c r="L16699" t="s">
        <v>1357</v>
      </c>
    </row>
    <row r="16700" spans="6:12">
      <c r="H16700" t="s">
        <v>25023</v>
      </c>
      <c r="I16700" t="s">
        <v>1357</v>
      </c>
      <c r="J16700" t="s">
        <v>1357</v>
      </c>
      <c r="K16700" t="s">
        <v>1357</v>
      </c>
      <c r="L16700" t="s">
        <v>1357</v>
      </c>
    </row>
    <row r="16701" spans="6:12">
      <c r="H16701" t="s">
        <v>25024</v>
      </c>
      <c r="I16701" t="s">
        <v>1357</v>
      </c>
      <c r="J16701" t="s">
        <v>1357</v>
      </c>
      <c r="K16701" t="s">
        <v>1357</v>
      </c>
      <c r="L16701" t="s">
        <v>1357</v>
      </c>
    </row>
    <row r="16702" spans="6:12">
      <c r="H16702" t="s">
        <v>25025</v>
      </c>
      <c r="I16702" t="s">
        <v>1357</v>
      </c>
      <c r="J16702" t="s">
        <v>1357</v>
      </c>
      <c r="K16702" t="s">
        <v>1357</v>
      </c>
      <c r="L16702" t="s">
        <v>1357</v>
      </c>
    </row>
    <row r="16703" spans="6:12">
      <c r="H16703" t="s">
        <v>21921</v>
      </c>
      <c r="I16703" t="s">
        <v>1357</v>
      </c>
      <c r="J16703" t="s">
        <v>1357</v>
      </c>
      <c r="K16703" t="s">
        <v>1357</v>
      </c>
      <c r="L16703" t="s">
        <v>1357</v>
      </c>
    </row>
    <row r="16704" spans="6:12">
      <c r="H16704" t="s">
        <v>5894</v>
      </c>
      <c r="I16704" t="s">
        <v>1357</v>
      </c>
      <c r="J16704" t="s">
        <v>1357</v>
      </c>
      <c r="K16704" t="s">
        <v>1357</v>
      </c>
      <c r="L16704" t="s">
        <v>1357</v>
      </c>
    </row>
    <row r="16705" spans="6:12">
      <c r="H16705" t="s">
        <v>25026</v>
      </c>
      <c r="I16705" t="s">
        <v>1357</v>
      </c>
      <c r="J16705" t="s">
        <v>1357</v>
      </c>
      <c r="K16705" t="s">
        <v>1357</v>
      </c>
      <c r="L16705" t="s">
        <v>1357</v>
      </c>
    </row>
    <row r="16706" spans="6:12">
      <c r="H16706" t="s">
        <v>25027</v>
      </c>
      <c r="I16706" t="s">
        <v>1357</v>
      </c>
      <c r="J16706" t="s">
        <v>1357</v>
      </c>
      <c r="K16706" t="s">
        <v>1357</v>
      </c>
      <c r="L16706" t="s">
        <v>1357</v>
      </c>
    </row>
    <row r="16707" spans="6:12">
      <c r="H16707" t="s">
        <v>25028</v>
      </c>
      <c r="I16707" t="s">
        <v>1357</v>
      </c>
      <c r="J16707" t="s">
        <v>1357</v>
      </c>
      <c r="K16707" t="s">
        <v>1357</v>
      </c>
      <c r="L16707" t="s">
        <v>1357</v>
      </c>
    </row>
    <row r="16708" spans="6:12">
      <c r="H16708" t="s">
        <v>25029</v>
      </c>
      <c r="I16708" t="s">
        <v>1357</v>
      </c>
      <c r="J16708" t="s">
        <v>1357</v>
      </c>
      <c r="K16708" t="s">
        <v>1357</v>
      </c>
      <c r="L16708" t="s">
        <v>1357</v>
      </c>
    </row>
    <row r="16709" spans="6:12">
      <c r="H16709" t="s">
        <v>25030</v>
      </c>
      <c r="I16709" t="s">
        <v>1357</v>
      </c>
      <c r="J16709" t="s">
        <v>1357</v>
      </c>
      <c r="K16709" t="s">
        <v>1357</v>
      </c>
      <c r="L16709" t="s">
        <v>1357</v>
      </c>
    </row>
    <row r="16710" spans="6:12">
      <c r="H16710" t="s">
        <v>25031</v>
      </c>
      <c r="I16710" t="s">
        <v>1357</v>
      </c>
      <c r="J16710" t="s">
        <v>1357</v>
      </c>
      <c r="K16710" t="s">
        <v>1357</v>
      </c>
      <c r="L16710" t="s">
        <v>1357</v>
      </c>
    </row>
    <row r="16711" spans="6:12">
      <c r="H16711" t="s">
        <v>25032</v>
      </c>
      <c r="I16711" t="s">
        <v>1357</v>
      </c>
      <c r="J16711" t="s">
        <v>1357</v>
      </c>
      <c r="K16711" t="s">
        <v>1357</v>
      </c>
      <c r="L16711" t="s">
        <v>1357</v>
      </c>
    </row>
    <row r="16712" spans="6:12">
      <c r="H16712" t="s">
        <v>25033</v>
      </c>
      <c r="I16712" t="s">
        <v>1357</v>
      </c>
      <c r="J16712" t="s">
        <v>1357</v>
      </c>
      <c r="K16712" t="s">
        <v>1357</v>
      </c>
      <c r="L16712" t="s">
        <v>1357</v>
      </c>
    </row>
    <row r="16713" spans="6:12">
      <c r="H16713" t="s">
        <v>25034</v>
      </c>
      <c r="I16713" t="s">
        <v>1357</v>
      </c>
      <c r="J16713" t="s">
        <v>1357</v>
      </c>
      <c r="K16713" t="s">
        <v>1357</v>
      </c>
      <c r="L16713" t="s">
        <v>1357</v>
      </c>
    </row>
    <row r="16714" spans="6:12">
      <c r="H16714" t="s">
        <v>25035</v>
      </c>
      <c r="I16714" t="s">
        <v>1357</v>
      </c>
      <c r="J16714" t="s">
        <v>1357</v>
      </c>
      <c r="K16714" t="s">
        <v>1357</v>
      </c>
      <c r="L16714" t="s">
        <v>1357</v>
      </c>
    </row>
    <row r="16715" spans="6:12">
      <c r="H16715" t="s">
        <v>25036</v>
      </c>
      <c r="I16715" t="s">
        <v>1357</v>
      </c>
      <c r="J16715" t="s">
        <v>1357</v>
      </c>
      <c r="K16715" t="s">
        <v>1357</v>
      </c>
      <c r="L16715" t="s">
        <v>1357</v>
      </c>
    </row>
    <row r="16716" spans="6:12">
      <c r="H16716" t="s">
        <v>25037</v>
      </c>
      <c r="I16716" t="s">
        <v>1357</v>
      </c>
      <c r="J16716" t="s">
        <v>1357</v>
      </c>
      <c r="K16716" t="s">
        <v>1357</v>
      </c>
      <c r="L16716" t="s">
        <v>1357</v>
      </c>
    </row>
    <row r="16717" spans="6:12">
      <c r="H16717" t="s">
        <v>25038</v>
      </c>
      <c r="I16717" t="s">
        <v>1357</v>
      </c>
      <c r="J16717" t="s">
        <v>1357</v>
      </c>
      <c r="K16717" t="s">
        <v>1357</v>
      </c>
      <c r="L16717" t="s">
        <v>1357</v>
      </c>
    </row>
    <row r="16718" spans="6:12">
      <c r="H16718" t="s">
        <v>25039</v>
      </c>
      <c r="I16718" t="s">
        <v>1357</v>
      </c>
      <c r="J16718" t="s">
        <v>1357</v>
      </c>
      <c r="K16718" t="s">
        <v>1357</v>
      </c>
      <c r="L16718" t="s">
        <v>1357</v>
      </c>
    </row>
    <row r="16719" spans="6:12">
      <c r="H16719" t="s">
        <v>25040</v>
      </c>
      <c r="I16719" t="s">
        <v>1357</v>
      </c>
      <c r="J16719" t="s">
        <v>1357</v>
      </c>
      <c r="K16719" t="s">
        <v>1357</v>
      </c>
      <c r="L16719" t="s">
        <v>1357</v>
      </c>
    </row>
    <row r="16720" spans="6:12">
      <c r="F16720" t="s">
        <v>16922</v>
      </c>
      <c r="G16720" t="s">
        <v>19533</v>
      </c>
      <c r="H16720" t="s">
        <v>25041</v>
      </c>
      <c r="I16720" t="s">
        <v>1357</v>
      </c>
      <c r="J16720" t="s">
        <v>1357</v>
      </c>
      <c r="K16720" t="s">
        <v>1357</v>
      </c>
      <c r="L16720" t="s">
        <v>1357</v>
      </c>
    </row>
    <row r="16721" spans="6:12">
      <c r="F16721" t="s">
        <v>16665</v>
      </c>
      <c r="G16721" t="s">
        <v>19299</v>
      </c>
      <c r="H16721" t="s">
        <v>25042</v>
      </c>
      <c r="I16721" t="s">
        <v>1357</v>
      </c>
      <c r="J16721" t="s">
        <v>1357</v>
      </c>
      <c r="K16721" t="s">
        <v>1357</v>
      </c>
      <c r="L16721" t="s">
        <v>1357</v>
      </c>
    </row>
    <row r="16722" spans="6:12">
      <c r="H16722" t="s">
        <v>25043</v>
      </c>
      <c r="I16722" t="s">
        <v>1357</v>
      </c>
      <c r="J16722" t="s">
        <v>1357</v>
      </c>
      <c r="K16722" t="s">
        <v>1357</v>
      </c>
      <c r="L16722" t="s">
        <v>1357</v>
      </c>
    </row>
    <row r="16723" spans="6:12">
      <c r="H16723" t="s">
        <v>25044</v>
      </c>
      <c r="I16723" t="s">
        <v>1357</v>
      </c>
      <c r="J16723" t="s">
        <v>1357</v>
      </c>
      <c r="K16723" t="s">
        <v>1357</v>
      </c>
      <c r="L16723" t="s">
        <v>1357</v>
      </c>
    </row>
    <row r="16724" spans="6:12">
      <c r="H16724" t="s">
        <v>25045</v>
      </c>
      <c r="I16724" t="s">
        <v>1357</v>
      </c>
      <c r="J16724" t="s">
        <v>1357</v>
      </c>
      <c r="K16724" t="s">
        <v>1357</v>
      </c>
      <c r="L16724" t="s">
        <v>1357</v>
      </c>
    </row>
    <row r="16725" spans="6:12">
      <c r="H16725" t="s">
        <v>25046</v>
      </c>
      <c r="I16725" t="s">
        <v>1357</v>
      </c>
      <c r="J16725" t="s">
        <v>1357</v>
      </c>
      <c r="K16725" t="s">
        <v>1357</v>
      </c>
      <c r="L16725" t="s">
        <v>1357</v>
      </c>
    </row>
    <row r="16726" spans="6:12">
      <c r="H16726" t="s">
        <v>25047</v>
      </c>
      <c r="I16726" t="s">
        <v>1357</v>
      </c>
      <c r="J16726" t="s">
        <v>1357</v>
      </c>
      <c r="K16726" t="s">
        <v>1357</v>
      </c>
      <c r="L16726" t="s">
        <v>1357</v>
      </c>
    </row>
    <row r="16727" spans="6:12">
      <c r="H16727" t="s">
        <v>25048</v>
      </c>
      <c r="I16727" t="s">
        <v>1357</v>
      </c>
      <c r="J16727" t="s">
        <v>1357</v>
      </c>
      <c r="K16727" t="s">
        <v>1357</v>
      </c>
      <c r="L16727" t="s">
        <v>1357</v>
      </c>
    </row>
    <row r="16728" spans="6:12">
      <c r="H16728" t="s">
        <v>25049</v>
      </c>
      <c r="I16728" t="s">
        <v>1357</v>
      </c>
      <c r="J16728" t="s">
        <v>1357</v>
      </c>
      <c r="K16728" t="s">
        <v>1357</v>
      </c>
      <c r="L16728" t="s">
        <v>1357</v>
      </c>
    </row>
    <row r="16729" spans="6:12">
      <c r="H16729" t="s">
        <v>25050</v>
      </c>
      <c r="I16729" t="s">
        <v>1357</v>
      </c>
      <c r="J16729" t="s">
        <v>1357</v>
      </c>
      <c r="K16729" t="s">
        <v>1357</v>
      </c>
      <c r="L16729" t="s">
        <v>1357</v>
      </c>
    </row>
    <row r="16730" spans="6:12">
      <c r="H16730" t="s">
        <v>25051</v>
      </c>
      <c r="I16730" t="s">
        <v>1357</v>
      </c>
      <c r="J16730" t="s">
        <v>1357</v>
      </c>
      <c r="K16730" t="s">
        <v>1357</v>
      </c>
      <c r="L16730" t="s">
        <v>1357</v>
      </c>
    </row>
    <row r="16731" spans="6:12">
      <c r="H16731" t="s">
        <v>25052</v>
      </c>
      <c r="I16731" t="s">
        <v>1357</v>
      </c>
      <c r="J16731" t="s">
        <v>1357</v>
      </c>
      <c r="K16731" t="s">
        <v>1357</v>
      </c>
      <c r="L16731" t="s">
        <v>1357</v>
      </c>
    </row>
    <row r="16732" spans="6:12">
      <c r="H16732" t="s">
        <v>25053</v>
      </c>
      <c r="I16732" t="s">
        <v>1357</v>
      </c>
      <c r="J16732" t="s">
        <v>1357</v>
      </c>
      <c r="K16732" t="s">
        <v>1357</v>
      </c>
      <c r="L16732" t="s">
        <v>1357</v>
      </c>
    </row>
    <row r="16733" spans="6:12">
      <c r="H16733" t="s">
        <v>25054</v>
      </c>
      <c r="I16733" t="s">
        <v>1357</v>
      </c>
      <c r="J16733" t="s">
        <v>1357</v>
      </c>
      <c r="K16733" t="s">
        <v>1357</v>
      </c>
      <c r="L16733" t="s">
        <v>1357</v>
      </c>
    </row>
    <row r="16734" spans="6:12">
      <c r="H16734" t="s">
        <v>25055</v>
      </c>
      <c r="I16734" t="s">
        <v>1357</v>
      </c>
      <c r="J16734" t="s">
        <v>1357</v>
      </c>
      <c r="K16734" t="s">
        <v>1357</v>
      </c>
      <c r="L16734" t="s">
        <v>1357</v>
      </c>
    </row>
    <row r="16735" spans="6:12">
      <c r="H16735" t="s">
        <v>25056</v>
      </c>
      <c r="I16735" t="s">
        <v>1357</v>
      </c>
      <c r="J16735" t="s">
        <v>1357</v>
      </c>
      <c r="K16735" t="s">
        <v>1357</v>
      </c>
      <c r="L16735" t="s">
        <v>1357</v>
      </c>
    </row>
    <row r="16736" spans="6:12">
      <c r="H16736" t="s">
        <v>25057</v>
      </c>
      <c r="I16736" t="s">
        <v>1357</v>
      </c>
      <c r="J16736" t="s">
        <v>1357</v>
      </c>
      <c r="K16736" t="s">
        <v>1357</v>
      </c>
      <c r="L16736" t="s">
        <v>1357</v>
      </c>
    </row>
    <row r="16737" spans="6:12">
      <c r="H16737" t="s">
        <v>25058</v>
      </c>
      <c r="I16737" t="s">
        <v>1357</v>
      </c>
      <c r="J16737" t="s">
        <v>1357</v>
      </c>
      <c r="K16737" t="s">
        <v>1357</v>
      </c>
      <c r="L16737" t="s">
        <v>1357</v>
      </c>
    </row>
    <row r="16738" spans="6:12">
      <c r="H16738" t="s">
        <v>25059</v>
      </c>
      <c r="I16738" t="s">
        <v>1357</v>
      </c>
      <c r="J16738" t="s">
        <v>1357</v>
      </c>
      <c r="K16738" t="s">
        <v>1357</v>
      </c>
      <c r="L16738" t="s">
        <v>1357</v>
      </c>
    </row>
    <row r="16739" spans="6:12">
      <c r="H16739" t="s">
        <v>25060</v>
      </c>
      <c r="I16739" t="s">
        <v>1357</v>
      </c>
      <c r="J16739" t="s">
        <v>1357</v>
      </c>
      <c r="K16739" t="s">
        <v>1357</v>
      </c>
      <c r="L16739" t="s">
        <v>1357</v>
      </c>
    </row>
    <row r="16740" spans="6:12">
      <c r="H16740" t="s">
        <v>25061</v>
      </c>
      <c r="I16740" t="s">
        <v>1357</v>
      </c>
      <c r="J16740" t="s">
        <v>1357</v>
      </c>
      <c r="K16740" t="s">
        <v>1357</v>
      </c>
      <c r="L16740" t="s">
        <v>1357</v>
      </c>
    </row>
    <row r="16741" spans="6:12">
      <c r="H16741" t="s">
        <v>25062</v>
      </c>
      <c r="I16741" t="s">
        <v>1357</v>
      </c>
      <c r="J16741" t="s">
        <v>1357</v>
      </c>
      <c r="K16741" t="s">
        <v>1357</v>
      </c>
      <c r="L16741" t="s">
        <v>1357</v>
      </c>
    </row>
    <row r="16742" spans="6:12">
      <c r="H16742" t="s">
        <v>25063</v>
      </c>
      <c r="I16742" t="s">
        <v>1357</v>
      </c>
      <c r="J16742" t="s">
        <v>1357</v>
      </c>
      <c r="K16742" t="s">
        <v>1357</v>
      </c>
      <c r="L16742" t="s">
        <v>1357</v>
      </c>
    </row>
    <row r="16743" spans="6:12">
      <c r="H16743" t="s">
        <v>25064</v>
      </c>
      <c r="I16743" t="s">
        <v>1357</v>
      </c>
      <c r="J16743" t="s">
        <v>1357</v>
      </c>
      <c r="K16743" t="s">
        <v>1357</v>
      </c>
      <c r="L16743" t="s">
        <v>1357</v>
      </c>
    </row>
    <row r="16744" spans="6:12">
      <c r="F16744" t="s">
        <v>15910</v>
      </c>
      <c r="G16744" t="s">
        <v>18611</v>
      </c>
      <c r="H16744" t="s">
        <v>20545</v>
      </c>
      <c r="I16744" t="s">
        <v>1357</v>
      </c>
      <c r="J16744" t="s">
        <v>1357</v>
      </c>
      <c r="K16744" t="s">
        <v>1357</v>
      </c>
      <c r="L16744" t="s">
        <v>1357</v>
      </c>
    </row>
    <row r="16745" spans="6:12">
      <c r="F16745" t="s">
        <v>16923</v>
      </c>
      <c r="G16745" t="s">
        <v>19534</v>
      </c>
      <c r="H16745" t="s">
        <v>25065</v>
      </c>
      <c r="I16745" t="s">
        <v>1357</v>
      </c>
      <c r="J16745" t="s">
        <v>1357</v>
      </c>
      <c r="K16745" t="s">
        <v>1357</v>
      </c>
      <c r="L16745" t="s">
        <v>1357</v>
      </c>
    </row>
    <row r="16746" spans="6:12">
      <c r="H16746" t="s">
        <v>25066</v>
      </c>
      <c r="I16746" t="s">
        <v>1357</v>
      </c>
      <c r="J16746" t="s">
        <v>1357</v>
      </c>
      <c r="K16746" t="s">
        <v>1357</v>
      </c>
      <c r="L16746" t="s">
        <v>1357</v>
      </c>
    </row>
    <row r="16747" spans="6:12">
      <c r="H16747" t="s">
        <v>25067</v>
      </c>
      <c r="I16747" t="s">
        <v>1357</v>
      </c>
      <c r="J16747" t="s">
        <v>1357</v>
      </c>
      <c r="K16747" t="s">
        <v>1357</v>
      </c>
      <c r="L16747" t="s">
        <v>1357</v>
      </c>
    </row>
    <row r="16748" spans="6:12">
      <c r="H16748" t="s">
        <v>25068</v>
      </c>
      <c r="I16748" t="s">
        <v>1357</v>
      </c>
      <c r="J16748" t="s">
        <v>1357</v>
      </c>
      <c r="K16748" t="s">
        <v>1357</v>
      </c>
      <c r="L16748" t="s">
        <v>1357</v>
      </c>
    </row>
    <row r="16749" spans="6:12">
      <c r="H16749" t="s">
        <v>25069</v>
      </c>
      <c r="I16749" t="s">
        <v>1357</v>
      </c>
      <c r="J16749" t="s">
        <v>1357</v>
      </c>
      <c r="K16749" t="s">
        <v>1357</v>
      </c>
      <c r="L16749" t="s">
        <v>1357</v>
      </c>
    </row>
    <row r="16750" spans="6:12">
      <c r="H16750" t="s">
        <v>25070</v>
      </c>
      <c r="I16750" t="s">
        <v>1357</v>
      </c>
      <c r="J16750" t="s">
        <v>1357</v>
      </c>
      <c r="K16750" t="s">
        <v>1357</v>
      </c>
      <c r="L16750" t="s">
        <v>1357</v>
      </c>
    </row>
    <row r="16751" spans="6:12">
      <c r="H16751" t="s">
        <v>25071</v>
      </c>
      <c r="I16751" t="s">
        <v>1357</v>
      </c>
      <c r="J16751" t="s">
        <v>1357</v>
      </c>
      <c r="K16751" t="s">
        <v>1357</v>
      </c>
      <c r="L16751" t="s">
        <v>1357</v>
      </c>
    </row>
    <row r="16752" spans="6:12">
      <c r="H16752" t="s">
        <v>25072</v>
      </c>
      <c r="I16752" t="s">
        <v>1357</v>
      </c>
      <c r="J16752" t="s">
        <v>1357</v>
      </c>
      <c r="K16752" t="s">
        <v>1357</v>
      </c>
      <c r="L16752" t="s">
        <v>1357</v>
      </c>
    </row>
    <row r="16753" spans="6:12">
      <c r="H16753" t="s">
        <v>25073</v>
      </c>
      <c r="I16753" t="s">
        <v>1357</v>
      </c>
      <c r="J16753" t="s">
        <v>1357</v>
      </c>
      <c r="K16753" t="s">
        <v>1357</v>
      </c>
      <c r="L16753" t="s">
        <v>1357</v>
      </c>
    </row>
    <row r="16754" spans="6:12">
      <c r="H16754" t="s">
        <v>25074</v>
      </c>
      <c r="I16754" t="s">
        <v>1357</v>
      </c>
      <c r="J16754" t="s">
        <v>1357</v>
      </c>
      <c r="K16754" t="s">
        <v>1357</v>
      </c>
      <c r="L16754" t="s">
        <v>1357</v>
      </c>
    </row>
    <row r="16755" spans="6:12">
      <c r="H16755" t="s">
        <v>25075</v>
      </c>
      <c r="I16755" t="s">
        <v>1357</v>
      </c>
      <c r="J16755" t="s">
        <v>1357</v>
      </c>
      <c r="K16755" t="s">
        <v>1357</v>
      </c>
      <c r="L16755" t="s">
        <v>1357</v>
      </c>
    </row>
    <row r="16756" spans="6:12">
      <c r="F16756" t="s">
        <v>16924</v>
      </c>
      <c r="G16756" t="s">
        <v>19535</v>
      </c>
      <c r="H16756" t="s">
        <v>25076</v>
      </c>
      <c r="I16756" t="s">
        <v>1357</v>
      </c>
      <c r="J16756" t="s">
        <v>1357</v>
      </c>
      <c r="K16756" t="s">
        <v>1357</v>
      </c>
      <c r="L16756" t="s">
        <v>1357</v>
      </c>
    </row>
    <row r="16757" spans="6:12">
      <c r="H16757" t="s">
        <v>25077</v>
      </c>
      <c r="I16757" t="s">
        <v>1357</v>
      </c>
      <c r="J16757" t="s">
        <v>1357</v>
      </c>
      <c r="K16757" t="s">
        <v>1357</v>
      </c>
      <c r="L16757" t="s">
        <v>1357</v>
      </c>
    </row>
    <row r="16758" spans="6:12">
      <c r="H16758" t="s">
        <v>25078</v>
      </c>
      <c r="I16758" t="s">
        <v>1357</v>
      </c>
      <c r="J16758" t="s">
        <v>1357</v>
      </c>
      <c r="K16758" t="s">
        <v>1357</v>
      </c>
      <c r="L16758" t="s">
        <v>1357</v>
      </c>
    </row>
    <row r="16759" spans="6:12">
      <c r="H16759" t="s">
        <v>25079</v>
      </c>
      <c r="I16759" t="s">
        <v>1357</v>
      </c>
      <c r="J16759" t="s">
        <v>1357</v>
      </c>
      <c r="K16759" t="s">
        <v>1357</v>
      </c>
      <c r="L16759" t="s">
        <v>1357</v>
      </c>
    </row>
    <row r="16760" spans="6:12">
      <c r="H16760" t="s">
        <v>25080</v>
      </c>
      <c r="I16760" t="s">
        <v>1357</v>
      </c>
      <c r="J16760" t="s">
        <v>1357</v>
      </c>
      <c r="K16760" t="s">
        <v>1357</v>
      </c>
      <c r="L16760" t="s">
        <v>1357</v>
      </c>
    </row>
    <row r="16761" spans="6:12">
      <c r="H16761" t="s">
        <v>25081</v>
      </c>
      <c r="I16761" t="s">
        <v>1357</v>
      </c>
      <c r="J16761" t="s">
        <v>1357</v>
      </c>
      <c r="K16761" t="s">
        <v>1357</v>
      </c>
      <c r="L16761" t="s">
        <v>1357</v>
      </c>
    </row>
    <row r="16762" spans="6:12">
      <c r="F16762" t="s">
        <v>16925</v>
      </c>
      <c r="G16762" t="s">
        <v>19536</v>
      </c>
      <c r="H16762" t="s">
        <v>795</v>
      </c>
      <c r="I16762" t="s">
        <v>1357</v>
      </c>
      <c r="J16762" t="s">
        <v>1357</v>
      </c>
      <c r="K16762" t="s">
        <v>1357</v>
      </c>
      <c r="L16762" t="s">
        <v>1357</v>
      </c>
    </row>
    <row r="16763" spans="6:12">
      <c r="H16763" t="s">
        <v>25082</v>
      </c>
      <c r="I16763" t="s">
        <v>1357</v>
      </c>
      <c r="J16763" t="s">
        <v>1357</v>
      </c>
      <c r="K16763" t="s">
        <v>1357</v>
      </c>
      <c r="L16763" t="s">
        <v>1357</v>
      </c>
    </row>
    <row r="16764" spans="6:12">
      <c r="F16764" t="s">
        <v>16926</v>
      </c>
      <c r="G16764" t="s">
        <v>19537</v>
      </c>
      <c r="H16764" t="s">
        <v>25083</v>
      </c>
      <c r="I16764" t="s">
        <v>1357</v>
      </c>
      <c r="J16764" t="s">
        <v>1357</v>
      </c>
      <c r="K16764" t="s">
        <v>1357</v>
      </c>
      <c r="L16764" t="s">
        <v>1357</v>
      </c>
    </row>
    <row r="16765" spans="6:12">
      <c r="H16765" t="s">
        <v>25084</v>
      </c>
      <c r="I16765" t="s">
        <v>1357</v>
      </c>
      <c r="J16765" t="s">
        <v>1357</v>
      </c>
      <c r="K16765" t="s">
        <v>1357</v>
      </c>
      <c r="L16765" t="s">
        <v>1357</v>
      </c>
    </row>
    <row r="16766" spans="6:12">
      <c r="H16766" t="s">
        <v>25085</v>
      </c>
      <c r="I16766" t="s">
        <v>1357</v>
      </c>
      <c r="J16766" t="s">
        <v>1357</v>
      </c>
      <c r="K16766" t="s">
        <v>1357</v>
      </c>
      <c r="L16766" t="s">
        <v>1357</v>
      </c>
    </row>
    <row r="16767" spans="6:12">
      <c r="H16767" t="s">
        <v>25086</v>
      </c>
      <c r="I16767" t="s">
        <v>1357</v>
      </c>
      <c r="J16767" t="s">
        <v>1357</v>
      </c>
      <c r="K16767" t="s">
        <v>1357</v>
      </c>
      <c r="L16767" t="s">
        <v>1357</v>
      </c>
    </row>
    <row r="16768" spans="6:12">
      <c r="H16768" t="s">
        <v>25087</v>
      </c>
      <c r="I16768" t="s">
        <v>1357</v>
      </c>
      <c r="J16768" t="s">
        <v>1357</v>
      </c>
      <c r="K16768" t="s">
        <v>1357</v>
      </c>
      <c r="L16768" t="s">
        <v>1357</v>
      </c>
    </row>
    <row r="16769" spans="6:12">
      <c r="H16769" t="s">
        <v>25088</v>
      </c>
      <c r="I16769" t="s">
        <v>1357</v>
      </c>
      <c r="J16769" t="s">
        <v>1357</v>
      </c>
      <c r="K16769" t="s">
        <v>1357</v>
      </c>
      <c r="L16769" t="s">
        <v>1357</v>
      </c>
    </row>
    <row r="16770" spans="6:12">
      <c r="F16770" t="s">
        <v>16396</v>
      </c>
      <c r="G16770" t="s">
        <v>19062</v>
      </c>
      <c r="H16770" t="s">
        <v>22882</v>
      </c>
      <c r="I16770" t="s">
        <v>1357</v>
      </c>
      <c r="J16770" t="s">
        <v>1357</v>
      </c>
      <c r="K16770" t="s">
        <v>1357</v>
      </c>
      <c r="L16770" t="s">
        <v>1357</v>
      </c>
    </row>
    <row r="16771" spans="6:12">
      <c r="H16771" t="s">
        <v>22883</v>
      </c>
      <c r="I16771" t="s">
        <v>1357</v>
      </c>
      <c r="J16771" t="s">
        <v>1357</v>
      </c>
      <c r="K16771" t="s">
        <v>1357</v>
      </c>
      <c r="L16771" t="s">
        <v>1357</v>
      </c>
    </row>
    <row r="16772" spans="6:12">
      <c r="H16772" t="s">
        <v>25089</v>
      </c>
      <c r="I16772" t="s">
        <v>1357</v>
      </c>
      <c r="J16772" t="s">
        <v>1357</v>
      </c>
      <c r="K16772" t="s">
        <v>1357</v>
      </c>
      <c r="L16772" t="s">
        <v>1357</v>
      </c>
    </row>
    <row r="16773" spans="6:12">
      <c r="H16773" t="s">
        <v>25090</v>
      </c>
      <c r="I16773" t="s">
        <v>1357</v>
      </c>
      <c r="J16773" t="s">
        <v>1357</v>
      </c>
      <c r="K16773" t="s">
        <v>1357</v>
      </c>
      <c r="L16773" t="s">
        <v>1357</v>
      </c>
    </row>
    <row r="16774" spans="6:12">
      <c r="H16774" t="s">
        <v>25091</v>
      </c>
      <c r="I16774" t="s">
        <v>1357</v>
      </c>
      <c r="J16774" t="s">
        <v>1357</v>
      </c>
      <c r="K16774" t="s">
        <v>1357</v>
      </c>
      <c r="L16774" t="s">
        <v>1357</v>
      </c>
    </row>
    <row r="16775" spans="6:12">
      <c r="H16775" t="s">
        <v>25092</v>
      </c>
      <c r="I16775" t="s">
        <v>1357</v>
      </c>
      <c r="J16775" t="s">
        <v>1357</v>
      </c>
      <c r="K16775" t="s">
        <v>1357</v>
      </c>
      <c r="L16775" t="s">
        <v>1357</v>
      </c>
    </row>
    <row r="16776" spans="6:12">
      <c r="H16776" t="s">
        <v>25093</v>
      </c>
      <c r="I16776" t="s">
        <v>1357</v>
      </c>
      <c r="J16776" t="s">
        <v>1357</v>
      </c>
      <c r="K16776" t="s">
        <v>1357</v>
      </c>
      <c r="L16776" t="s">
        <v>1357</v>
      </c>
    </row>
    <row r="16777" spans="6:12">
      <c r="H16777" t="s">
        <v>25094</v>
      </c>
      <c r="I16777" t="s">
        <v>1357</v>
      </c>
      <c r="J16777" t="s">
        <v>1357</v>
      </c>
      <c r="K16777" t="s">
        <v>1357</v>
      </c>
      <c r="L16777" t="s">
        <v>1357</v>
      </c>
    </row>
    <row r="16778" spans="6:12">
      <c r="H16778" t="s">
        <v>25095</v>
      </c>
      <c r="I16778" t="s">
        <v>1357</v>
      </c>
      <c r="J16778" t="s">
        <v>1357</v>
      </c>
      <c r="K16778" t="s">
        <v>1357</v>
      </c>
      <c r="L16778" t="s">
        <v>1357</v>
      </c>
    </row>
    <row r="16779" spans="6:12">
      <c r="H16779" t="s">
        <v>25096</v>
      </c>
      <c r="I16779" t="s">
        <v>1357</v>
      </c>
      <c r="J16779" t="s">
        <v>1357</v>
      </c>
      <c r="K16779" t="s">
        <v>1357</v>
      </c>
      <c r="L16779" t="s">
        <v>1357</v>
      </c>
    </row>
    <row r="16780" spans="6:12">
      <c r="H16780" t="s">
        <v>25097</v>
      </c>
      <c r="I16780" t="s">
        <v>1357</v>
      </c>
      <c r="J16780" t="s">
        <v>1357</v>
      </c>
      <c r="K16780" t="s">
        <v>1357</v>
      </c>
      <c r="L16780" t="s">
        <v>1357</v>
      </c>
    </row>
    <row r="16781" spans="6:12">
      <c r="H16781" t="s">
        <v>25098</v>
      </c>
      <c r="I16781" t="s">
        <v>1357</v>
      </c>
      <c r="J16781" t="s">
        <v>1357</v>
      </c>
      <c r="K16781" t="s">
        <v>1357</v>
      </c>
      <c r="L16781" t="s">
        <v>1357</v>
      </c>
    </row>
    <row r="16782" spans="6:12">
      <c r="H16782" t="s">
        <v>25099</v>
      </c>
      <c r="I16782" t="s">
        <v>1357</v>
      </c>
      <c r="J16782" t="s">
        <v>1357</v>
      </c>
      <c r="K16782" t="s">
        <v>1357</v>
      </c>
      <c r="L16782" t="s">
        <v>1357</v>
      </c>
    </row>
    <row r="16783" spans="6:12">
      <c r="H16783" t="s">
        <v>25100</v>
      </c>
      <c r="I16783" t="s">
        <v>1357</v>
      </c>
      <c r="J16783" t="s">
        <v>1357</v>
      </c>
      <c r="K16783" t="s">
        <v>1357</v>
      </c>
      <c r="L16783" t="s">
        <v>1357</v>
      </c>
    </row>
    <row r="16784" spans="6:12">
      <c r="H16784" t="s">
        <v>25101</v>
      </c>
      <c r="I16784" t="s">
        <v>1357</v>
      </c>
      <c r="J16784" t="s">
        <v>1357</v>
      </c>
      <c r="K16784" t="s">
        <v>1357</v>
      </c>
      <c r="L16784" t="s">
        <v>1357</v>
      </c>
    </row>
    <row r="16785" spans="8:12">
      <c r="H16785" t="s">
        <v>25102</v>
      </c>
      <c r="I16785" t="s">
        <v>1357</v>
      </c>
      <c r="J16785" t="s">
        <v>1357</v>
      </c>
      <c r="K16785" t="s">
        <v>1357</v>
      </c>
      <c r="L16785" t="s">
        <v>1357</v>
      </c>
    </row>
    <row r="16786" spans="8:12">
      <c r="H16786" t="s">
        <v>25103</v>
      </c>
      <c r="I16786" t="s">
        <v>1357</v>
      </c>
      <c r="J16786" t="s">
        <v>1357</v>
      </c>
      <c r="K16786" t="s">
        <v>1357</v>
      </c>
      <c r="L16786" t="s">
        <v>1357</v>
      </c>
    </row>
    <row r="16787" spans="8:12">
      <c r="H16787" t="s">
        <v>25104</v>
      </c>
      <c r="I16787" t="s">
        <v>1357</v>
      </c>
      <c r="J16787" t="s">
        <v>1357</v>
      </c>
      <c r="K16787" t="s">
        <v>1357</v>
      </c>
      <c r="L16787" t="s">
        <v>1357</v>
      </c>
    </row>
    <row r="16788" spans="8:12">
      <c r="H16788" t="s">
        <v>25105</v>
      </c>
      <c r="I16788" t="s">
        <v>1357</v>
      </c>
      <c r="J16788" t="s">
        <v>1357</v>
      </c>
      <c r="K16788" t="s">
        <v>1357</v>
      </c>
      <c r="L16788" t="s">
        <v>1357</v>
      </c>
    </row>
    <row r="16789" spans="8:12">
      <c r="H16789" t="s">
        <v>25106</v>
      </c>
      <c r="I16789" t="s">
        <v>1357</v>
      </c>
      <c r="J16789" t="s">
        <v>1357</v>
      </c>
      <c r="K16789" t="s">
        <v>1357</v>
      </c>
      <c r="L16789" t="s">
        <v>1357</v>
      </c>
    </row>
    <row r="16790" spans="8:12">
      <c r="H16790" t="s">
        <v>25107</v>
      </c>
      <c r="I16790" t="s">
        <v>1357</v>
      </c>
      <c r="J16790" t="s">
        <v>1357</v>
      </c>
      <c r="K16790" t="s">
        <v>1357</v>
      </c>
      <c r="L16790" t="s">
        <v>1357</v>
      </c>
    </row>
    <row r="16791" spans="8:12">
      <c r="H16791" t="s">
        <v>25108</v>
      </c>
      <c r="I16791" t="s">
        <v>1357</v>
      </c>
      <c r="J16791" t="s">
        <v>1357</v>
      </c>
      <c r="K16791" t="s">
        <v>1357</v>
      </c>
      <c r="L16791" t="s">
        <v>1357</v>
      </c>
    </row>
    <row r="16792" spans="8:12">
      <c r="H16792" t="s">
        <v>25109</v>
      </c>
      <c r="I16792" t="s">
        <v>1357</v>
      </c>
      <c r="J16792" t="s">
        <v>1357</v>
      </c>
      <c r="K16792" t="s">
        <v>1357</v>
      </c>
      <c r="L16792" t="s">
        <v>1357</v>
      </c>
    </row>
    <row r="16793" spans="8:12">
      <c r="H16793" t="s">
        <v>25110</v>
      </c>
      <c r="I16793" t="s">
        <v>1357</v>
      </c>
      <c r="J16793" t="s">
        <v>1357</v>
      </c>
      <c r="K16793" t="s">
        <v>1357</v>
      </c>
      <c r="L16793" t="s">
        <v>1357</v>
      </c>
    </row>
    <row r="16794" spans="8:12">
      <c r="H16794" t="s">
        <v>25111</v>
      </c>
      <c r="I16794" t="s">
        <v>1357</v>
      </c>
      <c r="J16794" t="s">
        <v>1357</v>
      </c>
      <c r="K16794" t="s">
        <v>1357</v>
      </c>
      <c r="L16794" t="s">
        <v>1357</v>
      </c>
    </row>
    <row r="16795" spans="8:12">
      <c r="H16795" t="s">
        <v>25112</v>
      </c>
      <c r="I16795" t="s">
        <v>1357</v>
      </c>
      <c r="J16795" t="s">
        <v>1357</v>
      </c>
      <c r="K16795" t="s">
        <v>1357</v>
      </c>
      <c r="L16795" t="s">
        <v>1357</v>
      </c>
    </row>
    <row r="16796" spans="8:12">
      <c r="H16796" t="s">
        <v>25113</v>
      </c>
      <c r="I16796" t="s">
        <v>1357</v>
      </c>
      <c r="J16796" t="s">
        <v>1357</v>
      </c>
      <c r="K16796" t="s">
        <v>1357</v>
      </c>
      <c r="L16796" t="s">
        <v>1357</v>
      </c>
    </row>
    <row r="16797" spans="8:12">
      <c r="H16797" t="s">
        <v>25114</v>
      </c>
      <c r="I16797" t="s">
        <v>1357</v>
      </c>
      <c r="J16797" t="s">
        <v>1357</v>
      </c>
      <c r="K16797" t="s">
        <v>1357</v>
      </c>
      <c r="L16797" t="s">
        <v>1357</v>
      </c>
    </row>
    <row r="16798" spans="8:12">
      <c r="H16798" t="s">
        <v>25115</v>
      </c>
      <c r="I16798" t="s">
        <v>1357</v>
      </c>
      <c r="J16798" t="s">
        <v>1357</v>
      </c>
      <c r="K16798" t="s">
        <v>1357</v>
      </c>
      <c r="L16798" t="s">
        <v>1357</v>
      </c>
    </row>
    <row r="16799" spans="8:12">
      <c r="H16799" t="s">
        <v>25116</v>
      </c>
      <c r="I16799" t="s">
        <v>1357</v>
      </c>
      <c r="J16799" t="s">
        <v>1357</v>
      </c>
      <c r="K16799" t="s">
        <v>1357</v>
      </c>
      <c r="L16799" t="s">
        <v>1357</v>
      </c>
    </row>
    <row r="16800" spans="8:12">
      <c r="H16800" t="s">
        <v>25117</v>
      </c>
      <c r="I16800" t="s">
        <v>1357</v>
      </c>
      <c r="J16800" t="s">
        <v>1357</v>
      </c>
      <c r="K16800" t="s">
        <v>1357</v>
      </c>
      <c r="L16800" t="s">
        <v>1357</v>
      </c>
    </row>
    <row r="16801" spans="8:12">
      <c r="H16801" t="s">
        <v>25118</v>
      </c>
      <c r="I16801" t="s">
        <v>1357</v>
      </c>
      <c r="J16801" t="s">
        <v>1357</v>
      </c>
      <c r="K16801" t="s">
        <v>1357</v>
      </c>
      <c r="L16801" t="s">
        <v>1357</v>
      </c>
    </row>
    <row r="16802" spans="8:12">
      <c r="H16802" t="s">
        <v>25119</v>
      </c>
      <c r="I16802" t="s">
        <v>1357</v>
      </c>
      <c r="J16802" t="s">
        <v>1357</v>
      </c>
      <c r="K16802" t="s">
        <v>1357</v>
      </c>
      <c r="L16802" t="s">
        <v>1357</v>
      </c>
    </row>
    <row r="16803" spans="8:12">
      <c r="H16803" t="s">
        <v>25120</v>
      </c>
      <c r="I16803" t="s">
        <v>1357</v>
      </c>
      <c r="J16803" t="s">
        <v>1357</v>
      </c>
      <c r="K16803" t="s">
        <v>1357</v>
      </c>
      <c r="L16803" t="s">
        <v>1357</v>
      </c>
    </row>
    <row r="16804" spans="8:12">
      <c r="H16804" t="s">
        <v>25121</v>
      </c>
      <c r="I16804" t="s">
        <v>1357</v>
      </c>
      <c r="J16804" t="s">
        <v>1357</v>
      </c>
      <c r="K16804" t="s">
        <v>1357</v>
      </c>
      <c r="L16804" t="s">
        <v>1357</v>
      </c>
    </row>
    <row r="16805" spans="8:12">
      <c r="H16805" t="s">
        <v>25122</v>
      </c>
      <c r="I16805" t="s">
        <v>1357</v>
      </c>
      <c r="J16805" t="s">
        <v>1357</v>
      </c>
      <c r="K16805" t="s">
        <v>1357</v>
      </c>
      <c r="L16805" t="s">
        <v>1357</v>
      </c>
    </row>
    <row r="16806" spans="8:12">
      <c r="H16806" t="s">
        <v>25123</v>
      </c>
      <c r="I16806" t="s">
        <v>1357</v>
      </c>
      <c r="J16806" t="s">
        <v>1357</v>
      </c>
      <c r="K16806" t="s">
        <v>1357</v>
      </c>
      <c r="L16806" t="s">
        <v>1357</v>
      </c>
    </row>
    <row r="16807" spans="8:12">
      <c r="H16807" t="s">
        <v>25124</v>
      </c>
      <c r="I16807" t="s">
        <v>1357</v>
      </c>
      <c r="J16807" t="s">
        <v>1357</v>
      </c>
      <c r="K16807" t="s">
        <v>1357</v>
      </c>
      <c r="L16807" t="s">
        <v>1357</v>
      </c>
    </row>
    <row r="16808" spans="8:12">
      <c r="H16808" t="s">
        <v>25125</v>
      </c>
      <c r="I16808" t="s">
        <v>1357</v>
      </c>
      <c r="J16808" t="s">
        <v>1357</v>
      </c>
      <c r="K16808" t="s">
        <v>1357</v>
      </c>
      <c r="L16808" t="s">
        <v>1357</v>
      </c>
    </row>
    <row r="16809" spans="8:12">
      <c r="H16809" t="s">
        <v>25126</v>
      </c>
      <c r="I16809" t="s">
        <v>1357</v>
      </c>
      <c r="J16809" t="s">
        <v>1357</v>
      </c>
      <c r="K16809" t="s">
        <v>1357</v>
      </c>
      <c r="L16809" t="s">
        <v>1357</v>
      </c>
    </row>
    <row r="16810" spans="8:12">
      <c r="H16810" t="s">
        <v>25127</v>
      </c>
      <c r="I16810" t="s">
        <v>1357</v>
      </c>
      <c r="J16810" t="s">
        <v>1357</v>
      </c>
      <c r="K16810" t="s">
        <v>1357</v>
      </c>
      <c r="L16810" t="s">
        <v>1357</v>
      </c>
    </row>
    <row r="16811" spans="8:12">
      <c r="H16811" t="s">
        <v>25128</v>
      </c>
      <c r="I16811" t="s">
        <v>1357</v>
      </c>
      <c r="J16811" t="s">
        <v>1357</v>
      </c>
      <c r="K16811" t="s">
        <v>1357</v>
      </c>
      <c r="L16811" t="s">
        <v>1357</v>
      </c>
    </row>
    <row r="16812" spans="8:12">
      <c r="H16812" t="s">
        <v>25129</v>
      </c>
      <c r="I16812" t="s">
        <v>1357</v>
      </c>
      <c r="J16812" t="s">
        <v>1357</v>
      </c>
      <c r="K16812" t="s">
        <v>1357</v>
      </c>
      <c r="L16812" t="s">
        <v>1357</v>
      </c>
    </row>
    <row r="16813" spans="8:12">
      <c r="H16813" t="s">
        <v>25130</v>
      </c>
      <c r="I16813" t="s">
        <v>1357</v>
      </c>
      <c r="J16813" t="s">
        <v>1357</v>
      </c>
      <c r="K16813" t="s">
        <v>1357</v>
      </c>
      <c r="L16813" t="s">
        <v>1357</v>
      </c>
    </row>
    <row r="16814" spans="8:12">
      <c r="H16814" t="s">
        <v>25131</v>
      </c>
      <c r="I16814" t="s">
        <v>1357</v>
      </c>
      <c r="J16814" t="s">
        <v>1357</v>
      </c>
      <c r="K16814" t="s">
        <v>1357</v>
      </c>
      <c r="L16814" t="s">
        <v>1357</v>
      </c>
    </row>
    <row r="16815" spans="8:12">
      <c r="H16815" t="s">
        <v>25132</v>
      </c>
      <c r="I16815" t="s">
        <v>1357</v>
      </c>
      <c r="J16815" t="s">
        <v>1357</v>
      </c>
      <c r="K16815" t="s">
        <v>1357</v>
      </c>
      <c r="L16815" t="s">
        <v>1357</v>
      </c>
    </row>
    <row r="16816" spans="8:12">
      <c r="H16816" t="s">
        <v>25133</v>
      </c>
      <c r="I16816" t="s">
        <v>1357</v>
      </c>
      <c r="J16816" t="s">
        <v>1357</v>
      </c>
      <c r="K16816" t="s">
        <v>1357</v>
      </c>
      <c r="L16816" t="s">
        <v>1357</v>
      </c>
    </row>
    <row r="16817" spans="8:12">
      <c r="H16817" t="s">
        <v>25134</v>
      </c>
      <c r="I16817" t="s">
        <v>1357</v>
      </c>
      <c r="J16817" t="s">
        <v>1357</v>
      </c>
      <c r="K16817" t="s">
        <v>1357</v>
      </c>
      <c r="L16817" t="s">
        <v>1357</v>
      </c>
    </row>
    <row r="16818" spans="8:12">
      <c r="H16818" t="s">
        <v>25135</v>
      </c>
      <c r="I16818" t="s">
        <v>1357</v>
      </c>
      <c r="J16818" t="s">
        <v>1357</v>
      </c>
      <c r="K16818" t="s">
        <v>1357</v>
      </c>
      <c r="L16818" t="s">
        <v>1357</v>
      </c>
    </row>
    <row r="16819" spans="8:12">
      <c r="H16819" t="s">
        <v>25136</v>
      </c>
      <c r="I16819" t="s">
        <v>1357</v>
      </c>
      <c r="J16819" t="s">
        <v>1357</v>
      </c>
      <c r="K16819" t="s">
        <v>1357</v>
      </c>
      <c r="L16819" t="s">
        <v>1357</v>
      </c>
    </row>
    <row r="16820" spans="8:12">
      <c r="H16820" t="s">
        <v>25137</v>
      </c>
      <c r="I16820" t="s">
        <v>1357</v>
      </c>
      <c r="J16820" t="s">
        <v>1357</v>
      </c>
      <c r="K16820" t="s">
        <v>1357</v>
      </c>
      <c r="L16820" t="s">
        <v>1357</v>
      </c>
    </row>
    <row r="16821" spans="8:12">
      <c r="H16821" t="s">
        <v>25138</v>
      </c>
      <c r="I16821" t="s">
        <v>1357</v>
      </c>
      <c r="J16821" t="s">
        <v>1357</v>
      </c>
      <c r="K16821" t="s">
        <v>1357</v>
      </c>
      <c r="L16821" t="s">
        <v>1357</v>
      </c>
    </row>
    <row r="16822" spans="8:12">
      <c r="H16822" t="s">
        <v>25139</v>
      </c>
      <c r="I16822" t="s">
        <v>1357</v>
      </c>
      <c r="J16822" t="s">
        <v>1357</v>
      </c>
      <c r="K16822" t="s">
        <v>1357</v>
      </c>
      <c r="L16822" t="s">
        <v>1357</v>
      </c>
    </row>
    <row r="16823" spans="8:12">
      <c r="H16823" t="s">
        <v>25140</v>
      </c>
      <c r="I16823" t="s">
        <v>1357</v>
      </c>
      <c r="J16823" t="s">
        <v>1357</v>
      </c>
      <c r="K16823" t="s">
        <v>1357</v>
      </c>
      <c r="L16823" t="s">
        <v>1357</v>
      </c>
    </row>
    <row r="16824" spans="8:12">
      <c r="H16824" t="s">
        <v>25141</v>
      </c>
      <c r="I16824" t="s">
        <v>1357</v>
      </c>
      <c r="J16824" t="s">
        <v>1357</v>
      </c>
      <c r="K16824" t="s">
        <v>1357</v>
      </c>
      <c r="L16824" t="s">
        <v>1357</v>
      </c>
    </row>
    <row r="16825" spans="8:12">
      <c r="H16825" t="s">
        <v>25142</v>
      </c>
      <c r="I16825" t="s">
        <v>1357</v>
      </c>
      <c r="J16825" t="s">
        <v>1357</v>
      </c>
      <c r="K16825" t="s">
        <v>1357</v>
      </c>
      <c r="L16825" t="s">
        <v>1357</v>
      </c>
    </row>
    <row r="16826" spans="8:12">
      <c r="H16826" t="s">
        <v>25143</v>
      </c>
      <c r="I16826" t="s">
        <v>1357</v>
      </c>
      <c r="J16826" t="s">
        <v>1357</v>
      </c>
      <c r="K16826" t="s">
        <v>1357</v>
      </c>
      <c r="L16826" t="s">
        <v>1357</v>
      </c>
    </row>
    <row r="16827" spans="8:12">
      <c r="H16827" t="s">
        <v>25144</v>
      </c>
      <c r="I16827" t="s">
        <v>1357</v>
      </c>
      <c r="J16827" t="s">
        <v>1357</v>
      </c>
      <c r="K16827" t="s">
        <v>1357</v>
      </c>
      <c r="L16827" t="s">
        <v>1357</v>
      </c>
    </row>
    <row r="16828" spans="8:12">
      <c r="H16828" t="s">
        <v>25145</v>
      </c>
      <c r="I16828" t="s">
        <v>1357</v>
      </c>
      <c r="J16828" t="s">
        <v>1357</v>
      </c>
      <c r="K16828" t="s">
        <v>1357</v>
      </c>
      <c r="L16828" t="s">
        <v>1357</v>
      </c>
    </row>
    <row r="16829" spans="8:12">
      <c r="H16829" t="s">
        <v>25146</v>
      </c>
      <c r="I16829" t="s">
        <v>1357</v>
      </c>
      <c r="J16829" t="s">
        <v>1357</v>
      </c>
      <c r="K16829" t="s">
        <v>1357</v>
      </c>
      <c r="L16829" t="s">
        <v>1357</v>
      </c>
    </row>
    <row r="16830" spans="8:12">
      <c r="H16830" t="s">
        <v>25147</v>
      </c>
      <c r="I16830" t="s">
        <v>1357</v>
      </c>
      <c r="J16830" t="s">
        <v>1357</v>
      </c>
      <c r="K16830" t="s">
        <v>1357</v>
      </c>
      <c r="L16830" t="s">
        <v>1357</v>
      </c>
    </row>
    <row r="16831" spans="8:12">
      <c r="H16831" t="s">
        <v>25148</v>
      </c>
      <c r="I16831" t="s">
        <v>1357</v>
      </c>
      <c r="J16831" t="s">
        <v>1357</v>
      </c>
      <c r="K16831" t="s">
        <v>1357</v>
      </c>
      <c r="L16831" t="s">
        <v>1357</v>
      </c>
    </row>
    <row r="16832" spans="8:12">
      <c r="H16832" t="s">
        <v>25149</v>
      </c>
      <c r="I16832" t="s">
        <v>1357</v>
      </c>
      <c r="J16832" t="s">
        <v>1357</v>
      </c>
      <c r="K16832" t="s">
        <v>1357</v>
      </c>
      <c r="L16832" t="s">
        <v>1357</v>
      </c>
    </row>
    <row r="16833" spans="6:12">
      <c r="H16833" t="s">
        <v>25150</v>
      </c>
      <c r="I16833" t="s">
        <v>1357</v>
      </c>
      <c r="J16833" t="s">
        <v>1357</v>
      </c>
      <c r="K16833" t="s">
        <v>1357</v>
      </c>
      <c r="L16833" t="s">
        <v>1357</v>
      </c>
    </row>
    <row r="16834" spans="6:12">
      <c r="H16834" t="s">
        <v>25151</v>
      </c>
      <c r="I16834" t="s">
        <v>1357</v>
      </c>
      <c r="J16834" t="s">
        <v>1357</v>
      </c>
      <c r="K16834" t="s">
        <v>1357</v>
      </c>
      <c r="L16834" t="s">
        <v>1357</v>
      </c>
    </row>
    <row r="16835" spans="6:12">
      <c r="H16835" t="s">
        <v>25152</v>
      </c>
      <c r="I16835" t="s">
        <v>1357</v>
      </c>
      <c r="J16835" t="s">
        <v>1357</v>
      </c>
      <c r="K16835" t="s">
        <v>1357</v>
      </c>
      <c r="L16835" t="s">
        <v>1357</v>
      </c>
    </row>
    <row r="16836" spans="6:12">
      <c r="H16836" t="s">
        <v>25153</v>
      </c>
      <c r="I16836" t="s">
        <v>1357</v>
      </c>
      <c r="J16836" t="s">
        <v>1357</v>
      </c>
      <c r="K16836" t="s">
        <v>1357</v>
      </c>
      <c r="L16836" t="s">
        <v>1357</v>
      </c>
    </row>
    <row r="16837" spans="6:12">
      <c r="H16837" t="s">
        <v>25154</v>
      </c>
      <c r="I16837" t="s">
        <v>1357</v>
      </c>
      <c r="J16837" t="s">
        <v>1357</v>
      </c>
      <c r="K16837" t="s">
        <v>1357</v>
      </c>
      <c r="L16837" t="s">
        <v>1357</v>
      </c>
    </row>
    <row r="16838" spans="6:12">
      <c r="F16838" t="s">
        <v>16730</v>
      </c>
      <c r="G16838" t="s">
        <v>19361</v>
      </c>
      <c r="H16838" t="s">
        <v>25155</v>
      </c>
      <c r="I16838" t="s">
        <v>1357</v>
      </c>
      <c r="J16838" t="s">
        <v>1357</v>
      </c>
      <c r="K16838" t="s">
        <v>1357</v>
      </c>
      <c r="L16838" t="s">
        <v>1357</v>
      </c>
    </row>
    <row r="16839" spans="6:12">
      <c r="H16839" t="s">
        <v>25156</v>
      </c>
      <c r="I16839" t="s">
        <v>1357</v>
      </c>
      <c r="J16839" t="s">
        <v>1357</v>
      </c>
      <c r="K16839" t="s">
        <v>1357</v>
      </c>
      <c r="L16839" t="s">
        <v>1357</v>
      </c>
    </row>
    <row r="16840" spans="6:12">
      <c r="H16840" t="s">
        <v>25157</v>
      </c>
      <c r="I16840" t="s">
        <v>1357</v>
      </c>
      <c r="J16840" t="s">
        <v>1357</v>
      </c>
      <c r="K16840" t="s">
        <v>1357</v>
      </c>
      <c r="L16840" t="s">
        <v>1357</v>
      </c>
    </row>
    <row r="16841" spans="6:12">
      <c r="H16841" t="s">
        <v>25158</v>
      </c>
      <c r="I16841" t="s">
        <v>1357</v>
      </c>
      <c r="J16841" t="s">
        <v>1357</v>
      </c>
      <c r="K16841" t="s">
        <v>1357</v>
      </c>
      <c r="L16841" t="s">
        <v>1357</v>
      </c>
    </row>
    <row r="16842" spans="6:12">
      <c r="H16842" t="s">
        <v>25159</v>
      </c>
      <c r="I16842" t="s">
        <v>1357</v>
      </c>
      <c r="J16842" t="s">
        <v>1357</v>
      </c>
      <c r="K16842" t="s">
        <v>1357</v>
      </c>
      <c r="L16842" t="s">
        <v>1357</v>
      </c>
    </row>
    <row r="16843" spans="6:12">
      <c r="H16843" t="s">
        <v>25160</v>
      </c>
      <c r="I16843" t="s">
        <v>1357</v>
      </c>
      <c r="J16843" t="s">
        <v>1357</v>
      </c>
      <c r="K16843" t="s">
        <v>1357</v>
      </c>
      <c r="L16843" t="s">
        <v>1357</v>
      </c>
    </row>
    <row r="16844" spans="6:12">
      <c r="H16844" t="s">
        <v>25161</v>
      </c>
      <c r="I16844" t="s">
        <v>1357</v>
      </c>
      <c r="J16844" t="s">
        <v>1357</v>
      </c>
      <c r="K16844" t="s">
        <v>1357</v>
      </c>
      <c r="L16844" t="s">
        <v>1357</v>
      </c>
    </row>
    <row r="16845" spans="6:12">
      <c r="H16845" t="s">
        <v>25162</v>
      </c>
      <c r="I16845" t="s">
        <v>1357</v>
      </c>
      <c r="J16845" t="s">
        <v>1357</v>
      </c>
      <c r="K16845" t="s">
        <v>1357</v>
      </c>
      <c r="L16845" t="s">
        <v>1357</v>
      </c>
    </row>
    <row r="16846" spans="6:12">
      <c r="H16846" t="s">
        <v>25163</v>
      </c>
      <c r="I16846" t="s">
        <v>1357</v>
      </c>
      <c r="J16846" t="s">
        <v>1357</v>
      </c>
      <c r="K16846" t="s">
        <v>1357</v>
      </c>
      <c r="L16846" t="s">
        <v>1357</v>
      </c>
    </row>
    <row r="16847" spans="6:12">
      <c r="H16847" t="s">
        <v>25164</v>
      </c>
      <c r="I16847" t="s">
        <v>1357</v>
      </c>
      <c r="J16847" t="s">
        <v>1357</v>
      </c>
      <c r="K16847" t="s">
        <v>1357</v>
      </c>
      <c r="L16847" t="s">
        <v>1357</v>
      </c>
    </row>
    <row r="16848" spans="6:12">
      <c r="H16848" t="s">
        <v>25165</v>
      </c>
      <c r="I16848" t="s">
        <v>1357</v>
      </c>
      <c r="J16848" t="s">
        <v>1357</v>
      </c>
      <c r="K16848" t="s">
        <v>1357</v>
      </c>
      <c r="L16848" t="s">
        <v>1357</v>
      </c>
    </row>
    <row r="16849" spans="6:12">
      <c r="H16849" t="s">
        <v>25166</v>
      </c>
      <c r="I16849" t="s">
        <v>1357</v>
      </c>
      <c r="J16849" t="s">
        <v>1357</v>
      </c>
      <c r="K16849" t="s">
        <v>1357</v>
      </c>
      <c r="L16849" t="s">
        <v>1357</v>
      </c>
    </row>
    <row r="16850" spans="6:12">
      <c r="H16850" t="s">
        <v>25167</v>
      </c>
      <c r="I16850" t="s">
        <v>1357</v>
      </c>
      <c r="J16850" t="s">
        <v>1357</v>
      </c>
      <c r="K16850" t="s">
        <v>1357</v>
      </c>
      <c r="L16850" t="s">
        <v>1357</v>
      </c>
    </row>
    <row r="16851" spans="6:12">
      <c r="H16851" t="s">
        <v>25168</v>
      </c>
      <c r="I16851" t="s">
        <v>1357</v>
      </c>
      <c r="J16851" t="s">
        <v>1357</v>
      </c>
      <c r="K16851" t="s">
        <v>1357</v>
      </c>
      <c r="L16851" t="s">
        <v>1357</v>
      </c>
    </row>
    <row r="16852" spans="6:12">
      <c r="H16852" t="s">
        <v>25169</v>
      </c>
      <c r="I16852" t="s">
        <v>1357</v>
      </c>
      <c r="J16852" t="s">
        <v>1357</v>
      </c>
      <c r="K16852" t="s">
        <v>1357</v>
      </c>
      <c r="L16852" t="s">
        <v>1357</v>
      </c>
    </row>
    <row r="16853" spans="6:12">
      <c r="H16853" t="s">
        <v>25170</v>
      </c>
      <c r="I16853" t="s">
        <v>1357</v>
      </c>
      <c r="J16853" t="s">
        <v>1357</v>
      </c>
      <c r="K16853" t="s">
        <v>1357</v>
      </c>
      <c r="L16853" t="s">
        <v>1357</v>
      </c>
    </row>
    <row r="16854" spans="6:12">
      <c r="H16854" t="s">
        <v>25171</v>
      </c>
      <c r="I16854" t="s">
        <v>1357</v>
      </c>
      <c r="J16854" t="s">
        <v>1357</v>
      </c>
      <c r="K16854" t="s">
        <v>1357</v>
      </c>
      <c r="L16854" t="s">
        <v>1357</v>
      </c>
    </row>
    <row r="16855" spans="6:12">
      <c r="H16855" t="s">
        <v>25172</v>
      </c>
      <c r="I16855" t="s">
        <v>1357</v>
      </c>
      <c r="J16855" t="s">
        <v>1357</v>
      </c>
      <c r="K16855" t="s">
        <v>1357</v>
      </c>
      <c r="L16855" t="s">
        <v>1357</v>
      </c>
    </row>
    <row r="16856" spans="6:12">
      <c r="H16856" t="s">
        <v>25173</v>
      </c>
      <c r="I16856" t="s">
        <v>1357</v>
      </c>
      <c r="J16856" t="s">
        <v>1357</v>
      </c>
      <c r="K16856" t="s">
        <v>1357</v>
      </c>
      <c r="L16856" t="s">
        <v>1357</v>
      </c>
    </row>
    <row r="16857" spans="6:12">
      <c r="H16857" t="s">
        <v>25174</v>
      </c>
      <c r="I16857" t="s">
        <v>1357</v>
      </c>
      <c r="J16857" t="s">
        <v>1357</v>
      </c>
      <c r="K16857" t="s">
        <v>1357</v>
      </c>
      <c r="L16857" t="s">
        <v>1357</v>
      </c>
    </row>
    <row r="16858" spans="6:12">
      <c r="H16858" t="s">
        <v>25175</v>
      </c>
      <c r="I16858" t="s">
        <v>1357</v>
      </c>
      <c r="J16858" t="s">
        <v>1357</v>
      </c>
      <c r="K16858" t="s">
        <v>1357</v>
      </c>
      <c r="L16858" t="s">
        <v>1357</v>
      </c>
    </row>
    <row r="16859" spans="6:12">
      <c r="H16859" t="s">
        <v>25176</v>
      </c>
      <c r="I16859" t="s">
        <v>1357</v>
      </c>
      <c r="J16859" t="s">
        <v>1357</v>
      </c>
      <c r="K16859" t="s">
        <v>1357</v>
      </c>
      <c r="L16859" t="s">
        <v>1357</v>
      </c>
    </row>
    <row r="16860" spans="6:12">
      <c r="H16860" t="s">
        <v>25177</v>
      </c>
      <c r="I16860" t="s">
        <v>1357</v>
      </c>
      <c r="J16860" t="s">
        <v>1357</v>
      </c>
      <c r="K16860" t="s">
        <v>1357</v>
      </c>
      <c r="L16860" t="s">
        <v>1357</v>
      </c>
    </row>
    <row r="16861" spans="6:12">
      <c r="H16861" t="s">
        <v>25178</v>
      </c>
      <c r="I16861" t="s">
        <v>1357</v>
      </c>
      <c r="J16861" t="s">
        <v>1357</v>
      </c>
      <c r="K16861" t="s">
        <v>1357</v>
      </c>
      <c r="L16861" t="s">
        <v>1357</v>
      </c>
    </row>
    <row r="16862" spans="6:12">
      <c r="H16862" t="s">
        <v>25179</v>
      </c>
      <c r="I16862" t="s">
        <v>1357</v>
      </c>
      <c r="J16862" t="s">
        <v>1357</v>
      </c>
      <c r="K16862" t="s">
        <v>1357</v>
      </c>
      <c r="L16862" t="s">
        <v>1357</v>
      </c>
    </row>
    <row r="16863" spans="6:12">
      <c r="H16863" t="s">
        <v>25180</v>
      </c>
      <c r="I16863" t="s">
        <v>1357</v>
      </c>
      <c r="J16863" t="s">
        <v>1357</v>
      </c>
      <c r="K16863" t="s">
        <v>1357</v>
      </c>
      <c r="L16863" t="s">
        <v>1357</v>
      </c>
    </row>
    <row r="16864" spans="6:12">
      <c r="F16864" t="s">
        <v>16927</v>
      </c>
      <c r="G16864" t="s">
        <v>19538</v>
      </c>
      <c r="H16864" t="s">
        <v>25181</v>
      </c>
      <c r="I16864" t="s">
        <v>1357</v>
      </c>
      <c r="J16864" t="s">
        <v>1357</v>
      </c>
      <c r="K16864" t="s">
        <v>1357</v>
      </c>
      <c r="L16864" t="s">
        <v>1357</v>
      </c>
    </row>
    <row r="16865" spans="6:12">
      <c r="F16865" t="s">
        <v>16928</v>
      </c>
      <c r="G16865" t="s">
        <v>19539</v>
      </c>
      <c r="H16865" t="s">
        <v>25182</v>
      </c>
      <c r="I16865" t="s">
        <v>1357</v>
      </c>
      <c r="J16865" t="s">
        <v>1357</v>
      </c>
      <c r="K16865" t="s">
        <v>1357</v>
      </c>
      <c r="L16865" t="s">
        <v>1357</v>
      </c>
    </row>
    <row r="16866" spans="6:12">
      <c r="F16866" t="s">
        <v>16929</v>
      </c>
      <c r="G16866" t="s">
        <v>19540</v>
      </c>
      <c r="H16866" t="s">
        <v>20014</v>
      </c>
      <c r="I16866" t="s">
        <v>1357</v>
      </c>
      <c r="J16866" t="s">
        <v>1357</v>
      </c>
      <c r="K16866" t="s">
        <v>1357</v>
      </c>
      <c r="L16866" t="s">
        <v>1357</v>
      </c>
    </row>
    <row r="16867" spans="6:12">
      <c r="H16867" t="s">
        <v>3380</v>
      </c>
      <c r="I16867" t="s">
        <v>1357</v>
      </c>
      <c r="J16867" t="s">
        <v>1357</v>
      </c>
      <c r="K16867" t="s">
        <v>1357</v>
      </c>
      <c r="L16867" t="s">
        <v>1357</v>
      </c>
    </row>
    <row r="16868" spans="6:12">
      <c r="F16868" t="s">
        <v>16271</v>
      </c>
      <c r="G16868" t="s">
        <v>18944</v>
      </c>
      <c r="H16868" t="s">
        <v>25183</v>
      </c>
      <c r="I16868" t="s">
        <v>1357</v>
      </c>
      <c r="J16868" t="s">
        <v>1357</v>
      </c>
      <c r="K16868" t="s">
        <v>1357</v>
      </c>
      <c r="L16868" t="s">
        <v>1357</v>
      </c>
    </row>
    <row r="16869" spans="6:12">
      <c r="H16869" t="s">
        <v>4574</v>
      </c>
      <c r="I16869" t="s">
        <v>1357</v>
      </c>
      <c r="J16869" t="s">
        <v>1357</v>
      </c>
      <c r="K16869" t="s">
        <v>1357</v>
      </c>
      <c r="L16869" t="s">
        <v>1357</v>
      </c>
    </row>
    <row r="16870" spans="6:12">
      <c r="H16870" t="s">
        <v>22462</v>
      </c>
      <c r="I16870" t="s">
        <v>1357</v>
      </c>
      <c r="J16870" t="s">
        <v>1357</v>
      </c>
      <c r="K16870" t="s">
        <v>1357</v>
      </c>
      <c r="L16870" t="s">
        <v>1357</v>
      </c>
    </row>
    <row r="16871" spans="6:12">
      <c r="H16871" t="s">
        <v>22463</v>
      </c>
      <c r="I16871" t="s">
        <v>1357</v>
      </c>
      <c r="J16871" t="s">
        <v>1357</v>
      </c>
      <c r="K16871" t="s">
        <v>1357</v>
      </c>
      <c r="L16871" t="s">
        <v>1357</v>
      </c>
    </row>
    <row r="16872" spans="6:12">
      <c r="H16872" t="s">
        <v>25184</v>
      </c>
      <c r="I16872" t="s">
        <v>1357</v>
      </c>
      <c r="J16872" t="s">
        <v>1357</v>
      </c>
      <c r="K16872" t="s">
        <v>1357</v>
      </c>
      <c r="L16872" t="s">
        <v>1357</v>
      </c>
    </row>
    <row r="16873" spans="6:12">
      <c r="H16873" t="s">
        <v>25185</v>
      </c>
      <c r="I16873" t="s">
        <v>1357</v>
      </c>
      <c r="J16873" t="s">
        <v>1357</v>
      </c>
      <c r="K16873" t="s">
        <v>1357</v>
      </c>
      <c r="L16873" t="s">
        <v>1357</v>
      </c>
    </row>
    <row r="16874" spans="6:12">
      <c r="H16874" t="s">
        <v>25186</v>
      </c>
      <c r="I16874" t="s">
        <v>1357</v>
      </c>
      <c r="J16874" t="s">
        <v>1357</v>
      </c>
      <c r="K16874" t="s">
        <v>1357</v>
      </c>
      <c r="L16874" t="s">
        <v>1357</v>
      </c>
    </row>
    <row r="16875" spans="6:12">
      <c r="F16875" t="s">
        <v>16930</v>
      </c>
      <c r="G16875" t="s">
        <v>19541</v>
      </c>
      <c r="H16875" t="s">
        <v>25187</v>
      </c>
      <c r="I16875" t="s">
        <v>1357</v>
      </c>
      <c r="J16875" t="s">
        <v>1357</v>
      </c>
      <c r="K16875" t="s">
        <v>1357</v>
      </c>
      <c r="L16875" t="s">
        <v>1357</v>
      </c>
    </row>
    <row r="16876" spans="6:12">
      <c r="H16876" t="s">
        <v>25188</v>
      </c>
      <c r="I16876" t="s">
        <v>1357</v>
      </c>
      <c r="J16876" t="s">
        <v>1357</v>
      </c>
      <c r="K16876" t="s">
        <v>1357</v>
      </c>
      <c r="L16876" t="s">
        <v>1357</v>
      </c>
    </row>
    <row r="16877" spans="6:12">
      <c r="H16877" t="s">
        <v>25189</v>
      </c>
      <c r="I16877" t="s">
        <v>1357</v>
      </c>
      <c r="J16877" t="s">
        <v>1357</v>
      </c>
      <c r="K16877" t="s">
        <v>1357</v>
      </c>
      <c r="L16877" t="s">
        <v>1357</v>
      </c>
    </row>
    <row r="16878" spans="6:12">
      <c r="H16878" t="s">
        <v>25190</v>
      </c>
      <c r="I16878" t="s">
        <v>1357</v>
      </c>
      <c r="J16878" t="s">
        <v>1357</v>
      </c>
      <c r="K16878" t="s">
        <v>1357</v>
      </c>
      <c r="L16878" t="s">
        <v>1357</v>
      </c>
    </row>
    <row r="16879" spans="6:12">
      <c r="H16879" t="s">
        <v>25191</v>
      </c>
      <c r="I16879" t="s">
        <v>1357</v>
      </c>
      <c r="J16879" t="s">
        <v>1357</v>
      </c>
      <c r="K16879" t="s">
        <v>1357</v>
      </c>
      <c r="L16879" t="s">
        <v>1357</v>
      </c>
    </row>
    <row r="16880" spans="6:12">
      <c r="F16880" t="s">
        <v>16931</v>
      </c>
      <c r="G16880" t="s">
        <v>19542</v>
      </c>
      <c r="H16880" t="s">
        <v>25192</v>
      </c>
      <c r="I16880" t="s">
        <v>1357</v>
      </c>
      <c r="J16880" t="s">
        <v>1357</v>
      </c>
      <c r="K16880" t="s">
        <v>1357</v>
      </c>
      <c r="L16880" t="s">
        <v>1357</v>
      </c>
    </row>
    <row r="16881" spans="6:12">
      <c r="F16881" t="s">
        <v>16932</v>
      </c>
      <c r="G16881" t="s">
        <v>19543</v>
      </c>
      <c r="H16881" t="s">
        <v>25193</v>
      </c>
      <c r="I16881" t="s">
        <v>1357</v>
      </c>
      <c r="J16881" t="s">
        <v>1357</v>
      </c>
      <c r="K16881" t="s">
        <v>1357</v>
      </c>
      <c r="L16881" t="s">
        <v>1357</v>
      </c>
    </row>
    <row r="16882" spans="6:12">
      <c r="H16882" t="s">
        <v>25194</v>
      </c>
      <c r="I16882" t="s">
        <v>1357</v>
      </c>
      <c r="J16882" t="s">
        <v>1357</v>
      </c>
      <c r="K16882" t="s">
        <v>1357</v>
      </c>
      <c r="L16882" t="s">
        <v>1357</v>
      </c>
    </row>
    <row r="16883" spans="6:12">
      <c r="H16883" t="s">
        <v>25195</v>
      </c>
      <c r="I16883" t="s">
        <v>1357</v>
      </c>
      <c r="J16883" t="s">
        <v>1357</v>
      </c>
      <c r="K16883" t="s">
        <v>1357</v>
      </c>
      <c r="L16883" t="s">
        <v>1357</v>
      </c>
    </row>
    <row r="16884" spans="6:12">
      <c r="H16884" t="s">
        <v>25196</v>
      </c>
      <c r="I16884" t="s">
        <v>1357</v>
      </c>
      <c r="J16884" t="s">
        <v>1357</v>
      </c>
      <c r="K16884" t="s">
        <v>1357</v>
      </c>
      <c r="L16884" t="s">
        <v>1357</v>
      </c>
    </row>
    <row r="16885" spans="6:12">
      <c r="H16885" t="s">
        <v>25197</v>
      </c>
      <c r="I16885" t="s">
        <v>1357</v>
      </c>
      <c r="J16885" t="s">
        <v>1357</v>
      </c>
      <c r="K16885" t="s">
        <v>1357</v>
      </c>
      <c r="L16885" t="s">
        <v>1357</v>
      </c>
    </row>
    <row r="16886" spans="6:12">
      <c r="H16886" t="s">
        <v>25198</v>
      </c>
      <c r="I16886" t="s">
        <v>1357</v>
      </c>
      <c r="J16886" t="s">
        <v>1357</v>
      </c>
      <c r="K16886" t="s">
        <v>1357</v>
      </c>
      <c r="L16886" t="s">
        <v>1357</v>
      </c>
    </row>
    <row r="16887" spans="6:12">
      <c r="H16887" t="s">
        <v>25199</v>
      </c>
      <c r="I16887" t="s">
        <v>1357</v>
      </c>
      <c r="J16887" t="s">
        <v>1357</v>
      </c>
      <c r="K16887" t="s">
        <v>1357</v>
      </c>
      <c r="L16887" t="s">
        <v>1357</v>
      </c>
    </row>
    <row r="16888" spans="6:12">
      <c r="H16888" t="s">
        <v>25200</v>
      </c>
      <c r="I16888" t="s">
        <v>1357</v>
      </c>
      <c r="J16888" t="s">
        <v>1357</v>
      </c>
      <c r="K16888" t="s">
        <v>1357</v>
      </c>
      <c r="L16888" t="s">
        <v>1357</v>
      </c>
    </row>
    <row r="16889" spans="6:12">
      <c r="F16889" t="s">
        <v>16933</v>
      </c>
      <c r="G16889" t="s">
        <v>19544</v>
      </c>
      <c r="H16889" t="s">
        <v>20014</v>
      </c>
      <c r="I16889" t="s">
        <v>1357</v>
      </c>
      <c r="J16889" t="s">
        <v>1357</v>
      </c>
      <c r="K16889" t="s">
        <v>1357</v>
      </c>
      <c r="L16889" t="s">
        <v>1357</v>
      </c>
    </row>
    <row r="16890" spans="6:12">
      <c r="H16890" t="s">
        <v>3380</v>
      </c>
      <c r="I16890" t="s">
        <v>1357</v>
      </c>
      <c r="J16890" t="s">
        <v>1357</v>
      </c>
      <c r="K16890" t="s">
        <v>1357</v>
      </c>
      <c r="L16890" t="s">
        <v>1357</v>
      </c>
    </row>
    <row r="16891" spans="6:12">
      <c r="F16891" t="s">
        <v>16934</v>
      </c>
      <c r="G16891" t="s">
        <v>19545</v>
      </c>
      <c r="H16891" t="s">
        <v>20014</v>
      </c>
      <c r="I16891" t="s">
        <v>1357</v>
      </c>
      <c r="J16891" t="s">
        <v>1357</v>
      </c>
      <c r="K16891" t="s">
        <v>1357</v>
      </c>
      <c r="L16891" t="s">
        <v>1357</v>
      </c>
    </row>
    <row r="16892" spans="6:12">
      <c r="H16892" t="s">
        <v>3380</v>
      </c>
      <c r="I16892" t="s">
        <v>1357</v>
      </c>
      <c r="J16892" t="s">
        <v>1357</v>
      </c>
      <c r="K16892" t="s">
        <v>1357</v>
      </c>
      <c r="L16892" t="s">
        <v>1357</v>
      </c>
    </row>
    <row r="16893" spans="6:12">
      <c r="F16893" t="s">
        <v>16512</v>
      </c>
      <c r="G16893" t="s">
        <v>19170</v>
      </c>
      <c r="H16893" t="s">
        <v>25201</v>
      </c>
      <c r="I16893" t="s">
        <v>1357</v>
      </c>
      <c r="J16893" t="s">
        <v>1357</v>
      </c>
      <c r="K16893" t="s">
        <v>1357</v>
      </c>
      <c r="L16893" t="s">
        <v>1357</v>
      </c>
    </row>
    <row r="16894" spans="6:12">
      <c r="H16894" t="s">
        <v>25202</v>
      </c>
      <c r="I16894" t="s">
        <v>1357</v>
      </c>
      <c r="J16894" t="s">
        <v>1357</v>
      </c>
      <c r="K16894" t="s">
        <v>1357</v>
      </c>
      <c r="L16894" t="s">
        <v>1357</v>
      </c>
    </row>
    <row r="16895" spans="6:12">
      <c r="H16895" t="s">
        <v>25203</v>
      </c>
      <c r="I16895" t="s">
        <v>1357</v>
      </c>
      <c r="J16895" t="s">
        <v>1357</v>
      </c>
      <c r="K16895" t="s">
        <v>1357</v>
      </c>
      <c r="L16895" t="s">
        <v>1357</v>
      </c>
    </row>
    <row r="16896" spans="6:12">
      <c r="H16896" t="s">
        <v>25204</v>
      </c>
      <c r="I16896" t="s">
        <v>1357</v>
      </c>
      <c r="J16896" t="s">
        <v>1357</v>
      </c>
      <c r="K16896" t="s">
        <v>1357</v>
      </c>
      <c r="L16896" t="s">
        <v>1357</v>
      </c>
    </row>
    <row r="16897" spans="6:12">
      <c r="H16897" t="s">
        <v>25205</v>
      </c>
      <c r="I16897" t="s">
        <v>1357</v>
      </c>
      <c r="J16897" t="s">
        <v>1357</v>
      </c>
      <c r="K16897" t="s">
        <v>1357</v>
      </c>
      <c r="L16897" t="s">
        <v>1357</v>
      </c>
    </row>
    <row r="16898" spans="6:12">
      <c r="H16898" t="s">
        <v>25206</v>
      </c>
      <c r="I16898" t="s">
        <v>1357</v>
      </c>
      <c r="J16898" t="s">
        <v>1357</v>
      </c>
      <c r="K16898" t="s">
        <v>1357</v>
      </c>
      <c r="L16898" t="s">
        <v>1357</v>
      </c>
    </row>
    <row r="16899" spans="6:12">
      <c r="H16899" t="s">
        <v>25207</v>
      </c>
      <c r="I16899" t="s">
        <v>1357</v>
      </c>
      <c r="J16899" t="s">
        <v>1357</v>
      </c>
      <c r="K16899" t="s">
        <v>1357</v>
      </c>
      <c r="L16899" t="s">
        <v>1357</v>
      </c>
    </row>
    <row r="16900" spans="6:12">
      <c r="H16900" t="s">
        <v>25208</v>
      </c>
      <c r="I16900" t="s">
        <v>1357</v>
      </c>
      <c r="J16900" t="s">
        <v>1357</v>
      </c>
      <c r="K16900" t="s">
        <v>1357</v>
      </c>
      <c r="L16900" t="s">
        <v>1357</v>
      </c>
    </row>
    <row r="16901" spans="6:12">
      <c r="F16901" t="s">
        <v>16935</v>
      </c>
      <c r="G16901" t="s">
        <v>19546</v>
      </c>
      <c r="H16901" t="s">
        <v>25209</v>
      </c>
      <c r="I16901" t="s">
        <v>1357</v>
      </c>
      <c r="J16901" t="s">
        <v>1357</v>
      </c>
      <c r="K16901" t="s">
        <v>1357</v>
      </c>
      <c r="L16901" t="s">
        <v>1357</v>
      </c>
    </row>
    <row r="16902" spans="6:12">
      <c r="F16902" t="s">
        <v>16936</v>
      </c>
      <c r="G16902" t="s">
        <v>19547</v>
      </c>
      <c r="H16902" t="s">
        <v>25210</v>
      </c>
      <c r="I16902" t="s">
        <v>1357</v>
      </c>
      <c r="J16902" t="s">
        <v>1357</v>
      </c>
      <c r="K16902" t="s">
        <v>1357</v>
      </c>
      <c r="L16902" t="s">
        <v>1357</v>
      </c>
    </row>
    <row r="16903" spans="6:12">
      <c r="F16903" t="s">
        <v>16937</v>
      </c>
      <c r="G16903" t="s">
        <v>19548</v>
      </c>
      <c r="H16903" t="s">
        <v>795</v>
      </c>
      <c r="I16903" t="s">
        <v>1357</v>
      </c>
      <c r="J16903" t="s">
        <v>1357</v>
      </c>
      <c r="K16903" t="s">
        <v>1357</v>
      </c>
      <c r="L16903" t="s">
        <v>1357</v>
      </c>
    </row>
    <row r="16904" spans="6:12">
      <c r="H16904" t="s">
        <v>25211</v>
      </c>
      <c r="I16904" t="s">
        <v>1357</v>
      </c>
      <c r="J16904" t="s">
        <v>1357</v>
      </c>
      <c r="K16904" t="s">
        <v>1357</v>
      </c>
      <c r="L16904" t="s">
        <v>1357</v>
      </c>
    </row>
    <row r="16905" spans="6:12">
      <c r="H16905" t="s">
        <v>25212</v>
      </c>
      <c r="I16905" t="s">
        <v>1357</v>
      </c>
      <c r="J16905" t="s">
        <v>1357</v>
      </c>
      <c r="K16905" t="s">
        <v>1357</v>
      </c>
      <c r="L16905" t="s">
        <v>1357</v>
      </c>
    </row>
    <row r="16906" spans="6:12">
      <c r="H16906" t="s">
        <v>25213</v>
      </c>
      <c r="I16906" t="s">
        <v>1357</v>
      </c>
      <c r="J16906" t="s">
        <v>1357</v>
      </c>
      <c r="K16906" t="s">
        <v>1357</v>
      </c>
      <c r="L16906" t="s">
        <v>1357</v>
      </c>
    </row>
    <row r="16907" spans="6:12">
      <c r="F16907" t="s">
        <v>16938</v>
      </c>
      <c r="G16907" t="s">
        <v>19549</v>
      </c>
      <c r="H16907" t="s">
        <v>795</v>
      </c>
      <c r="I16907" t="s">
        <v>1357</v>
      </c>
      <c r="J16907" t="s">
        <v>1357</v>
      </c>
      <c r="K16907" t="s">
        <v>1357</v>
      </c>
      <c r="L16907" t="s">
        <v>1357</v>
      </c>
    </row>
    <row r="16908" spans="6:12">
      <c r="H16908" t="s">
        <v>25214</v>
      </c>
      <c r="I16908" t="s">
        <v>1357</v>
      </c>
      <c r="J16908" t="s">
        <v>1357</v>
      </c>
      <c r="K16908" t="s">
        <v>1357</v>
      </c>
      <c r="L16908" t="s">
        <v>1357</v>
      </c>
    </row>
    <row r="16909" spans="6:12">
      <c r="F16909" t="s">
        <v>16939</v>
      </c>
      <c r="G16909" t="s">
        <v>19550</v>
      </c>
      <c r="H16909" t="s">
        <v>25215</v>
      </c>
      <c r="I16909" t="s">
        <v>1357</v>
      </c>
      <c r="J16909" t="s">
        <v>1357</v>
      </c>
      <c r="K16909" t="s">
        <v>1357</v>
      </c>
      <c r="L16909" t="s">
        <v>1357</v>
      </c>
    </row>
    <row r="16910" spans="6:12">
      <c r="H16910" t="s">
        <v>25216</v>
      </c>
      <c r="I16910" t="s">
        <v>1357</v>
      </c>
      <c r="J16910" t="s">
        <v>1357</v>
      </c>
      <c r="K16910" t="s">
        <v>1357</v>
      </c>
      <c r="L16910" t="s">
        <v>1357</v>
      </c>
    </row>
    <row r="16911" spans="6:12">
      <c r="H16911" t="s">
        <v>25217</v>
      </c>
      <c r="I16911" t="s">
        <v>1357</v>
      </c>
      <c r="J16911" t="s">
        <v>1357</v>
      </c>
      <c r="K16911" t="s">
        <v>1357</v>
      </c>
      <c r="L16911" t="s">
        <v>1357</v>
      </c>
    </row>
    <row r="16912" spans="6:12">
      <c r="F16912" t="s">
        <v>16744</v>
      </c>
      <c r="G16912" t="s">
        <v>19373</v>
      </c>
      <c r="H16912" t="s">
        <v>25218</v>
      </c>
      <c r="I16912" t="s">
        <v>1357</v>
      </c>
      <c r="J16912" t="s">
        <v>1357</v>
      </c>
      <c r="K16912" t="s">
        <v>1357</v>
      </c>
      <c r="L16912" t="s">
        <v>1357</v>
      </c>
    </row>
    <row r="16913" spans="6:13">
      <c r="H16913" t="s">
        <v>25214</v>
      </c>
      <c r="I16913" t="s">
        <v>1357</v>
      </c>
      <c r="J16913" t="s">
        <v>1357</v>
      </c>
      <c r="K16913" t="s">
        <v>1357</v>
      </c>
      <c r="L16913" t="s">
        <v>1357</v>
      </c>
    </row>
    <row r="16914" spans="6:13">
      <c r="H16914" t="s">
        <v>25219</v>
      </c>
      <c r="I16914" t="s">
        <v>1357</v>
      </c>
      <c r="J16914" t="s">
        <v>1357</v>
      </c>
      <c r="K16914" t="s">
        <v>1357</v>
      </c>
      <c r="L16914" t="s">
        <v>1357</v>
      </c>
      <c r="M16914" t="s">
        <v>9957</v>
      </c>
    </row>
    <row r="16915" spans="6:13">
      <c r="H16915" t="s">
        <v>25220</v>
      </c>
      <c r="I16915" t="s">
        <v>1357</v>
      </c>
      <c r="J16915" t="s">
        <v>1357</v>
      </c>
      <c r="K16915" t="s">
        <v>1357</v>
      </c>
      <c r="L16915" t="s">
        <v>1357</v>
      </c>
    </row>
    <row r="16916" spans="6:13">
      <c r="H16916" t="s">
        <v>25221</v>
      </c>
      <c r="I16916" t="s">
        <v>1357</v>
      </c>
      <c r="J16916" t="s">
        <v>1357</v>
      </c>
      <c r="K16916" t="s">
        <v>1357</v>
      </c>
      <c r="L16916" t="s">
        <v>1357</v>
      </c>
    </row>
    <row r="16917" spans="6:13">
      <c r="H16917" t="s">
        <v>25222</v>
      </c>
      <c r="I16917" t="s">
        <v>1357</v>
      </c>
      <c r="J16917" t="s">
        <v>1357</v>
      </c>
      <c r="K16917" t="s">
        <v>1357</v>
      </c>
      <c r="L16917" t="s">
        <v>1357</v>
      </c>
    </row>
    <row r="16918" spans="6:13">
      <c r="H16918" t="s">
        <v>25223</v>
      </c>
      <c r="I16918" t="s">
        <v>1357</v>
      </c>
      <c r="J16918" t="s">
        <v>1357</v>
      </c>
      <c r="K16918" t="s">
        <v>1357</v>
      </c>
      <c r="L16918" t="s">
        <v>1357</v>
      </c>
    </row>
    <row r="16919" spans="6:13">
      <c r="H16919" t="s">
        <v>25224</v>
      </c>
      <c r="I16919" t="s">
        <v>1357</v>
      </c>
      <c r="J16919" t="s">
        <v>1357</v>
      </c>
      <c r="K16919" t="s">
        <v>1357</v>
      </c>
      <c r="L16919" t="s">
        <v>1357</v>
      </c>
    </row>
    <row r="16920" spans="6:13">
      <c r="F16920" t="s">
        <v>16940</v>
      </c>
      <c r="G16920" t="s">
        <v>19551</v>
      </c>
      <c r="H16920" t="s">
        <v>25225</v>
      </c>
      <c r="I16920" t="s">
        <v>1357</v>
      </c>
      <c r="J16920" t="s">
        <v>1357</v>
      </c>
      <c r="K16920" t="s">
        <v>1357</v>
      </c>
      <c r="L16920" t="s">
        <v>1357</v>
      </c>
    </row>
    <row r="16921" spans="6:13">
      <c r="F16921" t="s">
        <v>14545</v>
      </c>
      <c r="G16921" t="s">
        <v>17390</v>
      </c>
      <c r="H16921" t="s">
        <v>25226</v>
      </c>
      <c r="I16921" t="s">
        <v>1357</v>
      </c>
      <c r="J16921" t="s">
        <v>1357</v>
      </c>
      <c r="K16921" t="s">
        <v>1357</v>
      </c>
      <c r="L16921" t="s">
        <v>1357</v>
      </c>
    </row>
    <row r="16922" spans="6:13">
      <c r="H16922" t="s">
        <v>25227</v>
      </c>
      <c r="I16922" t="s">
        <v>1357</v>
      </c>
      <c r="J16922" t="s">
        <v>1357</v>
      </c>
      <c r="K16922" t="s">
        <v>1357</v>
      </c>
      <c r="L16922" t="s">
        <v>1357</v>
      </c>
    </row>
    <row r="16923" spans="6:13">
      <c r="H16923" t="s">
        <v>25228</v>
      </c>
      <c r="I16923" t="s">
        <v>1357</v>
      </c>
      <c r="J16923" t="s">
        <v>1357</v>
      </c>
      <c r="K16923" t="s">
        <v>1357</v>
      </c>
      <c r="L16923" t="s">
        <v>1357</v>
      </c>
    </row>
    <row r="16924" spans="6:13">
      <c r="H16924" t="s">
        <v>25229</v>
      </c>
      <c r="I16924" t="s">
        <v>1357</v>
      </c>
      <c r="J16924" t="s">
        <v>1357</v>
      </c>
      <c r="K16924" t="s">
        <v>1357</v>
      </c>
      <c r="L16924" t="s">
        <v>1357</v>
      </c>
    </row>
    <row r="16925" spans="6:13">
      <c r="H16925" t="s">
        <v>25230</v>
      </c>
      <c r="I16925" t="s">
        <v>1357</v>
      </c>
      <c r="J16925" t="s">
        <v>1357</v>
      </c>
      <c r="K16925" t="s">
        <v>1357</v>
      </c>
      <c r="L16925" t="s">
        <v>1357</v>
      </c>
    </row>
    <row r="16926" spans="6:13">
      <c r="F16926" t="s">
        <v>16941</v>
      </c>
      <c r="G16926" t="s">
        <v>19552</v>
      </c>
      <c r="H16926" t="s">
        <v>23990</v>
      </c>
      <c r="I16926" t="s">
        <v>1357</v>
      </c>
      <c r="J16926" t="s">
        <v>1357</v>
      </c>
      <c r="K16926" t="s">
        <v>1357</v>
      </c>
      <c r="L16926" t="s">
        <v>1357</v>
      </c>
    </row>
    <row r="16927" spans="6:13">
      <c r="H16927" t="s">
        <v>25231</v>
      </c>
      <c r="I16927" t="s">
        <v>1357</v>
      </c>
      <c r="J16927" t="s">
        <v>1357</v>
      </c>
      <c r="K16927" t="s">
        <v>1357</v>
      </c>
      <c r="L16927" t="s">
        <v>1357</v>
      </c>
    </row>
    <row r="16928" spans="6:13">
      <c r="H16928" t="s">
        <v>25232</v>
      </c>
      <c r="I16928" t="s">
        <v>1357</v>
      </c>
      <c r="J16928" t="s">
        <v>1357</v>
      </c>
      <c r="K16928" t="s">
        <v>1357</v>
      </c>
      <c r="L16928" t="s">
        <v>1357</v>
      </c>
    </row>
    <row r="16929" spans="8:12">
      <c r="H16929" t="s">
        <v>812</v>
      </c>
      <c r="I16929" t="s">
        <v>1357</v>
      </c>
      <c r="J16929" t="s">
        <v>1357</v>
      </c>
      <c r="K16929" t="s">
        <v>1357</v>
      </c>
      <c r="L16929" t="s">
        <v>1357</v>
      </c>
    </row>
    <row r="16930" spans="8:12">
      <c r="H16930" t="s">
        <v>1850</v>
      </c>
      <c r="I16930" t="s">
        <v>1357</v>
      </c>
      <c r="J16930" t="s">
        <v>1357</v>
      </c>
      <c r="K16930" t="s">
        <v>1357</v>
      </c>
      <c r="L16930" t="s">
        <v>1357</v>
      </c>
    </row>
    <row r="16931" spans="8:12">
      <c r="H16931" t="s">
        <v>25233</v>
      </c>
      <c r="I16931" t="s">
        <v>1357</v>
      </c>
      <c r="J16931" t="s">
        <v>1357</v>
      </c>
      <c r="K16931" t="s">
        <v>1357</v>
      </c>
      <c r="L16931" t="s">
        <v>1357</v>
      </c>
    </row>
    <row r="16932" spans="8:12">
      <c r="H16932" t="s">
        <v>25234</v>
      </c>
      <c r="I16932" t="s">
        <v>1357</v>
      </c>
      <c r="J16932" t="s">
        <v>1357</v>
      </c>
      <c r="K16932" t="s">
        <v>1357</v>
      </c>
      <c r="L16932" t="s">
        <v>1357</v>
      </c>
    </row>
    <row r="16933" spans="8:12">
      <c r="H16933" t="s">
        <v>25235</v>
      </c>
      <c r="I16933" t="s">
        <v>1357</v>
      </c>
      <c r="J16933" t="s">
        <v>1357</v>
      </c>
      <c r="K16933" t="s">
        <v>1357</v>
      </c>
      <c r="L16933" t="s">
        <v>1357</v>
      </c>
    </row>
    <row r="16934" spans="8:12">
      <c r="H16934" t="s">
        <v>25236</v>
      </c>
      <c r="I16934" t="s">
        <v>1357</v>
      </c>
      <c r="J16934" t="s">
        <v>1357</v>
      </c>
      <c r="K16934" t="s">
        <v>1357</v>
      </c>
      <c r="L16934" t="s">
        <v>1357</v>
      </c>
    </row>
    <row r="16935" spans="8:12">
      <c r="H16935" t="s">
        <v>25237</v>
      </c>
      <c r="I16935" t="s">
        <v>1357</v>
      </c>
      <c r="J16935" t="s">
        <v>1357</v>
      </c>
      <c r="K16935" t="s">
        <v>1357</v>
      </c>
      <c r="L16935" t="s">
        <v>1357</v>
      </c>
    </row>
    <row r="16936" spans="8:12">
      <c r="H16936" t="s">
        <v>25238</v>
      </c>
      <c r="I16936" t="s">
        <v>1357</v>
      </c>
      <c r="J16936" t="s">
        <v>1357</v>
      </c>
      <c r="K16936" t="s">
        <v>1357</v>
      </c>
      <c r="L16936" t="s">
        <v>1357</v>
      </c>
    </row>
    <row r="16937" spans="8:12">
      <c r="H16937" t="s">
        <v>25239</v>
      </c>
      <c r="I16937" t="s">
        <v>1357</v>
      </c>
      <c r="J16937" t="s">
        <v>1357</v>
      </c>
      <c r="K16937" t="s">
        <v>1357</v>
      </c>
      <c r="L16937" t="s">
        <v>1357</v>
      </c>
    </row>
    <row r="16938" spans="8:12">
      <c r="H16938" t="s">
        <v>25240</v>
      </c>
      <c r="I16938" t="s">
        <v>1357</v>
      </c>
      <c r="J16938" t="s">
        <v>1357</v>
      </c>
      <c r="K16938" t="s">
        <v>1357</v>
      </c>
      <c r="L16938" t="s">
        <v>1357</v>
      </c>
    </row>
    <row r="16939" spans="8:12">
      <c r="H16939" t="s">
        <v>25241</v>
      </c>
      <c r="I16939" t="s">
        <v>1357</v>
      </c>
      <c r="J16939" t="s">
        <v>1357</v>
      </c>
      <c r="K16939" t="s">
        <v>1357</v>
      </c>
      <c r="L16939" t="s">
        <v>1357</v>
      </c>
    </row>
    <row r="16940" spans="8:12">
      <c r="H16940" t="s">
        <v>25242</v>
      </c>
      <c r="I16940" t="s">
        <v>1357</v>
      </c>
      <c r="J16940" t="s">
        <v>1357</v>
      </c>
      <c r="K16940" t="s">
        <v>1357</v>
      </c>
      <c r="L16940" t="s">
        <v>1357</v>
      </c>
    </row>
    <row r="16941" spans="8:12">
      <c r="H16941" t="s">
        <v>25243</v>
      </c>
      <c r="I16941" t="s">
        <v>1357</v>
      </c>
      <c r="J16941" t="s">
        <v>1357</v>
      </c>
      <c r="K16941" t="s">
        <v>1357</v>
      </c>
      <c r="L16941" t="s">
        <v>1357</v>
      </c>
    </row>
    <row r="16942" spans="8:12">
      <c r="H16942" t="s">
        <v>25244</v>
      </c>
      <c r="I16942" t="s">
        <v>1357</v>
      </c>
      <c r="J16942" t="s">
        <v>1357</v>
      </c>
      <c r="K16942" t="s">
        <v>1357</v>
      </c>
      <c r="L16942" t="s">
        <v>1357</v>
      </c>
    </row>
    <row r="16943" spans="8:12">
      <c r="H16943" t="s">
        <v>25245</v>
      </c>
      <c r="I16943" t="s">
        <v>1357</v>
      </c>
      <c r="J16943" t="s">
        <v>1357</v>
      </c>
      <c r="K16943" t="s">
        <v>1357</v>
      </c>
      <c r="L16943" t="s">
        <v>1357</v>
      </c>
    </row>
    <row r="16944" spans="8:12">
      <c r="H16944" t="s">
        <v>25246</v>
      </c>
      <c r="I16944" t="s">
        <v>1357</v>
      </c>
      <c r="J16944" t="s">
        <v>1357</v>
      </c>
      <c r="K16944" t="s">
        <v>1357</v>
      </c>
      <c r="L16944" t="s">
        <v>1357</v>
      </c>
    </row>
    <row r="16945" spans="6:12">
      <c r="H16945" t="s">
        <v>25247</v>
      </c>
      <c r="I16945" t="s">
        <v>1357</v>
      </c>
      <c r="J16945" t="s">
        <v>1357</v>
      </c>
      <c r="K16945" t="s">
        <v>1357</v>
      </c>
      <c r="L16945" t="s">
        <v>1357</v>
      </c>
    </row>
    <row r="16946" spans="6:12">
      <c r="H16946" t="s">
        <v>25248</v>
      </c>
      <c r="I16946" t="s">
        <v>1357</v>
      </c>
      <c r="J16946" t="s">
        <v>1357</v>
      </c>
      <c r="K16946" t="s">
        <v>1357</v>
      </c>
      <c r="L16946" t="s">
        <v>1357</v>
      </c>
    </row>
    <row r="16947" spans="6:12">
      <c r="H16947" t="s">
        <v>25249</v>
      </c>
      <c r="I16947" t="s">
        <v>1357</v>
      </c>
      <c r="J16947" t="s">
        <v>1357</v>
      </c>
      <c r="K16947" t="s">
        <v>1357</v>
      </c>
      <c r="L16947" t="s">
        <v>1357</v>
      </c>
    </row>
    <row r="16948" spans="6:12">
      <c r="H16948" t="s">
        <v>25250</v>
      </c>
      <c r="I16948" t="s">
        <v>1357</v>
      </c>
      <c r="J16948" t="s">
        <v>1357</v>
      </c>
      <c r="K16948" t="s">
        <v>1357</v>
      </c>
      <c r="L16948" t="s">
        <v>1357</v>
      </c>
    </row>
    <row r="16949" spans="6:12">
      <c r="H16949" t="s">
        <v>25251</v>
      </c>
      <c r="I16949" t="s">
        <v>1357</v>
      </c>
      <c r="J16949" t="s">
        <v>1357</v>
      </c>
      <c r="K16949" t="s">
        <v>1357</v>
      </c>
      <c r="L16949" t="s">
        <v>1357</v>
      </c>
    </row>
    <row r="16950" spans="6:12">
      <c r="H16950" t="s">
        <v>25252</v>
      </c>
      <c r="I16950" t="s">
        <v>1357</v>
      </c>
      <c r="J16950" t="s">
        <v>1357</v>
      </c>
      <c r="K16950" t="s">
        <v>1357</v>
      </c>
      <c r="L16950" t="s">
        <v>1357</v>
      </c>
    </row>
    <row r="16951" spans="6:12">
      <c r="H16951" t="s">
        <v>25253</v>
      </c>
      <c r="I16951" t="s">
        <v>1357</v>
      </c>
      <c r="J16951" t="s">
        <v>1357</v>
      </c>
      <c r="K16951" t="s">
        <v>1357</v>
      </c>
      <c r="L16951" t="s">
        <v>1357</v>
      </c>
    </row>
    <row r="16952" spans="6:12">
      <c r="H16952" t="s">
        <v>25254</v>
      </c>
      <c r="I16952" t="s">
        <v>1357</v>
      </c>
      <c r="J16952" t="s">
        <v>1357</v>
      </c>
      <c r="K16952" t="s">
        <v>1357</v>
      </c>
      <c r="L16952" t="s">
        <v>1357</v>
      </c>
    </row>
    <row r="16953" spans="6:12">
      <c r="H16953" t="s">
        <v>25255</v>
      </c>
      <c r="I16953" t="s">
        <v>1357</v>
      </c>
      <c r="J16953" t="s">
        <v>1357</v>
      </c>
      <c r="K16953" t="s">
        <v>1357</v>
      </c>
      <c r="L16953" t="s">
        <v>1357</v>
      </c>
    </row>
    <row r="16954" spans="6:12">
      <c r="H16954" t="s">
        <v>25256</v>
      </c>
      <c r="I16954" t="s">
        <v>1357</v>
      </c>
      <c r="J16954" t="s">
        <v>1357</v>
      </c>
      <c r="K16954" t="s">
        <v>1357</v>
      </c>
      <c r="L16954" t="s">
        <v>1357</v>
      </c>
    </row>
    <row r="16955" spans="6:12">
      <c r="H16955" t="s">
        <v>25257</v>
      </c>
      <c r="I16955" t="s">
        <v>1357</v>
      </c>
      <c r="J16955" t="s">
        <v>1357</v>
      </c>
      <c r="K16955" t="s">
        <v>1357</v>
      </c>
      <c r="L16955" t="s">
        <v>1357</v>
      </c>
    </row>
    <row r="16956" spans="6:12">
      <c r="F16956" t="s">
        <v>16942</v>
      </c>
      <c r="G16956" t="s">
        <v>19553</v>
      </c>
      <c r="H16956" t="s">
        <v>25258</v>
      </c>
      <c r="I16956" t="s">
        <v>1357</v>
      </c>
      <c r="J16956" t="s">
        <v>1357</v>
      </c>
      <c r="K16956" t="s">
        <v>1357</v>
      </c>
      <c r="L16956" t="s">
        <v>1357</v>
      </c>
    </row>
    <row r="16957" spans="6:12">
      <c r="F16957" t="s">
        <v>16943</v>
      </c>
      <c r="G16957" t="s">
        <v>19554</v>
      </c>
      <c r="H16957" t="s">
        <v>25259</v>
      </c>
      <c r="I16957" t="s">
        <v>1357</v>
      </c>
      <c r="J16957" t="s">
        <v>1357</v>
      </c>
      <c r="K16957" t="s">
        <v>1357</v>
      </c>
      <c r="L16957" t="s">
        <v>1357</v>
      </c>
    </row>
    <row r="16958" spans="6:12">
      <c r="H16958" t="s">
        <v>25260</v>
      </c>
      <c r="I16958" t="s">
        <v>1357</v>
      </c>
      <c r="J16958" t="s">
        <v>1357</v>
      </c>
      <c r="K16958" t="s">
        <v>1357</v>
      </c>
      <c r="L16958" t="s">
        <v>1357</v>
      </c>
    </row>
    <row r="16959" spans="6:12">
      <c r="H16959" t="s">
        <v>25261</v>
      </c>
      <c r="I16959" t="s">
        <v>1357</v>
      </c>
      <c r="J16959" t="s">
        <v>1357</v>
      </c>
      <c r="K16959" t="s">
        <v>1357</v>
      </c>
      <c r="L16959" t="s">
        <v>1357</v>
      </c>
    </row>
    <row r="16960" spans="6:12">
      <c r="F16960" t="s">
        <v>16944</v>
      </c>
      <c r="G16960" t="s">
        <v>19555</v>
      </c>
      <c r="H16960" t="s">
        <v>25262</v>
      </c>
      <c r="I16960" t="s">
        <v>1357</v>
      </c>
      <c r="J16960" t="s">
        <v>1357</v>
      </c>
      <c r="K16960" t="s">
        <v>1357</v>
      </c>
      <c r="L16960" t="s">
        <v>1357</v>
      </c>
    </row>
    <row r="16961" spans="6:12">
      <c r="F16961" t="s">
        <v>16945</v>
      </c>
      <c r="G16961" t="s">
        <v>19556</v>
      </c>
      <c r="H16961" t="s">
        <v>795</v>
      </c>
      <c r="I16961" t="s">
        <v>1357</v>
      </c>
      <c r="J16961" t="s">
        <v>1357</v>
      </c>
      <c r="K16961" t="s">
        <v>1357</v>
      </c>
      <c r="L16961" t="s">
        <v>1357</v>
      </c>
    </row>
    <row r="16962" spans="6:12">
      <c r="F16962" t="s">
        <v>16946</v>
      </c>
      <c r="G16962" t="s">
        <v>19557</v>
      </c>
      <c r="H16962" t="s">
        <v>23247</v>
      </c>
      <c r="I16962" t="s">
        <v>1357</v>
      </c>
      <c r="J16962" t="s">
        <v>1357</v>
      </c>
      <c r="K16962" t="s">
        <v>1357</v>
      </c>
      <c r="L16962" t="s">
        <v>1357</v>
      </c>
    </row>
    <row r="16963" spans="6:12">
      <c r="H16963" t="s">
        <v>25263</v>
      </c>
      <c r="I16963" t="s">
        <v>1357</v>
      </c>
      <c r="J16963" t="s">
        <v>1357</v>
      </c>
      <c r="K16963" t="s">
        <v>1357</v>
      </c>
      <c r="L16963" t="s">
        <v>1357</v>
      </c>
    </row>
    <row r="16964" spans="6:12">
      <c r="H16964" t="s">
        <v>25264</v>
      </c>
      <c r="I16964" t="s">
        <v>1357</v>
      </c>
      <c r="J16964" t="s">
        <v>1357</v>
      </c>
      <c r="K16964" t="s">
        <v>1357</v>
      </c>
      <c r="L16964" t="s">
        <v>1357</v>
      </c>
    </row>
    <row r="16965" spans="6:12">
      <c r="H16965" t="s">
        <v>25265</v>
      </c>
      <c r="I16965" t="s">
        <v>1357</v>
      </c>
      <c r="J16965" t="s">
        <v>1357</v>
      </c>
      <c r="K16965" t="s">
        <v>1357</v>
      </c>
      <c r="L16965" t="s">
        <v>1357</v>
      </c>
    </row>
    <row r="16966" spans="6:12">
      <c r="H16966" t="s">
        <v>25266</v>
      </c>
      <c r="I16966" t="s">
        <v>1357</v>
      </c>
      <c r="J16966" t="s">
        <v>1357</v>
      </c>
      <c r="K16966" t="s">
        <v>1357</v>
      </c>
      <c r="L16966" t="s">
        <v>1357</v>
      </c>
    </row>
    <row r="16967" spans="6:12">
      <c r="H16967" t="s">
        <v>25267</v>
      </c>
      <c r="I16967" t="s">
        <v>1357</v>
      </c>
      <c r="J16967" t="s">
        <v>1357</v>
      </c>
      <c r="K16967" t="s">
        <v>1357</v>
      </c>
      <c r="L16967" t="s">
        <v>1357</v>
      </c>
    </row>
    <row r="16968" spans="6:12">
      <c r="F16968" t="s">
        <v>16947</v>
      </c>
      <c r="G16968" t="s">
        <v>19558</v>
      </c>
      <c r="H16968" t="s">
        <v>25268</v>
      </c>
      <c r="I16968" t="s">
        <v>1357</v>
      </c>
      <c r="J16968" t="s">
        <v>1357</v>
      </c>
      <c r="K16968" t="s">
        <v>1357</v>
      </c>
      <c r="L16968" t="s">
        <v>1357</v>
      </c>
    </row>
    <row r="16969" spans="6:12">
      <c r="F16969" t="s">
        <v>16948</v>
      </c>
      <c r="G16969" t="s">
        <v>19559</v>
      </c>
      <c r="H16969" t="s">
        <v>4690</v>
      </c>
      <c r="I16969" t="s">
        <v>1357</v>
      </c>
      <c r="J16969" t="s">
        <v>1357</v>
      </c>
      <c r="K16969" t="s">
        <v>1357</v>
      </c>
      <c r="L16969" t="s">
        <v>1357</v>
      </c>
    </row>
    <row r="16970" spans="6:12">
      <c r="H16970" t="s">
        <v>25269</v>
      </c>
      <c r="I16970" t="s">
        <v>1357</v>
      </c>
      <c r="J16970" t="s">
        <v>1357</v>
      </c>
      <c r="K16970" t="s">
        <v>1357</v>
      </c>
      <c r="L16970" t="s">
        <v>1357</v>
      </c>
    </row>
    <row r="16971" spans="6:12">
      <c r="H16971" t="s">
        <v>25270</v>
      </c>
      <c r="I16971" t="s">
        <v>1357</v>
      </c>
      <c r="J16971" t="s">
        <v>1357</v>
      </c>
      <c r="K16971" t="s">
        <v>1357</v>
      </c>
      <c r="L16971" t="s">
        <v>1357</v>
      </c>
    </row>
    <row r="16972" spans="6:12">
      <c r="F16972" t="s">
        <v>16949</v>
      </c>
      <c r="G16972" t="s">
        <v>19560</v>
      </c>
      <c r="H16972" t="s">
        <v>25271</v>
      </c>
      <c r="I16972" t="s">
        <v>1357</v>
      </c>
      <c r="J16972" t="s">
        <v>1357</v>
      </c>
      <c r="K16972" t="s">
        <v>1357</v>
      </c>
      <c r="L16972" t="s">
        <v>1357</v>
      </c>
    </row>
    <row r="16973" spans="6:12">
      <c r="H16973" t="s">
        <v>25272</v>
      </c>
      <c r="I16973" t="s">
        <v>1357</v>
      </c>
      <c r="J16973" t="s">
        <v>1357</v>
      </c>
      <c r="K16973" t="s">
        <v>1357</v>
      </c>
      <c r="L16973" t="s">
        <v>1357</v>
      </c>
    </row>
    <row r="16974" spans="6:12">
      <c r="H16974" t="s">
        <v>3303</v>
      </c>
      <c r="I16974" t="s">
        <v>1357</v>
      </c>
      <c r="J16974" t="s">
        <v>1357</v>
      </c>
      <c r="K16974" t="s">
        <v>1357</v>
      </c>
      <c r="L16974" t="s">
        <v>1357</v>
      </c>
    </row>
    <row r="16975" spans="6:12">
      <c r="H16975" t="s">
        <v>1083</v>
      </c>
      <c r="I16975" t="s">
        <v>1357</v>
      </c>
      <c r="J16975" t="s">
        <v>1357</v>
      </c>
      <c r="K16975" t="s">
        <v>1357</v>
      </c>
      <c r="L16975" t="s">
        <v>1357</v>
      </c>
    </row>
    <row r="16976" spans="6:12">
      <c r="H16976" t="s">
        <v>1077</v>
      </c>
      <c r="I16976" t="s">
        <v>1357</v>
      </c>
      <c r="J16976" t="s">
        <v>1357</v>
      </c>
      <c r="K16976" t="s">
        <v>1357</v>
      </c>
      <c r="L16976" t="s">
        <v>1357</v>
      </c>
    </row>
    <row r="16977" spans="1:12">
      <c r="H16977" t="s">
        <v>25273</v>
      </c>
      <c r="I16977" t="s">
        <v>1357</v>
      </c>
      <c r="J16977" t="s">
        <v>1357</v>
      </c>
      <c r="K16977" t="s">
        <v>1357</v>
      </c>
      <c r="L16977" t="s">
        <v>1357</v>
      </c>
    </row>
    <row r="16978" spans="1:12">
      <c r="F16978" t="s">
        <v>16950</v>
      </c>
      <c r="G16978" t="s">
        <v>19561</v>
      </c>
      <c r="H16978" t="s">
        <v>25274</v>
      </c>
      <c r="I16978" t="s">
        <v>1357</v>
      </c>
      <c r="J16978" t="s">
        <v>1357</v>
      </c>
      <c r="K16978" t="s">
        <v>1357</v>
      </c>
      <c r="L16978" t="s">
        <v>1357</v>
      </c>
    </row>
    <row r="16979" spans="1:12">
      <c r="H16979" t="s">
        <v>25275</v>
      </c>
      <c r="I16979" t="s">
        <v>1357</v>
      </c>
      <c r="J16979" t="s">
        <v>1357</v>
      </c>
      <c r="K16979" t="s">
        <v>1357</v>
      </c>
      <c r="L16979" t="s">
        <v>1357</v>
      </c>
    </row>
    <row r="16980" spans="1:12">
      <c r="H16980" t="s">
        <v>25276</v>
      </c>
      <c r="I16980" t="s">
        <v>1357</v>
      </c>
      <c r="J16980" t="s">
        <v>1357</v>
      </c>
      <c r="K16980" t="s">
        <v>1357</v>
      </c>
      <c r="L16980" t="s">
        <v>1357</v>
      </c>
    </row>
    <row r="16981" spans="1:12">
      <c r="H16981" t="s">
        <v>25277</v>
      </c>
      <c r="I16981" t="s">
        <v>1357</v>
      </c>
      <c r="J16981" t="s">
        <v>1357</v>
      </c>
      <c r="K16981" t="s">
        <v>1357</v>
      </c>
      <c r="L16981" t="s">
        <v>1357</v>
      </c>
    </row>
    <row r="16982" spans="1:12">
      <c r="H16982" t="s">
        <v>25278</v>
      </c>
      <c r="I16982" t="s">
        <v>1357</v>
      </c>
      <c r="J16982" t="s">
        <v>1357</v>
      </c>
      <c r="K16982" t="s">
        <v>1357</v>
      </c>
      <c r="L16982" t="s">
        <v>1357</v>
      </c>
    </row>
    <row r="16983" spans="1:12">
      <c r="F16983" t="s">
        <v>16951</v>
      </c>
      <c r="G16983" t="s">
        <v>19562</v>
      </c>
      <c r="H16983" t="s">
        <v>25279</v>
      </c>
      <c r="I16983" t="s">
        <v>1357</v>
      </c>
      <c r="J16983" t="s">
        <v>1357</v>
      </c>
      <c r="K16983" t="s">
        <v>1357</v>
      </c>
      <c r="L16983" t="s">
        <v>1357</v>
      </c>
    </row>
    <row r="16984" spans="1:12">
      <c r="H16984" t="s">
        <v>25280</v>
      </c>
      <c r="I16984" t="s">
        <v>1357</v>
      </c>
      <c r="J16984" t="s">
        <v>1357</v>
      </c>
      <c r="K16984" t="s">
        <v>1357</v>
      </c>
      <c r="L16984" t="s">
        <v>1357</v>
      </c>
    </row>
    <row r="16985" spans="1:12">
      <c r="H16985" t="s">
        <v>25281</v>
      </c>
      <c r="I16985" t="s">
        <v>1357</v>
      </c>
      <c r="J16985" t="s">
        <v>1357</v>
      </c>
      <c r="K16985" t="s">
        <v>1357</v>
      </c>
      <c r="L16985" t="s">
        <v>1357</v>
      </c>
    </row>
    <row r="16986" spans="1:12">
      <c r="H16986" t="s">
        <v>25282</v>
      </c>
      <c r="I16986" t="s">
        <v>1357</v>
      </c>
      <c r="J16986" t="s">
        <v>1357</v>
      </c>
      <c r="K16986" t="s">
        <v>1357</v>
      </c>
      <c r="L16986" t="s">
        <v>1357</v>
      </c>
    </row>
    <row r="16987" spans="1:12">
      <c r="H16987" t="s">
        <v>25283</v>
      </c>
      <c r="I16987" t="s">
        <v>1357</v>
      </c>
      <c r="J16987" t="s">
        <v>1357</v>
      </c>
      <c r="K16987" t="s">
        <v>1357</v>
      </c>
      <c r="L16987" t="s">
        <v>1357</v>
      </c>
    </row>
    <row r="16988" spans="1:12">
      <c r="H16988" t="s">
        <v>25284</v>
      </c>
      <c r="I16988" t="s">
        <v>1357</v>
      </c>
      <c r="J16988" t="s">
        <v>1357</v>
      </c>
      <c r="K16988" t="s">
        <v>1357</v>
      </c>
      <c r="L16988" t="s">
        <v>1357</v>
      </c>
    </row>
    <row r="16989" spans="1:12">
      <c r="H16989" t="s">
        <v>25285</v>
      </c>
      <c r="I16989" t="s">
        <v>1357</v>
      </c>
      <c r="J16989" t="s">
        <v>1357</v>
      </c>
      <c r="K16989" t="s">
        <v>1357</v>
      </c>
      <c r="L16989" t="s">
        <v>1357</v>
      </c>
    </row>
    <row r="16990" spans="1:12">
      <c r="H16990" t="s">
        <v>25286</v>
      </c>
      <c r="I16990" t="s">
        <v>1357</v>
      </c>
      <c r="J16990" t="s">
        <v>1357</v>
      </c>
      <c r="K16990" t="s">
        <v>1357</v>
      </c>
      <c r="L16990" t="s">
        <v>1357</v>
      </c>
    </row>
    <row r="16991" spans="1:12">
      <c r="A16991" t="s">
        <v>11422</v>
      </c>
      <c r="B16991">
        <f>HYPERLINK("https://android.googlesource.com/platform/cts/+/0422ee2cb32c900b3911f40c67f9dedb3f780da6", "0422ee2cb32c900b3911f40c67f9dedb3f780da6")</f>
        <v>0</v>
      </c>
      <c r="C16991">
        <f>HYPERLINK("https://android.googlesource.com/platform/cts/+/c29ffa3e5caa87117802312775d947a642d8798c", "c29ffa3e5caa87117802312775d947a642d8798c")</f>
        <v>0</v>
      </c>
      <c r="D16991" t="s">
        <v>12394</v>
      </c>
      <c r="E16991" t="s">
        <v>13937</v>
      </c>
      <c r="F16991" t="s">
        <v>16914</v>
      </c>
      <c r="G16991" t="s">
        <v>19525</v>
      </c>
      <c r="H16991" t="s">
        <v>24968</v>
      </c>
      <c r="I16991" t="s">
        <v>1357</v>
      </c>
      <c r="J16991" t="s">
        <v>1357</v>
      </c>
      <c r="K16991" t="s">
        <v>1357</v>
      </c>
      <c r="L16991" t="s">
        <v>1357</v>
      </c>
    </row>
    <row r="16992" spans="1:12">
      <c r="H16992" t="s">
        <v>24969</v>
      </c>
      <c r="I16992" t="s">
        <v>1357</v>
      </c>
      <c r="J16992" t="s">
        <v>1357</v>
      </c>
      <c r="K16992" t="s">
        <v>1357</v>
      </c>
      <c r="L16992" t="s">
        <v>1357</v>
      </c>
    </row>
    <row r="16993" spans="6:13">
      <c r="H16993" t="s">
        <v>24970</v>
      </c>
      <c r="I16993" t="s">
        <v>1357</v>
      </c>
      <c r="J16993" t="s">
        <v>1357</v>
      </c>
      <c r="K16993" t="s">
        <v>1357</v>
      </c>
      <c r="L16993" t="s">
        <v>1357</v>
      </c>
    </row>
    <row r="16994" spans="6:13">
      <c r="H16994" t="s">
        <v>24971</v>
      </c>
      <c r="I16994" t="s">
        <v>1357</v>
      </c>
      <c r="J16994" t="s">
        <v>1357</v>
      </c>
      <c r="K16994" t="s">
        <v>1357</v>
      </c>
      <c r="L16994" t="s">
        <v>1357</v>
      </c>
      <c r="M16994" t="s">
        <v>9957</v>
      </c>
    </row>
    <row r="16995" spans="6:13">
      <c r="H16995" t="s">
        <v>24972</v>
      </c>
      <c r="I16995" t="s">
        <v>1357</v>
      </c>
      <c r="J16995" t="s">
        <v>1357</v>
      </c>
      <c r="K16995" t="s">
        <v>1357</v>
      </c>
      <c r="L16995" t="s">
        <v>1357</v>
      </c>
    </row>
    <row r="16996" spans="6:13">
      <c r="H16996" t="s">
        <v>24973</v>
      </c>
      <c r="I16996" t="s">
        <v>1357</v>
      </c>
      <c r="J16996" t="s">
        <v>1357</v>
      </c>
      <c r="K16996" t="s">
        <v>1357</v>
      </c>
      <c r="L16996" t="s">
        <v>1357</v>
      </c>
    </row>
    <row r="16997" spans="6:13">
      <c r="F16997" t="s">
        <v>16915</v>
      </c>
      <c r="G16997" t="s">
        <v>19526</v>
      </c>
      <c r="H16997" t="s">
        <v>24974</v>
      </c>
      <c r="I16997" t="s">
        <v>1357</v>
      </c>
      <c r="J16997" t="s">
        <v>1357</v>
      </c>
      <c r="K16997" t="s">
        <v>1357</v>
      </c>
      <c r="L16997" t="s">
        <v>1357</v>
      </c>
    </row>
    <row r="16998" spans="6:13">
      <c r="H16998" t="s">
        <v>24975</v>
      </c>
      <c r="I16998" t="s">
        <v>1357</v>
      </c>
      <c r="J16998" t="s">
        <v>1357</v>
      </c>
      <c r="K16998" t="s">
        <v>1357</v>
      </c>
      <c r="L16998" t="s">
        <v>1357</v>
      </c>
    </row>
    <row r="16999" spans="6:13">
      <c r="H16999" t="s">
        <v>24976</v>
      </c>
      <c r="I16999" t="s">
        <v>1357</v>
      </c>
      <c r="J16999" t="s">
        <v>1357</v>
      </c>
      <c r="K16999" t="s">
        <v>1357</v>
      </c>
      <c r="L16999" t="s">
        <v>1357</v>
      </c>
    </row>
    <row r="17000" spans="6:13">
      <c r="H17000" t="s">
        <v>24977</v>
      </c>
      <c r="I17000" t="s">
        <v>1357</v>
      </c>
      <c r="J17000" t="s">
        <v>1357</v>
      </c>
      <c r="K17000" t="s">
        <v>1357</v>
      </c>
      <c r="L17000" t="s">
        <v>1357</v>
      </c>
    </row>
    <row r="17001" spans="6:13">
      <c r="H17001" t="s">
        <v>24978</v>
      </c>
      <c r="I17001" t="s">
        <v>1357</v>
      </c>
      <c r="J17001" t="s">
        <v>1357</v>
      </c>
      <c r="K17001" t="s">
        <v>1357</v>
      </c>
      <c r="L17001" t="s">
        <v>1357</v>
      </c>
    </row>
    <row r="17002" spans="6:13">
      <c r="H17002" t="s">
        <v>24979</v>
      </c>
      <c r="I17002" t="s">
        <v>1357</v>
      </c>
      <c r="J17002" t="s">
        <v>1357</v>
      </c>
      <c r="K17002" t="s">
        <v>1357</v>
      </c>
      <c r="L17002" t="s">
        <v>1357</v>
      </c>
    </row>
    <row r="17003" spans="6:13">
      <c r="H17003" t="s">
        <v>24980</v>
      </c>
      <c r="I17003" t="s">
        <v>1357</v>
      </c>
      <c r="J17003" t="s">
        <v>1357</v>
      </c>
      <c r="K17003" t="s">
        <v>1357</v>
      </c>
      <c r="L17003" t="s">
        <v>1357</v>
      </c>
    </row>
    <row r="17004" spans="6:13">
      <c r="H17004" t="s">
        <v>24981</v>
      </c>
      <c r="I17004" t="s">
        <v>1357</v>
      </c>
      <c r="J17004" t="s">
        <v>1357</v>
      </c>
      <c r="K17004" t="s">
        <v>1357</v>
      </c>
      <c r="L17004" t="s">
        <v>1357</v>
      </c>
    </row>
    <row r="17005" spans="6:13">
      <c r="H17005" t="s">
        <v>24982</v>
      </c>
      <c r="I17005" t="s">
        <v>1357</v>
      </c>
      <c r="J17005" t="s">
        <v>1357</v>
      </c>
      <c r="K17005" t="s">
        <v>1357</v>
      </c>
      <c r="L17005" t="s">
        <v>1357</v>
      </c>
    </row>
    <row r="17006" spans="6:13">
      <c r="F17006" t="s">
        <v>16916</v>
      </c>
      <c r="G17006" t="s">
        <v>19527</v>
      </c>
      <c r="H17006" t="s">
        <v>24983</v>
      </c>
      <c r="I17006" t="s">
        <v>1357</v>
      </c>
      <c r="J17006" t="s">
        <v>1357</v>
      </c>
      <c r="K17006" t="s">
        <v>1357</v>
      </c>
      <c r="L17006" t="s">
        <v>1357</v>
      </c>
    </row>
    <row r="17007" spans="6:13">
      <c r="H17007" t="s">
        <v>24984</v>
      </c>
      <c r="I17007" t="s">
        <v>1357</v>
      </c>
      <c r="J17007" t="s">
        <v>1357</v>
      </c>
      <c r="K17007" t="s">
        <v>1357</v>
      </c>
      <c r="L17007" t="s">
        <v>1357</v>
      </c>
    </row>
    <row r="17008" spans="6:13">
      <c r="F17008" t="s">
        <v>16917</v>
      </c>
      <c r="G17008" t="s">
        <v>19528</v>
      </c>
      <c r="H17008" t="s">
        <v>8862</v>
      </c>
      <c r="I17008" t="s">
        <v>1357</v>
      </c>
      <c r="J17008" t="s">
        <v>1357</v>
      </c>
      <c r="K17008" t="s">
        <v>1357</v>
      </c>
      <c r="L17008" t="s">
        <v>1357</v>
      </c>
    </row>
    <row r="17009" spans="6:12">
      <c r="H17009" t="s">
        <v>24985</v>
      </c>
      <c r="I17009" t="s">
        <v>1357</v>
      </c>
      <c r="J17009" t="s">
        <v>1357</v>
      </c>
      <c r="K17009" t="s">
        <v>1357</v>
      </c>
      <c r="L17009" t="s">
        <v>1357</v>
      </c>
    </row>
    <row r="17010" spans="6:12">
      <c r="H17010" t="s">
        <v>24986</v>
      </c>
      <c r="I17010" t="s">
        <v>1357</v>
      </c>
      <c r="J17010" t="s">
        <v>1357</v>
      </c>
      <c r="K17010" t="s">
        <v>1357</v>
      </c>
      <c r="L17010" t="s">
        <v>1357</v>
      </c>
    </row>
    <row r="17011" spans="6:12">
      <c r="H17011" t="s">
        <v>24987</v>
      </c>
      <c r="I17011" t="s">
        <v>1357</v>
      </c>
      <c r="J17011" t="s">
        <v>1357</v>
      </c>
      <c r="K17011" t="s">
        <v>1357</v>
      </c>
      <c r="L17011" t="s">
        <v>1357</v>
      </c>
    </row>
    <row r="17012" spans="6:12">
      <c r="H17012" t="s">
        <v>24988</v>
      </c>
      <c r="I17012" t="s">
        <v>1357</v>
      </c>
      <c r="J17012" t="s">
        <v>1357</v>
      </c>
      <c r="K17012" t="s">
        <v>1357</v>
      </c>
      <c r="L17012" t="s">
        <v>1357</v>
      </c>
    </row>
    <row r="17013" spans="6:12">
      <c r="H17013" t="s">
        <v>24989</v>
      </c>
      <c r="I17013" t="s">
        <v>1357</v>
      </c>
      <c r="J17013" t="s">
        <v>1357</v>
      </c>
      <c r="K17013" t="s">
        <v>1357</v>
      </c>
      <c r="L17013" t="s">
        <v>1357</v>
      </c>
    </row>
    <row r="17014" spans="6:12">
      <c r="H17014" t="s">
        <v>24990</v>
      </c>
      <c r="I17014" t="s">
        <v>1357</v>
      </c>
      <c r="J17014" t="s">
        <v>1357</v>
      </c>
      <c r="K17014" t="s">
        <v>1357</v>
      </c>
      <c r="L17014" t="s">
        <v>1357</v>
      </c>
    </row>
    <row r="17015" spans="6:12">
      <c r="H17015" t="s">
        <v>24991</v>
      </c>
      <c r="I17015" t="s">
        <v>1357</v>
      </c>
      <c r="J17015" t="s">
        <v>1357</v>
      </c>
      <c r="K17015" t="s">
        <v>1357</v>
      </c>
      <c r="L17015" t="s">
        <v>1357</v>
      </c>
    </row>
    <row r="17016" spans="6:12">
      <c r="H17016" t="s">
        <v>24992</v>
      </c>
      <c r="I17016" t="s">
        <v>1357</v>
      </c>
      <c r="J17016" t="s">
        <v>1357</v>
      </c>
      <c r="K17016" t="s">
        <v>1357</v>
      </c>
      <c r="L17016" t="s">
        <v>1357</v>
      </c>
    </row>
    <row r="17017" spans="6:12">
      <c r="H17017" t="s">
        <v>24993</v>
      </c>
      <c r="I17017" t="s">
        <v>1357</v>
      </c>
      <c r="J17017" t="s">
        <v>1357</v>
      </c>
      <c r="K17017" t="s">
        <v>1357</v>
      </c>
      <c r="L17017" t="s">
        <v>1357</v>
      </c>
    </row>
    <row r="17018" spans="6:12">
      <c r="H17018" t="s">
        <v>24994</v>
      </c>
      <c r="I17018" t="s">
        <v>1357</v>
      </c>
      <c r="J17018" t="s">
        <v>1357</v>
      </c>
      <c r="K17018" t="s">
        <v>1357</v>
      </c>
      <c r="L17018" t="s">
        <v>1357</v>
      </c>
    </row>
    <row r="17019" spans="6:12">
      <c r="H17019" t="s">
        <v>24995</v>
      </c>
      <c r="I17019" t="s">
        <v>1357</v>
      </c>
      <c r="J17019" t="s">
        <v>1357</v>
      </c>
      <c r="K17019" t="s">
        <v>1357</v>
      </c>
      <c r="L17019" t="s">
        <v>1357</v>
      </c>
    </row>
    <row r="17020" spans="6:12">
      <c r="H17020" t="s">
        <v>24996</v>
      </c>
      <c r="I17020" t="s">
        <v>1357</v>
      </c>
      <c r="J17020" t="s">
        <v>1357</v>
      </c>
      <c r="K17020" t="s">
        <v>1357</v>
      </c>
      <c r="L17020" t="s">
        <v>1357</v>
      </c>
    </row>
    <row r="17021" spans="6:12">
      <c r="H17021" t="s">
        <v>24997</v>
      </c>
      <c r="I17021" t="s">
        <v>1357</v>
      </c>
      <c r="J17021" t="s">
        <v>1357</v>
      </c>
      <c r="K17021" t="s">
        <v>1357</v>
      </c>
      <c r="L17021" t="s">
        <v>1357</v>
      </c>
    </row>
    <row r="17022" spans="6:12">
      <c r="H17022" t="s">
        <v>24998</v>
      </c>
      <c r="I17022" t="s">
        <v>1357</v>
      </c>
      <c r="J17022" t="s">
        <v>1357</v>
      </c>
      <c r="K17022" t="s">
        <v>1357</v>
      </c>
      <c r="L17022" t="s">
        <v>1357</v>
      </c>
    </row>
    <row r="17023" spans="6:12">
      <c r="F17023" t="s">
        <v>16918</v>
      </c>
      <c r="G17023" t="s">
        <v>19529</v>
      </c>
      <c r="H17023" t="s">
        <v>24999</v>
      </c>
      <c r="I17023" t="s">
        <v>1357</v>
      </c>
      <c r="J17023" t="s">
        <v>1357</v>
      </c>
      <c r="K17023" t="s">
        <v>1357</v>
      </c>
      <c r="L17023" t="s">
        <v>1357</v>
      </c>
    </row>
    <row r="17024" spans="6:12">
      <c r="H17024" t="s">
        <v>25000</v>
      </c>
      <c r="I17024" t="s">
        <v>1357</v>
      </c>
      <c r="J17024" t="s">
        <v>1357</v>
      </c>
      <c r="K17024" t="s">
        <v>1357</v>
      </c>
      <c r="L17024" t="s">
        <v>1357</v>
      </c>
    </row>
    <row r="17025" spans="6:12">
      <c r="H17025" t="s">
        <v>25001</v>
      </c>
      <c r="I17025" t="s">
        <v>1357</v>
      </c>
      <c r="J17025" t="s">
        <v>1357</v>
      </c>
      <c r="K17025" t="s">
        <v>1357</v>
      </c>
      <c r="L17025" t="s">
        <v>1357</v>
      </c>
    </row>
    <row r="17026" spans="6:12">
      <c r="H17026" t="s">
        <v>25002</v>
      </c>
      <c r="I17026" t="s">
        <v>1357</v>
      </c>
      <c r="J17026" t="s">
        <v>1357</v>
      </c>
      <c r="K17026" t="s">
        <v>1357</v>
      </c>
      <c r="L17026" t="s">
        <v>1357</v>
      </c>
    </row>
    <row r="17027" spans="6:12">
      <c r="F17027" t="s">
        <v>16919</v>
      </c>
      <c r="G17027" t="s">
        <v>19530</v>
      </c>
      <c r="H17027" t="s">
        <v>25003</v>
      </c>
      <c r="I17027" t="s">
        <v>1357</v>
      </c>
      <c r="J17027" t="s">
        <v>1357</v>
      </c>
      <c r="K17027" t="s">
        <v>1357</v>
      </c>
      <c r="L17027" t="s">
        <v>1357</v>
      </c>
    </row>
    <row r="17028" spans="6:12">
      <c r="H17028" t="s">
        <v>25004</v>
      </c>
      <c r="I17028" t="s">
        <v>1357</v>
      </c>
      <c r="J17028" t="s">
        <v>1357</v>
      </c>
      <c r="K17028" t="s">
        <v>1357</v>
      </c>
      <c r="L17028" t="s">
        <v>1357</v>
      </c>
    </row>
    <row r="17029" spans="6:12">
      <c r="H17029" t="s">
        <v>25005</v>
      </c>
      <c r="I17029" t="s">
        <v>1357</v>
      </c>
      <c r="J17029" t="s">
        <v>1357</v>
      </c>
      <c r="K17029" t="s">
        <v>1357</v>
      </c>
      <c r="L17029" t="s">
        <v>1357</v>
      </c>
    </row>
    <row r="17030" spans="6:12">
      <c r="F17030" t="s">
        <v>16920</v>
      </c>
      <c r="G17030" t="s">
        <v>19531</v>
      </c>
      <c r="H17030" t="s">
        <v>25006</v>
      </c>
      <c r="I17030" t="s">
        <v>1357</v>
      </c>
      <c r="J17030" t="s">
        <v>1357</v>
      </c>
      <c r="K17030" t="s">
        <v>1357</v>
      </c>
      <c r="L17030" t="s">
        <v>1357</v>
      </c>
    </row>
    <row r="17031" spans="6:12">
      <c r="F17031" t="s">
        <v>16921</v>
      </c>
      <c r="G17031" t="s">
        <v>19532</v>
      </c>
      <c r="H17031" t="s">
        <v>25007</v>
      </c>
      <c r="I17031" t="s">
        <v>1357</v>
      </c>
      <c r="J17031" t="s">
        <v>1357</v>
      </c>
      <c r="K17031" t="s">
        <v>1357</v>
      </c>
      <c r="L17031" t="s">
        <v>1357</v>
      </c>
    </row>
    <row r="17032" spans="6:12">
      <c r="H17032" t="s">
        <v>25008</v>
      </c>
      <c r="I17032" t="s">
        <v>1357</v>
      </c>
      <c r="J17032" t="s">
        <v>1357</v>
      </c>
      <c r="K17032" t="s">
        <v>1357</v>
      </c>
      <c r="L17032" t="s">
        <v>1357</v>
      </c>
    </row>
    <row r="17033" spans="6:12">
      <c r="H17033" t="s">
        <v>25009</v>
      </c>
      <c r="I17033" t="s">
        <v>1357</v>
      </c>
      <c r="J17033" t="s">
        <v>1357</v>
      </c>
      <c r="K17033" t="s">
        <v>1357</v>
      </c>
      <c r="L17033" t="s">
        <v>1357</v>
      </c>
    </row>
    <row r="17034" spans="6:12">
      <c r="H17034" t="s">
        <v>25010</v>
      </c>
      <c r="I17034" t="s">
        <v>1357</v>
      </c>
      <c r="J17034" t="s">
        <v>1357</v>
      </c>
      <c r="K17034" t="s">
        <v>1357</v>
      </c>
      <c r="L17034" t="s">
        <v>1357</v>
      </c>
    </row>
    <row r="17035" spans="6:12">
      <c r="H17035" t="s">
        <v>25011</v>
      </c>
      <c r="I17035" t="s">
        <v>1357</v>
      </c>
      <c r="J17035" t="s">
        <v>1357</v>
      </c>
      <c r="K17035" t="s">
        <v>1357</v>
      </c>
      <c r="L17035" t="s">
        <v>1357</v>
      </c>
    </row>
    <row r="17036" spans="6:12">
      <c r="H17036" t="s">
        <v>25012</v>
      </c>
      <c r="I17036" t="s">
        <v>1357</v>
      </c>
      <c r="J17036" t="s">
        <v>1357</v>
      </c>
      <c r="K17036" t="s">
        <v>1357</v>
      </c>
      <c r="L17036" t="s">
        <v>1357</v>
      </c>
    </row>
    <row r="17037" spans="6:12">
      <c r="H17037" t="s">
        <v>25013</v>
      </c>
      <c r="I17037" t="s">
        <v>1357</v>
      </c>
      <c r="J17037" t="s">
        <v>1357</v>
      </c>
      <c r="K17037" t="s">
        <v>1357</v>
      </c>
      <c r="L17037" t="s">
        <v>1357</v>
      </c>
    </row>
    <row r="17038" spans="6:12">
      <c r="H17038" t="s">
        <v>25014</v>
      </c>
      <c r="I17038" t="s">
        <v>1357</v>
      </c>
      <c r="J17038" t="s">
        <v>1357</v>
      </c>
      <c r="K17038" t="s">
        <v>1357</v>
      </c>
      <c r="L17038" t="s">
        <v>1357</v>
      </c>
    </row>
    <row r="17039" spans="6:12">
      <c r="H17039" t="s">
        <v>25015</v>
      </c>
      <c r="I17039" t="s">
        <v>1357</v>
      </c>
      <c r="J17039" t="s">
        <v>1357</v>
      </c>
      <c r="K17039" t="s">
        <v>1357</v>
      </c>
      <c r="L17039" t="s">
        <v>1357</v>
      </c>
    </row>
    <row r="17040" spans="6:12">
      <c r="H17040" t="s">
        <v>25016</v>
      </c>
      <c r="I17040" t="s">
        <v>1357</v>
      </c>
      <c r="J17040" t="s">
        <v>1357</v>
      </c>
      <c r="K17040" t="s">
        <v>1357</v>
      </c>
      <c r="L17040" t="s">
        <v>1357</v>
      </c>
    </row>
    <row r="17041" spans="6:12">
      <c r="H17041" t="s">
        <v>25017</v>
      </c>
      <c r="I17041" t="s">
        <v>1357</v>
      </c>
      <c r="J17041" t="s">
        <v>1357</v>
      </c>
      <c r="K17041" t="s">
        <v>1357</v>
      </c>
      <c r="L17041" t="s">
        <v>1357</v>
      </c>
    </row>
    <row r="17042" spans="6:12">
      <c r="F17042" t="s">
        <v>14522</v>
      </c>
      <c r="G17042" t="s">
        <v>17367</v>
      </c>
      <c r="H17042" t="s">
        <v>25018</v>
      </c>
      <c r="I17042" t="s">
        <v>1357</v>
      </c>
      <c r="J17042" t="s">
        <v>1357</v>
      </c>
      <c r="K17042" t="s">
        <v>1357</v>
      </c>
      <c r="L17042" t="s">
        <v>1357</v>
      </c>
    </row>
    <row r="17043" spans="6:12">
      <c r="H17043" t="s">
        <v>21226</v>
      </c>
      <c r="I17043" t="s">
        <v>1357</v>
      </c>
      <c r="J17043" t="s">
        <v>1357</v>
      </c>
      <c r="K17043" t="s">
        <v>1357</v>
      </c>
      <c r="L17043" t="s">
        <v>1357</v>
      </c>
    </row>
    <row r="17044" spans="6:12">
      <c r="H17044" t="s">
        <v>25019</v>
      </c>
      <c r="I17044" t="s">
        <v>1357</v>
      </c>
      <c r="J17044" t="s">
        <v>1357</v>
      </c>
      <c r="K17044" t="s">
        <v>1357</v>
      </c>
      <c r="L17044" t="s">
        <v>1357</v>
      </c>
    </row>
    <row r="17045" spans="6:12">
      <c r="H17045" t="s">
        <v>25020</v>
      </c>
      <c r="I17045" t="s">
        <v>1357</v>
      </c>
      <c r="J17045" t="s">
        <v>1357</v>
      </c>
      <c r="K17045" t="s">
        <v>1357</v>
      </c>
      <c r="L17045" t="s">
        <v>1357</v>
      </c>
    </row>
    <row r="17046" spans="6:12">
      <c r="H17046" t="s">
        <v>25021</v>
      </c>
      <c r="I17046" t="s">
        <v>1357</v>
      </c>
      <c r="J17046" t="s">
        <v>1357</v>
      </c>
      <c r="K17046" t="s">
        <v>1357</v>
      </c>
      <c r="L17046" t="s">
        <v>1357</v>
      </c>
    </row>
    <row r="17047" spans="6:12">
      <c r="H17047" t="s">
        <v>25022</v>
      </c>
      <c r="I17047" t="s">
        <v>1357</v>
      </c>
      <c r="J17047" t="s">
        <v>1357</v>
      </c>
      <c r="K17047" t="s">
        <v>1357</v>
      </c>
      <c r="L17047" t="s">
        <v>1357</v>
      </c>
    </row>
    <row r="17048" spans="6:12">
      <c r="H17048" t="s">
        <v>25023</v>
      </c>
      <c r="I17048" t="s">
        <v>1357</v>
      </c>
      <c r="J17048" t="s">
        <v>1357</v>
      </c>
      <c r="K17048" t="s">
        <v>1357</v>
      </c>
      <c r="L17048" t="s">
        <v>1357</v>
      </c>
    </row>
    <row r="17049" spans="6:12">
      <c r="H17049" t="s">
        <v>25024</v>
      </c>
      <c r="I17049" t="s">
        <v>1357</v>
      </c>
      <c r="J17049" t="s">
        <v>1357</v>
      </c>
      <c r="K17049" t="s">
        <v>1357</v>
      </c>
      <c r="L17049" t="s">
        <v>1357</v>
      </c>
    </row>
    <row r="17050" spans="6:12">
      <c r="H17050" t="s">
        <v>25025</v>
      </c>
      <c r="I17050" t="s">
        <v>1357</v>
      </c>
      <c r="J17050" t="s">
        <v>1357</v>
      </c>
      <c r="K17050" t="s">
        <v>1357</v>
      </c>
      <c r="L17050" t="s">
        <v>1357</v>
      </c>
    </row>
    <row r="17051" spans="6:12">
      <c r="H17051" t="s">
        <v>21921</v>
      </c>
      <c r="I17051" t="s">
        <v>1357</v>
      </c>
      <c r="J17051" t="s">
        <v>1357</v>
      </c>
      <c r="K17051" t="s">
        <v>1357</v>
      </c>
      <c r="L17051" t="s">
        <v>1357</v>
      </c>
    </row>
    <row r="17052" spans="6:12">
      <c r="H17052" t="s">
        <v>5894</v>
      </c>
      <c r="I17052" t="s">
        <v>1357</v>
      </c>
      <c r="J17052" t="s">
        <v>1357</v>
      </c>
      <c r="K17052" t="s">
        <v>1357</v>
      </c>
      <c r="L17052" t="s">
        <v>1357</v>
      </c>
    </row>
    <row r="17053" spans="6:12">
      <c r="H17053" t="s">
        <v>25026</v>
      </c>
      <c r="I17053" t="s">
        <v>1357</v>
      </c>
      <c r="J17053" t="s">
        <v>1357</v>
      </c>
      <c r="K17053" t="s">
        <v>1357</v>
      </c>
      <c r="L17053" t="s">
        <v>1357</v>
      </c>
    </row>
    <row r="17054" spans="6:12">
      <c r="H17054" t="s">
        <v>25027</v>
      </c>
      <c r="I17054" t="s">
        <v>1357</v>
      </c>
      <c r="J17054" t="s">
        <v>1357</v>
      </c>
      <c r="K17054" t="s">
        <v>1357</v>
      </c>
      <c r="L17054" t="s">
        <v>1357</v>
      </c>
    </row>
    <row r="17055" spans="6:12">
      <c r="H17055" t="s">
        <v>25028</v>
      </c>
      <c r="I17055" t="s">
        <v>1357</v>
      </c>
      <c r="J17055" t="s">
        <v>1357</v>
      </c>
      <c r="K17055" t="s">
        <v>1357</v>
      </c>
      <c r="L17055" t="s">
        <v>1357</v>
      </c>
    </row>
    <row r="17056" spans="6:12">
      <c r="H17056" t="s">
        <v>25029</v>
      </c>
      <c r="I17056" t="s">
        <v>1357</v>
      </c>
      <c r="J17056" t="s">
        <v>1357</v>
      </c>
      <c r="K17056" t="s">
        <v>1357</v>
      </c>
      <c r="L17056" t="s">
        <v>1357</v>
      </c>
    </row>
    <row r="17057" spans="6:12">
      <c r="H17057" t="s">
        <v>25030</v>
      </c>
      <c r="I17057" t="s">
        <v>1357</v>
      </c>
      <c r="J17057" t="s">
        <v>1357</v>
      </c>
      <c r="K17057" t="s">
        <v>1357</v>
      </c>
      <c r="L17057" t="s">
        <v>1357</v>
      </c>
    </row>
    <row r="17058" spans="6:12">
      <c r="H17058" t="s">
        <v>25031</v>
      </c>
      <c r="I17058" t="s">
        <v>1357</v>
      </c>
      <c r="J17058" t="s">
        <v>1357</v>
      </c>
      <c r="K17058" t="s">
        <v>1357</v>
      </c>
      <c r="L17058" t="s">
        <v>1357</v>
      </c>
    </row>
    <row r="17059" spans="6:12">
      <c r="H17059" t="s">
        <v>25032</v>
      </c>
      <c r="I17059" t="s">
        <v>1357</v>
      </c>
      <c r="J17059" t="s">
        <v>1357</v>
      </c>
      <c r="K17059" t="s">
        <v>1357</v>
      </c>
      <c r="L17059" t="s">
        <v>1357</v>
      </c>
    </row>
    <row r="17060" spans="6:12">
      <c r="H17060" t="s">
        <v>25033</v>
      </c>
      <c r="I17060" t="s">
        <v>1357</v>
      </c>
      <c r="J17060" t="s">
        <v>1357</v>
      </c>
      <c r="K17060" t="s">
        <v>1357</v>
      </c>
      <c r="L17060" t="s">
        <v>1357</v>
      </c>
    </row>
    <row r="17061" spans="6:12">
      <c r="H17061" t="s">
        <v>25034</v>
      </c>
      <c r="I17061" t="s">
        <v>1357</v>
      </c>
      <c r="J17061" t="s">
        <v>1357</v>
      </c>
      <c r="K17061" t="s">
        <v>1357</v>
      </c>
      <c r="L17061" t="s">
        <v>1357</v>
      </c>
    </row>
    <row r="17062" spans="6:12">
      <c r="H17062" t="s">
        <v>25035</v>
      </c>
      <c r="I17062" t="s">
        <v>1357</v>
      </c>
      <c r="J17062" t="s">
        <v>1357</v>
      </c>
      <c r="K17062" t="s">
        <v>1357</v>
      </c>
      <c r="L17062" t="s">
        <v>1357</v>
      </c>
    </row>
    <row r="17063" spans="6:12">
      <c r="H17063" t="s">
        <v>25036</v>
      </c>
      <c r="I17063" t="s">
        <v>1357</v>
      </c>
      <c r="J17063" t="s">
        <v>1357</v>
      </c>
      <c r="K17063" t="s">
        <v>1357</v>
      </c>
      <c r="L17063" t="s">
        <v>1357</v>
      </c>
    </row>
    <row r="17064" spans="6:12">
      <c r="H17064" t="s">
        <v>25037</v>
      </c>
      <c r="I17064" t="s">
        <v>1357</v>
      </c>
      <c r="J17064" t="s">
        <v>1357</v>
      </c>
      <c r="K17064" t="s">
        <v>1357</v>
      </c>
      <c r="L17064" t="s">
        <v>1357</v>
      </c>
    </row>
    <row r="17065" spans="6:12">
      <c r="H17065" t="s">
        <v>25038</v>
      </c>
      <c r="I17065" t="s">
        <v>1357</v>
      </c>
      <c r="J17065" t="s">
        <v>1357</v>
      </c>
      <c r="K17065" t="s">
        <v>1357</v>
      </c>
      <c r="L17065" t="s">
        <v>1357</v>
      </c>
    </row>
    <row r="17066" spans="6:12">
      <c r="H17066" t="s">
        <v>25039</v>
      </c>
      <c r="I17066" t="s">
        <v>1357</v>
      </c>
      <c r="J17066" t="s">
        <v>1357</v>
      </c>
      <c r="K17066" t="s">
        <v>1357</v>
      </c>
      <c r="L17066" t="s">
        <v>1357</v>
      </c>
    </row>
    <row r="17067" spans="6:12">
      <c r="H17067" t="s">
        <v>25040</v>
      </c>
      <c r="I17067" t="s">
        <v>1357</v>
      </c>
      <c r="J17067" t="s">
        <v>1357</v>
      </c>
      <c r="K17067" t="s">
        <v>1357</v>
      </c>
      <c r="L17067" t="s">
        <v>1357</v>
      </c>
    </row>
    <row r="17068" spans="6:12">
      <c r="F17068" t="s">
        <v>16922</v>
      </c>
      <c r="G17068" t="s">
        <v>19533</v>
      </c>
      <c r="H17068" t="s">
        <v>25041</v>
      </c>
      <c r="I17068" t="s">
        <v>1357</v>
      </c>
      <c r="J17068" t="s">
        <v>1357</v>
      </c>
      <c r="K17068" t="s">
        <v>1357</v>
      </c>
      <c r="L17068" t="s">
        <v>1357</v>
      </c>
    </row>
    <row r="17069" spans="6:12">
      <c r="F17069" t="s">
        <v>16665</v>
      </c>
      <c r="G17069" t="s">
        <v>19299</v>
      </c>
      <c r="H17069" t="s">
        <v>25042</v>
      </c>
      <c r="I17069" t="s">
        <v>1357</v>
      </c>
      <c r="J17069" t="s">
        <v>1357</v>
      </c>
      <c r="K17069" t="s">
        <v>1357</v>
      </c>
      <c r="L17069" t="s">
        <v>1357</v>
      </c>
    </row>
    <row r="17070" spans="6:12">
      <c r="H17070" t="s">
        <v>25043</v>
      </c>
      <c r="I17070" t="s">
        <v>1357</v>
      </c>
      <c r="J17070" t="s">
        <v>1357</v>
      </c>
      <c r="K17070" t="s">
        <v>1357</v>
      </c>
      <c r="L17070" t="s">
        <v>1357</v>
      </c>
    </row>
    <row r="17071" spans="6:12">
      <c r="H17071" t="s">
        <v>25044</v>
      </c>
      <c r="I17071" t="s">
        <v>1357</v>
      </c>
      <c r="J17071" t="s">
        <v>1357</v>
      </c>
      <c r="K17071" t="s">
        <v>1357</v>
      </c>
      <c r="L17071" t="s">
        <v>1357</v>
      </c>
    </row>
    <row r="17072" spans="6:12">
      <c r="H17072" t="s">
        <v>25045</v>
      </c>
      <c r="I17072" t="s">
        <v>1357</v>
      </c>
      <c r="J17072" t="s">
        <v>1357</v>
      </c>
      <c r="K17072" t="s">
        <v>1357</v>
      </c>
      <c r="L17072" t="s">
        <v>1357</v>
      </c>
    </row>
    <row r="17073" spans="8:12">
      <c r="H17073" t="s">
        <v>25046</v>
      </c>
      <c r="I17073" t="s">
        <v>1357</v>
      </c>
      <c r="J17073" t="s">
        <v>1357</v>
      </c>
      <c r="K17073" t="s">
        <v>1357</v>
      </c>
      <c r="L17073" t="s">
        <v>1357</v>
      </c>
    </row>
    <row r="17074" spans="8:12">
      <c r="H17074" t="s">
        <v>25047</v>
      </c>
      <c r="I17074" t="s">
        <v>1357</v>
      </c>
      <c r="J17074" t="s">
        <v>1357</v>
      </c>
      <c r="K17074" t="s">
        <v>1357</v>
      </c>
      <c r="L17074" t="s">
        <v>1357</v>
      </c>
    </row>
    <row r="17075" spans="8:12">
      <c r="H17075" t="s">
        <v>25048</v>
      </c>
      <c r="I17075" t="s">
        <v>1357</v>
      </c>
      <c r="J17075" t="s">
        <v>1357</v>
      </c>
      <c r="K17075" t="s">
        <v>1357</v>
      </c>
      <c r="L17075" t="s">
        <v>1357</v>
      </c>
    </row>
    <row r="17076" spans="8:12">
      <c r="H17076" t="s">
        <v>25049</v>
      </c>
      <c r="I17076" t="s">
        <v>1357</v>
      </c>
      <c r="J17076" t="s">
        <v>1357</v>
      </c>
      <c r="K17076" t="s">
        <v>1357</v>
      </c>
      <c r="L17076" t="s">
        <v>1357</v>
      </c>
    </row>
    <row r="17077" spans="8:12">
      <c r="H17077" t="s">
        <v>25050</v>
      </c>
      <c r="I17077" t="s">
        <v>1357</v>
      </c>
      <c r="J17077" t="s">
        <v>1357</v>
      </c>
      <c r="K17077" t="s">
        <v>1357</v>
      </c>
      <c r="L17077" t="s">
        <v>1357</v>
      </c>
    </row>
    <row r="17078" spans="8:12">
      <c r="H17078" t="s">
        <v>25051</v>
      </c>
      <c r="I17078" t="s">
        <v>1357</v>
      </c>
      <c r="J17078" t="s">
        <v>1357</v>
      </c>
      <c r="K17078" t="s">
        <v>1357</v>
      </c>
      <c r="L17078" t="s">
        <v>1357</v>
      </c>
    </row>
    <row r="17079" spans="8:12">
      <c r="H17079" t="s">
        <v>25052</v>
      </c>
      <c r="I17079" t="s">
        <v>1357</v>
      </c>
      <c r="J17079" t="s">
        <v>1357</v>
      </c>
      <c r="K17079" t="s">
        <v>1357</v>
      </c>
      <c r="L17079" t="s">
        <v>1357</v>
      </c>
    </row>
    <row r="17080" spans="8:12">
      <c r="H17080" t="s">
        <v>25053</v>
      </c>
      <c r="I17080" t="s">
        <v>1357</v>
      </c>
      <c r="J17080" t="s">
        <v>1357</v>
      </c>
      <c r="K17080" t="s">
        <v>1357</v>
      </c>
      <c r="L17080" t="s">
        <v>1357</v>
      </c>
    </row>
    <row r="17081" spans="8:12">
      <c r="H17081" t="s">
        <v>25054</v>
      </c>
      <c r="I17081" t="s">
        <v>1357</v>
      </c>
      <c r="J17081" t="s">
        <v>1357</v>
      </c>
      <c r="K17081" t="s">
        <v>1357</v>
      </c>
      <c r="L17081" t="s">
        <v>1357</v>
      </c>
    </row>
    <row r="17082" spans="8:12">
      <c r="H17082" t="s">
        <v>25055</v>
      </c>
      <c r="I17082" t="s">
        <v>1357</v>
      </c>
      <c r="J17082" t="s">
        <v>1357</v>
      </c>
      <c r="K17082" t="s">
        <v>1357</v>
      </c>
      <c r="L17082" t="s">
        <v>1357</v>
      </c>
    </row>
    <row r="17083" spans="8:12">
      <c r="H17083" t="s">
        <v>25056</v>
      </c>
      <c r="I17083" t="s">
        <v>1357</v>
      </c>
      <c r="J17083" t="s">
        <v>1357</v>
      </c>
      <c r="K17083" t="s">
        <v>1357</v>
      </c>
      <c r="L17083" t="s">
        <v>1357</v>
      </c>
    </row>
    <row r="17084" spans="8:12">
      <c r="H17084" t="s">
        <v>25057</v>
      </c>
      <c r="I17084" t="s">
        <v>1357</v>
      </c>
      <c r="J17084" t="s">
        <v>1357</v>
      </c>
      <c r="K17084" t="s">
        <v>1357</v>
      </c>
      <c r="L17084" t="s">
        <v>1357</v>
      </c>
    </row>
    <row r="17085" spans="8:12">
      <c r="H17085" t="s">
        <v>25058</v>
      </c>
      <c r="I17085" t="s">
        <v>1357</v>
      </c>
      <c r="J17085" t="s">
        <v>1357</v>
      </c>
      <c r="K17085" t="s">
        <v>1357</v>
      </c>
      <c r="L17085" t="s">
        <v>1357</v>
      </c>
    </row>
    <row r="17086" spans="8:12">
      <c r="H17086" t="s">
        <v>25059</v>
      </c>
      <c r="I17086" t="s">
        <v>1357</v>
      </c>
      <c r="J17086" t="s">
        <v>1357</v>
      </c>
      <c r="K17086" t="s">
        <v>1357</v>
      </c>
      <c r="L17086" t="s">
        <v>1357</v>
      </c>
    </row>
    <row r="17087" spans="8:12">
      <c r="H17087" t="s">
        <v>25060</v>
      </c>
      <c r="I17087" t="s">
        <v>1357</v>
      </c>
      <c r="J17087" t="s">
        <v>1357</v>
      </c>
      <c r="K17087" t="s">
        <v>1357</v>
      </c>
      <c r="L17087" t="s">
        <v>1357</v>
      </c>
    </row>
    <row r="17088" spans="8:12">
      <c r="H17088" t="s">
        <v>25061</v>
      </c>
      <c r="I17088" t="s">
        <v>1357</v>
      </c>
      <c r="J17088" t="s">
        <v>1357</v>
      </c>
      <c r="K17088" t="s">
        <v>1357</v>
      </c>
      <c r="L17088" t="s">
        <v>1357</v>
      </c>
    </row>
    <row r="17089" spans="6:12">
      <c r="H17089" t="s">
        <v>25062</v>
      </c>
      <c r="I17089" t="s">
        <v>1357</v>
      </c>
      <c r="J17089" t="s">
        <v>1357</v>
      </c>
      <c r="K17089" t="s">
        <v>1357</v>
      </c>
      <c r="L17089" t="s">
        <v>1357</v>
      </c>
    </row>
    <row r="17090" spans="6:12">
      <c r="H17090" t="s">
        <v>25063</v>
      </c>
      <c r="I17090" t="s">
        <v>1357</v>
      </c>
      <c r="J17090" t="s">
        <v>1357</v>
      </c>
      <c r="K17090" t="s">
        <v>1357</v>
      </c>
      <c r="L17090" t="s">
        <v>1357</v>
      </c>
    </row>
    <row r="17091" spans="6:12">
      <c r="H17091" t="s">
        <v>25064</v>
      </c>
      <c r="I17091" t="s">
        <v>1357</v>
      </c>
      <c r="J17091" t="s">
        <v>1357</v>
      </c>
      <c r="K17091" t="s">
        <v>1357</v>
      </c>
      <c r="L17091" t="s">
        <v>1357</v>
      </c>
    </row>
    <row r="17092" spans="6:12">
      <c r="F17092" t="s">
        <v>15910</v>
      </c>
      <c r="G17092" t="s">
        <v>18611</v>
      </c>
      <c r="H17092" t="s">
        <v>20545</v>
      </c>
      <c r="I17092" t="s">
        <v>1357</v>
      </c>
      <c r="J17092" t="s">
        <v>1357</v>
      </c>
      <c r="K17092" t="s">
        <v>1357</v>
      </c>
      <c r="L17092" t="s">
        <v>1357</v>
      </c>
    </row>
    <row r="17093" spans="6:12">
      <c r="F17093" t="s">
        <v>16923</v>
      </c>
      <c r="G17093" t="s">
        <v>19534</v>
      </c>
      <c r="H17093" t="s">
        <v>25065</v>
      </c>
      <c r="I17093" t="s">
        <v>1357</v>
      </c>
      <c r="J17093" t="s">
        <v>1357</v>
      </c>
      <c r="K17093" t="s">
        <v>1357</v>
      </c>
      <c r="L17093" t="s">
        <v>1357</v>
      </c>
    </row>
    <row r="17094" spans="6:12">
      <c r="H17094" t="s">
        <v>25066</v>
      </c>
      <c r="I17094" t="s">
        <v>1357</v>
      </c>
      <c r="J17094" t="s">
        <v>1357</v>
      </c>
      <c r="K17094" t="s">
        <v>1357</v>
      </c>
      <c r="L17094" t="s">
        <v>1357</v>
      </c>
    </row>
    <row r="17095" spans="6:12">
      <c r="H17095" t="s">
        <v>25067</v>
      </c>
      <c r="I17095" t="s">
        <v>1357</v>
      </c>
      <c r="J17095" t="s">
        <v>1357</v>
      </c>
      <c r="K17095" t="s">
        <v>1357</v>
      </c>
      <c r="L17095" t="s">
        <v>1357</v>
      </c>
    </row>
    <row r="17096" spans="6:12">
      <c r="H17096" t="s">
        <v>25068</v>
      </c>
      <c r="I17096" t="s">
        <v>1357</v>
      </c>
      <c r="J17096" t="s">
        <v>1357</v>
      </c>
      <c r="K17096" t="s">
        <v>1357</v>
      </c>
      <c r="L17096" t="s">
        <v>1357</v>
      </c>
    </row>
    <row r="17097" spans="6:12">
      <c r="H17097" t="s">
        <v>25069</v>
      </c>
      <c r="I17097" t="s">
        <v>1357</v>
      </c>
      <c r="J17097" t="s">
        <v>1357</v>
      </c>
      <c r="K17097" t="s">
        <v>1357</v>
      </c>
      <c r="L17097" t="s">
        <v>1357</v>
      </c>
    </row>
    <row r="17098" spans="6:12">
      <c r="H17098" t="s">
        <v>25070</v>
      </c>
      <c r="I17098" t="s">
        <v>1357</v>
      </c>
      <c r="J17098" t="s">
        <v>1357</v>
      </c>
      <c r="K17098" t="s">
        <v>1357</v>
      </c>
      <c r="L17098" t="s">
        <v>1357</v>
      </c>
    </row>
    <row r="17099" spans="6:12">
      <c r="H17099" t="s">
        <v>25071</v>
      </c>
      <c r="I17099" t="s">
        <v>1357</v>
      </c>
      <c r="J17099" t="s">
        <v>1357</v>
      </c>
      <c r="K17099" t="s">
        <v>1357</v>
      </c>
      <c r="L17099" t="s">
        <v>1357</v>
      </c>
    </row>
    <row r="17100" spans="6:12">
      <c r="H17100" t="s">
        <v>25072</v>
      </c>
      <c r="I17100" t="s">
        <v>1357</v>
      </c>
      <c r="J17100" t="s">
        <v>1357</v>
      </c>
      <c r="K17100" t="s">
        <v>1357</v>
      </c>
      <c r="L17100" t="s">
        <v>1357</v>
      </c>
    </row>
    <row r="17101" spans="6:12">
      <c r="H17101" t="s">
        <v>25073</v>
      </c>
      <c r="I17101" t="s">
        <v>1357</v>
      </c>
      <c r="J17101" t="s">
        <v>1357</v>
      </c>
      <c r="K17101" t="s">
        <v>1357</v>
      </c>
      <c r="L17101" t="s">
        <v>1357</v>
      </c>
    </row>
    <row r="17102" spans="6:12">
      <c r="H17102" t="s">
        <v>25074</v>
      </c>
      <c r="I17102" t="s">
        <v>1357</v>
      </c>
      <c r="J17102" t="s">
        <v>1357</v>
      </c>
      <c r="K17102" t="s">
        <v>1357</v>
      </c>
      <c r="L17102" t="s">
        <v>1357</v>
      </c>
    </row>
    <row r="17103" spans="6:12">
      <c r="H17103" t="s">
        <v>25075</v>
      </c>
      <c r="I17103" t="s">
        <v>1357</v>
      </c>
      <c r="J17103" t="s">
        <v>1357</v>
      </c>
      <c r="K17103" t="s">
        <v>1357</v>
      </c>
      <c r="L17103" t="s">
        <v>1357</v>
      </c>
    </row>
    <row r="17104" spans="6:12">
      <c r="F17104" t="s">
        <v>16924</v>
      </c>
      <c r="G17104" t="s">
        <v>19535</v>
      </c>
      <c r="H17104" t="s">
        <v>25076</v>
      </c>
      <c r="I17104" t="s">
        <v>1357</v>
      </c>
      <c r="J17104" t="s">
        <v>1357</v>
      </c>
      <c r="K17104" t="s">
        <v>1357</v>
      </c>
      <c r="L17104" t="s">
        <v>1357</v>
      </c>
    </row>
    <row r="17105" spans="6:12">
      <c r="H17105" t="s">
        <v>25077</v>
      </c>
      <c r="I17105" t="s">
        <v>1357</v>
      </c>
      <c r="J17105" t="s">
        <v>1357</v>
      </c>
      <c r="K17105" t="s">
        <v>1357</v>
      </c>
      <c r="L17105" t="s">
        <v>1357</v>
      </c>
    </row>
    <row r="17106" spans="6:12">
      <c r="H17106" t="s">
        <v>25078</v>
      </c>
      <c r="I17106" t="s">
        <v>1357</v>
      </c>
      <c r="J17106" t="s">
        <v>1357</v>
      </c>
      <c r="K17106" t="s">
        <v>1357</v>
      </c>
      <c r="L17106" t="s">
        <v>1357</v>
      </c>
    </row>
    <row r="17107" spans="6:12">
      <c r="H17107" t="s">
        <v>25079</v>
      </c>
      <c r="I17107" t="s">
        <v>1357</v>
      </c>
      <c r="J17107" t="s">
        <v>1357</v>
      </c>
      <c r="K17107" t="s">
        <v>1357</v>
      </c>
      <c r="L17107" t="s">
        <v>1357</v>
      </c>
    </row>
    <row r="17108" spans="6:12">
      <c r="H17108" t="s">
        <v>25080</v>
      </c>
      <c r="I17108" t="s">
        <v>1357</v>
      </c>
      <c r="J17108" t="s">
        <v>1357</v>
      </c>
      <c r="K17108" t="s">
        <v>1357</v>
      </c>
      <c r="L17108" t="s">
        <v>1357</v>
      </c>
    </row>
    <row r="17109" spans="6:12">
      <c r="H17109" t="s">
        <v>25081</v>
      </c>
      <c r="I17109" t="s">
        <v>1357</v>
      </c>
      <c r="J17109" t="s">
        <v>1357</v>
      </c>
      <c r="K17109" t="s">
        <v>1357</v>
      </c>
      <c r="L17109" t="s">
        <v>1357</v>
      </c>
    </row>
    <row r="17110" spans="6:12">
      <c r="F17110" t="s">
        <v>16925</v>
      </c>
      <c r="G17110" t="s">
        <v>19536</v>
      </c>
      <c r="H17110" t="s">
        <v>795</v>
      </c>
      <c r="I17110" t="s">
        <v>1357</v>
      </c>
      <c r="J17110" t="s">
        <v>1357</v>
      </c>
      <c r="K17110" t="s">
        <v>1357</v>
      </c>
      <c r="L17110" t="s">
        <v>1357</v>
      </c>
    </row>
    <row r="17111" spans="6:12">
      <c r="H17111" t="s">
        <v>25082</v>
      </c>
      <c r="I17111" t="s">
        <v>1357</v>
      </c>
      <c r="J17111" t="s">
        <v>1357</v>
      </c>
      <c r="K17111" t="s">
        <v>1357</v>
      </c>
      <c r="L17111" t="s">
        <v>1357</v>
      </c>
    </row>
    <row r="17112" spans="6:12">
      <c r="F17112" t="s">
        <v>16926</v>
      </c>
      <c r="G17112" t="s">
        <v>19537</v>
      </c>
      <c r="H17112" t="s">
        <v>25083</v>
      </c>
      <c r="I17112" t="s">
        <v>1357</v>
      </c>
      <c r="J17112" t="s">
        <v>1357</v>
      </c>
      <c r="K17112" t="s">
        <v>1357</v>
      </c>
      <c r="L17112" t="s">
        <v>1357</v>
      </c>
    </row>
    <row r="17113" spans="6:12">
      <c r="H17113" t="s">
        <v>25084</v>
      </c>
      <c r="I17113" t="s">
        <v>1357</v>
      </c>
      <c r="J17113" t="s">
        <v>1357</v>
      </c>
      <c r="K17113" t="s">
        <v>1357</v>
      </c>
      <c r="L17113" t="s">
        <v>1357</v>
      </c>
    </row>
    <row r="17114" spans="6:12">
      <c r="H17114" t="s">
        <v>25085</v>
      </c>
      <c r="I17114" t="s">
        <v>1357</v>
      </c>
      <c r="J17114" t="s">
        <v>1357</v>
      </c>
      <c r="K17114" t="s">
        <v>1357</v>
      </c>
      <c r="L17114" t="s">
        <v>1357</v>
      </c>
    </row>
    <row r="17115" spans="6:12">
      <c r="H17115" t="s">
        <v>25086</v>
      </c>
      <c r="I17115" t="s">
        <v>1357</v>
      </c>
      <c r="J17115" t="s">
        <v>1357</v>
      </c>
      <c r="K17115" t="s">
        <v>1357</v>
      </c>
      <c r="L17115" t="s">
        <v>1357</v>
      </c>
    </row>
    <row r="17116" spans="6:12">
      <c r="H17116" t="s">
        <v>25087</v>
      </c>
      <c r="I17116" t="s">
        <v>1357</v>
      </c>
      <c r="J17116" t="s">
        <v>1357</v>
      </c>
      <c r="K17116" t="s">
        <v>1357</v>
      </c>
      <c r="L17116" t="s">
        <v>1357</v>
      </c>
    </row>
    <row r="17117" spans="6:12">
      <c r="H17117" t="s">
        <v>25088</v>
      </c>
      <c r="I17117" t="s">
        <v>1357</v>
      </c>
      <c r="J17117" t="s">
        <v>1357</v>
      </c>
      <c r="K17117" t="s">
        <v>1357</v>
      </c>
      <c r="L17117" t="s">
        <v>1357</v>
      </c>
    </row>
    <row r="17118" spans="6:12">
      <c r="F17118" t="s">
        <v>16396</v>
      </c>
      <c r="G17118" t="s">
        <v>19062</v>
      </c>
      <c r="H17118" t="s">
        <v>22882</v>
      </c>
      <c r="I17118" t="s">
        <v>1357</v>
      </c>
      <c r="J17118" t="s">
        <v>1357</v>
      </c>
      <c r="K17118" t="s">
        <v>1357</v>
      </c>
      <c r="L17118" t="s">
        <v>1357</v>
      </c>
    </row>
    <row r="17119" spans="6:12">
      <c r="H17119" t="s">
        <v>22883</v>
      </c>
      <c r="I17119" t="s">
        <v>1357</v>
      </c>
      <c r="J17119" t="s">
        <v>1357</v>
      </c>
      <c r="K17119" t="s">
        <v>1357</v>
      </c>
      <c r="L17119" t="s">
        <v>1357</v>
      </c>
    </row>
    <row r="17120" spans="6:12">
      <c r="H17120" t="s">
        <v>25089</v>
      </c>
      <c r="I17120" t="s">
        <v>1357</v>
      </c>
      <c r="J17120" t="s">
        <v>1357</v>
      </c>
      <c r="K17120" t="s">
        <v>1357</v>
      </c>
      <c r="L17120" t="s">
        <v>1357</v>
      </c>
    </row>
    <row r="17121" spans="8:12">
      <c r="H17121" t="s">
        <v>25090</v>
      </c>
      <c r="I17121" t="s">
        <v>1357</v>
      </c>
      <c r="J17121" t="s">
        <v>1357</v>
      </c>
      <c r="K17121" t="s">
        <v>1357</v>
      </c>
      <c r="L17121" t="s">
        <v>1357</v>
      </c>
    </row>
    <row r="17122" spans="8:12">
      <c r="H17122" t="s">
        <v>25091</v>
      </c>
      <c r="I17122" t="s">
        <v>1357</v>
      </c>
      <c r="J17122" t="s">
        <v>1357</v>
      </c>
      <c r="K17122" t="s">
        <v>1357</v>
      </c>
      <c r="L17122" t="s">
        <v>1357</v>
      </c>
    </row>
    <row r="17123" spans="8:12">
      <c r="H17123" t="s">
        <v>25092</v>
      </c>
      <c r="I17123" t="s">
        <v>1357</v>
      </c>
      <c r="J17123" t="s">
        <v>1357</v>
      </c>
      <c r="K17123" t="s">
        <v>1357</v>
      </c>
      <c r="L17123" t="s">
        <v>1357</v>
      </c>
    </row>
    <row r="17124" spans="8:12">
      <c r="H17124" t="s">
        <v>25093</v>
      </c>
      <c r="I17124" t="s">
        <v>1357</v>
      </c>
      <c r="J17124" t="s">
        <v>1357</v>
      </c>
      <c r="K17124" t="s">
        <v>1357</v>
      </c>
      <c r="L17124" t="s">
        <v>1357</v>
      </c>
    </row>
    <row r="17125" spans="8:12">
      <c r="H17125" t="s">
        <v>25094</v>
      </c>
      <c r="I17125" t="s">
        <v>1357</v>
      </c>
      <c r="J17125" t="s">
        <v>1357</v>
      </c>
      <c r="K17125" t="s">
        <v>1357</v>
      </c>
      <c r="L17125" t="s">
        <v>1357</v>
      </c>
    </row>
    <row r="17126" spans="8:12">
      <c r="H17126" t="s">
        <v>25095</v>
      </c>
      <c r="I17126" t="s">
        <v>1357</v>
      </c>
      <c r="J17126" t="s">
        <v>1357</v>
      </c>
      <c r="K17126" t="s">
        <v>1357</v>
      </c>
      <c r="L17126" t="s">
        <v>1357</v>
      </c>
    </row>
    <row r="17127" spans="8:12">
      <c r="H17127" t="s">
        <v>25096</v>
      </c>
      <c r="I17127" t="s">
        <v>1357</v>
      </c>
      <c r="J17127" t="s">
        <v>1357</v>
      </c>
      <c r="K17127" t="s">
        <v>1357</v>
      </c>
      <c r="L17127" t="s">
        <v>1357</v>
      </c>
    </row>
    <row r="17128" spans="8:12">
      <c r="H17128" t="s">
        <v>25097</v>
      </c>
      <c r="I17128" t="s">
        <v>1357</v>
      </c>
      <c r="J17128" t="s">
        <v>1357</v>
      </c>
      <c r="K17128" t="s">
        <v>1357</v>
      </c>
      <c r="L17128" t="s">
        <v>1357</v>
      </c>
    </row>
    <row r="17129" spans="8:12">
      <c r="H17129" t="s">
        <v>25098</v>
      </c>
      <c r="I17129" t="s">
        <v>1357</v>
      </c>
      <c r="J17129" t="s">
        <v>1357</v>
      </c>
      <c r="K17129" t="s">
        <v>1357</v>
      </c>
      <c r="L17129" t="s">
        <v>1357</v>
      </c>
    </row>
    <row r="17130" spans="8:12">
      <c r="H17130" t="s">
        <v>25099</v>
      </c>
      <c r="I17130" t="s">
        <v>1357</v>
      </c>
      <c r="J17130" t="s">
        <v>1357</v>
      </c>
      <c r="K17130" t="s">
        <v>1357</v>
      </c>
      <c r="L17130" t="s">
        <v>1357</v>
      </c>
    </row>
    <row r="17131" spans="8:12">
      <c r="H17131" t="s">
        <v>25100</v>
      </c>
      <c r="I17131" t="s">
        <v>1357</v>
      </c>
      <c r="J17131" t="s">
        <v>1357</v>
      </c>
      <c r="K17131" t="s">
        <v>1357</v>
      </c>
      <c r="L17131" t="s">
        <v>1357</v>
      </c>
    </row>
    <row r="17132" spans="8:12">
      <c r="H17132" t="s">
        <v>25101</v>
      </c>
      <c r="I17132" t="s">
        <v>1357</v>
      </c>
      <c r="J17132" t="s">
        <v>1357</v>
      </c>
      <c r="K17132" t="s">
        <v>1357</v>
      </c>
      <c r="L17132" t="s">
        <v>1357</v>
      </c>
    </row>
    <row r="17133" spans="8:12">
      <c r="H17133" t="s">
        <v>25102</v>
      </c>
      <c r="I17133" t="s">
        <v>1357</v>
      </c>
      <c r="J17133" t="s">
        <v>1357</v>
      </c>
      <c r="K17133" t="s">
        <v>1357</v>
      </c>
      <c r="L17133" t="s">
        <v>1357</v>
      </c>
    </row>
    <row r="17134" spans="8:12">
      <c r="H17134" t="s">
        <v>25103</v>
      </c>
      <c r="I17134" t="s">
        <v>1357</v>
      </c>
      <c r="J17134" t="s">
        <v>1357</v>
      </c>
      <c r="K17134" t="s">
        <v>1357</v>
      </c>
      <c r="L17134" t="s">
        <v>1357</v>
      </c>
    </row>
    <row r="17135" spans="8:12">
      <c r="H17135" t="s">
        <v>25104</v>
      </c>
      <c r="I17135" t="s">
        <v>1357</v>
      </c>
      <c r="J17135" t="s">
        <v>1357</v>
      </c>
      <c r="K17135" t="s">
        <v>1357</v>
      </c>
      <c r="L17135" t="s">
        <v>1357</v>
      </c>
    </row>
    <row r="17136" spans="8:12">
      <c r="H17136" t="s">
        <v>25105</v>
      </c>
      <c r="I17136" t="s">
        <v>1357</v>
      </c>
      <c r="J17136" t="s">
        <v>1357</v>
      </c>
      <c r="K17136" t="s">
        <v>1357</v>
      </c>
      <c r="L17136" t="s">
        <v>1357</v>
      </c>
    </row>
    <row r="17137" spans="8:12">
      <c r="H17137" t="s">
        <v>25106</v>
      </c>
      <c r="I17137" t="s">
        <v>1357</v>
      </c>
      <c r="J17137" t="s">
        <v>1357</v>
      </c>
      <c r="K17137" t="s">
        <v>1357</v>
      </c>
      <c r="L17137" t="s">
        <v>1357</v>
      </c>
    </row>
    <row r="17138" spans="8:12">
      <c r="H17138" t="s">
        <v>25107</v>
      </c>
      <c r="I17138" t="s">
        <v>1357</v>
      </c>
      <c r="J17138" t="s">
        <v>1357</v>
      </c>
      <c r="K17138" t="s">
        <v>1357</v>
      </c>
      <c r="L17138" t="s">
        <v>1357</v>
      </c>
    </row>
    <row r="17139" spans="8:12">
      <c r="H17139" t="s">
        <v>25108</v>
      </c>
      <c r="I17139" t="s">
        <v>1357</v>
      </c>
      <c r="J17139" t="s">
        <v>1357</v>
      </c>
      <c r="K17139" t="s">
        <v>1357</v>
      </c>
      <c r="L17139" t="s">
        <v>1357</v>
      </c>
    </row>
    <row r="17140" spans="8:12">
      <c r="H17140" t="s">
        <v>25109</v>
      </c>
      <c r="I17140" t="s">
        <v>1357</v>
      </c>
      <c r="J17140" t="s">
        <v>1357</v>
      </c>
      <c r="K17140" t="s">
        <v>1357</v>
      </c>
      <c r="L17140" t="s">
        <v>1357</v>
      </c>
    </row>
    <row r="17141" spans="8:12">
      <c r="H17141" t="s">
        <v>25110</v>
      </c>
      <c r="I17141" t="s">
        <v>1357</v>
      </c>
      <c r="J17141" t="s">
        <v>1357</v>
      </c>
      <c r="K17141" t="s">
        <v>1357</v>
      </c>
      <c r="L17141" t="s">
        <v>1357</v>
      </c>
    </row>
    <row r="17142" spans="8:12">
      <c r="H17142" t="s">
        <v>25111</v>
      </c>
      <c r="I17142" t="s">
        <v>1357</v>
      </c>
      <c r="J17142" t="s">
        <v>1357</v>
      </c>
      <c r="K17142" t="s">
        <v>1357</v>
      </c>
      <c r="L17142" t="s">
        <v>1357</v>
      </c>
    </row>
    <row r="17143" spans="8:12">
      <c r="H17143" t="s">
        <v>25112</v>
      </c>
      <c r="I17143" t="s">
        <v>1357</v>
      </c>
      <c r="J17143" t="s">
        <v>1357</v>
      </c>
      <c r="K17143" t="s">
        <v>1357</v>
      </c>
      <c r="L17143" t="s">
        <v>1357</v>
      </c>
    </row>
    <row r="17144" spans="8:12">
      <c r="H17144" t="s">
        <v>25113</v>
      </c>
      <c r="I17144" t="s">
        <v>1357</v>
      </c>
      <c r="J17144" t="s">
        <v>1357</v>
      </c>
      <c r="K17144" t="s">
        <v>1357</v>
      </c>
      <c r="L17144" t="s">
        <v>1357</v>
      </c>
    </row>
    <row r="17145" spans="8:12">
      <c r="H17145" t="s">
        <v>25114</v>
      </c>
      <c r="I17145" t="s">
        <v>1357</v>
      </c>
      <c r="J17145" t="s">
        <v>1357</v>
      </c>
      <c r="K17145" t="s">
        <v>1357</v>
      </c>
      <c r="L17145" t="s">
        <v>1357</v>
      </c>
    </row>
    <row r="17146" spans="8:12">
      <c r="H17146" t="s">
        <v>25115</v>
      </c>
      <c r="I17146" t="s">
        <v>1357</v>
      </c>
      <c r="J17146" t="s">
        <v>1357</v>
      </c>
      <c r="K17146" t="s">
        <v>1357</v>
      </c>
      <c r="L17146" t="s">
        <v>1357</v>
      </c>
    </row>
    <row r="17147" spans="8:12">
      <c r="H17147" t="s">
        <v>25116</v>
      </c>
      <c r="I17147" t="s">
        <v>1357</v>
      </c>
      <c r="J17147" t="s">
        <v>1357</v>
      </c>
      <c r="K17147" t="s">
        <v>1357</v>
      </c>
      <c r="L17147" t="s">
        <v>1357</v>
      </c>
    </row>
    <row r="17148" spans="8:12">
      <c r="H17148" t="s">
        <v>25117</v>
      </c>
      <c r="I17148" t="s">
        <v>1357</v>
      </c>
      <c r="J17148" t="s">
        <v>1357</v>
      </c>
      <c r="K17148" t="s">
        <v>1357</v>
      </c>
      <c r="L17148" t="s">
        <v>1357</v>
      </c>
    </row>
    <row r="17149" spans="8:12">
      <c r="H17149" t="s">
        <v>25118</v>
      </c>
      <c r="I17149" t="s">
        <v>1357</v>
      </c>
      <c r="J17149" t="s">
        <v>1357</v>
      </c>
      <c r="K17149" t="s">
        <v>1357</v>
      </c>
      <c r="L17149" t="s">
        <v>1357</v>
      </c>
    </row>
    <row r="17150" spans="8:12">
      <c r="H17150" t="s">
        <v>25119</v>
      </c>
      <c r="I17150" t="s">
        <v>1357</v>
      </c>
      <c r="J17150" t="s">
        <v>1357</v>
      </c>
      <c r="K17150" t="s">
        <v>1357</v>
      </c>
      <c r="L17150" t="s">
        <v>1357</v>
      </c>
    </row>
    <row r="17151" spans="8:12">
      <c r="H17151" t="s">
        <v>25120</v>
      </c>
      <c r="I17151" t="s">
        <v>1357</v>
      </c>
      <c r="J17151" t="s">
        <v>1357</v>
      </c>
      <c r="K17151" t="s">
        <v>1357</v>
      </c>
      <c r="L17151" t="s">
        <v>1357</v>
      </c>
    </row>
    <row r="17152" spans="8:12">
      <c r="H17152" t="s">
        <v>25121</v>
      </c>
      <c r="I17152" t="s">
        <v>1357</v>
      </c>
      <c r="J17152" t="s">
        <v>1357</v>
      </c>
      <c r="K17152" t="s">
        <v>1357</v>
      </c>
      <c r="L17152" t="s">
        <v>1357</v>
      </c>
    </row>
    <row r="17153" spans="8:12">
      <c r="H17153" t="s">
        <v>25122</v>
      </c>
      <c r="I17153" t="s">
        <v>1357</v>
      </c>
      <c r="J17153" t="s">
        <v>1357</v>
      </c>
      <c r="K17153" t="s">
        <v>1357</v>
      </c>
      <c r="L17153" t="s">
        <v>1357</v>
      </c>
    </row>
    <row r="17154" spans="8:12">
      <c r="H17154" t="s">
        <v>25123</v>
      </c>
      <c r="I17154" t="s">
        <v>1357</v>
      </c>
      <c r="J17154" t="s">
        <v>1357</v>
      </c>
      <c r="K17154" t="s">
        <v>1357</v>
      </c>
      <c r="L17154" t="s">
        <v>1357</v>
      </c>
    </row>
    <row r="17155" spans="8:12">
      <c r="H17155" t="s">
        <v>25124</v>
      </c>
      <c r="I17155" t="s">
        <v>1357</v>
      </c>
      <c r="J17155" t="s">
        <v>1357</v>
      </c>
      <c r="K17155" t="s">
        <v>1357</v>
      </c>
      <c r="L17155" t="s">
        <v>1357</v>
      </c>
    </row>
    <row r="17156" spans="8:12">
      <c r="H17156" t="s">
        <v>25125</v>
      </c>
      <c r="I17156" t="s">
        <v>1357</v>
      </c>
      <c r="J17156" t="s">
        <v>1357</v>
      </c>
      <c r="K17156" t="s">
        <v>1357</v>
      </c>
      <c r="L17156" t="s">
        <v>1357</v>
      </c>
    </row>
    <row r="17157" spans="8:12">
      <c r="H17157" t="s">
        <v>25126</v>
      </c>
      <c r="I17157" t="s">
        <v>1357</v>
      </c>
      <c r="J17157" t="s">
        <v>1357</v>
      </c>
      <c r="K17157" t="s">
        <v>1357</v>
      </c>
      <c r="L17157" t="s">
        <v>1357</v>
      </c>
    </row>
    <row r="17158" spans="8:12">
      <c r="H17158" t="s">
        <v>25127</v>
      </c>
      <c r="I17158" t="s">
        <v>1357</v>
      </c>
      <c r="J17158" t="s">
        <v>1357</v>
      </c>
      <c r="K17158" t="s">
        <v>1357</v>
      </c>
      <c r="L17158" t="s">
        <v>1357</v>
      </c>
    </row>
    <row r="17159" spans="8:12">
      <c r="H17159" t="s">
        <v>25128</v>
      </c>
      <c r="I17159" t="s">
        <v>1357</v>
      </c>
      <c r="J17159" t="s">
        <v>1357</v>
      </c>
      <c r="K17159" t="s">
        <v>1357</v>
      </c>
      <c r="L17159" t="s">
        <v>1357</v>
      </c>
    </row>
    <row r="17160" spans="8:12">
      <c r="H17160" t="s">
        <v>25129</v>
      </c>
      <c r="I17160" t="s">
        <v>1357</v>
      </c>
      <c r="J17160" t="s">
        <v>1357</v>
      </c>
      <c r="K17160" t="s">
        <v>1357</v>
      </c>
      <c r="L17160" t="s">
        <v>1357</v>
      </c>
    </row>
    <row r="17161" spans="8:12">
      <c r="H17161" t="s">
        <v>25130</v>
      </c>
      <c r="I17161" t="s">
        <v>1357</v>
      </c>
      <c r="J17161" t="s">
        <v>1357</v>
      </c>
      <c r="K17161" t="s">
        <v>1357</v>
      </c>
      <c r="L17161" t="s">
        <v>1357</v>
      </c>
    </row>
    <row r="17162" spans="8:12">
      <c r="H17162" t="s">
        <v>25131</v>
      </c>
      <c r="I17162" t="s">
        <v>1357</v>
      </c>
      <c r="J17162" t="s">
        <v>1357</v>
      </c>
      <c r="K17162" t="s">
        <v>1357</v>
      </c>
      <c r="L17162" t="s">
        <v>1357</v>
      </c>
    </row>
    <row r="17163" spans="8:12">
      <c r="H17163" t="s">
        <v>25132</v>
      </c>
      <c r="I17163" t="s">
        <v>1357</v>
      </c>
      <c r="J17163" t="s">
        <v>1357</v>
      </c>
      <c r="K17163" t="s">
        <v>1357</v>
      </c>
      <c r="L17163" t="s">
        <v>1357</v>
      </c>
    </row>
    <row r="17164" spans="8:12">
      <c r="H17164" t="s">
        <v>25133</v>
      </c>
      <c r="I17164" t="s">
        <v>1357</v>
      </c>
      <c r="J17164" t="s">
        <v>1357</v>
      </c>
      <c r="K17164" t="s">
        <v>1357</v>
      </c>
      <c r="L17164" t="s">
        <v>1357</v>
      </c>
    </row>
    <row r="17165" spans="8:12">
      <c r="H17165" t="s">
        <v>25134</v>
      </c>
      <c r="I17165" t="s">
        <v>1357</v>
      </c>
      <c r="J17165" t="s">
        <v>1357</v>
      </c>
      <c r="K17165" t="s">
        <v>1357</v>
      </c>
      <c r="L17165" t="s">
        <v>1357</v>
      </c>
    </row>
    <row r="17166" spans="8:12">
      <c r="H17166" t="s">
        <v>25135</v>
      </c>
      <c r="I17166" t="s">
        <v>1357</v>
      </c>
      <c r="J17166" t="s">
        <v>1357</v>
      </c>
      <c r="K17166" t="s">
        <v>1357</v>
      </c>
      <c r="L17166" t="s">
        <v>1357</v>
      </c>
    </row>
    <row r="17167" spans="8:12">
      <c r="H17167" t="s">
        <v>25136</v>
      </c>
      <c r="I17167" t="s">
        <v>1357</v>
      </c>
      <c r="J17167" t="s">
        <v>1357</v>
      </c>
      <c r="K17167" t="s">
        <v>1357</v>
      </c>
      <c r="L17167" t="s">
        <v>1357</v>
      </c>
    </row>
    <row r="17168" spans="8:12">
      <c r="H17168" t="s">
        <v>25137</v>
      </c>
      <c r="I17168" t="s">
        <v>1357</v>
      </c>
      <c r="J17168" t="s">
        <v>1357</v>
      </c>
      <c r="K17168" t="s">
        <v>1357</v>
      </c>
      <c r="L17168" t="s">
        <v>1357</v>
      </c>
    </row>
    <row r="17169" spans="8:12">
      <c r="H17169" t="s">
        <v>25138</v>
      </c>
      <c r="I17169" t="s">
        <v>1357</v>
      </c>
      <c r="J17169" t="s">
        <v>1357</v>
      </c>
      <c r="K17169" t="s">
        <v>1357</v>
      </c>
      <c r="L17169" t="s">
        <v>1357</v>
      </c>
    </row>
    <row r="17170" spans="8:12">
      <c r="H17170" t="s">
        <v>25139</v>
      </c>
      <c r="I17170" t="s">
        <v>1357</v>
      </c>
      <c r="J17170" t="s">
        <v>1357</v>
      </c>
      <c r="K17170" t="s">
        <v>1357</v>
      </c>
      <c r="L17170" t="s">
        <v>1357</v>
      </c>
    </row>
    <row r="17171" spans="8:12">
      <c r="H17171" t="s">
        <v>25140</v>
      </c>
      <c r="I17171" t="s">
        <v>1357</v>
      </c>
      <c r="J17171" t="s">
        <v>1357</v>
      </c>
      <c r="K17171" t="s">
        <v>1357</v>
      </c>
      <c r="L17171" t="s">
        <v>1357</v>
      </c>
    </row>
    <row r="17172" spans="8:12">
      <c r="H17172" t="s">
        <v>25141</v>
      </c>
      <c r="I17172" t="s">
        <v>1357</v>
      </c>
      <c r="J17172" t="s">
        <v>1357</v>
      </c>
      <c r="K17172" t="s">
        <v>1357</v>
      </c>
      <c r="L17172" t="s">
        <v>1357</v>
      </c>
    </row>
    <row r="17173" spans="8:12">
      <c r="H17173" t="s">
        <v>25142</v>
      </c>
      <c r="I17173" t="s">
        <v>1357</v>
      </c>
      <c r="J17173" t="s">
        <v>1357</v>
      </c>
      <c r="K17173" t="s">
        <v>1357</v>
      </c>
      <c r="L17173" t="s">
        <v>1357</v>
      </c>
    </row>
    <row r="17174" spans="8:12">
      <c r="H17174" t="s">
        <v>25143</v>
      </c>
      <c r="I17174" t="s">
        <v>1357</v>
      </c>
      <c r="J17174" t="s">
        <v>1357</v>
      </c>
      <c r="K17174" t="s">
        <v>1357</v>
      </c>
      <c r="L17174" t="s">
        <v>1357</v>
      </c>
    </row>
    <row r="17175" spans="8:12">
      <c r="H17175" t="s">
        <v>25144</v>
      </c>
      <c r="I17175" t="s">
        <v>1357</v>
      </c>
      <c r="J17175" t="s">
        <v>1357</v>
      </c>
      <c r="K17175" t="s">
        <v>1357</v>
      </c>
      <c r="L17175" t="s">
        <v>1357</v>
      </c>
    </row>
    <row r="17176" spans="8:12">
      <c r="H17176" t="s">
        <v>25145</v>
      </c>
      <c r="I17176" t="s">
        <v>1357</v>
      </c>
      <c r="J17176" t="s">
        <v>1357</v>
      </c>
      <c r="K17176" t="s">
        <v>1357</v>
      </c>
      <c r="L17176" t="s">
        <v>1357</v>
      </c>
    </row>
    <row r="17177" spans="8:12">
      <c r="H17177" t="s">
        <v>25146</v>
      </c>
      <c r="I17177" t="s">
        <v>1357</v>
      </c>
      <c r="J17177" t="s">
        <v>1357</v>
      </c>
      <c r="K17177" t="s">
        <v>1357</v>
      </c>
      <c r="L17177" t="s">
        <v>1357</v>
      </c>
    </row>
    <row r="17178" spans="8:12">
      <c r="H17178" t="s">
        <v>25147</v>
      </c>
      <c r="I17178" t="s">
        <v>1357</v>
      </c>
      <c r="J17178" t="s">
        <v>1357</v>
      </c>
      <c r="K17178" t="s">
        <v>1357</v>
      </c>
      <c r="L17178" t="s">
        <v>1357</v>
      </c>
    </row>
    <row r="17179" spans="8:12">
      <c r="H17179" t="s">
        <v>25148</v>
      </c>
      <c r="I17179" t="s">
        <v>1357</v>
      </c>
      <c r="J17179" t="s">
        <v>1357</v>
      </c>
      <c r="K17179" t="s">
        <v>1357</v>
      </c>
      <c r="L17179" t="s">
        <v>1357</v>
      </c>
    </row>
    <row r="17180" spans="8:12">
      <c r="H17180" t="s">
        <v>25149</v>
      </c>
      <c r="I17180" t="s">
        <v>1357</v>
      </c>
      <c r="J17180" t="s">
        <v>1357</v>
      </c>
      <c r="K17180" t="s">
        <v>1357</v>
      </c>
      <c r="L17180" t="s">
        <v>1357</v>
      </c>
    </row>
    <row r="17181" spans="8:12">
      <c r="H17181" t="s">
        <v>25150</v>
      </c>
      <c r="I17181" t="s">
        <v>1357</v>
      </c>
      <c r="J17181" t="s">
        <v>1357</v>
      </c>
      <c r="K17181" t="s">
        <v>1357</v>
      </c>
      <c r="L17181" t="s">
        <v>1357</v>
      </c>
    </row>
    <row r="17182" spans="8:12">
      <c r="H17182" t="s">
        <v>25151</v>
      </c>
      <c r="I17182" t="s">
        <v>1357</v>
      </c>
      <c r="J17182" t="s">
        <v>1357</v>
      </c>
      <c r="K17182" t="s">
        <v>1357</v>
      </c>
      <c r="L17182" t="s">
        <v>1357</v>
      </c>
    </row>
    <row r="17183" spans="8:12">
      <c r="H17183" t="s">
        <v>25152</v>
      </c>
      <c r="I17183" t="s">
        <v>1357</v>
      </c>
      <c r="J17183" t="s">
        <v>1357</v>
      </c>
      <c r="K17183" t="s">
        <v>1357</v>
      </c>
      <c r="L17183" t="s">
        <v>1357</v>
      </c>
    </row>
    <row r="17184" spans="8:12">
      <c r="H17184" t="s">
        <v>25153</v>
      </c>
      <c r="I17184" t="s">
        <v>1357</v>
      </c>
      <c r="J17184" t="s">
        <v>1357</v>
      </c>
      <c r="K17184" t="s">
        <v>1357</v>
      </c>
      <c r="L17184" t="s">
        <v>1357</v>
      </c>
    </row>
    <row r="17185" spans="6:12">
      <c r="H17185" t="s">
        <v>25154</v>
      </c>
      <c r="I17185" t="s">
        <v>1357</v>
      </c>
      <c r="J17185" t="s">
        <v>1357</v>
      </c>
      <c r="K17185" t="s">
        <v>1357</v>
      </c>
      <c r="L17185" t="s">
        <v>1357</v>
      </c>
    </row>
    <row r="17186" spans="6:12">
      <c r="F17186" t="s">
        <v>16730</v>
      </c>
      <c r="G17186" t="s">
        <v>19361</v>
      </c>
      <c r="H17186" t="s">
        <v>25155</v>
      </c>
      <c r="I17186" t="s">
        <v>1357</v>
      </c>
      <c r="J17186" t="s">
        <v>1357</v>
      </c>
      <c r="K17186" t="s">
        <v>1357</v>
      </c>
      <c r="L17186" t="s">
        <v>1357</v>
      </c>
    </row>
    <row r="17187" spans="6:12">
      <c r="H17187" t="s">
        <v>25156</v>
      </c>
      <c r="I17187" t="s">
        <v>1357</v>
      </c>
      <c r="J17187" t="s">
        <v>1357</v>
      </c>
      <c r="K17187" t="s">
        <v>1357</v>
      </c>
      <c r="L17187" t="s">
        <v>1357</v>
      </c>
    </row>
    <row r="17188" spans="6:12">
      <c r="H17188" t="s">
        <v>25157</v>
      </c>
      <c r="I17188" t="s">
        <v>1357</v>
      </c>
      <c r="J17188" t="s">
        <v>1357</v>
      </c>
      <c r="K17188" t="s">
        <v>1357</v>
      </c>
      <c r="L17188" t="s">
        <v>1357</v>
      </c>
    </row>
    <row r="17189" spans="6:12">
      <c r="H17189" t="s">
        <v>25158</v>
      </c>
      <c r="I17189" t="s">
        <v>1357</v>
      </c>
      <c r="J17189" t="s">
        <v>1357</v>
      </c>
      <c r="K17189" t="s">
        <v>1357</v>
      </c>
      <c r="L17189" t="s">
        <v>1357</v>
      </c>
    </row>
    <row r="17190" spans="6:12">
      <c r="H17190" t="s">
        <v>25159</v>
      </c>
      <c r="I17190" t="s">
        <v>1357</v>
      </c>
      <c r="J17190" t="s">
        <v>1357</v>
      </c>
      <c r="K17190" t="s">
        <v>1357</v>
      </c>
      <c r="L17190" t="s">
        <v>1357</v>
      </c>
    </row>
    <row r="17191" spans="6:12">
      <c r="H17191" t="s">
        <v>25160</v>
      </c>
      <c r="I17191" t="s">
        <v>1357</v>
      </c>
      <c r="J17191" t="s">
        <v>1357</v>
      </c>
      <c r="K17191" t="s">
        <v>1357</v>
      </c>
      <c r="L17191" t="s">
        <v>1357</v>
      </c>
    </row>
    <row r="17192" spans="6:12">
      <c r="H17192" t="s">
        <v>25161</v>
      </c>
      <c r="I17192" t="s">
        <v>1357</v>
      </c>
      <c r="J17192" t="s">
        <v>1357</v>
      </c>
      <c r="K17192" t="s">
        <v>1357</v>
      </c>
      <c r="L17192" t="s">
        <v>1357</v>
      </c>
    </row>
    <row r="17193" spans="6:12">
      <c r="H17193" t="s">
        <v>25162</v>
      </c>
      <c r="I17193" t="s">
        <v>1357</v>
      </c>
      <c r="J17193" t="s">
        <v>1357</v>
      </c>
      <c r="K17193" t="s">
        <v>1357</v>
      </c>
      <c r="L17193" t="s">
        <v>1357</v>
      </c>
    </row>
    <row r="17194" spans="6:12">
      <c r="H17194" t="s">
        <v>25163</v>
      </c>
      <c r="I17194" t="s">
        <v>1357</v>
      </c>
      <c r="J17194" t="s">
        <v>1357</v>
      </c>
      <c r="K17194" t="s">
        <v>1357</v>
      </c>
      <c r="L17194" t="s">
        <v>1357</v>
      </c>
    </row>
    <row r="17195" spans="6:12">
      <c r="H17195" t="s">
        <v>25164</v>
      </c>
      <c r="I17195" t="s">
        <v>1357</v>
      </c>
      <c r="J17195" t="s">
        <v>1357</v>
      </c>
      <c r="K17195" t="s">
        <v>1357</v>
      </c>
      <c r="L17195" t="s">
        <v>1357</v>
      </c>
    </row>
    <row r="17196" spans="6:12">
      <c r="H17196" t="s">
        <v>25165</v>
      </c>
      <c r="I17196" t="s">
        <v>1357</v>
      </c>
      <c r="J17196" t="s">
        <v>1357</v>
      </c>
      <c r="K17196" t="s">
        <v>1357</v>
      </c>
      <c r="L17196" t="s">
        <v>1357</v>
      </c>
    </row>
    <row r="17197" spans="6:12">
      <c r="H17197" t="s">
        <v>25166</v>
      </c>
      <c r="I17197" t="s">
        <v>1357</v>
      </c>
      <c r="J17197" t="s">
        <v>1357</v>
      </c>
      <c r="K17197" t="s">
        <v>1357</v>
      </c>
      <c r="L17197" t="s">
        <v>1357</v>
      </c>
    </row>
    <row r="17198" spans="6:12">
      <c r="H17198" t="s">
        <v>25167</v>
      </c>
      <c r="I17198" t="s">
        <v>1357</v>
      </c>
      <c r="J17198" t="s">
        <v>1357</v>
      </c>
      <c r="K17198" t="s">
        <v>1357</v>
      </c>
      <c r="L17198" t="s">
        <v>1357</v>
      </c>
    </row>
    <row r="17199" spans="6:12">
      <c r="H17199" t="s">
        <v>25168</v>
      </c>
      <c r="I17199" t="s">
        <v>1357</v>
      </c>
      <c r="J17199" t="s">
        <v>1357</v>
      </c>
      <c r="K17199" t="s">
        <v>1357</v>
      </c>
      <c r="L17199" t="s">
        <v>1357</v>
      </c>
    </row>
    <row r="17200" spans="6:12">
      <c r="H17200" t="s">
        <v>25169</v>
      </c>
      <c r="I17200" t="s">
        <v>1357</v>
      </c>
      <c r="J17200" t="s">
        <v>1357</v>
      </c>
      <c r="K17200" t="s">
        <v>1357</v>
      </c>
      <c r="L17200" t="s">
        <v>1357</v>
      </c>
    </row>
    <row r="17201" spans="6:12">
      <c r="H17201" t="s">
        <v>25170</v>
      </c>
      <c r="I17201" t="s">
        <v>1357</v>
      </c>
      <c r="J17201" t="s">
        <v>1357</v>
      </c>
      <c r="K17201" t="s">
        <v>1357</v>
      </c>
      <c r="L17201" t="s">
        <v>1357</v>
      </c>
    </row>
    <row r="17202" spans="6:12">
      <c r="H17202" t="s">
        <v>25171</v>
      </c>
      <c r="I17202" t="s">
        <v>1357</v>
      </c>
      <c r="J17202" t="s">
        <v>1357</v>
      </c>
      <c r="K17202" t="s">
        <v>1357</v>
      </c>
      <c r="L17202" t="s">
        <v>1357</v>
      </c>
    </row>
    <row r="17203" spans="6:12">
      <c r="H17203" t="s">
        <v>25172</v>
      </c>
      <c r="I17203" t="s">
        <v>1357</v>
      </c>
      <c r="J17203" t="s">
        <v>1357</v>
      </c>
      <c r="K17203" t="s">
        <v>1357</v>
      </c>
      <c r="L17203" t="s">
        <v>1357</v>
      </c>
    </row>
    <row r="17204" spans="6:12">
      <c r="H17204" t="s">
        <v>25173</v>
      </c>
      <c r="I17204" t="s">
        <v>1357</v>
      </c>
      <c r="J17204" t="s">
        <v>1357</v>
      </c>
      <c r="K17204" t="s">
        <v>1357</v>
      </c>
      <c r="L17204" t="s">
        <v>1357</v>
      </c>
    </row>
    <row r="17205" spans="6:12">
      <c r="H17205" t="s">
        <v>25174</v>
      </c>
      <c r="I17205" t="s">
        <v>1357</v>
      </c>
      <c r="J17205" t="s">
        <v>1357</v>
      </c>
      <c r="K17205" t="s">
        <v>1357</v>
      </c>
      <c r="L17205" t="s">
        <v>1357</v>
      </c>
    </row>
    <row r="17206" spans="6:12">
      <c r="H17206" t="s">
        <v>25175</v>
      </c>
      <c r="I17206" t="s">
        <v>1357</v>
      </c>
      <c r="J17206" t="s">
        <v>1357</v>
      </c>
      <c r="K17206" t="s">
        <v>1357</v>
      </c>
      <c r="L17206" t="s">
        <v>1357</v>
      </c>
    </row>
    <row r="17207" spans="6:12">
      <c r="H17207" t="s">
        <v>25176</v>
      </c>
      <c r="I17207" t="s">
        <v>1357</v>
      </c>
      <c r="J17207" t="s">
        <v>1357</v>
      </c>
      <c r="K17207" t="s">
        <v>1357</v>
      </c>
      <c r="L17207" t="s">
        <v>1357</v>
      </c>
    </row>
    <row r="17208" spans="6:12">
      <c r="H17208" t="s">
        <v>25177</v>
      </c>
      <c r="I17208" t="s">
        <v>1357</v>
      </c>
      <c r="J17208" t="s">
        <v>1357</v>
      </c>
      <c r="K17208" t="s">
        <v>1357</v>
      </c>
      <c r="L17208" t="s">
        <v>1357</v>
      </c>
    </row>
    <row r="17209" spans="6:12">
      <c r="H17209" t="s">
        <v>25178</v>
      </c>
      <c r="I17209" t="s">
        <v>1357</v>
      </c>
      <c r="J17209" t="s">
        <v>1357</v>
      </c>
      <c r="K17209" t="s">
        <v>1357</v>
      </c>
      <c r="L17209" t="s">
        <v>1357</v>
      </c>
    </row>
    <row r="17210" spans="6:12">
      <c r="H17210" t="s">
        <v>25179</v>
      </c>
      <c r="I17210" t="s">
        <v>1357</v>
      </c>
      <c r="J17210" t="s">
        <v>1357</v>
      </c>
      <c r="K17210" t="s">
        <v>1357</v>
      </c>
      <c r="L17210" t="s">
        <v>1357</v>
      </c>
    </row>
    <row r="17211" spans="6:12">
      <c r="H17211" t="s">
        <v>25180</v>
      </c>
      <c r="I17211" t="s">
        <v>1357</v>
      </c>
      <c r="J17211" t="s">
        <v>1357</v>
      </c>
      <c r="K17211" t="s">
        <v>1357</v>
      </c>
      <c r="L17211" t="s">
        <v>1357</v>
      </c>
    </row>
    <row r="17212" spans="6:12">
      <c r="F17212" t="s">
        <v>16927</v>
      </c>
      <c r="G17212" t="s">
        <v>19538</v>
      </c>
      <c r="H17212" t="s">
        <v>25181</v>
      </c>
      <c r="I17212" t="s">
        <v>1357</v>
      </c>
      <c r="J17212" t="s">
        <v>1357</v>
      </c>
      <c r="K17212" t="s">
        <v>1357</v>
      </c>
      <c r="L17212" t="s">
        <v>1357</v>
      </c>
    </row>
    <row r="17213" spans="6:12">
      <c r="F17213" t="s">
        <v>16928</v>
      </c>
      <c r="G17213" t="s">
        <v>19539</v>
      </c>
      <c r="H17213" t="s">
        <v>25182</v>
      </c>
      <c r="I17213" t="s">
        <v>1357</v>
      </c>
      <c r="J17213" t="s">
        <v>1357</v>
      </c>
      <c r="K17213" t="s">
        <v>1357</v>
      </c>
      <c r="L17213" t="s">
        <v>1357</v>
      </c>
    </row>
    <row r="17214" spans="6:12">
      <c r="F17214" t="s">
        <v>16929</v>
      </c>
      <c r="G17214" t="s">
        <v>19540</v>
      </c>
      <c r="H17214" t="s">
        <v>20014</v>
      </c>
      <c r="I17214" t="s">
        <v>1357</v>
      </c>
      <c r="J17214" t="s">
        <v>1357</v>
      </c>
      <c r="K17214" t="s">
        <v>1357</v>
      </c>
      <c r="L17214" t="s">
        <v>1357</v>
      </c>
    </row>
    <row r="17215" spans="6:12">
      <c r="H17215" t="s">
        <v>3380</v>
      </c>
      <c r="I17215" t="s">
        <v>1357</v>
      </c>
      <c r="J17215" t="s">
        <v>1357</v>
      </c>
      <c r="K17215" t="s">
        <v>1357</v>
      </c>
      <c r="L17215" t="s">
        <v>1357</v>
      </c>
    </row>
    <row r="17216" spans="6:12">
      <c r="F17216" t="s">
        <v>16271</v>
      </c>
      <c r="G17216" t="s">
        <v>18944</v>
      </c>
      <c r="H17216" t="s">
        <v>25183</v>
      </c>
      <c r="I17216" t="s">
        <v>1357</v>
      </c>
      <c r="J17216" t="s">
        <v>1357</v>
      </c>
      <c r="K17216" t="s">
        <v>1357</v>
      </c>
      <c r="L17216" t="s">
        <v>1357</v>
      </c>
    </row>
    <row r="17217" spans="6:12">
      <c r="H17217" t="s">
        <v>4574</v>
      </c>
      <c r="I17217" t="s">
        <v>1357</v>
      </c>
      <c r="J17217" t="s">
        <v>1357</v>
      </c>
      <c r="K17217" t="s">
        <v>1357</v>
      </c>
      <c r="L17217" t="s">
        <v>1357</v>
      </c>
    </row>
    <row r="17218" spans="6:12">
      <c r="H17218" t="s">
        <v>22462</v>
      </c>
      <c r="I17218" t="s">
        <v>1357</v>
      </c>
      <c r="J17218" t="s">
        <v>1357</v>
      </c>
      <c r="K17218" t="s">
        <v>1357</v>
      </c>
      <c r="L17218" t="s">
        <v>1357</v>
      </c>
    </row>
    <row r="17219" spans="6:12">
      <c r="H17219" t="s">
        <v>22463</v>
      </c>
      <c r="I17219" t="s">
        <v>1357</v>
      </c>
      <c r="J17219" t="s">
        <v>1357</v>
      </c>
      <c r="K17219" t="s">
        <v>1357</v>
      </c>
      <c r="L17219" t="s">
        <v>1357</v>
      </c>
    </row>
    <row r="17220" spans="6:12">
      <c r="H17220" t="s">
        <v>25184</v>
      </c>
      <c r="I17220" t="s">
        <v>1357</v>
      </c>
      <c r="J17220" t="s">
        <v>1357</v>
      </c>
      <c r="K17220" t="s">
        <v>1357</v>
      </c>
      <c r="L17220" t="s">
        <v>1357</v>
      </c>
    </row>
    <row r="17221" spans="6:12">
      <c r="H17221" t="s">
        <v>25185</v>
      </c>
      <c r="I17221" t="s">
        <v>1357</v>
      </c>
      <c r="J17221" t="s">
        <v>1357</v>
      </c>
      <c r="K17221" t="s">
        <v>1357</v>
      </c>
      <c r="L17221" t="s">
        <v>1357</v>
      </c>
    </row>
    <row r="17222" spans="6:12">
      <c r="H17222" t="s">
        <v>25186</v>
      </c>
      <c r="I17222" t="s">
        <v>1357</v>
      </c>
      <c r="J17222" t="s">
        <v>1357</v>
      </c>
      <c r="K17222" t="s">
        <v>1357</v>
      </c>
      <c r="L17222" t="s">
        <v>1357</v>
      </c>
    </row>
    <row r="17223" spans="6:12">
      <c r="F17223" t="s">
        <v>16930</v>
      </c>
      <c r="G17223" t="s">
        <v>19541</v>
      </c>
      <c r="H17223" t="s">
        <v>25187</v>
      </c>
      <c r="I17223" t="s">
        <v>1357</v>
      </c>
      <c r="J17223" t="s">
        <v>1357</v>
      </c>
      <c r="K17223" t="s">
        <v>1357</v>
      </c>
      <c r="L17223" t="s">
        <v>1357</v>
      </c>
    </row>
    <row r="17224" spans="6:12">
      <c r="H17224" t="s">
        <v>25188</v>
      </c>
      <c r="I17224" t="s">
        <v>1357</v>
      </c>
      <c r="J17224" t="s">
        <v>1357</v>
      </c>
      <c r="K17224" t="s">
        <v>1357</v>
      </c>
      <c r="L17224" t="s">
        <v>1357</v>
      </c>
    </row>
    <row r="17225" spans="6:12">
      <c r="H17225" t="s">
        <v>25189</v>
      </c>
      <c r="I17225" t="s">
        <v>1357</v>
      </c>
      <c r="J17225" t="s">
        <v>1357</v>
      </c>
      <c r="K17225" t="s">
        <v>1357</v>
      </c>
      <c r="L17225" t="s">
        <v>1357</v>
      </c>
    </row>
    <row r="17226" spans="6:12">
      <c r="H17226" t="s">
        <v>25190</v>
      </c>
      <c r="I17226" t="s">
        <v>1357</v>
      </c>
      <c r="J17226" t="s">
        <v>1357</v>
      </c>
      <c r="K17226" t="s">
        <v>1357</v>
      </c>
      <c r="L17226" t="s">
        <v>1357</v>
      </c>
    </row>
    <row r="17227" spans="6:12">
      <c r="H17227" t="s">
        <v>25191</v>
      </c>
      <c r="I17227" t="s">
        <v>1357</v>
      </c>
      <c r="J17227" t="s">
        <v>1357</v>
      </c>
      <c r="K17227" t="s">
        <v>1357</v>
      </c>
      <c r="L17227" t="s">
        <v>1357</v>
      </c>
    </row>
    <row r="17228" spans="6:12">
      <c r="F17228" t="s">
        <v>16931</v>
      </c>
      <c r="G17228" t="s">
        <v>19542</v>
      </c>
      <c r="H17228" t="s">
        <v>25192</v>
      </c>
      <c r="I17228" t="s">
        <v>1357</v>
      </c>
      <c r="J17228" t="s">
        <v>1357</v>
      </c>
      <c r="K17228" t="s">
        <v>1357</v>
      </c>
      <c r="L17228" t="s">
        <v>1357</v>
      </c>
    </row>
    <row r="17229" spans="6:12">
      <c r="F17229" t="s">
        <v>16932</v>
      </c>
      <c r="G17229" t="s">
        <v>19543</v>
      </c>
      <c r="H17229" t="s">
        <v>25193</v>
      </c>
      <c r="I17229" t="s">
        <v>1357</v>
      </c>
      <c r="J17229" t="s">
        <v>1357</v>
      </c>
      <c r="K17229" t="s">
        <v>1357</v>
      </c>
      <c r="L17229" t="s">
        <v>1357</v>
      </c>
    </row>
    <row r="17230" spans="6:12">
      <c r="H17230" t="s">
        <v>25194</v>
      </c>
      <c r="I17230" t="s">
        <v>1357</v>
      </c>
      <c r="J17230" t="s">
        <v>1357</v>
      </c>
      <c r="K17230" t="s">
        <v>1357</v>
      </c>
      <c r="L17230" t="s">
        <v>1357</v>
      </c>
    </row>
    <row r="17231" spans="6:12">
      <c r="H17231" t="s">
        <v>25195</v>
      </c>
      <c r="I17231" t="s">
        <v>1357</v>
      </c>
      <c r="J17231" t="s">
        <v>1357</v>
      </c>
      <c r="K17231" t="s">
        <v>1357</v>
      </c>
      <c r="L17231" t="s">
        <v>1357</v>
      </c>
    </row>
    <row r="17232" spans="6:12">
      <c r="H17232" t="s">
        <v>25196</v>
      </c>
      <c r="I17232" t="s">
        <v>1357</v>
      </c>
      <c r="J17232" t="s">
        <v>1357</v>
      </c>
      <c r="K17232" t="s">
        <v>1357</v>
      </c>
      <c r="L17232" t="s">
        <v>1357</v>
      </c>
    </row>
    <row r="17233" spans="6:12">
      <c r="H17233" t="s">
        <v>25197</v>
      </c>
      <c r="I17233" t="s">
        <v>1357</v>
      </c>
      <c r="J17233" t="s">
        <v>1357</v>
      </c>
      <c r="K17233" t="s">
        <v>1357</v>
      </c>
      <c r="L17233" t="s">
        <v>1357</v>
      </c>
    </row>
    <row r="17234" spans="6:12">
      <c r="H17234" t="s">
        <v>25198</v>
      </c>
      <c r="I17234" t="s">
        <v>1357</v>
      </c>
      <c r="J17234" t="s">
        <v>1357</v>
      </c>
      <c r="K17234" t="s">
        <v>1357</v>
      </c>
      <c r="L17234" t="s">
        <v>1357</v>
      </c>
    </row>
    <row r="17235" spans="6:12">
      <c r="H17235" t="s">
        <v>25199</v>
      </c>
      <c r="I17235" t="s">
        <v>1357</v>
      </c>
      <c r="J17235" t="s">
        <v>1357</v>
      </c>
      <c r="K17235" t="s">
        <v>1357</v>
      </c>
      <c r="L17235" t="s">
        <v>1357</v>
      </c>
    </row>
    <row r="17236" spans="6:12">
      <c r="H17236" t="s">
        <v>25200</v>
      </c>
      <c r="I17236" t="s">
        <v>1357</v>
      </c>
      <c r="J17236" t="s">
        <v>1357</v>
      </c>
      <c r="K17236" t="s">
        <v>1357</v>
      </c>
      <c r="L17236" t="s">
        <v>1357</v>
      </c>
    </row>
    <row r="17237" spans="6:12">
      <c r="F17237" t="s">
        <v>16933</v>
      </c>
      <c r="G17237" t="s">
        <v>19544</v>
      </c>
      <c r="H17237" t="s">
        <v>20014</v>
      </c>
      <c r="I17237" t="s">
        <v>1357</v>
      </c>
      <c r="J17237" t="s">
        <v>1357</v>
      </c>
      <c r="K17237" t="s">
        <v>1357</v>
      </c>
      <c r="L17237" t="s">
        <v>1357</v>
      </c>
    </row>
    <row r="17238" spans="6:12">
      <c r="H17238" t="s">
        <v>3380</v>
      </c>
      <c r="I17238" t="s">
        <v>1357</v>
      </c>
      <c r="J17238" t="s">
        <v>1357</v>
      </c>
      <c r="K17238" t="s">
        <v>1357</v>
      </c>
      <c r="L17238" t="s">
        <v>1357</v>
      </c>
    </row>
    <row r="17239" spans="6:12">
      <c r="F17239" t="s">
        <v>16934</v>
      </c>
      <c r="G17239" t="s">
        <v>19545</v>
      </c>
      <c r="H17239" t="s">
        <v>20014</v>
      </c>
      <c r="I17239" t="s">
        <v>1357</v>
      </c>
      <c r="J17239" t="s">
        <v>1357</v>
      </c>
      <c r="K17239" t="s">
        <v>1357</v>
      </c>
      <c r="L17239" t="s">
        <v>1357</v>
      </c>
    </row>
    <row r="17240" spans="6:12">
      <c r="H17240" t="s">
        <v>3380</v>
      </c>
      <c r="I17240" t="s">
        <v>1357</v>
      </c>
      <c r="J17240" t="s">
        <v>1357</v>
      </c>
      <c r="K17240" t="s">
        <v>1357</v>
      </c>
      <c r="L17240" t="s">
        <v>1357</v>
      </c>
    </row>
    <row r="17241" spans="6:12">
      <c r="F17241" t="s">
        <v>16512</v>
      </c>
      <c r="G17241" t="s">
        <v>19170</v>
      </c>
      <c r="H17241" t="s">
        <v>25201</v>
      </c>
      <c r="I17241" t="s">
        <v>1357</v>
      </c>
      <c r="J17241" t="s">
        <v>1357</v>
      </c>
      <c r="K17241" t="s">
        <v>1357</v>
      </c>
      <c r="L17241" t="s">
        <v>1357</v>
      </c>
    </row>
    <row r="17242" spans="6:12">
      <c r="H17242" t="s">
        <v>25202</v>
      </c>
      <c r="I17242" t="s">
        <v>1357</v>
      </c>
      <c r="J17242" t="s">
        <v>1357</v>
      </c>
      <c r="K17242" t="s">
        <v>1357</v>
      </c>
      <c r="L17242" t="s">
        <v>1357</v>
      </c>
    </row>
    <row r="17243" spans="6:12">
      <c r="H17243" t="s">
        <v>25203</v>
      </c>
      <c r="I17243" t="s">
        <v>1357</v>
      </c>
      <c r="J17243" t="s">
        <v>1357</v>
      </c>
      <c r="K17243" t="s">
        <v>1357</v>
      </c>
      <c r="L17243" t="s">
        <v>1357</v>
      </c>
    </row>
    <row r="17244" spans="6:12">
      <c r="H17244" t="s">
        <v>25204</v>
      </c>
      <c r="I17244" t="s">
        <v>1357</v>
      </c>
      <c r="J17244" t="s">
        <v>1357</v>
      </c>
      <c r="K17244" t="s">
        <v>1357</v>
      </c>
      <c r="L17244" t="s">
        <v>1357</v>
      </c>
    </row>
    <row r="17245" spans="6:12">
      <c r="H17245" t="s">
        <v>25205</v>
      </c>
      <c r="I17245" t="s">
        <v>1357</v>
      </c>
      <c r="J17245" t="s">
        <v>1357</v>
      </c>
      <c r="K17245" t="s">
        <v>1357</v>
      </c>
      <c r="L17245" t="s">
        <v>1357</v>
      </c>
    </row>
    <row r="17246" spans="6:12">
      <c r="H17246" t="s">
        <v>25206</v>
      </c>
      <c r="I17246" t="s">
        <v>1357</v>
      </c>
      <c r="J17246" t="s">
        <v>1357</v>
      </c>
      <c r="K17246" t="s">
        <v>1357</v>
      </c>
      <c r="L17246" t="s">
        <v>1357</v>
      </c>
    </row>
    <row r="17247" spans="6:12">
      <c r="H17247" t="s">
        <v>25207</v>
      </c>
      <c r="I17247" t="s">
        <v>1357</v>
      </c>
      <c r="J17247" t="s">
        <v>1357</v>
      </c>
      <c r="K17247" t="s">
        <v>1357</v>
      </c>
      <c r="L17247" t="s">
        <v>1357</v>
      </c>
    </row>
    <row r="17248" spans="6:12">
      <c r="H17248" t="s">
        <v>25208</v>
      </c>
      <c r="I17248" t="s">
        <v>1357</v>
      </c>
      <c r="J17248" t="s">
        <v>1357</v>
      </c>
      <c r="K17248" t="s">
        <v>1357</v>
      </c>
      <c r="L17248" t="s">
        <v>1357</v>
      </c>
    </row>
    <row r="17249" spans="6:13">
      <c r="F17249" t="s">
        <v>16935</v>
      </c>
      <c r="G17249" t="s">
        <v>19546</v>
      </c>
      <c r="H17249" t="s">
        <v>25209</v>
      </c>
      <c r="I17249" t="s">
        <v>1357</v>
      </c>
      <c r="J17249" t="s">
        <v>1357</v>
      </c>
      <c r="K17249" t="s">
        <v>1357</v>
      </c>
      <c r="L17249" t="s">
        <v>1357</v>
      </c>
    </row>
    <row r="17250" spans="6:13">
      <c r="F17250" t="s">
        <v>16936</v>
      </c>
      <c r="G17250" t="s">
        <v>19547</v>
      </c>
      <c r="H17250" t="s">
        <v>25210</v>
      </c>
      <c r="I17250" t="s">
        <v>1357</v>
      </c>
      <c r="J17250" t="s">
        <v>1357</v>
      </c>
      <c r="K17250" t="s">
        <v>1357</v>
      </c>
      <c r="L17250" t="s">
        <v>1357</v>
      </c>
    </row>
    <row r="17251" spans="6:13">
      <c r="F17251" t="s">
        <v>16937</v>
      </c>
      <c r="G17251" t="s">
        <v>19548</v>
      </c>
      <c r="H17251" t="s">
        <v>795</v>
      </c>
      <c r="I17251" t="s">
        <v>1357</v>
      </c>
      <c r="J17251" t="s">
        <v>1357</v>
      </c>
      <c r="K17251" t="s">
        <v>1357</v>
      </c>
      <c r="L17251" t="s">
        <v>1357</v>
      </c>
    </row>
    <row r="17252" spans="6:13">
      <c r="H17252" t="s">
        <v>25211</v>
      </c>
      <c r="I17252" t="s">
        <v>1357</v>
      </c>
      <c r="J17252" t="s">
        <v>1357</v>
      </c>
      <c r="K17252" t="s">
        <v>1357</v>
      </c>
      <c r="L17252" t="s">
        <v>1357</v>
      </c>
    </row>
    <row r="17253" spans="6:13">
      <c r="H17253" t="s">
        <v>25212</v>
      </c>
      <c r="I17253" t="s">
        <v>1357</v>
      </c>
      <c r="J17253" t="s">
        <v>1357</v>
      </c>
      <c r="K17253" t="s">
        <v>1357</v>
      </c>
      <c r="L17253" t="s">
        <v>1357</v>
      </c>
    </row>
    <row r="17254" spans="6:13">
      <c r="H17254" t="s">
        <v>25213</v>
      </c>
      <c r="I17254" t="s">
        <v>1357</v>
      </c>
      <c r="J17254" t="s">
        <v>1357</v>
      </c>
      <c r="K17254" t="s">
        <v>1357</v>
      </c>
      <c r="L17254" t="s">
        <v>1357</v>
      </c>
    </row>
    <row r="17255" spans="6:13">
      <c r="F17255" t="s">
        <v>16938</v>
      </c>
      <c r="G17255" t="s">
        <v>19549</v>
      </c>
      <c r="H17255" t="s">
        <v>795</v>
      </c>
      <c r="I17255" t="s">
        <v>1357</v>
      </c>
      <c r="J17255" t="s">
        <v>1357</v>
      </c>
      <c r="K17255" t="s">
        <v>1357</v>
      </c>
      <c r="L17255" t="s">
        <v>1357</v>
      </c>
    </row>
    <row r="17256" spans="6:13">
      <c r="H17256" t="s">
        <v>25214</v>
      </c>
      <c r="I17256" t="s">
        <v>1357</v>
      </c>
      <c r="J17256" t="s">
        <v>1357</v>
      </c>
      <c r="K17256" t="s">
        <v>1357</v>
      </c>
      <c r="L17256" t="s">
        <v>1357</v>
      </c>
    </row>
    <row r="17257" spans="6:13">
      <c r="F17257" t="s">
        <v>16939</v>
      </c>
      <c r="G17257" t="s">
        <v>19550</v>
      </c>
      <c r="H17257" t="s">
        <v>25215</v>
      </c>
      <c r="I17257" t="s">
        <v>1357</v>
      </c>
      <c r="J17257" t="s">
        <v>1357</v>
      </c>
      <c r="K17257" t="s">
        <v>1357</v>
      </c>
      <c r="L17257" t="s">
        <v>1357</v>
      </c>
    </row>
    <row r="17258" spans="6:13">
      <c r="H17258" t="s">
        <v>25216</v>
      </c>
      <c r="I17258" t="s">
        <v>1357</v>
      </c>
      <c r="J17258" t="s">
        <v>1357</v>
      </c>
      <c r="K17258" t="s">
        <v>1357</v>
      </c>
      <c r="L17258" t="s">
        <v>1357</v>
      </c>
    </row>
    <row r="17259" spans="6:13">
      <c r="H17259" t="s">
        <v>25217</v>
      </c>
      <c r="I17259" t="s">
        <v>1357</v>
      </c>
      <c r="J17259" t="s">
        <v>1357</v>
      </c>
      <c r="K17259" t="s">
        <v>1357</v>
      </c>
      <c r="L17259" t="s">
        <v>1357</v>
      </c>
    </row>
    <row r="17260" spans="6:13">
      <c r="F17260" t="s">
        <v>16744</v>
      </c>
      <c r="G17260" t="s">
        <v>19373</v>
      </c>
      <c r="H17260" t="s">
        <v>25218</v>
      </c>
      <c r="I17260" t="s">
        <v>1357</v>
      </c>
      <c r="J17260" t="s">
        <v>1357</v>
      </c>
      <c r="K17260" t="s">
        <v>1357</v>
      </c>
      <c r="L17260" t="s">
        <v>1357</v>
      </c>
    </row>
    <row r="17261" spans="6:13">
      <c r="H17261" t="s">
        <v>25214</v>
      </c>
      <c r="I17261" t="s">
        <v>1357</v>
      </c>
      <c r="J17261" t="s">
        <v>1357</v>
      </c>
      <c r="K17261" t="s">
        <v>1357</v>
      </c>
      <c r="L17261" t="s">
        <v>1357</v>
      </c>
    </row>
    <row r="17262" spans="6:13">
      <c r="H17262" t="s">
        <v>25219</v>
      </c>
      <c r="I17262" t="s">
        <v>1357</v>
      </c>
      <c r="J17262" t="s">
        <v>1357</v>
      </c>
      <c r="K17262" t="s">
        <v>1357</v>
      </c>
      <c r="L17262" t="s">
        <v>1357</v>
      </c>
      <c r="M17262" t="s">
        <v>9957</v>
      </c>
    </row>
    <row r="17263" spans="6:13">
      <c r="H17263" t="s">
        <v>25220</v>
      </c>
      <c r="I17263" t="s">
        <v>1357</v>
      </c>
      <c r="J17263" t="s">
        <v>1357</v>
      </c>
      <c r="K17263" t="s">
        <v>1357</v>
      </c>
      <c r="L17263" t="s">
        <v>1357</v>
      </c>
    </row>
    <row r="17264" spans="6:13">
      <c r="H17264" t="s">
        <v>25221</v>
      </c>
      <c r="I17264" t="s">
        <v>1357</v>
      </c>
      <c r="J17264" t="s">
        <v>1357</v>
      </c>
      <c r="K17264" t="s">
        <v>1357</v>
      </c>
      <c r="L17264" t="s">
        <v>1357</v>
      </c>
    </row>
    <row r="17265" spans="6:12">
      <c r="H17265" t="s">
        <v>25222</v>
      </c>
      <c r="I17265" t="s">
        <v>1357</v>
      </c>
      <c r="J17265" t="s">
        <v>1357</v>
      </c>
      <c r="K17265" t="s">
        <v>1357</v>
      </c>
      <c r="L17265" t="s">
        <v>1357</v>
      </c>
    </row>
    <row r="17266" spans="6:12">
      <c r="H17266" t="s">
        <v>25223</v>
      </c>
      <c r="I17266" t="s">
        <v>1357</v>
      </c>
      <c r="J17266" t="s">
        <v>1357</v>
      </c>
      <c r="K17266" t="s">
        <v>1357</v>
      </c>
      <c r="L17266" t="s">
        <v>1357</v>
      </c>
    </row>
    <row r="17267" spans="6:12">
      <c r="H17267" t="s">
        <v>25224</v>
      </c>
      <c r="I17267" t="s">
        <v>1357</v>
      </c>
      <c r="J17267" t="s">
        <v>1357</v>
      </c>
      <c r="K17267" t="s">
        <v>1357</v>
      </c>
      <c r="L17267" t="s">
        <v>1357</v>
      </c>
    </row>
    <row r="17268" spans="6:12">
      <c r="F17268" t="s">
        <v>16940</v>
      </c>
      <c r="G17268" t="s">
        <v>19551</v>
      </c>
      <c r="H17268" t="s">
        <v>25225</v>
      </c>
      <c r="I17268" t="s">
        <v>1357</v>
      </c>
      <c r="J17268" t="s">
        <v>1357</v>
      </c>
      <c r="K17268" t="s">
        <v>1357</v>
      </c>
      <c r="L17268" t="s">
        <v>1357</v>
      </c>
    </row>
    <row r="17269" spans="6:12">
      <c r="F17269" t="s">
        <v>14545</v>
      </c>
      <c r="G17269" t="s">
        <v>17390</v>
      </c>
      <c r="H17269" t="s">
        <v>25226</v>
      </c>
      <c r="I17269" t="s">
        <v>1357</v>
      </c>
      <c r="J17269" t="s">
        <v>1357</v>
      </c>
      <c r="K17269" t="s">
        <v>1357</v>
      </c>
      <c r="L17269" t="s">
        <v>1357</v>
      </c>
    </row>
    <row r="17270" spans="6:12">
      <c r="H17270" t="s">
        <v>25227</v>
      </c>
      <c r="I17270" t="s">
        <v>1357</v>
      </c>
      <c r="J17270" t="s">
        <v>1357</v>
      </c>
      <c r="K17270" t="s">
        <v>1357</v>
      </c>
      <c r="L17270" t="s">
        <v>1357</v>
      </c>
    </row>
    <row r="17271" spans="6:12">
      <c r="H17271" t="s">
        <v>25228</v>
      </c>
      <c r="I17271" t="s">
        <v>1357</v>
      </c>
      <c r="J17271" t="s">
        <v>1357</v>
      </c>
      <c r="K17271" t="s">
        <v>1357</v>
      </c>
      <c r="L17271" t="s">
        <v>1357</v>
      </c>
    </row>
    <row r="17272" spans="6:12">
      <c r="H17272" t="s">
        <v>25229</v>
      </c>
      <c r="I17272" t="s">
        <v>1357</v>
      </c>
      <c r="J17272" t="s">
        <v>1357</v>
      </c>
      <c r="K17272" t="s">
        <v>1357</v>
      </c>
      <c r="L17272" t="s">
        <v>1357</v>
      </c>
    </row>
    <row r="17273" spans="6:12">
      <c r="H17273" t="s">
        <v>25230</v>
      </c>
      <c r="I17273" t="s">
        <v>1357</v>
      </c>
      <c r="J17273" t="s">
        <v>1357</v>
      </c>
      <c r="K17273" t="s">
        <v>1357</v>
      </c>
      <c r="L17273" t="s">
        <v>1357</v>
      </c>
    </row>
    <row r="17274" spans="6:12">
      <c r="F17274" t="s">
        <v>16941</v>
      </c>
      <c r="G17274" t="s">
        <v>19552</v>
      </c>
      <c r="H17274" t="s">
        <v>23990</v>
      </c>
      <c r="I17274" t="s">
        <v>1357</v>
      </c>
      <c r="J17274" t="s">
        <v>1357</v>
      </c>
      <c r="K17274" t="s">
        <v>1357</v>
      </c>
      <c r="L17274" t="s">
        <v>1357</v>
      </c>
    </row>
    <row r="17275" spans="6:12">
      <c r="H17275" t="s">
        <v>25231</v>
      </c>
      <c r="I17275" t="s">
        <v>1357</v>
      </c>
      <c r="J17275" t="s">
        <v>1357</v>
      </c>
      <c r="K17275" t="s">
        <v>1357</v>
      </c>
      <c r="L17275" t="s">
        <v>1357</v>
      </c>
    </row>
    <row r="17276" spans="6:12">
      <c r="H17276" t="s">
        <v>25232</v>
      </c>
      <c r="I17276" t="s">
        <v>1357</v>
      </c>
      <c r="J17276" t="s">
        <v>1357</v>
      </c>
      <c r="K17276" t="s">
        <v>1357</v>
      </c>
      <c r="L17276" t="s">
        <v>1357</v>
      </c>
    </row>
    <row r="17277" spans="6:12">
      <c r="H17277" t="s">
        <v>812</v>
      </c>
      <c r="I17277" t="s">
        <v>1357</v>
      </c>
      <c r="J17277" t="s">
        <v>1357</v>
      </c>
      <c r="K17277" t="s">
        <v>1357</v>
      </c>
      <c r="L17277" t="s">
        <v>1357</v>
      </c>
    </row>
    <row r="17278" spans="6:12">
      <c r="H17278" t="s">
        <v>1850</v>
      </c>
      <c r="I17278" t="s">
        <v>1357</v>
      </c>
      <c r="J17278" t="s">
        <v>1357</v>
      </c>
      <c r="K17278" t="s">
        <v>1357</v>
      </c>
      <c r="L17278" t="s">
        <v>1357</v>
      </c>
    </row>
    <row r="17279" spans="6:12">
      <c r="H17279" t="s">
        <v>25233</v>
      </c>
      <c r="I17279" t="s">
        <v>1357</v>
      </c>
      <c r="J17279" t="s">
        <v>1357</v>
      </c>
      <c r="K17279" t="s">
        <v>1357</v>
      </c>
      <c r="L17279" t="s">
        <v>1357</v>
      </c>
    </row>
    <row r="17280" spans="6:12">
      <c r="H17280" t="s">
        <v>25234</v>
      </c>
      <c r="I17280" t="s">
        <v>1357</v>
      </c>
      <c r="J17280" t="s">
        <v>1357</v>
      </c>
      <c r="K17280" t="s">
        <v>1357</v>
      </c>
      <c r="L17280" t="s">
        <v>1357</v>
      </c>
    </row>
    <row r="17281" spans="8:12">
      <c r="H17281" t="s">
        <v>25235</v>
      </c>
      <c r="I17281" t="s">
        <v>1357</v>
      </c>
      <c r="J17281" t="s">
        <v>1357</v>
      </c>
      <c r="K17281" t="s">
        <v>1357</v>
      </c>
      <c r="L17281" t="s">
        <v>1357</v>
      </c>
    </row>
    <row r="17282" spans="8:12">
      <c r="H17282" t="s">
        <v>25236</v>
      </c>
      <c r="I17282" t="s">
        <v>1357</v>
      </c>
      <c r="J17282" t="s">
        <v>1357</v>
      </c>
      <c r="K17282" t="s">
        <v>1357</v>
      </c>
      <c r="L17282" t="s">
        <v>1357</v>
      </c>
    </row>
    <row r="17283" spans="8:12">
      <c r="H17283" t="s">
        <v>25237</v>
      </c>
      <c r="I17283" t="s">
        <v>1357</v>
      </c>
      <c r="J17283" t="s">
        <v>1357</v>
      </c>
      <c r="K17283" t="s">
        <v>1357</v>
      </c>
      <c r="L17283" t="s">
        <v>1357</v>
      </c>
    </row>
    <row r="17284" spans="8:12">
      <c r="H17284" t="s">
        <v>25238</v>
      </c>
      <c r="I17284" t="s">
        <v>1357</v>
      </c>
      <c r="J17284" t="s">
        <v>1357</v>
      </c>
      <c r="K17284" t="s">
        <v>1357</v>
      </c>
      <c r="L17284" t="s">
        <v>1357</v>
      </c>
    </row>
    <row r="17285" spans="8:12">
      <c r="H17285" t="s">
        <v>25239</v>
      </c>
      <c r="I17285" t="s">
        <v>1357</v>
      </c>
      <c r="J17285" t="s">
        <v>1357</v>
      </c>
      <c r="K17285" t="s">
        <v>1357</v>
      </c>
      <c r="L17285" t="s">
        <v>1357</v>
      </c>
    </row>
    <row r="17286" spans="8:12">
      <c r="H17286" t="s">
        <v>25240</v>
      </c>
      <c r="I17286" t="s">
        <v>1357</v>
      </c>
      <c r="J17286" t="s">
        <v>1357</v>
      </c>
      <c r="K17286" t="s">
        <v>1357</v>
      </c>
      <c r="L17286" t="s">
        <v>1357</v>
      </c>
    </row>
    <row r="17287" spans="8:12">
      <c r="H17287" t="s">
        <v>25241</v>
      </c>
      <c r="I17287" t="s">
        <v>1357</v>
      </c>
      <c r="J17287" t="s">
        <v>1357</v>
      </c>
      <c r="K17287" t="s">
        <v>1357</v>
      </c>
      <c r="L17287" t="s">
        <v>1357</v>
      </c>
    </row>
    <row r="17288" spans="8:12">
      <c r="H17288" t="s">
        <v>25242</v>
      </c>
      <c r="I17288" t="s">
        <v>1357</v>
      </c>
      <c r="J17288" t="s">
        <v>1357</v>
      </c>
      <c r="K17288" t="s">
        <v>1357</v>
      </c>
      <c r="L17288" t="s">
        <v>1357</v>
      </c>
    </row>
    <row r="17289" spans="8:12">
      <c r="H17289" t="s">
        <v>25243</v>
      </c>
      <c r="I17289" t="s">
        <v>1357</v>
      </c>
      <c r="J17289" t="s">
        <v>1357</v>
      </c>
      <c r="K17289" t="s">
        <v>1357</v>
      </c>
      <c r="L17289" t="s">
        <v>1357</v>
      </c>
    </row>
    <row r="17290" spans="8:12">
      <c r="H17290" t="s">
        <v>25244</v>
      </c>
      <c r="I17290" t="s">
        <v>1357</v>
      </c>
      <c r="J17290" t="s">
        <v>1357</v>
      </c>
      <c r="K17290" t="s">
        <v>1357</v>
      </c>
      <c r="L17290" t="s">
        <v>1357</v>
      </c>
    </row>
    <row r="17291" spans="8:12">
      <c r="H17291" t="s">
        <v>25245</v>
      </c>
      <c r="I17291" t="s">
        <v>1357</v>
      </c>
      <c r="J17291" t="s">
        <v>1357</v>
      </c>
      <c r="K17291" t="s">
        <v>1357</v>
      </c>
      <c r="L17291" t="s">
        <v>1357</v>
      </c>
    </row>
    <row r="17292" spans="8:12">
      <c r="H17292" t="s">
        <v>25246</v>
      </c>
      <c r="I17292" t="s">
        <v>1357</v>
      </c>
      <c r="J17292" t="s">
        <v>1357</v>
      </c>
      <c r="K17292" t="s">
        <v>1357</v>
      </c>
      <c r="L17292" t="s">
        <v>1357</v>
      </c>
    </row>
    <row r="17293" spans="8:12">
      <c r="H17293" t="s">
        <v>25247</v>
      </c>
      <c r="I17293" t="s">
        <v>1357</v>
      </c>
      <c r="J17293" t="s">
        <v>1357</v>
      </c>
      <c r="K17293" t="s">
        <v>1357</v>
      </c>
      <c r="L17293" t="s">
        <v>1357</v>
      </c>
    </row>
    <row r="17294" spans="8:12">
      <c r="H17294" t="s">
        <v>25248</v>
      </c>
      <c r="I17294" t="s">
        <v>1357</v>
      </c>
      <c r="J17294" t="s">
        <v>1357</v>
      </c>
      <c r="K17294" t="s">
        <v>1357</v>
      </c>
      <c r="L17294" t="s">
        <v>1357</v>
      </c>
    </row>
    <row r="17295" spans="8:12">
      <c r="H17295" t="s">
        <v>25249</v>
      </c>
      <c r="I17295" t="s">
        <v>1357</v>
      </c>
      <c r="J17295" t="s">
        <v>1357</v>
      </c>
      <c r="K17295" t="s">
        <v>1357</v>
      </c>
      <c r="L17295" t="s">
        <v>1357</v>
      </c>
    </row>
    <row r="17296" spans="8:12">
      <c r="H17296" t="s">
        <v>25250</v>
      </c>
      <c r="I17296" t="s">
        <v>1357</v>
      </c>
      <c r="J17296" t="s">
        <v>1357</v>
      </c>
      <c r="K17296" t="s">
        <v>1357</v>
      </c>
      <c r="L17296" t="s">
        <v>1357</v>
      </c>
    </row>
    <row r="17297" spans="6:12">
      <c r="H17297" t="s">
        <v>25251</v>
      </c>
      <c r="I17297" t="s">
        <v>1357</v>
      </c>
      <c r="J17297" t="s">
        <v>1357</v>
      </c>
      <c r="K17297" t="s">
        <v>1357</v>
      </c>
      <c r="L17297" t="s">
        <v>1357</v>
      </c>
    </row>
    <row r="17298" spans="6:12">
      <c r="H17298" t="s">
        <v>25252</v>
      </c>
      <c r="I17298" t="s">
        <v>1357</v>
      </c>
      <c r="J17298" t="s">
        <v>1357</v>
      </c>
      <c r="K17298" t="s">
        <v>1357</v>
      </c>
      <c r="L17298" t="s">
        <v>1357</v>
      </c>
    </row>
    <row r="17299" spans="6:12">
      <c r="H17299" t="s">
        <v>25253</v>
      </c>
      <c r="I17299" t="s">
        <v>1357</v>
      </c>
      <c r="J17299" t="s">
        <v>1357</v>
      </c>
      <c r="K17299" t="s">
        <v>1357</v>
      </c>
      <c r="L17299" t="s">
        <v>1357</v>
      </c>
    </row>
    <row r="17300" spans="6:12">
      <c r="H17300" t="s">
        <v>25254</v>
      </c>
      <c r="I17300" t="s">
        <v>1357</v>
      </c>
      <c r="J17300" t="s">
        <v>1357</v>
      </c>
      <c r="K17300" t="s">
        <v>1357</v>
      </c>
      <c r="L17300" t="s">
        <v>1357</v>
      </c>
    </row>
    <row r="17301" spans="6:12">
      <c r="H17301" t="s">
        <v>25255</v>
      </c>
      <c r="I17301" t="s">
        <v>1357</v>
      </c>
      <c r="J17301" t="s">
        <v>1357</v>
      </c>
      <c r="K17301" t="s">
        <v>1357</v>
      </c>
      <c r="L17301" t="s">
        <v>1357</v>
      </c>
    </row>
    <row r="17302" spans="6:12">
      <c r="H17302" t="s">
        <v>25256</v>
      </c>
      <c r="I17302" t="s">
        <v>1357</v>
      </c>
      <c r="J17302" t="s">
        <v>1357</v>
      </c>
      <c r="K17302" t="s">
        <v>1357</v>
      </c>
      <c r="L17302" t="s">
        <v>1357</v>
      </c>
    </row>
    <row r="17303" spans="6:12">
      <c r="H17303" t="s">
        <v>25257</v>
      </c>
      <c r="I17303" t="s">
        <v>1357</v>
      </c>
      <c r="J17303" t="s">
        <v>1357</v>
      </c>
      <c r="K17303" t="s">
        <v>1357</v>
      </c>
      <c r="L17303" t="s">
        <v>1357</v>
      </c>
    </row>
    <row r="17304" spans="6:12">
      <c r="F17304" t="s">
        <v>16942</v>
      </c>
      <c r="G17304" t="s">
        <v>19553</v>
      </c>
      <c r="H17304" t="s">
        <v>25258</v>
      </c>
      <c r="I17304" t="s">
        <v>1357</v>
      </c>
      <c r="J17304" t="s">
        <v>1357</v>
      </c>
      <c r="K17304" t="s">
        <v>1357</v>
      </c>
      <c r="L17304" t="s">
        <v>1357</v>
      </c>
    </row>
    <row r="17305" spans="6:12">
      <c r="F17305" t="s">
        <v>16943</v>
      </c>
      <c r="G17305" t="s">
        <v>19554</v>
      </c>
      <c r="H17305" t="s">
        <v>25259</v>
      </c>
      <c r="I17305" t="s">
        <v>1357</v>
      </c>
      <c r="J17305" t="s">
        <v>1357</v>
      </c>
      <c r="K17305" t="s">
        <v>1357</v>
      </c>
      <c r="L17305" t="s">
        <v>1357</v>
      </c>
    </row>
    <row r="17306" spans="6:12">
      <c r="H17306" t="s">
        <v>25260</v>
      </c>
      <c r="I17306" t="s">
        <v>1357</v>
      </c>
      <c r="J17306" t="s">
        <v>1357</v>
      </c>
      <c r="K17306" t="s">
        <v>1357</v>
      </c>
      <c r="L17306" t="s">
        <v>1357</v>
      </c>
    </row>
    <row r="17307" spans="6:12">
      <c r="H17307" t="s">
        <v>25261</v>
      </c>
      <c r="I17307" t="s">
        <v>1357</v>
      </c>
      <c r="J17307" t="s">
        <v>1357</v>
      </c>
      <c r="K17307" t="s">
        <v>1357</v>
      </c>
      <c r="L17307" t="s">
        <v>1357</v>
      </c>
    </row>
    <row r="17308" spans="6:12">
      <c r="F17308" t="s">
        <v>16944</v>
      </c>
      <c r="G17308" t="s">
        <v>19555</v>
      </c>
      <c r="H17308" t="s">
        <v>25262</v>
      </c>
      <c r="I17308" t="s">
        <v>1357</v>
      </c>
      <c r="J17308" t="s">
        <v>1357</v>
      </c>
      <c r="K17308" t="s">
        <v>1357</v>
      </c>
      <c r="L17308" t="s">
        <v>1357</v>
      </c>
    </row>
    <row r="17309" spans="6:12">
      <c r="F17309" t="s">
        <v>16945</v>
      </c>
      <c r="G17309" t="s">
        <v>19556</v>
      </c>
      <c r="H17309" t="s">
        <v>795</v>
      </c>
      <c r="I17309" t="s">
        <v>1357</v>
      </c>
      <c r="J17309" t="s">
        <v>1357</v>
      </c>
      <c r="K17309" t="s">
        <v>1357</v>
      </c>
      <c r="L17309" t="s">
        <v>1357</v>
      </c>
    </row>
    <row r="17310" spans="6:12">
      <c r="F17310" t="s">
        <v>16946</v>
      </c>
      <c r="G17310" t="s">
        <v>19557</v>
      </c>
      <c r="H17310" t="s">
        <v>23247</v>
      </c>
      <c r="I17310" t="s">
        <v>1357</v>
      </c>
      <c r="J17310" t="s">
        <v>1357</v>
      </c>
      <c r="K17310" t="s">
        <v>1357</v>
      </c>
      <c r="L17310" t="s">
        <v>1357</v>
      </c>
    </row>
    <row r="17311" spans="6:12">
      <c r="H17311" t="s">
        <v>25263</v>
      </c>
      <c r="I17311" t="s">
        <v>1357</v>
      </c>
      <c r="J17311" t="s">
        <v>1357</v>
      </c>
      <c r="K17311" t="s">
        <v>1357</v>
      </c>
      <c r="L17311" t="s">
        <v>1357</v>
      </c>
    </row>
    <row r="17312" spans="6:12">
      <c r="H17312" t="s">
        <v>25264</v>
      </c>
      <c r="I17312" t="s">
        <v>1357</v>
      </c>
      <c r="J17312" t="s">
        <v>1357</v>
      </c>
      <c r="K17312" t="s">
        <v>1357</v>
      </c>
      <c r="L17312" t="s">
        <v>1357</v>
      </c>
    </row>
    <row r="17313" spans="6:12">
      <c r="H17313" t="s">
        <v>25265</v>
      </c>
      <c r="I17313" t="s">
        <v>1357</v>
      </c>
      <c r="J17313" t="s">
        <v>1357</v>
      </c>
      <c r="K17313" t="s">
        <v>1357</v>
      </c>
      <c r="L17313" t="s">
        <v>1357</v>
      </c>
    </row>
    <row r="17314" spans="6:12">
      <c r="H17314" t="s">
        <v>25266</v>
      </c>
      <c r="I17314" t="s">
        <v>1357</v>
      </c>
      <c r="J17314" t="s">
        <v>1357</v>
      </c>
      <c r="K17314" t="s">
        <v>1357</v>
      </c>
      <c r="L17314" t="s">
        <v>1357</v>
      </c>
    </row>
    <row r="17315" spans="6:12">
      <c r="H17315" t="s">
        <v>25267</v>
      </c>
      <c r="I17315" t="s">
        <v>1357</v>
      </c>
      <c r="J17315" t="s">
        <v>1357</v>
      </c>
      <c r="K17315" t="s">
        <v>1357</v>
      </c>
      <c r="L17315" t="s">
        <v>1357</v>
      </c>
    </row>
    <row r="17316" spans="6:12">
      <c r="F17316" t="s">
        <v>16947</v>
      </c>
      <c r="G17316" t="s">
        <v>19558</v>
      </c>
      <c r="H17316" t="s">
        <v>25268</v>
      </c>
      <c r="I17316" t="s">
        <v>1357</v>
      </c>
      <c r="J17316" t="s">
        <v>1357</v>
      </c>
      <c r="K17316" t="s">
        <v>1357</v>
      </c>
      <c r="L17316" t="s">
        <v>1357</v>
      </c>
    </row>
    <row r="17317" spans="6:12">
      <c r="F17317" t="s">
        <v>16948</v>
      </c>
      <c r="G17317" t="s">
        <v>19559</v>
      </c>
      <c r="H17317" t="s">
        <v>4690</v>
      </c>
      <c r="I17317" t="s">
        <v>1357</v>
      </c>
      <c r="J17317" t="s">
        <v>1357</v>
      </c>
      <c r="K17317" t="s">
        <v>1357</v>
      </c>
      <c r="L17317" t="s">
        <v>1357</v>
      </c>
    </row>
    <row r="17318" spans="6:12">
      <c r="H17318" t="s">
        <v>25269</v>
      </c>
      <c r="I17318" t="s">
        <v>1357</v>
      </c>
      <c r="J17318" t="s">
        <v>1357</v>
      </c>
      <c r="K17318" t="s">
        <v>1357</v>
      </c>
      <c r="L17318" t="s">
        <v>1357</v>
      </c>
    </row>
    <row r="17319" spans="6:12">
      <c r="H17319" t="s">
        <v>25270</v>
      </c>
      <c r="I17319" t="s">
        <v>1357</v>
      </c>
      <c r="J17319" t="s">
        <v>1357</v>
      </c>
      <c r="K17319" t="s">
        <v>1357</v>
      </c>
      <c r="L17319" t="s">
        <v>1357</v>
      </c>
    </row>
    <row r="17320" spans="6:12">
      <c r="F17320" t="s">
        <v>16949</v>
      </c>
      <c r="G17320" t="s">
        <v>19560</v>
      </c>
      <c r="H17320" t="s">
        <v>25271</v>
      </c>
      <c r="I17320" t="s">
        <v>1357</v>
      </c>
      <c r="J17320" t="s">
        <v>1357</v>
      </c>
      <c r="K17320" t="s">
        <v>1357</v>
      </c>
      <c r="L17320" t="s">
        <v>1357</v>
      </c>
    </row>
    <row r="17321" spans="6:12">
      <c r="H17321" t="s">
        <v>25272</v>
      </c>
      <c r="I17321" t="s">
        <v>1357</v>
      </c>
      <c r="J17321" t="s">
        <v>1357</v>
      </c>
      <c r="K17321" t="s">
        <v>1357</v>
      </c>
      <c r="L17321" t="s">
        <v>1357</v>
      </c>
    </row>
    <row r="17322" spans="6:12">
      <c r="H17322" t="s">
        <v>3303</v>
      </c>
      <c r="I17322" t="s">
        <v>1357</v>
      </c>
      <c r="J17322" t="s">
        <v>1357</v>
      </c>
      <c r="K17322" t="s">
        <v>1357</v>
      </c>
      <c r="L17322" t="s">
        <v>1357</v>
      </c>
    </row>
    <row r="17323" spans="6:12">
      <c r="H17323" t="s">
        <v>1083</v>
      </c>
      <c r="I17323" t="s">
        <v>1357</v>
      </c>
      <c r="J17323" t="s">
        <v>1357</v>
      </c>
      <c r="K17323" t="s">
        <v>1357</v>
      </c>
      <c r="L17323" t="s">
        <v>1357</v>
      </c>
    </row>
    <row r="17324" spans="6:12">
      <c r="H17324" t="s">
        <v>1077</v>
      </c>
      <c r="I17324" t="s">
        <v>1357</v>
      </c>
      <c r="J17324" t="s">
        <v>1357</v>
      </c>
      <c r="K17324" t="s">
        <v>1357</v>
      </c>
      <c r="L17324" t="s">
        <v>1357</v>
      </c>
    </row>
    <row r="17325" spans="6:12">
      <c r="H17325" t="s">
        <v>25273</v>
      </c>
      <c r="I17325" t="s">
        <v>1357</v>
      </c>
      <c r="J17325" t="s">
        <v>1357</v>
      </c>
      <c r="K17325" t="s">
        <v>1357</v>
      </c>
      <c r="L17325" t="s">
        <v>1357</v>
      </c>
    </row>
    <row r="17326" spans="6:12">
      <c r="F17326" t="s">
        <v>16950</v>
      </c>
      <c r="G17326" t="s">
        <v>19561</v>
      </c>
      <c r="H17326" t="s">
        <v>25274</v>
      </c>
      <c r="I17326" t="s">
        <v>1357</v>
      </c>
      <c r="J17326" t="s">
        <v>1357</v>
      </c>
      <c r="K17326" t="s">
        <v>1357</v>
      </c>
      <c r="L17326" t="s">
        <v>1357</v>
      </c>
    </row>
    <row r="17327" spans="6:12">
      <c r="H17327" t="s">
        <v>25275</v>
      </c>
      <c r="I17327" t="s">
        <v>1357</v>
      </c>
      <c r="J17327" t="s">
        <v>1357</v>
      </c>
      <c r="K17327" t="s">
        <v>1357</v>
      </c>
      <c r="L17327" t="s">
        <v>1357</v>
      </c>
    </row>
    <row r="17328" spans="6:12">
      <c r="H17328" t="s">
        <v>25276</v>
      </c>
      <c r="I17328" t="s">
        <v>1357</v>
      </c>
      <c r="J17328" t="s">
        <v>1357</v>
      </c>
      <c r="K17328" t="s">
        <v>1357</v>
      </c>
      <c r="L17328" t="s">
        <v>1357</v>
      </c>
    </row>
    <row r="17329" spans="1:12">
      <c r="H17329" t="s">
        <v>25277</v>
      </c>
      <c r="I17329" t="s">
        <v>1357</v>
      </c>
      <c r="J17329" t="s">
        <v>1357</v>
      </c>
      <c r="K17329" t="s">
        <v>1357</v>
      </c>
      <c r="L17329" t="s">
        <v>1357</v>
      </c>
    </row>
    <row r="17330" spans="1:12">
      <c r="H17330" t="s">
        <v>25278</v>
      </c>
      <c r="I17330" t="s">
        <v>1357</v>
      </c>
      <c r="J17330" t="s">
        <v>1357</v>
      </c>
      <c r="K17330" t="s">
        <v>1357</v>
      </c>
      <c r="L17330" t="s">
        <v>1357</v>
      </c>
    </row>
    <row r="17331" spans="1:12">
      <c r="F17331" t="s">
        <v>16951</v>
      </c>
      <c r="G17331" t="s">
        <v>19562</v>
      </c>
      <c r="H17331" t="s">
        <v>25279</v>
      </c>
      <c r="I17331" t="s">
        <v>1357</v>
      </c>
      <c r="J17331" t="s">
        <v>1357</v>
      </c>
      <c r="K17331" t="s">
        <v>1357</v>
      </c>
      <c r="L17331" t="s">
        <v>1357</v>
      </c>
    </row>
    <row r="17332" spans="1:12">
      <c r="H17332" t="s">
        <v>25280</v>
      </c>
      <c r="I17332" t="s">
        <v>1357</v>
      </c>
      <c r="J17332" t="s">
        <v>1357</v>
      </c>
      <c r="K17332" t="s">
        <v>1357</v>
      </c>
      <c r="L17332" t="s">
        <v>1357</v>
      </c>
    </row>
    <row r="17333" spans="1:12">
      <c r="H17333" t="s">
        <v>25281</v>
      </c>
      <c r="I17333" t="s">
        <v>1357</v>
      </c>
      <c r="J17333" t="s">
        <v>1357</v>
      </c>
      <c r="K17333" t="s">
        <v>1357</v>
      </c>
      <c r="L17333" t="s">
        <v>1357</v>
      </c>
    </row>
    <row r="17334" spans="1:12">
      <c r="H17334" t="s">
        <v>25282</v>
      </c>
      <c r="I17334" t="s">
        <v>1357</v>
      </c>
      <c r="J17334" t="s">
        <v>1357</v>
      </c>
      <c r="K17334" t="s">
        <v>1357</v>
      </c>
      <c r="L17334" t="s">
        <v>1357</v>
      </c>
    </row>
    <row r="17335" spans="1:12">
      <c r="H17335" t="s">
        <v>25283</v>
      </c>
      <c r="I17335" t="s">
        <v>1357</v>
      </c>
      <c r="J17335" t="s">
        <v>1357</v>
      </c>
      <c r="K17335" t="s">
        <v>1357</v>
      </c>
      <c r="L17335" t="s">
        <v>1357</v>
      </c>
    </row>
    <row r="17336" spans="1:12">
      <c r="H17336" t="s">
        <v>25284</v>
      </c>
      <c r="I17336" t="s">
        <v>1357</v>
      </c>
      <c r="J17336" t="s">
        <v>1357</v>
      </c>
      <c r="K17336" t="s">
        <v>1357</v>
      </c>
      <c r="L17336" t="s">
        <v>1357</v>
      </c>
    </row>
    <row r="17337" spans="1:12">
      <c r="H17337" t="s">
        <v>25285</v>
      </c>
      <c r="I17337" t="s">
        <v>1357</v>
      </c>
      <c r="J17337" t="s">
        <v>1357</v>
      </c>
      <c r="K17337" t="s">
        <v>1357</v>
      </c>
      <c r="L17337" t="s">
        <v>1357</v>
      </c>
    </row>
    <row r="17338" spans="1:12">
      <c r="H17338" t="s">
        <v>25286</v>
      </c>
      <c r="I17338" t="s">
        <v>1357</v>
      </c>
      <c r="J17338" t="s">
        <v>1357</v>
      </c>
      <c r="K17338" t="s">
        <v>1357</v>
      </c>
      <c r="L17338" t="s">
        <v>1357</v>
      </c>
    </row>
    <row r="17339" spans="1:12">
      <c r="A17339" t="s">
        <v>11423</v>
      </c>
      <c r="B17339">
        <f>HYPERLINK("https://android.googlesource.com/platform/cts/+/b50578ed7ce9ed6be50be4bd7568948cf99888af", "b50578ed7ce9ed6be50be4bd7568948cf99888af")</f>
        <v>0</v>
      </c>
      <c r="C17339">
        <f>HYPERLINK("https://android.googlesource.com/platform/cts/+/5f42b0dbc3745b0f351ae0ab63dacefd105a903e", "5f42b0dbc3745b0f351ae0ab63dacefd105a903e")</f>
        <v>0</v>
      </c>
      <c r="D17339" t="s">
        <v>12137</v>
      </c>
      <c r="E17339" t="s">
        <v>13938</v>
      </c>
      <c r="F17339" t="s">
        <v>16953</v>
      </c>
      <c r="G17339" t="s">
        <v>19564</v>
      </c>
      <c r="H17339" t="s">
        <v>25296</v>
      </c>
      <c r="I17339" t="s">
        <v>1358</v>
      </c>
      <c r="J17339" t="s">
        <v>1358</v>
      </c>
      <c r="K17339" t="s">
        <v>1358</v>
      </c>
      <c r="L17339" t="s">
        <v>1358</v>
      </c>
    </row>
    <row r="17340" spans="1:12">
      <c r="A17340" t="s">
        <v>11424</v>
      </c>
      <c r="B17340">
        <f>HYPERLINK("https://android.googlesource.com/platform/cts/+/9beb020a9a174fbcc226a3802f1c5d5d22847024", "9beb020a9a174fbcc226a3802f1c5d5d22847024")</f>
        <v>0</v>
      </c>
      <c r="C17340">
        <f>HYPERLINK("https://android.googlesource.com/platform/cts/+/8c01d76146f53397207001a6e1bc2bc1c27b2b22", "8c01d76146f53397207001a6e1bc2bc1c27b2b22")</f>
        <v>0</v>
      </c>
      <c r="D17340" t="s">
        <v>12396</v>
      </c>
      <c r="E17340" t="s">
        <v>13939</v>
      </c>
      <c r="F17340" t="s">
        <v>16954</v>
      </c>
      <c r="G17340" t="s">
        <v>19565</v>
      </c>
      <c r="H17340" t="s">
        <v>25297</v>
      </c>
      <c r="I17340" t="s">
        <v>1358</v>
      </c>
      <c r="J17340" t="s">
        <v>1358</v>
      </c>
      <c r="K17340" t="s">
        <v>1358</v>
      </c>
      <c r="L17340" t="s">
        <v>1358</v>
      </c>
    </row>
    <row r="17341" spans="1:12">
      <c r="A17341" t="s">
        <v>11425</v>
      </c>
      <c r="B17341">
        <f>HYPERLINK("https://android.googlesource.com/platform/cts/+/8ffe1a6882ae2ced9ce8abd9bd7105541d3c17f4", "8ffe1a6882ae2ced9ce8abd9bd7105541d3c17f4")</f>
        <v>0</v>
      </c>
      <c r="C17341">
        <f>HYPERLINK("https://android.googlesource.com/platform/cts/+/2e52d9678e8f36bef1fea5a103ed91f274a70460", "2e52d9678e8f36bef1fea5a103ed91f274a70460")</f>
        <v>0</v>
      </c>
      <c r="D17341" t="s">
        <v>12395</v>
      </c>
      <c r="E17341" t="s">
        <v>13940</v>
      </c>
      <c r="F17341" t="s">
        <v>16746</v>
      </c>
      <c r="G17341" t="s">
        <v>19375</v>
      </c>
      <c r="H17341" t="s">
        <v>25291</v>
      </c>
      <c r="I17341" t="s">
        <v>1357</v>
      </c>
      <c r="J17341" t="s">
        <v>1357</v>
      </c>
      <c r="K17341" t="s">
        <v>1357</v>
      </c>
      <c r="L17341" t="s">
        <v>1357</v>
      </c>
    </row>
    <row r="17342" spans="1:12">
      <c r="H17342" t="s">
        <v>25292</v>
      </c>
      <c r="I17342" t="s">
        <v>1357</v>
      </c>
      <c r="J17342" t="s">
        <v>1357</v>
      </c>
      <c r="K17342" t="s">
        <v>1357</v>
      </c>
      <c r="L17342" t="s">
        <v>1357</v>
      </c>
    </row>
    <row r="17343" spans="1:12">
      <c r="H17343" t="s">
        <v>25293</v>
      </c>
      <c r="I17343" t="s">
        <v>1357</v>
      </c>
      <c r="J17343" t="s">
        <v>1357</v>
      </c>
      <c r="K17343" t="s">
        <v>1357</v>
      </c>
      <c r="L17343" t="s">
        <v>1357</v>
      </c>
    </row>
    <row r="17344" spans="1:12">
      <c r="H17344" t="s">
        <v>25294</v>
      </c>
      <c r="I17344" t="s">
        <v>1357</v>
      </c>
      <c r="J17344" t="s">
        <v>1357</v>
      </c>
      <c r="K17344" t="s">
        <v>1357</v>
      </c>
      <c r="L17344" t="s">
        <v>1357</v>
      </c>
    </row>
    <row r="17345" spans="1:13">
      <c r="H17345" t="s">
        <v>25295</v>
      </c>
      <c r="I17345" t="s">
        <v>1357</v>
      </c>
      <c r="J17345" t="s">
        <v>1357</v>
      </c>
      <c r="K17345" t="s">
        <v>1357</v>
      </c>
      <c r="L17345" t="s">
        <v>1357</v>
      </c>
    </row>
    <row r="17346" spans="1:13">
      <c r="A17346" t="s">
        <v>11426</v>
      </c>
      <c r="B17346">
        <f>HYPERLINK("https://android.googlesource.com/platform/cts/+/29d18c2b214ba6493cf6d2fc92ecb713d63d7914", "29d18c2b214ba6493cf6d2fc92ecb713d63d7914")</f>
        <v>0</v>
      </c>
      <c r="C17346">
        <f>HYPERLINK("https://android.googlesource.com/platform/cts/+/9d8295be9d69e632222c7636d4892a8163e6d51f", "9d8295be9d69e632222c7636d4892a8163e6d51f")</f>
        <v>0</v>
      </c>
      <c r="D17346" t="s">
        <v>12395</v>
      </c>
      <c r="E17346" t="s">
        <v>13940</v>
      </c>
      <c r="F17346" t="s">
        <v>16746</v>
      </c>
      <c r="G17346" t="s">
        <v>19375</v>
      </c>
      <c r="H17346" t="s">
        <v>25291</v>
      </c>
      <c r="I17346" t="s">
        <v>1357</v>
      </c>
      <c r="J17346" t="s">
        <v>1357</v>
      </c>
      <c r="K17346" t="s">
        <v>1357</v>
      </c>
      <c r="L17346" t="s">
        <v>1357</v>
      </c>
    </row>
    <row r="17347" spans="1:13">
      <c r="H17347" t="s">
        <v>25292</v>
      </c>
      <c r="I17347" t="s">
        <v>1357</v>
      </c>
      <c r="J17347" t="s">
        <v>1357</v>
      </c>
      <c r="K17347" t="s">
        <v>1357</v>
      </c>
      <c r="L17347" t="s">
        <v>1357</v>
      </c>
    </row>
    <row r="17348" spans="1:13">
      <c r="H17348" t="s">
        <v>25293</v>
      </c>
      <c r="I17348" t="s">
        <v>1357</v>
      </c>
      <c r="J17348" t="s">
        <v>1357</v>
      </c>
      <c r="K17348" t="s">
        <v>1357</v>
      </c>
      <c r="L17348" t="s">
        <v>1357</v>
      </c>
    </row>
    <row r="17349" spans="1:13">
      <c r="H17349" t="s">
        <v>25294</v>
      </c>
      <c r="I17349" t="s">
        <v>1357</v>
      </c>
      <c r="J17349" t="s">
        <v>1357</v>
      </c>
      <c r="K17349" t="s">
        <v>1357</v>
      </c>
      <c r="L17349" t="s">
        <v>1357</v>
      </c>
      <c r="M17349" t="s">
        <v>9957</v>
      </c>
    </row>
    <row r="17350" spans="1:13">
      <c r="H17350" t="s">
        <v>25295</v>
      </c>
      <c r="I17350" t="s">
        <v>1357</v>
      </c>
      <c r="J17350" t="s">
        <v>1357</v>
      </c>
      <c r="K17350" t="s">
        <v>1357</v>
      </c>
      <c r="L17350" t="s">
        <v>1357</v>
      </c>
    </row>
    <row r="17351" spans="1:13">
      <c r="A17351" t="s">
        <v>11427</v>
      </c>
      <c r="B17351">
        <f>HYPERLINK("https://android.googlesource.com/platform/cts/+/45ea237dd937067be1233d14c2527bd893a4cfea", "45ea237dd937067be1233d14c2527bd893a4cfea")</f>
        <v>0</v>
      </c>
      <c r="C17351">
        <f>HYPERLINK("https://android.googlesource.com/platform/cts/+/9971c5affac56ee76095f5aa38bad11719b1947c", "9971c5affac56ee76095f5aa38bad11719b1947c")</f>
        <v>0</v>
      </c>
      <c r="D17351" t="s">
        <v>12395</v>
      </c>
      <c r="E17351" t="s">
        <v>13941</v>
      </c>
      <c r="F17351" t="s">
        <v>16746</v>
      </c>
      <c r="G17351" t="s">
        <v>19375</v>
      </c>
      <c r="H17351" t="s">
        <v>25291</v>
      </c>
      <c r="I17351" t="s">
        <v>1357</v>
      </c>
      <c r="J17351" t="s">
        <v>1357</v>
      </c>
      <c r="K17351" t="s">
        <v>1357</v>
      </c>
      <c r="L17351" t="s">
        <v>1357</v>
      </c>
    </row>
    <row r="17352" spans="1:13">
      <c r="H17352" t="s">
        <v>25292</v>
      </c>
      <c r="I17352" t="s">
        <v>1357</v>
      </c>
      <c r="J17352" t="s">
        <v>1357</v>
      </c>
      <c r="K17352" t="s">
        <v>1357</v>
      </c>
      <c r="L17352" t="s">
        <v>1357</v>
      </c>
    </row>
    <row r="17353" spans="1:13">
      <c r="H17353" t="s">
        <v>25293</v>
      </c>
      <c r="I17353" t="s">
        <v>1357</v>
      </c>
      <c r="J17353" t="s">
        <v>1357</v>
      </c>
      <c r="K17353" t="s">
        <v>1357</v>
      </c>
      <c r="L17353" t="s">
        <v>1357</v>
      </c>
    </row>
    <row r="17354" spans="1:13">
      <c r="H17354" t="s">
        <v>25294</v>
      </c>
      <c r="I17354" t="s">
        <v>1357</v>
      </c>
      <c r="J17354" t="s">
        <v>1357</v>
      </c>
      <c r="K17354" t="s">
        <v>1357</v>
      </c>
      <c r="L17354" t="s">
        <v>1357</v>
      </c>
      <c r="M17354" t="s">
        <v>9957</v>
      </c>
    </row>
    <row r="17355" spans="1:13">
      <c r="H17355" t="s">
        <v>25295</v>
      </c>
      <c r="I17355" t="s">
        <v>1357</v>
      </c>
      <c r="J17355" t="s">
        <v>1357</v>
      </c>
      <c r="K17355" t="s">
        <v>1357</v>
      </c>
      <c r="L17355" t="s">
        <v>1357</v>
      </c>
    </row>
    <row r="17356" spans="1:13">
      <c r="A17356" t="s">
        <v>11428</v>
      </c>
      <c r="B17356">
        <f>HYPERLINK("https://android.googlesource.com/platform/cts/+/7bb543e2b767fc6856984980aab3a00d6299cdc6", "7bb543e2b767fc6856984980aab3a00d6299cdc6")</f>
        <v>0</v>
      </c>
      <c r="C17356">
        <f>HYPERLINK("https://android.googlesource.com/platform/cts/+/9971c5affac56ee76095f5aa38bad11719b1947c", "9971c5affac56ee76095f5aa38bad11719b1947c")</f>
        <v>0</v>
      </c>
      <c r="D17356" t="s">
        <v>12394</v>
      </c>
      <c r="E17356" t="s">
        <v>13942</v>
      </c>
      <c r="F17356" t="s">
        <v>16955</v>
      </c>
      <c r="G17356" t="s">
        <v>19566</v>
      </c>
      <c r="H17356" t="s">
        <v>25298</v>
      </c>
      <c r="I17356" t="s">
        <v>1357</v>
      </c>
      <c r="J17356" t="s">
        <v>1357</v>
      </c>
      <c r="K17356" t="s">
        <v>1357</v>
      </c>
      <c r="L17356" t="s">
        <v>1357</v>
      </c>
    </row>
    <row r="17357" spans="1:13">
      <c r="F17357" t="s">
        <v>16956</v>
      </c>
      <c r="G17357" t="s">
        <v>19567</v>
      </c>
      <c r="H17357" t="s">
        <v>25299</v>
      </c>
      <c r="I17357" t="s">
        <v>1357</v>
      </c>
      <c r="J17357" t="s">
        <v>1357</v>
      </c>
      <c r="K17357" t="s">
        <v>1357</v>
      </c>
      <c r="L17357" t="s">
        <v>1357</v>
      </c>
    </row>
    <row r="17358" spans="1:13">
      <c r="H17358" t="s">
        <v>25300</v>
      </c>
      <c r="I17358" t="s">
        <v>1357</v>
      </c>
      <c r="J17358" t="s">
        <v>1357</v>
      </c>
      <c r="K17358" t="s">
        <v>1357</v>
      </c>
      <c r="L17358" t="s">
        <v>1357</v>
      </c>
    </row>
    <row r="17359" spans="1:13">
      <c r="H17359" t="s">
        <v>25301</v>
      </c>
      <c r="I17359" t="s">
        <v>1357</v>
      </c>
      <c r="J17359" t="s">
        <v>1357</v>
      </c>
      <c r="K17359" t="s">
        <v>1357</v>
      </c>
      <c r="L17359" t="s">
        <v>1357</v>
      </c>
    </row>
    <row r="17360" spans="1:13">
      <c r="H17360" t="s">
        <v>25302</v>
      </c>
      <c r="I17360" t="s">
        <v>1357</v>
      </c>
      <c r="J17360" t="s">
        <v>1357</v>
      </c>
      <c r="K17360" t="s">
        <v>1357</v>
      </c>
      <c r="L17360" t="s">
        <v>1357</v>
      </c>
    </row>
    <row r="17361" spans="6:12">
      <c r="H17361" t="s">
        <v>25303</v>
      </c>
      <c r="I17361" t="s">
        <v>1357</v>
      </c>
      <c r="J17361" t="s">
        <v>1357</v>
      </c>
      <c r="K17361" t="s">
        <v>1357</v>
      </c>
      <c r="L17361" t="s">
        <v>1357</v>
      </c>
    </row>
    <row r="17362" spans="6:12">
      <c r="F17362" t="s">
        <v>16957</v>
      </c>
      <c r="G17362" t="s">
        <v>19568</v>
      </c>
      <c r="H17362" t="s">
        <v>25304</v>
      </c>
      <c r="I17362" t="s">
        <v>1357</v>
      </c>
      <c r="J17362" t="s">
        <v>1357</v>
      </c>
      <c r="K17362" t="s">
        <v>1357</v>
      </c>
      <c r="L17362" t="s">
        <v>1357</v>
      </c>
    </row>
    <row r="17363" spans="6:12">
      <c r="H17363" t="s">
        <v>25305</v>
      </c>
      <c r="I17363" t="s">
        <v>1357</v>
      </c>
      <c r="J17363" t="s">
        <v>1357</v>
      </c>
      <c r="K17363" t="s">
        <v>1357</v>
      </c>
      <c r="L17363" t="s">
        <v>1357</v>
      </c>
    </row>
    <row r="17364" spans="6:12">
      <c r="H17364" t="s">
        <v>25306</v>
      </c>
      <c r="I17364" t="s">
        <v>1357</v>
      </c>
      <c r="J17364" t="s">
        <v>1357</v>
      </c>
      <c r="K17364" t="s">
        <v>1357</v>
      </c>
      <c r="L17364" t="s">
        <v>1357</v>
      </c>
    </row>
    <row r="17365" spans="6:12">
      <c r="H17365" t="s">
        <v>25307</v>
      </c>
      <c r="I17365" t="s">
        <v>1357</v>
      </c>
      <c r="J17365" t="s">
        <v>1357</v>
      </c>
      <c r="K17365" t="s">
        <v>1357</v>
      </c>
      <c r="L17365" t="s">
        <v>1357</v>
      </c>
    </row>
    <row r="17366" spans="6:12">
      <c r="H17366" t="s">
        <v>25308</v>
      </c>
      <c r="I17366" t="s">
        <v>1357</v>
      </c>
      <c r="J17366" t="s">
        <v>1357</v>
      </c>
      <c r="K17366" t="s">
        <v>1357</v>
      </c>
      <c r="L17366" t="s">
        <v>1357</v>
      </c>
    </row>
    <row r="17367" spans="6:12">
      <c r="H17367" t="s">
        <v>25309</v>
      </c>
      <c r="I17367" t="s">
        <v>1357</v>
      </c>
      <c r="J17367" t="s">
        <v>1357</v>
      </c>
      <c r="K17367" t="s">
        <v>1357</v>
      </c>
      <c r="L17367" t="s">
        <v>1357</v>
      </c>
    </row>
    <row r="17368" spans="6:12">
      <c r="F17368" t="s">
        <v>16958</v>
      </c>
      <c r="G17368" t="s">
        <v>19569</v>
      </c>
      <c r="H17368" t="s">
        <v>25310</v>
      </c>
      <c r="I17368" t="s">
        <v>1357</v>
      </c>
      <c r="J17368" t="s">
        <v>1357</v>
      </c>
      <c r="K17368" t="s">
        <v>1357</v>
      </c>
      <c r="L17368" t="s">
        <v>1357</v>
      </c>
    </row>
    <row r="17369" spans="6:12">
      <c r="F17369" t="s">
        <v>16959</v>
      </c>
      <c r="G17369" t="s">
        <v>19570</v>
      </c>
      <c r="H17369" t="s">
        <v>25310</v>
      </c>
      <c r="I17369" t="s">
        <v>1357</v>
      </c>
      <c r="J17369" t="s">
        <v>1357</v>
      </c>
      <c r="K17369" t="s">
        <v>1357</v>
      </c>
      <c r="L17369" t="s">
        <v>1357</v>
      </c>
    </row>
    <row r="17370" spans="6:12">
      <c r="F17370" t="s">
        <v>16960</v>
      </c>
      <c r="G17370" t="s">
        <v>19571</v>
      </c>
      <c r="H17370" t="s">
        <v>25311</v>
      </c>
      <c r="I17370" t="s">
        <v>1357</v>
      </c>
      <c r="J17370" t="s">
        <v>1357</v>
      </c>
      <c r="K17370" t="s">
        <v>1357</v>
      </c>
      <c r="L17370" t="s">
        <v>1357</v>
      </c>
    </row>
    <row r="17371" spans="6:12">
      <c r="H17371" t="s">
        <v>25312</v>
      </c>
      <c r="I17371" t="s">
        <v>1357</v>
      </c>
      <c r="J17371" t="s">
        <v>1357</v>
      </c>
      <c r="K17371" t="s">
        <v>1357</v>
      </c>
      <c r="L17371" t="s">
        <v>1357</v>
      </c>
    </row>
    <row r="17372" spans="6:12">
      <c r="H17372" t="s">
        <v>25313</v>
      </c>
      <c r="I17372" t="s">
        <v>1357</v>
      </c>
      <c r="J17372" t="s">
        <v>1357</v>
      </c>
      <c r="K17372" t="s">
        <v>1357</v>
      </c>
      <c r="L17372" t="s">
        <v>1357</v>
      </c>
    </row>
    <row r="17373" spans="6:12">
      <c r="H17373" t="s">
        <v>25314</v>
      </c>
      <c r="I17373" t="s">
        <v>1357</v>
      </c>
      <c r="J17373" t="s">
        <v>1357</v>
      </c>
      <c r="K17373" t="s">
        <v>1357</v>
      </c>
      <c r="L17373" t="s">
        <v>1357</v>
      </c>
    </row>
    <row r="17374" spans="6:12">
      <c r="H17374" t="s">
        <v>25315</v>
      </c>
      <c r="I17374" t="s">
        <v>1357</v>
      </c>
      <c r="J17374" t="s">
        <v>1357</v>
      </c>
      <c r="K17374" t="s">
        <v>1357</v>
      </c>
      <c r="L17374" t="s">
        <v>1357</v>
      </c>
    </row>
    <row r="17375" spans="6:12">
      <c r="H17375" t="s">
        <v>25316</v>
      </c>
      <c r="I17375" t="s">
        <v>1357</v>
      </c>
      <c r="J17375" t="s">
        <v>1357</v>
      </c>
      <c r="K17375" t="s">
        <v>1357</v>
      </c>
      <c r="L17375" t="s">
        <v>1357</v>
      </c>
    </row>
    <row r="17376" spans="6:12">
      <c r="H17376" t="s">
        <v>25317</v>
      </c>
      <c r="I17376" t="s">
        <v>1357</v>
      </c>
      <c r="J17376" t="s">
        <v>1357</v>
      </c>
      <c r="K17376" t="s">
        <v>1357</v>
      </c>
      <c r="L17376" t="s">
        <v>1357</v>
      </c>
    </row>
    <row r="17377" spans="6:12">
      <c r="H17377" t="s">
        <v>25318</v>
      </c>
      <c r="I17377" t="s">
        <v>1357</v>
      </c>
      <c r="J17377" t="s">
        <v>1357</v>
      </c>
      <c r="K17377" t="s">
        <v>1357</v>
      </c>
      <c r="L17377" t="s">
        <v>1357</v>
      </c>
    </row>
    <row r="17378" spans="6:12">
      <c r="H17378" t="s">
        <v>25319</v>
      </c>
      <c r="I17378" t="s">
        <v>1357</v>
      </c>
      <c r="J17378" t="s">
        <v>1357</v>
      </c>
      <c r="K17378" t="s">
        <v>1357</v>
      </c>
      <c r="L17378" t="s">
        <v>1357</v>
      </c>
    </row>
    <row r="17379" spans="6:12">
      <c r="H17379" t="s">
        <v>25320</v>
      </c>
      <c r="I17379" t="s">
        <v>1357</v>
      </c>
      <c r="J17379" t="s">
        <v>1357</v>
      </c>
      <c r="K17379" t="s">
        <v>1357</v>
      </c>
      <c r="L17379" t="s">
        <v>1357</v>
      </c>
    </row>
    <row r="17380" spans="6:12">
      <c r="H17380" t="s">
        <v>25321</v>
      </c>
      <c r="I17380" t="s">
        <v>1357</v>
      </c>
      <c r="J17380" t="s">
        <v>1357</v>
      </c>
      <c r="K17380" t="s">
        <v>1357</v>
      </c>
      <c r="L17380" t="s">
        <v>1357</v>
      </c>
    </row>
    <row r="17381" spans="6:12">
      <c r="H17381" t="s">
        <v>25322</v>
      </c>
      <c r="I17381" t="s">
        <v>1357</v>
      </c>
      <c r="J17381" t="s">
        <v>1357</v>
      </c>
      <c r="K17381" t="s">
        <v>1357</v>
      </c>
      <c r="L17381" t="s">
        <v>1357</v>
      </c>
    </row>
    <row r="17382" spans="6:12">
      <c r="H17382" t="s">
        <v>25323</v>
      </c>
      <c r="I17382" t="s">
        <v>1357</v>
      </c>
      <c r="J17382" t="s">
        <v>1357</v>
      </c>
      <c r="K17382" t="s">
        <v>1357</v>
      </c>
      <c r="L17382" t="s">
        <v>1357</v>
      </c>
    </row>
    <row r="17383" spans="6:12">
      <c r="F17383" t="s">
        <v>16961</v>
      </c>
      <c r="G17383" t="s">
        <v>19572</v>
      </c>
      <c r="H17383" t="s">
        <v>25324</v>
      </c>
      <c r="I17383" t="s">
        <v>1357</v>
      </c>
      <c r="J17383" t="s">
        <v>1357</v>
      </c>
      <c r="K17383" t="s">
        <v>1357</v>
      </c>
      <c r="L17383" t="s">
        <v>1357</v>
      </c>
    </row>
    <row r="17384" spans="6:12">
      <c r="H17384" t="s">
        <v>25325</v>
      </c>
      <c r="I17384" t="s">
        <v>1357</v>
      </c>
      <c r="J17384" t="s">
        <v>1357</v>
      </c>
      <c r="K17384" t="s">
        <v>1357</v>
      </c>
      <c r="L17384" t="s">
        <v>1357</v>
      </c>
    </row>
    <row r="17385" spans="6:12">
      <c r="H17385" t="s">
        <v>25326</v>
      </c>
      <c r="I17385" t="s">
        <v>1357</v>
      </c>
      <c r="J17385" t="s">
        <v>1357</v>
      </c>
      <c r="K17385" t="s">
        <v>1357</v>
      </c>
      <c r="L17385" t="s">
        <v>1357</v>
      </c>
    </row>
    <row r="17386" spans="6:12">
      <c r="H17386" t="s">
        <v>25327</v>
      </c>
      <c r="I17386" t="s">
        <v>1357</v>
      </c>
      <c r="J17386" t="s">
        <v>1357</v>
      </c>
      <c r="K17386" t="s">
        <v>1357</v>
      </c>
      <c r="L17386" t="s">
        <v>1357</v>
      </c>
    </row>
    <row r="17387" spans="6:12">
      <c r="H17387" t="s">
        <v>25328</v>
      </c>
      <c r="I17387" t="s">
        <v>1357</v>
      </c>
      <c r="J17387" t="s">
        <v>1357</v>
      </c>
      <c r="K17387" t="s">
        <v>1357</v>
      </c>
      <c r="L17387" t="s">
        <v>1357</v>
      </c>
    </row>
    <row r="17388" spans="6:12">
      <c r="H17388" t="s">
        <v>25329</v>
      </c>
      <c r="I17388" t="s">
        <v>1357</v>
      </c>
      <c r="J17388" t="s">
        <v>1357</v>
      </c>
      <c r="K17388" t="s">
        <v>1357</v>
      </c>
      <c r="L17388" t="s">
        <v>1357</v>
      </c>
    </row>
    <row r="17389" spans="6:12">
      <c r="F17389" t="s">
        <v>16962</v>
      </c>
      <c r="G17389" t="s">
        <v>19573</v>
      </c>
      <c r="H17389" t="s">
        <v>25330</v>
      </c>
      <c r="I17389" t="s">
        <v>1357</v>
      </c>
      <c r="J17389" t="s">
        <v>1357</v>
      </c>
      <c r="K17389" t="s">
        <v>1357</v>
      </c>
      <c r="L17389" t="s">
        <v>1357</v>
      </c>
    </row>
    <row r="17390" spans="6:12">
      <c r="H17390" t="s">
        <v>25331</v>
      </c>
      <c r="I17390" t="s">
        <v>1357</v>
      </c>
      <c r="J17390" t="s">
        <v>1357</v>
      </c>
      <c r="K17390" t="s">
        <v>1357</v>
      </c>
      <c r="L17390" t="s">
        <v>1357</v>
      </c>
    </row>
    <row r="17391" spans="6:12">
      <c r="F17391" t="s">
        <v>16963</v>
      </c>
      <c r="G17391" t="s">
        <v>19476</v>
      </c>
      <c r="H17391" t="s">
        <v>25332</v>
      </c>
      <c r="I17391" t="s">
        <v>1357</v>
      </c>
      <c r="J17391" t="s">
        <v>1357</v>
      </c>
      <c r="K17391" t="s">
        <v>1357</v>
      </c>
      <c r="L17391" t="s">
        <v>1357</v>
      </c>
    </row>
    <row r="17392" spans="6:12">
      <c r="H17392" t="s">
        <v>25333</v>
      </c>
      <c r="I17392" t="s">
        <v>1357</v>
      </c>
      <c r="J17392" t="s">
        <v>1357</v>
      </c>
      <c r="K17392" t="s">
        <v>1357</v>
      </c>
      <c r="L17392" t="s">
        <v>1357</v>
      </c>
    </row>
    <row r="17393" spans="1:13">
      <c r="H17393" t="s">
        <v>25334</v>
      </c>
      <c r="I17393" t="s">
        <v>1357</v>
      </c>
      <c r="J17393" t="s">
        <v>1357</v>
      </c>
      <c r="K17393" t="s">
        <v>1357</v>
      </c>
      <c r="L17393" t="s">
        <v>1357</v>
      </c>
    </row>
    <row r="17394" spans="1:13">
      <c r="H17394" t="s">
        <v>25335</v>
      </c>
      <c r="I17394" t="s">
        <v>1357</v>
      </c>
      <c r="J17394" t="s">
        <v>1357</v>
      </c>
      <c r="K17394" t="s">
        <v>1357</v>
      </c>
      <c r="L17394" t="s">
        <v>1357</v>
      </c>
    </row>
    <row r="17395" spans="1:13">
      <c r="H17395" t="s">
        <v>25336</v>
      </c>
      <c r="I17395" t="s">
        <v>1357</v>
      </c>
      <c r="J17395" t="s">
        <v>1357</v>
      </c>
      <c r="K17395" t="s">
        <v>1357</v>
      </c>
      <c r="L17395" t="s">
        <v>1357</v>
      </c>
    </row>
    <row r="17396" spans="1:13">
      <c r="H17396" t="s">
        <v>25337</v>
      </c>
      <c r="I17396" t="s">
        <v>1357</v>
      </c>
      <c r="J17396" t="s">
        <v>1357</v>
      </c>
      <c r="K17396" t="s">
        <v>1357</v>
      </c>
      <c r="L17396" t="s">
        <v>1357</v>
      </c>
    </row>
    <row r="17397" spans="1:13">
      <c r="H17397" t="s">
        <v>25338</v>
      </c>
      <c r="I17397" t="s">
        <v>1357</v>
      </c>
      <c r="J17397" t="s">
        <v>1357</v>
      </c>
      <c r="K17397" t="s">
        <v>1357</v>
      </c>
      <c r="L17397" t="s">
        <v>1357</v>
      </c>
    </row>
    <row r="17398" spans="1:13">
      <c r="A17398" t="s">
        <v>11429</v>
      </c>
      <c r="B17398">
        <f>HYPERLINK("https://android.googlesource.com/platform/cts/+/eee4e833098ec6c7799f5e5af71b61b85b20d7c5", "eee4e833098ec6c7799f5e5af71b61b85b20d7c5")</f>
        <v>0</v>
      </c>
      <c r="C17398">
        <f>HYPERLINK("https://android.googlesource.com/platform/cts/+/a4a325463e1d603f6c3060bd06507bd4422b0e82", "a4a325463e1d603f6c3060bd06507bd4422b0e82")</f>
        <v>0</v>
      </c>
      <c r="D17398" t="s">
        <v>12288</v>
      </c>
      <c r="E17398" t="s">
        <v>13943</v>
      </c>
      <c r="F17398" t="s">
        <v>16964</v>
      </c>
      <c r="G17398" t="s">
        <v>19574</v>
      </c>
      <c r="H17398" t="s">
        <v>25339</v>
      </c>
      <c r="I17398" t="s">
        <v>1358</v>
      </c>
      <c r="J17398" t="s">
        <v>1358</v>
      </c>
      <c r="K17398" t="s">
        <v>1358</v>
      </c>
      <c r="L17398" t="s">
        <v>1358</v>
      </c>
    </row>
    <row r="17399" spans="1:13">
      <c r="H17399" t="s">
        <v>25340</v>
      </c>
      <c r="I17399" t="s">
        <v>1358</v>
      </c>
      <c r="J17399" t="s">
        <v>1358</v>
      </c>
      <c r="K17399" t="s">
        <v>1358</v>
      </c>
      <c r="L17399" t="s">
        <v>1358</v>
      </c>
    </row>
    <row r="17400" spans="1:13">
      <c r="H17400" t="s">
        <v>25341</v>
      </c>
      <c r="I17400" t="s">
        <v>1358</v>
      </c>
      <c r="J17400" t="s">
        <v>1358</v>
      </c>
      <c r="K17400" t="s">
        <v>1358</v>
      </c>
      <c r="L17400" t="s">
        <v>1358</v>
      </c>
    </row>
    <row r="17401" spans="1:13">
      <c r="A17401" t="s">
        <v>11430</v>
      </c>
      <c r="B17401">
        <f>HYPERLINK("https://android.googlesource.com/platform/cts/+/73301c9be01ef39f5d7adb5796316e150539e706", "73301c9be01ef39f5d7adb5796316e150539e706")</f>
        <v>0</v>
      </c>
      <c r="C17401">
        <f>HYPERLINK("https://android.googlesource.com/platform/cts/+/6ac169cbdf4698002b807010562a216445e75cc2", "6ac169cbdf4698002b807010562a216445e75cc2")</f>
        <v>0</v>
      </c>
      <c r="D17401" t="s">
        <v>12394</v>
      </c>
      <c r="E17401" t="s">
        <v>13944</v>
      </c>
      <c r="F17401" t="s">
        <v>16955</v>
      </c>
      <c r="G17401" t="s">
        <v>19566</v>
      </c>
      <c r="H17401" t="s">
        <v>25298</v>
      </c>
      <c r="I17401" t="s">
        <v>1357</v>
      </c>
      <c r="J17401" t="s">
        <v>1357</v>
      </c>
      <c r="K17401" t="s">
        <v>1357</v>
      </c>
      <c r="L17401" t="s">
        <v>1357</v>
      </c>
      <c r="M17401" t="s">
        <v>9957</v>
      </c>
    </row>
    <row r="17402" spans="1:13">
      <c r="F17402" t="s">
        <v>16956</v>
      </c>
      <c r="G17402" t="s">
        <v>19567</v>
      </c>
      <c r="H17402" t="s">
        <v>25299</v>
      </c>
      <c r="I17402" t="s">
        <v>1357</v>
      </c>
      <c r="J17402" t="s">
        <v>1357</v>
      </c>
      <c r="K17402" t="s">
        <v>1357</v>
      </c>
      <c r="L17402" t="s">
        <v>1357</v>
      </c>
    </row>
    <row r="17403" spans="1:13">
      <c r="H17403" t="s">
        <v>25300</v>
      </c>
      <c r="I17403" t="s">
        <v>1357</v>
      </c>
      <c r="J17403" t="s">
        <v>1357</v>
      </c>
      <c r="K17403" t="s">
        <v>1357</v>
      </c>
      <c r="L17403" t="s">
        <v>1357</v>
      </c>
    </row>
    <row r="17404" spans="1:13">
      <c r="H17404" t="s">
        <v>25301</v>
      </c>
      <c r="I17404" t="s">
        <v>1357</v>
      </c>
      <c r="J17404" t="s">
        <v>1357</v>
      </c>
      <c r="K17404" t="s">
        <v>1357</v>
      </c>
      <c r="L17404" t="s">
        <v>1357</v>
      </c>
    </row>
    <row r="17405" spans="1:13">
      <c r="H17405" t="s">
        <v>25302</v>
      </c>
      <c r="I17405" t="s">
        <v>1357</v>
      </c>
      <c r="J17405" t="s">
        <v>1357</v>
      </c>
      <c r="K17405" t="s">
        <v>1357</v>
      </c>
      <c r="L17405" t="s">
        <v>1357</v>
      </c>
    </row>
    <row r="17406" spans="1:13">
      <c r="H17406" t="s">
        <v>25303</v>
      </c>
      <c r="I17406" t="s">
        <v>1357</v>
      </c>
      <c r="J17406" t="s">
        <v>1357</v>
      </c>
      <c r="K17406" t="s">
        <v>1357</v>
      </c>
      <c r="L17406" t="s">
        <v>1357</v>
      </c>
    </row>
    <row r="17407" spans="1:13">
      <c r="F17407" t="s">
        <v>16957</v>
      </c>
      <c r="G17407" t="s">
        <v>19568</v>
      </c>
      <c r="H17407" t="s">
        <v>25304</v>
      </c>
      <c r="I17407" t="s">
        <v>1357</v>
      </c>
      <c r="J17407" t="s">
        <v>1357</v>
      </c>
      <c r="K17407" t="s">
        <v>1357</v>
      </c>
      <c r="L17407" t="s">
        <v>1357</v>
      </c>
    </row>
    <row r="17408" spans="1:13">
      <c r="H17408" t="s">
        <v>25305</v>
      </c>
      <c r="I17408" t="s">
        <v>1357</v>
      </c>
      <c r="J17408" t="s">
        <v>1357</v>
      </c>
      <c r="K17408" t="s">
        <v>1357</v>
      </c>
      <c r="L17408" t="s">
        <v>1357</v>
      </c>
    </row>
    <row r="17409" spans="6:12">
      <c r="H17409" t="s">
        <v>25306</v>
      </c>
      <c r="I17409" t="s">
        <v>1357</v>
      </c>
      <c r="J17409" t="s">
        <v>1357</v>
      </c>
      <c r="K17409" t="s">
        <v>1357</v>
      </c>
      <c r="L17409" t="s">
        <v>1357</v>
      </c>
    </row>
    <row r="17410" spans="6:12">
      <c r="H17410" t="s">
        <v>25307</v>
      </c>
      <c r="I17410" t="s">
        <v>1357</v>
      </c>
      <c r="J17410" t="s">
        <v>1357</v>
      </c>
      <c r="K17410" t="s">
        <v>1357</v>
      </c>
      <c r="L17410" t="s">
        <v>1357</v>
      </c>
    </row>
    <row r="17411" spans="6:12">
      <c r="H17411" t="s">
        <v>25308</v>
      </c>
      <c r="I17411" t="s">
        <v>1357</v>
      </c>
      <c r="J17411" t="s">
        <v>1357</v>
      </c>
      <c r="K17411" t="s">
        <v>1357</v>
      </c>
      <c r="L17411" t="s">
        <v>1357</v>
      </c>
    </row>
    <row r="17412" spans="6:12">
      <c r="H17412" t="s">
        <v>25309</v>
      </c>
      <c r="I17412" t="s">
        <v>1357</v>
      </c>
      <c r="J17412" t="s">
        <v>1357</v>
      </c>
      <c r="K17412" t="s">
        <v>1357</v>
      </c>
      <c r="L17412" t="s">
        <v>1357</v>
      </c>
    </row>
    <row r="17413" spans="6:12">
      <c r="F17413" t="s">
        <v>16958</v>
      </c>
      <c r="G17413" t="s">
        <v>19569</v>
      </c>
      <c r="H17413" t="s">
        <v>25310</v>
      </c>
      <c r="I17413" t="s">
        <v>1357</v>
      </c>
      <c r="J17413" t="s">
        <v>1357</v>
      </c>
      <c r="K17413" t="s">
        <v>1357</v>
      </c>
      <c r="L17413" t="s">
        <v>1357</v>
      </c>
    </row>
    <row r="17414" spans="6:12">
      <c r="F17414" t="s">
        <v>16959</v>
      </c>
      <c r="G17414" t="s">
        <v>19570</v>
      </c>
      <c r="H17414" t="s">
        <v>25310</v>
      </c>
      <c r="I17414" t="s">
        <v>1357</v>
      </c>
      <c r="J17414" t="s">
        <v>1357</v>
      </c>
      <c r="K17414" t="s">
        <v>1357</v>
      </c>
      <c r="L17414" t="s">
        <v>1357</v>
      </c>
    </row>
    <row r="17415" spans="6:12">
      <c r="F17415" t="s">
        <v>16960</v>
      </c>
      <c r="G17415" t="s">
        <v>19571</v>
      </c>
      <c r="H17415" t="s">
        <v>25311</v>
      </c>
      <c r="I17415" t="s">
        <v>1357</v>
      </c>
      <c r="J17415" t="s">
        <v>1357</v>
      </c>
      <c r="K17415" t="s">
        <v>1357</v>
      </c>
      <c r="L17415" t="s">
        <v>1357</v>
      </c>
    </row>
    <row r="17416" spans="6:12">
      <c r="H17416" t="s">
        <v>25312</v>
      </c>
      <c r="I17416" t="s">
        <v>1357</v>
      </c>
      <c r="J17416" t="s">
        <v>1357</v>
      </c>
      <c r="K17416" t="s">
        <v>1357</v>
      </c>
      <c r="L17416" t="s">
        <v>1357</v>
      </c>
    </row>
    <row r="17417" spans="6:12">
      <c r="H17417" t="s">
        <v>25313</v>
      </c>
      <c r="I17417" t="s">
        <v>1357</v>
      </c>
      <c r="J17417" t="s">
        <v>1357</v>
      </c>
      <c r="K17417" t="s">
        <v>1357</v>
      </c>
      <c r="L17417" t="s">
        <v>1357</v>
      </c>
    </row>
    <row r="17418" spans="6:12">
      <c r="H17418" t="s">
        <v>25314</v>
      </c>
      <c r="I17418" t="s">
        <v>1357</v>
      </c>
      <c r="J17418" t="s">
        <v>1357</v>
      </c>
      <c r="K17418" t="s">
        <v>1357</v>
      </c>
      <c r="L17418" t="s">
        <v>1357</v>
      </c>
    </row>
    <row r="17419" spans="6:12">
      <c r="H17419" t="s">
        <v>25315</v>
      </c>
      <c r="I17419" t="s">
        <v>1357</v>
      </c>
      <c r="J17419" t="s">
        <v>1357</v>
      </c>
      <c r="K17419" t="s">
        <v>1357</v>
      </c>
      <c r="L17419" t="s">
        <v>1357</v>
      </c>
    </row>
    <row r="17420" spans="6:12">
      <c r="H17420" t="s">
        <v>25316</v>
      </c>
      <c r="I17420" t="s">
        <v>1357</v>
      </c>
      <c r="J17420" t="s">
        <v>1357</v>
      </c>
      <c r="K17420" t="s">
        <v>1357</v>
      </c>
      <c r="L17420" t="s">
        <v>1357</v>
      </c>
    </row>
    <row r="17421" spans="6:12">
      <c r="H17421" t="s">
        <v>25317</v>
      </c>
      <c r="I17421" t="s">
        <v>1357</v>
      </c>
      <c r="J17421" t="s">
        <v>1357</v>
      </c>
      <c r="K17421" t="s">
        <v>1357</v>
      </c>
      <c r="L17421" t="s">
        <v>1357</v>
      </c>
    </row>
    <row r="17422" spans="6:12">
      <c r="H17422" t="s">
        <v>25318</v>
      </c>
      <c r="I17422" t="s">
        <v>1357</v>
      </c>
      <c r="J17422" t="s">
        <v>1357</v>
      </c>
      <c r="K17422" t="s">
        <v>1357</v>
      </c>
      <c r="L17422" t="s">
        <v>1357</v>
      </c>
    </row>
    <row r="17423" spans="6:12">
      <c r="H17423" t="s">
        <v>25319</v>
      </c>
      <c r="I17423" t="s">
        <v>1357</v>
      </c>
      <c r="J17423" t="s">
        <v>1357</v>
      </c>
      <c r="K17423" t="s">
        <v>1357</v>
      </c>
      <c r="L17423" t="s">
        <v>1357</v>
      </c>
    </row>
    <row r="17424" spans="6:12">
      <c r="H17424" t="s">
        <v>25320</v>
      </c>
      <c r="I17424" t="s">
        <v>1357</v>
      </c>
      <c r="J17424" t="s">
        <v>1357</v>
      </c>
      <c r="K17424" t="s">
        <v>1357</v>
      </c>
      <c r="L17424" t="s">
        <v>1357</v>
      </c>
    </row>
    <row r="17425" spans="6:12">
      <c r="H17425" t="s">
        <v>25321</v>
      </c>
      <c r="I17425" t="s">
        <v>1357</v>
      </c>
      <c r="J17425" t="s">
        <v>1357</v>
      </c>
      <c r="K17425" t="s">
        <v>1357</v>
      </c>
      <c r="L17425" t="s">
        <v>1357</v>
      </c>
    </row>
    <row r="17426" spans="6:12">
      <c r="H17426" t="s">
        <v>25322</v>
      </c>
      <c r="I17426" t="s">
        <v>1357</v>
      </c>
      <c r="J17426" t="s">
        <v>1357</v>
      </c>
      <c r="K17426" t="s">
        <v>1357</v>
      </c>
      <c r="L17426" t="s">
        <v>1357</v>
      </c>
    </row>
    <row r="17427" spans="6:12">
      <c r="H17427" t="s">
        <v>25323</v>
      </c>
      <c r="I17427" t="s">
        <v>1357</v>
      </c>
      <c r="J17427" t="s">
        <v>1357</v>
      </c>
      <c r="K17427" t="s">
        <v>1357</v>
      </c>
      <c r="L17427" t="s">
        <v>1357</v>
      </c>
    </row>
    <row r="17428" spans="6:12">
      <c r="F17428" t="s">
        <v>16961</v>
      </c>
      <c r="G17428" t="s">
        <v>19572</v>
      </c>
      <c r="H17428" t="s">
        <v>25324</v>
      </c>
      <c r="I17428" t="s">
        <v>1357</v>
      </c>
      <c r="J17428" t="s">
        <v>1357</v>
      </c>
      <c r="K17428" t="s">
        <v>1357</v>
      </c>
      <c r="L17428" t="s">
        <v>1357</v>
      </c>
    </row>
    <row r="17429" spans="6:12">
      <c r="H17429" t="s">
        <v>25325</v>
      </c>
      <c r="I17429" t="s">
        <v>1357</v>
      </c>
      <c r="J17429" t="s">
        <v>1357</v>
      </c>
      <c r="K17429" t="s">
        <v>1357</v>
      </c>
      <c r="L17429" t="s">
        <v>1357</v>
      </c>
    </row>
    <row r="17430" spans="6:12">
      <c r="H17430" t="s">
        <v>25326</v>
      </c>
      <c r="I17430" t="s">
        <v>1357</v>
      </c>
      <c r="J17430" t="s">
        <v>1357</v>
      </c>
      <c r="K17430" t="s">
        <v>1357</v>
      </c>
      <c r="L17430" t="s">
        <v>1357</v>
      </c>
    </row>
    <row r="17431" spans="6:12">
      <c r="H17431" t="s">
        <v>25327</v>
      </c>
      <c r="I17431" t="s">
        <v>1357</v>
      </c>
      <c r="J17431" t="s">
        <v>1357</v>
      </c>
      <c r="K17431" t="s">
        <v>1357</v>
      </c>
      <c r="L17431" t="s">
        <v>1357</v>
      </c>
    </row>
    <row r="17432" spans="6:12">
      <c r="H17432" t="s">
        <v>25328</v>
      </c>
      <c r="I17432" t="s">
        <v>1357</v>
      </c>
      <c r="J17432" t="s">
        <v>1357</v>
      </c>
      <c r="K17432" t="s">
        <v>1357</v>
      </c>
      <c r="L17432" t="s">
        <v>1357</v>
      </c>
    </row>
    <row r="17433" spans="6:12">
      <c r="H17433" t="s">
        <v>25329</v>
      </c>
      <c r="I17433" t="s">
        <v>1357</v>
      </c>
      <c r="J17433" t="s">
        <v>1357</v>
      </c>
      <c r="K17433" t="s">
        <v>1357</v>
      </c>
      <c r="L17433" t="s">
        <v>1357</v>
      </c>
    </row>
    <row r="17434" spans="6:12">
      <c r="F17434" t="s">
        <v>16962</v>
      </c>
      <c r="G17434" t="s">
        <v>19573</v>
      </c>
      <c r="H17434" t="s">
        <v>25330</v>
      </c>
      <c r="I17434" t="s">
        <v>1357</v>
      </c>
      <c r="J17434" t="s">
        <v>1357</v>
      </c>
      <c r="K17434" t="s">
        <v>1357</v>
      </c>
      <c r="L17434" t="s">
        <v>1357</v>
      </c>
    </row>
    <row r="17435" spans="6:12">
      <c r="H17435" t="s">
        <v>25331</v>
      </c>
      <c r="I17435" t="s">
        <v>1357</v>
      </c>
      <c r="J17435" t="s">
        <v>1357</v>
      </c>
      <c r="K17435" t="s">
        <v>1357</v>
      </c>
      <c r="L17435" t="s">
        <v>1357</v>
      </c>
    </row>
    <row r="17436" spans="6:12">
      <c r="F17436" t="s">
        <v>16963</v>
      </c>
      <c r="G17436" t="s">
        <v>19476</v>
      </c>
      <c r="H17436" t="s">
        <v>25332</v>
      </c>
      <c r="I17436" t="s">
        <v>1357</v>
      </c>
      <c r="J17436" t="s">
        <v>1357</v>
      </c>
      <c r="K17436" t="s">
        <v>1357</v>
      </c>
      <c r="L17436" t="s">
        <v>1357</v>
      </c>
    </row>
    <row r="17437" spans="6:12">
      <c r="H17437" t="s">
        <v>25333</v>
      </c>
      <c r="I17437" t="s">
        <v>1357</v>
      </c>
      <c r="J17437" t="s">
        <v>1357</v>
      </c>
      <c r="K17437" t="s">
        <v>1357</v>
      </c>
      <c r="L17437" t="s">
        <v>1357</v>
      </c>
    </row>
    <row r="17438" spans="6:12">
      <c r="H17438" t="s">
        <v>25334</v>
      </c>
      <c r="I17438" t="s">
        <v>1357</v>
      </c>
      <c r="J17438" t="s">
        <v>1357</v>
      </c>
      <c r="K17438" t="s">
        <v>1357</v>
      </c>
      <c r="L17438" t="s">
        <v>1357</v>
      </c>
    </row>
    <row r="17439" spans="6:12">
      <c r="H17439" t="s">
        <v>25335</v>
      </c>
      <c r="I17439" t="s">
        <v>1357</v>
      </c>
      <c r="J17439" t="s">
        <v>1357</v>
      </c>
      <c r="K17439" t="s">
        <v>1357</v>
      </c>
      <c r="L17439" t="s">
        <v>1357</v>
      </c>
    </row>
    <row r="17440" spans="6:12">
      <c r="H17440" t="s">
        <v>25336</v>
      </c>
      <c r="I17440" t="s">
        <v>1357</v>
      </c>
      <c r="J17440" t="s">
        <v>1357</v>
      </c>
      <c r="K17440" t="s">
        <v>1357</v>
      </c>
      <c r="L17440" t="s">
        <v>1357</v>
      </c>
    </row>
    <row r="17441" spans="1:12">
      <c r="H17441" t="s">
        <v>25337</v>
      </c>
      <c r="I17441" t="s">
        <v>1357</v>
      </c>
      <c r="J17441" t="s">
        <v>1357</v>
      </c>
      <c r="K17441" t="s">
        <v>1357</v>
      </c>
      <c r="L17441" t="s">
        <v>1357</v>
      </c>
    </row>
    <row r="17442" spans="1:12">
      <c r="H17442" t="s">
        <v>25338</v>
      </c>
      <c r="I17442" t="s">
        <v>1357</v>
      </c>
      <c r="J17442" t="s">
        <v>1357</v>
      </c>
      <c r="K17442" t="s">
        <v>1357</v>
      </c>
      <c r="L17442" t="s">
        <v>1357</v>
      </c>
    </row>
    <row r="17443" spans="1:12">
      <c r="A17443" t="s">
        <v>11431</v>
      </c>
      <c r="B17443">
        <f>HYPERLINK("https://android.googlesource.com/platform/cts/+/815968ef87a93460aadc18235c586a40a0536641", "815968ef87a93460aadc18235c586a40a0536641")</f>
        <v>0</v>
      </c>
      <c r="C17443">
        <f>HYPERLINK("https://android.googlesource.com/platform/cts/+/e0664c07eef8171686c6c4341d5443c95e43a5a2", "e0664c07eef8171686c6c4341d5443c95e43a5a2")</f>
        <v>0</v>
      </c>
      <c r="D17443" t="s">
        <v>12397</v>
      </c>
      <c r="E17443" t="s">
        <v>13945</v>
      </c>
      <c r="F17443" t="s">
        <v>16657</v>
      </c>
      <c r="G17443" t="s">
        <v>19291</v>
      </c>
      <c r="H17443" t="s">
        <v>25342</v>
      </c>
      <c r="I17443" t="s">
        <v>1357</v>
      </c>
      <c r="J17443" t="s">
        <v>1357</v>
      </c>
      <c r="K17443" t="s">
        <v>1357</v>
      </c>
      <c r="L17443" t="s">
        <v>1357</v>
      </c>
    </row>
    <row r="17444" spans="1:12">
      <c r="A17444" t="s">
        <v>11432</v>
      </c>
      <c r="B17444">
        <f>HYPERLINK("https://android.googlesource.com/platform/cts/+/1c6308ce4831b5f8bb9995054c61f2d8ba024825", "1c6308ce4831b5f8bb9995054c61f2d8ba024825")</f>
        <v>0</v>
      </c>
      <c r="C17444">
        <f>HYPERLINK("https://android.googlesource.com/platform/cts/+/487dbf47f9ccc9edbff96c69e4a473e2d5f1c17c", "487dbf47f9ccc9edbff96c69e4a473e2d5f1c17c")</f>
        <v>0</v>
      </c>
      <c r="D17444" t="s">
        <v>12288</v>
      </c>
      <c r="E17444" t="s">
        <v>13946</v>
      </c>
      <c r="F17444" t="s">
        <v>16749</v>
      </c>
      <c r="G17444" t="s">
        <v>19378</v>
      </c>
      <c r="H17444" t="s">
        <v>25343</v>
      </c>
      <c r="I17444" t="s">
        <v>1357</v>
      </c>
      <c r="J17444" t="s">
        <v>1357</v>
      </c>
      <c r="K17444" t="s">
        <v>1357</v>
      </c>
      <c r="L17444" t="s">
        <v>1357</v>
      </c>
    </row>
    <row r="17445" spans="1:12">
      <c r="H17445" t="s">
        <v>25344</v>
      </c>
      <c r="I17445" t="s">
        <v>1357</v>
      </c>
      <c r="J17445" t="s">
        <v>1357</v>
      </c>
      <c r="K17445" t="s">
        <v>1357</v>
      </c>
      <c r="L17445" t="s">
        <v>1357</v>
      </c>
    </row>
    <row r="17446" spans="1:12">
      <c r="H17446" t="s">
        <v>25345</v>
      </c>
      <c r="I17446" t="s">
        <v>1357</v>
      </c>
      <c r="J17446" t="s">
        <v>1357</v>
      </c>
      <c r="K17446" t="s">
        <v>1357</v>
      </c>
      <c r="L17446" t="s">
        <v>1357</v>
      </c>
    </row>
    <row r="17447" spans="1:12">
      <c r="H17447" t="s">
        <v>25346</v>
      </c>
      <c r="I17447" t="s">
        <v>1357</v>
      </c>
      <c r="J17447" t="s">
        <v>1357</v>
      </c>
      <c r="K17447" t="s">
        <v>1357</v>
      </c>
      <c r="L17447" t="s">
        <v>1357</v>
      </c>
    </row>
    <row r="17448" spans="1:12">
      <c r="A17448" t="s">
        <v>11432</v>
      </c>
      <c r="B17448">
        <f>HYPERLINK("https://android.googlesource.com/platform/cts/+/53a00c03d57d69a1a33684c393996e6a6dba9da7", "53a00c03d57d69a1a33684c393996e6a6dba9da7")</f>
        <v>0</v>
      </c>
      <c r="C17448">
        <f>HYPERLINK("https://android.googlesource.com/platform/cts/+/1c6308ce4831b5f8bb9995054c61f2d8ba024825", "1c6308ce4831b5f8bb9995054c61f2d8ba024825")</f>
        <v>0</v>
      </c>
      <c r="D17448" t="s">
        <v>12288</v>
      </c>
      <c r="E17448" t="s">
        <v>13947</v>
      </c>
      <c r="F17448" t="s">
        <v>16749</v>
      </c>
      <c r="G17448" t="s">
        <v>19378</v>
      </c>
      <c r="H17448" t="s">
        <v>25347</v>
      </c>
      <c r="I17448" t="s">
        <v>1357</v>
      </c>
      <c r="J17448" t="s">
        <v>1357</v>
      </c>
      <c r="K17448" t="s">
        <v>1357</v>
      </c>
      <c r="L17448" t="s">
        <v>1357</v>
      </c>
    </row>
    <row r="17449" spans="1:12">
      <c r="H17449" t="s">
        <v>25348</v>
      </c>
      <c r="I17449" t="s">
        <v>1357</v>
      </c>
      <c r="J17449" t="s">
        <v>1357</v>
      </c>
      <c r="K17449" t="s">
        <v>1357</v>
      </c>
      <c r="L17449" t="s">
        <v>1357</v>
      </c>
    </row>
    <row r="17450" spans="1:12">
      <c r="H17450" t="s">
        <v>25349</v>
      </c>
      <c r="I17450" t="s">
        <v>1357</v>
      </c>
      <c r="J17450" t="s">
        <v>1357</v>
      </c>
      <c r="K17450" t="s">
        <v>1357</v>
      </c>
      <c r="L17450" t="s">
        <v>1357</v>
      </c>
    </row>
    <row r="17451" spans="1:12">
      <c r="H17451" t="s">
        <v>25350</v>
      </c>
      <c r="I17451" t="s">
        <v>1357</v>
      </c>
      <c r="J17451" t="s">
        <v>1357</v>
      </c>
      <c r="K17451" t="s">
        <v>1357</v>
      </c>
      <c r="L17451" t="s">
        <v>1357</v>
      </c>
    </row>
    <row r="17452" spans="1:12">
      <c r="H17452" t="s">
        <v>25351</v>
      </c>
      <c r="I17452" t="s">
        <v>1357</v>
      </c>
      <c r="J17452" t="s">
        <v>1357</v>
      </c>
      <c r="K17452" t="s">
        <v>1357</v>
      </c>
      <c r="L17452" t="s">
        <v>1357</v>
      </c>
    </row>
    <row r="17453" spans="1:12">
      <c r="H17453" t="s">
        <v>25352</v>
      </c>
      <c r="I17453" t="s">
        <v>1357</v>
      </c>
      <c r="J17453" t="s">
        <v>1357</v>
      </c>
      <c r="K17453" t="s">
        <v>1357</v>
      </c>
      <c r="L17453" t="s">
        <v>1357</v>
      </c>
    </row>
    <row r="17454" spans="1:12">
      <c r="A17454" t="s">
        <v>11432</v>
      </c>
      <c r="B17454">
        <f>HYPERLINK("https://android.googlesource.com/platform/cts/+/95f64e7951a5ba6c2ace333a8d51c4658e07cfcd", "95f64e7951a5ba6c2ace333a8d51c4658e07cfcd")</f>
        <v>0</v>
      </c>
      <c r="C17454">
        <f>HYPERLINK("https://android.googlesource.com/platform/cts/+/53a00c03d57d69a1a33684c393996e6a6dba9da7", "53a00c03d57d69a1a33684c393996e6a6dba9da7")</f>
        <v>0</v>
      </c>
      <c r="D17454" t="s">
        <v>12288</v>
      </c>
      <c r="E17454" t="s">
        <v>13948</v>
      </c>
      <c r="F17454" t="s">
        <v>16749</v>
      </c>
      <c r="G17454" t="s">
        <v>19378</v>
      </c>
      <c r="H17454" t="s">
        <v>25353</v>
      </c>
      <c r="I17454" t="s">
        <v>1357</v>
      </c>
      <c r="J17454" t="s">
        <v>1357</v>
      </c>
      <c r="K17454" t="s">
        <v>1357</v>
      </c>
      <c r="L17454" t="s">
        <v>1357</v>
      </c>
    </row>
    <row r="17455" spans="1:12">
      <c r="H17455" t="s">
        <v>25354</v>
      </c>
      <c r="I17455" t="s">
        <v>1357</v>
      </c>
      <c r="J17455" t="s">
        <v>1357</v>
      </c>
      <c r="K17455" t="s">
        <v>1357</v>
      </c>
      <c r="L17455" t="s">
        <v>1357</v>
      </c>
    </row>
    <row r="17456" spans="1:12">
      <c r="H17456" t="s">
        <v>25355</v>
      </c>
      <c r="I17456" t="s">
        <v>1357</v>
      </c>
      <c r="J17456" t="s">
        <v>1357</v>
      </c>
      <c r="K17456" t="s">
        <v>1357</v>
      </c>
      <c r="L17456" t="s">
        <v>1357</v>
      </c>
    </row>
    <row r="17457" spans="1:13">
      <c r="H17457" t="s">
        <v>25356</v>
      </c>
      <c r="I17457" t="s">
        <v>1357</v>
      </c>
      <c r="J17457" t="s">
        <v>1357</v>
      </c>
      <c r="K17457" t="s">
        <v>1357</v>
      </c>
      <c r="L17457" t="s">
        <v>1357</v>
      </c>
    </row>
    <row r="17458" spans="1:13">
      <c r="H17458" t="s">
        <v>25357</v>
      </c>
      <c r="I17458" t="s">
        <v>1357</v>
      </c>
      <c r="J17458" t="s">
        <v>1357</v>
      </c>
      <c r="K17458" t="s">
        <v>1357</v>
      </c>
      <c r="L17458" t="s">
        <v>1357</v>
      </c>
    </row>
    <row r="17459" spans="1:13">
      <c r="H17459" t="s">
        <v>25358</v>
      </c>
      <c r="I17459" t="s">
        <v>1357</v>
      </c>
      <c r="J17459" t="s">
        <v>1357</v>
      </c>
      <c r="K17459" t="s">
        <v>1357</v>
      </c>
      <c r="L17459" t="s">
        <v>1357</v>
      </c>
    </row>
    <row r="17460" spans="1:13">
      <c r="A17460" t="s">
        <v>11432</v>
      </c>
      <c r="B17460">
        <f>HYPERLINK("https://android.googlesource.com/platform/cts/+/91b4c4b4ad3954cbfc45fbe006796e9a294e4d08", "91b4c4b4ad3954cbfc45fbe006796e9a294e4d08")</f>
        <v>0</v>
      </c>
      <c r="C17460">
        <f>HYPERLINK("https://android.googlesource.com/platform/cts/+/95f64e7951a5ba6c2ace333a8d51c4658e07cfcd", "95f64e7951a5ba6c2ace333a8d51c4658e07cfcd")</f>
        <v>0</v>
      </c>
      <c r="D17460" t="s">
        <v>12288</v>
      </c>
      <c r="E17460" t="s">
        <v>13949</v>
      </c>
      <c r="F17460" t="s">
        <v>16749</v>
      </c>
      <c r="G17460" t="s">
        <v>19378</v>
      </c>
      <c r="H17460" t="s">
        <v>25359</v>
      </c>
      <c r="I17460" t="s">
        <v>1357</v>
      </c>
      <c r="J17460" t="s">
        <v>1357</v>
      </c>
      <c r="K17460" t="s">
        <v>1357</v>
      </c>
      <c r="L17460" t="s">
        <v>1357</v>
      </c>
    </row>
    <row r="17461" spans="1:13">
      <c r="H17461" t="s">
        <v>25360</v>
      </c>
      <c r="I17461" t="s">
        <v>1357</v>
      </c>
      <c r="J17461" t="s">
        <v>1357</v>
      </c>
      <c r="K17461" t="s">
        <v>1357</v>
      </c>
      <c r="L17461" t="s">
        <v>1357</v>
      </c>
    </row>
    <row r="17462" spans="1:13">
      <c r="H17462" t="s">
        <v>25361</v>
      </c>
      <c r="I17462" t="s">
        <v>1357</v>
      </c>
      <c r="J17462" t="s">
        <v>1357</v>
      </c>
      <c r="K17462" t="s">
        <v>1357</v>
      </c>
      <c r="L17462" t="s">
        <v>1357</v>
      </c>
    </row>
    <row r="17463" spans="1:13">
      <c r="H17463" t="s">
        <v>25362</v>
      </c>
      <c r="I17463" t="s">
        <v>1357</v>
      </c>
      <c r="J17463" t="s">
        <v>1357</v>
      </c>
      <c r="K17463" t="s">
        <v>1357</v>
      </c>
      <c r="L17463" t="s">
        <v>1357</v>
      </c>
    </row>
    <row r="17464" spans="1:13">
      <c r="H17464" t="s">
        <v>25363</v>
      </c>
      <c r="I17464" t="s">
        <v>1357</v>
      </c>
      <c r="J17464" t="s">
        <v>1357</v>
      </c>
      <c r="K17464" t="s">
        <v>1357</v>
      </c>
      <c r="L17464" t="s">
        <v>1357</v>
      </c>
    </row>
    <row r="17465" spans="1:13">
      <c r="H17465" t="s">
        <v>25364</v>
      </c>
      <c r="I17465" t="s">
        <v>1357</v>
      </c>
      <c r="J17465" t="s">
        <v>1357</v>
      </c>
      <c r="K17465" t="s">
        <v>1357</v>
      </c>
      <c r="L17465" t="s">
        <v>1357</v>
      </c>
    </row>
    <row r="17466" spans="1:13">
      <c r="H17466" t="s">
        <v>25365</v>
      </c>
      <c r="I17466" t="s">
        <v>1357</v>
      </c>
      <c r="J17466" t="s">
        <v>1357</v>
      </c>
      <c r="K17466" t="s">
        <v>1357</v>
      </c>
      <c r="L17466" t="s">
        <v>1357</v>
      </c>
    </row>
    <row r="17467" spans="1:13">
      <c r="A17467" t="s">
        <v>11432</v>
      </c>
      <c r="B17467">
        <f>HYPERLINK("https://android.googlesource.com/platform/cts/+/c92831a16175036bee5059fb34a754e0a6613df8", "c92831a16175036bee5059fb34a754e0a6613df8")</f>
        <v>0</v>
      </c>
      <c r="C17467">
        <f>HYPERLINK("https://android.googlesource.com/platform/cts/+/91b4c4b4ad3954cbfc45fbe006796e9a294e4d08", "91b4c4b4ad3954cbfc45fbe006796e9a294e4d08")</f>
        <v>0</v>
      </c>
      <c r="D17467" t="s">
        <v>12288</v>
      </c>
      <c r="E17467" t="s">
        <v>13950</v>
      </c>
      <c r="F17467" t="s">
        <v>16838</v>
      </c>
      <c r="G17467" t="s">
        <v>19007</v>
      </c>
      <c r="H17467" t="s">
        <v>25366</v>
      </c>
      <c r="I17467" t="s">
        <v>1357</v>
      </c>
      <c r="J17467" t="s">
        <v>1357</v>
      </c>
      <c r="K17467" t="s">
        <v>1357</v>
      </c>
      <c r="L17467" t="s">
        <v>1357</v>
      </c>
    </row>
    <row r="17468" spans="1:13">
      <c r="A17468" t="s">
        <v>11433</v>
      </c>
      <c r="B17468">
        <f>HYPERLINK("https://android.googlesource.com/platform/cts/+/0b118dc1f075d60904eabbd2f9f40710c4597a4a", "0b118dc1f075d60904eabbd2f9f40710c4597a4a")</f>
        <v>0</v>
      </c>
      <c r="C17468">
        <f>HYPERLINK("https://android.googlesource.com/platform/cts/+/8a158ee730271017ec3852f85e38afbe58cdb766", "8a158ee730271017ec3852f85e38afbe58cdb766")</f>
        <v>0</v>
      </c>
      <c r="D17468" t="s">
        <v>12378</v>
      </c>
      <c r="E17468" t="s">
        <v>13951</v>
      </c>
      <c r="F17468" t="s">
        <v>16895</v>
      </c>
      <c r="G17468" t="s">
        <v>19507</v>
      </c>
      <c r="H17468" t="s">
        <v>25367</v>
      </c>
      <c r="I17468" t="s">
        <v>1357</v>
      </c>
      <c r="J17468" t="s">
        <v>1357</v>
      </c>
      <c r="K17468" t="s">
        <v>1357</v>
      </c>
      <c r="L17468" t="s">
        <v>1357</v>
      </c>
    </row>
    <row r="17469" spans="1:13">
      <c r="A17469" t="s">
        <v>11434</v>
      </c>
      <c r="B17469">
        <f>HYPERLINK("https://android.googlesource.com/platform/cts/+/0be144a10f415dc7d47916df1100cc3dce305360", "0be144a10f415dc7d47916df1100cc3dce305360")</f>
        <v>0</v>
      </c>
      <c r="C17469">
        <f>HYPERLINK("https://android.googlesource.com/platform/cts/+/8809e6eba385c95eab69009050fcc5e218a8d6ca", "8809e6eba385c95eab69009050fcc5e218a8d6ca")</f>
        <v>0</v>
      </c>
      <c r="D17469" t="s">
        <v>12329</v>
      </c>
      <c r="E17469" t="s">
        <v>13952</v>
      </c>
      <c r="F17469" t="s">
        <v>16965</v>
      </c>
      <c r="G17469" t="s">
        <v>19406</v>
      </c>
      <c r="H17469" t="s">
        <v>25368</v>
      </c>
      <c r="I17469" t="s">
        <v>1357</v>
      </c>
      <c r="J17469" t="s">
        <v>1357</v>
      </c>
      <c r="K17469" t="s">
        <v>1357</v>
      </c>
      <c r="L17469" t="s">
        <v>1357</v>
      </c>
    </row>
    <row r="17470" spans="1:13">
      <c r="H17470" t="s">
        <v>25369</v>
      </c>
      <c r="I17470" t="s">
        <v>1357</v>
      </c>
      <c r="J17470" t="s">
        <v>1357</v>
      </c>
      <c r="K17470" t="s">
        <v>1357</v>
      </c>
      <c r="L17470" t="s">
        <v>1357</v>
      </c>
    </row>
    <row r="17471" spans="1:13">
      <c r="A17471" t="s">
        <v>11435</v>
      </c>
      <c r="B17471">
        <f>HYPERLINK("https://android.googlesource.com/platform/cts/+/af7ce216051ff21639808318b31a7ce1e1b6caee", "af7ce216051ff21639808318b31a7ce1e1b6caee")</f>
        <v>0</v>
      </c>
      <c r="C17471">
        <f>HYPERLINK("https://android.googlesource.com/platform/cts/+/c7bed5eae57eb362613a595a9de981fbe7d6507e", "c7bed5eae57eb362613a595a9de981fbe7d6507e")</f>
        <v>0</v>
      </c>
      <c r="D17471" t="s">
        <v>12329</v>
      </c>
      <c r="E17471" t="s">
        <v>13953</v>
      </c>
      <c r="F17471" t="s">
        <v>16965</v>
      </c>
      <c r="G17471" t="s">
        <v>19406</v>
      </c>
      <c r="H17471" t="s">
        <v>25368</v>
      </c>
      <c r="I17471" t="s">
        <v>1357</v>
      </c>
      <c r="J17471" t="s">
        <v>1357</v>
      </c>
      <c r="K17471" t="s">
        <v>1357</v>
      </c>
      <c r="L17471" t="s">
        <v>1357</v>
      </c>
      <c r="M17471" t="s">
        <v>9957</v>
      </c>
    </row>
    <row r="17472" spans="1:13">
      <c r="H17472" t="s">
        <v>25369</v>
      </c>
      <c r="I17472" t="s">
        <v>1357</v>
      </c>
      <c r="J17472" t="s">
        <v>1357</v>
      </c>
      <c r="K17472" t="s">
        <v>1357</v>
      </c>
      <c r="L17472" t="s">
        <v>1357</v>
      </c>
    </row>
    <row r="17473" spans="1:13">
      <c r="A17473" t="s">
        <v>11436</v>
      </c>
      <c r="B17473">
        <f>HYPERLINK("https://android.googlesource.com/platform/cts/+/33f78ee32e879f6a0ef271264b391c370770d914", "33f78ee32e879f6a0ef271264b391c370770d914")</f>
        <v>0</v>
      </c>
      <c r="C17473">
        <f>HYPERLINK("https://android.googlesource.com/platform/cts/+/10721726f4477f534addc39b0291eacfab7734ed", "10721726f4477f534addc39b0291eacfab7734ed")</f>
        <v>0</v>
      </c>
      <c r="D17473" t="s">
        <v>12222</v>
      </c>
      <c r="E17473" t="s">
        <v>13954</v>
      </c>
      <c r="F17473" t="s">
        <v>16966</v>
      </c>
      <c r="G17473" t="s">
        <v>19575</v>
      </c>
      <c r="H17473" t="s">
        <v>25370</v>
      </c>
      <c r="I17473" t="s">
        <v>1358</v>
      </c>
      <c r="J17473" t="s">
        <v>1358</v>
      </c>
      <c r="K17473" t="s">
        <v>1358</v>
      </c>
      <c r="L17473" t="s">
        <v>1358</v>
      </c>
    </row>
    <row r="17474" spans="1:13">
      <c r="A17474" t="s">
        <v>11437</v>
      </c>
      <c r="B17474">
        <f>HYPERLINK("https://android.googlesource.com/platform/cts/+/0c35cc2e801c0deaa00c84b2f3753a16e5d5000f", "0c35cc2e801c0deaa00c84b2f3753a16e5d5000f")</f>
        <v>0</v>
      </c>
      <c r="C17474">
        <f>HYPERLINK("https://android.googlesource.com/platform/cts/+/48ed8de64232d459d14bfd50614f985e5d4163c2", "48ed8de64232d459d14bfd50614f985e5d4163c2")</f>
        <v>0</v>
      </c>
      <c r="D17474" t="s">
        <v>12356</v>
      </c>
      <c r="E17474" t="s">
        <v>13955</v>
      </c>
      <c r="F17474" t="s">
        <v>16967</v>
      </c>
      <c r="G17474" t="s">
        <v>19576</v>
      </c>
      <c r="H17474" t="s">
        <v>25371</v>
      </c>
      <c r="I17474" t="s">
        <v>1357</v>
      </c>
      <c r="J17474" t="s">
        <v>1357</v>
      </c>
      <c r="K17474" t="s">
        <v>1357</v>
      </c>
      <c r="L17474" t="s">
        <v>1357</v>
      </c>
    </row>
    <row r="17475" spans="1:13">
      <c r="A17475" t="s">
        <v>11438</v>
      </c>
      <c r="B17475">
        <f>HYPERLINK("https://android.googlesource.com/platform/cts/+/0138863190bbcf9572442132b155155dce02a367", "0138863190bbcf9572442132b155155dce02a367")</f>
        <v>0</v>
      </c>
      <c r="C17475">
        <f>HYPERLINK("https://android.googlesource.com/platform/cts/+/60dbc583890a78ed1945452520adc8610b0cd34d", "60dbc583890a78ed1945452520adc8610b0cd34d")</f>
        <v>0</v>
      </c>
      <c r="D17475" t="s">
        <v>12253</v>
      </c>
      <c r="E17475" t="s">
        <v>13956</v>
      </c>
      <c r="F17475" t="s">
        <v>16968</v>
      </c>
      <c r="G17475" t="s">
        <v>19577</v>
      </c>
      <c r="H17475" t="s">
        <v>25372</v>
      </c>
      <c r="I17475" t="s">
        <v>1357</v>
      </c>
      <c r="J17475" t="s">
        <v>1357</v>
      </c>
      <c r="K17475" t="s">
        <v>1357</v>
      </c>
      <c r="L17475" t="s">
        <v>1357</v>
      </c>
    </row>
    <row r="17476" spans="1:13">
      <c r="F17476" t="s">
        <v>16969</v>
      </c>
      <c r="G17476" t="s">
        <v>19578</v>
      </c>
      <c r="H17476" t="s">
        <v>25373</v>
      </c>
      <c r="I17476" t="s">
        <v>1359</v>
      </c>
      <c r="J17476" t="s">
        <v>1358</v>
      </c>
      <c r="K17476" t="s">
        <v>1357</v>
      </c>
      <c r="L17476" t="s">
        <v>1358</v>
      </c>
    </row>
    <row r="17477" spans="1:13">
      <c r="H17477" t="s">
        <v>25374</v>
      </c>
      <c r="I17477" t="s">
        <v>1359</v>
      </c>
      <c r="J17477" t="s">
        <v>1358</v>
      </c>
      <c r="K17477" t="s">
        <v>1357</v>
      </c>
      <c r="L17477" t="s">
        <v>1358</v>
      </c>
    </row>
    <row r="17478" spans="1:13">
      <c r="H17478" t="s">
        <v>25375</v>
      </c>
      <c r="I17478" t="s">
        <v>1359</v>
      </c>
      <c r="J17478" t="s">
        <v>1358</v>
      </c>
      <c r="K17478" t="s">
        <v>1357</v>
      </c>
      <c r="L17478" t="s">
        <v>1358</v>
      </c>
    </row>
    <row r="17479" spans="1:13">
      <c r="H17479" t="s">
        <v>25376</v>
      </c>
      <c r="I17479" t="s">
        <v>1359</v>
      </c>
      <c r="J17479" t="s">
        <v>1358</v>
      </c>
      <c r="K17479" t="s">
        <v>1357</v>
      </c>
      <c r="L17479" t="s">
        <v>1358</v>
      </c>
    </row>
    <row r="17480" spans="1:13">
      <c r="H17480" t="s">
        <v>25377</v>
      </c>
      <c r="I17480" t="s">
        <v>1359</v>
      </c>
      <c r="J17480" t="s">
        <v>1358</v>
      </c>
      <c r="K17480" t="s">
        <v>1357</v>
      </c>
      <c r="L17480" t="s">
        <v>1358</v>
      </c>
    </row>
    <row r="17481" spans="1:13">
      <c r="H17481" t="s">
        <v>25378</v>
      </c>
      <c r="I17481" t="s">
        <v>1359</v>
      </c>
      <c r="J17481" t="s">
        <v>1358</v>
      </c>
      <c r="K17481" t="s">
        <v>1357</v>
      </c>
      <c r="L17481" t="s">
        <v>1358</v>
      </c>
    </row>
    <row r="17482" spans="1:13">
      <c r="H17482" t="s">
        <v>25379</v>
      </c>
      <c r="I17482" t="s">
        <v>1359</v>
      </c>
      <c r="J17482" t="s">
        <v>1358</v>
      </c>
      <c r="K17482" t="s">
        <v>1357</v>
      </c>
      <c r="L17482" t="s">
        <v>1358</v>
      </c>
    </row>
    <row r="17483" spans="1:13">
      <c r="H17483" t="s">
        <v>25380</v>
      </c>
      <c r="I17483" t="s">
        <v>1359</v>
      </c>
      <c r="J17483" t="s">
        <v>1358</v>
      </c>
      <c r="K17483" t="s">
        <v>1357</v>
      </c>
      <c r="L17483" t="s">
        <v>1358</v>
      </c>
    </row>
    <row r="17484" spans="1:13">
      <c r="H17484" t="s">
        <v>25381</v>
      </c>
      <c r="I17484" t="s">
        <v>1359</v>
      </c>
      <c r="J17484" t="s">
        <v>1358</v>
      </c>
      <c r="K17484" t="s">
        <v>1357</v>
      </c>
      <c r="L17484" t="s">
        <v>1358</v>
      </c>
    </row>
    <row r="17485" spans="1:13">
      <c r="H17485" t="s">
        <v>25382</v>
      </c>
      <c r="I17485" t="s">
        <v>1359</v>
      </c>
      <c r="J17485" t="s">
        <v>1358</v>
      </c>
      <c r="K17485" t="s">
        <v>1357</v>
      </c>
      <c r="L17485" t="s">
        <v>1358</v>
      </c>
    </row>
    <row r="17486" spans="1:13">
      <c r="H17486" t="s">
        <v>25383</v>
      </c>
      <c r="I17486" t="s">
        <v>1357</v>
      </c>
      <c r="J17486" t="s">
        <v>1357</v>
      </c>
      <c r="K17486" t="s">
        <v>1357</v>
      </c>
      <c r="L17486" t="s">
        <v>1357</v>
      </c>
      <c r="M17486" t="s">
        <v>1361</v>
      </c>
    </row>
    <row r="17487" spans="1:13">
      <c r="H17487" t="s">
        <v>25384</v>
      </c>
      <c r="I17487" t="s">
        <v>1357</v>
      </c>
      <c r="J17487" t="s">
        <v>1357</v>
      </c>
      <c r="K17487" t="s">
        <v>1357</v>
      </c>
      <c r="L17487" t="s">
        <v>1357</v>
      </c>
    </row>
    <row r="17488" spans="1:13">
      <c r="H17488" t="s">
        <v>25385</v>
      </c>
      <c r="I17488" t="s">
        <v>1359</v>
      </c>
      <c r="J17488" t="s">
        <v>1358</v>
      </c>
      <c r="K17488" t="s">
        <v>1357</v>
      </c>
      <c r="L17488" t="s">
        <v>1358</v>
      </c>
    </row>
    <row r="17489" spans="6:12">
      <c r="H17489" t="s">
        <v>25386</v>
      </c>
      <c r="I17489" t="s">
        <v>1359</v>
      </c>
      <c r="J17489" t="s">
        <v>1358</v>
      </c>
      <c r="K17489" t="s">
        <v>1357</v>
      </c>
      <c r="L17489" t="s">
        <v>1358</v>
      </c>
    </row>
    <row r="17490" spans="6:12">
      <c r="H17490" t="s">
        <v>25387</v>
      </c>
      <c r="I17490" t="s">
        <v>1359</v>
      </c>
      <c r="J17490" t="s">
        <v>1358</v>
      </c>
      <c r="K17490" t="s">
        <v>1357</v>
      </c>
      <c r="L17490" t="s">
        <v>1358</v>
      </c>
    </row>
    <row r="17491" spans="6:12">
      <c r="H17491" t="s">
        <v>25388</v>
      </c>
      <c r="I17491" t="s">
        <v>1359</v>
      </c>
      <c r="J17491" t="s">
        <v>1358</v>
      </c>
      <c r="K17491" t="s">
        <v>1357</v>
      </c>
      <c r="L17491" t="s">
        <v>1358</v>
      </c>
    </row>
    <row r="17492" spans="6:12">
      <c r="H17492" t="s">
        <v>25389</v>
      </c>
      <c r="I17492" t="s">
        <v>1359</v>
      </c>
      <c r="J17492" t="s">
        <v>1358</v>
      </c>
      <c r="K17492" t="s">
        <v>1357</v>
      </c>
      <c r="L17492" t="s">
        <v>1358</v>
      </c>
    </row>
    <row r="17493" spans="6:12">
      <c r="H17493" t="s">
        <v>25390</v>
      </c>
      <c r="I17493" t="s">
        <v>1357</v>
      </c>
      <c r="J17493" t="s">
        <v>1357</v>
      </c>
      <c r="K17493" t="s">
        <v>1357</v>
      </c>
      <c r="L17493" t="s">
        <v>1357</v>
      </c>
    </row>
    <row r="17494" spans="6:12">
      <c r="H17494" t="s">
        <v>25391</v>
      </c>
      <c r="I17494" t="s">
        <v>1359</v>
      </c>
      <c r="J17494" t="s">
        <v>1358</v>
      </c>
      <c r="K17494" t="s">
        <v>1357</v>
      </c>
      <c r="L17494" t="s">
        <v>1358</v>
      </c>
    </row>
    <row r="17495" spans="6:12">
      <c r="H17495" t="s">
        <v>25392</v>
      </c>
      <c r="I17495" t="s">
        <v>1359</v>
      </c>
      <c r="J17495" t="s">
        <v>1358</v>
      </c>
      <c r="K17495" t="s">
        <v>1357</v>
      </c>
      <c r="L17495" t="s">
        <v>1358</v>
      </c>
    </row>
    <row r="17496" spans="6:12">
      <c r="H17496" t="s">
        <v>25393</v>
      </c>
      <c r="I17496" t="s">
        <v>1359</v>
      </c>
      <c r="J17496" t="s">
        <v>1358</v>
      </c>
      <c r="K17496" t="s">
        <v>1357</v>
      </c>
      <c r="L17496" t="s">
        <v>1358</v>
      </c>
    </row>
    <row r="17497" spans="6:12">
      <c r="F17497" t="s">
        <v>16890</v>
      </c>
      <c r="G17497" t="s">
        <v>19503</v>
      </c>
      <c r="H17497" t="s">
        <v>25394</v>
      </c>
      <c r="I17497" t="s">
        <v>1359</v>
      </c>
      <c r="J17497" t="s">
        <v>1358</v>
      </c>
      <c r="K17497" t="s">
        <v>1357</v>
      </c>
      <c r="L17497" t="s">
        <v>1358</v>
      </c>
    </row>
    <row r="17498" spans="6:12">
      <c r="H17498" t="s">
        <v>25395</v>
      </c>
      <c r="I17498" t="s">
        <v>1359</v>
      </c>
      <c r="J17498" t="s">
        <v>1358</v>
      </c>
      <c r="K17498" t="s">
        <v>1357</v>
      </c>
      <c r="L17498" t="s">
        <v>1358</v>
      </c>
    </row>
    <row r="17499" spans="6:12">
      <c r="H17499" t="s">
        <v>25396</v>
      </c>
      <c r="I17499" t="s">
        <v>1359</v>
      </c>
      <c r="J17499" t="s">
        <v>1358</v>
      </c>
      <c r="K17499" t="s">
        <v>1357</v>
      </c>
      <c r="L17499" t="s">
        <v>1358</v>
      </c>
    </row>
    <row r="17500" spans="6:12">
      <c r="H17500" t="s">
        <v>25397</v>
      </c>
      <c r="I17500" t="s">
        <v>1359</v>
      </c>
      <c r="J17500" t="s">
        <v>1358</v>
      </c>
      <c r="K17500" t="s">
        <v>1357</v>
      </c>
      <c r="L17500" t="s">
        <v>1358</v>
      </c>
    </row>
    <row r="17501" spans="6:12">
      <c r="H17501" t="s">
        <v>25398</v>
      </c>
      <c r="I17501" t="s">
        <v>1359</v>
      </c>
      <c r="J17501" t="s">
        <v>1358</v>
      </c>
      <c r="K17501" t="s">
        <v>1357</v>
      </c>
      <c r="L17501" t="s">
        <v>1358</v>
      </c>
    </row>
    <row r="17502" spans="6:12">
      <c r="H17502" t="s">
        <v>25399</v>
      </c>
      <c r="I17502" t="s">
        <v>1357</v>
      </c>
      <c r="J17502" t="s">
        <v>1357</v>
      </c>
      <c r="K17502" t="s">
        <v>1357</v>
      </c>
      <c r="L17502" t="s">
        <v>1357</v>
      </c>
    </row>
    <row r="17503" spans="6:12">
      <c r="H17503" t="s">
        <v>25400</v>
      </c>
      <c r="I17503" t="s">
        <v>1359</v>
      </c>
      <c r="J17503" t="s">
        <v>1358</v>
      </c>
      <c r="K17503" t="s">
        <v>1357</v>
      </c>
      <c r="L17503" t="s">
        <v>1358</v>
      </c>
    </row>
    <row r="17504" spans="6:12">
      <c r="H17504" t="s">
        <v>25401</v>
      </c>
      <c r="I17504" t="s">
        <v>1359</v>
      </c>
      <c r="J17504" t="s">
        <v>1358</v>
      </c>
      <c r="K17504" t="s">
        <v>1357</v>
      </c>
      <c r="L17504" t="s">
        <v>1358</v>
      </c>
    </row>
    <row r="17505" spans="8:13">
      <c r="H17505" t="s">
        <v>25402</v>
      </c>
      <c r="I17505" t="s">
        <v>1359</v>
      </c>
      <c r="J17505" t="s">
        <v>1358</v>
      </c>
      <c r="K17505" t="s">
        <v>1357</v>
      </c>
      <c r="L17505" t="s">
        <v>1358</v>
      </c>
    </row>
    <row r="17506" spans="8:13">
      <c r="H17506" t="s">
        <v>25403</v>
      </c>
      <c r="I17506" t="s">
        <v>1359</v>
      </c>
      <c r="J17506" t="s">
        <v>1358</v>
      </c>
      <c r="K17506" t="s">
        <v>1357</v>
      </c>
      <c r="L17506" t="s">
        <v>1358</v>
      </c>
    </row>
    <row r="17507" spans="8:13">
      <c r="H17507" t="s">
        <v>25404</v>
      </c>
      <c r="I17507" t="s">
        <v>1359</v>
      </c>
      <c r="J17507" t="s">
        <v>1358</v>
      </c>
      <c r="K17507" t="s">
        <v>1357</v>
      </c>
      <c r="L17507" t="s">
        <v>1358</v>
      </c>
    </row>
    <row r="17508" spans="8:13">
      <c r="H17508" t="s">
        <v>25405</v>
      </c>
      <c r="I17508" t="s">
        <v>1359</v>
      </c>
      <c r="J17508" t="s">
        <v>1358</v>
      </c>
      <c r="K17508" t="s">
        <v>1357</v>
      </c>
      <c r="L17508" t="s">
        <v>1358</v>
      </c>
    </row>
    <row r="17509" spans="8:13">
      <c r="H17509" t="s">
        <v>25406</v>
      </c>
      <c r="I17509" t="s">
        <v>1359</v>
      </c>
      <c r="J17509" t="s">
        <v>1358</v>
      </c>
      <c r="K17509" t="s">
        <v>1357</v>
      </c>
      <c r="L17509" t="s">
        <v>1358</v>
      </c>
    </row>
    <row r="17510" spans="8:13">
      <c r="H17510" t="s">
        <v>25407</v>
      </c>
      <c r="I17510" t="s">
        <v>1357</v>
      </c>
      <c r="J17510" t="s">
        <v>1357</v>
      </c>
      <c r="K17510" t="s">
        <v>1357</v>
      </c>
      <c r="L17510" t="s">
        <v>1357</v>
      </c>
      <c r="M17510" t="s">
        <v>1361</v>
      </c>
    </row>
    <row r="17511" spans="8:13">
      <c r="H17511" t="s">
        <v>25408</v>
      </c>
      <c r="I17511" t="s">
        <v>1359</v>
      </c>
      <c r="J17511" t="s">
        <v>1358</v>
      </c>
      <c r="K17511" t="s">
        <v>1357</v>
      </c>
      <c r="L17511" t="s">
        <v>1358</v>
      </c>
    </row>
    <row r="17512" spans="8:13">
      <c r="H17512" t="s">
        <v>25409</v>
      </c>
      <c r="I17512" t="s">
        <v>1359</v>
      </c>
      <c r="J17512" t="s">
        <v>1358</v>
      </c>
      <c r="K17512" t="s">
        <v>1357</v>
      </c>
      <c r="L17512" t="s">
        <v>1358</v>
      </c>
    </row>
    <row r="17513" spans="8:13">
      <c r="H17513" t="s">
        <v>25410</v>
      </c>
      <c r="I17513" t="s">
        <v>1359</v>
      </c>
      <c r="J17513" t="s">
        <v>1358</v>
      </c>
      <c r="K17513" t="s">
        <v>1357</v>
      </c>
      <c r="L17513" t="s">
        <v>1358</v>
      </c>
    </row>
    <row r="17514" spans="8:13">
      <c r="H17514" t="s">
        <v>25411</v>
      </c>
      <c r="I17514" t="s">
        <v>1359</v>
      </c>
      <c r="J17514" t="s">
        <v>1358</v>
      </c>
      <c r="K17514" t="s">
        <v>1357</v>
      </c>
      <c r="L17514" t="s">
        <v>1358</v>
      </c>
    </row>
    <row r="17515" spans="8:13">
      <c r="H17515" t="s">
        <v>25412</v>
      </c>
      <c r="I17515" t="s">
        <v>1359</v>
      </c>
      <c r="J17515" t="s">
        <v>1358</v>
      </c>
      <c r="K17515" t="s">
        <v>1357</v>
      </c>
      <c r="L17515" t="s">
        <v>1358</v>
      </c>
    </row>
    <row r="17516" spans="8:13">
      <c r="H17516" t="s">
        <v>25413</v>
      </c>
      <c r="I17516" t="s">
        <v>1359</v>
      </c>
      <c r="J17516" t="s">
        <v>1358</v>
      </c>
      <c r="K17516" t="s">
        <v>1357</v>
      </c>
      <c r="L17516" t="s">
        <v>1358</v>
      </c>
    </row>
    <row r="17517" spans="8:13">
      <c r="H17517" t="s">
        <v>25414</v>
      </c>
      <c r="I17517" t="s">
        <v>1359</v>
      </c>
      <c r="J17517" t="s">
        <v>1358</v>
      </c>
      <c r="K17517" t="s">
        <v>1357</v>
      </c>
      <c r="L17517" t="s">
        <v>1358</v>
      </c>
    </row>
    <row r="17518" spans="8:13">
      <c r="H17518" t="s">
        <v>25415</v>
      </c>
      <c r="I17518" t="s">
        <v>1359</v>
      </c>
      <c r="J17518" t="s">
        <v>1358</v>
      </c>
      <c r="K17518" t="s">
        <v>1357</v>
      </c>
      <c r="L17518" t="s">
        <v>1358</v>
      </c>
    </row>
    <row r="17519" spans="8:13">
      <c r="H17519" t="s">
        <v>25416</v>
      </c>
      <c r="I17519" t="s">
        <v>1359</v>
      </c>
      <c r="J17519" t="s">
        <v>1358</v>
      </c>
      <c r="K17519" t="s">
        <v>1357</v>
      </c>
      <c r="L17519" t="s">
        <v>1358</v>
      </c>
    </row>
    <row r="17520" spans="8:13">
      <c r="H17520" t="s">
        <v>24869</v>
      </c>
      <c r="I17520" t="s">
        <v>1359</v>
      </c>
      <c r="J17520" t="s">
        <v>1358</v>
      </c>
      <c r="K17520" t="s">
        <v>1357</v>
      </c>
      <c r="L17520" t="s">
        <v>1358</v>
      </c>
    </row>
    <row r="17521" spans="1:14">
      <c r="H17521" t="s">
        <v>25417</v>
      </c>
      <c r="I17521" t="s">
        <v>1359</v>
      </c>
      <c r="J17521" t="s">
        <v>1358</v>
      </c>
      <c r="K17521" t="s">
        <v>1357</v>
      </c>
      <c r="L17521" t="s">
        <v>1358</v>
      </c>
    </row>
    <row r="17522" spans="1:14">
      <c r="A17522" t="s">
        <v>11439</v>
      </c>
      <c r="B17522">
        <f>HYPERLINK("https://android.googlesource.com/platform/cts/+/669ff082132104e42230b68eb54a9a9817ed5736", "669ff082132104e42230b68eb54a9a9817ed5736")</f>
        <v>0</v>
      </c>
      <c r="C17522">
        <f>HYPERLINK("https://android.googlesource.com/platform/cts/+/6d3b722efa61fab0a10ab857a5cc83bbe949fd6e", "6d3b722efa61fab0a10ab857a5cc83bbe949fd6e")</f>
        <v>0</v>
      </c>
      <c r="D17522" t="s">
        <v>12398</v>
      </c>
      <c r="E17522" t="s">
        <v>13957</v>
      </c>
      <c r="F17522" t="s">
        <v>16970</v>
      </c>
      <c r="G17522" t="s">
        <v>19579</v>
      </c>
      <c r="H17522" t="s">
        <v>25418</v>
      </c>
      <c r="I17522" t="s">
        <v>1359</v>
      </c>
      <c r="J17522" t="s">
        <v>1358</v>
      </c>
      <c r="K17522" t="s">
        <v>1357</v>
      </c>
      <c r="L17522" t="s">
        <v>1358</v>
      </c>
      <c r="N17522" t="s">
        <v>27532</v>
      </c>
    </row>
    <row r="17523" spans="1:14">
      <c r="H17523" t="s">
        <v>25419</v>
      </c>
      <c r="I17523" t="s">
        <v>1359</v>
      </c>
      <c r="J17523" t="s">
        <v>1358</v>
      </c>
      <c r="K17523" t="s">
        <v>1357</v>
      </c>
      <c r="L17523" t="s">
        <v>1358</v>
      </c>
      <c r="N17523" t="s">
        <v>27532</v>
      </c>
    </row>
    <row r="17524" spans="1:14">
      <c r="A17524" t="s">
        <v>11440</v>
      </c>
      <c r="B17524">
        <f>HYPERLINK("https://android.googlesource.com/platform/cts/+/ce65d38bb1d4f42f0d8917845a9a1b8efdb86aeb", "ce65d38bb1d4f42f0d8917845a9a1b8efdb86aeb")</f>
        <v>0</v>
      </c>
      <c r="C17524">
        <f>HYPERLINK("https://android.googlesource.com/platform/cts/+/6315d03ea15ea80dbce7c50b5e15affa6e08b1d9", "6315d03ea15ea80dbce7c50b5e15affa6e08b1d9")</f>
        <v>0</v>
      </c>
      <c r="D17524" t="s">
        <v>12397</v>
      </c>
      <c r="E17524" t="s">
        <v>13958</v>
      </c>
      <c r="F17524" t="s">
        <v>16657</v>
      </c>
      <c r="G17524" t="s">
        <v>19291</v>
      </c>
      <c r="H17524" t="s">
        <v>25342</v>
      </c>
      <c r="I17524" t="s">
        <v>1357</v>
      </c>
      <c r="J17524" t="s">
        <v>1357</v>
      </c>
      <c r="K17524" t="s">
        <v>1357</v>
      </c>
      <c r="L17524" t="s">
        <v>1357</v>
      </c>
    </row>
    <row r="17525" spans="1:14">
      <c r="A17525" t="s">
        <v>11441</v>
      </c>
      <c r="B17525">
        <f>HYPERLINK("https://android.googlesource.com/platform/cts/+/048fcbb121c9369b791bafa023017588613e8274", "048fcbb121c9369b791bafa023017588613e8274")</f>
        <v>0</v>
      </c>
      <c r="C17525">
        <f>HYPERLINK("https://android.googlesource.com/platform/cts/+/cd03b9db2e35765fb881af0e0ce3ecfd7fb8156d", "cd03b9db2e35765fb881af0e0ce3ecfd7fb8156d")</f>
        <v>0</v>
      </c>
      <c r="D17525" t="s">
        <v>12253</v>
      </c>
      <c r="E17525" t="s">
        <v>13959</v>
      </c>
      <c r="F17525" t="s">
        <v>16968</v>
      </c>
      <c r="G17525" t="s">
        <v>19577</v>
      </c>
      <c r="H17525" t="s">
        <v>25372</v>
      </c>
      <c r="I17525" t="s">
        <v>1357</v>
      </c>
      <c r="J17525" t="s">
        <v>1357</v>
      </c>
      <c r="K17525" t="s">
        <v>1357</v>
      </c>
      <c r="L17525" t="s">
        <v>1357</v>
      </c>
      <c r="M17525" t="s">
        <v>9957</v>
      </c>
    </row>
    <row r="17526" spans="1:14">
      <c r="F17526" t="s">
        <v>16969</v>
      </c>
      <c r="G17526" t="s">
        <v>19578</v>
      </c>
      <c r="H17526" t="s">
        <v>25373</v>
      </c>
      <c r="I17526" t="s">
        <v>1359</v>
      </c>
      <c r="J17526" t="s">
        <v>1358</v>
      </c>
      <c r="K17526" t="s">
        <v>1357</v>
      </c>
      <c r="L17526" t="s">
        <v>1358</v>
      </c>
      <c r="M17526" t="s">
        <v>9957</v>
      </c>
    </row>
    <row r="17527" spans="1:14">
      <c r="H17527" t="s">
        <v>25374</v>
      </c>
      <c r="I17527" t="s">
        <v>1359</v>
      </c>
      <c r="J17527" t="s">
        <v>1358</v>
      </c>
      <c r="K17527" t="s">
        <v>1357</v>
      </c>
      <c r="L17527" t="s">
        <v>1358</v>
      </c>
    </row>
    <row r="17528" spans="1:14">
      <c r="H17528" t="s">
        <v>25375</v>
      </c>
      <c r="I17528" t="s">
        <v>1359</v>
      </c>
      <c r="J17528" t="s">
        <v>1358</v>
      </c>
      <c r="K17528" t="s">
        <v>1357</v>
      </c>
      <c r="L17528" t="s">
        <v>1358</v>
      </c>
    </row>
    <row r="17529" spans="1:14">
      <c r="H17529" t="s">
        <v>25376</v>
      </c>
      <c r="I17529" t="s">
        <v>1359</v>
      </c>
      <c r="J17529" t="s">
        <v>1358</v>
      </c>
      <c r="K17529" t="s">
        <v>1357</v>
      </c>
      <c r="L17529" t="s">
        <v>1358</v>
      </c>
    </row>
    <row r="17530" spans="1:14">
      <c r="H17530" t="s">
        <v>25377</v>
      </c>
      <c r="I17530" t="s">
        <v>1359</v>
      </c>
      <c r="J17530" t="s">
        <v>1358</v>
      </c>
      <c r="K17530" t="s">
        <v>1357</v>
      </c>
      <c r="L17530" t="s">
        <v>1358</v>
      </c>
    </row>
    <row r="17531" spans="1:14">
      <c r="H17531" t="s">
        <v>25378</v>
      </c>
      <c r="I17531" t="s">
        <v>1359</v>
      </c>
      <c r="J17531" t="s">
        <v>1358</v>
      </c>
      <c r="K17531" t="s">
        <v>1357</v>
      </c>
      <c r="L17531" t="s">
        <v>1358</v>
      </c>
    </row>
    <row r="17532" spans="1:14">
      <c r="H17532" t="s">
        <v>25379</v>
      </c>
      <c r="I17532" t="s">
        <v>1359</v>
      </c>
      <c r="J17532" t="s">
        <v>1358</v>
      </c>
      <c r="K17532" t="s">
        <v>1357</v>
      </c>
      <c r="L17532" t="s">
        <v>1358</v>
      </c>
    </row>
    <row r="17533" spans="1:14">
      <c r="H17533" t="s">
        <v>25380</v>
      </c>
      <c r="I17533" t="s">
        <v>1359</v>
      </c>
      <c r="J17533" t="s">
        <v>1358</v>
      </c>
      <c r="K17533" t="s">
        <v>1357</v>
      </c>
      <c r="L17533" t="s">
        <v>1358</v>
      </c>
    </row>
    <row r="17534" spans="1:14">
      <c r="H17534" t="s">
        <v>25381</v>
      </c>
      <c r="I17534" t="s">
        <v>1359</v>
      </c>
      <c r="J17534" t="s">
        <v>1358</v>
      </c>
      <c r="K17534" t="s">
        <v>1357</v>
      </c>
      <c r="L17534" t="s">
        <v>1358</v>
      </c>
    </row>
    <row r="17535" spans="1:14">
      <c r="H17535" t="s">
        <v>25382</v>
      </c>
      <c r="I17535" t="s">
        <v>1359</v>
      </c>
      <c r="J17535" t="s">
        <v>1358</v>
      </c>
      <c r="K17535" t="s">
        <v>1357</v>
      </c>
      <c r="L17535" t="s">
        <v>1358</v>
      </c>
    </row>
    <row r="17536" spans="1:14">
      <c r="H17536" t="s">
        <v>25383</v>
      </c>
      <c r="I17536" t="s">
        <v>1357</v>
      </c>
      <c r="J17536" t="s">
        <v>1357</v>
      </c>
      <c r="K17536" t="s">
        <v>1357</v>
      </c>
      <c r="L17536" t="s">
        <v>1357</v>
      </c>
      <c r="M17536" t="s">
        <v>27495</v>
      </c>
    </row>
    <row r="17537" spans="6:12">
      <c r="H17537" t="s">
        <v>25384</v>
      </c>
      <c r="I17537" t="s">
        <v>1357</v>
      </c>
      <c r="J17537" t="s">
        <v>1357</v>
      </c>
      <c r="K17537" t="s">
        <v>1357</v>
      </c>
      <c r="L17537" t="s">
        <v>1357</v>
      </c>
    </row>
    <row r="17538" spans="6:12">
      <c r="H17538" t="s">
        <v>25385</v>
      </c>
      <c r="I17538" t="s">
        <v>1359</v>
      </c>
      <c r="J17538" t="s">
        <v>1358</v>
      </c>
      <c r="K17538" t="s">
        <v>1357</v>
      </c>
      <c r="L17538" t="s">
        <v>1358</v>
      </c>
    </row>
    <row r="17539" spans="6:12">
      <c r="H17539" t="s">
        <v>25386</v>
      </c>
      <c r="I17539" t="s">
        <v>1359</v>
      </c>
      <c r="J17539" t="s">
        <v>1358</v>
      </c>
      <c r="K17539" t="s">
        <v>1357</v>
      </c>
      <c r="L17539" t="s">
        <v>1358</v>
      </c>
    </row>
    <row r="17540" spans="6:12">
      <c r="H17540" t="s">
        <v>25387</v>
      </c>
      <c r="I17540" t="s">
        <v>1359</v>
      </c>
      <c r="J17540" t="s">
        <v>1358</v>
      </c>
      <c r="K17540" t="s">
        <v>1357</v>
      </c>
      <c r="L17540" t="s">
        <v>1358</v>
      </c>
    </row>
    <row r="17541" spans="6:12">
      <c r="H17541" t="s">
        <v>25388</v>
      </c>
      <c r="I17541" t="s">
        <v>1359</v>
      </c>
      <c r="J17541" t="s">
        <v>1358</v>
      </c>
      <c r="K17541" t="s">
        <v>1357</v>
      </c>
      <c r="L17541" t="s">
        <v>1358</v>
      </c>
    </row>
    <row r="17542" spans="6:12">
      <c r="H17542" t="s">
        <v>25389</v>
      </c>
      <c r="I17542" t="s">
        <v>1359</v>
      </c>
      <c r="J17542" t="s">
        <v>1358</v>
      </c>
      <c r="K17542" t="s">
        <v>1357</v>
      </c>
      <c r="L17542" t="s">
        <v>1358</v>
      </c>
    </row>
    <row r="17543" spans="6:12">
      <c r="H17543" t="s">
        <v>25390</v>
      </c>
      <c r="I17543" t="s">
        <v>1357</v>
      </c>
      <c r="J17543" t="s">
        <v>1357</v>
      </c>
      <c r="K17543" t="s">
        <v>1357</v>
      </c>
      <c r="L17543" t="s">
        <v>1357</v>
      </c>
    </row>
    <row r="17544" spans="6:12">
      <c r="H17544" t="s">
        <v>25391</v>
      </c>
      <c r="I17544" t="s">
        <v>1359</v>
      </c>
      <c r="J17544" t="s">
        <v>1358</v>
      </c>
      <c r="K17544" t="s">
        <v>1357</v>
      </c>
      <c r="L17544" t="s">
        <v>1358</v>
      </c>
    </row>
    <row r="17545" spans="6:12">
      <c r="H17545" t="s">
        <v>25392</v>
      </c>
      <c r="I17545" t="s">
        <v>1359</v>
      </c>
      <c r="J17545" t="s">
        <v>1358</v>
      </c>
      <c r="K17545" t="s">
        <v>1357</v>
      </c>
      <c r="L17545" t="s">
        <v>1358</v>
      </c>
    </row>
    <row r="17546" spans="6:12">
      <c r="H17546" t="s">
        <v>25393</v>
      </c>
      <c r="I17546" t="s">
        <v>1359</v>
      </c>
      <c r="J17546" t="s">
        <v>1358</v>
      </c>
      <c r="K17546" t="s">
        <v>1357</v>
      </c>
      <c r="L17546" t="s">
        <v>1358</v>
      </c>
    </row>
    <row r="17547" spans="6:12">
      <c r="F17547" t="s">
        <v>16890</v>
      </c>
      <c r="G17547" t="s">
        <v>19503</v>
      </c>
      <c r="H17547" t="s">
        <v>25394</v>
      </c>
      <c r="I17547" t="s">
        <v>1359</v>
      </c>
      <c r="J17547" t="s">
        <v>1358</v>
      </c>
      <c r="K17547" t="s">
        <v>1357</v>
      </c>
      <c r="L17547" t="s">
        <v>1358</v>
      </c>
    </row>
    <row r="17548" spans="6:12">
      <c r="H17548" t="s">
        <v>25395</v>
      </c>
      <c r="I17548" t="s">
        <v>1359</v>
      </c>
      <c r="J17548" t="s">
        <v>1358</v>
      </c>
      <c r="K17548" t="s">
        <v>1357</v>
      </c>
      <c r="L17548" t="s">
        <v>1358</v>
      </c>
    </row>
    <row r="17549" spans="6:12">
      <c r="H17549" t="s">
        <v>25396</v>
      </c>
      <c r="I17549" t="s">
        <v>1359</v>
      </c>
      <c r="J17549" t="s">
        <v>1358</v>
      </c>
      <c r="K17549" t="s">
        <v>1357</v>
      </c>
      <c r="L17549" t="s">
        <v>1358</v>
      </c>
    </row>
    <row r="17550" spans="6:12">
      <c r="H17550" t="s">
        <v>25397</v>
      </c>
      <c r="I17550" t="s">
        <v>1359</v>
      </c>
      <c r="J17550" t="s">
        <v>1358</v>
      </c>
      <c r="K17550" t="s">
        <v>1357</v>
      </c>
      <c r="L17550" t="s">
        <v>1358</v>
      </c>
    </row>
    <row r="17551" spans="6:12">
      <c r="H17551" t="s">
        <v>25398</v>
      </c>
      <c r="I17551" t="s">
        <v>1359</v>
      </c>
      <c r="J17551" t="s">
        <v>1358</v>
      </c>
      <c r="K17551" t="s">
        <v>1357</v>
      </c>
      <c r="L17551" t="s">
        <v>1358</v>
      </c>
    </row>
    <row r="17552" spans="6:12">
      <c r="H17552" t="s">
        <v>25399</v>
      </c>
      <c r="I17552" t="s">
        <v>1357</v>
      </c>
      <c r="J17552" t="s">
        <v>1357</v>
      </c>
      <c r="K17552" t="s">
        <v>1357</v>
      </c>
      <c r="L17552" t="s">
        <v>1357</v>
      </c>
    </row>
    <row r="17553" spans="8:13">
      <c r="H17553" t="s">
        <v>25400</v>
      </c>
      <c r="I17553" t="s">
        <v>1359</v>
      </c>
      <c r="J17553" t="s">
        <v>1358</v>
      </c>
      <c r="K17553" t="s">
        <v>1357</v>
      </c>
      <c r="L17553" t="s">
        <v>1358</v>
      </c>
    </row>
    <row r="17554" spans="8:13">
      <c r="H17554" t="s">
        <v>25401</v>
      </c>
      <c r="I17554" t="s">
        <v>1359</v>
      </c>
      <c r="J17554" t="s">
        <v>1358</v>
      </c>
      <c r="K17554" t="s">
        <v>1357</v>
      </c>
      <c r="L17554" t="s">
        <v>1358</v>
      </c>
    </row>
    <row r="17555" spans="8:13">
      <c r="H17555" t="s">
        <v>25402</v>
      </c>
      <c r="I17555" t="s">
        <v>1359</v>
      </c>
      <c r="J17555" t="s">
        <v>1358</v>
      </c>
      <c r="K17555" t="s">
        <v>1357</v>
      </c>
      <c r="L17555" t="s">
        <v>1358</v>
      </c>
    </row>
    <row r="17556" spans="8:13">
      <c r="H17556" t="s">
        <v>25403</v>
      </c>
      <c r="I17556" t="s">
        <v>1359</v>
      </c>
      <c r="J17556" t="s">
        <v>1358</v>
      </c>
      <c r="K17556" t="s">
        <v>1357</v>
      </c>
      <c r="L17556" t="s">
        <v>1358</v>
      </c>
    </row>
    <row r="17557" spans="8:13">
      <c r="H17557" t="s">
        <v>25404</v>
      </c>
      <c r="I17557" t="s">
        <v>1359</v>
      </c>
      <c r="J17557" t="s">
        <v>1358</v>
      </c>
      <c r="K17557" t="s">
        <v>1357</v>
      </c>
      <c r="L17557" t="s">
        <v>1358</v>
      </c>
    </row>
    <row r="17558" spans="8:13">
      <c r="H17558" t="s">
        <v>25405</v>
      </c>
      <c r="I17558" t="s">
        <v>1359</v>
      </c>
      <c r="J17558" t="s">
        <v>1358</v>
      </c>
      <c r="K17558" t="s">
        <v>1357</v>
      </c>
      <c r="L17558" t="s">
        <v>1358</v>
      </c>
    </row>
    <row r="17559" spans="8:13">
      <c r="H17559" t="s">
        <v>25406</v>
      </c>
      <c r="I17559" t="s">
        <v>1359</v>
      </c>
      <c r="J17559" t="s">
        <v>1358</v>
      </c>
      <c r="K17559" t="s">
        <v>1357</v>
      </c>
      <c r="L17559" t="s">
        <v>1358</v>
      </c>
    </row>
    <row r="17560" spans="8:13">
      <c r="H17560" t="s">
        <v>25407</v>
      </c>
      <c r="I17560" t="s">
        <v>1357</v>
      </c>
      <c r="J17560" t="s">
        <v>1357</v>
      </c>
      <c r="K17560" t="s">
        <v>1357</v>
      </c>
      <c r="L17560" t="s">
        <v>1357</v>
      </c>
      <c r="M17560" t="s">
        <v>1361</v>
      </c>
    </row>
    <row r="17561" spans="8:13">
      <c r="H17561" t="s">
        <v>25408</v>
      </c>
      <c r="I17561" t="s">
        <v>1359</v>
      </c>
      <c r="J17561" t="s">
        <v>1358</v>
      </c>
      <c r="K17561" t="s">
        <v>1357</v>
      </c>
      <c r="L17561" t="s">
        <v>1358</v>
      </c>
    </row>
    <row r="17562" spans="8:13">
      <c r="H17562" t="s">
        <v>25409</v>
      </c>
      <c r="I17562" t="s">
        <v>1359</v>
      </c>
      <c r="J17562" t="s">
        <v>1358</v>
      </c>
      <c r="K17562" t="s">
        <v>1357</v>
      </c>
      <c r="L17562" t="s">
        <v>1358</v>
      </c>
    </row>
    <row r="17563" spans="8:13">
      <c r="H17563" t="s">
        <v>25410</v>
      </c>
      <c r="I17563" t="s">
        <v>1359</v>
      </c>
      <c r="J17563" t="s">
        <v>1358</v>
      </c>
      <c r="K17563" t="s">
        <v>1357</v>
      </c>
      <c r="L17563" t="s">
        <v>1358</v>
      </c>
    </row>
    <row r="17564" spans="8:13">
      <c r="H17564" t="s">
        <v>25411</v>
      </c>
      <c r="I17564" t="s">
        <v>1359</v>
      </c>
      <c r="J17564" t="s">
        <v>1358</v>
      </c>
      <c r="K17564" t="s">
        <v>1357</v>
      </c>
      <c r="L17564" t="s">
        <v>1358</v>
      </c>
    </row>
    <row r="17565" spans="8:13">
      <c r="H17565" t="s">
        <v>25412</v>
      </c>
      <c r="I17565" t="s">
        <v>1359</v>
      </c>
      <c r="J17565" t="s">
        <v>1358</v>
      </c>
      <c r="K17565" t="s">
        <v>1357</v>
      </c>
      <c r="L17565" t="s">
        <v>1358</v>
      </c>
    </row>
    <row r="17566" spans="8:13">
      <c r="H17566" t="s">
        <v>25413</v>
      </c>
      <c r="I17566" t="s">
        <v>1359</v>
      </c>
      <c r="J17566" t="s">
        <v>1358</v>
      </c>
      <c r="K17566" t="s">
        <v>1357</v>
      </c>
      <c r="L17566" t="s">
        <v>1358</v>
      </c>
    </row>
    <row r="17567" spans="8:13">
      <c r="H17567" t="s">
        <v>25414</v>
      </c>
      <c r="I17567" t="s">
        <v>1359</v>
      </c>
      <c r="J17567" t="s">
        <v>1358</v>
      </c>
      <c r="K17567" t="s">
        <v>1357</v>
      </c>
      <c r="L17567" t="s">
        <v>1358</v>
      </c>
    </row>
    <row r="17568" spans="8:13">
      <c r="H17568" t="s">
        <v>25415</v>
      </c>
      <c r="I17568" t="s">
        <v>1359</v>
      </c>
      <c r="J17568" t="s">
        <v>1358</v>
      </c>
      <c r="K17568" t="s">
        <v>1357</v>
      </c>
      <c r="L17568" t="s">
        <v>1358</v>
      </c>
    </row>
    <row r="17569" spans="1:12">
      <c r="H17569" t="s">
        <v>25416</v>
      </c>
      <c r="I17569" t="s">
        <v>1359</v>
      </c>
      <c r="J17569" t="s">
        <v>1358</v>
      </c>
      <c r="K17569" t="s">
        <v>1357</v>
      </c>
      <c r="L17569" t="s">
        <v>1358</v>
      </c>
    </row>
    <row r="17570" spans="1:12">
      <c r="H17570" t="s">
        <v>24869</v>
      </c>
      <c r="I17570" t="s">
        <v>1359</v>
      </c>
      <c r="J17570" t="s">
        <v>1358</v>
      </c>
      <c r="K17570" t="s">
        <v>1357</v>
      </c>
      <c r="L17570" t="s">
        <v>1358</v>
      </c>
    </row>
    <row r="17571" spans="1:12">
      <c r="H17571" t="s">
        <v>25417</v>
      </c>
      <c r="I17571" t="s">
        <v>1359</v>
      </c>
      <c r="J17571" t="s">
        <v>1358</v>
      </c>
      <c r="K17571" t="s">
        <v>1357</v>
      </c>
      <c r="L17571" t="s">
        <v>1358</v>
      </c>
    </row>
    <row r="17572" spans="1:12">
      <c r="A17572" t="s">
        <v>11442</v>
      </c>
      <c r="B17572">
        <f>HYPERLINK("https://android.googlesource.com/platform/cts/+/603232c8685fd1cdefe6649789882fabc9ae8208", "603232c8685fd1cdefe6649789882fabc9ae8208")</f>
        <v>0</v>
      </c>
      <c r="C17572">
        <f>HYPERLINK("https://android.googlesource.com/platform/cts/+/47b5f1e3a743b392cf329a8051dd1c24be9e5931", "47b5f1e3a743b392cf329a8051dd1c24be9e5931")</f>
        <v>0</v>
      </c>
      <c r="D17572" t="s">
        <v>12399</v>
      </c>
      <c r="E17572" t="s">
        <v>13960</v>
      </c>
      <c r="F17572" t="s">
        <v>16971</v>
      </c>
      <c r="G17572" t="s">
        <v>19218</v>
      </c>
      <c r="H17572" t="s">
        <v>23434</v>
      </c>
      <c r="I17572" t="s">
        <v>1357</v>
      </c>
      <c r="J17572" t="s">
        <v>1357</v>
      </c>
      <c r="K17572" t="s">
        <v>1357</v>
      </c>
      <c r="L17572" t="s">
        <v>1357</v>
      </c>
    </row>
    <row r="17573" spans="1:12">
      <c r="F17573" t="s">
        <v>16972</v>
      </c>
      <c r="G17573" t="s">
        <v>19187</v>
      </c>
      <c r="H17573" t="s">
        <v>23433</v>
      </c>
      <c r="I17573" t="s">
        <v>1357</v>
      </c>
      <c r="J17573" t="s">
        <v>1357</v>
      </c>
      <c r="K17573" t="s">
        <v>1357</v>
      </c>
      <c r="L17573" t="s">
        <v>1357</v>
      </c>
    </row>
    <row r="17574" spans="1:12">
      <c r="A17574" t="s">
        <v>11443</v>
      </c>
      <c r="B17574">
        <f>HYPERLINK("https://android.googlesource.com/platform/cts/+/716d3968778d0cec3cdcf1d6f63f2e416cfbb3f2", "716d3968778d0cec3cdcf1d6f63f2e416cfbb3f2")</f>
        <v>0</v>
      </c>
      <c r="C17574">
        <f>HYPERLINK("https://android.googlesource.com/platform/cts/+/1b52f32fec75c7a352090de40099db51bca9bc9f", "1b52f32fec75c7a352090de40099db51bca9bc9f")</f>
        <v>0</v>
      </c>
      <c r="D17574" t="s">
        <v>12400</v>
      </c>
      <c r="E17574" t="s">
        <v>13961</v>
      </c>
      <c r="F17574" t="s">
        <v>16973</v>
      </c>
      <c r="G17574" t="s">
        <v>19580</v>
      </c>
      <c r="H17574" t="s">
        <v>25420</v>
      </c>
      <c r="I17574" t="s">
        <v>1358</v>
      </c>
      <c r="J17574" t="s">
        <v>1358</v>
      </c>
      <c r="K17574" t="s">
        <v>1358</v>
      </c>
      <c r="L17574" t="s">
        <v>1358</v>
      </c>
    </row>
    <row r="17575" spans="1:12">
      <c r="A17575" t="s">
        <v>11444</v>
      </c>
      <c r="B17575">
        <f>HYPERLINK("https://android.googlesource.com/platform/cts/+/965d590a9553482458b51d95821898ded81cc3f7", "965d590a9553482458b51d95821898ded81cc3f7")</f>
        <v>0</v>
      </c>
      <c r="C17575">
        <f>HYPERLINK("https://android.googlesource.com/platform/cts/+/72539ebe4ee947ba91b8dd8997232533f3d89f57", "72539ebe4ee947ba91b8dd8997232533f3d89f57")</f>
        <v>0</v>
      </c>
      <c r="D17575" t="s">
        <v>12394</v>
      </c>
      <c r="E17575" t="s">
        <v>13962</v>
      </c>
      <c r="F17575" t="s">
        <v>16974</v>
      </c>
      <c r="G17575" t="s">
        <v>19581</v>
      </c>
      <c r="H17575" t="s">
        <v>25421</v>
      </c>
      <c r="I17575" t="s">
        <v>1357</v>
      </c>
      <c r="J17575" t="s">
        <v>1357</v>
      </c>
      <c r="K17575" t="s">
        <v>1357</v>
      </c>
      <c r="L17575" t="s">
        <v>1357</v>
      </c>
    </row>
    <row r="17576" spans="1:12">
      <c r="H17576" t="s">
        <v>25422</v>
      </c>
      <c r="I17576" t="s">
        <v>1357</v>
      </c>
      <c r="J17576" t="s">
        <v>1357</v>
      </c>
      <c r="K17576" t="s">
        <v>1357</v>
      </c>
      <c r="L17576" t="s">
        <v>1357</v>
      </c>
    </row>
    <row r="17577" spans="1:12">
      <c r="F17577" t="s">
        <v>16975</v>
      </c>
      <c r="G17577" t="s">
        <v>19582</v>
      </c>
      <c r="H17577" t="s">
        <v>25423</v>
      </c>
      <c r="I17577" t="s">
        <v>1357</v>
      </c>
      <c r="J17577" t="s">
        <v>1357</v>
      </c>
      <c r="K17577" t="s">
        <v>1357</v>
      </c>
      <c r="L17577" t="s">
        <v>1357</v>
      </c>
    </row>
    <row r="17578" spans="1:12">
      <c r="H17578" t="s">
        <v>25424</v>
      </c>
      <c r="I17578" t="s">
        <v>1357</v>
      </c>
      <c r="J17578" t="s">
        <v>1357</v>
      </c>
      <c r="K17578" t="s">
        <v>1357</v>
      </c>
      <c r="L17578" t="s">
        <v>1357</v>
      </c>
    </row>
    <row r="17579" spans="1:12">
      <c r="H17579" t="s">
        <v>25425</v>
      </c>
      <c r="I17579" t="s">
        <v>1357</v>
      </c>
      <c r="J17579" t="s">
        <v>1357</v>
      </c>
      <c r="K17579" t="s">
        <v>1357</v>
      </c>
      <c r="L17579" t="s">
        <v>1357</v>
      </c>
    </row>
    <row r="17580" spans="1:12">
      <c r="H17580" t="s">
        <v>25426</v>
      </c>
      <c r="I17580" t="s">
        <v>1357</v>
      </c>
      <c r="J17580" t="s">
        <v>1357</v>
      </c>
      <c r="K17580" t="s">
        <v>1357</v>
      </c>
      <c r="L17580" t="s">
        <v>1357</v>
      </c>
    </row>
    <row r="17581" spans="1:12">
      <c r="H17581" t="s">
        <v>25427</v>
      </c>
      <c r="I17581" t="s">
        <v>1357</v>
      </c>
      <c r="J17581" t="s">
        <v>1357</v>
      </c>
      <c r="K17581" t="s">
        <v>1357</v>
      </c>
      <c r="L17581" t="s">
        <v>1357</v>
      </c>
    </row>
    <row r="17582" spans="1:12">
      <c r="A17582" t="s">
        <v>11445</v>
      </c>
      <c r="B17582">
        <f>HYPERLINK("https://android.googlesource.com/platform/cts/+/d1f33a1d9c9a362c4c7fd413f98c9caf59d7ef5f", "d1f33a1d9c9a362c4c7fd413f98c9caf59d7ef5f")</f>
        <v>0</v>
      </c>
      <c r="C17582">
        <f>HYPERLINK("https://android.googlesource.com/platform/cts/+/1d23325c7c40ba1953c0e9a144760cc71bc5466c", "1d23325c7c40ba1953c0e9a144760cc71bc5466c")</f>
        <v>0</v>
      </c>
      <c r="D17582" t="s">
        <v>12401</v>
      </c>
      <c r="E17582" t="s">
        <v>13963</v>
      </c>
      <c r="F17582" t="s">
        <v>16952</v>
      </c>
      <c r="G17582" t="s">
        <v>19563</v>
      </c>
      <c r="H17582" t="s">
        <v>25288</v>
      </c>
      <c r="I17582" t="s">
        <v>1357</v>
      </c>
      <c r="J17582" t="s">
        <v>1357</v>
      </c>
      <c r="K17582" t="s">
        <v>1357</v>
      </c>
      <c r="L17582" t="s">
        <v>1357</v>
      </c>
    </row>
    <row r="17583" spans="1:12">
      <c r="H17583" t="s">
        <v>25289</v>
      </c>
      <c r="I17583" t="s">
        <v>1357</v>
      </c>
      <c r="J17583" t="s">
        <v>1357</v>
      </c>
      <c r="K17583" t="s">
        <v>1357</v>
      </c>
      <c r="L17583" t="s">
        <v>1357</v>
      </c>
    </row>
    <row r="17584" spans="1:12">
      <c r="H17584" t="s">
        <v>25290</v>
      </c>
      <c r="I17584" t="s">
        <v>1357</v>
      </c>
      <c r="J17584" t="s">
        <v>1357</v>
      </c>
      <c r="K17584" t="s">
        <v>1357</v>
      </c>
      <c r="L17584" t="s">
        <v>1357</v>
      </c>
    </row>
    <row r="17585" spans="1:13">
      <c r="A17585" t="s">
        <v>11446</v>
      </c>
      <c r="B17585">
        <f>HYPERLINK("https://android.googlesource.com/platform/cts/+/137fe48ac871a5d7742c8d436cfd488499e33d02", "137fe48ac871a5d7742c8d436cfd488499e33d02")</f>
        <v>0</v>
      </c>
      <c r="C17585">
        <f>HYPERLINK("https://android.googlesource.com/platform/cts/+/29c178269ce848f702582b231b167c4a33a7b62f", "29c178269ce848f702582b231b167c4a33a7b62f")</f>
        <v>0</v>
      </c>
      <c r="D17585" t="s">
        <v>12394</v>
      </c>
      <c r="E17585" t="s">
        <v>13964</v>
      </c>
      <c r="F17585" t="s">
        <v>16974</v>
      </c>
      <c r="G17585" t="s">
        <v>19581</v>
      </c>
      <c r="H17585" t="s">
        <v>25421</v>
      </c>
      <c r="I17585" t="s">
        <v>1357</v>
      </c>
      <c r="J17585" t="s">
        <v>1357</v>
      </c>
      <c r="K17585" t="s">
        <v>1357</v>
      </c>
      <c r="L17585" t="s">
        <v>1357</v>
      </c>
      <c r="M17585" t="s">
        <v>9957</v>
      </c>
    </row>
    <row r="17586" spans="1:13">
      <c r="H17586" t="s">
        <v>25422</v>
      </c>
      <c r="I17586" t="s">
        <v>1357</v>
      </c>
      <c r="J17586" t="s">
        <v>1357</v>
      </c>
      <c r="K17586" t="s">
        <v>1357</v>
      </c>
      <c r="L17586" t="s">
        <v>1357</v>
      </c>
    </row>
    <row r="17587" spans="1:13">
      <c r="F17587" t="s">
        <v>16975</v>
      </c>
      <c r="G17587" t="s">
        <v>19582</v>
      </c>
      <c r="H17587" t="s">
        <v>25423</v>
      </c>
      <c r="I17587" t="s">
        <v>1357</v>
      </c>
      <c r="J17587" t="s">
        <v>1357</v>
      </c>
      <c r="K17587" t="s">
        <v>1357</v>
      </c>
      <c r="L17587" t="s">
        <v>1357</v>
      </c>
    </row>
    <row r="17588" spans="1:13">
      <c r="H17588" t="s">
        <v>25424</v>
      </c>
      <c r="I17588" t="s">
        <v>1357</v>
      </c>
      <c r="J17588" t="s">
        <v>1357</v>
      </c>
      <c r="K17588" t="s">
        <v>1357</v>
      </c>
      <c r="L17588" t="s">
        <v>1357</v>
      </c>
    </row>
    <row r="17589" spans="1:13">
      <c r="H17589" t="s">
        <v>25425</v>
      </c>
      <c r="I17589" t="s">
        <v>1357</v>
      </c>
      <c r="J17589" t="s">
        <v>1357</v>
      </c>
      <c r="K17589" t="s">
        <v>1357</v>
      </c>
      <c r="L17589" t="s">
        <v>1357</v>
      </c>
    </row>
    <row r="17590" spans="1:13">
      <c r="H17590" t="s">
        <v>25426</v>
      </c>
      <c r="I17590" t="s">
        <v>1357</v>
      </c>
      <c r="J17590" t="s">
        <v>1357</v>
      </c>
      <c r="K17590" t="s">
        <v>1357</v>
      </c>
      <c r="L17590" t="s">
        <v>1357</v>
      </c>
    </row>
    <row r="17591" spans="1:13">
      <c r="H17591" t="s">
        <v>25427</v>
      </c>
      <c r="I17591" t="s">
        <v>1357</v>
      </c>
      <c r="J17591" t="s">
        <v>1357</v>
      </c>
      <c r="K17591" t="s">
        <v>1357</v>
      </c>
      <c r="L17591" t="s">
        <v>1357</v>
      </c>
    </row>
    <row r="17592" spans="1:13">
      <c r="A17592" t="s">
        <v>11447</v>
      </c>
      <c r="B17592">
        <f>HYPERLINK("https://android.googlesource.com/platform/cts/+/243c09441556d33d043498791e125ef23981aea8", "243c09441556d33d043498791e125ef23981aea8")</f>
        <v>0</v>
      </c>
      <c r="C17592">
        <f>HYPERLINK("https://android.googlesource.com/platform/cts/+/3492046a8020e91c6cc16af0dad9a03f06b60542", "3492046a8020e91c6cc16af0dad9a03f06b60542")</f>
        <v>0</v>
      </c>
      <c r="D17592" t="s">
        <v>12402</v>
      </c>
      <c r="E17592" t="s">
        <v>13965</v>
      </c>
      <c r="F17592" t="s">
        <v>16820</v>
      </c>
      <c r="G17592" t="s">
        <v>19439</v>
      </c>
      <c r="H17592" t="s">
        <v>24584</v>
      </c>
      <c r="I17592" t="s">
        <v>1357</v>
      </c>
      <c r="J17592" t="s">
        <v>1357</v>
      </c>
      <c r="K17592" t="s">
        <v>1357</v>
      </c>
      <c r="L17592" t="s">
        <v>1357</v>
      </c>
    </row>
    <row r="17593" spans="1:13">
      <c r="H17593" t="s">
        <v>24585</v>
      </c>
      <c r="I17593" t="s">
        <v>1357</v>
      </c>
      <c r="J17593" t="s">
        <v>1357</v>
      </c>
      <c r="K17593" t="s">
        <v>1357</v>
      </c>
      <c r="L17593" t="s">
        <v>1357</v>
      </c>
    </row>
    <row r="17594" spans="1:13">
      <c r="A17594" t="s">
        <v>11448</v>
      </c>
      <c r="B17594">
        <f>HYPERLINK("https://android.googlesource.com/platform/cts/+/518075bb2d2765a6dc909577ea2e4bfc2d32d752", "518075bb2d2765a6dc909577ea2e4bfc2d32d752")</f>
        <v>0</v>
      </c>
      <c r="C17594">
        <f>HYPERLINK("https://android.googlesource.com/platform/cts/+/2dfe0faf482d24553c66016598061e5c02d10a83", "2dfe0faf482d24553c66016598061e5c02d10a83")</f>
        <v>0</v>
      </c>
      <c r="D17594" t="s">
        <v>12402</v>
      </c>
      <c r="E17594" t="s">
        <v>13966</v>
      </c>
      <c r="F17594" t="s">
        <v>16820</v>
      </c>
      <c r="G17594" t="s">
        <v>19439</v>
      </c>
      <c r="H17594" t="s">
        <v>24584</v>
      </c>
      <c r="I17594" t="s">
        <v>1357</v>
      </c>
      <c r="J17594" t="s">
        <v>1357</v>
      </c>
      <c r="K17594" t="s">
        <v>1357</v>
      </c>
      <c r="L17594" t="s">
        <v>1357</v>
      </c>
    </row>
    <row r="17595" spans="1:13">
      <c r="H17595" t="s">
        <v>24585</v>
      </c>
      <c r="I17595" t="s">
        <v>1357</v>
      </c>
      <c r="J17595" t="s">
        <v>1357</v>
      </c>
      <c r="K17595" t="s">
        <v>1357</v>
      </c>
      <c r="L17595" t="s">
        <v>1357</v>
      </c>
      <c r="M17595" t="s">
        <v>9957</v>
      </c>
    </row>
    <row r="17596" spans="1:13">
      <c r="A17596" t="s">
        <v>11449</v>
      </c>
      <c r="B17596">
        <f>HYPERLINK("https://android.googlesource.com/platform/cts/+/f7fba69af21ab9c6993215e6308c8cde11c43866", "f7fba69af21ab9c6993215e6308c8cde11c43866")</f>
        <v>0</v>
      </c>
      <c r="C17596">
        <f>HYPERLINK("https://android.googlesource.com/platform/cts/+/64cb5b554e879c06cd327c5798727ad187f0c1b6", "64cb5b554e879c06cd327c5798727ad187f0c1b6")</f>
        <v>0</v>
      </c>
      <c r="D17596" t="s">
        <v>12306</v>
      </c>
      <c r="E17596" t="s">
        <v>13967</v>
      </c>
      <c r="F17596" t="s">
        <v>16976</v>
      </c>
      <c r="G17596" t="s">
        <v>19583</v>
      </c>
      <c r="H17596" t="s">
        <v>25428</v>
      </c>
      <c r="I17596" t="s">
        <v>1357</v>
      </c>
      <c r="J17596" t="s">
        <v>1357</v>
      </c>
      <c r="K17596" t="s">
        <v>1357</v>
      </c>
      <c r="L17596" t="s">
        <v>1357</v>
      </c>
    </row>
    <row r="17597" spans="1:13">
      <c r="A17597" t="s">
        <v>11450</v>
      </c>
      <c r="B17597">
        <f>HYPERLINK("https://android.googlesource.com/platform/cts/+/d4e9864eefe0f85319b622aa131b7ed01c0ac549", "d4e9864eefe0f85319b622aa131b7ed01c0ac549")</f>
        <v>0</v>
      </c>
      <c r="C17597">
        <f>HYPERLINK("https://android.googlesource.com/platform/cts/+/497aa577f5f03992175b5b354f517224968f87f8", "497aa577f5f03992175b5b354f517224968f87f8")</f>
        <v>0</v>
      </c>
      <c r="D17597" t="s">
        <v>12394</v>
      </c>
      <c r="E17597" t="s">
        <v>13968</v>
      </c>
      <c r="F17597" t="s">
        <v>16974</v>
      </c>
      <c r="G17597" t="s">
        <v>19581</v>
      </c>
      <c r="H17597" t="s">
        <v>25421</v>
      </c>
      <c r="I17597" t="s">
        <v>1357</v>
      </c>
      <c r="J17597" t="s">
        <v>1357</v>
      </c>
      <c r="K17597" t="s">
        <v>1357</v>
      </c>
      <c r="L17597" t="s">
        <v>1357</v>
      </c>
      <c r="M17597" t="s">
        <v>9957</v>
      </c>
    </row>
    <row r="17598" spans="1:13">
      <c r="H17598" t="s">
        <v>25422</v>
      </c>
      <c r="I17598" t="s">
        <v>1357</v>
      </c>
      <c r="J17598" t="s">
        <v>1357</v>
      </c>
      <c r="K17598" t="s">
        <v>1357</v>
      </c>
      <c r="L17598" t="s">
        <v>1357</v>
      </c>
    </row>
    <row r="17599" spans="1:13">
      <c r="F17599" t="s">
        <v>16975</v>
      </c>
      <c r="G17599" t="s">
        <v>19582</v>
      </c>
      <c r="H17599" t="s">
        <v>25423</v>
      </c>
      <c r="I17599" t="s">
        <v>1357</v>
      </c>
      <c r="J17599" t="s">
        <v>1357</v>
      </c>
      <c r="K17599" t="s">
        <v>1357</v>
      </c>
      <c r="L17599" t="s">
        <v>1357</v>
      </c>
    </row>
    <row r="17600" spans="1:13">
      <c r="H17600" t="s">
        <v>25424</v>
      </c>
      <c r="I17600" t="s">
        <v>1357</v>
      </c>
      <c r="J17600" t="s">
        <v>1357</v>
      </c>
      <c r="K17600" t="s">
        <v>1357</v>
      </c>
      <c r="L17600" t="s">
        <v>1357</v>
      </c>
    </row>
    <row r="17601" spans="1:13">
      <c r="H17601" t="s">
        <v>25425</v>
      </c>
      <c r="I17601" t="s">
        <v>1357</v>
      </c>
      <c r="J17601" t="s">
        <v>1357</v>
      </c>
      <c r="K17601" t="s">
        <v>1357</v>
      </c>
      <c r="L17601" t="s">
        <v>1357</v>
      </c>
    </row>
    <row r="17602" spans="1:13">
      <c r="H17602" t="s">
        <v>25426</v>
      </c>
      <c r="I17602" t="s">
        <v>1357</v>
      </c>
      <c r="J17602" t="s">
        <v>1357</v>
      </c>
      <c r="K17602" t="s">
        <v>1357</v>
      </c>
      <c r="L17602" t="s">
        <v>1357</v>
      </c>
    </row>
    <row r="17603" spans="1:13">
      <c r="H17603" t="s">
        <v>25427</v>
      </c>
      <c r="I17603" t="s">
        <v>1357</v>
      </c>
      <c r="J17603" t="s">
        <v>1357</v>
      </c>
      <c r="K17603" t="s">
        <v>1357</v>
      </c>
      <c r="L17603" t="s">
        <v>1357</v>
      </c>
    </row>
    <row r="17604" spans="1:13">
      <c r="A17604" t="s">
        <v>11451</v>
      </c>
      <c r="B17604">
        <f>HYPERLINK("https://android.googlesource.com/platform/cts/+/775dfac6979493ef28fd212f5d4402d3a676189c", "775dfac6979493ef28fd212f5d4402d3a676189c")</f>
        <v>0</v>
      </c>
      <c r="C17604">
        <f>HYPERLINK("https://android.googlesource.com/platform/cts/+/d1f9faf14717d527034d4ccee660f8e82f54487a", "d1f9faf14717d527034d4ccee660f8e82f54487a")</f>
        <v>0</v>
      </c>
      <c r="D17604" t="s">
        <v>12394</v>
      </c>
      <c r="E17604" t="s">
        <v>13969</v>
      </c>
      <c r="F17604" t="s">
        <v>16974</v>
      </c>
      <c r="G17604" t="s">
        <v>19581</v>
      </c>
      <c r="H17604" t="s">
        <v>25421</v>
      </c>
      <c r="I17604" t="s">
        <v>1357</v>
      </c>
      <c r="J17604" t="s">
        <v>1357</v>
      </c>
      <c r="K17604" t="s">
        <v>1357</v>
      </c>
      <c r="L17604" t="s">
        <v>1357</v>
      </c>
      <c r="M17604" t="s">
        <v>9957</v>
      </c>
    </row>
    <row r="17605" spans="1:13">
      <c r="H17605" t="s">
        <v>25422</v>
      </c>
      <c r="I17605" t="s">
        <v>1357</v>
      </c>
      <c r="J17605" t="s">
        <v>1357</v>
      </c>
      <c r="K17605" t="s">
        <v>1357</v>
      </c>
      <c r="L17605" t="s">
        <v>1357</v>
      </c>
    </row>
    <row r="17606" spans="1:13">
      <c r="F17606" t="s">
        <v>16975</v>
      </c>
      <c r="G17606" t="s">
        <v>19582</v>
      </c>
      <c r="H17606" t="s">
        <v>25423</v>
      </c>
      <c r="I17606" t="s">
        <v>1357</v>
      </c>
      <c r="J17606" t="s">
        <v>1357</v>
      </c>
      <c r="K17606" t="s">
        <v>1357</v>
      </c>
      <c r="L17606" t="s">
        <v>1357</v>
      </c>
    </row>
    <row r="17607" spans="1:13">
      <c r="H17607" t="s">
        <v>25424</v>
      </c>
      <c r="I17607" t="s">
        <v>1357</v>
      </c>
      <c r="J17607" t="s">
        <v>1357</v>
      </c>
      <c r="K17607" t="s">
        <v>1357</v>
      </c>
      <c r="L17607" t="s">
        <v>1357</v>
      </c>
    </row>
    <row r="17608" spans="1:13">
      <c r="H17608" t="s">
        <v>25425</v>
      </c>
      <c r="I17608" t="s">
        <v>1357</v>
      </c>
      <c r="J17608" t="s">
        <v>1357</v>
      </c>
      <c r="K17608" t="s">
        <v>1357</v>
      </c>
      <c r="L17608" t="s">
        <v>1357</v>
      </c>
    </row>
    <row r="17609" spans="1:13">
      <c r="H17609" t="s">
        <v>25426</v>
      </c>
      <c r="I17609" t="s">
        <v>1357</v>
      </c>
      <c r="J17609" t="s">
        <v>1357</v>
      </c>
      <c r="K17609" t="s">
        <v>1357</v>
      </c>
      <c r="L17609" t="s">
        <v>1357</v>
      </c>
    </row>
    <row r="17610" spans="1:13">
      <c r="H17610" t="s">
        <v>25427</v>
      </c>
      <c r="I17610" t="s">
        <v>1357</v>
      </c>
      <c r="J17610" t="s">
        <v>1357</v>
      </c>
      <c r="K17610" t="s">
        <v>1357</v>
      </c>
      <c r="L17610" t="s">
        <v>1357</v>
      </c>
    </row>
    <row r="17611" spans="1:13">
      <c r="A17611" t="s">
        <v>11452</v>
      </c>
      <c r="B17611">
        <f>HYPERLINK("https://android.googlesource.com/platform/cts/+/bc993bf15fe67ee6a11ab083cb69fa77d9fc5157", "bc993bf15fe67ee6a11ab083cb69fa77d9fc5157")</f>
        <v>0</v>
      </c>
      <c r="C17611">
        <f>HYPERLINK("https://android.googlesource.com/platform/cts/+/27358bdf67dbdb345d9278f34b7859ed8fd55715", "27358bdf67dbdb345d9278f34b7859ed8fd55715")</f>
        <v>0</v>
      </c>
      <c r="D17611" t="s">
        <v>12394</v>
      </c>
      <c r="E17611" t="s">
        <v>13970</v>
      </c>
      <c r="F17611" t="s">
        <v>16974</v>
      </c>
      <c r="G17611" t="s">
        <v>19581</v>
      </c>
      <c r="H17611" t="s">
        <v>25421</v>
      </c>
      <c r="I17611" t="s">
        <v>1357</v>
      </c>
      <c r="J17611" t="s">
        <v>1357</v>
      </c>
      <c r="K17611" t="s">
        <v>1357</v>
      </c>
      <c r="L17611" t="s">
        <v>1357</v>
      </c>
      <c r="M17611" t="s">
        <v>9957</v>
      </c>
    </row>
    <row r="17612" spans="1:13">
      <c r="H17612" t="s">
        <v>25422</v>
      </c>
      <c r="I17612" t="s">
        <v>1357</v>
      </c>
      <c r="J17612" t="s">
        <v>1357</v>
      </c>
      <c r="K17612" t="s">
        <v>1357</v>
      </c>
      <c r="L17612" t="s">
        <v>1357</v>
      </c>
    </row>
    <row r="17613" spans="1:13">
      <c r="F17613" t="s">
        <v>16975</v>
      </c>
      <c r="G17613" t="s">
        <v>19582</v>
      </c>
      <c r="H17613" t="s">
        <v>25423</v>
      </c>
      <c r="I17613" t="s">
        <v>1357</v>
      </c>
      <c r="J17613" t="s">
        <v>1357</v>
      </c>
      <c r="K17613" t="s">
        <v>1357</v>
      </c>
      <c r="L17613" t="s">
        <v>1357</v>
      </c>
    </row>
    <row r="17614" spans="1:13">
      <c r="H17614" t="s">
        <v>25424</v>
      </c>
      <c r="I17614" t="s">
        <v>1357</v>
      </c>
      <c r="J17614" t="s">
        <v>1357</v>
      </c>
      <c r="K17614" t="s">
        <v>1357</v>
      </c>
      <c r="L17614" t="s">
        <v>1357</v>
      </c>
    </row>
    <row r="17615" spans="1:13">
      <c r="H17615" t="s">
        <v>25425</v>
      </c>
      <c r="I17615" t="s">
        <v>1357</v>
      </c>
      <c r="J17615" t="s">
        <v>1357</v>
      </c>
      <c r="K17615" t="s">
        <v>1357</v>
      </c>
      <c r="L17615" t="s">
        <v>1357</v>
      </c>
    </row>
    <row r="17616" spans="1:13">
      <c r="H17616" t="s">
        <v>25426</v>
      </c>
      <c r="I17616" t="s">
        <v>1357</v>
      </c>
      <c r="J17616" t="s">
        <v>1357</v>
      </c>
      <c r="K17616" t="s">
        <v>1357</v>
      </c>
      <c r="L17616" t="s">
        <v>1357</v>
      </c>
    </row>
    <row r="17617" spans="1:13">
      <c r="H17617" t="s">
        <v>25427</v>
      </c>
      <c r="I17617" t="s">
        <v>1357</v>
      </c>
      <c r="J17617" t="s">
        <v>1357</v>
      </c>
      <c r="K17617" t="s">
        <v>1357</v>
      </c>
      <c r="L17617" t="s">
        <v>1357</v>
      </c>
    </row>
    <row r="17618" spans="1:13">
      <c r="A17618" t="s">
        <v>11453</v>
      </c>
      <c r="B17618">
        <f>HYPERLINK("https://android.googlesource.com/platform/cts/+/c1b50cb8d55c2ea2c58c7408bad15e531cffccbb", "c1b50cb8d55c2ea2c58c7408bad15e531cffccbb")</f>
        <v>0</v>
      </c>
      <c r="C17618">
        <f>HYPERLINK("https://android.googlesource.com/platform/cts/+/0c63ecd7ca015f5c15fad83aaacc234ef6fbedae", "0c63ecd7ca015f5c15fad83aaacc234ef6fbedae")</f>
        <v>0</v>
      </c>
      <c r="D17618" t="s">
        <v>12132</v>
      </c>
      <c r="E17618" t="s">
        <v>13971</v>
      </c>
      <c r="F17618" t="s">
        <v>16977</v>
      </c>
      <c r="G17618" t="s">
        <v>19584</v>
      </c>
      <c r="H17618" t="s">
        <v>25429</v>
      </c>
      <c r="I17618" t="s">
        <v>1357</v>
      </c>
      <c r="J17618" t="s">
        <v>1357</v>
      </c>
      <c r="K17618" t="s">
        <v>1357</v>
      </c>
      <c r="L17618" t="s">
        <v>1357</v>
      </c>
    </row>
    <row r="17619" spans="1:13">
      <c r="A17619" t="s">
        <v>11454</v>
      </c>
      <c r="B17619">
        <f>HYPERLINK("https://android.googlesource.com/platform/cts/+/42af6c778f03b191087c3d18627dfe766f069d88", "42af6c778f03b191087c3d18627dfe766f069d88")</f>
        <v>0</v>
      </c>
      <c r="C17619">
        <f>HYPERLINK("https://android.googlesource.com/platform/cts/+/15c4b89caceb7b0582d40a900fa0c33724753686", "15c4b89caceb7b0582d40a900fa0c33724753686")</f>
        <v>0</v>
      </c>
      <c r="D17619" t="s">
        <v>12395</v>
      </c>
      <c r="E17619" t="s">
        <v>13972</v>
      </c>
      <c r="F17619" t="s">
        <v>16746</v>
      </c>
      <c r="G17619" t="s">
        <v>19375</v>
      </c>
      <c r="H17619" t="s">
        <v>25291</v>
      </c>
      <c r="I17619" t="s">
        <v>1357</v>
      </c>
      <c r="J17619" t="s">
        <v>1357</v>
      </c>
      <c r="K17619" t="s">
        <v>1357</v>
      </c>
      <c r="L17619" t="s">
        <v>1357</v>
      </c>
    </row>
    <row r="17620" spans="1:13">
      <c r="H17620" t="s">
        <v>25292</v>
      </c>
      <c r="I17620" t="s">
        <v>1357</v>
      </c>
      <c r="J17620" t="s">
        <v>1357</v>
      </c>
      <c r="K17620" t="s">
        <v>1357</v>
      </c>
      <c r="L17620" t="s">
        <v>1357</v>
      </c>
    </row>
    <row r="17621" spans="1:13">
      <c r="H17621" t="s">
        <v>25293</v>
      </c>
      <c r="I17621" t="s">
        <v>1357</v>
      </c>
      <c r="J17621" t="s">
        <v>1357</v>
      </c>
      <c r="K17621" t="s">
        <v>1357</v>
      </c>
      <c r="L17621" t="s">
        <v>1357</v>
      </c>
    </row>
    <row r="17622" spans="1:13">
      <c r="H17622" t="s">
        <v>25294</v>
      </c>
      <c r="I17622" t="s">
        <v>1357</v>
      </c>
      <c r="J17622" t="s">
        <v>1357</v>
      </c>
      <c r="K17622" t="s">
        <v>1357</v>
      </c>
      <c r="L17622" t="s">
        <v>1357</v>
      </c>
    </row>
    <row r="17623" spans="1:13">
      <c r="H17623" t="s">
        <v>25295</v>
      </c>
      <c r="I17623" t="s">
        <v>1357</v>
      </c>
      <c r="J17623" t="s">
        <v>1357</v>
      </c>
      <c r="K17623" t="s">
        <v>1357</v>
      </c>
      <c r="L17623" t="s">
        <v>1357</v>
      </c>
    </row>
    <row r="17624" spans="1:13">
      <c r="A17624" t="s">
        <v>11455</v>
      </c>
      <c r="B17624">
        <f>HYPERLINK("https://android.googlesource.com/platform/cts/+/c9b135f36a162148e2af4da01fcc6f7cab793d1c", "c9b135f36a162148e2af4da01fcc6f7cab793d1c")</f>
        <v>0</v>
      </c>
      <c r="C17624">
        <f>HYPERLINK("https://android.googlesource.com/platform/cts/+/31d7f2b85fbdbef585330d0f1321c224d757cb96", "31d7f2b85fbdbef585330d0f1321c224d757cb96")</f>
        <v>0</v>
      </c>
      <c r="D17624" t="s">
        <v>12403</v>
      </c>
      <c r="E17624" t="s">
        <v>13973</v>
      </c>
      <c r="F17624" t="s">
        <v>16978</v>
      </c>
      <c r="G17624" t="s">
        <v>19585</v>
      </c>
      <c r="H17624" t="s">
        <v>25430</v>
      </c>
      <c r="I17624" t="s">
        <v>1358</v>
      </c>
      <c r="J17624" t="s">
        <v>1358</v>
      </c>
      <c r="K17624" t="s">
        <v>1358</v>
      </c>
      <c r="L17624" t="s">
        <v>1358</v>
      </c>
    </row>
    <row r="17625" spans="1:13">
      <c r="A17625" t="s">
        <v>11456</v>
      </c>
      <c r="B17625">
        <f>HYPERLINK("https://android.googlesource.com/platform/cts/+/e4f4f1f7b7cab3292cc5b25e7a372b03139dfb94", "e4f4f1f7b7cab3292cc5b25e7a372b03139dfb94")</f>
        <v>0</v>
      </c>
      <c r="C17625">
        <f>HYPERLINK("https://android.googlesource.com/platform/cts/+/102b80f2a97d19bd72064826b925d7a09fa207e3", "102b80f2a97d19bd72064826b925d7a09fa207e3")</f>
        <v>0</v>
      </c>
      <c r="D17625" t="s">
        <v>12323</v>
      </c>
      <c r="E17625" t="s">
        <v>13974</v>
      </c>
      <c r="F17625" t="s">
        <v>16979</v>
      </c>
      <c r="G17625" t="s">
        <v>19386</v>
      </c>
      <c r="H17625" t="s">
        <v>25431</v>
      </c>
      <c r="I17625" t="s">
        <v>1358</v>
      </c>
      <c r="J17625" t="s">
        <v>1358</v>
      </c>
      <c r="K17625" t="s">
        <v>1358</v>
      </c>
      <c r="L17625" t="s">
        <v>1358</v>
      </c>
    </row>
    <row r="17626" spans="1:13">
      <c r="A17626" t="s">
        <v>11457</v>
      </c>
      <c r="B17626">
        <f>HYPERLINK("https://android.googlesource.com/platform/cts/+/863aa55514471331042305af1d22fd061d1b7758", "863aa55514471331042305af1d22fd061d1b7758")</f>
        <v>0</v>
      </c>
      <c r="C17626">
        <f>HYPERLINK("https://android.googlesource.com/platform/cts/+/29b85fc36501627b66c40529b001c3e0d5c9db69", "29b85fc36501627b66c40529b001c3e0d5c9db69")</f>
        <v>0</v>
      </c>
      <c r="D17626" t="s">
        <v>12339</v>
      </c>
      <c r="E17626" t="s">
        <v>13975</v>
      </c>
      <c r="F17626" t="s">
        <v>16807</v>
      </c>
      <c r="G17626" t="s">
        <v>19428</v>
      </c>
      <c r="H17626" t="s">
        <v>24506</v>
      </c>
      <c r="I17626" t="s">
        <v>1357</v>
      </c>
      <c r="J17626" t="s">
        <v>1357</v>
      </c>
      <c r="K17626" t="s">
        <v>1357</v>
      </c>
      <c r="L17626" t="s">
        <v>1357</v>
      </c>
      <c r="M17626" t="s">
        <v>1361</v>
      </c>
    </row>
    <row r="17627" spans="1:13">
      <c r="H17627" t="s">
        <v>24607</v>
      </c>
      <c r="I17627" t="s">
        <v>1358</v>
      </c>
      <c r="J17627" t="s">
        <v>1358</v>
      </c>
      <c r="K17627" t="s">
        <v>1358</v>
      </c>
      <c r="L17627" t="s">
        <v>1358</v>
      </c>
    </row>
    <row r="17628" spans="1:13">
      <c r="H17628" t="s">
        <v>24608</v>
      </c>
      <c r="I17628" t="s">
        <v>1358</v>
      </c>
      <c r="J17628" t="s">
        <v>1358</v>
      </c>
      <c r="K17628" t="s">
        <v>1358</v>
      </c>
      <c r="L17628" t="s">
        <v>1358</v>
      </c>
    </row>
    <row r="17629" spans="1:13">
      <c r="H17629" t="s">
        <v>24524</v>
      </c>
      <c r="I17629" t="s">
        <v>1358</v>
      </c>
      <c r="J17629" t="s">
        <v>1358</v>
      </c>
      <c r="K17629" t="s">
        <v>1358</v>
      </c>
      <c r="L17629" t="s">
        <v>1358</v>
      </c>
    </row>
    <row r="17630" spans="1:13">
      <c r="F17630" t="s">
        <v>16980</v>
      </c>
      <c r="G17630" t="s">
        <v>19586</v>
      </c>
      <c r="H17630" t="s">
        <v>24524</v>
      </c>
      <c r="I17630" t="s">
        <v>1358</v>
      </c>
      <c r="J17630" t="s">
        <v>1358</v>
      </c>
      <c r="K17630" t="s">
        <v>1358</v>
      </c>
      <c r="L17630" t="s">
        <v>1358</v>
      </c>
    </row>
    <row r="17631" spans="1:13">
      <c r="A17631" t="s">
        <v>11458</v>
      </c>
      <c r="B17631">
        <f>HYPERLINK("https://android.googlesource.com/platform/cts/+/6ef52f01f25ae198973721b31b1513b525f4e356", "6ef52f01f25ae198973721b31b1513b525f4e356")</f>
        <v>0</v>
      </c>
      <c r="C17631">
        <f>HYPERLINK("https://android.googlesource.com/platform/cts/+/02bd4fff603ecb6b1fa01d986448dbdfa561ccfd", "02bd4fff603ecb6b1fa01d986448dbdfa561ccfd")</f>
        <v>0</v>
      </c>
      <c r="D17631" t="s">
        <v>12253</v>
      </c>
      <c r="E17631" t="s">
        <v>13976</v>
      </c>
      <c r="F17631" t="s">
        <v>16890</v>
      </c>
      <c r="G17631" t="s">
        <v>19503</v>
      </c>
      <c r="H17631" t="s">
        <v>25432</v>
      </c>
      <c r="I17631" t="s">
        <v>1359</v>
      </c>
      <c r="J17631" t="s">
        <v>1358</v>
      </c>
      <c r="K17631" t="s">
        <v>1357</v>
      </c>
      <c r="L17631" t="s">
        <v>1358</v>
      </c>
    </row>
    <row r="17632" spans="1:13">
      <c r="H17632" t="s">
        <v>25433</v>
      </c>
      <c r="I17632" t="s">
        <v>1359</v>
      </c>
      <c r="J17632" t="s">
        <v>1358</v>
      </c>
      <c r="K17632" t="s">
        <v>1357</v>
      </c>
      <c r="L17632" t="s">
        <v>1358</v>
      </c>
    </row>
    <row r="17633" spans="1:13">
      <c r="H17633" t="s">
        <v>25434</v>
      </c>
      <c r="I17633" t="s">
        <v>1359</v>
      </c>
      <c r="J17633" t="s">
        <v>1358</v>
      </c>
      <c r="K17633" t="s">
        <v>1357</v>
      </c>
      <c r="L17633" t="s">
        <v>1358</v>
      </c>
    </row>
    <row r="17634" spans="1:13">
      <c r="H17634" t="s">
        <v>25435</v>
      </c>
      <c r="I17634" t="s">
        <v>1359</v>
      </c>
      <c r="J17634" t="s">
        <v>1358</v>
      </c>
      <c r="K17634" t="s">
        <v>1357</v>
      </c>
      <c r="L17634" t="s">
        <v>1358</v>
      </c>
    </row>
    <row r="17635" spans="1:13">
      <c r="H17635" t="s">
        <v>25436</v>
      </c>
      <c r="I17635" t="s">
        <v>1358</v>
      </c>
      <c r="J17635" t="s">
        <v>1358</v>
      </c>
      <c r="K17635" t="s">
        <v>1358</v>
      </c>
      <c r="L17635" t="s">
        <v>1358</v>
      </c>
    </row>
    <row r="17636" spans="1:13">
      <c r="A17636" t="s">
        <v>11459</v>
      </c>
      <c r="B17636">
        <f>HYPERLINK("https://android.googlesource.com/platform/cts/+/2dfec23107b07ad604d67765ceb2e2db5996f6e0", "2dfec23107b07ad604d67765ceb2e2db5996f6e0")</f>
        <v>0</v>
      </c>
      <c r="C17636">
        <f>HYPERLINK("https://android.googlesource.com/platform/cts/+/02bd4fff603ecb6b1fa01d986448dbdfa561ccfd", "02bd4fff603ecb6b1fa01d986448dbdfa561ccfd")</f>
        <v>0</v>
      </c>
      <c r="D17636" t="s">
        <v>12341</v>
      </c>
      <c r="E17636" t="s">
        <v>13977</v>
      </c>
      <c r="F17636" t="s">
        <v>16981</v>
      </c>
      <c r="G17636" t="s">
        <v>17889</v>
      </c>
      <c r="H17636" t="s">
        <v>25437</v>
      </c>
      <c r="I17636" t="s">
        <v>1357</v>
      </c>
      <c r="J17636" t="s">
        <v>1357</v>
      </c>
      <c r="K17636" t="s">
        <v>1357</v>
      </c>
      <c r="L17636" t="s">
        <v>1357</v>
      </c>
    </row>
    <row r="17637" spans="1:13">
      <c r="A17637" t="s">
        <v>11460</v>
      </c>
      <c r="B17637">
        <f>HYPERLINK("https://android.googlesource.com/platform/cts/+/7d9110fd5538708bb7ec688a7b5d11c28801af6f", "7d9110fd5538708bb7ec688a7b5d11c28801af6f")</f>
        <v>0</v>
      </c>
      <c r="C17637">
        <f>HYPERLINK("https://android.googlesource.com/platform/cts/+/a42619410be2974a4f472286d68a922c8e3e001e", "a42619410be2974a4f472286d68a922c8e3e001e")</f>
        <v>0</v>
      </c>
      <c r="D17637" t="s">
        <v>12253</v>
      </c>
      <c r="E17637" t="s">
        <v>13978</v>
      </c>
      <c r="F17637" t="s">
        <v>16890</v>
      </c>
      <c r="G17637" t="s">
        <v>19503</v>
      </c>
      <c r="H17637" t="s">
        <v>25432</v>
      </c>
      <c r="I17637" t="s">
        <v>1359</v>
      </c>
      <c r="J17637" t="s">
        <v>1358</v>
      </c>
      <c r="K17637" t="s">
        <v>1357</v>
      </c>
      <c r="L17637" t="s">
        <v>1358</v>
      </c>
      <c r="M17637" t="s">
        <v>27476</v>
      </c>
    </row>
    <row r="17638" spans="1:13">
      <c r="H17638" t="s">
        <v>25433</v>
      </c>
      <c r="I17638" t="s">
        <v>1359</v>
      </c>
      <c r="J17638" t="s">
        <v>1358</v>
      </c>
      <c r="K17638" t="s">
        <v>1357</v>
      </c>
      <c r="L17638" t="s">
        <v>1358</v>
      </c>
    </row>
    <row r="17639" spans="1:13">
      <c r="H17639" t="s">
        <v>25434</v>
      </c>
      <c r="I17639" t="s">
        <v>1359</v>
      </c>
      <c r="J17639" t="s">
        <v>1358</v>
      </c>
      <c r="K17639" t="s">
        <v>1357</v>
      </c>
      <c r="L17639" t="s">
        <v>1358</v>
      </c>
    </row>
    <row r="17640" spans="1:13">
      <c r="H17640" t="s">
        <v>25435</v>
      </c>
      <c r="I17640" t="s">
        <v>1359</v>
      </c>
      <c r="J17640" t="s">
        <v>1358</v>
      </c>
      <c r="K17640" t="s">
        <v>1357</v>
      </c>
      <c r="L17640" t="s">
        <v>1358</v>
      </c>
    </row>
    <row r="17641" spans="1:13">
      <c r="H17641" t="s">
        <v>25436</v>
      </c>
      <c r="I17641" t="s">
        <v>1358</v>
      </c>
      <c r="J17641" t="s">
        <v>1358</v>
      </c>
      <c r="K17641" t="s">
        <v>1358</v>
      </c>
      <c r="L17641" t="s">
        <v>1358</v>
      </c>
      <c r="M17641" t="s">
        <v>9957</v>
      </c>
    </row>
    <row r="17642" spans="1:13">
      <c r="A17642" t="s">
        <v>11461</v>
      </c>
      <c r="B17642">
        <f>HYPERLINK("https://android.googlesource.com/platform/cts/+/158be6c15daf0d2e486749646ceb8f106b403013", "158be6c15daf0d2e486749646ceb8f106b403013")</f>
        <v>0</v>
      </c>
      <c r="C17642">
        <f>HYPERLINK("https://android.googlesource.com/platform/cts/+/8b0e26a4f09ea7bc5e653836933590e84b0f5afe", "8b0e26a4f09ea7bc5e653836933590e84b0f5afe")</f>
        <v>0</v>
      </c>
      <c r="D17642" t="s">
        <v>12403</v>
      </c>
      <c r="E17642" t="s">
        <v>13979</v>
      </c>
      <c r="F17642" t="s">
        <v>16978</v>
      </c>
      <c r="G17642" t="s">
        <v>19585</v>
      </c>
      <c r="H17642" t="s">
        <v>25430</v>
      </c>
      <c r="I17642" t="s">
        <v>1358</v>
      </c>
      <c r="J17642" t="s">
        <v>1358</v>
      </c>
      <c r="K17642" t="s">
        <v>1358</v>
      </c>
      <c r="L17642" t="s">
        <v>1358</v>
      </c>
    </row>
    <row r="17643" spans="1:13">
      <c r="A17643" t="s">
        <v>11462</v>
      </c>
      <c r="B17643">
        <f>HYPERLINK("https://android.googlesource.com/platform/cts/+/1a3672e1c4b7054baeeec804e831aa5c1ef3260e", "1a3672e1c4b7054baeeec804e831aa5c1ef3260e")</f>
        <v>0</v>
      </c>
      <c r="C17643">
        <f>HYPERLINK("https://android.googlesource.com/platform/cts/+/ec7950d61a925e755a4edb7b70dea037347b8d4e", "ec7950d61a925e755a4edb7b70dea037347b8d4e")</f>
        <v>0</v>
      </c>
      <c r="D17643" t="s">
        <v>12348</v>
      </c>
      <c r="E17643" t="s">
        <v>13980</v>
      </c>
      <c r="F17643" t="s">
        <v>16982</v>
      </c>
      <c r="G17643" t="s">
        <v>19587</v>
      </c>
      <c r="H17643" t="s">
        <v>25438</v>
      </c>
      <c r="I17643" t="s">
        <v>1357</v>
      </c>
      <c r="J17643" t="s">
        <v>1357</v>
      </c>
      <c r="K17643" t="s">
        <v>1357</v>
      </c>
      <c r="L17643" t="s">
        <v>1357</v>
      </c>
    </row>
    <row r="17644" spans="1:13">
      <c r="H17644" t="s">
        <v>25439</v>
      </c>
      <c r="I17644" t="s">
        <v>1357</v>
      </c>
      <c r="J17644" t="s">
        <v>1357</v>
      </c>
      <c r="K17644" t="s">
        <v>1357</v>
      </c>
      <c r="L17644" t="s">
        <v>1357</v>
      </c>
    </row>
    <row r="17645" spans="1:13">
      <c r="A17645" t="s">
        <v>11463</v>
      </c>
      <c r="B17645">
        <f>HYPERLINK("https://android.googlesource.com/platform/cts/+/eb8aef6b857c709380215d1870ea17749cdf0741", "eb8aef6b857c709380215d1870ea17749cdf0741")</f>
        <v>0</v>
      </c>
      <c r="C17645">
        <f>HYPERLINK("https://android.googlesource.com/platform/cts/+/8a50276ed6a964ade069922419dc5f61de65af1c", "8a50276ed6a964ade069922419dc5f61de65af1c")</f>
        <v>0</v>
      </c>
      <c r="D17645" t="s">
        <v>12348</v>
      </c>
      <c r="E17645" t="s">
        <v>13980</v>
      </c>
      <c r="F17645" t="s">
        <v>16982</v>
      </c>
      <c r="G17645" t="s">
        <v>19587</v>
      </c>
      <c r="H17645" t="s">
        <v>25438</v>
      </c>
      <c r="I17645" t="s">
        <v>1357</v>
      </c>
      <c r="J17645" t="s">
        <v>1357</v>
      </c>
      <c r="K17645" t="s">
        <v>1357</v>
      </c>
      <c r="L17645" t="s">
        <v>1357</v>
      </c>
    </row>
    <row r="17646" spans="1:13">
      <c r="H17646" t="s">
        <v>25439</v>
      </c>
      <c r="I17646" t="s">
        <v>1357</v>
      </c>
      <c r="J17646" t="s">
        <v>1357</v>
      </c>
      <c r="K17646" t="s">
        <v>1357</v>
      </c>
      <c r="L17646" t="s">
        <v>1357</v>
      </c>
      <c r="M17646" t="s">
        <v>9957</v>
      </c>
    </row>
    <row r="17647" spans="1:13">
      <c r="A17647" t="s">
        <v>11464</v>
      </c>
      <c r="B17647">
        <f>HYPERLINK("https://android.googlesource.com/platform/cts/+/04f61b186f7df0868b4e6276cf0e2718b49cdb05", "04f61b186f7df0868b4e6276cf0e2718b49cdb05")</f>
        <v>0</v>
      </c>
      <c r="C17647">
        <f>HYPERLINK("https://android.googlesource.com/platform/cts/+/621d4ce1dce580d11f915c86381afa43fbc4f09e", "621d4ce1dce580d11f915c86381afa43fbc4f09e")</f>
        <v>0</v>
      </c>
      <c r="D17647" t="s">
        <v>12344</v>
      </c>
      <c r="E17647" t="s">
        <v>13981</v>
      </c>
      <c r="F17647" t="s">
        <v>16983</v>
      </c>
      <c r="G17647" t="s">
        <v>19588</v>
      </c>
      <c r="H17647" t="s">
        <v>25440</v>
      </c>
      <c r="I17647" t="s">
        <v>1357</v>
      </c>
      <c r="J17647" t="s">
        <v>1357</v>
      </c>
      <c r="K17647" t="s">
        <v>1357</v>
      </c>
      <c r="L17647" t="s">
        <v>1357</v>
      </c>
    </row>
    <row r="17648" spans="1:13">
      <c r="A17648" t="s">
        <v>11465</v>
      </c>
      <c r="B17648">
        <f>HYPERLINK("https://android.googlesource.com/platform/cts/+/85c73c9b8703857367027ec7cf045db05cad3959", "85c73c9b8703857367027ec7cf045db05cad3959")</f>
        <v>0</v>
      </c>
      <c r="C17648">
        <f>HYPERLINK("https://android.googlesource.com/platform/cts/+/2327f3ef31c3b4517ab5cb1bb0ef910e673276b4", "2327f3ef31c3b4517ab5cb1bb0ef910e673276b4")</f>
        <v>0</v>
      </c>
      <c r="D17648" t="s">
        <v>12404</v>
      </c>
      <c r="E17648" t="s">
        <v>13982</v>
      </c>
      <c r="F17648" t="s">
        <v>16984</v>
      </c>
      <c r="G17648" t="s">
        <v>19589</v>
      </c>
      <c r="H17648" t="s">
        <v>25441</v>
      </c>
      <c r="I17648" t="s">
        <v>1357</v>
      </c>
      <c r="J17648" t="s">
        <v>1357</v>
      </c>
      <c r="K17648" t="s">
        <v>1357</v>
      </c>
      <c r="L17648" t="s">
        <v>1357</v>
      </c>
    </row>
    <row r="17649" spans="1:14">
      <c r="A17649" t="s">
        <v>11466</v>
      </c>
      <c r="B17649">
        <f>HYPERLINK("https://android.googlesource.com/platform/cts/+/f3df80250737314b0ae76ec1396a4604f91fdf85", "f3df80250737314b0ae76ec1396a4604f91fdf85")</f>
        <v>0</v>
      </c>
      <c r="C17649">
        <f>HYPERLINK("https://android.googlesource.com/platform/cts/+/14b8c6f04c32ee2aaa5871ffcf3573364c5229a6", "14b8c6f04c32ee2aaa5871ffcf3573364c5229a6")</f>
        <v>0</v>
      </c>
      <c r="D17649" t="s">
        <v>12270</v>
      </c>
      <c r="E17649" t="s">
        <v>13983</v>
      </c>
      <c r="F17649" t="s">
        <v>16821</v>
      </c>
      <c r="G17649" t="s">
        <v>19440</v>
      </c>
      <c r="H17649" t="s">
        <v>24587</v>
      </c>
      <c r="I17649" t="s">
        <v>1357</v>
      </c>
      <c r="J17649" t="s">
        <v>1357</v>
      </c>
      <c r="K17649" t="s">
        <v>1357</v>
      </c>
      <c r="L17649" t="s">
        <v>1357</v>
      </c>
    </row>
    <row r="17650" spans="1:14">
      <c r="F17650" t="s">
        <v>16985</v>
      </c>
      <c r="G17650" t="s">
        <v>17315</v>
      </c>
      <c r="H17650" t="s">
        <v>25442</v>
      </c>
      <c r="I17650" t="s">
        <v>1357</v>
      </c>
      <c r="J17650" t="s">
        <v>1357</v>
      </c>
      <c r="K17650" t="s">
        <v>1357</v>
      </c>
      <c r="L17650" t="s">
        <v>1357</v>
      </c>
      <c r="M17650" t="s">
        <v>1361</v>
      </c>
    </row>
    <row r="17651" spans="1:14">
      <c r="A17651" t="s">
        <v>11467</v>
      </c>
      <c r="B17651">
        <f>HYPERLINK("https://android.googlesource.com/platform/cts/+/1986437989eb6d08436c7f2a88ebb90dd92e4243", "1986437989eb6d08436c7f2a88ebb90dd92e4243")</f>
        <v>0</v>
      </c>
      <c r="C17651">
        <f>HYPERLINK("https://android.googlesource.com/platform/cts/+/bba587afac2691d0375baf8a9dd96c9f077b6588", "bba587afac2691d0375baf8a9dd96c9f077b6588")</f>
        <v>0</v>
      </c>
      <c r="D17651" t="s">
        <v>12392</v>
      </c>
      <c r="E17651" t="s">
        <v>13984</v>
      </c>
      <c r="F17651" t="s">
        <v>16986</v>
      </c>
      <c r="G17651" t="s">
        <v>19590</v>
      </c>
      <c r="H17651" t="s">
        <v>25443</v>
      </c>
      <c r="I17651" t="s">
        <v>1357</v>
      </c>
      <c r="J17651" t="s">
        <v>1357</v>
      </c>
      <c r="K17651" t="s">
        <v>1357</v>
      </c>
      <c r="L17651" t="s">
        <v>1357</v>
      </c>
    </row>
    <row r="17652" spans="1:14">
      <c r="H17652" t="s">
        <v>25444</v>
      </c>
      <c r="I17652" t="s">
        <v>1357</v>
      </c>
      <c r="J17652" t="s">
        <v>1357</v>
      </c>
      <c r="K17652" t="s">
        <v>1357</v>
      </c>
      <c r="L17652" t="s">
        <v>1357</v>
      </c>
    </row>
    <row r="17653" spans="1:14">
      <c r="H17653" t="s">
        <v>25445</v>
      </c>
      <c r="I17653" t="s">
        <v>1357</v>
      </c>
      <c r="J17653" t="s">
        <v>1357</v>
      </c>
      <c r="K17653" t="s">
        <v>1357</v>
      </c>
      <c r="L17653" t="s">
        <v>1357</v>
      </c>
    </row>
    <row r="17654" spans="1:14">
      <c r="H17654" t="s">
        <v>25446</v>
      </c>
      <c r="I17654" t="s">
        <v>1357</v>
      </c>
      <c r="J17654" t="s">
        <v>1357</v>
      </c>
      <c r="K17654" t="s">
        <v>1357</v>
      </c>
      <c r="L17654" t="s">
        <v>1357</v>
      </c>
    </row>
    <row r="17655" spans="1:14">
      <c r="H17655" t="s">
        <v>25447</v>
      </c>
      <c r="I17655" t="s">
        <v>1357</v>
      </c>
      <c r="J17655" t="s">
        <v>1357</v>
      </c>
      <c r="K17655" t="s">
        <v>1357</v>
      </c>
      <c r="L17655" t="s">
        <v>1357</v>
      </c>
    </row>
    <row r="17656" spans="1:14">
      <c r="A17656" t="s">
        <v>11468</v>
      </c>
      <c r="B17656">
        <f>HYPERLINK("https://android.googlesource.com/platform/cts/+/ae7c11a66974c127bc3758d03b18bf8e0fb7782a", "ae7c11a66974c127bc3758d03b18bf8e0fb7782a")</f>
        <v>0</v>
      </c>
      <c r="C17656">
        <f>HYPERLINK("https://android.googlesource.com/platform/cts/+/ad91678eeeddc900ae09aa92ade770ecfb357b40", "ad91678eeeddc900ae09aa92ade770ecfb357b40")</f>
        <v>0</v>
      </c>
      <c r="D17656" t="s">
        <v>12222</v>
      </c>
      <c r="E17656" t="s">
        <v>13985</v>
      </c>
      <c r="F17656" t="s">
        <v>16987</v>
      </c>
      <c r="G17656" t="s">
        <v>19591</v>
      </c>
      <c r="H17656" t="s">
        <v>25448</v>
      </c>
      <c r="I17656" t="s">
        <v>1358</v>
      </c>
      <c r="J17656" t="s">
        <v>1358</v>
      </c>
      <c r="K17656" t="s">
        <v>1358</v>
      </c>
      <c r="L17656" t="s">
        <v>1358</v>
      </c>
    </row>
    <row r="17657" spans="1:14">
      <c r="A17657" t="s">
        <v>11469</v>
      </c>
      <c r="B17657">
        <f>HYPERLINK("https://android.googlesource.com/platform/cts/+/c077873a2a067c9568b577581dd822dda900e3f6", "c077873a2a067c9568b577581dd822dda900e3f6")</f>
        <v>0</v>
      </c>
      <c r="C17657">
        <f>HYPERLINK("https://android.googlesource.com/platform/cts/+/ad91678eeeddc900ae09aa92ade770ecfb357b40", "ad91678eeeddc900ae09aa92ade770ecfb357b40")</f>
        <v>0</v>
      </c>
      <c r="D17657" t="s">
        <v>12405</v>
      </c>
      <c r="E17657" t="s">
        <v>13986</v>
      </c>
      <c r="F17657" t="s">
        <v>16494</v>
      </c>
      <c r="G17657" t="s">
        <v>19153</v>
      </c>
      <c r="H17657" t="s">
        <v>25449</v>
      </c>
      <c r="I17657" t="s">
        <v>1357</v>
      </c>
      <c r="J17657" t="s">
        <v>1357</v>
      </c>
      <c r="K17657" t="s">
        <v>1357</v>
      </c>
      <c r="L17657" t="s">
        <v>1357</v>
      </c>
    </row>
    <row r="17658" spans="1:14">
      <c r="H17658" t="s">
        <v>25450</v>
      </c>
      <c r="I17658" t="s">
        <v>1357</v>
      </c>
      <c r="J17658" t="s">
        <v>1357</v>
      </c>
      <c r="K17658" t="s">
        <v>1357</v>
      </c>
      <c r="L17658" t="s">
        <v>1357</v>
      </c>
    </row>
    <row r="17659" spans="1:14">
      <c r="A17659" t="s">
        <v>11470</v>
      </c>
      <c r="B17659">
        <f>HYPERLINK("https://android.googlesource.com/platform/cts/+/9a6929cc1f3dd26e1cfcbc594bc9a9e8602b3c2e", "9a6929cc1f3dd26e1cfcbc594bc9a9e8602b3c2e")</f>
        <v>0</v>
      </c>
      <c r="C17659">
        <f>HYPERLINK("https://android.googlesource.com/platform/cts/+/2e24a4c03186a289c6ac4b5afc188c1f2e99237f", "2e24a4c03186a289c6ac4b5afc188c1f2e99237f")</f>
        <v>0</v>
      </c>
      <c r="D17659" t="s">
        <v>12336</v>
      </c>
      <c r="E17659" t="s">
        <v>13987</v>
      </c>
      <c r="F17659" t="s">
        <v>16988</v>
      </c>
      <c r="G17659" t="s">
        <v>19592</v>
      </c>
      <c r="H17659" t="s">
        <v>25451</v>
      </c>
      <c r="I17659" t="s">
        <v>1357</v>
      </c>
      <c r="J17659" t="s">
        <v>1357</v>
      </c>
      <c r="K17659" t="s">
        <v>1357</v>
      </c>
      <c r="L17659" t="s">
        <v>1357</v>
      </c>
    </row>
    <row r="17660" spans="1:14">
      <c r="A17660" t="s">
        <v>11471</v>
      </c>
      <c r="B17660">
        <f>HYPERLINK("https://android.googlesource.com/platform/cts/+/2b476735d744b485904994a26aa49e98a8fce80e", "2b476735d744b485904994a26aa49e98a8fce80e")</f>
        <v>0</v>
      </c>
      <c r="C17660">
        <f>HYPERLINK("https://android.googlesource.com/platform/cts/+/4082124096862b4d0fdd891f9aab2e9ee8e949b7", "4082124096862b4d0fdd891f9aab2e9ee8e949b7")</f>
        <v>0</v>
      </c>
      <c r="D17660" t="s">
        <v>12348</v>
      </c>
      <c r="E17660" t="s">
        <v>13988</v>
      </c>
      <c r="F17660" t="s">
        <v>16989</v>
      </c>
      <c r="G17660" t="s">
        <v>19593</v>
      </c>
      <c r="H17660" t="s">
        <v>25452</v>
      </c>
      <c r="I17660" t="s">
        <v>1357</v>
      </c>
      <c r="J17660" t="s">
        <v>1357</v>
      </c>
      <c r="K17660" t="s">
        <v>1357</v>
      </c>
      <c r="L17660" t="s">
        <v>1357</v>
      </c>
    </row>
    <row r="17661" spans="1:14">
      <c r="A17661" t="s">
        <v>11472</v>
      </c>
      <c r="B17661">
        <f>HYPERLINK("https://android.googlesource.com/platform/cts/+/4f6e1a29557fb11b8e81860266aa6233aeb0a730", "4f6e1a29557fb11b8e81860266aa6233aeb0a730")</f>
        <v>0</v>
      </c>
      <c r="C17661">
        <f>HYPERLINK("https://android.googlesource.com/platform/cts/+/9fc28c83dd068fae4229d06f62d3a50f58578881", "9fc28c83dd068fae4229d06f62d3a50f58578881")</f>
        <v>0</v>
      </c>
      <c r="D17661" t="s">
        <v>12328</v>
      </c>
      <c r="E17661" t="s">
        <v>13989</v>
      </c>
      <c r="F17661" t="s">
        <v>16990</v>
      </c>
      <c r="G17661" t="s">
        <v>19594</v>
      </c>
      <c r="H17661" t="s">
        <v>25453</v>
      </c>
      <c r="I17661" t="s">
        <v>1358</v>
      </c>
      <c r="J17661" t="s">
        <v>1358</v>
      </c>
      <c r="K17661" t="s">
        <v>1358</v>
      </c>
      <c r="L17661" t="s">
        <v>1358</v>
      </c>
      <c r="N17661" t="s">
        <v>27533</v>
      </c>
    </row>
    <row r="17662" spans="1:14">
      <c r="H17662" t="s">
        <v>25454</v>
      </c>
      <c r="I17662" t="s">
        <v>1358</v>
      </c>
      <c r="J17662" t="s">
        <v>1358</v>
      </c>
      <c r="K17662" t="s">
        <v>1358</v>
      </c>
      <c r="L17662" t="s">
        <v>1358</v>
      </c>
    </row>
    <row r="17663" spans="1:14">
      <c r="H17663" t="s">
        <v>25455</v>
      </c>
      <c r="I17663" t="s">
        <v>1358</v>
      </c>
      <c r="J17663" t="s">
        <v>1358</v>
      </c>
      <c r="K17663" t="s">
        <v>1358</v>
      </c>
      <c r="L17663" t="s">
        <v>1358</v>
      </c>
    </row>
    <row r="17664" spans="1:14">
      <c r="H17664" t="s">
        <v>25456</v>
      </c>
      <c r="I17664" t="s">
        <v>1358</v>
      </c>
      <c r="J17664" t="s">
        <v>1358</v>
      </c>
      <c r="K17664" t="s">
        <v>1358</v>
      </c>
      <c r="L17664" t="s">
        <v>1358</v>
      </c>
    </row>
    <row r="17665" spans="1:13">
      <c r="H17665" t="s">
        <v>25457</v>
      </c>
      <c r="I17665" t="s">
        <v>1358</v>
      </c>
      <c r="J17665" t="s">
        <v>1358</v>
      </c>
      <c r="K17665" t="s">
        <v>1358</v>
      </c>
      <c r="L17665" t="s">
        <v>1358</v>
      </c>
    </row>
    <row r="17666" spans="1:13">
      <c r="H17666" t="s">
        <v>25458</v>
      </c>
      <c r="I17666" t="s">
        <v>1358</v>
      </c>
      <c r="J17666" t="s">
        <v>1358</v>
      </c>
      <c r="K17666" t="s">
        <v>1358</v>
      </c>
      <c r="L17666" t="s">
        <v>1358</v>
      </c>
    </row>
    <row r="17667" spans="1:13">
      <c r="H17667" t="s">
        <v>25459</v>
      </c>
      <c r="I17667" t="s">
        <v>1358</v>
      </c>
      <c r="J17667" t="s">
        <v>1358</v>
      </c>
      <c r="K17667" t="s">
        <v>1358</v>
      </c>
      <c r="L17667" t="s">
        <v>1358</v>
      </c>
    </row>
    <row r="17668" spans="1:13">
      <c r="A17668" t="s">
        <v>11473</v>
      </c>
      <c r="B17668">
        <f>HYPERLINK("https://android.googlesource.com/platform/cts/+/b548aac6081a6899e966d7a8d961f2a47147e244", "b548aac6081a6899e966d7a8d961f2a47147e244")</f>
        <v>0</v>
      </c>
      <c r="C17668">
        <f>HYPERLINK("https://android.googlesource.com/platform/cts/+/57fc44dcc189019aa2e7fa534087e8dcbc5e4b6f", "57fc44dcc189019aa2e7fa534087e8dcbc5e4b6f")</f>
        <v>0</v>
      </c>
      <c r="D17668" t="s">
        <v>12406</v>
      </c>
      <c r="E17668" t="s">
        <v>13990</v>
      </c>
      <c r="F17668" t="s">
        <v>16991</v>
      </c>
      <c r="G17668" t="s">
        <v>19595</v>
      </c>
      <c r="H17668" t="s">
        <v>25460</v>
      </c>
      <c r="I17668" t="s">
        <v>1357</v>
      </c>
      <c r="J17668" t="s">
        <v>1357</v>
      </c>
      <c r="K17668" t="s">
        <v>1357</v>
      </c>
      <c r="L17668" t="s">
        <v>1357</v>
      </c>
    </row>
    <row r="17669" spans="1:13">
      <c r="H17669" t="s">
        <v>25461</v>
      </c>
      <c r="I17669" t="s">
        <v>1357</v>
      </c>
      <c r="J17669" t="s">
        <v>1357</v>
      </c>
      <c r="K17669" t="s">
        <v>1357</v>
      </c>
      <c r="L17669" t="s">
        <v>1357</v>
      </c>
      <c r="M17669" t="s">
        <v>1361</v>
      </c>
    </row>
    <row r="17670" spans="1:13">
      <c r="H17670" t="s">
        <v>25462</v>
      </c>
      <c r="I17670" t="s">
        <v>1357</v>
      </c>
      <c r="J17670" t="s">
        <v>1357</v>
      </c>
      <c r="K17670" t="s">
        <v>1357</v>
      </c>
      <c r="L17670" t="s">
        <v>1357</v>
      </c>
    </row>
    <row r="17671" spans="1:13">
      <c r="H17671" t="s">
        <v>25463</v>
      </c>
      <c r="I17671" t="s">
        <v>1357</v>
      </c>
      <c r="J17671" t="s">
        <v>1357</v>
      </c>
      <c r="K17671" t="s">
        <v>1357</v>
      </c>
      <c r="L17671" t="s">
        <v>1357</v>
      </c>
    </row>
    <row r="17672" spans="1:13">
      <c r="A17672" t="s">
        <v>11474</v>
      </c>
      <c r="B17672">
        <f>HYPERLINK("https://android.googlesource.com/platform/cts/+/a17420bd2bf72cbe35f95e190432bad039482cce", "a17420bd2bf72cbe35f95e190432bad039482cce")</f>
        <v>0</v>
      </c>
      <c r="C17672">
        <f>HYPERLINK("https://android.googlesource.com/platform/cts/+/e2fce9947573bd82c5486779c6fdaac5bfd41694", "e2fce9947573bd82c5486779c6fdaac5bfd41694")</f>
        <v>0</v>
      </c>
      <c r="D17672" t="s">
        <v>12222</v>
      </c>
      <c r="E17672" t="s">
        <v>13991</v>
      </c>
      <c r="F17672" t="s">
        <v>16292</v>
      </c>
      <c r="G17672" t="s">
        <v>18963</v>
      </c>
      <c r="H17672" t="s">
        <v>25464</v>
      </c>
      <c r="I17672" t="s">
        <v>1357</v>
      </c>
      <c r="J17672" t="s">
        <v>1357</v>
      </c>
      <c r="K17672" t="s">
        <v>1357</v>
      </c>
      <c r="L17672" t="s">
        <v>1357</v>
      </c>
    </row>
    <row r="17673" spans="1:13">
      <c r="A17673" t="s">
        <v>11475</v>
      </c>
      <c r="B17673">
        <f>HYPERLINK("https://android.googlesource.com/platform/cts/+/700041392600676be14d21f1f8d6211795cf7ea2", "700041392600676be14d21f1f8d6211795cf7ea2")</f>
        <v>0</v>
      </c>
      <c r="C17673">
        <f>HYPERLINK("https://android.googlesource.com/platform/cts/+/1eeed57bd9d9716017397afd6cd690d41ca34d0a", "1eeed57bd9d9716017397afd6cd690d41ca34d0a")</f>
        <v>0</v>
      </c>
      <c r="D17673" t="s">
        <v>12407</v>
      </c>
      <c r="E17673" t="s">
        <v>13992</v>
      </c>
      <c r="F17673" t="s">
        <v>16992</v>
      </c>
      <c r="G17673" t="s">
        <v>19596</v>
      </c>
      <c r="H17673" t="s">
        <v>25465</v>
      </c>
      <c r="I17673" t="s">
        <v>1357</v>
      </c>
      <c r="J17673" t="s">
        <v>1357</v>
      </c>
      <c r="K17673" t="s">
        <v>1357</v>
      </c>
      <c r="L17673" t="s">
        <v>1357</v>
      </c>
    </row>
    <row r="17674" spans="1:13">
      <c r="A17674" t="s">
        <v>11476</v>
      </c>
      <c r="B17674">
        <f>HYPERLINK("https://android.googlesource.com/platform/cts/+/96b2c8b149bd7844f6aecc38062ffc84532ffc98", "96b2c8b149bd7844f6aecc38062ffc84532ffc98")</f>
        <v>0</v>
      </c>
      <c r="C17674">
        <f>HYPERLINK("https://android.googlesource.com/platform/cts/+/9bb281447a206f2744b7a5013ff2923b08879dd3", "9bb281447a206f2744b7a5013ff2923b08879dd3")</f>
        <v>0</v>
      </c>
      <c r="D17674" t="s">
        <v>12408</v>
      </c>
      <c r="E17674" t="s">
        <v>13993</v>
      </c>
      <c r="F17674" t="s">
        <v>16993</v>
      </c>
      <c r="G17674" t="s">
        <v>19597</v>
      </c>
      <c r="H17674" t="s">
        <v>25466</v>
      </c>
      <c r="I17674" t="s">
        <v>1357</v>
      </c>
      <c r="J17674" t="s">
        <v>1357</v>
      </c>
      <c r="K17674" t="s">
        <v>1357</v>
      </c>
      <c r="L17674" t="s">
        <v>1357</v>
      </c>
    </row>
    <row r="17675" spans="1:13">
      <c r="F17675" t="s">
        <v>16994</v>
      </c>
      <c r="G17675" t="s">
        <v>8195</v>
      </c>
      <c r="H17675" t="s">
        <v>25466</v>
      </c>
      <c r="I17675" t="s">
        <v>1357</v>
      </c>
      <c r="J17675" t="s">
        <v>1357</v>
      </c>
      <c r="K17675" t="s">
        <v>1357</v>
      </c>
      <c r="L17675" t="s">
        <v>1357</v>
      </c>
    </row>
    <row r="17676" spans="1:13">
      <c r="A17676" t="s">
        <v>11477</v>
      </c>
      <c r="B17676">
        <f>HYPERLINK("https://android.googlesource.com/platform/cts/+/66105c386ba0503ef3b6d6ef24b2e5420382d62d", "66105c386ba0503ef3b6d6ef24b2e5420382d62d")</f>
        <v>0</v>
      </c>
      <c r="C17676">
        <f>HYPERLINK("https://android.googlesource.com/platform/cts/+/bd4d419ab7ee040a7127faffb889d626a642c96c", "bd4d419ab7ee040a7127faffb889d626a642c96c")</f>
        <v>0</v>
      </c>
      <c r="D17676" t="s">
        <v>12132</v>
      </c>
      <c r="E17676" t="s">
        <v>13994</v>
      </c>
      <c r="F17676" t="s">
        <v>16995</v>
      </c>
      <c r="G17676" t="s">
        <v>19598</v>
      </c>
      <c r="H17676" t="s">
        <v>25467</v>
      </c>
      <c r="I17676" t="s">
        <v>1357</v>
      </c>
      <c r="J17676" t="s">
        <v>1357</v>
      </c>
      <c r="K17676" t="s">
        <v>1357</v>
      </c>
      <c r="L17676" t="s">
        <v>1357</v>
      </c>
    </row>
    <row r="17677" spans="1:13">
      <c r="A17677" t="s">
        <v>11478</v>
      </c>
      <c r="B17677">
        <f>HYPERLINK("https://android.googlesource.com/platform/cts/+/7c6d5e5f21c3863f5b68715d297bee8d031edba0", "7c6d5e5f21c3863f5b68715d297bee8d031edba0")</f>
        <v>0</v>
      </c>
      <c r="C17677">
        <f>HYPERLINK("https://android.googlesource.com/platform/cts/+/45a4f985e46c5dfc7934b3d64a11ed0c31811b02", "45a4f985e46c5dfc7934b3d64a11ed0c31811b02")</f>
        <v>0</v>
      </c>
      <c r="D17677" t="s">
        <v>12102</v>
      </c>
      <c r="E17677" t="s">
        <v>13995</v>
      </c>
      <c r="F17677" t="s">
        <v>16438</v>
      </c>
      <c r="G17677" t="s">
        <v>19102</v>
      </c>
      <c r="H17677" t="s">
        <v>25468</v>
      </c>
      <c r="I17677" t="s">
        <v>1357</v>
      </c>
      <c r="J17677" t="s">
        <v>1357</v>
      </c>
      <c r="K17677" t="s">
        <v>1357</v>
      </c>
      <c r="L17677" t="s">
        <v>1357</v>
      </c>
    </row>
    <row r="17678" spans="1:13">
      <c r="A17678" t="s">
        <v>11479</v>
      </c>
      <c r="B17678">
        <f>HYPERLINK("https://android.googlesource.com/platform/cts/+/1ca518c1ec75b8307126991ae2d253911b2be10c", "1ca518c1ec75b8307126991ae2d253911b2be10c")</f>
        <v>0</v>
      </c>
      <c r="C17678">
        <f>HYPERLINK("https://android.googlesource.com/platform/cts/+/be11279225d8e713d04a92fbb67f5ee6a579e8ae", "be11279225d8e713d04a92fbb67f5ee6a579e8ae")</f>
        <v>0</v>
      </c>
      <c r="D17678" t="s">
        <v>12189</v>
      </c>
      <c r="E17678" t="s">
        <v>13996</v>
      </c>
      <c r="F17678" t="s">
        <v>16996</v>
      </c>
      <c r="G17678" t="s">
        <v>19599</v>
      </c>
      <c r="H17678" t="s">
        <v>25469</v>
      </c>
      <c r="I17678" t="s">
        <v>1357</v>
      </c>
      <c r="J17678" t="s">
        <v>1357</v>
      </c>
      <c r="K17678" t="s">
        <v>1357</v>
      </c>
      <c r="L17678" t="s">
        <v>1357</v>
      </c>
    </row>
    <row r="17679" spans="1:13">
      <c r="H17679" t="s">
        <v>25470</v>
      </c>
      <c r="I17679" t="s">
        <v>1357</v>
      </c>
      <c r="J17679" t="s">
        <v>1357</v>
      </c>
      <c r="K17679" t="s">
        <v>1357</v>
      </c>
      <c r="L17679" t="s">
        <v>1357</v>
      </c>
    </row>
    <row r="17680" spans="1:13">
      <c r="H17680" t="s">
        <v>25471</v>
      </c>
      <c r="I17680" t="s">
        <v>1357</v>
      </c>
      <c r="J17680" t="s">
        <v>1357</v>
      </c>
      <c r="K17680" t="s">
        <v>1357</v>
      </c>
      <c r="L17680" t="s">
        <v>1357</v>
      </c>
    </row>
    <row r="17681" spans="1:13">
      <c r="H17681" t="s">
        <v>25472</v>
      </c>
      <c r="I17681" t="s">
        <v>1357</v>
      </c>
      <c r="J17681" t="s">
        <v>1357</v>
      </c>
      <c r="K17681" t="s">
        <v>1357</v>
      </c>
      <c r="L17681" t="s">
        <v>1357</v>
      </c>
    </row>
    <row r="17682" spans="1:13">
      <c r="H17682" t="s">
        <v>25473</v>
      </c>
      <c r="I17682" t="s">
        <v>1357</v>
      </c>
      <c r="J17682" t="s">
        <v>1357</v>
      </c>
      <c r="K17682" t="s">
        <v>1357</v>
      </c>
      <c r="L17682" t="s">
        <v>1357</v>
      </c>
    </row>
    <row r="17683" spans="1:13">
      <c r="H17683" t="s">
        <v>25474</v>
      </c>
      <c r="I17683" t="s">
        <v>1357</v>
      </c>
      <c r="J17683" t="s">
        <v>1357</v>
      </c>
      <c r="K17683" t="s">
        <v>1357</v>
      </c>
      <c r="L17683" t="s">
        <v>1357</v>
      </c>
    </row>
    <row r="17684" spans="1:13">
      <c r="F17684" t="s">
        <v>16997</v>
      </c>
      <c r="G17684" t="s">
        <v>19600</v>
      </c>
      <c r="H17684" t="s">
        <v>25469</v>
      </c>
      <c r="I17684" t="s">
        <v>1357</v>
      </c>
      <c r="J17684" t="s">
        <v>1357</v>
      </c>
      <c r="K17684" t="s">
        <v>1357</v>
      </c>
      <c r="L17684" t="s">
        <v>1357</v>
      </c>
    </row>
    <row r="17685" spans="1:13">
      <c r="H17685" t="s">
        <v>25470</v>
      </c>
      <c r="I17685" t="s">
        <v>1357</v>
      </c>
      <c r="J17685" t="s">
        <v>1357</v>
      </c>
      <c r="K17685" t="s">
        <v>1357</v>
      </c>
      <c r="L17685" t="s">
        <v>1357</v>
      </c>
    </row>
    <row r="17686" spans="1:13">
      <c r="H17686" t="s">
        <v>25471</v>
      </c>
      <c r="I17686" t="s">
        <v>1357</v>
      </c>
      <c r="J17686" t="s">
        <v>1357</v>
      </c>
      <c r="K17686" t="s">
        <v>1357</v>
      </c>
      <c r="L17686" t="s">
        <v>1357</v>
      </c>
    </row>
    <row r="17687" spans="1:13">
      <c r="H17687" t="s">
        <v>25472</v>
      </c>
      <c r="I17687" t="s">
        <v>1357</v>
      </c>
      <c r="J17687" t="s">
        <v>1357</v>
      </c>
      <c r="K17687" t="s">
        <v>1357</v>
      </c>
      <c r="L17687" t="s">
        <v>1357</v>
      </c>
    </row>
    <row r="17688" spans="1:13">
      <c r="H17688" t="s">
        <v>25473</v>
      </c>
      <c r="I17688" t="s">
        <v>1357</v>
      </c>
      <c r="J17688" t="s">
        <v>1357</v>
      </c>
      <c r="K17688" t="s">
        <v>1357</v>
      </c>
      <c r="L17688" t="s">
        <v>1357</v>
      </c>
    </row>
    <row r="17689" spans="1:13">
      <c r="H17689" t="s">
        <v>25474</v>
      </c>
      <c r="I17689" t="s">
        <v>1357</v>
      </c>
      <c r="J17689" t="s">
        <v>1357</v>
      </c>
      <c r="K17689" t="s">
        <v>1357</v>
      </c>
      <c r="L17689" t="s">
        <v>1357</v>
      </c>
    </row>
    <row r="17690" spans="1:13">
      <c r="A17690" t="s">
        <v>11480</v>
      </c>
      <c r="B17690">
        <f>HYPERLINK("https://android.googlesource.com/platform/cts/+/f76892d82777a2714d30066022d7481351f6de8b", "f76892d82777a2714d30066022d7481351f6de8b")</f>
        <v>0</v>
      </c>
      <c r="C17690">
        <f>HYPERLINK("https://android.googlesource.com/platform/cts/+/20f34d628023729870e6240d803b96e63b1a8770", "20f34d628023729870e6240d803b96e63b1a8770")</f>
        <v>0</v>
      </c>
      <c r="D17690" t="s">
        <v>12203</v>
      </c>
      <c r="E17690" t="s">
        <v>13997</v>
      </c>
      <c r="F17690" t="s">
        <v>16996</v>
      </c>
      <c r="G17690" t="s">
        <v>19599</v>
      </c>
      <c r="H17690" t="s">
        <v>25469</v>
      </c>
      <c r="I17690" t="s">
        <v>1357</v>
      </c>
      <c r="J17690" t="s">
        <v>1357</v>
      </c>
      <c r="K17690" t="s">
        <v>1357</v>
      </c>
      <c r="L17690" t="s">
        <v>1357</v>
      </c>
      <c r="M17690" t="s">
        <v>9957</v>
      </c>
    </row>
    <row r="17691" spans="1:13">
      <c r="H17691" t="s">
        <v>25470</v>
      </c>
      <c r="I17691" t="s">
        <v>1357</v>
      </c>
      <c r="J17691" t="s">
        <v>1357</v>
      </c>
      <c r="K17691" t="s">
        <v>1357</v>
      </c>
      <c r="L17691" t="s">
        <v>1357</v>
      </c>
    </row>
    <row r="17692" spans="1:13">
      <c r="H17692" t="s">
        <v>25471</v>
      </c>
      <c r="I17692" t="s">
        <v>1357</v>
      </c>
      <c r="J17692" t="s">
        <v>1357</v>
      </c>
      <c r="K17692" t="s">
        <v>1357</v>
      </c>
      <c r="L17692" t="s">
        <v>1357</v>
      </c>
    </row>
    <row r="17693" spans="1:13">
      <c r="H17693" t="s">
        <v>25472</v>
      </c>
      <c r="I17693" t="s">
        <v>1357</v>
      </c>
      <c r="J17693" t="s">
        <v>1357</v>
      </c>
      <c r="K17693" t="s">
        <v>1357</v>
      </c>
      <c r="L17693" t="s">
        <v>1357</v>
      </c>
    </row>
    <row r="17694" spans="1:13">
      <c r="H17694" t="s">
        <v>25473</v>
      </c>
      <c r="I17694" t="s">
        <v>1357</v>
      </c>
      <c r="J17694" t="s">
        <v>1357</v>
      </c>
      <c r="K17694" t="s">
        <v>1357</v>
      </c>
      <c r="L17694" t="s">
        <v>1357</v>
      </c>
    </row>
    <row r="17695" spans="1:13">
      <c r="H17695" t="s">
        <v>25474</v>
      </c>
      <c r="I17695" t="s">
        <v>1357</v>
      </c>
      <c r="J17695" t="s">
        <v>1357</v>
      </c>
      <c r="K17695" t="s">
        <v>1357</v>
      </c>
      <c r="L17695" t="s">
        <v>1357</v>
      </c>
    </row>
    <row r="17696" spans="1:13">
      <c r="F17696" t="s">
        <v>16997</v>
      </c>
      <c r="G17696" t="s">
        <v>19600</v>
      </c>
      <c r="H17696" t="s">
        <v>25469</v>
      </c>
      <c r="I17696" t="s">
        <v>1357</v>
      </c>
      <c r="J17696" t="s">
        <v>1357</v>
      </c>
      <c r="K17696" t="s">
        <v>1357</v>
      </c>
      <c r="L17696" t="s">
        <v>1357</v>
      </c>
    </row>
    <row r="17697" spans="1:13">
      <c r="H17697" t="s">
        <v>25470</v>
      </c>
      <c r="I17697" t="s">
        <v>1357</v>
      </c>
      <c r="J17697" t="s">
        <v>1357</v>
      </c>
      <c r="K17697" t="s">
        <v>1357</v>
      </c>
      <c r="L17697" t="s">
        <v>1357</v>
      </c>
    </row>
    <row r="17698" spans="1:13">
      <c r="H17698" t="s">
        <v>25471</v>
      </c>
      <c r="I17698" t="s">
        <v>1357</v>
      </c>
      <c r="J17698" t="s">
        <v>1357</v>
      </c>
      <c r="K17698" t="s">
        <v>1357</v>
      </c>
      <c r="L17698" t="s">
        <v>1357</v>
      </c>
    </row>
    <row r="17699" spans="1:13">
      <c r="H17699" t="s">
        <v>25472</v>
      </c>
      <c r="I17699" t="s">
        <v>1357</v>
      </c>
      <c r="J17699" t="s">
        <v>1357</v>
      </c>
      <c r="K17699" t="s">
        <v>1357</v>
      </c>
      <c r="L17699" t="s">
        <v>1357</v>
      </c>
    </row>
    <row r="17700" spans="1:13">
      <c r="H17700" t="s">
        <v>25473</v>
      </c>
      <c r="I17700" t="s">
        <v>1357</v>
      </c>
      <c r="J17700" t="s">
        <v>1357</v>
      </c>
      <c r="K17700" t="s">
        <v>1357</v>
      </c>
      <c r="L17700" t="s">
        <v>1357</v>
      </c>
    </row>
    <row r="17701" spans="1:13">
      <c r="H17701" t="s">
        <v>25474</v>
      </c>
      <c r="I17701" t="s">
        <v>1357</v>
      </c>
      <c r="J17701" t="s">
        <v>1357</v>
      </c>
      <c r="K17701" t="s">
        <v>1357</v>
      </c>
      <c r="L17701" t="s">
        <v>1357</v>
      </c>
    </row>
    <row r="17702" spans="1:13">
      <c r="A17702" t="s">
        <v>11481</v>
      </c>
      <c r="B17702">
        <f>HYPERLINK("https://android.googlesource.com/platform/cts/+/fa59f3619cb53ca6dc028257425bf9fd732b80c5", "fa59f3619cb53ca6dc028257425bf9fd732b80c5")</f>
        <v>0</v>
      </c>
      <c r="C17702">
        <f>HYPERLINK("https://android.googlesource.com/platform/cts/+/fa136b4e17b354e7a5467c86ccdaeb91b9692b5b", "fa136b4e17b354e7a5467c86ccdaeb91b9692b5b")</f>
        <v>0</v>
      </c>
      <c r="D17702" t="s">
        <v>12409</v>
      </c>
      <c r="E17702" t="s">
        <v>13998</v>
      </c>
      <c r="F17702" t="s">
        <v>16998</v>
      </c>
      <c r="G17702" t="s">
        <v>19601</v>
      </c>
      <c r="H17702" t="s">
        <v>25475</v>
      </c>
      <c r="I17702" t="s">
        <v>1357</v>
      </c>
      <c r="J17702" t="s">
        <v>1357</v>
      </c>
      <c r="K17702" t="s">
        <v>1357</v>
      </c>
      <c r="L17702" t="s">
        <v>1357</v>
      </c>
    </row>
    <row r="17703" spans="1:13">
      <c r="A17703" t="s">
        <v>11482</v>
      </c>
      <c r="B17703">
        <f>HYPERLINK("https://android.googlesource.com/platform/cts/+/b7c7dec1a12abe25eee95d1573bc4090aee1fed7", "b7c7dec1a12abe25eee95d1573bc4090aee1fed7")</f>
        <v>0</v>
      </c>
      <c r="C17703">
        <f>HYPERLINK("https://android.googlesource.com/platform/cts/+/916fe17a496024a78d5b63d0b964e3378a463f26", "916fe17a496024a78d5b63d0b964e3378a463f26")</f>
        <v>0</v>
      </c>
      <c r="D17703" t="s">
        <v>12407</v>
      </c>
      <c r="E17703" t="s">
        <v>13999</v>
      </c>
      <c r="F17703" t="s">
        <v>16992</v>
      </c>
      <c r="G17703" t="s">
        <v>19596</v>
      </c>
      <c r="H17703" t="s">
        <v>25465</v>
      </c>
      <c r="I17703" t="s">
        <v>1357</v>
      </c>
      <c r="J17703" t="s">
        <v>1357</v>
      </c>
      <c r="K17703" t="s">
        <v>1357</v>
      </c>
      <c r="L17703" t="s">
        <v>1357</v>
      </c>
    </row>
    <row r="17704" spans="1:13">
      <c r="A17704" t="s">
        <v>11483</v>
      </c>
      <c r="B17704">
        <f>HYPERLINK("https://android.googlesource.com/platform/cts/+/e61862fbf2ee482f7c6bf12c796e242f7292a544", "e61862fbf2ee482f7c6bf12c796e242f7292a544")</f>
        <v>0</v>
      </c>
      <c r="C17704">
        <f>HYPERLINK("https://android.googlesource.com/platform/cts/+/80add1aab6c2040bf283aa30d723bef3b90e7b17", "80add1aab6c2040bf283aa30d723bef3b90e7b17")</f>
        <v>0</v>
      </c>
      <c r="D17704" t="s">
        <v>12306</v>
      </c>
      <c r="E17704" t="s">
        <v>14000</v>
      </c>
      <c r="F17704" t="s">
        <v>16999</v>
      </c>
      <c r="G17704" t="s">
        <v>19602</v>
      </c>
      <c r="H17704" t="s">
        <v>25476</v>
      </c>
      <c r="I17704" t="s">
        <v>1358</v>
      </c>
      <c r="J17704" t="s">
        <v>1358</v>
      </c>
      <c r="K17704" t="s">
        <v>1358</v>
      </c>
      <c r="L17704" t="s">
        <v>1358</v>
      </c>
    </row>
    <row r="17705" spans="1:13">
      <c r="A17705" t="s">
        <v>11484</v>
      </c>
      <c r="B17705">
        <f>HYPERLINK("https://android.googlesource.com/platform/cts/+/4ebe63904c9e6a93a7daa407502d437a28c0b3ed", "4ebe63904c9e6a93a7daa407502d437a28c0b3ed")</f>
        <v>0</v>
      </c>
      <c r="C17705">
        <f>HYPERLINK("https://android.googlesource.com/platform/cts/+/34009642dfe3e058220d58b58dc63421208db15b", "34009642dfe3e058220d58b58dc63421208db15b")</f>
        <v>0</v>
      </c>
      <c r="D17705" t="s">
        <v>12409</v>
      </c>
      <c r="E17705" t="s">
        <v>14001</v>
      </c>
      <c r="F17705" t="s">
        <v>16998</v>
      </c>
      <c r="G17705" t="s">
        <v>19601</v>
      </c>
      <c r="H17705" t="s">
        <v>25475</v>
      </c>
      <c r="I17705" t="s">
        <v>1357</v>
      </c>
      <c r="J17705" t="s">
        <v>1357</v>
      </c>
      <c r="K17705" t="s">
        <v>1357</v>
      </c>
      <c r="L17705" t="s">
        <v>1357</v>
      </c>
      <c r="M17705" t="s">
        <v>9957</v>
      </c>
    </row>
    <row r="17706" spans="1:13">
      <c r="A17706" t="s">
        <v>11485</v>
      </c>
      <c r="B17706">
        <f>HYPERLINK("https://android.googlesource.com/platform/cts/+/eee45819a9b305dc49892dfb5d96859fc557d602", "eee45819a9b305dc49892dfb5d96859fc557d602")</f>
        <v>0</v>
      </c>
      <c r="C17706">
        <f>HYPERLINK("https://android.googlesource.com/platform/cts/+/fbe57ebc17d58605766c48dd9e9fe8e02e383665", "fbe57ebc17d58605766c48dd9e9fe8e02e383665")</f>
        <v>0</v>
      </c>
      <c r="D17706" t="s">
        <v>12306</v>
      </c>
      <c r="E17706" t="s">
        <v>14002</v>
      </c>
      <c r="F17706" t="s">
        <v>16999</v>
      </c>
      <c r="G17706" t="s">
        <v>19602</v>
      </c>
      <c r="H17706" t="s">
        <v>25476</v>
      </c>
      <c r="I17706" t="s">
        <v>1358</v>
      </c>
      <c r="J17706" t="s">
        <v>1358</v>
      </c>
      <c r="K17706" t="s">
        <v>1358</v>
      </c>
      <c r="L17706" t="s">
        <v>1358</v>
      </c>
      <c r="M17706" t="s">
        <v>9957</v>
      </c>
    </row>
    <row r="17707" spans="1:13">
      <c r="A17707" t="s">
        <v>11486</v>
      </c>
      <c r="B17707">
        <f>HYPERLINK("https://android.googlesource.com/platform/cts/+/9c45f4205f7275431f35df51dbf72fee53c5c43f", "9c45f4205f7275431f35df51dbf72fee53c5c43f")</f>
        <v>0</v>
      </c>
      <c r="C17707">
        <f>HYPERLINK("https://android.googlesource.com/platform/cts/+/8954e8567aaa8a7b2fb2ef2d3fe6b0dfdcc1d72b", "8954e8567aaa8a7b2fb2ef2d3fe6b0dfdcc1d72b")</f>
        <v>0</v>
      </c>
      <c r="D17707" t="s">
        <v>12306</v>
      </c>
      <c r="E17707" t="s">
        <v>14003</v>
      </c>
      <c r="F17707" t="s">
        <v>17000</v>
      </c>
      <c r="G17707" t="s">
        <v>19603</v>
      </c>
      <c r="H17707" t="s">
        <v>25477</v>
      </c>
      <c r="I17707" t="s">
        <v>1358</v>
      </c>
      <c r="J17707" t="s">
        <v>1358</v>
      </c>
      <c r="K17707" t="s">
        <v>1358</v>
      </c>
      <c r="L17707" t="s">
        <v>1358</v>
      </c>
    </row>
    <row r="17708" spans="1:13">
      <c r="H17708" t="s">
        <v>25478</v>
      </c>
      <c r="I17708" t="s">
        <v>1358</v>
      </c>
      <c r="J17708" t="s">
        <v>1358</v>
      </c>
      <c r="K17708" t="s">
        <v>1358</v>
      </c>
      <c r="L17708" t="s">
        <v>1358</v>
      </c>
    </row>
    <row r="17709" spans="1:13">
      <c r="H17709" t="s">
        <v>25479</v>
      </c>
      <c r="I17709" t="s">
        <v>1358</v>
      </c>
      <c r="J17709" t="s">
        <v>1358</v>
      </c>
      <c r="K17709" t="s">
        <v>1358</v>
      </c>
      <c r="L17709" t="s">
        <v>1358</v>
      </c>
    </row>
    <row r="17710" spans="1:13">
      <c r="H17710" t="s">
        <v>25480</v>
      </c>
      <c r="I17710" t="s">
        <v>1357</v>
      </c>
      <c r="J17710" t="s">
        <v>1357</v>
      </c>
      <c r="K17710" t="s">
        <v>1357</v>
      </c>
      <c r="L17710" t="s">
        <v>1357</v>
      </c>
    </row>
    <row r="17711" spans="1:13">
      <c r="A17711" t="s">
        <v>11487</v>
      </c>
      <c r="B17711">
        <f>HYPERLINK("https://android.googlesource.com/platform/cts/+/24bcccc230dabfbaca82843ad91b887dad0a0a2e", "24bcccc230dabfbaca82843ad91b887dad0a0a2e")</f>
        <v>0</v>
      </c>
      <c r="C17711">
        <f>HYPERLINK("https://android.googlesource.com/platform/cts/+/7b3a54d3e7e54dcea549d309adebf67dc9ac4e7a", "7b3a54d3e7e54dcea549d309adebf67dc9ac4e7a")</f>
        <v>0</v>
      </c>
      <c r="D17711" t="s">
        <v>12410</v>
      </c>
      <c r="E17711" t="s">
        <v>14004</v>
      </c>
      <c r="F17711" t="s">
        <v>17001</v>
      </c>
      <c r="G17711" t="s">
        <v>19255</v>
      </c>
      <c r="H17711" t="s">
        <v>25481</v>
      </c>
      <c r="I17711" t="s">
        <v>1357</v>
      </c>
      <c r="J17711" t="s">
        <v>1357</v>
      </c>
      <c r="K17711" t="s">
        <v>1357</v>
      </c>
      <c r="L17711" t="s">
        <v>1357</v>
      </c>
    </row>
    <row r="17712" spans="1:13">
      <c r="A17712" t="s">
        <v>11488</v>
      </c>
      <c r="B17712">
        <f>HYPERLINK("https://android.googlesource.com/platform/cts/+/db23a27be1a7454574aace812df7cfe81932571a", "db23a27be1a7454574aace812df7cfe81932571a")</f>
        <v>0</v>
      </c>
      <c r="C17712">
        <f>HYPERLINK("https://android.googlesource.com/platform/cts/+/1c92e7782fc4e3724bab38f6d58922555181a10d", "1c92e7782fc4e3724bab38f6d58922555181a10d")</f>
        <v>0</v>
      </c>
      <c r="D17712" t="s">
        <v>12306</v>
      </c>
      <c r="E17712" t="s">
        <v>14005</v>
      </c>
      <c r="F17712" t="s">
        <v>17000</v>
      </c>
      <c r="G17712" t="s">
        <v>19603</v>
      </c>
      <c r="H17712" t="s">
        <v>25477</v>
      </c>
      <c r="I17712" t="s">
        <v>1358</v>
      </c>
      <c r="J17712" t="s">
        <v>1358</v>
      </c>
      <c r="K17712" t="s">
        <v>1358</v>
      </c>
      <c r="L17712" t="s">
        <v>1358</v>
      </c>
      <c r="M17712" t="s">
        <v>9957</v>
      </c>
    </row>
    <row r="17713" spans="1:12">
      <c r="H17713" t="s">
        <v>25478</v>
      </c>
      <c r="I17713" t="s">
        <v>1358</v>
      </c>
      <c r="J17713" t="s">
        <v>1358</v>
      </c>
      <c r="K17713" t="s">
        <v>1358</v>
      </c>
      <c r="L17713" t="s">
        <v>1358</v>
      </c>
    </row>
    <row r="17714" spans="1:12">
      <c r="H17714" t="s">
        <v>25479</v>
      </c>
      <c r="I17714" t="s">
        <v>1358</v>
      </c>
      <c r="J17714" t="s">
        <v>1358</v>
      </c>
      <c r="K17714" t="s">
        <v>1358</v>
      </c>
      <c r="L17714" t="s">
        <v>1358</v>
      </c>
    </row>
    <row r="17715" spans="1:12">
      <c r="H17715" t="s">
        <v>25480</v>
      </c>
      <c r="I17715" t="s">
        <v>1357</v>
      </c>
      <c r="J17715" t="s">
        <v>1357</v>
      </c>
      <c r="K17715" t="s">
        <v>1357</v>
      </c>
      <c r="L17715" t="s">
        <v>1357</v>
      </c>
    </row>
    <row r="17716" spans="1:12">
      <c r="A17716" t="s">
        <v>11489</v>
      </c>
      <c r="B17716">
        <f>HYPERLINK("https://android.googlesource.com/platform/cts/+/109b7ea3a8556f30eb060af8fd366f31c10e323e", "109b7ea3a8556f30eb060af8fd366f31c10e323e")</f>
        <v>0</v>
      </c>
      <c r="C17716">
        <f>HYPERLINK("https://android.googlesource.com/platform/cts/+/4842a395a29440ea5092eb675cee9e7ec7270506", "4842a395a29440ea5092eb675cee9e7ec7270506")</f>
        <v>0</v>
      </c>
      <c r="D17716" t="s">
        <v>12411</v>
      </c>
      <c r="E17716" t="s">
        <v>14006</v>
      </c>
      <c r="F17716" t="s">
        <v>17002</v>
      </c>
      <c r="G17716" t="s">
        <v>19604</v>
      </c>
      <c r="H17716" t="s">
        <v>25482</v>
      </c>
      <c r="I17716" t="s">
        <v>1357</v>
      </c>
      <c r="J17716" t="s">
        <v>1357</v>
      </c>
      <c r="K17716" t="s">
        <v>1357</v>
      </c>
      <c r="L17716" t="s">
        <v>1357</v>
      </c>
    </row>
    <row r="17717" spans="1:12">
      <c r="H17717" t="s">
        <v>25483</v>
      </c>
      <c r="I17717" t="s">
        <v>1357</v>
      </c>
      <c r="J17717" t="s">
        <v>1357</v>
      </c>
      <c r="K17717" t="s">
        <v>1357</v>
      </c>
      <c r="L17717" t="s">
        <v>1357</v>
      </c>
    </row>
    <row r="17718" spans="1:12">
      <c r="H17718" t="s">
        <v>25484</v>
      </c>
      <c r="I17718" t="s">
        <v>1357</v>
      </c>
      <c r="J17718" t="s">
        <v>1357</v>
      </c>
      <c r="K17718" t="s">
        <v>1357</v>
      </c>
      <c r="L17718" t="s">
        <v>1357</v>
      </c>
    </row>
    <row r="17719" spans="1:12">
      <c r="H17719" t="s">
        <v>25485</v>
      </c>
      <c r="I17719" t="s">
        <v>1357</v>
      </c>
      <c r="J17719" t="s">
        <v>1357</v>
      </c>
      <c r="K17719" t="s">
        <v>1357</v>
      </c>
      <c r="L17719" t="s">
        <v>1357</v>
      </c>
    </row>
    <row r="17720" spans="1:12">
      <c r="H17720" t="s">
        <v>25486</v>
      </c>
      <c r="I17720" t="s">
        <v>1357</v>
      </c>
      <c r="J17720" t="s">
        <v>1357</v>
      </c>
      <c r="K17720" t="s">
        <v>1357</v>
      </c>
      <c r="L17720" t="s">
        <v>1357</v>
      </c>
    </row>
    <row r="17721" spans="1:12">
      <c r="H17721" t="s">
        <v>25487</v>
      </c>
      <c r="I17721" t="s">
        <v>1357</v>
      </c>
      <c r="J17721" t="s">
        <v>1357</v>
      </c>
      <c r="K17721" t="s">
        <v>1357</v>
      </c>
      <c r="L17721" t="s">
        <v>1357</v>
      </c>
    </row>
    <row r="17722" spans="1:12">
      <c r="H17722" t="s">
        <v>25488</v>
      </c>
      <c r="I17722" t="s">
        <v>1357</v>
      </c>
      <c r="J17722" t="s">
        <v>1357</v>
      </c>
      <c r="K17722" t="s">
        <v>1357</v>
      </c>
      <c r="L17722" t="s">
        <v>1357</v>
      </c>
    </row>
    <row r="17723" spans="1:12">
      <c r="H17723" t="s">
        <v>25489</v>
      </c>
      <c r="I17723" t="s">
        <v>1357</v>
      </c>
      <c r="J17723" t="s">
        <v>1357</v>
      </c>
      <c r="K17723" t="s">
        <v>1357</v>
      </c>
      <c r="L17723" t="s">
        <v>1357</v>
      </c>
    </row>
    <row r="17724" spans="1:12">
      <c r="H17724" t="s">
        <v>25490</v>
      </c>
      <c r="I17724" t="s">
        <v>1357</v>
      </c>
      <c r="J17724" t="s">
        <v>1357</v>
      </c>
      <c r="K17724" t="s">
        <v>1357</v>
      </c>
      <c r="L17724" t="s">
        <v>1357</v>
      </c>
    </row>
    <row r="17725" spans="1:12">
      <c r="F17725" t="s">
        <v>17003</v>
      </c>
      <c r="G17725" t="s">
        <v>19605</v>
      </c>
      <c r="H17725" t="s">
        <v>25482</v>
      </c>
      <c r="I17725" t="s">
        <v>1357</v>
      </c>
      <c r="J17725" t="s">
        <v>1357</v>
      </c>
      <c r="K17725" t="s">
        <v>1357</v>
      </c>
      <c r="L17725" t="s">
        <v>1357</v>
      </c>
    </row>
    <row r="17726" spans="1:12">
      <c r="A17726" t="s">
        <v>11490</v>
      </c>
      <c r="B17726">
        <f>HYPERLINK("https://android.googlesource.com/platform/cts/+/52523ea6f997e2e17c103f5a58a04c32903c5444", "52523ea6f997e2e17c103f5a58a04c32903c5444")</f>
        <v>0</v>
      </c>
      <c r="C17726">
        <f>HYPERLINK("https://android.googlesource.com/platform/cts/+/80e640446b498be1ab931f11b8e7b45621af3e05", "80e640446b498be1ab931f11b8e7b45621af3e05")</f>
        <v>0</v>
      </c>
      <c r="D17726" t="s">
        <v>12412</v>
      </c>
      <c r="E17726" t="s">
        <v>14007</v>
      </c>
      <c r="F17726" t="s">
        <v>17004</v>
      </c>
      <c r="G17726" t="s">
        <v>19606</v>
      </c>
      <c r="H17726" t="s">
        <v>25491</v>
      </c>
      <c r="I17726" t="s">
        <v>1357</v>
      </c>
      <c r="J17726" t="s">
        <v>1357</v>
      </c>
      <c r="K17726" t="s">
        <v>1357</v>
      </c>
      <c r="L17726" t="s">
        <v>1357</v>
      </c>
    </row>
    <row r="17727" spans="1:12">
      <c r="H17727" t="s">
        <v>25492</v>
      </c>
      <c r="I17727" t="s">
        <v>1357</v>
      </c>
      <c r="J17727" t="s">
        <v>1357</v>
      </c>
      <c r="K17727" t="s">
        <v>1357</v>
      </c>
      <c r="L17727" t="s">
        <v>1357</v>
      </c>
    </row>
    <row r="17728" spans="1:12">
      <c r="A17728" t="s">
        <v>11491</v>
      </c>
      <c r="B17728">
        <f>HYPERLINK("https://android.googlesource.com/platform/cts/+/e591a3a7fab090e387741a7a6a898d79a784adf0", "e591a3a7fab090e387741a7a6a898d79a784adf0")</f>
        <v>0</v>
      </c>
      <c r="C17728">
        <f>HYPERLINK("https://android.googlesource.com/platform/cts/+/66fcbbde6611cdac546e8128674526f4f1fad5ef", "66fcbbde6611cdac546e8128674526f4f1fad5ef")</f>
        <v>0</v>
      </c>
      <c r="D17728" t="s">
        <v>12413</v>
      </c>
      <c r="E17728" t="s">
        <v>14008</v>
      </c>
      <c r="F17728" t="s">
        <v>17005</v>
      </c>
      <c r="G17728" t="s">
        <v>19607</v>
      </c>
      <c r="H17728" t="s">
        <v>25493</v>
      </c>
      <c r="I17728" t="s">
        <v>1357</v>
      </c>
      <c r="J17728" t="s">
        <v>1357</v>
      </c>
      <c r="K17728" t="s">
        <v>1357</v>
      </c>
      <c r="L17728" t="s">
        <v>1357</v>
      </c>
    </row>
    <row r="17729" spans="1:14">
      <c r="A17729" t="s">
        <v>11492</v>
      </c>
      <c r="B17729">
        <f>HYPERLINK("https://android.googlesource.com/platform/cts/+/53745d243da26c3f1af4fa3b6fd2643d706e8a2a", "53745d243da26c3f1af4fa3b6fd2643d706e8a2a")</f>
        <v>0</v>
      </c>
      <c r="C17729">
        <f>HYPERLINK("https://android.googlesource.com/platform/cts/+/271b0600c27a0f357e3afa02d8a52317fac0c13c", "271b0600c27a0f357e3afa02d8a52317fac0c13c")</f>
        <v>0</v>
      </c>
      <c r="D17729" t="s">
        <v>12348</v>
      </c>
      <c r="E17729" t="s">
        <v>14009</v>
      </c>
      <c r="F17729" t="s">
        <v>16982</v>
      </c>
      <c r="G17729" t="s">
        <v>19587</v>
      </c>
      <c r="H17729" t="s">
        <v>25438</v>
      </c>
      <c r="I17729" t="s">
        <v>1357</v>
      </c>
      <c r="J17729" t="s">
        <v>1357</v>
      </c>
      <c r="K17729" t="s">
        <v>1357</v>
      </c>
      <c r="L17729" t="s">
        <v>1357</v>
      </c>
    </row>
    <row r="17730" spans="1:14">
      <c r="H17730" t="s">
        <v>25439</v>
      </c>
      <c r="I17730" t="s">
        <v>1357</v>
      </c>
      <c r="J17730" t="s">
        <v>1357</v>
      </c>
      <c r="K17730" t="s">
        <v>1357</v>
      </c>
      <c r="L17730" t="s">
        <v>1357</v>
      </c>
    </row>
    <row r="17731" spans="1:14">
      <c r="A17731" t="s">
        <v>11493</v>
      </c>
      <c r="B17731">
        <f>HYPERLINK("https://android.googlesource.com/platform/cts/+/1a37c61c41b35893eff1f7244092d2605bda45df", "1a37c61c41b35893eff1f7244092d2605bda45df")</f>
        <v>0</v>
      </c>
      <c r="C17731">
        <f>HYPERLINK("https://android.googlesource.com/platform/cts/+/13b39244db81f182ceaf2c666183b8605db44a4b", "13b39244db81f182ceaf2c666183b8605db44a4b")</f>
        <v>0</v>
      </c>
      <c r="D17731" t="s">
        <v>12199</v>
      </c>
      <c r="E17731" t="s">
        <v>14010</v>
      </c>
      <c r="F17731" t="s">
        <v>17006</v>
      </c>
      <c r="G17731" t="s">
        <v>19608</v>
      </c>
      <c r="H17731" t="s">
        <v>25494</v>
      </c>
      <c r="I17731" t="s">
        <v>1357</v>
      </c>
      <c r="J17731" t="s">
        <v>1357</v>
      </c>
      <c r="K17731" t="s">
        <v>1357</v>
      </c>
      <c r="L17731" t="s">
        <v>1357</v>
      </c>
    </row>
    <row r="17732" spans="1:14">
      <c r="A17732" t="s">
        <v>11494</v>
      </c>
      <c r="B17732">
        <f>HYPERLINK("https://android.googlesource.com/platform/cts/+/60e04b9a45de3cee64d371af0f4664798f7862d1", "60e04b9a45de3cee64d371af0f4664798f7862d1")</f>
        <v>0</v>
      </c>
      <c r="C17732">
        <f>HYPERLINK("https://android.googlesource.com/platform/cts/+/7083ebff8c4476e4e2e527740348fb9734e56859", "7083ebff8c4476e4e2e527740348fb9734e56859")</f>
        <v>0</v>
      </c>
      <c r="D17732" t="s">
        <v>12306</v>
      </c>
      <c r="E17732" t="s">
        <v>14011</v>
      </c>
      <c r="F17732" t="s">
        <v>16999</v>
      </c>
      <c r="G17732" t="s">
        <v>19602</v>
      </c>
      <c r="H17732" t="s">
        <v>25495</v>
      </c>
      <c r="I17732" t="s">
        <v>1357</v>
      </c>
      <c r="J17732" t="s">
        <v>1357</v>
      </c>
      <c r="K17732" t="s">
        <v>1357</v>
      </c>
      <c r="L17732" t="s">
        <v>1357</v>
      </c>
    </row>
    <row r="17733" spans="1:14">
      <c r="H17733" t="s">
        <v>25496</v>
      </c>
      <c r="I17733" t="s">
        <v>1357</v>
      </c>
      <c r="J17733" t="s">
        <v>1357</v>
      </c>
      <c r="K17733" t="s">
        <v>1357</v>
      </c>
      <c r="L17733" t="s">
        <v>1357</v>
      </c>
    </row>
    <row r="17734" spans="1:14">
      <c r="H17734" t="s">
        <v>25497</v>
      </c>
      <c r="I17734" t="s">
        <v>1357</v>
      </c>
      <c r="J17734" t="s">
        <v>1357</v>
      </c>
      <c r="K17734" t="s">
        <v>1357</v>
      </c>
      <c r="L17734" t="s">
        <v>1357</v>
      </c>
      <c r="N17734" t="s">
        <v>27521</v>
      </c>
    </row>
    <row r="17735" spans="1:14">
      <c r="H17735" t="s">
        <v>25498</v>
      </c>
      <c r="I17735" t="s">
        <v>1357</v>
      </c>
      <c r="J17735" t="s">
        <v>1357</v>
      </c>
      <c r="K17735" t="s">
        <v>1357</v>
      </c>
      <c r="L17735" t="s">
        <v>1357</v>
      </c>
    </row>
    <row r="17736" spans="1:14">
      <c r="A17736" t="s">
        <v>11495</v>
      </c>
      <c r="B17736">
        <f>HYPERLINK("https://android.googlesource.com/platform/cts/+/6330289d8ea4b5ec74c786c10fe655cd5f71116d", "6330289d8ea4b5ec74c786c10fe655cd5f71116d")</f>
        <v>0</v>
      </c>
      <c r="C17736">
        <f>HYPERLINK("https://android.googlesource.com/platform/cts/+/f2e93410cb21bcdac2528a8400b3b33ff36fe816", "f2e93410cb21bcdac2528a8400b3b33ff36fe816")</f>
        <v>0</v>
      </c>
      <c r="D17736" t="s">
        <v>12397</v>
      </c>
      <c r="E17736" t="s">
        <v>13958</v>
      </c>
      <c r="F17736" t="s">
        <v>16657</v>
      </c>
      <c r="G17736" t="s">
        <v>19291</v>
      </c>
      <c r="H17736" t="s">
        <v>25342</v>
      </c>
      <c r="I17736" t="s">
        <v>1357</v>
      </c>
      <c r="J17736" t="s">
        <v>1357</v>
      </c>
      <c r="K17736" t="s">
        <v>1357</v>
      </c>
      <c r="L17736" t="s">
        <v>1357</v>
      </c>
    </row>
    <row r="17737" spans="1:14">
      <c r="A17737" t="s">
        <v>11496</v>
      </c>
      <c r="B17737">
        <f>HYPERLINK("https://android.googlesource.com/platform/cts/+/bb88afe42f859b88c1c2a8bf284917fc3502d886", "bb88afe42f859b88c1c2a8bf284917fc3502d886")</f>
        <v>0</v>
      </c>
      <c r="C17737">
        <f>HYPERLINK("https://android.googlesource.com/platform/cts/+/03104aae3963e395ab9681f2b540b7168fa52849", "03104aae3963e395ab9681f2b540b7168fa52849")</f>
        <v>0</v>
      </c>
      <c r="D17737" t="s">
        <v>12234</v>
      </c>
      <c r="E17737" t="s">
        <v>14012</v>
      </c>
      <c r="F17737" t="s">
        <v>17007</v>
      </c>
      <c r="G17737" t="s">
        <v>19609</v>
      </c>
      <c r="H17737" t="s">
        <v>25499</v>
      </c>
      <c r="I17737" t="s">
        <v>1357</v>
      </c>
      <c r="J17737" t="s">
        <v>1357</v>
      </c>
      <c r="K17737" t="s">
        <v>1357</v>
      </c>
      <c r="L17737" t="s">
        <v>1357</v>
      </c>
    </row>
    <row r="17738" spans="1:14">
      <c r="H17738" t="s">
        <v>25500</v>
      </c>
      <c r="I17738" t="s">
        <v>1357</v>
      </c>
      <c r="J17738" t="s">
        <v>1357</v>
      </c>
      <c r="K17738" t="s">
        <v>1357</v>
      </c>
      <c r="L17738" t="s">
        <v>1357</v>
      </c>
    </row>
    <row r="17739" spans="1:14">
      <c r="F17739" t="s">
        <v>17008</v>
      </c>
      <c r="G17739" t="s">
        <v>19610</v>
      </c>
      <c r="H17739" t="s">
        <v>25501</v>
      </c>
      <c r="I17739" t="s">
        <v>1357</v>
      </c>
      <c r="J17739" t="s">
        <v>1357</v>
      </c>
      <c r="K17739" t="s">
        <v>1357</v>
      </c>
      <c r="L17739" t="s">
        <v>1357</v>
      </c>
    </row>
    <row r="17740" spans="1:14">
      <c r="H17740" t="s">
        <v>25502</v>
      </c>
      <c r="I17740" t="s">
        <v>1357</v>
      </c>
      <c r="J17740" t="s">
        <v>1357</v>
      </c>
      <c r="K17740" t="s">
        <v>1357</v>
      </c>
      <c r="L17740" t="s">
        <v>1357</v>
      </c>
    </row>
    <row r="17741" spans="1:14">
      <c r="H17741" t="s">
        <v>25503</v>
      </c>
      <c r="I17741" t="s">
        <v>1357</v>
      </c>
      <c r="J17741" t="s">
        <v>1357</v>
      </c>
      <c r="K17741" t="s">
        <v>1357</v>
      </c>
      <c r="L17741" t="s">
        <v>1357</v>
      </c>
    </row>
    <row r="17742" spans="1:14">
      <c r="A17742" t="s">
        <v>11497</v>
      </c>
      <c r="B17742">
        <f>HYPERLINK("https://android.googlesource.com/platform/cts/+/5f47892997e6f9ce2541d4fcfc8b0e0d4ad6ca88", "5f47892997e6f9ce2541d4fcfc8b0e0d4ad6ca88")</f>
        <v>0</v>
      </c>
      <c r="C17742">
        <f>HYPERLINK("https://android.googlesource.com/platform/cts/+/5abab3cfc29f8edd91b916a07d5d6ae031dc3166", "5abab3cfc29f8edd91b916a07d5d6ae031dc3166")</f>
        <v>0</v>
      </c>
      <c r="D17742" t="s">
        <v>12414</v>
      </c>
      <c r="E17742" t="s">
        <v>14013</v>
      </c>
      <c r="F17742" t="s">
        <v>17009</v>
      </c>
      <c r="G17742" t="s">
        <v>19611</v>
      </c>
      <c r="H17742" t="s">
        <v>25504</v>
      </c>
      <c r="I17742" t="s">
        <v>1358</v>
      </c>
      <c r="J17742" t="s">
        <v>1358</v>
      </c>
      <c r="K17742" t="s">
        <v>1358</v>
      </c>
      <c r="L17742" t="s">
        <v>1358</v>
      </c>
    </row>
    <row r="17743" spans="1:14">
      <c r="A17743" t="s">
        <v>11498</v>
      </c>
      <c r="B17743">
        <f>HYPERLINK("https://android.googlesource.com/platform/cts/+/20266a1b0495455fc7ffe2392981f5675df5cda7", "20266a1b0495455fc7ffe2392981f5675df5cda7")</f>
        <v>0</v>
      </c>
      <c r="C17743">
        <f>HYPERLINK("https://android.googlesource.com/platform/cts/+/a1cb34db8a66ae88f9d889781faf0195031553e5", "a1cb34db8a66ae88f9d889781faf0195031553e5")</f>
        <v>0</v>
      </c>
      <c r="D17743" t="s">
        <v>12414</v>
      </c>
      <c r="E17743" t="s">
        <v>14014</v>
      </c>
      <c r="F17743" t="s">
        <v>17010</v>
      </c>
      <c r="G17743" t="s">
        <v>19612</v>
      </c>
      <c r="H17743" t="s">
        <v>25505</v>
      </c>
      <c r="I17743" t="s">
        <v>1357</v>
      </c>
      <c r="J17743" t="s">
        <v>1357</v>
      </c>
      <c r="K17743" t="s">
        <v>1357</v>
      </c>
      <c r="L17743" t="s">
        <v>1357</v>
      </c>
    </row>
    <row r="17744" spans="1:14">
      <c r="H17744" t="s">
        <v>25506</v>
      </c>
      <c r="I17744" t="s">
        <v>1357</v>
      </c>
      <c r="J17744" t="s">
        <v>1357</v>
      </c>
      <c r="K17744" t="s">
        <v>1357</v>
      </c>
      <c r="L17744" t="s">
        <v>1357</v>
      </c>
    </row>
    <row r="17745" spans="1:14">
      <c r="H17745" t="s">
        <v>25507</v>
      </c>
      <c r="I17745" t="s">
        <v>1357</v>
      </c>
      <c r="J17745" t="s">
        <v>1357</v>
      </c>
      <c r="K17745" t="s">
        <v>1357</v>
      </c>
      <c r="L17745" t="s">
        <v>1357</v>
      </c>
    </row>
    <row r="17746" spans="1:14">
      <c r="H17746" t="s">
        <v>25508</v>
      </c>
      <c r="I17746" t="s">
        <v>1357</v>
      </c>
      <c r="J17746" t="s">
        <v>1357</v>
      </c>
      <c r="K17746" t="s">
        <v>1357</v>
      </c>
      <c r="L17746" t="s">
        <v>1357</v>
      </c>
    </row>
    <row r="17747" spans="1:14">
      <c r="H17747" t="s">
        <v>25509</v>
      </c>
      <c r="I17747" t="s">
        <v>1357</v>
      </c>
      <c r="J17747" t="s">
        <v>1357</v>
      </c>
      <c r="K17747" t="s">
        <v>1357</v>
      </c>
      <c r="L17747" t="s">
        <v>1357</v>
      </c>
    </row>
    <row r="17748" spans="1:14">
      <c r="A17748" t="s">
        <v>11499</v>
      </c>
      <c r="B17748">
        <f>HYPERLINK("https://android.googlesource.com/platform/cts/+/bab2c0ec57f1bcfdc85290789ff68edaa958aed6", "bab2c0ec57f1bcfdc85290789ff68edaa958aed6")</f>
        <v>0</v>
      </c>
      <c r="C17748">
        <f>HYPERLINK("https://android.googlesource.com/platform/cts/+/aa4a265aaf1ba92a3ca0ddc99366ac38f710b389", "aa4a265aaf1ba92a3ca0ddc99366ac38f710b389")</f>
        <v>0</v>
      </c>
      <c r="D17748" t="s">
        <v>12415</v>
      </c>
      <c r="E17748" t="s">
        <v>14015</v>
      </c>
      <c r="F17748" t="s">
        <v>17011</v>
      </c>
      <c r="G17748" t="s">
        <v>19027</v>
      </c>
      <c r="H17748" t="s">
        <v>25510</v>
      </c>
      <c r="I17748" t="s">
        <v>1357</v>
      </c>
      <c r="J17748" t="s">
        <v>1357</v>
      </c>
      <c r="K17748" t="s">
        <v>1357</v>
      </c>
      <c r="L17748" t="s">
        <v>1357</v>
      </c>
    </row>
    <row r="17749" spans="1:14">
      <c r="H17749" t="s">
        <v>25511</v>
      </c>
      <c r="I17749" t="s">
        <v>1357</v>
      </c>
      <c r="J17749" t="s">
        <v>1357</v>
      </c>
      <c r="K17749" t="s">
        <v>1357</v>
      </c>
      <c r="L17749" t="s">
        <v>1357</v>
      </c>
    </row>
    <row r="17750" spans="1:14">
      <c r="A17750" t="s">
        <v>11500</v>
      </c>
      <c r="B17750">
        <f>HYPERLINK("https://android.googlesource.com/platform/cts/+/2d323220882daff57ff3ac004d613f38825417db", "2d323220882daff57ff3ac004d613f38825417db")</f>
        <v>0</v>
      </c>
      <c r="C17750">
        <f>HYPERLINK("https://android.googlesource.com/platform/cts/+/a18b0c73c187d2332aa628864fd31ba126301972", "a18b0c73c187d2332aa628864fd31ba126301972")</f>
        <v>0</v>
      </c>
      <c r="D17750" t="s">
        <v>12306</v>
      </c>
      <c r="E17750" t="s">
        <v>14016</v>
      </c>
      <c r="F17750" t="s">
        <v>17012</v>
      </c>
      <c r="G17750" t="s">
        <v>19613</v>
      </c>
      <c r="H17750" t="s">
        <v>25512</v>
      </c>
      <c r="I17750" t="s">
        <v>1357</v>
      </c>
      <c r="J17750" t="s">
        <v>1357</v>
      </c>
      <c r="K17750" t="s">
        <v>1357</v>
      </c>
      <c r="L17750" t="s">
        <v>1357</v>
      </c>
    </row>
    <row r="17751" spans="1:14">
      <c r="A17751" t="s">
        <v>11501</v>
      </c>
      <c r="B17751">
        <f>HYPERLINK("https://android.googlesource.com/platform/cts/+/e7eb2de25c5a2d18319472ee45e813f9eea9ff47", "e7eb2de25c5a2d18319472ee45e813f9eea9ff47")</f>
        <v>0</v>
      </c>
      <c r="C17751">
        <f>HYPERLINK("https://android.googlesource.com/platform/cts/+/43f3cc5d4707d1ca15d34167f4ee4e92d1b59b16", "43f3cc5d4707d1ca15d34167f4ee4e92d1b59b16")</f>
        <v>0</v>
      </c>
      <c r="D17751" t="s">
        <v>12161</v>
      </c>
      <c r="E17751" t="s">
        <v>14017</v>
      </c>
      <c r="F17751" t="s">
        <v>17013</v>
      </c>
      <c r="G17751" t="s">
        <v>19614</v>
      </c>
      <c r="H17751" t="s">
        <v>25513</v>
      </c>
      <c r="I17751" t="s">
        <v>1357</v>
      </c>
      <c r="J17751" t="s">
        <v>1357</v>
      </c>
      <c r="K17751" t="s">
        <v>1357</v>
      </c>
      <c r="L17751" t="s">
        <v>1357</v>
      </c>
    </row>
    <row r="17752" spans="1:14">
      <c r="A17752" t="s">
        <v>11502</v>
      </c>
      <c r="B17752">
        <f>HYPERLINK("https://android.googlesource.com/platform/cts/+/11b15822fffd3792082d0cfa71ba9b1196b122fa", "11b15822fffd3792082d0cfa71ba9b1196b122fa")</f>
        <v>0</v>
      </c>
      <c r="C17752">
        <f>HYPERLINK("https://android.googlesource.com/platform/cts/+/9e948cd4f3af46dc80ea9b95c0fcd76295df5ee1", "9e948cd4f3af46dc80ea9b95c0fcd76295df5ee1")</f>
        <v>0</v>
      </c>
      <c r="D17752" t="s">
        <v>12366</v>
      </c>
      <c r="E17752" t="s">
        <v>14018</v>
      </c>
      <c r="F17752" t="s">
        <v>17014</v>
      </c>
      <c r="G17752" t="s">
        <v>19615</v>
      </c>
      <c r="H17752" t="s">
        <v>25514</v>
      </c>
      <c r="I17752" t="s">
        <v>1357</v>
      </c>
      <c r="J17752" t="s">
        <v>1357</v>
      </c>
      <c r="K17752" t="s">
        <v>1357</v>
      </c>
      <c r="L17752" t="s">
        <v>1357</v>
      </c>
    </row>
    <row r="17753" spans="1:14">
      <c r="H17753" t="s">
        <v>25515</v>
      </c>
      <c r="I17753" t="s">
        <v>1357</v>
      </c>
      <c r="J17753" t="s">
        <v>1357</v>
      </c>
      <c r="K17753" t="s">
        <v>1357</v>
      </c>
      <c r="L17753" t="s">
        <v>1357</v>
      </c>
    </row>
    <row r="17754" spans="1:14">
      <c r="H17754" t="s">
        <v>25516</v>
      </c>
      <c r="I17754" t="s">
        <v>1357</v>
      </c>
      <c r="J17754" t="s">
        <v>1357</v>
      </c>
      <c r="K17754" t="s">
        <v>1357</v>
      </c>
      <c r="L17754" t="s">
        <v>1357</v>
      </c>
    </row>
    <row r="17755" spans="1:14">
      <c r="H17755" t="s">
        <v>25517</v>
      </c>
      <c r="I17755" t="s">
        <v>1357</v>
      </c>
      <c r="J17755" t="s">
        <v>1357</v>
      </c>
      <c r="K17755" t="s">
        <v>1357</v>
      </c>
      <c r="L17755" t="s">
        <v>1357</v>
      </c>
    </row>
    <row r="17756" spans="1:14">
      <c r="A17756" t="s">
        <v>11503</v>
      </c>
      <c r="B17756">
        <f>HYPERLINK("https://android.googlesource.com/platform/cts/+/21e5c3b197c57ef4db5f85a587fab78e738eaab2", "21e5c3b197c57ef4db5f85a587fab78e738eaab2")</f>
        <v>0</v>
      </c>
      <c r="C17756">
        <f>HYPERLINK("https://android.googlesource.com/platform/cts/+/5034b1b9858fec36dda3ab5ba6039d6c69fe326d", "5034b1b9858fec36dda3ab5ba6039d6c69fe326d")</f>
        <v>0</v>
      </c>
      <c r="D17756" t="s">
        <v>12416</v>
      </c>
      <c r="E17756" t="s">
        <v>14019</v>
      </c>
      <c r="F17756" t="s">
        <v>17015</v>
      </c>
      <c r="G17756" t="s">
        <v>19616</v>
      </c>
      <c r="H17756" t="s">
        <v>25518</v>
      </c>
      <c r="I17756" t="s">
        <v>1358</v>
      </c>
      <c r="J17756" t="s">
        <v>1358</v>
      </c>
      <c r="K17756" t="s">
        <v>1358</v>
      </c>
      <c r="L17756" t="s">
        <v>1358</v>
      </c>
    </row>
    <row r="17757" spans="1:14">
      <c r="A17757" t="s">
        <v>11504</v>
      </c>
      <c r="B17757">
        <f>HYPERLINK("https://android.googlesource.com/platform/cts/+/e1e15921ecf7a35f367bc14640c2bf96eed0adaf", "e1e15921ecf7a35f367bc14640c2bf96eed0adaf")</f>
        <v>0</v>
      </c>
      <c r="C17757">
        <f>HYPERLINK("https://android.googlesource.com/platform/cts/+/fce9afd1a2c3500404fd05d27d794cefa19cdfad", "fce9afd1a2c3500404fd05d27d794cefa19cdfad")</f>
        <v>0</v>
      </c>
      <c r="D17757" t="s">
        <v>12199</v>
      </c>
      <c r="E17757" t="s">
        <v>14020</v>
      </c>
      <c r="F17757" t="s">
        <v>17016</v>
      </c>
      <c r="G17757" t="s">
        <v>19617</v>
      </c>
      <c r="H17757" t="s">
        <v>25519</v>
      </c>
      <c r="I17757" t="s">
        <v>1357</v>
      </c>
      <c r="J17757" t="s">
        <v>1357</v>
      </c>
      <c r="K17757" t="s">
        <v>1357</v>
      </c>
      <c r="L17757" t="s">
        <v>1357</v>
      </c>
    </row>
    <row r="17758" spans="1:14">
      <c r="A17758" t="s">
        <v>11505</v>
      </c>
      <c r="B17758">
        <f>HYPERLINK("https://android.googlesource.com/platform/cts/+/2c54e55c23c43c4e8ac1c229120b5915d70bd85f", "2c54e55c23c43c4e8ac1c229120b5915d70bd85f")</f>
        <v>0</v>
      </c>
      <c r="C17758">
        <f>HYPERLINK("https://android.googlesource.com/platform/cts/+/fda263aa96497860500874dfa569fe087a7bb292", "fda263aa96497860500874dfa569fe087a7bb292")</f>
        <v>0</v>
      </c>
      <c r="D17758" t="s">
        <v>12132</v>
      </c>
      <c r="E17758" t="s">
        <v>14021</v>
      </c>
      <c r="F17758" t="s">
        <v>16977</v>
      </c>
      <c r="G17758" t="s">
        <v>19584</v>
      </c>
      <c r="H17758" t="s">
        <v>25520</v>
      </c>
      <c r="I17758" t="s">
        <v>1357</v>
      </c>
      <c r="J17758" t="s">
        <v>1357</v>
      </c>
      <c r="K17758" t="s">
        <v>1357</v>
      </c>
      <c r="L17758" t="s">
        <v>1357</v>
      </c>
      <c r="N17758" t="s">
        <v>1364</v>
      </c>
    </row>
    <row r="17759" spans="1:14">
      <c r="A17759" t="s">
        <v>11506</v>
      </c>
      <c r="B17759">
        <f>HYPERLINK("https://android.googlesource.com/platform/cts/+/9d769516486602a8b75b5e7ef62586d7743fff4c", "9d769516486602a8b75b5e7ef62586d7743fff4c")</f>
        <v>0</v>
      </c>
      <c r="C17759">
        <f>HYPERLINK("https://android.googlesource.com/platform/cts/+/fce9afd1a2c3500404fd05d27d794cefa19cdfad", "fce9afd1a2c3500404fd05d27d794cefa19cdfad")</f>
        <v>0</v>
      </c>
      <c r="D17759" t="s">
        <v>12095</v>
      </c>
      <c r="E17759" t="s">
        <v>14022</v>
      </c>
      <c r="F17759" t="s">
        <v>16233</v>
      </c>
      <c r="G17759" t="s">
        <v>18909</v>
      </c>
      <c r="H17759" t="s">
        <v>25521</v>
      </c>
      <c r="I17759" t="s">
        <v>1358</v>
      </c>
      <c r="J17759" t="s">
        <v>1358</v>
      </c>
      <c r="K17759" t="s">
        <v>1358</v>
      </c>
      <c r="L17759" t="s">
        <v>1358</v>
      </c>
    </row>
    <row r="17760" spans="1:14">
      <c r="H17760" t="s">
        <v>25522</v>
      </c>
      <c r="I17760" t="s">
        <v>1358</v>
      </c>
      <c r="J17760" t="s">
        <v>1358</v>
      </c>
      <c r="K17760" t="s">
        <v>1358</v>
      </c>
      <c r="L17760" t="s">
        <v>1358</v>
      </c>
    </row>
    <row r="17761" spans="1:13">
      <c r="F17761" t="s">
        <v>16235</v>
      </c>
      <c r="G17761" t="s">
        <v>18911</v>
      </c>
      <c r="H17761" t="s">
        <v>25523</v>
      </c>
      <c r="I17761" t="s">
        <v>1358</v>
      </c>
      <c r="J17761" t="s">
        <v>1358</v>
      </c>
      <c r="K17761" t="s">
        <v>1358</v>
      </c>
      <c r="L17761" t="s">
        <v>1358</v>
      </c>
    </row>
    <row r="17762" spans="1:13">
      <c r="H17762" t="s">
        <v>25524</v>
      </c>
      <c r="I17762" t="s">
        <v>1358</v>
      </c>
      <c r="J17762" t="s">
        <v>1358</v>
      </c>
      <c r="K17762" t="s">
        <v>1358</v>
      </c>
      <c r="L17762" t="s">
        <v>1358</v>
      </c>
    </row>
    <row r="17763" spans="1:13">
      <c r="A17763" t="s">
        <v>11507</v>
      </c>
      <c r="B17763">
        <f>HYPERLINK("https://android.googlesource.com/platform/cts/+/68da822a574af9474011cdb165ef8810bcd2b6ab", "68da822a574af9474011cdb165ef8810bcd2b6ab")</f>
        <v>0</v>
      </c>
      <c r="C17763">
        <f>HYPERLINK("https://android.googlesource.com/platform/cts/+/113217ea9581c5ed37c868d242fee4f8484f3f6c", "113217ea9581c5ed37c868d242fee4f8484f3f6c")</f>
        <v>0</v>
      </c>
      <c r="D17763" t="s">
        <v>12389</v>
      </c>
      <c r="E17763" t="s">
        <v>14023</v>
      </c>
      <c r="F17763" t="s">
        <v>17017</v>
      </c>
      <c r="G17763" t="s">
        <v>19618</v>
      </c>
      <c r="H17763" t="s">
        <v>25525</v>
      </c>
      <c r="I17763" t="s">
        <v>1358</v>
      </c>
      <c r="J17763" t="s">
        <v>1358</v>
      </c>
      <c r="K17763" t="s">
        <v>1358</v>
      </c>
      <c r="L17763" t="s">
        <v>1358</v>
      </c>
    </row>
    <row r="17764" spans="1:13">
      <c r="A17764" t="s">
        <v>11508</v>
      </c>
      <c r="B17764">
        <f>HYPERLINK("https://android.googlesource.com/platform/cts/+/c56248b24692663cc6a1dac973d5d41067d5d3ed", "c56248b24692663cc6a1dac973d5d41067d5d3ed")</f>
        <v>0</v>
      </c>
      <c r="C17764">
        <f>HYPERLINK("https://android.googlesource.com/platform/cts/+/3f560afdd56778949224ea016fc7b719d4dc6af3", "3f560afdd56778949224ea016fc7b719d4dc6af3")</f>
        <v>0</v>
      </c>
      <c r="D17764" t="s">
        <v>12417</v>
      </c>
      <c r="E17764" t="s">
        <v>14024</v>
      </c>
      <c r="F17764" t="s">
        <v>17017</v>
      </c>
      <c r="G17764" t="s">
        <v>19618</v>
      </c>
      <c r="H17764" t="s">
        <v>25525</v>
      </c>
      <c r="I17764" t="s">
        <v>1358</v>
      </c>
      <c r="J17764" t="s">
        <v>1358</v>
      </c>
      <c r="K17764" t="s">
        <v>1358</v>
      </c>
      <c r="L17764" t="s">
        <v>1358</v>
      </c>
      <c r="M17764" t="s">
        <v>9957</v>
      </c>
    </row>
    <row r="17765" spans="1:13">
      <c r="A17765" t="s">
        <v>11509</v>
      </c>
      <c r="B17765">
        <f>HYPERLINK("https://android.googlesource.com/platform/cts/+/83d6781e60e445f82d7d46f2fe5177466bfa9889", "83d6781e60e445f82d7d46f2fe5177466bfa9889")</f>
        <v>0</v>
      </c>
      <c r="C17765">
        <f>HYPERLINK("https://android.googlesource.com/platform/cts/+/d55e9ed1871c2a81cbd3e8f8f53645b0fb6ba1e0", "d55e9ed1871c2a81cbd3e8f8f53645b0fb6ba1e0")</f>
        <v>0</v>
      </c>
      <c r="D17765" t="s">
        <v>12367</v>
      </c>
      <c r="E17765" t="s">
        <v>14025</v>
      </c>
      <c r="F17765" t="s">
        <v>17018</v>
      </c>
      <c r="G17765" t="s">
        <v>19619</v>
      </c>
      <c r="H17765" t="s">
        <v>25526</v>
      </c>
      <c r="I17765" t="s">
        <v>1357</v>
      </c>
      <c r="J17765" t="s">
        <v>1357</v>
      </c>
      <c r="K17765" t="s">
        <v>1357</v>
      </c>
      <c r="L17765" t="s">
        <v>1357</v>
      </c>
    </row>
    <row r="17766" spans="1:13">
      <c r="A17766" t="s">
        <v>11510</v>
      </c>
      <c r="B17766">
        <f>HYPERLINK("https://android.googlesource.com/platform/cts/+/b7cfa1e06a11b3c1a0f3ee3c29ab175e73200d13", "b7cfa1e06a11b3c1a0f3ee3c29ab175e73200d13")</f>
        <v>0</v>
      </c>
      <c r="C17766">
        <f>HYPERLINK("https://android.googlesource.com/platform/cts/+/8fd8fdcc467953bcec65fddc8c0a237f2b3c6f31", "8fd8fdcc467953bcec65fddc8c0a237f2b3c6f31")</f>
        <v>0</v>
      </c>
      <c r="D17766" t="s">
        <v>12306</v>
      </c>
      <c r="E17766" t="s">
        <v>14026</v>
      </c>
      <c r="F17766" t="s">
        <v>17019</v>
      </c>
      <c r="G17766" t="s">
        <v>19620</v>
      </c>
      <c r="H17766" t="s">
        <v>25527</v>
      </c>
      <c r="I17766" t="s">
        <v>1358</v>
      </c>
      <c r="J17766" t="s">
        <v>1358</v>
      </c>
      <c r="K17766" t="s">
        <v>1358</v>
      </c>
      <c r="L17766" t="s">
        <v>1358</v>
      </c>
    </row>
    <row r="17767" spans="1:13">
      <c r="A17767" t="s">
        <v>11511</v>
      </c>
      <c r="B17767">
        <f>HYPERLINK("https://android.googlesource.com/platform/cts/+/af4876f720a1a3107e1eef2d8ae6a9a12cecdaec", "af4876f720a1a3107e1eef2d8ae6a9a12cecdaec")</f>
        <v>0</v>
      </c>
      <c r="C17767">
        <f>HYPERLINK("https://android.googlesource.com/platform/cts/+/571fec2537da2c7507d376de364938ca0001a8cd", "571fec2537da2c7507d376de364938ca0001a8cd")</f>
        <v>0</v>
      </c>
      <c r="D17767" t="s">
        <v>12418</v>
      </c>
      <c r="E17767" t="s">
        <v>14027</v>
      </c>
      <c r="F17767" t="s">
        <v>16296</v>
      </c>
      <c r="G17767" t="s">
        <v>18967</v>
      </c>
      <c r="H17767" t="s">
        <v>25528</v>
      </c>
      <c r="I17767" t="s">
        <v>1357</v>
      </c>
      <c r="J17767" t="s">
        <v>1357</v>
      </c>
      <c r="K17767" t="s">
        <v>1357</v>
      </c>
      <c r="L17767" t="s">
        <v>1357</v>
      </c>
    </row>
    <row r="17768" spans="1:13">
      <c r="A17768" t="s">
        <v>11512</v>
      </c>
      <c r="B17768">
        <f>HYPERLINK("https://android.googlesource.com/platform/cts/+/db38189de799f2e5ea11db7f3c4db82ac2efbef6", "db38189de799f2e5ea11db7f3c4db82ac2efbef6")</f>
        <v>0</v>
      </c>
      <c r="C17768">
        <f>HYPERLINK("https://android.googlesource.com/platform/cts/+/6a446b36070a0063b94e1cbb0383316e1304ed18", "6a446b36070a0063b94e1cbb0383316e1304ed18")</f>
        <v>0</v>
      </c>
      <c r="D17768" t="s">
        <v>12302</v>
      </c>
      <c r="E17768" t="s">
        <v>14028</v>
      </c>
      <c r="F17768" t="s">
        <v>17020</v>
      </c>
      <c r="G17768" t="s">
        <v>19621</v>
      </c>
      <c r="H17768" t="s">
        <v>23282</v>
      </c>
      <c r="I17768" t="s">
        <v>1358</v>
      </c>
      <c r="J17768" t="s">
        <v>1358</v>
      </c>
      <c r="K17768" t="s">
        <v>1358</v>
      </c>
      <c r="L17768" t="s">
        <v>1358</v>
      </c>
    </row>
    <row r="17769" spans="1:13">
      <c r="A17769" t="s">
        <v>11513</v>
      </c>
      <c r="B17769">
        <f>HYPERLINK("https://android.googlesource.com/platform/cts/+/e6e62dc8404d042f071760f1335b35aa116d3236", "e6e62dc8404d042f071760f1335b35aa116d3236")</f>
        <v>0</v>
      </c>
      <c r="C17769">
        <f>HYPERLINK("https://android.googlesource.com/platform/cts/+/675d85d9a24003e0992475703249a98fed616496", "675d85d9a24003e0992475703249a98fed616496")</f>
        <v>0</v>
      </c>
      <c r="D17769" t="s">
        <v>12306</v>
      </c>
      <c r="E17769" t="s">
        <v>14029</v>
      </c>
      <c r="F17769" t="s">
        <v>17021</v>
      </c>
      <c r="G17769" t="s">
        <v>19622</v>
      </c>
      <c r="H17769" t="s">
        <v>25529</v>
      </c>
      <c r="I17769" t="s">
        <v>1358</v>
      </c>
      <c r="J17769" t="s">
        <v>1358</v>
      </c>
      <c r="K17769" t="s">
        <v>1358</v>
      </c>
      <c r="L17769" t="s">
        <v>1358</v>
      </c>
    </row>
    <row r="17770" spans="1:13">
      <c r="H17770" t="s">
        <v>25530</v>
      </c>
      <c r="I17770" t="s">
        <v>1358</v>
      </c>
      <c r="J17770" t="s">
        <v>1358</v>
      </c>
      <c r="K17770" t="s">
        <v>1358</v>
      </c>
      <c r="L17770" t="s">
        <v>1358</v>
      </c>
    </row>
    <row r="17771" spans="1:13">
      <c r="H17771" t="s">
        <v>25531</v>
      </c>
      <c r="I17771" t="s">
        <v>1358</v>
      </c>
      <c r="J17771" t="s">
        <v>1358</v>
      </c>
      <c r="K17771" t="s">
        <v>1358</v>
      </c>
      <c r="L17771" t="s">
        <v>1358</v>
      </c>
    </row>
    <row r="17772" spans="1:13">
      <c r="H17772" t="s">
        <v>25532</v>
      </c>
      <c r="I17772" t="s">
        <v>1358</v>
      </c>
      <c r="J17772" t="s">
        <v>1358</v>
      </c>
      <c r="K17772" t="s">
        <v>1358</v>
      </c>
      <c r="L17772" t="s">
        <v>1358</v>
      </c>
    </row>
    <row r="17773" spans="1:13">
      <c r="H17773" t="s">
        <v>25533</v>
      </c>
      <c r="I17773" t="s">
        <v>1358</v>
      </c>
      <c r="J17773" t="s">
        <v>1358</v>
      </c>
      <c r="K17773" t="s">
        <v>1358</v>
      </c>
      <c r="L17773" t="s">
        <v>1358</v>
      </c>
    </row>
    <row r="17774" spans="1:13">
      <c r="H17774" t="s">
        <v>25534</v>
      </c>
      <c r="I17774" t="s">
        <v>1358</v>
      </c>
      <c r="J17774" t="s">
        <v>1358</v>
      </c>
      <c r="K17774" t="s">
        <v>1358</v>
      </c>
      <c r="L17774" t="s">
        <v>1358</v>
      </c>
    </row>
    <row r="17775" spans="1:13">
      <c r="H17775" t="s">
        <v>25535</v>
      </c>
      <c r="I17775" t="s">
        <v>1358</v>
      </c>
      <c r="J17775" t="s">
        <v>1358</v>
      </c>
      <c r="K17775" t="s">
        <v>1358</v>
      </c>
      <c r="L17775" t="s">
        <v>1358</v>
      </c>
    </row>
    <row r="17776" spans="1:13">
      <c r="H17776" t="s">
        <v>25536</v>
      </c>
      <c r="I17776" t="s">
        <v>1358</v>
      </c>
      <c r="J17776" t="s">
        <v>1358</v>
      </c>
      <c r="K17776" t="s">
        <v>1358</v>
      </c>
      <c r="L17776" t="s">
        <v>1358</v>
      </c>
      <c r="M17776" t="s">
        <v>27496</v>
      </c>
    </row>
    <row r="17777" spans="1:14">
      <c r="H17777" t="s">
        <v>25537</v>
      </c>
      <c r="I17777" t="s">
        <v>1358</v>
      </c>
      <c r="J17777" t="s">
        <v>1358</v>
      </c>
      <c r="K17777" t="s">
        <v>1358</v>
      </c>
      <c r="L17777" t="s">
        <v>1358</v>
      </c>
    </row>
    <row r="17778" spans="1:14">
      <c r="H17778" t="s">
        <v>25538</v>
      </c>
      <c r="I17778" t="s">
        <v>1358</v>
      </c>
      <c r="J17778" t="s">
        <v>1358</v>
      </c>
      <c r="K17778" t="s">
        <v>1358</v>
      </c>
      <c r="L17778" t="s">
        <v>1358</v>
      </c>
    </row>
    <row r="17779" spans="1:14">
      <c r="A17779" t="s">
        <v>11514</v>
      </c>
      <c r="B17779">
        <f>HYPERLINK("https://android.googlesource.com/platform/cts/+/c8fbdf78ba45998832f137231d153d9b2fef05b3", "c8fbdf78ba45998832f137231d153d9b2fef05b3")</f>
        <v>0</v>
      </c>
      <c r="C17779">
        <f>HYPERLINK("https://android.googlesource.com/platform/cts/+/41ae130b6e11d90518dc4a7d2477352499bf237f", "41ae130b6e11d90518dc4a7d2477352499bf237f")</f>
        <v>0</v>
      </c>
      <c r="D17779" t="s">
        <v>12306</v>
      </c>
      <c r="E17779" t="s">
        <v>14030</v>
      </c>
      <c r="F17779" t="s">
        <v>17012</v>
      </c>
      <c r="G17779" t="s">
        <v>19613</v>
      </c>
      <c r="H17779" t="s">
        <v>25539</v>
      </c>
      <c r="I17779" t="s">
        <v>1357</v>
      </c>
      <c r="J17779" t="s">
        <v>1357</v>
      </c>
      <c r="K17779" t="s">
        <v>1357</v>
      </c>
      <c r="L17779" t="s">
        <v>1357</v>
      </c>
    </row>
    <row r="17780" spans="1:14">
      <c r="H17780" t="s">
        <v>25540</v>
      </c>
      <c r="I17780" t="s">
        <v>1357</v>
      </c>
      <c r="J17780" t="s">
        <v>1357</v>
      </c>
      <c r="K17780" t="s">
        <v>1357</v>
      </c>
      <c r="L17780" t="s">
        <v>1357</v>
      </c>
    </row>
    <row r="17781" spans="1:14">
      <c r="H17781" t="s">
        <v>25541</v>
      </c>
      <c r="I17781" t="s">
        <v>1359</v>
      </c>
      <c r="J17781" t="s">
        <v>1357</v>
      </c>
      <c r="K17781" t="s">
        <v>1357</v>
      </c>
      <c r="L17781" t="s">
        <v>1358</v>
      </c>
      <c r="N17781" t="s">
        <v>27534</v>
      </c>
    </row>
    <row r="17782" spans="1:14">
      <c r="A17782" t="s">
        <v>11515</v>
      </c>
      <c r="B17782">
        <f>HYPERLINK("https://android.googlesource.com/platform/cts/+/efee9aec2a652f3467d8da58ab9f70f673660c3c", "efee9aec2a652f3467d8da58ab9f70f673660c3c")</f>
        <v>0</v>
      </c>
      <c r="C17782">
        <f>HYPERLINK("https://android.googlesource.com/platform/cts/+/981000112934c5117c1d6e171dd85093e02a2086", "981000112934c5117c1d6e171dd85093e02a2086")</f>
        <v>0</v>
      </c>
      <c r="D17782" t="s">
        <v>12366</v>
      </c>
      <c r="E17782" t="s">
        <v>14031</v>
      </c>
      <c r="F17782" t="s">
        <v>16747</v>
      </c>
      <c r="G17782" t="s">
        <v>19376</v>
      </c>
      <c r="H17782" t="s">
        <v>25542</v>
      </c>
      <c r="I17782" t="s">
        <v>1357</v>
      </c>
      <c r="J17782" t="s">
        <v>1357</v>
      </c>
      <c r="K17782" t="s">
        <v>1357</v>
      </c>
      <c r="L17782" t="s">
        <v>1357</v>
      </c>
    </row>
    <row r="17783" spans="1:14">
      <c r="A17783" t="s">
        <v>11516</v>
      </c>
      <c r="B17783">
        <f>HYPERLINK("https://android.googlesource.com/platform/cts/+/c88850c7c737d21c5b07e110b89f1de282838eca", "c88850c7c737d21c5b07e110b89f1de282838eca")</f>
        <v>0</v>
      </c>
      <c r="C17783">
        <f>HYPERLINK("https://android.googlesource.com/platform/cts/+/42b0c79b60cbfb151f7b4f9e053fc716c41c2c51", "42b0c79b60cbfb151f7b4f9e053fc716c41c2c51")</f>
        <v>0</v>
      </c>
      <c r="D17783" t="s">
        <v>12367</v>
      </c>
      <c r="E17783" t="s">
        <v>14032</v>
      </c>
      <c r="F17783" t="s">
        <v>17018</v>
      </c>
      <c r="G17783" t="s">
        <v>19619</v>
      </c>
      <c r="H17783" t="s">
        <v>25526</v>
      </c>
      <c r="I17783" t="s">
        <v>1357</v>
      </c>
      <c r="J17783" t="s">
        <v>1357</v>
      </c>
      <c r="K17783" t="s">
        <v>1357</v>
      </c>
      <c r="L17783" t="s">
        <v>1357</v>
      </c>
    </row>
    <row r="17784" spans="1:14">
      <c r="A17784" t="s">
        <v>11517</v>
      </c>
      <c r="B17784">
        <f>HYPERLINK("https://android.googlesource.com/platform/cts/+/206d8c16beeb10c6e074f9d11e912b08b7c9e334", "206d8c16beeb10c6e074f9d11e912b08b7c9e334")</f>
        <v>0</v>
      </c>
      <c r="C17784">
        <f>HYPERLINK("https://android.googlesource.com/platform/cts/+/bb6067542f038846f978ab964f226f8fd48f0012", "bb6067542f038846f978ab964f226f8fd48f0012")</f>
        <v>0</v>
      </c>
      <c r="D17784" t="s">
        <v>12305</v>
      </c>
      <c r="E17784" t="s">
        <v>14033</v>
      </c>
      <c r="F17784" t="s">
        <v>17022</v>
      </c>
      <c r="G17784" t="s">
        <v>19623</v>
      </c>
      <c r="H17784" t="s">
        <v>25543</v>
      </c>
      <c r="I17784" t="s">
        <v>1357</v>
      </c>
      <c r="J17784" t="s">
        <v>1357</v>
      </c>
      <c r="K17784" t="s">
        <v>1357</v>
      </c>
      <c r="L17784" t="s">
        <v>1357</v>
      </c>
    </row>
    <row r="17785" spans="1:14">
      <c r="A17785" t="s">
        <v>11518</v>
      </c>
      <c r="B17785">
        <f>HYPERLINK("https://android.googlesource.com/platform/cts/+/ffe16c9fc8cae179c6ac90cac988a5c6d5cf6f92", "ffe16c9fc8cae179c6ac90cac988a5c6d5cf6f92")</f>
        <v>0</v>
      </c>
      <c r="C17785">
        <f>HYPERLINK("https://android.googlesource.com/platform/cts/+/e25704d8305e8f7a556987f20a2bb869adb86e49", "e25704d8305e8f7a556987f20a2bb869adb86e49")</f>
        <v>0</v>
      </c>
      <c r="D17785" t="s">
        <v>12419</v>
      </c>
      <c r="E17785" t="s">
        <v>14034</v>
      </c>
      <c r="F17785" t="s">
        <v>17023</v>
      </c>
      <c r="G17785" t="s">
        <v>19624</v>
      </c>
      <c r="H17785" t="s">
        <v>25544</v>
      </c>
      <c r="I17785" t="s">
        <v>1357</v>
      </c>
      <c r="J17785" t="s">
        <v>1357</v>
      </c>
      <c r="K17785" t="s">
        <v>1357</v>
      </c>
      <c r="L17785" t="s">
        <v>1357</v>
      </c>
    </row>
    <row r="17786" spans="1:14">
      <c r="A17786" t="s">
        <v>11519</v>
      </c>
      <c r="B17786">
        <f>HYPERLINK("https://android.googlesource.com/platform/cts/+/fac247161a6b4f5b449c3f41a76d7884aa623227", "fac247161a6b4f5b449c3f41a76d7884aa623227")</f>
        <v>0</v>
      </c>
      <c r="C17786">
        <f>HYPERLINK("https://android.googlesource.com/platform/cts/+/f264954af926255a3811a0b9d09a7a8db2f084a7", "f264954af926255a3811a0b9d09a7a8db2f084a7")</f>
        <v>0</v>
      </c>
      <c r="D17786" t="s">
        <v>12420</v>
      </c>
      <c r="E17786" t="s">
        <v>14035</v>
      </c>
      <c r="F17786" t="s">
        <v>16361</v>
      </c>
      <c r="G17786" t="s">
        <v>19030</v>
      </c>
      <c r="H17786" t="s">
        <v>25545</v>
      </c>
      <c r="I17786" t="s">
        <v>1357</v>
      </c>
      <c r="J17786" t="s">
        <v>1357</v>
      </c>
      <c r="K17786" t="s">
        <v>1357</v>
      </c>
      <c r="L17786" t="s">
        <v>1357</v>
      </c>
    </row>
    <row r="17787" spans="1:14">
      <c r="H17787" t="s">
        <v>25546</v>
      </c>
      <c r="I17787" t="s">
        <v>1357</v>
      </c>
      <c r="J17787" t="s">
        <v>1357</v>
      </c>
      <c r="K17787" t="s">
        <v>1357</v>
      </c>
      <c r="L17787" t="s">
        <v>1357</v>
      </c>
    </row>
    <row r="17788" spans="1:14">
      <c r="A17788" t="s">
        <v>11520</v>
      </c>
      <c r="B17788">
        <f>HYPERLINK("https://android.googlesource.com/platform/cts/+/ab3f8b42c44441909df1ee36f1ffb555949cb4ef", "ab3f8b42c44441909df1ee36f1ffb555949cb4ef")</f>
        <v>0</v>
      </c>
      <c r="C17788">
        <f>HYPERLINK("https://android.googlesource.com/platform/cts/+/04dfa0ad01ed4ff3afd0547722f676bc4933b4f4", "04dfa0ad01ed4ff3afd0547722f676bc4933b4f4")</f>
        <v>0</v>
      </c>
      <c r="D17788" t="s">
        <v>12421</v>
      </c>
      <c r="E17788" t="s">
        <v>14036</v>
      </c>
      <c r="F17788" t="s">
        <v>17024</v>
      </c>
      <c r="G17788" t="s">
        <v>19625</v>
      </c>
      <c r="H17788" t="s">
        <v>25547</v>
      </c>
      <c r="I17788" t="s">
        <v>1358</v>
      </c>
      <c r="J17788" t="s">
        <v>1358</v>
      </c>
      <c r="K17788" t="s">
        <v>1358</v>
      </c>
      <c r="L17788" t="s">
        <v>1358</v>
      </c>
    </row>
    <row r="17789" spans="1:14">
      <c r="A17789" t="s">
        <v>11521</v>
      </c>
      <c r="B17789">
        <f>HYPERLINK("https://android.googlesource.com/platform/cts/+/57d9b6ae3fe73b4277251da50631c7837565655e", "57d9b6ae3fe73b4277251da50631c7837565655e")</f>
        <v>0</v>
      </c>
      <c r="C17789">
        <f>HYPERLINK("https://android.googlesource.com/platform/cts/+/1a74341cd5e78f2eb02c3edf78d06fae961e641e", "1a74341cd5e78f2eb02c3edf78d06fae961e641e")</f>
        <v>0</v>
      </c>
      <c r="D17789" t="s">
        <v>12345</v>
      </c>
      <c r="E17789" t="s">
        <v>14037</v>
      </c>
      <c r="F17789" t="s">
        <v>17025</v>
      </c>
      <c r="G17789" t="s">
        <v>19626</v>
      </c>
      <c r="H17789" t="s">
        <v>23316</v>
      </c>
      <c r="I17789" t="s">
        <v>1357</v>
      </c>
      <c r="J17789" t="s">
        <v>1357</v>
      </c>
      <c r="K17789" t="s">
        <v>1357</v>
      </c>
      <c r="L17789" t="s">
        <v>1357</v>
      </c>
    </row>
    <row r="17790" spans="1:14">
      <c r="F17790" t="s">
        <v>16639</v>
      </c>
      <c r="G17790" t="s">
        <v>19276</v>
      </c>
      <c r="H17790" t="s">
        <v>25548</v>
      </c>
      <c r="I17790" t="s">
        <v>1357</v>
      </c>
      <c r="J17790" t="s">
        <v>1357</v>
      </c>
      <c r="K17790" t="s">
        <v>1357</v>
      </c>
      <c r="L17790" t="s">
        <v>1357</v>
      </c>
    </row>
    <row r="17791" spans="1:14">
      <c r="A17791" t="s">
        <v>11522</v>
      </c>
      <c r="B17791">
        <f>HYPERLINK("https://android.googlesource.com/platform/cts/+/d68e6af369d83ead7c67d6224ddaa88feefcdb19", "d68e6af369d83ead7c67d6224ddaa88feefcdb19")</f>
        <v>0</v>
      </c>
      <c r="C17791">
        <f>HYPERLINK("https://android.googlesource.com/platform/cts/+/655b2d4edc3ca285350ba44b3553e21024c5c841", "655b2d4edc3ca285350ba44b3553e21024c5c841")</f>
        <v>0</v>
      </c>
      <c r="D17791" t="s">
        <v>12414</v>
      </c>
      <c r="E17791" t="s">
        <v>14038</v>
      </c>
      <c r="F17791" t="s">
        <v>17026</v>
      </c>
      <c r="G17791" t="s">
        <v>19627</v>
      </c>
      <c r="H17791" t="s">
        <v>25549</v>
      </c>
      <c r="I17791" t="s">
        <v>1357</v>
      </c>
      <c r="J17791" t="s">
        <v>1357</v>
      </c>
      <c r="K17791" t="s">
        <v>1357</v>
      </c>
      <c r="L17791" t="s">
        <v>1357</v>
      </c>
    </row>
    <row r="17792" spans="1:14">
      <c r="A17792" t="s">
        <v>11523</v>
      </c>
      <c r="B17792">
        <f>HYPERLINK("https://android.googlesource.com/platform/cts/+/d4f6e6351acd502553b818af63aee91a5fc2a7e2", "d4f6e6351acd502553b818af63aee91a5fc2a7e2")</f>
        <v>0</v>
      </c>
      <c r="C17792">
        <f>HYPERLINK("https://android.googlesource.com/platform/cts/+/0f8ffe9f7c16c628cba8dd778566c6558666dd43", "0f8ffe9f7c16c628cba8dd778566c6558666dd43")</f>
        <v>0</v>
      </c>
      <c r="D17792" t="s">
        <v>12122</v>
      </c>
      <c r="E17792" t="s">
        <v>14039</v>
      </c>
      <c r="F17792" t="s">
        <v>17027</v>
      </c>
      <c r="G17792" t="s">
        <v>18871</v>
      </c>
      <c r="H17792" t="s">
        <v>25550</v>
      </c>
      <c r="I17792" t="s">
        <v>1357</v>
      </c>
      <c r="J17792" t="s">
        <v>1357</v>
      </c>
      <c r="K17792" t="s">
        <v>1357</v>
      </c>
      <c r="L17792" t="s">
        <v>1357</v>
      </c>
    </row>
    <row r="17793" spans="1:13">
      <c r="A17793" t="s">
        <v>11524</v>
      </c>
      <c r="B17793">
        <f>HYPERLINK("https://android.googlesource.com/platform/cts/+/308e143330eb08d91f584571049e53ba3f5c605a", "308e143330eb08d91f584571049e53ba3f5c605a")</f>
        <v>0</v>
      </c>
      <c r="C17793">
        <f>HYPERLINK("https://android.googlesource.com/platform/cts/+/9f49a7164a4f4ba8bc6c01bb7875425941f01e7a", "9f49a7164a4f4ba8bc6c01bb7875425941f01e7a")</f>
        <v>0</v>
      </c>
      <c r="D17793" t="s">
        <v>12422</v>
      </c>
      <c r="E17793" t="s">
        <v>14040</v>
      </c>
      <c r="F17793" t="s">
        <v>16475</v>
      </c>
      <c r="G17793" t="s">
        <v>19136</v>
      </c>
      <c r="H17793" t="s">
        <v>25551</v>
      </c>
      <c r="I17793" t="s">
        <v>1357</v>
      </c>
      <c r="J17793" t="s">
        <v>1357</v>
      </c>
      <c r="K17793" t="s">
        <v>1357</v>
      </c>
      <c r="L17793" t="s">
        <v>1357</v>
      </c>
    </row>
    <row r="17794" spans="1:13">
      <c r="H17794" t="s">
        <v>25552</v>
      </c>
      <c r="I17794" t="s">
        <v>1357</v>
      </c>
      <c r="J17794" t="s">
        <v>1357</v>
      </c>
      <c r="K17794" t="s">
        <v>1357</v>
      </c>
      <c r="L17794" t="s">
        <v>1357</v>
      </c>
    </row>
    <row r="17795" spans="1:13">
      <c r="H17795" t="s">
        <v>25553</v>
      </c>
      <c r="I17795" t="s">
        <v>1357</v>
      </c>
      <c r="J17795" t="s">
        <v>1357</v>
      </c>
      <c r="K17795" t="s">
        <v>1357</v>
      </c>
      <c r="L17795" t="s">
        <v>1357</v>
      </c>
    </row>
    <row r="17796" spans="1:13">
      <c r="H17796" t="s">
        <v>25554</v>
      </c>
      <c r="I17796" t="s">
        <v>1357</v>
      </c>
      <c r="J17796" t="s">
        <v>1357</v>
      </c>
      <c r="K17796" t="s">
        <v>1357</v>
      </c>
      <c r="L17796" t="s">
        <v>1357</v>
      </c>
    </row>
    <row r="17797" spans="1:13">
      <c r="H17797" t="s">
        <v>25555</v>
      </c>
      <c r="I17797" t="s">
        <v>1357</v>
      </c>
      <c r="J17797" t="s">
        <v>1357</v>
      </c>
      <c r="K17797" t="s">
        <v>1357</v>
      </c>
      <c r="L17797" t="s">
        <v>1357</v>
      </c>
    </row>
    <row r="17798" spans="1:13">
      <c r="H17798" t="s">
        <v>25556</v>
      </c>
      <c r="I17798" t="s">
        <v>1357</v>
      </c>
      <c r="J17798" t="s">
        <v>1357</v>
      </c>
      <c r="K17798" t="s">
        <v>1357</v>
      </c>
      <c r="L17798" t="s">
        <v>1357</v>
      </c>
    </row>
    <row r="17799" spans="1:13">
      <c r="H17799" t="s">
        <v>25557</v>
      </c>
      <c r="I17799" t="s">
        <v>1357</v>
      </c>
      <c r="J17799" t="s">
        <v>1357</v>
      </c>
      <c r="K17799" t="s">
        <v>1357</v>
      </c>
      <c r="L17799" t="s">
        <v>1357</v>
      </c>
    </row>
    <row r="17800" spans="1:13">
      <c r="A17800" t="s">
        <v>11525</v>
      </c>
      <c r="B17800">
        <f>HYPERLINK("https://android.googlesource.com/platform/cts/+/f2e5c563f7078c2a6f2dff0ed2a27da947df60a5", "f2e5c563f7078c2a6f2dff0ed2a27da947df60a5")</f>
        <v>0</v>
      </c>
      <c r="C17800">
        <f>HYPERLINK("https://android.googlesource.com/platform/cts/+/7675c179d6cd5c0c40f8a34031d8325c1eca0c68", "7675c179d6cd5c0c40f8a34031d8325c1eca0c68")</f>
        <v>0</v>
      </c>
      <c r="D17800" t="s">
        <v>12288</v>
      </c>
      <c r="E17800" t="s">
        <v>14041</v>
      </c>
      <c r="F17800" t="s">
        <v>16964</v>
      </c>
      <c r="G17800" t="s">
        <v>19574</v>
      </c>
      <c r="H17800" t="s">
        <v>25339</v>
      </c>
      <c r="I17800" t="s">
        <v>1358</v>
      </c>
      <c r="J17800" t="s">
        <v>1358</v>
      </c>
      <c r="K17800" t="s">
        <v>1358</v>
      </c>
      <c r="L17800" t="s">
        <v>1358</v>
      </c>
    </row>
    <row r="17801" spans="1:13">
      <c r="H17801" t="s">
        <v>25340</v>
      </c>
      <c r="I17801" t="s">
        <v>1358</v>
      </c>
      <c r="J17801" t="s">
        <v>1358</v>
      </c>
      <c r="K17801" t="s">
        <v>1358</v>
      </c>
      <c r="L17801" t="s">
        <v>1358</v>
      </c>
      <c r="M17801" t="s">
        <v>9957</v>
      </c>
    </row>
    <row r="17802" spans="1:13">
      <c r="H17802" t="s">
        <v>25341</v>
      </c>
      <c r="I17802" t="s">
        <v>1358</v>
      </c>
      <c r="J17802" t="s">
        <v>1358</v>
      </c>
      <c r="K17802" t="s">
        <v>1358</v>
      </c>
      <c r="L17802" t="s">
        <v>1358</v>
      </c>
    </row>
    <row r="17803" spans="1:13">
      <c r="A17803" t="s">
        <v>11526</v>
      </c>
      <c r="B17803">
        <f>HYPERLINK("https://android.googlesource.com/platform/cts/+/38deaf17b013c247c90537bb4ab3853be2d0a3e5", "38deaf17b013c247c90537bb4ab3853be2d0a3e5")</f>
        <v>0</v>
      </c>
      <c r="C17803">
        <f>HYPERLINK("https://android.googlesource.com/platform/cts/+/74edde3fcdbe3c546c535fa8fcd6ad465b7f0e09", "74edde3fcdbe3c546c535fa8fcd6ad465b7f0e09")</f>
        <v>0</v>
      </c>
      <c r="D17803" t="s">
        <v>12423</v>
      </c>
      <c r="E17803" t="s">
        <v>14042</v>
      </c>
      <c r="F17803" t="s">
        <v>16749</v>
      </c>
      <c r="G17803" t="s">
        <v>19378</v>
      </c>
      <c r="H17803" t="s">
        <v>25558</v>
      </c>
      <c r="I17803" t="s">
        <v>1357</v>
      </c>
      <c r="J17803" t="s">
        <v>1357</v>
      </c>
      <c r="K17803" t="s">
        <v>1357</v>
      </c>
      <c r="L17803" t="s">
        <v>1357</v>
      </c>
      <c r="M17803" t="s">
        <v>1361</v>
      </c>
    </row>
    <row r="17804" spans="1:13">
      <c r="A17804" t="s">
        <v>11527</v>
      </c>
      <c r="B17804">
        <f>HYPERLINK("https://android.googlesource.com/platform/cts/+/91ddf93d28ecb35f13ec398df0a7b2e9c830e1a0", "91ddf93d28ecb35f13ec398df0a7b2e9c830e1a0")</f>
        <v>0</v>
      </c>
      <c r="C17804">
        <f>HYPERLINK("https://android.googlesource.com/platform/cts/+/a0e4e03bd5e99e1718196b977f9dd87712ff851d", "a0e4e03bd5e99e1718196b977f9dd87712ff851d")</f>
        <v>0</v>
      </c>
      <c r="D17804" t="s">
        <v>12306</v>
      </c>
      <c r="E17804" t="s">
        <v>14043</v>
      </c>
      <c r="F17804" t="s">
        <v>17028</v>
      </c>
      <c r="G17804" t="s">
        <v>19628</v>
      </c>
      <c r="H17804" t="s">
        <v>25559</v>
      </c>
      <c r="I17804" t="s">
        <v>1358</v>
      </c>
      <c r="J17804" t="s">
        <v>1358</v>
      </c>
      <c r="K17804" t="s">
        <v>1358</v>
      </c>
      <c r="L17804" t="s">
        <v>1358</v>
      </c>
    </row>
    <row r="17805" spans="1:13">
      <c r="A17805" t="s">
        <v>11528</v>
      </c>
      <c r="B17805">
        <f>HYPERLINK("https://android.googlesource.com/platform/cts/+/e0bf90376a384064fcd28706caa018436b30c538", "e0bf90376a384064fcd28706caa018436b30c538")</f>
        <v>0</v>
      </c>
      <c r="C17805">
        <f>HYPERLINK("https://android.googlesource.com/platform/cts/+/a0e4e03bd5e99e1718196b977f9dd87712ff851d", "a0e4e03bd5e99e1718196b977f9dd87712ff851d")</f>
        <v>0</v>
      </c>
      <c r="D17805" t="s">
        <v>12306</v>
      </c>
      <c r="E17805" t="s">
        <v>14044</v>
      </c>
      <c r="F17805" t="s">
        <v>17021</v>
      </c>
      <c r="G17805" t="s">
        <v>19622</v>
      </c>
      <c r="H17805" t="s">
        <v>25560</v>
      </c>
      <c r="I17805" t="s">
        <v>1357</v>
      </c>
      <c r="J17805" t="s">
        <v>1357</v>
      </c>
      <c r="K17805" t="s">
        <v>1357</v>
      </c>
      <c r="L17805" t="s">
        <v>1357</v>
      </c>
    </row>
    <row r="17806" spans="1:13">
      <c r="A17806" t="s">
        <v>11529</v>
      </c>
      <c r="B17806">
        <f>HYPERLINK("https://android.googlesource.com/platform/cts/+/a879dd563b4a32f4e4ff43529e90b73ecd4f7cda", "a879dd563b4a32f4e4ff43529e90b73ecd4f7cda")</f>
        <v>0</v>
      </c>
      <c r="C17806">
        <f>HYPERLINK("https://android.googlesource.com/platform/cts/+/29bb7918fcecdd907e5433d4083ca0872f516fda", "29bb7918fcecdd907e5433d4083ca0872f516fda")</f>
        <v>0</v>
      </c>
      <c r="D17806" t="s">
        <v>12330</v>
      </c>
      <c r="E17806" t="s">
        <v>14045</v>
      </c>
      <c r="F17806" t="s">
        <v>16403</v>
      </c>
      <c r="G17806" t="s">
        <v>19069</v>
      </c>
      <c r="H17806" t="s">
        <v>23619</v>
      </c>
      <c r="I17806" t="s">
        <v>1357</v>
      </c>
      <c r="J17806" t="s">
        <v>1357</v>
      </c>
      <c r="K17806" t="s">
        <v>1357</v>
      </c>
      <c r="L17806" t="s">
        <v>1357</v>
      </c>
    </row>
    <row r="17807" spans="1:13">
      <c r="A17807" t="s">
        <v>11530</v>
      </c>
      <c r="B17807">
        <f>HYPERLINK("https://android.googlesource.com/platform/cts/+/8b26dd68dc520f33a37fe5c3536a205429bd27b4", "8b26dd68dc520f33a37fe5c3536a205429bd27b4")</f>
        <v>0</v>
      </c>
      <c r="C17807">
        <f>HYPERLINK("https://android.googlesource.com/platform/cts/+/b3aa4ab390608f6bb99679fb4e71cff7ed66ff64", "b3aa4ab390608f6bb99679fb4e71cff7ed66ff64")</f>
        <v>0</v>
      </c>
      <c r="D17807" t="s">
        <v>12330</v>
      </c>
      <c r="E17807" t="s">
        <v>14046</v>
      </c>
      <c r="F17807" t="s">
        <v>16403</v>
      </c>
      <c r="G17807" t="s">
        <v>19069</v>
      </c>
      <c r="H17807" t="s">
        <v>23619</v>
      </c>
      <c r="I17807" t="s">
        <v>1357</v>
      </c>
      <c r="J17807" t="s">
        <v>1357</v>
      </c>
      <c r="K17807" t="s">
        <v>1357</v>
      </c>
      <c r="L17807" t="s">
        <v>1357</v>
      </c>
      <c r="M17807" t="s">
        <v>9957</v>
      </c>
    </row>
    <row r="17808" spans="1:13">
      <c r="A17808" t="s">
        <v>11531</v>
      </c>
      <c r="B17808">
        <f>HYPERLINK("https://android.googlesource.com/platform/cts/+/e48216b9c1fb548510656d4b986460c51b428432", "e48216b9c1fb548510656d4b986460c51b428432")</f>
        <v>0</v>
      </c>
      <c r="C17808">
        <f>HYPERLINK("https://android.googlesource.com/platform/cts/+/e06c631f3b4161cb873d351a7a72f69fc0133ddb", "e06c631f3b4161cb873d351a7a72f69fc0133ddb")</f>
        <v>0</v>
      </c>
      <c r="D17808" t="s">
        <v>12408</v>
      </c>
      <c r="E17808" t="s">
        <v>14047</v>
      </c>
      <c r="F17808" t="s">
        <v>16065</v>
      </c>
      <c r="G17808" t="s">
        <v>18756</v>
      </c>
      <c r="H17808" t="s">
        <v>25561</v>
      </c>
      <c r="I17808" t="s">
        <v>1357</v>
      </c>
      <c r="J17808" t="s">
        <v>1357</v>
      </c>
      <c r="K17808" t="s">
        <v>1357</v>
      </c>
      <c r="L17808" t="s">
        <v>1357</v>
      </c>
    </row>
    <row r="17809" spans="1:14">
      <c r="A17809" t="s">
        <v>11532</v>
      </c>
      <c r="B17809">
        <f>HYPERLINK("https://android.googlesource.com/platform/cts/+/eb22a257e1d5a15f511ac23e4602c2cb520e1c36", "eb22a257e1d5a15f511ac23e4602c2cb520e1c36")</f>
        <v>0</v>
      </c>
      <c r="C17809">
        <f>HYPERLINK("https://android.googlesource.com/platform/cts/+/9dd0ca338dd497b2e41d07444240d5ac03c20a79", "9dd0ca338dd497b2e41d07444240d5ac03c20a79")</f>
        <v>0</v>
      </c>
      <c r="D17809" t="s">
        <v>12423</v>
      </c>
      <c r="E17809" t="s">
        <v>14048</v>
      </c>
      <c r="F17809" t="s">
        <v>16749</v>
      </c>
      <c r="G17809" t="s">
        <v>19378</v>
      </c>
      <c r="H17809" t="s">
        <v>25558</v>
      </c>
      <c r="I17809" t="s">
        <v>1357</v>
      </c>
      <c r="J17809" t="s">
        <v>1357</v>
      </c>
      <c r="K17809" t="s">
        <v>1357</v>
      </c>
      <c r="L17809" t="s">
        <v>1357</v>
      </c>
      <c r="M17809" t="s">
        <v>9957</v>
      </c>
    </row>
    <row r="17810" spans="1:14">
      <c r="A17810" t="s">
        <v>11533</v>
      </c>
      <c r="B17810">
        <f>HYPERLINK("https://android.googlesource.com/platform/cts/+/aadbba4b67ce30d55456ff7aa3ab10529da33361", "aadbba4b67ce30d55456ff7aa3ab10529da33361")</f>
        <v>0</v>
      </c>
      <c r="C17810">
        <f>HYPERLINK("https://android.googlesource.com/platform/cts/+/ac2b1c2ad2998f524e90a4bb5d29f162bb05eda2", "ac2b1c2ad2998f524e90a4bb5d29f162bb05eda2")</f>
        <v>0</v>
      </c>
      <c r="D17810" t="s">
        <v>12144</v>
      </c>
      <c r="E17810" t="s">
        <v>14049</v>
      </c>
      <c r="F17810" t="s">
        <v>17013</v>
      </c>
      <c r="G17810" t="s">
        <v>19614</v>
      </c>
      <c r="H17810" t="s">
        <v>25513</v>
      </c>
      <c r="I17810" t="s">
        <v>1357</v>
      </c>
      <c r="J17810" t="s">
        <v>1357</v>
      </c>
      <c r="K17810" t="s">
        <v>1357</v>
      </c>
      <c r="L17810" t="s">
        <v>1357</v>
      </c>
    </row>
    <row r="17811" spans="1:14">
      <c r="A17811" t="s">
        <v>11534</v>
      </c>
      <c r="B17811">
        <f>HYPERLINK("https://android.googlesource.com/platform/cts/+/a82a746f44649b689f330c035bebfb13dab3d967", "a82a746f44649b689f330c035bebfb13dab3d967")</f>
        <v>0</v>
      </c>
      <c r="C17811">
        <f>HYPERLINK("https://android.googlesource.com/platform/cts/+/c9239353f9b933687cdfcfafc7b61d45cf94593e", "c9239353f9b933687cdfcfafc7b61d45cf94593e")</f>
        <v>0</v>
      </c>
      <c r="D17811" t="s">
        <v>12108</v>
      </c>
      <c r="E17811" t="s">
        <v>14050</v>
      </c>
      <c r="F17811" t="s">
        <v>17029</v>
      </c>
      <c r="G17811" t="s">
        <v>19629</v>
      </c>
      <c r="H17811" t="s">
        <v>25562</v>
      </c>
      <c r="I17811" t="s">
        <v>1357</v>
      </c>
      <c r="J17811" t="s">
        <v>1357</v>
      </c>
      <c r="K17811" t="s">
        <v>1357</v>
      </c>
      <c r="L17811" t="s">
        <v>1357</v>
      </c>
    </row>
    <row r="17812" spans="1:14">
      <c r="A17812" t="s">
        <v>11535</v>
      </c>
      <c r="B17812">
        <f>HYPERLINK("https://android.googlesource.com/platform/cts/+/31ead20c54016e43b1368756f4cd7ff96818cb2c", "31ead20c54016e43b1368756f4cd7ff96818cb2c")</f>
        <v>0</v>
      </c>
      <c r="C17812">
        <f>HYPERLINK("https://android.googlesource.com/platform/cts/+/c8bfbf423dd30d19097b84a18138194cf0e1c283", "c8bfbf423dd30d19097b84a18138194cf0e1c283")</f>
        <v>0</v>
      </c>
      <c r="D17812" t="s">
        <v>12424</v>
      </c>
      <c r="E17812" t="s">
        <v>14051</v>
      </c>
      <c r="F17812" t="s">
        <v>17030</v>
      </c>
      <c r="G17812" t="s">
        <v>19630</v>
      </c>
      <c r="H17812" t="s">
        <v>25563</v>
      </c>
      <c r="I17812" t="s">
        <v>1357</v>
      </c>
      <c r="J17812" t="s">
        <v>1357</v>
      </c>
      <c r="K17812" t="s">
        <v>1357</v>
      </c>
      <c r="L17812" t="s">
        <v>1357</v>
      </c>
    </row>
    <row r="17813" spans="1:14">
      <c r="H17813" t="s">
        <v>25564</v>
      </c>
      <c r="I17813" t="s">
        <v>1357</v>
      </c>
      <c r="J17813" t="s">
        <v>1357</v>
      </c>
      <c r="K17813" t="s">
        <v>1357</v>
      </c>
      <c r="L17813" t="s">
        <v>1357</v>
      </c>
      <c r="M17813" t="s">
        <v>1361</v>
      </c>
    </row>
    <row r="17814" spans="1:14">
      <c r="H17814" t="s">
        <v>25565</v>
      </c>
      <c r="I17814" t="s">
        <v>1357</v>
      </c>
      <c r="J17814" t="s">
        <v>1357</v>
      </c>
      <c r="K17814" t="s">
        <v>1357</v>
      </c>
      <c r="L17814" t="s">
        <v>1357</v>
      </c>
    </row>
    <row r="17815" spans="1:14">
      <c r="H17815" t="s">
        <v>25566</v>
      </c>
      <c r="I17815" t="s">
        <v>1358</v>
      </c>
      <c r="J17815" t="s">
        <v>1358</v>
      </c>
      <c r="K17815" t="s">
        <v>1358</v>
      </c>
      <c r="L17815" t="s">
        <v>1358</v>
      </c>
    </row>
    <row r="17816" spans="1:14">
      <c r="F17816" t="s">
        <v>17031</v>
      </c>
      <c r="G17816" t="s">
        <v>19631</v>
      </c>
      <c r="H17816" t="s">
        <v>25567</v>
      </c>
      <c r="I17816" t="s">
        <v>1358</v>
      </c>
      <c r="J17816" t="s">
        <v>1358</v>
      </c>
      <c r="K17816" t="s">
        <v>1358</v>
      </c>
      <c r="L17816" t="s">
        <v>1358</v>
      </c>
    </row>
    <row r="17817" spans="1:14">
      <c r="H17817" t="s">
        <v>25568</v>
      </c>
      <c r="I17817" t="s">
        <v>1358</v>
      </c>
      <c r="J17817" t="s">
        <v>1358</v>
      </c>
      <c r="K17817" t="s">
        <v>1358</v>
      </c>
      <c r="L17817" t="s">
        <v>1358</v>
      </c>
    </row>
    <row r="17818" spans="1:14">
      <c r="A17818" t="s">
        <v>11536</v>
      </c>
      <c r="B17818">
        <f>HYPERLINK("https://android.googlesource.com/platform/cts/+/288545c3f3a2a7ceca79374740d5c5601f4c8396", "288545c3f3a2a7ceca79374740d5c5601f4c8396")</f>
        <v>0</v>
      </c>
      <c r="C17818">
        <f>HYPERLINK("https://android.googlesource.com/platform/cts/+/14e5e01228ba74d66c3f213435597bd7b92a87de", "14e5e01228ba74d66c3f213435597bd7b92a87de")</f>
        <v>0</v>
      </c>
      <c r="D17818" t="s">
        <v>12302</v>
      </c>
      <c r="E17818" t="s">
        <v>14052</v>
      </c>
      <c r="F17818" t="s">
        <v>17020</v>
      </c>
      <c r="G17818" t="s">
        <v>19621</v>
      </c>
      <c r="H17818" t="s">
        <v>23282</v>
      </c>
      <c r="I17818" t="s">
        <v>1358</v>
      </c>
      <c r="J17818" t="s">
        <v>1358</v>
      </c>
      <c r="K17818" t="s">
        <v>1358</v>
      </c>
      <c r="L17818" t="s">
        <v>1358</v>
      </c>
      <c r="M17818" t="s">
        <v>9957</v>
      </c>
    </row>
    <row r="17819" spans="1:14">
      <c r="A17819" t="s">
        <v>11537</v>
      </c>
      <c r="B17819">
        <f>HYPERLINK("https://android.googlesource.com/platform/cts/+/ea4c9fa12bdf09e16698c66c3b9f15b470baa67f", "ea4c9fa12bdf09e16698c66c3b9f15b470baa67f")</f>
        <v>0</v>
      </c>
      <c r="C17819">
        <f>HYPERLINK("https://android.googlesource.com/platform/cts/+/d472e426a7e093dae9172360c4e2ed0a5540fd5a", "d472e426a7e093dae9172360c4e2ed0a5540fd5a")</f>
        <v>0</v>
      </c>
      <c r="D17819" t="s">
        <v>12191</v>
      </c>
      <c r="E17819" t="s">
        <v>14053</v>
      </c>
      <c r="F17819" t="s">
        <v>17032</v>
      </c>
      <c r="G17819" t="s">
        <v>19632</v>
      </c>
      <c r="H17819" t="s">
        <v>25569</v>
      </c>
      <c r="I17819" t="s">
        <v>1357</v>
      </c>
      <c r="J17819" t="s">
        <v>1357</v>
      </c>
      <c r="K17819" t="s">
        <v>1357</v>
      </c>
      <c r="L17819" t="s">
        <v>1357</v>
      </c>
    </row>
    <row r="17820" spans="1:14">
      <c r="A17820" t="s">
        <v>11538</v>
      </c>
      <c r="B17820">
        <f>HYPERLINK("https://android.googlesource.com/platform/cts/+/c4c7f6b73dbe72f4dd02c65419e1f2dcdc890036", "c4c7f6b73dbe72f4dd02c65419e1f2dcdc890036")</f>
        <v>0</v>
      </c>
      <c r="C17820">
        <f>HYPERLINK("https://android.googlesource.com/platform/cts/+/42875b120b2568e530a53193d1ba42601ddb725f", "42875b120b2568e530a53193d1ba42601ddb725f")</f>
        <v>0</v>
      </c>
      <c r="D17820" t="s">
        <v>12425</v>
      </c>
      <c r="E17820" t="s">
        <v>14054</v>
      </c>
      <c r="F17820" t="s">
        <v>17033</v>
      </c>
      <c r="G17820" t="s">
        <v>19633</v>
      </c>
      <c r="H17820" t="s">
        <v>25570</v>
      </c>
      <c r="I17820" t="s">
        <v>1358</v>
      </c>
      <c r="J17820" t="s">
        <v>1358</v>
      </c>
      <c r="K17820" t="s">
        <v>1358</v>
      </c>
      <c r="L17820" t="s">
        <v>1358</v>
      </c>
      <c r="N17820" t="s">
        <v>27481</v>
      </c>
    </row>
    <row r="17821" spans="1:14">
      <c r="A17821" t="s">
        <v>11539</v>
      </c>
      <c r="B17821">
        <f>HYPERLINK("https://android.googlesource.com/platform/cts/+/3358e6bbc28405c65a2778649f2391d9d356bed3", "3358e6bbc28405c65a2778649f2391d9d356bed3")</f>
        <v>0</v>
      </c>
      <c r="C17821">
        <f>HYPERLINK("https://android.googlesource.com/platform/cts/+/23e5bd0b7a8fcc173f56b56daa96007b4be983f8", "23e5bd0b7a8fcc173f56b56daa96007b4be983f8")</f>
        <v>0</v>
      </c>
      <c r="D17821" t="s">
        <v>12122</v>
      </c>
      <c r="E17821" t="s">
        <v>14055</v>
      </c>
      <c r="F17821" t="s">
        <v>17027</v>
      </c>
      <c r="G17821" t="s">
        <v>18871</v>
      </c>
      <c r="H17821" t="s">
        <v>25550</v>
      </c>
      <c r="I17821" t="s">
        <v>1357</v>
      </c>
      <c r="J17821" t="s">
        <v>1357</v>
      </c>
      <c r="K17821" t="s">
        <v>1357</v>
      </c>
      <c r="L17821" t="s">
        <v>1357</v>
      </c>
    </row>
    <row r="17822" spans="1:14">
      <c r="A17822" t="s">
        <v>11540</v>
      </c>
      <c r="B17822">
        <f>HYPERLINK("https://android.googlesource.com/platform/cts/+/712a07b43c1624643b2a482083d5cce0e09aaabc", "712a07b43c1624643b2a482083d5cce0e09aaabc")</f>
        <v>0</v>
      </c>
      <c r="C17822">
        <f>HYPERLINK("https://android.googlesource.com/platform/cts/+/38180946f4c2dfa7f126901524d62b0ce3942b2e", "38180946f4c2dfa7f126901524d62b0ce3942b2e")</f>
        <v>0</v>
      </c>
      <c r="D17822" t="s">
        <v>12426</v>
      </c>
      <c r="E17822" t="s">
        <v>14056</v>
      </c>
      <c r="F17822" t="s">
        <v>16838</v>
      </c>
      <c r="G17822" t="s">
        <v>19007</v>
      </c>
      <c r="H17822" t="s">
        <v>25571</v>
      </c>
      <c r="I17822" t="s">
        <v>1357</v>
      </c>
      <c r="J17822" t="s">
        <v>1357</v>
      </c>
      <c r="K17822" t="s">
        <v>1357</v>
      </c>
      <c r="L17822" t="s">
        <v>1357</v>
      </c>
    </row>
    <row r="17823" spans="1:14">
      <c r="A17823" t="s">
        <v>11541</v>
      </c>
      <c r="B17823">
        <f>HYPERLINK("https://android.googlesource.com/platform/cts/+/37e3cd4567aa37f49188f4675b8fb7513cea7f96", "37e3cd4567aa37f49188f4675b8fb7513cea7f96")</f>
        <v>0</v>
      </c>
      <c r="C17823">
        <f>HYPERLINK("https://android.googlesource.com/platform/cts/+/712a07b43c1624643b2a482083d5cce0e09aaabc", "712a07b43c1624643b2a482083d5cce0e09aaabc")</f>
        <v>0</v>
      </c>
      <c r="D17823" t="s">
        <v>12427</v>
      </c>
      <c r="E17823" t="s">
        <v>14057</v>
      </c>
      <c r="F17823" t="s">
        <v>17034</v>
      </c>
      <c r="G17823" t="s">
        <v>19634</v>
      </c>
      <c r="H17823" t="s">
        <v>25572</v>
      </c>
      <c r="I17823" t="s">
        <v>1357</v>
      </c>
      <c r="J17823" t="s">
        <v>1357</v>
      </c>
      <c r="K17823" t="s">
        <v>1357</v>
      </c>
      <c r="L17823" t="s">
        <v>1357</v>
      </c>
    </row>
    <row r="17824" spans="1:14">
      <c r="A17824" t="s">
        <v>11542</v>
      </c>
      <c r="B17824">
        <f>HYPERLINK("https://android.googlesource.com/platform/cts/+/267489424548261ebf34db7c9938b07c1166c9cb", "267489424548261ebf34db7c9938b07c1166c9cb")</f>
        <v>0</v>
      </c>
      <c r="C17824">
        <f>HYPERLINK("https://android.googlesource.com/platform/cts/+/93d6d7aac39a81ab4b4e727cee3c8ea0a808c9b8", "93d6d7aac39a81ab4b4e727cee3c8ea0a808c9b8")</f>
        <v>0</v>
      </c>
      <c r="D17824" t="s">
        <v>12426</v>
      </c>
      <c r="E17824" t="s">
        <v>14058</v>
      </c>
      <c r="F17824" t="s">
        <v>16838</v>
      </c>
      <c r="G17824" t="s">
        <v>19007</v>
      </c>
      <c r="H17824" t="s">
        <v>25571</v>
      </c>
      <c r="I17824" t="s">
        <v>1357</v>
      </c>
      <c r="J17824" t="s">
        <v>1357</v>
      </c>
      <c r="K17824" t="s">
        <v>1357</v>
      </c>
      <c r="L17824" t="s">
        <v>1357</v>
      </c>
      <c r="M17824" t="s">
        <v>9957</v>
      </c>
    </row>
    <row r="17825" spans="1:13">
      <c r="A17825" t="s">
        <v>11543</v>
      </c>
      <c r="B17825">
        <f>HYPERLINK("https://android.googlesource.com/platform/cts/+/415954122309dd40be8c34a954a2e900161ffe5d", "415954122309dd40be8c34a954a2e900161ffe5d")</f>
        <v>0</v>
      </c>
      <c r="C17825">
        <f>HYPERLINK("https://android.googlesource.com/platform/cts/+/f26efb19e329f3adc61b0cd567ce6263349cbf83", "f26efb19e329f3adc61b0cd567ce6263349cbf83")</f>
        <v>0</v>
      </c>
      <c r="D17825" t="s">
        <v>12428</v>
      </c>
      <c r="E17825" t="s">
        <v>14059</v>
      </c>
      <c r="F17825" t="s">
        <v>16838</v>
      </c>
      <c r="G17825" t="s">
        <v>19007</v>
      </c>
      <c r="H17825" t="s">
        <v>25573</v>
      </c>
      <c r="I17825" t="s">
        <v>1357</v>
      </c>
      <c r="J17825" t="s">
        <v>1357</v>
      </c>
      <c r="K17825" t="s">
        <v>1357</v>
      </c>
      <c r="L17825" t="s">
        <v>1357</v>
      </c>
    </row>
    <row r="17826" spans="1:13">
      <c r="A17826" t="s">
        <v>11544</v>
      </c>
      <c r="B17826">
        <f>HYPERLINK("https://android.googlesource.com/platform/cts/+/90e66e3ab0c4644aa2fcc602417272181dc2ef58", "90e66e3ab0c4644aa2fcc602417272181dc2ef58")</f>
        <v>0</v>
      </c>
      <c r="C17826">
        <f>HYPERLINK("https://android.googlesource.com/platform/cts/+/7aab706761435cf5393bbb56649491d8c35ae02d", "7aab706761435cf5393bbb56649491d8c35ae02d")</f>
        <v>0</v>
      </c>
      <c r="D17826" t="s">
        <v>12397</v>
      </c>
      <c r="E17826" t="s">
        <v>14060</v>
      </c>
      <c r="F17826" t="s">
        <v>16657</v>
      </c>
      <c r="G17826" t="s">
        <v>19291</v>
      </c>
      <c r="H17826" t="s">
        <v>25342</v>
      </c>
      <c r="I17826" t="s">
        <v>1357</v>
      </c>
      <c r="J17826" t="s">
        <v>1357</v>
      </c>
      <c r="K17826" t="s">
        <v>1357</v>
      </c>
      <c r="L17826" t="s">
        <v>1357</v>
      </c>
    </row>
    <row r="17827" spans="1:13">
      <c r="A17827" t="s">
        <v>11545</v>
      </c>
      <c r="B17827">
        <f>HYPERLINK("https://android.googlesource.com/platform/cts/+/0a20f28651319eb6bdc435bc0f28a3b07dac10bf", "0a20f28651319eb6bdc435bc0f28a3b07dac10bf")</f>
        <v>0</v>
      </c>
      <c r="C17827">
        <f>HYPERLINK("https://android.googlesource.com/platform/cts/+/5305d570f88227be93318747650edeb506b63f92", "5305d570f88227be93318747650edeb506b63f92")</f>
        <v>0</v>
      </c>
      <c r="D17827" t="s">
        <v>12426</v>
      </c>
      <c r="E17827" t="s">
        <v>14061</v>
      </c>
      <c r="F17827" t="s">
        <v>16838</v>
      </c>
      <c r="G17827" t="s">
        <v>19007</v>
      </c>
      <c r="H17827" t="s">
        <v>25571</v>
      </c>
      <c r="I17827" t="s">
        <v>1357</v>
      </c>
      <c r="J17827" t="s">
        <v>1357</v>
      </c>
      <c r="K17827" t="s">
        <v>1357</v>
      </c>
      <c r="L17827" t="s">
        <v>1357</v>
      </c>
      <c r="M17827" t="s">
        <v>9957</v>
      </c>
    </row>
    <row r="17828" spans="1:13">
      <c r="A17828" t="s">
        <v>11546</v>
      </c>
      <c r="B17828">
        <f>HYPERLINK("https://android.googlesource.com/platform/cts/+/36e91eaa361500c4a7f367cd6394d948be5b29ed", "36e91eaa361500c4a7f367cd6394d948be5b29ed")</f>
        <v>0</v>
      </c>
      <c r="C17828">
        <f>HYPERLINK("https://android.googlesource.com/platform/cts/+/22cead5e78ccf47a2b28c68b7486e16c53630c25", "22cead5e78ccf47a2b28c68b7486e16c53630c25")</f>
        <v>0</v>
      </c>
      <c r="D17828" t="s">
        <v>12397</v>
      </c>
      <c r="E17828" t="s">
        <v>14062</v>
      </c>
      <c r="F17828" t="s">
        <v>16657</v>
      </c>
      <c r="G17828" t="s">
        <v>19291</v>
      </c>
      <c r="H17828" t="s">
        <v>25342</v>
      </c>
      <c r="I17828" t="s">
        <v>1357</v>
      </c>
      <c r="J17828" t="s">
        <v>1357</v>
      </c>
      <c r="K17828" t="s">
        <v>1357</v>
      </c>
      <c r="L17828" t="s">
        <v>1357</v>
      </c>
      <c r="M17828" t="s">
        <v>9957</v>
      </c>
    </row>
    <row r="17829" spans="1:13">
      <c r="A17829" t="s">
        <v>11547</v>
      </c>
      <c r="B17829">
        <f>HYPERLINK("https://android.googlesource.com/platform/cts/+/cb0ce7b15bf0597c67a121fe498a7b9187c7b93a", "cb0ce7b15bf0597c67a121fe498a7b9187c7b93a")</f>
        <v>0</v>
      </c>
      <c r="C17829">
        <f>HYPERLINK("https://android.googlesource.com/platform/cts/+/01923684d0485d039317f879049a910106d53aec", "01923684d0485d039317f879049a910106d53aec")</f>
        <v>0</v>
      </c>
      <c r="D17829" t="s">
        <v>12335</v>
      </c>
      <c r="E17829" t="s">
        <v>14063</v>
      </c>
      <c r="F17829" t="s">
        <v>17035</v>
      </c>
      <c r="G17829" t="s">
        <v>19635</v>
      </c>
      <c r="H17829" t="s">
        <v>25574</v>
      </c>
      <c r="I17829" t="s">
        <v>1357</v>
      </c>
      <c r="J17829" t="s">
        <v>1357</v>
      </c>
      <c r="K17829" t="s">
        <v>1357</v>
      </c>
      <c r="L17829" t="s">
        <v>1357</v>
      </c>
    </row>
    <row r="17830" spans="1:13">
      <c r="H17830" t="s">
        <v>25575</v>
      </c>
      <c r="I17830" t="s">
        <v>1357</v>
      </c>
      <c r="J17830" t="s">
        <v>1357</v>
      </c>
      <c r="K17830" t="s">
        <v>1357</v>
      </c>
      <c r="L17830" t="s">
        <v>1357</v>
      </c>
    </row>
    <row r="17831" spans="1:13">
      <c r="A17831" t="s">
        <v>11548</v>
      </c>
      <c r="B17831">
        <f>HYPERLINK("https://android.googlesource.com/platform/cts/+/1b14ed81f9d84f93ce74f9104dfd05c1bb14fc8c", "1b14ed81f9d84f93ce74f9104dfd05c1bb14fc8c")</f>
        <v>0</v>
      </c>
      <c r="C17831">
        <f>HYPERLINK("https://android.googlesource.com/platform/cts/+/6d40d66e7ef35c61117eac9a67756448c38e322a", "6d40d66e7ef35c61117eac9a67756448c38e322a")</f>
        <v>0</v>
      </c>
      <c r="D17831" t="s">
        <v>12366</v>
      </c>
      <c r="E17831" t="s">
        <v>14064</v>
      </c>
      <c r="F17831" t="s">
        <v>17036</v>
      </c>
      <c r="G17831" t="s">
        <v>19636</v>
      </c>
      <c r="H17831" t="s">
        <v>25576</v>
      </c>
      <c r="I17831" t="s">
        <v>1357</v>
      </c>
      <c r="J17831" t="s">
        <v>1357</v>
      </c>
      <c r="K17831" t="s">
        <v>1357</v>
      </c>
      <c r="L17831" t="s">
        <v>1357</v>
      </c>
    </row>
    <row r="17832" spans="1:13">
      <c r="H17832" t="s">
        <v>25577</v>
      </c>
      <c r="I17832" t="s">
        <v>1357</v>
      </c>
      <c r="J17832" t="s">
        <v>1357</v>
      </c>
      <c r="K17832" t="s">
        <v>1357</v>
      </c>
      <c r="L17832" t="s">
        <v>1357</v>
      </c>
    </row>
    <row r="17833" spans="1:13">
      <c r="F17833" t="s">
        <v>16224</v>
      </c>
      <c r="G17833" t="s">
        <v>18900</v>
      </c>
      <c r="H17833" t="s">
        <v>25578</v>
      </c>
      <c r="I17833" t="s">
        <v>1357</v>
      </c>
      <c r="J17833" t="s">
        <v>1357</v>
      </c>
      <c r="K17833" t="s">
        <v>1357</v>
      </c>
      <c r="L17833" t="s">
        <v>1357</v>
      </c>
    </row>
    <row r="17834" spans="1:13">
      <c r="A17834" t="s">
        <v>11549</v>
      </c>
      <c r="B17834">
        <f>HYPERLINK("https://android.googlesource.com/platform/cts/+/322fb2ba83471676eadc04fef924a89e207c8454", "322fb2ba83471676eadc04fef924a89e207c8454")</f>
        <v>0</v>
      </c>
      <c r="C17834">
        <f>HYPERLINK("https://android.googlesource.com/platform/cts/+/8ab92a6edc6d558a0a01b9ffd2d45c958ea93bcc", "8ab92a6edc6d558a0a01b9ffd2d45c958ea93bcc")</f>
        <v>0</v>
      </c>
      <c r="D17834" t="s">
        <v>12424</v>
      </c>
      <c r="E17834" t="s">
        <v>14065</v>
      </c>
      <c r="F17834" t="s">
        <v>17037</v>
      </c>
      <c r="G17834" t="s">
        <v>19637</v>
      </c>
      <c r="H17834" t="s">
        <v>25579</v>
      </c>
      <c r="I17834" t="s">
        <v>1358</v>
      </c>
      <c r="J17834" t="s">
        <v>1358</v>
      </c>
      <c r="K17834" t="s">
        <v>1358</v>
      </c>
      <c r="L17834" t="s">
        <v>1358</v>
      </c>
    </row>
    <row r="17835" spans="1:13">
      <c r="A17835" t="s">
        <v>11550</v>
      </c>
      <c r="B17835">
        <f>HYPERLINK("https://android.googlesource.com/platform/cts/+/b78ef2fcd435330b5ed4ae8eea5be2b14c775534", "b78ef2fcd435330b5ed4ae8eea5be2b14c775534")</f>
        <v>0</v>
      </c>
      <c r="C17835">
        <f>HYPERLINK("https://android.googlesource.com/platform/cts/+/0e4961682815c4e940a6bdb243f948c3ff77ce12", "0e4961682815c4e940a6bdb243f948c3ff77ce12")</f>
        <v>0</v>
      </c>
      <c r="D17835" t="s">
        <v>12333</v>
      </c>
      <c r="E17835" t="s">
        <v>14066</v>
      </c>
      <c r="F17835" t="s">
        <v>17038</v>
      </c>
      <c r="G17835" t="s">
        <v>19638</v>
      </c>
      <c r="H17835" t="s">
        <v>25580</v>
      </c>
      <c r="I17835" t="s">
        <v>1357</v>
      </c>
      <c r="J17835" t="s">
        <v>1357</v>
      </c>
      <c r="K17835" t="s">
        <v>1357</v>
      </c>
      <c r="L17835" t="s">
        <v>1357</v>
      </c>
    </row>
    <row r="17836" spans="1:13">
      <c r="H17836" t="s">
        <v>25581</v>
      </c>
      <c r="I17836" t="s">
        <v>1357</v>
      </c>
      <c r="J17836" t="s">
        <v>1357</v>
      </c>
      <c r="K17836" t="s">
        <v>1357</v>
      </c>
      <c r="L17836" t="s">
        <v>1357</v>
      </c>
    </row>
    <row r="17837" spans="1:13">
      <c r="F17837" t="s">
        <v>17039</v>
      </c>
      <c r="G17837" t="s">
        <v>19639</v>
      </c>
      <c r="H17837" t="s">
        <v>25582</v>
      </c>
      <c r="I17837" t="s">
        <v>1357</v>
      </c>
      <c r="J17837" t="s">
        <v>1357</v>
      </c>
      <c r="K17837" t="s">
        <v>1357</v>
      </c>
      <c r="L17837" t="s">
        <v>1357</v>
      </c>
    </row>
    <row r="17838" spans="1:13">
      <c r="H17838" t="s">
        <v>25583</v>
      </c>
      <c r="I17838" t="s">
        <v>1357</v>
      </c>
      <c r="J17838" t="s">
        <v>1357</v>
      </c>
      <c r="K17838" t="s">
        <v>1357</v>
      </c>
      <c r="L17838" t="s">
        <v>1357</v>
      </c>
    </row>
    <row r="17839" spans="1:13">
      <c r="H17839" t="s">
        <v>25584</v>
      </c>
      <c r="I17839" t="s">
        <v>1357</v>
      </c>
      <c r="J17839" t="s">
        <v>1357</v>
      </c>
      <c r="K17839" t="s">
        <v>1357</v>
      </c>
      <c r="L17839" t="s">
        <v>1357</v>
      </c>
    </row>
    <row r="17840" spans="1:13">
      <c r="H17840" t="s">
        <v>25585</v>
      </c>
      <c r="I17840" t="s">
        <v>1357</v>
      </c>
      <c r="J17840" t="s">
        <v>1357</v>
      </c>
      <c r="K17840" t="s">
        <v>1357</v>
      </c>
      <c r="L17840" t="s">
        <v>1357</v>
      </c>
    </row>
    <row r="17841" spans="1:12">
      <c r="H17841" t="s">
        <v>25586</v>
      </c>
      <c r="I17841" t="s">
        <v>1357</v>
      </c>
      <c r="J17841" t="s">
        <v>1357</v>
      </c>
      <c r="K17841" t="s">
        <v>1357</v>
      </c>
      <c r="L17841" t="s">
        <v>1357</v>
      </c>
    </row>
    <row r="17842" spans="1:12">
      <c r="H17842" t="s">
        <v>25587</v>
      </c>
      <c r="I17842" t="s">
        <v>1357</v>
      </c>
      <c r="J17842" t="s">
        <v>1357</v>
      </c>
      <c r="K17842" t="s">
        <v>1357</v>
      </c>
      <c r="L17842" t="s">
        <v>1357</v>
      </c>
    </row>
    <row r="17843" spans="1:12">
      <c r="H17843" t="s">
        <v>25588</v>
      </c>
      <c r="I17843" t="s">
        <v>1357</v>
      </c>
      <c r="J17843" t="s">
        <v>1357</v>
      </c>
      <c r="K17843" t="s">
        <v>1357</v>
      </c>
      <c r="L17843" t="s">
        <v>1357</v>
      </c>
    </row>
    <row r="17844" spans="1:12">
      <c r="F17844" t="s">
        <v>16099</v>
      </c>
      <c r="G17844" t="s">
        <v>18788</v>
      </c>
      <c r="H17844" t="s">
        <v>25589</v>
      </c>
      <c r="I17844" t="s">
        <v>1357</v>
      </c>
      <c r="J17844" t="s">
        <v>1357</v>
      </c>
      <c r="K17844" t="s">
        <v>1357</v>
      </c>
      <c r="L17844" t="s">
        <v>1357</v>
      </c>
    </row>
    <row r="17845" spans="1:12">
      <c r="F17845" t="s">
        <v>17040</v>
      </c>
      <c r="G17845" t="s">
        <v>19414</v>
      </c>
      <c r="H17845" t="s">
        <v>25590</v>
      </c>
      <c r="I17845" t="s">
        <v>1357</v>
      </c>
      <c r="J17845" t="s">
        <v>1357</v>
      </c>
      <c r="K17845" t="s">
        <v>1357</v>
      </c>
      <c r="L17845" t="s">
        <v>1357</v>
      </c>
    </row>
    <row r="17846" spans="1:12">
      <c r="H17846" t="s">
        <v>25591</v>
      </c>
      <c r="I17846" t="s">
        <v>1357</v>
      </c>
      <c r="J17846" t="s">
        <v>1357</v>
      </c>
      <c r="K17846" t="s">
        <v>1357</v>
      </c>
      <c r="L17846" t="s">
        <v>1357</v>
      </c>
    </row>
    <row r="17847" spans="1:12">
      <c r="H17847" t="s">
        <v>25586</v>
      </c>
      <c r="I17847" t="s">
        <v>1357</v>
      </c>
      <c r="J17847" t="s">
        <v>1357</v>
      </c>
      <c r="K17847" t="s">
        <v>1357</v>
      </c>
      <c r="L17847" t="s">
        <v>1357</v>
      </c>
    </row>
    <row r="17848" spans="1:12">
      <c r="H17848" t="s">
        <v>25592</v>
      </c>
      <c r="I17848" t="s">
        <v>1357</v>
      </c>
      <c r="J17848" t="s">
        <v>1357</v>
      </c>
      <c r="K17848" t="s">
        <v>1357</v>
      </c>
      <c r="L17848" t="s">
        <v>1357</v>
      </c>
    </row>
    <row r="17849" spans="1:12">
      <c r="H17849" t="s">
        <v>25593</v>
      </c>
      <c r="I17849" t="s">
        <v>1357</v>
      </c>
      <c r="J17849" t="s">
        <v>1357</v>
      </c>
      <c r="K17849" t="s">
        <v>1357</v>
      </c>
      <c r="L17849" t="s">
        <v>1357</v>
      </c>
    </row>
    <row r="17850" spans="1:12">
      <c r="H17850" t="s">
        <v>25594</v>
      </c>
      <c r="I17850" t="s">
        <v>1357</v>
      </c>
      <c r="J17850" t="s">
        <v>1357</v>
      </c>
      <c r="K17850" t="s">
        <v>1357</v>
      </c>
      <c r="L17850" t="s">
        <v>1357</v>
      </c>
    </row>
    <row r="17851" spans="1:12">
      <c r="A17851" t="s">
        <v>11551</v>
      </c>
      <c r="B17851">
        <f>HYPERLINK("https://android.googlesource.com/platform/cts/+/ae719f7fa897c98b65e737352a095f24bc03689b", "ae719f7fa897c98b65e737352a095f24bc03689b")</f>
        <v>0</v>
      </c>
      <c r="C17851">
        <f>HYPERLINK("https://android.googlesource.com/platform/cts/+/88e78f0599b97b0a76f48b785ddca4306e8aeb32", "88e78f0599b97b0a76f48b785ddca4306e8aeb32")</f>
        <v>0</v>
      </c>
      <c r="D17851" t="s">
        <v>12402</v>
      </c>
      <c r="E17851" t="s">
        <v>14067</v>
      </c>
      <c r="F17851" t="s">
        <v>17041</v>
      </c>
      <c r="G17851" t="s">
        <v>19640</v>
      </c>
      <c r="H17851" t="s">
        <v>25595</v>
      </c>
      <c r="I17851" t="s">
        <v>1357</v>
      </c>
      <c r="J17851" t="s">
        <v>1357</v>
      </c>
      <c r="K17851" t="s">
        <v>1357</v>
      </c>
      <c r="L17851" t="s">
        <v>1357</v>
      </c>
    </row>
    <row r="17852" spans="1:12">
      <c r="H17852" t="s">
        <v>25596</v>
      </c>
      <c r="I17852" t="s">
        <v>1357</v>
      </c>
      <c r="J17852" t="s">
        <v>1357</v>
      </c>
      <c r="K17852" t="s">
        <v>1357</v>
      </c>
      <c r="L17852" t="s">
        <v>1357</v>
      </c>
    </row>
    <row r="17853" spans="1:12">
      <c r="H17853" t="s">
        <v>25597</v>
      </c>
      <c r="I17853" t="s">
        <v>1357</v>
      </c>
      <c r="J17853" t="s">
        <v>1357</v>
      </c>
      <c r="K17853" t="s">
        <v>1357</v>
      </c>
      <c r="L17853" t="s">
        <v>1357</v>
      </c>
    </row>
    <row r="17854" spans="1:12">
      <c r="H17854" t="s">
        <v>25598</v>
      </c>
      <c r="I17854" t="s">
        <v>1357</v>
      </c>
      <c r="J17854" t="s">
        <v>1357</v>
      </c>
      <c r="K17854" t="s">
        <v>1357</v>
      </c>
      <c r="L17854" t="s">
        <v>1357</v>
      </c>
    </row>
    <row r="17855" spans="1:12">
      <c r="A17855" t="s">
        <v>11552</v>
      </c>
      <c r="B17855">
        <f>HYPERLINK("https://android.googlesource.com/platform/cts/+/2c97403b1cd8eab88a1040eb56b8c189ef26a18a", "2c97403b1cd8eab88a1040eb56b8c189ef26a18a")</f>
        <v>0</v>
      </c>
      <c r="C17855">
        <f>HYPERLINK("https://android.googlesource.com/platform/cts/+/3b004a9d735080674a304031cf798ce3250c6156", "3b004a9d735080674a304031cf798ce3250c6156")</f>
        <v>0</v>
      </c>
      <c r="D17855" t="s">
        <v>12306</v>
      </c>
      <c r="E17855" t="s">
        <v>14068</v>
      </c>
      <c r="F17855" t="s">
        <v>17019</v>
      </c>
      <c r="G17855" t="s">
        <v>19620</v>
      </c>
      <c r="H17855" t="s">
        <v>25599</v>
      </c>
      <c r="I17855" t="s">
        <v>1357</v>
      </c>
      <c r="J17855" t="s">
        <v>1357</v>
      </c>
      <c r="K17855" t="s">
        <v>1357</v>
      </c>
      <c r="L17855" t="s">
        <v>1357</v>
      </c>
    </row>
    <row r="17856" spans="1:12">
      <c r="A17856" t="s">
        <v>11553</v>
      </c>
      <c r="B17856">
        <f>HYPERLINK("https://android.googlesource.com/platform/cts/+/d92c21cc0f1d1ae1bbbd044f8aef1a8c0806e33d", "d92c21cc0f1d1ae1bbbd044f8aef1a8c0806e33d")</f>
        <v>0</v>
      </c>
      <c r="C17856">
        <f>HYPERLINK("https://android.googlesource.com/platform/cts/+/86d80e05f06f363b569c2c8944ca81df3d02f1ff", "86d80e05f06f363b569c2c8944ca81df3d02f1ff")</f>
        <v>0</v>
      </c>
      <c r="D17856" t="s">
        <v>12429</v>
      </c>
      <c r="E17856" t="s">
        <v>14069</v>
      </c>
      <c r="F17856" t="s">
        <v>17042</v>
      </c>
      <c r="G17856" t="s">
        <v>19641</v>
      </c>
      <c r="H17856" t="s">
        <v>25600</v>
      </c>
      <c r="I17856" t="s">
        <v>1357</v>
      </c>
      <c r="J17856" t="s">
        <v>1357</v>
      </c>
      <c r="K17856" t="s">
        <v>1357</v>
      </c>
      <c r="L17856" t="s">
        <v>1357</v>
      </c>
    </row>
    <row r="17857" spans="1:13">
      <c r="H17857" t="s">
        <v>25601</v>
      </c>
      <c r="I17857" t="s">
        <v>1357</v>
      </c>
      <c r="J17857" t="s">
        <v>1357</v>
      </c>
      <c r="K17857" t="s">
        <v>1357</v>
      </c>
      <c r="L17857" t="s">
        <v>1357</v>
      </c>
    </row>
    <row r="17858" spans="1:13">
      <c r="A17858" t="s">
        <v>11554</v>
      </c>
      <c r="B17858">
        <f>HYPERLINK("https://android.googlesource.com/platform/cts/+/1a3e61bcd3a7dff712c5bdcbc411a94f5fc99aa3", "1a3e61bcd3a7dff712c5bdcbc411a94f5fc99aa3")</f>
        <v>0</v>
      </c>
      <c r="C17858">
        <f>HYPERLINK("https://android.googlesource.com/platform/cts/+/8ab92a6edc6d558a0a01b9ffd2d45c958ea93bcc", "8ab92a6edc6d558a0a01b9ffd2d45c958ea93bcc")</f>
        <v>0</v>
      </c>
      <c r="D17858" t="s">
        <v>12429</v>
      </c>
      <c r="E17858" t="s">
        <v>14070</v>
      </c>
      <c r="F17858" t="s">
        <v>17042</v>
      </c>
      <c r="G17858" t="s">
        <v>19641</v>
      </c>
      <c r="H17858" t="s">
        <v>25600</v>
      </c>
      <c r="I17858" t="s">
        <v>1357</v>
      </c>
      <c r="J17858" t="s">
        <v>1357</v>
      </c>
      <c r="K17858" t="s">
        <v>1357</v>
      </c>
      <c r="L17858" t="s">
        <v>1357</v>
      </c>
    </row>
    <row r="17859" spans="1:13">
      <c r="H17859" t="s">
        <v>25601</v>
      </c>
      <c r="I17859" t="s">
        <v>1357</v>
      </c>
      <c r="J17859" t="s">
        <v>1357</v>
      </c>
      <c r="K17859" t="s">
        <v>1357</v>
      </c>
      <c r="L17859" t="s">
        <v>1357</v>
      </c>
      <c r="M17859" t="s">
        <v>9957</v>
      </c>
    </row>
    <row r="17860" spans="1:13">
      <c r="A17860" t="s">
        <v>11555</v>
      </c>
      <c r="B17860">
        <f>HYPERLINK("https://android.googlesource.com/platform/cts/+/137f731e1c8f3f558e70476792600cbbae3aeebe", "137f731e1c8f3f558e70476792600cbbae3aeebe")</f>
        <v>0</v>
      </c>
      <c r="C17860">
        <f>HYPERLINK("https://android.googlesource.com/platform/cts/+/e2a95e10930ff9d0365cf70a1e952545da7fef8e", "e2a95e10930ff9d0365cf70a1e952545da7fef8e")</f>
        <v>0</v>
      </c>
      <c r="D17860" t="s">
        <v>12339</v>
      </c>
      <c r="E17860" t="s">
        <v>14071</v>
      </c>
      <c r="F17860" t="s">
        <v>17043</v>
      </c>
      <c r="G17860" t="s">
        <v>19642</v>
      </c>
      <c r="H17860" t="s">
        <v>25602</v>
      </c>
      <c r="I17860" t="s">
        <v>1357</v>
      </c>
      <c r="J17860" t="s">
        <v>1357</v>
      </c>
      <c r="K17860" t="s">
        <v>1357</v>
      </c>
      <c r="L17860" t="s">
        <v>1357</v>
      </c>
    </row>
    <row r="17861" spans="1:13">
      <c r="A17861" t="s">
        <v>11556</v>
      </c>
      <c r="B17861">
        <f>HYPERLINK("https://android.googlesource.com/platform/cts/+/9990f53dda0866488947e35845a089d97ca2ffc1", "9990f53dda0866488947e35845a089d97ca2ffc1")</f>
        <v>0</v>
      </c>
      <c r="C17861">
        <f>HYPERLINK("https://android.googlesource.com/platform/cts/+/bfb199d5bec35cdee8dc05efccbcc3739ab15672", "bfb199d5bec35cdee8dc05efccbcc3739ab15672")</f>
        <v>0</v>
      </c>
      <c r="D17861" t="s">
        <v>12430</v>
      </c>
      <c r="E17861" t="s">
        <v>14072</v>
      </c>
      <c r="F17861" t="s">
        <v>17044</v>
      </c>
      <c r="G17861" t="s">
        <v>19643</v>
      </c>
      <c r="H17861" t="s">
        <v>25603</v>
      </c>
      <c r="I17861" t="s">
        <v>1357</v>
      </c>
      <c r="J17861" t="s">
        <v>1357</v>
      </c>
      <c r="K17861" t="s">
        <v>1357</v>
      </c>
      <c r="L17861" t="s">
        <v>1357</v>
      </c>
    </row>
    <row r="17862" spans="1:13">
      <c r="H17862" t="s">
        <v>25604</v>
      </c>
      <c r="I17862" t="s">
        <v>1357</v>
      </c>
      <c r="J17862" t="s">
        <v>1357</v>
      </c>
      <c r="K17862" t="s">
        <v>1357</v>
      </c>
      <c r="L17862" t="s">
        <v>1357</v>
      </c>
    </row>
    <row r="17863" spans="1:13">
      <c r="F17863" t="s">
        <v>17045</v>
      </c>
      <c r="G17863" t="s">
        <v>19644</v>
      </c>
      <c r="H17863" t="s">
        <v>25605</v>
      </c>
      <c r="I17863" t="s">
        <v>1357</v>
      </c>
      <c r="J17863" t="s">
        <v>1357</v>
      </c>
      <c r="K17863" t="s">
        <v>1357</v>
      </c>
      <c r="L17863" t="s">
        <v>1357</v>
      </c>
    </row>
    <row r="17864" spans="1:13">
      <c r="H17864" t="s">
        <v>25606</v>
      </c>
      <c r="I17864" t="s">
        <v>1357</v>
      </c>
      <c r="J17864" t="s">
        <v>1357</v>
      </c>
      <c r="K17864" t="s">
        <v>1357</v>
      </c>
      <c r="L17864" t="s">
        <v>1357</v>
      </c>
    </row>
    <row r="17865" spans="1:13">
      <c r="H17865" t="s">
        <v>25607</v>
      </c>
      <c r="I17865" t="s">
        <v>1357</v>
      </c>
      <c r="J17865" t="s">
        <v>1357</v>
      </c>
      <c r="K17865" t="s">
        <v>1357</v>
      </c>
      <c r="L17865" t="s">
        <v>1357</v>
      </c>
    </row>
    <row r="17866" spans="1:13">
      <c r="H17866" t="s">
        <v>25608</v>
      </c>
      <c r="I17866" t="s">
        <v>1357</v>
      </c>
      <c r="J17866" t="s">
        <v>1357</v>
      </c>
      <c r="K17866" t="s">
        <v>1357</v>
      </c>
      <c r="L17866" t="s">
        <v>1357</v>
      </c>
    </row>
    <row r="17867" spans="1:13">
      <c r="H17867" t="s">
        <v>25609</v>
      </c>
      <c r="I17867" t="s">
        <v>1357</v>
      </c>
      <c r="J17867" t="s">
        <v>1357</v>
      </c>
      <c r="K17867" t="s">
        <v>1357</v>
      </c>
      <c r="L17867" t="s">
        <v>1357</v>
      </c>
    </row>
    <row r="17868" spans="1:13">
      <c r="H17868" t="s">
        <v>25610</v>
      </c>
      <c r="I17868" t="s">
        <v>1357</v>
      </c>
      <c r="J17868" t="s">
        <v>1357</v>
      </c>
      <c r="K17868" t="s">
        <v>1357</v>
      </c>
      <c r="L17868" t="s">
        <v>1357</v>
      </c>
    </row>
    <row r="17869" spans="1:13">
      <c r="H17869" t="s">
        <v>25611</v>
      </c>
      <c r="I17869" t="s">
        <v>1357</v>
      </c>
      <c r="J17869" t="s">
        <v>1357</v>
      </c>
      <c r="K17869" t="s">
        <v>1357</v>
      </c>
      <c r="L17869" t="s">
        <v>1357</v>
      </c>
    </row>
    <row r="17870" spans="1:13">
      <c r="A17870" t="s">
        <v>11557</v>
      </c>
      <c r="B17870">
        <f>HYPERLINK("https://android.googlesource.com/platform/cts/+/5a2fbe8705fcdb0569dc3d15906bf3b81d6de1d3", "5a2fbe8705fcdb0569dc3d15906bf3b81d6de1d3")</f>
        <v>0</v>
      </c>
      <c r="C17870">
        <f>HYPERLINK("https://android.googlesource.com/platform/cts/+/4992324ec6dab3ac0d7ccf7ba1f5b9e3061b401c", "4992324ec6dab3ac0d7ccf7ba1f5b9e3061b401c")</f>
        <v>0</v>
      </c>
      <c r="D17870" t="s">
        <v>12360</v>
      </c>
      <c r="E17870" t="s">
        <v>14073</v>
      </c>
      <c r="F17870" t="s">
        <v>16745</v>
      </c>
      <c r="G17870" t="s">
        <v>19374</v>
      </c>
      <c r="H17870" t="s">
        <v>25612</v>
      </c>
      <c r="I17870" t="s">
        <v>1357</v>
      </c>
      <c r="J17870" t="s">
        <v>1357</v>
      </c>
      <c r="K17870" t="s">
        <v>1357</v>
      </c>
      <c r="L17870" t="s">
        <v>1357</v>
      </c>
    </row>
    <row r="17871" spans="1:13">
      <c r="A17871" t="s">
        <v>11558</v>
      </c>
      <c r="B17871">
        <f>HYPERLINK("https://android.googlesource.com/platform/cts/+/7e91f8d25623f323fee891b4adf3b57a391812e0", "7e91f8d25623f323fee891b4adf3b57a391812e0")</f>
        <v>0</v>
      </c>
      <c r="C17871">
        <f>HYPERLINK("https://android.googlesource.com/platform/cts/+/497968cea349588be5226ba17b9b7bc7ce63ada8", "497968cea349588be5226ba17b9b7bc7ce63ada8")</f>
        <v>0</v>
      </c>
      <c r="D17871" t="s">
        <v>12290</v>
      </c>
      <c r="E17871" t="s">
        <v>14074</v>
      </c>
      <c r="F17871" t="s">
        <v>16656</v>
      </c>
      <c r="G17871" t="s">
        <v>19290</v>
      </c>
      <c r="H17871" t="s">
        <v>25613</v>
      </c>
      <c r="I17871" t="s">
        <v>1357</v>
      </c>
      <c r="J17871" t="s">
        <v>1357</v>
      </c>
      <c r="K17871" t="s">
        <v>1357</v>
      </c>
      <c r="L17871" t="s">
        <v>1357</v>
      </c>
    </row>
    <row r="17872" spans="1:13">
      <c r="A17872" t="s">
        <v>11559</v>
      </c>
      <c r="B17872">
        <f>HYPERLINK("https://android.googlesource.com/platform/cts/+/155b85d90141ed12f4077f804253ffaf79e95f45", "155b85d90141ed12f4077f804253ffaf79e95f45")</f>
        <v>0</v>
      </c>
      <c r="C17872">
        <f>HYPERLINK("https://android.googlesource.com/platform/cts/+/5dd49e680a905b6fb0acd556f892c47f08f3c34e", "5dd49e680a905b6fb0acd556f892c47f08f3c34e")</f>
        <v>0</v>
      </c>
      <c r="D17872" t="s">
        <v>12397</v>
      </c>
      <c r="E17872" t="s">
        <v>14075</v>
      </c>
      <c r="F17872" t="s">
        <v>17046</v>
      </c>
      <c r="G17872" t="s">
        <v>19645</v>
      </c>
      <c r="H17872" t="s">
        <v>25614</v>
      </c>
      <c r="I17872" t="s">
        <v>1357</v>
      </c>
      <c r="J17872" t="s">
        <v>1357</v>
      </c>
      <c r="K17872" t="s">
        <v>1357</v>
      </c>
      <c r="L17872" t="s">
        <v>1357</v>
      </c>
    </row>
    <row r="17873" spans="1:14">
      <c r="H17873" t="s">
        <v>25615</v>
      </c>
      <c r="I17873" t="s">
        <v>1357</v>
      </c>
      <c r="J17873" t="s">
        <v>1357</v>
      </c>
      <c r="K17873" t="s">
        <v>1357</v>
      </c>
      <c r="L17873" t="s">
        <v>1357</v>
      </c>
    </row>
    <row r="17874" spans="1:14">
      <c r="H17874" t="s">
        <v>25616</v>
      </c>
      <c r="I17874" t="s">
        <v>1357</v>
      </c>
      <c r="J17874" t="s">
        <v>1357</v>
      </c>
      <c r="K17874" t="s">
        <v>1357</v>
      </c>
      <c r="L17874" t="s">
        <v>1357</v>
      </c>
    </row>
    <row r="17875" spans="1:14">
      <c r="H17875" t="s">
        <v>25617</v>
      </c>
      <c r="I17875" t="s">
        <v>1357</v>
      </c>
      <c r="J17875" t="s">
        <v>1357</v>
      </c>
      <c r="K17875" t="s">
        <v>1357</v>
      </c>
      <c r="L17875" t="s">
        <v>1357</v>
      </c>
    </row>
    <row r="17876" spans="1:14">
      <c r="H17876" t="s">
        <v>25618</v>
      </c>
      <c r="I17876" t="s">
        <v>1357</v>
      </c>
      <c r="J17876" t="s">
        <v>1357</v>
      </c>
      <c r="K17876" t="s">
        <v>1357</v>
      </c>
      <c r="L17876" t="s">
        <v>1357</v>
      </c>
    </row>
    <row r="17877" spans="1:14">
      <c r="H17877" t="s">
        <v>25619</v>
      </c>
      <c r="I17877" t="s">
        <v>1357</v>
      </c>
      <c r="J17877" t="s">
        <v>1357</v>
      </c>
      <c r="K17877" t="s">
        <v>1357</v>
      </c>
      <c r="L17877" t="s">
        <v>1357</v>
      </c>
    </row>
    <row r="17878" spans="1:14">
      <c r="A17878" t="s">
        <v>11560</v>
      </c>
      <c r="B17878">
        <f>HYPERLINK("https://android.googlesource.com/platform/cts/+/8e5161b9cebb8a05d3347d5faffce9a3cdbc2182", "8e5161b9cebb8a05d3347d5faffce9a3cdbc2182")</f>
        <v>0</v>
      </c>
      <c r="C17878">
        <f>HYPERLINK("https://android.googlesource.com/platform/cts/+/6873977dc86bf3e4877f57f33d3ee441c8542da6", "6873977dc86bf3e4877f57f33d3ee441c8542da6")</f>
        <v>0</v>
      </c>
      <c r="D17878" t="s">
        <v>12108</v>
      </c>
      <c r="E17878" t="s">
        <v>14076</v>
      </c>
      <c r="F17878" t="s">
        <v>17047</v>
      </c>
      <c r="G17878" t="s">
        <v>19646</v>
      </c>
      <c r="H17878" t="s">
        <v>25620</v>
      </c>
      <c r="I17878" t="s">
        <v>1358</v>
      </c>
      <c r="J17878" t="s">
        <v>1358</v>
      </c>
      <c r="K17878" t="s">
        <v>1358</v>
      </c>
      <c r="L17878" t="s">
        <v>1358</v>
      </c>
      <c r="N17878" t="s">
        <v>27535</v>
      </c>
    </row>
    <row r="17879" spans="1:14">
      <c r="A17879" t="s">
        <v>11561</v>
      </c>
      <c r="B17879">
        <f>HYPERLINK("https://android.googlesource.com/platform/cts/+/2485744cbe9766b086e1e620f12d69193821be1c", "2485744cbe9766b086e1e620f12d69193821be1c")</f>
        <v>0</v>
      </c>
      <c r="C17879">
        <f>HYPERLINK("https://android.googlesource.com/platform/cts/+/fe165bccc3dd7b623909137d9e796631fb2363f2", "fe165bccc3dd7b623909137d9e796631fb2363f2")</f>
        <v>0</v>
      </c>
      <c r="D17879" t="s">
        <v>12367</v>
      </c>
      <c r="E17879" t="s">
        <v>14077</v>
      </c>
      <c r="F17879" t="s">
        <v>16409</v>
      </c>
      <c r="G17879" t="s">
        <v>19075</v>
      </c>
      <c r="H17879" t="s">
        <v>25621</v>
      </c>
      <c r="I17879" t="s">
        <v>1357</v>
      </c>
      <c r="J17879" t="s">
        <v>1357</v>
      </c>
      <c r="K17879" t="s">
        <v>1357</v>
      </c>
      <c r="L17879" t="s">
        <v>1357</v>
      </c>
    </row>
    <row r="17880" spans="1:14">
      <c r="A17880" t="s">
        <v>11562</v>
      </c>
      <c r="B17880">
        <f>HYPERLINK("https://android.googlesource.com/platform/cts/+/b7c673f8986186279106945a59599712121cc18b", "b7c673f8986186279106945a59599712121cc18b")</f>
        <v>0</v>
      </c>
      <c r="C17880">
        <f>HYPERLINK("https://android.googlesource.com/platform/cts/+/2204a8616b54ff8af9c56acb8286be5eed11b683", "2204a8616b54ff8af9c56acb8286be5eed11b683")</f>
        <v>0</v>
      </c>
      <c r="D17880" t="s">
        <v>12061</v>
      </c>
      <c r="E17880" t="s">
        <v>14078</v>
      </c>
      <c r="F17880" t="s">
        <v>17048</v>
      </c>
      <c r="G17880" t="s">
        <v>19647</v>
      </c>
      <c r="H17880" t="s">
        <v>25622</v>
      </c>
      <c r="I17880" t="s">
        <v>1358</v>
      </c>
      <c r="J17880" t="s">
        <v>1358</v>
      </c>
      <c r="K17880" t="s">
        <v>1358</v>
      </c>
      <c r="L17880" t="s">
        <v>1358</v>
      </c>
    </row>
    <row r="17881" spans="1:14">
      <c r="A17881" t="s">
        <v>11563</v>
      </c>
      <c r="B17881">
        <f>HYPERLINK("https://android.googlesource.com/platform/cts/+/36ad1c6050195a1f0d05117fcc439a96e1e070b1", "36ad1c6050195a1f0d05117fcc439a96e1e070b1")</f>
        <v>0</v>
      </c>
      <c r="C17881">
        <f>HYPERLINK("https://android.googlesource.com/platform/cts/+/849c933b77e09d0edd41b4a8988499f887d6f78a", "849c933b77e09d0edd41b4a8988499f887d6f78a")</f>
        <v>0</v>
      </c>
      <c r="D17881" t="s">
        <v>12402</v>
      </c>
      <c r="E17881" t="s">
        <v>14079</v>
      </c>
      <c r="F17881" t="s">
        <v>16365</v>
      </c>
      <c r="G17881" t="s">
        <v>19034</v>
      </c>
      <c r="H17881" t="s">
        <v>25623</v>
      </c>
      <c r="I17881" t="s">
        <v>1357</v>
      </c>
      <c r="J17881" t="s">
        <v>1357</v>
      </c>
      <c r="K17881" t="s">
        <v>1357</v>
      </c>
      <c r="L17881" t="s">
        <v>1357</v>
      </c>
    </row>
    <row r="17882" spans="1:14">
      <c r="A17882" t="s">
        <v>11564</v>
      </c>
      <c r="B17882">
        <f>HYPERLINK("https://android.googlesource.com/platform/cts/+/0247d320c26ae0befd0a618e66ee3e8ee1bae574", "0247d320c26ae0befd0a618e66ee3e8ee1bae574")</f>
        <v>0</v>
      </c>
      <c r="C17882">
        <f>HYPERLINK("https://android.googlesource.com/platform/cts/+/535f72d8c9ce450b62b0d484f88d91f299299930", "535f72d8c9ce450b62b0d484f88d91f299299930")</f>
        <v>0</v>
      </c>
      <c r="D17882" t="s">
        <v>12005</v>
      </c>
      <c r="E17882" t="s">
        <v>14080</v>
      </c>
      <c r="F17882" t="s">
        <v>16522</v>
      </c>
      <c r="G17882" t="s">
        <v>19180</v>
      </c>
      <c r="H17882" t="s">
        <v>25624</v>
      </c>
      <c r="I17882" t="s">
        <v>1357</v>
      </c>
      <c r="J17882" t="s">
        <v>1357</v>
      </c>
      <c r="K17882" t="s">
        <v>1357</v>
      </c>
      <c r="L17882" t="s">
        <v>1357</v>
      </c>
    </row>
    <row r="17883" spans="1:14">
      <c r="A17883" t="s">
        <v>11565</v>
      </c>
      <c r="B17883">
        <f>HYPERLINK("https://android.googlesource.com/platform/cts/+/f26a0679bde669bb47e718683c159e86b2c80da4", "f26a0679bde669bb47e718683c159e86b2c80da4")</f>
        <v>0</v>
      </c>
      <c r="C17883">
        <f>HYPERLINK("https://android.googlesource.com/platform/cts/+/32cd41a8844ffa6d033286f93fea192f9c9ecfb8", "32cd41a8844ffa6d033286f93fea192f9c9ecfb8")</f>
        <v>0</v>
      </c>
      <c r="D17883" t="s">
        <v>12199</v>
      </c>
      <c r="E17883" t="s">
        <v>14081</v>
      </c>
      <c r="F17883" t="s">
        <v>17049</v>
      </c>
      <c r="G17883" t="s">
        <v>19648</v>
      </c>
      <c r="H17883" t="s">
        <v>25625</v>
      </c>
      <c r="I17883" t="s">
        <v>1358</v>
      </c>
      <c r="J17883" t="s">
        <v>1358</v>
      </c>
      <c r="K17883" t="s">
        <v>1358</v>
      </c>
      <c r="L17883" t="s">
        <v>1358</v>
      </c>
    </row>
    <row r="17884" spans="1:14">
      <c r="A17884" t="s">
        <v>11566</v>
      </c>
      <c r="B17884">
        <f>HYPERLINK("https://android.googlesource.com/platform/cts/+/cb6630062f4e5a0c75257b7e9b7e10ca1f9eb60b", "cb6630062f4e5a0c75257b7e9b7e10ca1f9eb60b")</f>
        <v>0</v>
      </c>
      <c r="C17884">
        <f>HYPERLINK("https://android.googlesource.com/platform/cts/+/a5a7dbd10872f847887616679821ea469d7fdc09", "a5a7dbd10872f847887616679821ea469d7fdc09")</f>
        <v>0</v>
      </c>
      <c r="D17884" t="s">
        <v>12431</v>
      </c>
      <c r="E17884" t="s">
        <v>14082</v>
      </c>
      <c r="F17884" t="s">
        <v>16224</v>
      </c>
      <c r="G17884" t="s">
        <v>18900</v>
      </c>
      <c r="H17884" t="s">
        <v>25626</v>
      </c>
      <c r="I17884" t="s">
        <v>1357</v>
      </c>
      <c r="J17884" t="s">
        <v>1357</v>
      </c>
      <c r="K17884" t="s">
        <v>1357</v>
      </c>
      <c r="L17884" t="s">
        <v>1357</v>
      </c>
    </row>
    <row r="17885" spans="1:14">
      <c r="H17885" t="s">
        <v>25627</v>
      </c>
      <c r="I17885" t="s">
        <v>1357</v>
      </c>
      <c r="J17885" t="s">
        <v>1357</v>
      </c>
      <c r="K17885" t="s">
        <v>1357</v>
      </c>
      <c r="L17885" t="s">
        <v>1357</v>
      </c>
    </row>
    <row r="17886" spans="1:14">
      <c r="A17886" t="s">
        <v>11567</v>
      </c>
      <c r="B17886">
        <f>HYPERLINK("https://android.googlesource.com/platform/cts/+/d177ed874400e7a0782310e97929039a6507e986", "d177ed874400e7a0782310e97929039a6507e986")</f>
        <v>0</v>
      </c>
      <c r="C17886">
        <f>HYPERLINK("https://android.googlesource.com/platform/cts/+/1f9efadea92989fd9a65ca110fac23db440c8189", "1f9efadea92989fd9a65ca110fac23db440c8189")</f>
        <v>0</v>
      </c>
      <c r="D17886" t="s">
        <v>12045</v>
      </c>
      <c r="E17886" t="s">
        <v>14083</v>
      </c>
      <c r="F17886" t="s">
        <v>17050</v>
      </c>
      <c r="G17886" t="s">
        <v>19649</v>
      </c>
      <c r="H17886" t="s">
        <v>25628</v>
      </c>
      <c r="I17886" t="s">
        <v>1359</v>
      </c>
      <c r="J17886" t="s">
        <v>1358</v>
      </c>
      <c r="K17886" t="s">
        <v>1357</v>
      </c>
      <c r="L17886" t="s">
        <v>1358</v>
      </c>
      <c r="M17886" t="s">
        <v>1365</v>
      </c>
      <c r="N17886" t="s">
        <v>27536</v>
      </c>
    </row>
    <row r="17887" spans="1:14">
      <c r="A17887" t="s">
        <v>11568</v>
      </c>
      <c r="B17887">
        <f>HYPERLINK("https://android.googlesource.com/platform/cts/+/54d3e58cb122b5a08c137dc1c5dabfd6dadaa6af", "54d3e58cb122b5a08c137dc1c5dabfd6dadaa6af")</f>
        <v>0</v>
      </c>
      <c r="C17887">
        <f>HYPERLINK("https://android.googlesource.com/platform/cts/+/27232fa1daf12885d9edc772a5e62b921ad2711c", "27232fa1daf12885d9edc772a5e62b921ad2711c")</f>
        <v>0</v>
      </c>
      <c r="D17887" t="s">
        <v>12293</v>
      </c>
      <c r="E17887" t="s">
        <v>14084</v>
      </c>
      <c r="F17887" t="s">
        <v>17051</v>
      </c>
      <c r="G17887" t="s">
        <v>19650</v>
      </c>
      <c r="H17887" t="s">
        <v>25629</v>
      </c>
      <c r="I17887" t="s">
        <v>1357</v>
      </c>
      <c r="J17887" t="s">
        <v>1357</v>
      </c>
      <c r="K17887" t="s">
        <v>1357</v>
      </c>
      <c r="L17887" t="s">
        <v>1357</v>
      </c>
    </row>
    <row r="17888" spans="1:14">
      <c r="A17888" t="s">
        <v>11569</v>
      </c>
      <c r="B17888">
        <f>HYPERLINK("https://android.googlesource.com/platform/cts/+/ebbe9219bfc3950da9e69f31619c4013b855e0a3", "ebbe9219bfc3950da9e69f31619c4013b855e0a3")</f>
        <v>0</v>
      </c>
      <c r="C17888">
        <f>HYPERLINK("https://android.googlesource.com/platform/cts/+/1f9efadea92989fd9a65ca110fac23db440c8189", "1f9efadea92989fd9a65ca110fac23db440c8189")</f>
        <v>0</v>
      </c>
      <c r="D17888" t="s">
        <v>12331</v>
      </c>
      <c r="E17888" t="s">
        <v>14085</v>
      </c>
      <c r="F17888" t="s">
        <v>16890</v>
      </c>
      <c r="G17888" t="s">
        <v>19503</v>
      </c>
      <c r="H17888" t="s">
        <v>25630</v>
      </c>
      <c r="I17888" t="s">
        <v>1357</v>
      </c>
      <c r="J17888" t="s">
        <v>1357</v>
      </c>
      <c r="K17888" t="s">
        <v>1357</v>
      </c>
      <c r="L17888" t="s">
        <v>1357</v>
      </c>
      <c r="M17888" t="s">
        <v>1365</v>
      </c>
    </row>
    <row r="17889" spans="1:12">
      <c r="H17889" t="s">
        <v>25631</v>
      </c>
      <c r="I17889" t="s">
        <v>1357</v>
      </c>
      <c r="J17889" t="s">
        <v>1357</v>
      </c>
      <c r="K17889" t="s">
        <v>1357</v>
      </c>
      <c r="L17889" t="s">
        <v>1357</v>
      </c>
    </row>
    <row r="17890" spans="1:12">
      <c r="H17890" t="s">
        <v>25632</v>
      </c>
      <c r="I17890" t="s">
        <v>1359</v>
      </c>
      <c r="J17890" t="s">
        <v>1358</v>
      </c>
      <c r="K17890" t="s">
        <v>1357</v>
      </c>
      <c r="L17890" t="s">
        <v>1358</v>
      </c>
    </row>
    <row r="17891" spans="1:12">
      <c r="F17891" t="s">
        <v>17052</v>
      </c>
      <c r="G17891" t="s">
        <v>19651</v>
      </c>
      <c r="H17891" t="s">
        <v>25631</v>
      </c>
      <c r="I17891" t="s">
        <v>1357</v>
      </c>
      <c r="J17891" t="s">
        <v>1357</v>
      </c>
      <c r="K17891" t="s">
        <v>1357</v>
      </c>
      <c r="L17891" t="s">
        <v>1357</v>
      </c>
    </row>
    <row r="17892" spans="1:12">
      <c r="F17892" t="s">
        <v>16891</v>
      </c>
      <c r="G17892" t="s">
        <v>19504</v>
      </c>
      <c r="H17892" t="s">
        <v>25630</v>
      </c>
      <c r="I17892" t="s">
        <v>1357</v>
      </c>
      <c r="J17892" t="s">
        <v>1357</v>
      </c>
      <c r="K17892" t="s">
        <v>1357</v>
      </c>
      <c r="L17892" t="s">
        <v>1357</v>
      </c>
    </row>
    <row r="17893" spans="1:12">
      <c r="A17893" t="s">
        <v>11570</v>
      </c>
      <c r="B17893">
        <f>HYPERLINK("https://android.googlesource.com/platform/cts/+/7def2ffd576dce4279f15b2469cbca68d9c9024c", "7def2ffd576dce4279f15b2469cbca68d9c9024c")</f>
        <v>0</v>
      </c>
      <c r="C17893">
        <f>HYPERLINK("https://android.googlesource.com/platform/cts/+/96233a1e3ed73a8ebeae228d84a082be28a1841d", "96233a1e3ed73a8ebeae228d84a082be28a1841d")</f>
        <v>0</v>
      </c>
      <c r="D17893" t="s">
        <v>12340</v>
      </c>
      <c r="E17893" t="s">
        <v>14086</v>
      </c>
      <c r="F17893" t="s">
        <v>17053</v>
      </c>
      <c r="G17893" t="s">
        <v>19652</v>
      </c>
      <c r="H17893" t="s">
        <v>25633</v>
      </c>
      <c r="I17893" t="s">
        <v>1357</v>
      </c>
      <c r="J17893" t="s">
        <v>1357</v>
      </c>
      <c r="K17893" t="s">
        <v>1357</v>
      </c>
      <c r="L17893" t="s">
        <v>1357</v>
      </c>
    </row>
    <row r="17894" spans="1:12">
      <c r="A17894" t="s">
        <v>11571</v>
      </c>
      <c r="B17894">
        <f>HYPERLINK("https://android.googlesource.com/platform/cts/+/21cd4133ed9852c8682b15c4f580eccb9f106ffb", "21cd4133ed9852c8682b15c4f580eccb9f106ffb")</f>
        <v>0</v>
      </c>
      <c r="C17894">
        <f>HYPERLINK("https://android.googlesource.com/platform/cts/+/ecc80d464730c9406dfeae4e582b921bef7a32fa", "ecc80d464730c9406dfeae4e582b921bef7a32fa")</f>
        <v>0</v>
      </c>
      <c r="D17894" t="s">
        <v>12427</v>
      </c>
      <c r="E17894" t="s">
        <v>14087</v>
      </c>
      <c r="F17894" t="s">
        <v>17054</v>
      </c>
      <c r="G17894" t="s">
        <v>19653</v>
      </c>
      <c r="H17894" t="s">
        <v>25634</v>
      </c>
      <c r="I17894" t="s">
        <v>1357</v>
      </c>
      <c r="J17894" t="s">
        <v>1357</v>
      </c>
      <c r="K17894" t="s">
        <v>1357</v>
      </c>
      <c r="L17894" t="s">
        <v>1357</v>
      </c>
    </row>
    <row r="17895" spans="1:12">
      <c r="H17895" t="s">
        <v>25635</v>
      </c>
      <c r="I17895" t="s">
        <v>1357</v>
      </c>
      <c r="J17895" t="s">
        <v>1357</v>
      </c>
      <c r="K17895" t="s">
        <v>1357</v>
      </c>
      <c r="L17895" t="s">
        <v>1357</v>
      </c>
    </row>
    <row r="17896" spans="1:12">
      <c r="A17896" t="s">
        <v>11572</v>
      </c>
      <c r="B17896">
        <f>HYPERLINK("https://android.googlesource.com/platform/cts/+/a7edc3660e332275bf88b98308f4589a4a88d48a", "a7edc3660e332275bf88b98308f4589a4a88d48a")</f>
        <v>0</v>
      </c>
      <c r="C17896">
        <f>HYPERLINK("https://android.googlesource.com/platform/cts/+/70bd9fda65698f0faf7e48e2677b91b991c24f66", "70bd9fda65698f0faf7e48e2677b91b991c24f66")</f>
        <v>0</v>
      </c>
      <c r="D17896" t="s">
        <v>12432</v>
      </c>
      <c r="E17896" t="s">
        <v>14088</v>
      </c>
      <c r="F17896" t="s">
        <v>17055</v>
      </c>
      <c r="G17896" t="s">
        <v>19654</v>
      </c>
      <c r="H17896" t="s">
        <v>25636</v>
      </c>
      <c r="I17896" t="s">
        <v>1357</v>
      </c>
      <c r="J17896" t="s">
        <v>1357</v>
      </c>
      <c r="K17896" t="s">
        <v>1357</v>
      </c>
      <c r="L17896" t="s">
        <v>1357</v>
      </c>
    </row>
    <row r="17897" spans="1:12">
      <c r="A17897" t="s">
        <v>11573</v>
      </c>
      <c r="B17897">
        <f>HYPERLINK("https://android.googlesource.com/platform/cts/+/d6e85b08b71a74e4be91dabf61ace5bd59fd3c32", "d6e85b08b71a74e4be91dabf61ace5bd59fd3c32")</f>
        <v>0</v>
      </c>
      <c r="C17897">
        <f>HYPERLINK("https://android.googlesource.com/platform/cts/+/69d14fe9139bf919b895d05a27800fc0be24e611", "69d14fe9139bf919b895d05a27800fc0be24e611")</f>
        <v>0</v>
      </c>
      <c r="D17897" t="s">
        <v>12402</v>
      </c>
      <c r="E17897" t="s">
        <v>14089</v>
      </c>
      <c r="F17897" t="s">
        <v>16365</v>
      </c>
      <c r="G17897" t="s">
        <v>19034</v>
      </c>
      <c r="H17897" t="s">
        <v>25623</v>
      </c>
      <c r="I17897" t="s">
        <v>1357</v>
      </c>
      <c r="J17897" t="s">
        <v>1357</v>
      </c>
      <c r="K17897" t="s">
        <v>1357</v>
      </c>
      <c r="L17897" t="s">
        <v>1357</v>
      </c>
    </row>
    <row r="17898" spans="1:12">
      <c r="A17898" t="s">
        <v>11574</v>
      </c>
      <c r="B17898">
        <f>HYPERLINK("https://android.googlesource.com/platform/cts/+/c136e051a34aca1a0fc40b6867b38dc3c3167162", "c136e051a34aca1a0fc40b6867b38dc3c3167162")</f>
        <v>0</v>
      </c>
      <c r="C17898">
        <f>HYPERLINK("https://android.googlesource.com/platform/cts/+/05bfab14d70c8f8c575f25ac4269cb6d2d17a419", "05bfab14d70c8f8c575f25ac4269cb6d2d17a419")</f>
        <v>0</v>
      </c>
      <c r="D17898" t="s">
        <v>12339</v>
      </c>
      <c r="E17898" t="s">
        <v>14090</v>
      </c>
      <c r="F17898" t="s">
        <v>17043</v>
      </c>
      <c r="G17898" t="s">
        <v>19642</v>
      </c>
      <c r="H17898" t="s">
        <v>25637</v>
      </c>
      <c r="I17898" t="s">
        <v>1357</v>
      </c>
      <c r="J17898" t="s">
        <v>1357</v>
      </c>
      <c r="K17898" t="s">
        <v>1357</v>
      </c>
      <c r="L17898" t="s">
        <v>1357</v>
      </c>
    </row>
    <row r="17899" spans="1:12">
      <c r="F17899" t="s">
        <v>17056</v>
      </c>
      <c r="G17899" t="s">
        <v>19655</v>
      </c>
      <c r="H17899" t="s">
        <v>25638</v>
      </c>
      <c r="I17899" t="s">
        <v>1358</v>
      </c>
      <c r="J17899" t="s">
        <v>1358</v>
      </c>
      <c r="K17899" t="s">
        <v>1358</v>
      </c>
      <c r="L17899" t="s">
        <v>1358</v>
      </c>
    </row>
    <row r="17900" spans="1:12">
      <c r="A17900" t="s">
        <v>11575</v>
      </c>
      <c r="B17900">
        <f>HYPERLINK("https://android.googlesource.com/platform/cts/+/2d7798c3dfed44dffd01d651632f090801e3c946", "2d7798c3dfed44dffd01d651632f090801e3c946")</f>
        <v>0</v>
      </c>
      <c r="C17900">
        <f>HYPERLINK("https://android.googlesource.com/platform/cts/+/5d9b8c1988379b202a8f2677adadc0e8313024ab", "5d9b8c1988379b202a8f2677adadc0e8313024ab")</f>
        <v>0</v>
      </c>
      <c r="D17900" t="s">
        <v>12226</v>
      </c>
      <c r="E17900" t="s">
        <v>14091</v>
      </c>
      <c r="F17900" t="s">
        <v>17057</v>
      </c>
      <c r="G17900" t="s">
        <v>19656</v>
      </c>
      <c r="H17900" t="s">
        <v>25639</v>
      </c>
      <c r="I17900" t="s">
        <v>1358</v>
      </c>
      <c r="J17900" t="s">
        <v>1358</v>
      </c>
      <c r="K17900" t="s">
        <v>1358</v>
      </c>
      <c r="L17900" t="s">
        <v>1358</v>
      </c>
    </row>
    <row r="17901" spans="1:12">
      <c r="A17901" t="s">
        <v>11576</v>
      </c>
      <c r="B17901">
        <f>HYPERLINK("https://android.googlesource.com/platform/cts/+/8ecfdd5b6c59437fc53d7c0ed85fe4e9680770c8", "8ecfdd5b6c59437fc53d7c0ed85fe4e9680770c8")</f>
        <v>0</v>
      </c>
      <c r="C17901">
        <f>HYPERLINK("https://android.googlesource.com/platform/cts/+/bc3200842ce0ac40dc84ef8d8025615ed5c7be4c", "bc3200842ce0ac40dc84ef8d8025615ed5c7be4c")</f>
        <v>0</v>
      </c>
      <c r="D17901" t="s">
        <v>12088</v>
      </c>
      <c r="E17901" t="s">
        <v>14092</v>
      </c>
      <c r="F17901" t="s">
        <v>17058</v>
      </c>
      <c r="G17901" t="s">
        <v>19657</v>
      </c>
      <c r="H17901" t="s">
        <v>25640</v>
      </c>
      <c r="I17901" t="s">
        <v>1358</v>
      </c>
      <c r="J17901" t="s">
        <v>1358</v>
      </c>
      <c r="K17901" t="s">
        <v>1358</v>
      </c>
      <c r="L17901" t="s">
        <v>1358</v>
      </c>
    </row>
    <row r="17902" spans="1:12">
      <c r="A17902" t="s">
        <v>11577</v>
      </c>
      <c r="B17902">
        <f>HYPERLINK("https://android.googlesource.com/platform/cts/+/7b07039d26e44c573a43f4673cd5be3ada726cc6", "7b07039d26e44c573a43f4673cd5be3ada726cc6")</f>
        <v>0</v>
      </c>
      <c r="C17902">
        <f>HYPERLINK("https://android.googlesource.com/platform/cts/+/aacd54a217f18d73880232520a022cc0519ef817", "aacd54a217f18d73880232520a022cc0519ef817")</f>
        <v>0</v>
      </c>
      <c r="D17902" t="s">
        <v>12144</v>
      </c>
      <c r="E17902" t="s">
        <v>14093</v>
      </c>
      <c r="F17902" t="s">
        <v>17059</v>
      </c>
      <c r="G17902" t="s">
        <v>19658</v>
      </c>
      <c r="H17902" t="s">
        <v>25641</v>
      </c>
      <c r="I17902" t="s">
        <v>1357</v>
      </c>
      <c r="J17902" t="s">
        <v>1357</v>
      </c>
      <c r="K17902" t="s">
        <v>1357</v>
      </c>
      <c r="L17902" t="s">
        <v>1357</v>
      </c>
    </row>
    <row r="17903" spans="1:12">
      <c r="A17903" t="s">
        <v>11578</v>
      </c>
      <c r="B17903">
        <f>HYPERLINK("https://android.googlesource.com/platform/cts/+/4e216176fc6af68d1168302f5ee74ca3c326b5df", "4e216176fc6af68d1168302f5ee74ca3c326b5df")</f>
        <v>0</v>
      </c>
      <c r="C17903">
        <f>HYPERLINK("https://android.googlesource.com/platform/cts/+/536f8e489877eda4f4a00a7f868cdd0838eaaa33", "536f8e489877eda4f4a00a7f868cdd0838eaaa33")</f>
        <v>0</v>
      </c>
      <c r="D17903" t="s">
        <v>12433</v>
      </c>
      <c r="E17903" t="s">
        <v>14094</v>
      </c>
      <c r="F17903" t="s">
        <v>16838</v>
      </c>
      <c r="G17903" t="s">
        <v>19007</v>
      </c>
      <c r="H17903" t="s">
        <v>25642</v>
      </c>
      <c r="I17903" t="s">
        <v>1358</v>
      </c>
      <c r="J17903" t="s">
        <v>1358</v>
      </c>
      <c r="K17903" t="s">
        <v>1358</v>
      </c>
      <c r="L17903" t="s">
        <v>1358</v>
      </c>
    </row>
    <row r="17904" spans="1:12">
      <c r="A17904" t="s">
        <v>11579</v>
      </c>
      <c r="B17904">
        <f>HYPERLINK("https://android.googlesource.com/platform/cts/+/633e4f4068f650b1f079912fe5ac6f3547d98fdc", "633e4f4068f650b1f079912fe5ac6f3547d98fdc")</f>
        <v>0</v>
      </c>
      <c r="C17904">
        <f>HYPERLINK("https://android.googlesource.com/platform/cts/+/560f05d709c76c92850ddbdb410835601be778b1", "560f05d709c76c92850ddbdb410835601be778b1")</f>
        <v>0</v>
      </c>
      <c r="D17904" t="s">
        <v>12367</v>
      </c>
      <c r="E17904" t="s">
        <v>14095</v>
      </c>
      <c r="F17904" t="s">
        <v>17060</v>
      </c>
      <c r="G17904" t="s">
        <v>19659</v>
      </c>
      <c r="H17904" t="s">
        <v>25643</v>
      </c>
      <c r="I17904" t="s">
        <v>1357</v>
      </c>
      <c r="J17904" t="s">
        <v>1357</v>
      </c>
      <c r="K17904" t="s">
        <v>1357</v>
      </c>
      <c r="L17904" t="s">
        <v>1357</v>
      </c>
    </row>
    <row r="17905" spans="1:13">
      <c r="F17905" t="s">
        <v>17061</v>
      </c>
      <c r="G17905" t="s">
        <v>19660</v>
      </c>
      <c r="H17905" t="s">
        <v>25644</v>
      </c>
      <c r="I17905" t="s">
        <v>1357</v>
      </c>
      <c r="J17905" t="s">
        <v>1357</v>
      </c>
      <c r="K17905" t="s">
        <v>1357</v>
      </c>
      <c r="L17905" t="s">
        <v>1357</v>
      </c>
    </row>
    <row r="17906" spans="1:13">
      <c r="H17906" t="s">
        <v>25645</v>
      </c>
      <c r="I17906" t="s">
        <v>1357</v>
      </c>
      <c r="J17906" t="s">
        <v>1357</v>
      </c>
      <c r="K17906" t="s">
        <v>1357</v>
      </c>
      <c r="L17906" t="s">
        <v>1357</v>
      </c>
    </row>
    <row r="17907" spans="1:13">
      <c r="H17907" t="s">
        <v>25646</v>
      </c>
      <c r="I17907" t="s">
        <v>1357</v>
      </c>
      <c r="J17907" t="s">
        <v>1357</v>
      </c>
      <c r="K17907" t="s">
        <v>1357</v>
      </c>
      <c r="L17907" t="s">
        <v>1357</v>
      </c>
    </row>
    <row r="17908" spans="1:13">
      <c r="A17908" t="s">
        <v>11580</v>
      </c>
      <c r="B17908">
        <f>HYPERLINK("https://android.googlesource.com/platform/cts/+/1fa47a182037b1c5e4ad81f867853595d4e98eed", "1fa47a182037b1c5e4ad81f867853595d4e98eed")</f>
        <v>0</v>
      </c>
      <c r="C17908">
        <f>HYPERLINK("https://android.googlesource.com/platform/cts/+/294d9a77864d2b810fa0bd3499cef11c461baf0b", "294d9a77864d2b810fa0bd3499cef11c461baf0b")</f>
        <v>0</v>
      </c>
      <c r="D17908" t="s">
        <v>12122</v>
      </c>
      <c r="E17908" t="s">
        <v>14096</v>
      </c>
      <c r="F17908" t="s">
        <v>17062</v>
      </c>
      <c r="G17908" t="s">
        <v>19661</v>
      </c>
      <c r="H17908" t="s">
        <v>25647</v>
      </c>
      <c r="I17908" t="s">
        <v>1357</v>
      </c>
      <c r="J17908" t="s">
        <v>1357</v>
      </c>
      <c r="K17908" t="s">
        <v>1357</v>
      </c>
      <c r="L17908" t="s">
        <v>1357</v>
      </c>
    </row>
    <row r="17909" spans="1:13">
      <c r="A17909" t="s">
        <v>11581</v>
      </c>
      <c r="B17909">
        <f>HYPERLINK("https://android.googlesource.com/platform/cts/+/bec8a4d86fb8af213c49bb8d7a76ce0c5b0546d1", "bec8a4d86fb8af213c49bb8d7a76ce0c5b0546d1")</f>
        <v>0</v>
      </c>
      <c r="C17909">
        <f>HYPERLINK("https://android.googlesource.com/platform/cts/+/349fdad3e5fae9bfdc2d3ba7b5582d4cce8d3927", "349fdad3e5fae9bfdc2d3ba7b5582d4cce8d3927")</f>
        <v>0</v>
      </c>
      <c r="D17909" t="s">
        <v>12095</v>
      </c>
      <c r="E17909" t="s">
        <v>14097</v>
      </c>
      <c r="F17909" t="s">
        <v>16233</v>
      </c>
      <c r="G17909" t="s">
        <v>18909</v>
      </c>
      <c r="H17909" t="s">
        <v>25648</v>
      </c>
      <c r="I17909" t="s">
        <v>1357</v>
      </c>
      <c r="J17909" t="s">
        <v>1357</v>
      </c>
      <c r="K17909" t="s">
        <v>1357</v>
      </c>
      <c r="L17909" t="s">
        <v>1357</v>
      </c>
    </row>
    <row r="17910" spans="1:13">
      <c r="F17910" t="s">
        <v>16220</v>
      </c>
      <c r="G17910" t="s">
        <v>18896</v>
      </c>
      <c r="H17910" t="s">
        <v>25648</v>
      </c>
      <c r="I17910" t="s">
        <v>1357</v>
      </c>
      <c r="J17910" t="s">
        <v>1357</v>
      </c>
      <c r="K17910" t="s">
        <v>1357</v>
      </c>
      <c r="L17910" t="s">
        <v>1357</v>
      </c>
    </row>
    <row r="17911" spans="1:13">
      <c r="F17911" t="s">
        <v>16235</v>
      </c>
      <c r="G17911" t="s">
        <v>18911</v>
      </c>
      <c r="H17911" t="s">
        <v>25648</v>
      </c>
      <c r="I17911" t="s">
        <v>1357</v>
      </c>
      <c r="J17911" t="s">
        <v>1357</v>
      </c>
      <c r="K17911" t="s">
        <v>1357</v>
      </c>
      <c r="L17911" t="s">
        <v>1357</v>
      </c>
    </row>
    <row r="17912" spans="1:13">
      <c r="A17912" t="s">
        <v>11582</v>
      </c>
      <c r="B17912">
        <f>HYPERLINK("https://android.googlesource.com/platform/cts/+/0836ad1799b0943a327b28ded2ecbd753c4e4805", "0836ad1799b0943a327b28ded2ecbd753c4e4805")</f>
        <v>0</v>
      </c>
      <c r="C17912">
        <f>HYPERLINK("https://android.googlesource.com/platform/cts/+/6dfdbb1ab69462153c917408298e9e7d5c5233e7", "6dfdbb1ab69462153c917408298e9e7d5c5233e7")</f>
        <v>0</v>
      </c>
      <c r="D17912" t="s">
        <v>12434</v>
      </c>
      <c r="E17912" t="s">
        <v>14098</v>
      </c>
      <c r="F17912" t="s">
        <v>17063</v>
      </c>
      <c r="G17912" t="s">
        <v>19662</v>
      </c>
      <c r="H17912" t="s">
        <v>25649</v>
      </c>
      <c r="I17912" t="s">
        <v>1357</v>
      </c>
      <c r="J17912" t="s">
        <v>1357</v>
      </c>
      <c r="K17912" t="s">
        <v>1357</v>
      </c>
      <c r="L17912" t="s">
        <v>1357</v>
      </c>
    </row>
    <row r="17913" spans="1:13">
      <c r="H17913" t="s">
        <v>25650</v>
      </c>
      <c r="I17913" t="s">
        <v>1357</v>
      </c>
      <c r="J17913" t="s">
        <v>1357</v>
      </c>
      <c r="K17913" t="s">
        <v>1357</v>
      </c>
      <c r="L17913" t="s">
        <v>1357</v>
      </c>
    </row>
    <row r="17914" spans="1:13">
      <c r="H17914" t="s">
        <v>25651</v>
      </c>
      <c r="I17914" t="s">
        <v>1357</v>
      </c>
      <c r="J17914" t="s">
        <v>1357</v>
      </c>
      <c r="K17914" t="s">
        <v>1357</v>
      </c>
      <c r="L17914" t="s">
        <v>1357</v>
      </c>
    </row>
    <row r="17915" spans="1:13">
      <c r="H17915" t="s">
        <v>25652</v>
      </c>
      <c r="I17915" t="s">
        <v>1357</v>
      </c>
      <c r="J17915" t="s">
        <v>1357</v>
      </c>
      <c r="K17915" t="s">
        <v>1357</v>
      </c>
      <c r="L17915" t="s">
        <v>1357</v>
      </c>
    </row>
    <row r="17916" spans="1:13">
      <c r="A17916" t="s">
        <v>11583</v>
      </c>
      <c r="B17916">
        <f>HYPERLINK("https://android.googlesource.com/platform/cts/+/1a6dddbad00897cf6d326adc2b9257e016fb729c", "1a6dddbad00897cf6d326adc2b9257e016fb729c")</f>
        <v>0</v>
      </c>
      <c r="C17916">
        <f>HYPERLINK("https://android.googlesource.com/platform/cts/+/c95a016fa40b899ce9df434c47b15b2daad34411", "c95a016fa40b899ce9df434c47b15b2daad34411")</f>
        <v>0</v>
      </c>
      <c r="D17916" t="s">
        <v>12189</v>
      </c>
      <c r="E17916" t="s">
        <v>14099</v>
      </c>
      <c r="F17916" t="s">
        <v>16380</v>
      </c>
      <c r="G17916" t="s">
        <v>19048</v>
      </c>
      <c r="H17916" t="s">
        <v>25653</v>
      </c>
      <c r="I17916" t="s">
        <v>1357</v>
      </c>
      <c r="J17916" t="s">
        <v>1357</v>
      </c>
      <c r="K17916" t="s">
        <v>1357</v>
      </c>
      <c r="L17916" t="s">
        <v>1357</v>
      </c>
    </row>
    <row r="17917" spans="1:13">
      <c r="A17917" t="s">
        <v>11584</v>
      </c>
      <c r="B17917">
        <f>HYPERLINK("https://android.googlesource.com/platform/cts/+/6019f9b2987cc25aec3c28abb01dce6d89e33e9c", "6019f9b2987cc25aec3c28abb01dce6d89e33e9c")</f>
        <v>0</v>
      </c>
      <c r="C17917">
        <f>HYPERLINK("https://android.googlesource.com/platform/cts/+/63d06190e7e8b86ec1fb67e0cef78209adfdcd34", "63d06190e7e8b86ec1fb67e0cef78209adfdcd34")</f>
        <v>0</v>
      </c>
      <c r="D17917" t="s">
        <v>12102</v>
      </c>
      <c r="E17917" t="s">
        <v>14100</v>
      </c>
      <c r="F17917" t="s">
        <v>17064</v>
      </c>
      <c r="G17917" t="s">
        <v>19663</v>
      </c>
      <c r="H17917" t="s">
        <v>25654</v>
      </c>
      <c r="I17917" t="s">
        <v>1357</v>
      </c>
      <c r="J17917" t="s">
        <v>1357</v>
      </c>
      <c r="K17917" t="s">
        <v>1357</v>
      </c>
      <c r="L17917" t="s">
        <v>1357</v>
      </c>
    </row>
    <row r="17918" spans="1:13">
      <c r="A17918" t="s">
        <v>11585</v>
      </c>
      <c r="B17918">
        <f>HYPERLINK("https://android.googlesource.com/platform/cts/+/d76443927c8ab8b3a2fd230e8958f6b0c00b7450", "d76443927c8ab8b3a2fd230e8958f6b0c00b7450")</f>
        <v>0</v>
      </c>
      <c r="C17918">
        <f>HYPERLINK("https://android.googlesource.com/platform/cts/+/18964991d67521f07f9010d2a842cce7ed84b113", "18964991d67521f07f9010d2a842cce7ed84b113")</f>
        <v>0</v>
      </c>
      <c r="D17918" t="s">
        <v>12431</v>
      </c>
      <c r="E17918" t="s">
        <v>14101</v>
      </c>
      <c r="F17918" t="s">
        <v>17065</v>
      </c>
      <c r="G17918" t="s">
        <v>19664</v>
      </c>
      <c r="H17918" t="s">
        <v>25655</v>
      </c>
      <c r="I17918" t="s">
        <v>1357</v>
      </c>
      <c r="J17918" t="s">
        <v>1357</v>
      </c>
      <c r="K17918" t="s">
        <v>1357</v>
      </c>
      <c r="L17918" t="s">
        <v>1357</v>
      </c>
    </row>
    <row r="17919" spans="1:13">
      <c r="A17919" t="s">
        <v>11586</v>
      </c>
      <c r="B17919">
        <f>HYPERLINK("https://android.googlesource.com/platform/cts/+/4cfcf23543adcf3f4d6a792e393d0ce5b100da80", "4cfcf23543adcf3f4d6a792e393d0ce5b100da80")</f>
        <v>0</v>
      </c>
      <c r="C17919">
        <f>HYPERLINK("https://android.googlesource.com/platform/cts/+/c22b81480078da56968ef0b80e2f41b256ddbd8b", "c22b81480078da56968ef0b80e2f41b256ddbd8b")</f>
        <v>0</v>
      </c>
      <c r="D17919" t="s">
        <v>12100</v>
      </c>
      <c r="E17919" t="s">
        <v>14102</v>
      </c>
      <c r="F17919" t="s">
        <v>17066</v>
      </c>
      <c r="G17919" t="s">
        <v>17397</v>
      </c>
      <c r="H17919" t="s">
        <v>25656</v>
      </c>
      <c r="I17919" t="s">
        <v>1357</v>
      </c>
      <c r="J17919" t="s">
        <v>1357</v>
      </c>
      <c r="K17919" t="s">
        <v>1357</v>
      </c>
      <c r="L17919" t="s">
        <v>1357</v>
      </c>
    </row>
    <row r="17920" spans="1:13">
      <c r="A17920" t="s">
        <v>11587</v>
      </c>
      <c r="B17920">
        <f>HYPERLINK("https://android.googlesource.com/platform/cts/+/9a333ea719b4d73b2d9c3ccf45d30f4f119d44fb", "9a333ea719b4d73b2d9c3ccf45d30f4f119d44fb")</f>
        <v>0</v>
      </c>
      <c r="C17920">
        <f>HYPERLINK("https://android.googlesource.com/platform/cts/+/cd11af187893596778e86fc396b2f2d2c8b29f62", "cd11af187893596778e86fc396b2f2d2c8b29f62")</f>
        <v>0</v>
      </c>
      <c r="D17920" t="s">
        <v>12203</v>
      </c>
      <c r="E17920" t="s">
        <v>14103</v>
      </c>
      <c r="F17920" t="s">
        <v>17066</v>
      </c>
      <c r="G17920" t="s">
        <v>17397</v>
      </c>
      <c r="H17920" t="s">
        <v>25656</v>
      </c>
      <c r="I17920" t="s">
        <v>1357</v>
      </c>
      <c r="J17920" t="s">
        <v>1357</v>
      </c>
      <c r="K17920" t="s">
        <v>1357</v>
      </c>
      <c r="L17920" t="s">
        <v>1357</v>
      </c>
      <c r="M17920" t="s">
        <v>9957</v>
      </c>
    </row>
    <row r="17921" spans="1:13">
      <c r="A17921" t="s">
        <v>11588</v>
      </c>
      <c r="B17921">
        <f>HYPERLINK("https://android.googlesource.com/platform/cts/+/df86d7e15150fdafe183fa6901a86919f8cc0cfb", "df86d7e15150fdafe183fa6901a86919f8cc0cfb")</f>
        <v>0</v>
      </c>
      <c r="C17921">
        <f>HYPERLINK("https://android.googlesource.com/platform/cts/+/4e0657d0fb4cff9ee83f9efb77476be0c3adef5c", "4e0657d0fb4cff9ee83f9efb77476be0c3adef5c")</f>
        <v>0</v>
      </c>
      <c r="D17921" t="s">
        <v>12203</v>
      </c>
      <c r="E17921" t="s">
        <v>14103</v>
      </c>
      <c r="F17921" t="s">
        <v>17066</v>
      </c>
      <c r="G17921" t="s">
        <v>17397</v>
      </c>
      <c r="H17921" t="s">
        <v>25656</v>
      </c>
      <c r="I17921" t="s">
        <v>1357</v>
      </c>
      <c r="J17921" t="s">
        <v>1357</v>
      </c>
      <c r="K17921" t="s">
        <v>1357</v>
      </c>
      <c r="L17921" t="s">
        <v>1357</v>
      </c>
      <c r="M17921" t="s">
        <v>9957</v>
      </c>
    </row>
    <row r="17922" spans="1:13">
      <c r="A17922" t="s">
        <v>11589</v>
      </c>
      <c r="B17922">
        <f>HYPERLINK("https://android.googlesource.com/platform/cts/+/4d648b00fdf19b2983dcb02e51e426549b92fec5", "4d648b00fdf19b2983dcb02e51e426549b92fec5")</f>
        <v>0</v>
      </c>
      <c r="C17922">
        <f>HYPERLINK("https://android.googlesource.com/platform/cts/+/5f6aa28eb9394dd4539bd0858aa5bf4fb8824354", "5f6aa28eb9394dd4539bd0858aa5bf4fb8824354")</f>
        <v>0</v>
      </c>
      <c r="D17922" t="s">
        <v>12203</v>
      </c>
      <c r="E17922" t="s">
        <v>14103</v>
      </c>
      <c r="F17922" t="s">
        <v>17066</v>
      </c>
      <c r="G17922" t="s">
        <v>17397</v>
      </c>
      <c r="H17922" t="s">
        <v>25656</v>
      </c>
      <c r="I17922" t="s">
        <v>1357</v>
      </c>
      <c r="J17922" t="s">
        <v>1357</v>
      </c>
      <c r="K17922" t="s">
        <v>1357</v>
      </c>
      <c r="L17922" t="s">
        <v>1357</v>
      </c>
      <c r="M17922" t="s">
        <v>9957</v>
      </c>
    </row>
    <row r="17923" spans="1:13">
      <c r="A17923" t="s">
        <v>11590</v>
      </c>
      <c r="B17923">
        <f>HYPERLINK("https://android.googlesource.com/platform/cts/+/c23b3a56e611367f37468a26bf5a3887521e3ae9", "c23b3a56e611367f37468a26bf5a3887521e3ae9")</f>
        <v>0</v>
      </c>
      <c r="C17923">
        <f>HYPERLINK("https://android.googlesource.com/platform/cts/+/890ceb1193784d3637714c259cf13218da76bd4c", "890ceb1193784d3637714c259cf13218da76bd4c")</f>
        <v>0</v>
      </c>
      <c r="D17923" t="s">
        <v>12435</v>
      </c>
      <c r="E17923" t="s">
        <v>14104</v>
      </c>
      <c r="F17923" t="s">
        <v>17007</v>
      </c>
      <c r="G17923" t="s">
        <v>19609</v>
      </c>
      <c r="H17923" t="s">
        <v>25657</v>
      </c>
      <c r="I17923" t="s">
        <v>1357</v>
      </c>
      <c r="J17923" t="s">
        <v>1357</v>
      </c>
      <c r="K17923" t="s">
        <v>1357</v>
      </c>
      <c r="L17923" t="s">
        <v>1357</v>
      </c>
    </row>
    <row r="17924" spans="1:13">
      <c r="H17924" t="s">
        <v>25658</v>
      </c>
      <c r="I17924" t="s">
        <v>1357</v>
      </c>
      <c r="J17924" t="s">
        <v>1357</v>
      </c>
      <c r="K17924" t="s">
        <v>1357</v>
      </c>
      <c r="L17924" t="s">
        <v>1357</v>
      </c>
    </row>
    <row r="17925" spans="1:13">
      <c r="H17925" t="s">
        <v>25659</v>
      </c>
      <c r="I17925" t="s">
        <v>1357</v>
      </c>
      <c r="J17925" t="s">
        <v>1357</v>
      </c>
      <c r="K17925" t="s">
        <v>1357</v>
      </c>
      <c r="L17925" t="s">
        <v>1357</v>
      </c>
    </row>
    <row r="17926" spans="1:13">
      <c r="H17926" t="s">
        <v>25660</v>
      </c>
      <c r="I17926" t="s">
        <v>1357</v>
      </c>
      <c r="J17926" t="s">
        <v>1357</v>
      </c>
      <c r="K17926" t="s">
        <v>1357</v>
      </c>
      <c r="L17926" t="s">
        <v>1357</v>
      </c>
    </row>
    <row r="17927" spans="1:13">
      <c r="F17927" t="s">
        <v>17008</v>
      </c>
      <c r="G17927" t="s">
        <v>19610</v>
      </c>
      <c r="H17927" t="s">
        <v>25661</v>
      </c>
      <c r="I17927" t="s">
        <v>1357</v>
      </c>
      <c r="J17927" t="s">
        <v>1357</v>
      </c>
      <c r="K17927" t="s">
        <v>1357</v>
      </c>
      <c r="L17927" t="s">
        <v>1357</v>
      </c>
    </row>
    <row r="17928" spans="1:13">
      <c r="H17928" t="s">
        <v>25662</v>
      </c>
      <c r="I17928" t="s">
        <v>1357</v>
      </c>
      <c r="J17928" t="s">
        <v>1357</v>
      </c>
      <c r="K17928" t="s">
        <v>1357</v>
      </c>
      <c r="L17928" t="s">
        <v>1357</v>
      </c>
    </row>
    <row r="17929" spans="1:13">
      <c r="H17929" t="s">
        <v>25663</v>
      </c>
      <c r="I17929" t="s">
        <v>1357</v>
      </c>
      <c r="J17929" t="s">
        <v>1357</v>
      </c>
      <c r="K17929" t="s">
        <v>1357</v>
      </c>
      <c r="L17929" t="s">
        <v>1357</v>
      </c>
    </row>
    <row r="17930" spans="1:13">
      <c r="H17930" t="s">
        <v>25664</v>
      </c>
      <c r="I17930" t="s">
        <v>1357</v>
      </c>
      <c r="J17930" t="s">
        <v>1357</v>
      </c>
      <c r="K17930" t="s">
        <v>1357</v>
      </c>
      <c r="L17930" t="s">
        <v>1357</v>
      </c>
    </row>
    <row r="17931" spans="1:13">
      <c r="H17931" t="s">
        <v>25665</v>
      </c>
      <c r="I17931" t="s">
        <v>1357</v>
      </c>
      <c r="J17931" t="s">
        <v>1357</v>
      </c>
      <c r="K17931" t="s">
        <v>1357</v>
      </c>
      <c r="L17931" t="s">
        <v>1357</v>
      </c>
    </row>
    <row r="17932" spans="1:13">
      <c r="H17932" t="s">
        <v>25666</v>
      </c>
      <c r="I17932" t="s">
        <v>1357</v>
      </c>
      <c r="J17932" t="s">
        <v>1357</v>
      </c>
      <c r="K17932" t="s">
        <v>1357</v>
      </c>
      <c r="L17932" t="s">
        <v>1357</v>
      </c>
    </row>
    <row r="17933" spans="1:13">
      <c r="A17933" t="s">
        <v>11591</v>
      </c>
      <c r="B17933">
        <f>HYPERLINK("https://android.googlesource.com/platform/cts/+/1b00016229ebdc000ab729b94d303ee2cf77a418", "1b00016229ebdc000ab729b94d303ee2cf77a418")</f>
        <v>0</v>
      </c>
      <c r="C17933">
        <f>HYPERLINK("https://android.googlesource.com/platform/cts/+/84598b17873446d0c422c638626e0717d5b3e396", "84598b17873446d0c422c638626e0717d5b3e396")</f>
        <v>0</v>
      </c>
      <c r="D17933" t="s">
        <v>12420</v>
      </c>
      <c r="E17933" t="s">
        <v>14105</v>
      </c>
      <c r="F17933" t="s">
        <v>17067</v>
      </c>
      <c r="G17933" t="s">
        <v>19665</v>
      </c>
      <c r="H17933" t="s">
        <v>25667</v>
      </c>
      <c r="I17933" t="s">
        <v>1357</v>
      </c>
      <c r="J17933" t="s">
        <v>1357</v>
      </c>
      <c r="K17933" t="s">
        <v>1357</v>
      </c>
      <c r="L17933" t="s">
        <v>1357</v>
      </c>
    </row>
    <row r="17934" spans="1:13">
      <c r="H17934" t="s">
        <v>25668</v>
      </c>
      <c r="I17934" t="s">
        <v>1357</v>
      </c>
      <c r="J17934" t="s">
        <v>1357</v>
      </c>
      <c r="K17934" t="s">
        <v>1357</v>
      </c>
      <c r="L17934" t="s">
        <v>1357</v>
      </c>
    </row>
    <row r="17935" spans="1:13">
      <c r="H17935" t="s">
        <v>25669</v>
      </c>
      <c r="I17935" t="s">
        <v>1357</v>
      </c>
      <c r="J17935" t="s">
        <v>1357</v>
      </c>
      <c r="K17935" t="s">
        <v>1357</v>
      </c>
      <c r="L17935" t="s">
        <v>1357</v>
      </c>
    </row>
    <row r="17936" spans="1:13">
      <c r="H17936" t="s">
        <v>25670</v>
      </c>
      <c r="I17936" t="s">
        <v>1357</v>
      </c>
      <c r="J17936" t="s">
        <v>1357</v>
      </c>
      <c r="K17936" t="s">
        <v>1357</v>
      </c>
      <c r="L17936" t="s">
        <v>1357</v>
      </c>
    </row>
    <row r="17937" spans="1:13">
      <c r="A17937" t="s">
        <v>11592</v>
      </c>
      <c r="B17937">
        <f>HYPERLINK("https://android.googlesource.com/platform/cts/+/30dfdb35aac627e18dbb05bf8c7a905b1e89df8b", "30dfdb35aac627e18dbb05bf8c7a905b1e89df8b")</f>
        <v>0</v>
      </c>
      <c r="C17937">
        <f>HYPERLINK("https://android.googlesource.com/platform/cts/+/e7b3c7a8f4e852361474eb682e3e3bc3f13eda86", "e7b3c7a8f4e852361474eb682e3e3bc3f13eda86")</f>
        <v>0</v>
      </c>
      <c r="D17937" t="s">
        <v>12306</v>
      </c>
      <c r="E17937" t="s">
        <v>14106</v>
      </c>
      <c r="F17937" t="s">
        <v>17068</v>
      </c>
      <c r="G17937" t="s">
        <v>19437</v>
      </c>
      <c r="H17937" t="s">
        <v>25671</v>
      </c>
      <c r="I17937" t="s">
        <v>1357</v>
      </c>
      <c r="J17937" t="s">
        <v>1357</v>
      </c>
      <c r="K17937" t="s">
        <v>1357</v>
      </c>
      <c r="L17937" t="s">
        <v>1357</v>
      </c>
    </row>
    <row r="17938" spans="1:13">
      <c r="A17938" t="s">
        <v>11593</v>
      </c>
      <c r="B17938">
        <f>HYPERLINK("https://android.googlesource.com/platform/cts/+/65eb9c316b5c0fe3f2b5a55909fa4cd9ef6839c8", "65eb9c316b5c0fe3f2b5a55909fa4cd9ef6839c8")</f>
        <v>0</v>
      </c>
      <c r="C17938">
        <f>HYPERLINK("https://android.googlesource.com/platform/cts/+/32ee9ae735281cabb2660f1247ac8a0a268d315e", "32ee9ae735281cabb2660f1247ac8a0a268d315e")</f>
        <v>0</v>
      </c>
      <c r="D17938" t="s">
        <v>12436</v>
      </c>
      <c r="E17938" t="s">
        <v>14107</v>
      </c>
      <c r="F17938" t="s">
        <v>17001</v>
      </c>
      <c r="G17938" t="s">
        <v>19255</v>
      </c>
      <c r="H17938" t="s">
        <v>25672</v>
      </c>
      <c r="I17938" t="s">
        <v>1357</v>
      </c>
      <c r="J17938" t="s">
        <v>1357</v>
      </c>
      <c r="K17938" t="s">
        <v>1357</v>
      </c>
      <c r="L17938" t="s">
        <v>1357</v>
      </c>
    </row>
    <row r="17939" spans="1:13">
      <c r="A17939" t="s">
        <v>11594</v>
      </c>
      <c r="B17939">
        <f>HYPERLINK("https://android.googlesource.com/platform/cts/+/51ba130cf8573a5d485d394486b5ac68fdbf520e", "51ba130cf8573a5d485d394486b5ac68fdbf520e")</f>
        <v>0</v>
      </c>
      <c r="C17939">
        <f>HYPERLINK("https://android.googlesource.com/platform/cts/+/c3e61ad03e7e0a7e87d757f3e0bf960559bc1a9a", "c3e61ad03e7e0a7e87d757f3e0bf960559bc1a9a")</f>
        <v>0</v>
      </c>
      <c r="D17939" t="s">
        <v>12420</v>
      </c>
      <c r="E17939" t="s">
        <v>14108</v>
      </c>
      <c r="F17939" t="s">
        <v>17062</v>
      </c>
      <c r="G17939" t="s">
        <v>19661</v>
      </c>
      <c r="H17939" t="s">
        <v>22011</v>
      </c>
      <c r="I17939" t="s">
        <v>1357</v>
      </c>
      <c r="J17939" t="s">
        <v>1357</v>
      </c>
      <c r="K17939" t="s">
        <v>1357</v>
      </c>
      <c r="L17939" t="s">
        <v>1357</v>
      </c>
    </row>
    <row r="17940" spans="1:13">
      <c r="H17940" t="s">
        <v>25673</v>
      </c>
      <c r="I17940" t="s">
        <v>1357</v>
      </c>
      <c r="J17940" t="s">
        <v>1357</v>
      </c>
      <c r="K17940" t="s">
        <v>1357</v>
      </c>
      <c r="L17940" t="s">
        <v>1357</v>
      </c>
    </row>
    <row r="17941" spans="1:13">
      <c r="H17941" t="s">
        <v>25674</v>
      </c>
      <c r="I17941" t="s">
        <v>1357</v>
      </c>
      <c r="J17941" t="s">
        <v>1357</v>
      </c>
      <c r="K17941" t="s">
        <v>1357</v>
      </c>
      <c r="L17941" t="s">
        <v>1357</v>
      </c>
    </row>
    <row r="17942" spans="1:13">
      <c r="H17942" t="s">
        <v>25675</v>
      </c>
      <c r="I17942" t="s">
        <v>1357</v>
      </c>
      <c r="J17942" t="s">
        <v>1357</v>
      </c>
      <c r="K17942" t="s">
        <v>1357</v>
      </c>
      <c r="L17942" t="s">
        <v>1357</v>
      </c>
    </row>
    <row r="17943" spans="1:13">
      <c r="H17943" t="s">
        <v>25676</v>
      </c>
      <c r="I17943" t="s">
        <v>1357</v>
      </c>
      <c r="J17943" t="s">
        <v>1357</v>
      </c>
      <c r="K17943" t="s">
        <v>1357</v>
      </c>
      <c r="L17943" t="s">
        <v>1357</v>
      </c>
    </row>
    <row r="17944" spans="1:13">
      <c r="A17944" t="s">
        <v>11595</v>
      </c>
      <c r="B17944">
        <f>HYPERLINK("https://android.googlesource.com/platform/cts/+/8dc77bbe5f999ab7f15bea7fc8b4cd67319ca96f", "8dc77bbe5f999ab7f15bea7fc8b4cd67319ca96f")</f>
        <v>0</v>
      </c>
      <c r="C17944">
        <f>HYPERLINK("https://android.googlesource.com/platform/cts/+/365ce401c9ba381ac95218cb0bf4dea04e12f5e2", "365ce401c9ba381ac95218cb0bf4dea04e12f5e2")</f>
        <v>0</v>
      </c>
      <c r="D17944" t="s">
        <v>11989</v>
      </c>
      <c r="E17944" t="s">
        <v>14109</v>
      </c>
      <c r="F17944" t="s">
        <v>16868</v>
      </c>
      <c r="G17944" t="s">
        <v>19481</v>
      </c>
      <c r="H17944" t="s">
        <v>25677</v>
      </c>
      <c r="I17944" t="s">
        <v>1357</v>
      </c>
      <c r="J17944" t="s">
        <v>1357</v>
      </c>
      <c r="K17944" t="s">
        <v>1357</v>
      </c>
      <c r="L17944" t="s">
        <v>1357</v>
      </c>
    </row>
    <row r="17945" spans="1:13">
      <c r="A17945" t="s">
        <v>11596</v>
      </c>
      <c r="B17945">
        <f>HYPERLINK("https://android.googlesource.com/platform/cts/+/ea8dca1a0ce7a17a97c7e070dcbfd6b40299b8d6", "ea8dca1a0ce7a17a97c7e070dcbfd6b40299b8d6")</f>
        <v>0</v>
      </c>
      <c r="C17945">
        <f>HYPERLINK("https://android.googlesource.com/platform/cts/+/46d513312813702077d64dac05b0222c22d2c475", "46d513312813702077d64dac05b0222c22d2c475")</f>
        <v>0</v>
      </c>
      <c r="D17945" t="s">
        <v>11989</v>
      </c>
      <c r="E17945" t="s">
        <v>14110</v>
      </c>
      <c r="F17945" t="s">
        <v>16868</v>
      </c>
      <c r="G17945" t="s">
        <v>19481</v>
      </c>
      <c r="H17945" t="s">
        <v>25677</v>
      </c>
      <c r="I17945" t="s">
        <v>1357</v>
      </c>
      <c r="J17945" t="s">
        <v>1357</v>
      </c>
      <c r="K17945" t="s">
        <v>1357</v>
      </c>
      <c r="L17945" t="s">
        <v>1357</v>
      </c>
      <c r="M17945" t="s">
        <v>9957</v>
      </c>
    </row>
    <row r="17946" spans="1:13">
      <c r="A17946" t="s">
        <v>11597</v>
      </c>
      <c r="B17946">
        <f>HYPERLINK("https://android.googlesource.com/platform/cts/+/3db3c932273ef37ee298b64f46274424afa20824", "3db3c932273ef37ee298b64f46274424afa20824")</f>
        <v>0</v>
      </c>
      <c r="C17946">
        <f>HYPERLINK("https://android.googlesource.com/platform/cts/+/2b80a95295935a866bb4d931dc37f05d705587b1", "2b80a95295935a866bb4d931dc37f05d705587b1")</f>
        <v>0</v>
      </c>
      <c r="D17946" t="s">
        <v>12290</v>
      </c>
      <c r="E17946" t="s">
        <v>14111</v>
      </c>
      <c r="F17946" t="s">
        <v>16656</v>
      </c>
      <c r="G17946" t="s">
        <v>19290</v>
      </c>
      <c r="H17946" t="s">
        <v>25613</v>
      </c>
      <c r="I17946" t="s">
        <v>1357</v>
      </c>
      <c r="J17946" t="s">
        <v>1357</v>
      </c>
      <c r="K17946" t="s">
        <v>1357</v>
      </c>
      <c r="L17946" t="s">
        <v>1357</v>
      </c>
    </row>
    <row r="17947" spans="1:13">
      <c r="A17947" t="s">
        <v>11598</v>
      </c>
      <c r="B17947">
        <f>HYPERLINK("https://android.googlesource.com/platform/cts/+/7cc41fccbf3b949dc86fe9d24c799d13d690a24b", "7cc41fccbf3b949dc86fe9d24c799d13d690a24b")</f>
        <v>0</v>
      </c>
      <c r="C17947">
        <f>HYPERLINK("https://android.googlesource.com/platform/cts/+/cf5f2a4dc0361cd2c513104a473c3d336810a2b5", "cf5f2a4dc0361cd2c513104a473c3d336810a2b5")</f>
        <v>0</v>
      </c>
      <c r="D17947" t="s">
        <v>12326</v>
      </c>
      <c r="E17947" t="s">
        <v>14112</v>
      </c>
      <c r="F17947" t="s">
        <v>17015</v>
      </c>
      <c r="G17947" t="s">
        <v>19616</v>
      </c>
      <c r="H17947" t="s">
        <v>25678</v>
      </c>
      <c r="I17947" t="s">
        <v>1358</v>
      </c>
      <c r="J17947" t="s">
        <v>1358</v>
      </c>
      <c r="K17947" t="s">
        <v>1358</v>
      </c>
      <c r="L17947" t="s">
        <v>1358</v>
      </c>
    </row>
    <row r="17948" spans="1:13">
      <c r="H17948" t="s">
        <v>25679</v>
      </c>
      <c r="I17948" t="s">
        <v>1358</v>
      </c>
      <c r="J17948" t="s">
        <v>1358</v>
      </c>
      <c r="K17948" t="s">
        <v>1358</v>
      </c>
      <c r="L17948" t="s">
        <v>1358</v>
      </c>
    </row>
    <row r="17949" spans="1:13">
      <c r="A17949" t="s">
        <v>11599</v>
      </c>
      <c r="B17949">
        <f>HYPERLINK("https://android.googlesource.com/platform/cts/+/512626d453eb2b7f1b2469ff2586a53be25738bd", "512626d453eb2b7f1b2469ff2586a53be25738bd")</f>
        <v>0</v>
      </c>
      <c r="C17949">
        <f>HYPERLINK("https://android.googlesource.com/platform/cts/+/64a74e69c7b246e522d98d489e5dd02a6e228a91", "64a74e69c7b246e522d98d489e5dd02a6e228a91")</f>
        <v>0</v>
      </c>
      <c r="D17949" t="s">
        <v>12306</v>
      </c>
      <c r="E17949" t="s">
        <v>14113</v>
      </c>
      <c r="F17949" t="s">
        <v>17069</v>
      </c>
      <c r="G17949" t="s">
        <v>19666</v>
      </c>
      <c r="H17949" t="s">
        <v>25680</v>
      </c>
      <c r="I17949" t="s">
        <v>1358</v>
      </c>
      <c r="J17949" t="s">
        <v>1358</v>
      </c>
      <c r="K17949" t="s">
        <v>1358</v>
      </c>
      <c r="L17949" t="s">
        <v>1358</v>
      </c>
    </row>
    <row r="17950" spans="1:13">
      <c r="A17950" t="s">
        <v>11600</v>
      </c>
      <c r="B17950">
        <f>HYPERLINK("https://android.googlesource.com/platform/cts/+/e25ab39765a4aaad8199227c7356d6e0e94aa976", "e25ab39765a4aaad8199227c7356d6e0e94aa976")</f>
        <v>0</v>
      </c>
      <c r="C17950">
        <f>HYPERLINK("https://android.googlesource.com/platform/cts/+/7572eb0aa5ff5c36015189914bf79db3c6ec93af", "7572eb0aa5ff5c36015189914bf79db3c6ec93af")</f>
        <v>0</v>
      </c>
      <c r="D17950" t="s">
        <v>12437</v>
      </c>
      <c r="E17950" t="s">
        <v>14114</v>
      </c>
      <c r="F17950" t="s">
        <v>16099</v>
      </c>
      <c r="G17950" t="s">
        <v>18788</v>
      </c>
      <c r="H17950" t="s">
        <v>25681</v>
      </c>
      <c r="I17950" t="s">
        <v>1358</v>
      </c>
      <c r="J17950" t="s">
        <v>1358</v>
      </c>
      <c r="K17950" t="s">
        <v>1358</v>
      </c>
      <c r="L17950" t="s">
        <v>1358</v>
      </c>
    </row>
    <row r="17951" spans="1:13">
      <c r="A17951" t="s">
        <v>11601</v>
      </c>
      <c r="B17951">
        <f>HYPERLINK("https://android.googlesource.com/platform/cts/+/3c0172e93399bf203ce3d37653b5dd5d76c773a7", "3c0172e93399bf203ce3d37653b5dd5d76c773a7")</f>
        <v>0</v>
      </c>
      <c r="C17951">
        <f>HYPERLINK("https://android.googlesource.com/platform/cts/+/f07d11fad7e3d862a45019cbbca9a87e5e29f63f", "f07d11fad7e3d862a45019cbbca9a87e5e29f63f")</f>
        <v>0</v>
      </c>
      <c r="D17951" t="s">
        <v>12424</v>
      </c>
      <c r="E17951" t="s">
        <v>14115</v>
      </c>
      <c r="F17951" t="s">
        <v>17037</v>
      </c>
      <c r="G17951" t="s">
        <v>19637</v>
      </c>
      <c r="H17951" t="s">
        <v>25682</v>
      </c>
      <c r="I17951" t="s">
        <v>1357</v>
      </c>
      <c r="J17951" t="s">
        <v>1357</v>
      </c>
      <c r="K17951" t="s">
        <v>1357</v>
      </c>
      <c r="L17951" t="s">
        <v>1357</v>
      </c>
    </row>
    <row r="17952" spans="1:13">
      <c r="A17952" t="s">
        <v>11602</v>
      </c>
      <c r="B17952">
        <f>HYPERLINK("https://android.googlesource.com/platform/cts/+/eaed0cdeee06f358e16ef7365ccc9616da08dc19", "eaed0cdeee06f358e16ef7365ccc9616da08dc19")</f>
        <v>0</v>
      </c>
      <c r="C17952">
        <f>HYPERLINK("https://android.googlesource.com/platform/cts/+/64a74e69c7b246e522d98d489e5dd02a6e228a91", "64a74e69c7b246e522d98d489e5dd02a6e228a91")</f>
        <v>0</v>
      </c>
      <c r="D17952" t="s">
        <v>12438</v>
      </c>
      <c r="E17952" t="s">
        <v>14116</v>
      </c>
      <c r="F17952" t="s">
        <v>17070</v>
      </c>
      <c r="G17952" t="s">
        <v>19667</v>
      </c>
      <c r="H17952" t="s">
        <v>25683</v>
      </c>
      <c r="I17952" t="s">
        <v>1357</v>
      </c>
      <c r="J17952" t="s">
        <v>1357</v>
      </c>
      <c r="K17952" t="s">
        <v>1357</v>
      </c>
      <c r="L17952" t="s">
        <v>1357</v>
      </c>
    </row>
    <row r="17953" spans="1:14">
      <c r="H17953" t="s">
        <v>25684</v>
      </c>
      <c r="I17953" t="s">
        <v>1357</v>
      </c>
      <c r="J17953" t="s">
        <v>1357</v>
      </c>
      <c r="K17953" t="s">
        <v>1357</v>
      </c>
      <c r="L17953" t="s">
        <v>1357</v>
      </c>
    </row>
    <row r="17954" spans="1:14">
      <c r="H17954" t="s">
        <v>25685</v>
      </c>
      <c r="I17954" t="s">
        <v>1357</v>
      </c>
      <c r="J17954" t="s">
        <v>1357</v>
      </c>
      <c r="K17954" t="s">
        <v>1357</v>
      </c>
      <c r="L17954" t="s">
        <v>1357</v>
      </c>
    </row>
    <row r="17955" spans="1:14">
      <c r="F17955" t="s">
        <v>17071</v>
      </c>
      <c r="G17955" t="s">
        <v>19668</v>
      </c>
      <c r="H17955" t="s">
        <v>25686</v>
      </c>
      <c r="I17955" t="s">
        <v>1357</v>
      </c>
      <c r="J17955" t="s">
        <v>1357</v>
      </c>
      <c r="K17955" t="s">
        <v>1357</v>
      </c>
      <c r="L17955" t="s">
        <v>1357</v>
      </c>
    </row>
    <row r="17956" spans="1:14">
      <c r="A17956" t="s">
        <v>11603</v>
      </c>
      <c r="B17956">
        <f>HYPERLINK("https://android.googlesource.com/platform/cts/+/999e7f18512837d6b9442b692650f8302d1808c1", "999e7f18512837d6b9442b692650f8302d1808c1")</f>
        <v>0</v>
      </c>
      <c r="C17956">
        <f>HYPERLINK("https://android.googlesource.com/platform/cts/+/c0384579767bf4c9c004905b2f60943f45a69192", "c0384579767bf4c9c004905b2f60943f45a69192")</f>
        <v>0</v>
      </c>
      <c r="D17956" t="s">
        <v>12306</v>
      </c>
      <c r="E17956" t="s">
        <v>14117</v>
      </c>
      <c r="F17956" t="s">
        <v>16682</v>
      </c>
      <c r="G17956" t="s">
        <v>19314</v>
      </c>
      <c r="H17956" t="s">
        <v>25687</v>
      </c>
      <c r="I17956" t="s">
        <v>1357</v>
      </c>
      <c r="J17956" t="s">
        <v>1357</v>
      </c>
      <c r="K17956" t="s">
        <v>1357</v>
      </c>
      <c r="L17956" t="s">
        <v>1357</v>
      </c>
      <c r="N17956" t="s">
        <v>27537</v>
      </c>
    </row>
    <row r="17957" spans="1:14">
      <c r="A17957" t="s">
        <v>11604</v>
      </c>
      <c r="B17957">
        <f>HYPERLINK("https://android.googlesource.com/platform/cts/+/c72e392a578ee108c35d810e58ba0d4a768fc5e4", "c72e392a578ee108c35d810e58ba0d4a768fc5e4")</f>
        <v>0</v>
      </c>
      <c r="C17957">
        <f>HYPERLINK("https://android.googlesource.com/platform/cts/+/b617825c0d3ae2dc4ddbffac91a8861fa6beaae1", "b617825c0d3ae2dc4ddbffac91a8861fa6beaae1")</f>
        <v>0</v>
      </c>
      <c r="D17957" t="s">
        <v>12306</v>
      </c>
      <c r="E17957" t="s">
        <v>14118</v>
      </c>
      <c r="F17957" t="s">
        <v>16682</v>
      </c>
      <c r="G17957" t="s">
        <v>19314</v>
      </c>
      <c r="H17957" t="s">
        <v>25688</v>
      </c>
      <c r="I17957" t="s">
        <v>1359</v>
      </c>
      <c r="J17957" t="s">
        <v>1358</v>
      </c>
      <c r="K17957" t="s">
        <v>1357</v>
      </c>
      <c r="L17957" t="s">
        <v>1358</v>
      </c>
    </row>
    <row r="17958" spans="1:14">
      <c r="A17958" t="s">
        <v>11605</v>
      </c>
      <c r="B17958">
        <f>HYPERLINK("https://android.googlesource.com/platform/cts/+/0b61e8e11d8ce7f23ce194801abc84f0109106da", "0b61e8e11d8ce7f23ce194801abc84f0109106da")</f>
        <v>0</v>
      </c>
      <c r="C17958">
        <f>HYPERLINK("https://android.googlesource.com/platform/cts/+/bb207989733952563c83deec304be828b5b37e25", "bb207989733952563c83deec304be828b5b37e25")</f>
        <v>0</v>
      </c>
      <c r="D17958" t="s">
        <v>12221</v>
      </c>
      <c r="E17958" t="s">
        <v>14119</v>
      </c>
      <c r="F17958" t="s">
        <v>17072</v>
      </c>
      <c r="G17958" t="s">
        <v>19669</v>
      </c>
      <c r="H17958" t="s">
        <v>25689</v>
      </c>
      <c r="I17958" t="s">
        <v>1357</v>
      </c>
      <c r="J17958" t="s">
        <v>1357</v>
      </c>
      <c r="K17958" t="s">
        <v>1357</v>
      </c>
      <c r="L17958" t="s">
        <v>1357</v>
      </c>
    </row>
    <row r="17959" spans="1:14">
      <c r="H17959" t="s">
        <v>25690</v>
      </c>
      <c r="I17959" t="s">
        <v>1357</v>
      </c>
      <c r="J17959" t="s">
        <v>1357</v>
      </c>
      <c r="K17959" t="s">
        <v>1357</v>
      </c>
      <c r="L17959" t="s">
        <v>1357</v>
      </c>
    </row>
    <row r="17960" spans="1:14">
      <c r="H17960" t="s">
        <v>25691</v>
      </c>
      <c r="I17960" t="s">
        <v>1357</v>
      </c>
      <c r="J17960" t="s">
        <v>1357</v>
      </c>
      <c r="K17960" t="s">
        <v>1357</v>
      </c>
      <c r="L17960" t="s">
        <v>1357</v>
      </c>
    </row>
    <row r="17961" spans="1:14">
      <c r="H17961" t="s">
        <v>25692</v>
      </c>
      <c r="I17961" t="s">
        <v>1357</v>
      </c>
      <c r="J17961" t="s">
        <v>1357</v>
      </c>
      <c r="K17961" t="s">
        <v>1357</v>
      </c>
      <c r="L17961" t="s">
        <v>1357</v>
      </c>
    </row>
    <row r="17962" spans="1:14">
      <c r="H17962" t="s">
        <v>25693</v>
      </c>
      <c r="I17962" t="s">
        <v>1357</v>
      </c>
      <c r="J17962" t="s">
        <v>1357</v>
      </c>
      <c r="K17962" t="s">
        <v>1357</v>
      </c>
      <c r="L17962" t="s">
        <v>1357</v>
      </c>
    </row>
    <row r="17963" spans="1:14">
      <c r="H17963" t="s">
        <v>25694</v>
      </c>
      <c r="I17963" t="s">
        <v>1357</v>
      </c>
      <c r="J17963" t="s">
        <v>1357</v>
      </c>
      <c r="K17963" t="s">
        <v>1357</v>
      </c>
      <c r="L17963" t="s">
        <v>1357</v>
      </c>
    </row>
    <row r="17964" spans="1:14">
      <c r="A17964" t="s">
        <v>11606</v>
      </c>
      <c r="B17964">
        <f>HYPERLINK("https://android.googlesource.com/platform/cts/+/7c80c698f1db290fda5f79fb3b59fdbb5695397b", "7c80c698f1db290fda5f79fb3b59fdbb5695397b")</f>
        <v>0</v>
      </c>
      <c r="C17964">
        <f>HYPERLINK("https://android.googlesource.com/platform/cts/+/e8378ac231d78069d3642f1a62f8a1eb01b8afbe", "e8378ac231d78069d3642f1a62f8a1eb01b8afbe")</f>
        <v>0</v>
      </c>
      <c r="D17964" t="s">
        <v>12425</v>
      </c>
      <c r="E17964" t="s">
        <v>14120</v>
      </c>
      <c r="F17964" t="s">
        <v>17073</v>
      </c>
      <c r="G17964" t="s">
        <v>19633</v>
      </c>
      <c r="H17964" t="s">
        <v>25695</v>
      </c>
      <c r="I17964" t="s">
        <v>1358</v>
      </c>
      <c r="J17964" t="s">
        <v>1358</v>
      </c>
      <c r="K17964" t="s">
        <v>1358</v>
      </c>
      <c r="L17964" t="s">
        <v>1358</v>
      </c>
    </row>
    <row r="17965" spans="1:14">
      <c r="A17965" t="s">
        <v>11607</v>
      </c>
      <c r="B17965">
        <f>HYPERLINK("https://android.googlesource.com/platform/cts/+/f262890a4e58085b81f8c3ca72087de35c8e9370", "f262890a4e58085b81f8c3ca72087de35c8e9370")</f>
        <v>0</v>
      </c>
      <c r="C17965">
        <f>HYPERLINK("https://android.googlesource.com/platform/cts/+/10060c45baf30f53ae900c0f07777bc358e5f651", "10060c45baf30f53ae900c0f07777bc358e5f651")</f>
        <v>0</v>
      </c>
      <c r="D17965" t="s">
        <v>12326</v>
      </c>
      <c r="E17965" t="s">
        <v>14121</v>
      </c>
      <c r="F17965" t="s">
        <v>16834</v>
      </c>
      <c r="G17965" t="s">
        <v>19450</v>
      </c>
      <c r="H17965" t="s">
        <v>25696</v>
      </c>
      <c r="I17965" t="s">
        <v>1358</v>
      </c>
      <c r="J17965" t="s">
        <v>1358</v>
      </c>
      <c r="K17965" t="s">
        <v>1358</v>
      </c>
      <c r="L17965" t="s">
        <v>1358</v>
      </c>
    </row>
    <row r="17966" spans="1:14">
      <c r="A17966" t="s">
        <v>11608</v>
      </c>
      <c r="B17966">
        <f>HYPERLINK("https://android.googlesource.com/platform/cts/+/f427ddbad01aee1673ed6544fe00d925c3a0a23b", "f427ddbad01aee1673ed6544fe00d925c3a0a23b")</f>
        <v>0</v>
      </c>
      <c r="C17966">
        <f>HYPERLINK("https://android.googlesource.com/platform/cts/+/00b9d2c21d7dc282db6f43954a615d9281f31b75", "00b9d2c21d7dc282db6f43954a615d9281f31b75")</f>
        <v>0</v>
      </c>
      <c r="D17966" t="s">
        <v>12424</v>
      </c>
      <c r="E17966" t="s">
        <v>14122</v>
      </c>
      <c r="F17966" t="s">
        <v>17074</v>
      </c>
      <c r="G17966" t="s">
        <v>19670</v>
      </c>
      <c r="H17966" t="s">
        <v>25697</v>
      </c>
      <c r="I17966" t="s">
        <v>1357</v>
      </c>
      <c r="J17966" t="s">
        <v>1357</v>
      </c>
      <c r="K17966" t="s">
        <v>1357</v>
      </c>
      <c r="L17966" t="s">
        <v>1357</v>
      </c>
    </row>
    <row r="17967" spans="1:14">
      <c r="A17967" t="s">
        <v>11609</v>
      </c>
      <c r="B17967">
        <f>HYPERLINK("https://android.googlesource.com/platform/cts/+/3bc123cd9dbf8b6e05c6ef1e6d69b71bd982bfb6", "3bc123cd9dbf8b6e05c6ef1e6d69b71bd982bfb6")</f>
        <v>0</v>
      </c>
      <c r="C17967">
        <f>HYPERLINK("https://android.googlesource.com/platform/cts/+/5cc331ecf031cec9fb46eab8fca4bded3f459899", "5cc331ecf031cec9fb46eab8fca4bded3f459899")</f>
        <v>0</v>
      </c>
      <c r="D17967" t="s">
        <v>12022</v>
      </c>
      <c r="E17967" t="s">
        <v>14123</v>
      </c>
      <c r="F17967" t="s">
        <v>17057</v>
      </c>
      <c r="G17967" t="s">
        <v>19656</v>
      </c>
      <c r="H17967" t="s">
        <v>25698</v>
      </c>
      <c r="I17967" t="s">
        <v>1357</v>
      </c>
      <c r="J17967" t="s">
        <v>1357</v>
      </c>
      <c r="K17967" t="s">
        <v>1357</v>
      </c>
      <c r="L17967" t="s">
        <v>1357</v>
      </c>
    </row>
    <row r="17968" spans="1:14">
      <c r="A17968" t="s">
        <v>11610</v>
      </c>
      <c r="B17968">
        <f>HYPERLINK("https://android.googlesource.com/platform/cts/+/508fa7b6eeccfaed824f15bf21374d7d5a3a0654", "508fa7b6eeccfaed824f15bf21374d7d5a3a0654")</f>
        <v>0</v>
      </c>
      <c r="C17968">
        <f>HYPERLINK("https://android.googlesource.com/platform/cts/+/44759aad42644f2328a7a96757bc043cabf9629d", "44759aad42644f2328a7a96757bc043cabf9629d")</f>
        <v>0</v>
      </c>
      <c r="D17968" t="s">
        <v>12438</v>
      </c>
      <c r="E17968" t="s">
        <v>14124</v>
      </c>
      <c r="F17968" t="s">
        <v>17070</v>
      </c>
      <c r="G17968" t="s">
        <v>19667</v>
      </c>
      <c r="H17968" t="s">
        <v>25683</v>
      </c>
      <c r="I17968" t="s">
        <v>1357</v>
      </c>
      <c r="J17968" t="s">
        <v>1357</v>
      </c>
      <c r="K17968" t="s">
        <v>1357</v>
      </c>
      <c r="L17968" t="s">
        <v>1357</v>
      </c>
    </row>
    <row r="17969" spans="1:13">
      <c r="H17969" t="s">
        <v>25684</v>
      </c>
      <c r="I17969" t="s">
        <v>1357</v>
      </c>
      <c r="J17969" t="s">
        <v>1357</v>
      </c>
      <c r="K17969" t="s">
        <v>1357</v>
      </c>
      <c r="L17969" t="s">
        <v>1357</v>
      </c>
    </row>
    <row r="17970" spans="1:13">
      <c r="H17970" t="s">
        <v>25685</v>
      </c>
      <c r="I17970" t="s">
        <v>1357</v>
      </c>
      <c r="J17970" t="s">
        <v>1357</v>
      </c>
      <c r="K17970" t="s">
        <v>1357</v>
      </c>
      <c r="L17970" t="s">
        <v>1357</v>
      </c>
    </row>
    <row r="17971" spans="1:13">
      <c r="F17971" t="s">
        <v>17071</v>
      </c>
      <c r="G17971" t="s">
        <v>19668</v>
      </c>
      <c r="H17971" t="s">
        <v>25686</v>
      </c>
      <c r="I17971" t="s">
        <v>1357</v>
      </c>
      <c r="J17971" t="s">
        <v>1357</v>
      </c>
      <c r="K17971" t="s">
        <v>1357</v>
      </c>
      <c r="L17971" t="s">
        <v>1357</v>
      </c>
    </row>
    <row r="17972" spans="1:13">
      <c r="A17972" t="s">
        <v>11611</v>
      </c>
      <c r="B17972">
        <f>HYPERLINK("https://android.googlesource.com/platform/cts/+/8277bbafcbea38acc4b788a941a8b0280fe48c45", "8277bbafcbea38acc4b788a941a8b0280fe48c45")</f>
        <v>0</v>
      </c>
      <c r="C17972">
        <f>HYPERLINK("https://android.googlesource.com/platform/cts/+/29172309bbf6435784e3b958a24f697f5136715a", "29172309bbf6435784e3b958a24f697f5136715a")</f>
        <v>0</v>
      </c>
      <c r="D17972" t="s">
        <v>12435</v>
      </c>
      <c r="E17972" t="s">
        <v>14125</v>
      </c>
      <c r="F17972" t="s">
        <v>17007</v>
      </c>
      <c r="G17972" t="s">
        <v>19609</v>
      </c>
      <c r="H17972" t="s">
        <v>25657</v>
      </c>
      <c r="I17972" t="s">
        <v>1357</v>
      </c>
      <c r="J17972" t="s">
        <v>1357</v>
      </c>
      <c r="K17972" t="s">
        <v>1357</v>
      </c>
      <c r="L17972" t="s">
        <v>1357</v>
      </c>
      <c r="M17972" t="s">
        <v>9957</v>
      </c>
    </row>
    <row r="17973" spans="1:13">
      <c r="H17973" t="s">
        <v>25658</v>
      </c>
      <c r="I17973" t="s">
        <v>1357</v>
      </c>
      <c r="J17973" t="s">
        <v>1357</v>
      </c>
      <c r="K17973" t="s">
        <v>1357</v>
      </c>
      <c r="L17973" t="s">
        <v>1357</v>
      </c>
    </row>
    <row r="17974" spans="1:13">
      <c r="H17974" t="s">
        <v>25659</v>
      </c>
      <c r="I17974" t="s">
        <v>1357</v>
      </c>
      <c r="J17974" t="s">
        <v>1357</v>
      </c>
      <c r="K17974" t="s">
        <v>1357</v>
      </c>
      <c r="L17974" t="s">
        <v>1357</v>
      </c>
    </row>
    <row r="17975" spans="1:13">
      <c r="H17975" t="s">
        <v>25660</v>
      </c>
      <c r="I17975" t="s">
        <v>1357</v>
      </c>
      <c r="J17975" t="s">
        <v>1357</v>
      </c>
      <c r="K17975" t="s">
        <v>1357</v>
      </c>
      <c r="L17975" t="s">
        <v>1357</v>
      </c>
    </row>
    <row r="17976" spans="1:13">
      <c r="F17976" t="s">
        <v>17008</v>
      </c>
      <c r="G17976" t="s">
        <v>19610</v>
      </c>
      <c r="H17976" t="s">
        <v>25661</v>
      </c>
      <c r="I17976" t="s">
        <v>1357</v>
      </c>
      <c r="J17976" t="s">
        <v>1357</v>
      </c>
      <c r="K17976" t="s">
        <v>1357</v>
      </c>
      <c r="L17976" t="s">
        <v>1357</v>
      </c>
    </row>
    <row r="17977" spans="1:13">
      <c r="H17977" t="s">
        <v>25662</v>
      </c>
      <c r="I17977" t="s">
        <v>1357</v>
      </c>
      <c r="J17977" t="s">
        <v>1357</v>
      </c>
      <c r="K17977" t="s">
        <v>1357</v>
      </c>
      <c r="L17977" t="s">
        <v>1357</v>
      </c>
    </row>
    <row r="17978" spans="1:13">
      <c r="H17978" t="s">
        <v>25663</v>
      </c>
      <c r="I17978" t="s">
        <v>1357</v>
      </c>
      <c r="J17978" t="s">
        <v>1357</v>
      </c>
      <c r="K17978" t="s">
        <v>1357</v>
      </c>
      <c r="L17978" t="s">
        <v>1357</v>
      </c>
    </row>
    <row r="17979" spans="1:13">
      <c r="H17979" t="s">
        <v>25664</v>
      </c>
      <c r="I17979" t="s">
        <v>1357</v>
      </c>
      <c r="J17979" t="s">
        <v>1357</v>
      </c>
      <c r="K17979" t="s">
        <v>1357</v>
      </c>
      <c r="L17979" t="s">
        <v>1357</v>
      </c>
    </row>
    <row r="17980" spans="1:13">
      <c r="H17980" t="s">
        <v>25665</v>
      </c>
      <c r="I17980" t="s">
        <v>1357</v>
      </c>
      <c r="J17980" t="s">
        <v>1357</v>
      </c>
      <c r="K17980" t="s">
        <v>1357</v>
      </c>
      <c r="L17980" t="s">
        <v>1357</v>
      </c>
    </row>
    <row r="17981" spans="1:13">
      <c r="H17981" t="s">
        <v>25666</v>
      </c>
      <c r="I17981" t="s">
        <v>1357</v>
      </c>
      <c r="J17981" t="s">
        <v>1357</v>
      </c>
      <c r="K17981" t="s">
        <v>1357</v>
      </c>
      <c r="L17981" t="s">
        <v>1357</v>
      </c>
    </row>
    <row r="17982" spans="1:13">
      <c r="A17982" t="s">
        <v>11612</v>
      </c>
      <c r="B17982">
        <f>HYPERLINK("https://android.googlesource.com/platform/cts/+/3e430f34b417a246fec3be79828f16d2947d5d96", "3e430f34b417a246fec3be79828f16d2947d5d96")</f>
        <v>0</v>
      </c>
      <c r="C17982">
        <f>HYPERLINK("https://android.googlesource.com/platform/cts/+/62ccea72b764ba0504c42f4c1af66ac341babee8", "62ccea72b764ba0504c42f4c1af66ac341babee8")</f>
        <v>0</v>
      </c>
      <c r="D17982" t="s">
        <v>12348</v>
      </c>
      <c r="E17982" t="s">
        <v>14126</v>
      </c>
      <c r="F17982" t="s">
        <v>16996</v>
      </c>
      <c r="G17982" t="s">
        <v>19599</v>
      </c>
      <c r="H17982" t="s">
        <v>25699</v>
      </c>
      <c r="I17982" t="s">
        <v>1357</v>
      </c>
      <c r="J17982" t="s">
        <v>1357</v>
      </c>
      <c r="K17982" t="s">
        <v>1357</v>
      </c>
      <c r="L17982" t="s">
        <v>1357</v>
      </c>
    </row>
    <row r="17983" spans="1:13">
      <c r="H17983" t="s">
        <v>25700</v>
      </c>
      <c r="I17983" t="s">
        <v>1357</v>
      </c>
      <c r="J17983" t="s">
        <v>1357</v>
      </c>
      <c r="K17983" t="s">
        <v>1357</v>
      </c>
      <c r="L17983" t="s">
        <v>1357</v>
      </c>
    </row>
    <row r="17984" spans="1:13">
      <c r="F17984" t="s">
        <v>16997</v>
      </c>
      <c r="G17984" t="s">
        <v>19600</v>
      </c>
      <c r="H17984" t="s">
        <v>25699</v>
      </c>
      <c r="I17984" t="s">
        <v>1357</v>
      </c>
      <c r="J17984" t="s">
        <v>1357</v>
      </c>
      <c r="K17984" t="s">
        <v>1357</v>
      </c>
      <c r="L17984" t="s">
        <v>1357</v>
      </c>
    </row>
    <row r="17985" spans="1:13">
      <c r="H17985" t="s">
        <v>25700</v>
      </c>
      <c r="I17985" t="s">
        <v>1357</v>
      </c>
      <c r="J17985" t="s">
        <v>1357</v>
      </c>
      <c r="K17985" t="s">
        <v>1357</v>
      </c>
      <c r="L17985" t="s">
        <v>1357</v>
      </c>
    </row>
    <row r="17986" spans="1:13">
      <c r="A17986" t="s">
        <v>11613</v>
      </c>
      <c r="B17986">
        <f>HYPERLINK("https://android.googlesource.com/platform/cts/+/a04d6480062c773f3ec39059984e9fadfb085046", "a04d6480062c773f3ec39059984e9fadfb085046")</f>
        <v>0</v>
      </c>
      <c r="C17986">
        <f>HYPERLINK("https://android.googlesource.com/platform/cts/+/7664217338131316354a46ffe5f7591684f295f4", "7664217338131316354a46ffe5f7591684f295f4")</f>
        <v>0</v>
      </c>
      <c r="D17986" t="s">
        <v>12439</v>
      </c>
      <c r="E17986" t="s">
        <v>14127</v>
      </c>
      <c r="F17986" t="s">
        <v>17075</v>
      </c>
      <c r="G17986" t="s">
        <v>19671</v>
      </c>
      <c r="H17986" t="s">
        <v>25701</v>
      </c>
      <c r="I17986" t="s">
        <v>1357</v>
      </c>
      <c r="J17986" t="s">
        <v>1357</v>
      </c>
      <c r="K17986" t="s">
        <v>1357</v>
      </c>
      <c r="L17986" t="s">
        <v>1357</v>
      </c>
    </row>
    <row r="17987" spans="1:13">
      <c r="A17987" t="s">
        <v>11614</v>
      </c>
      <c r="B17987">
        <f>HYPERLINK("https://android.googlesource.com/platform/cts/+/877369606b43987d33c7bd79e36bbbd28393aad7", "877369606b43987d33c7bd79e36bbbd28393aad7")</f>
        <v>0</v>
      </c>
      <c r="C17987">
        <f>HYPERLINK("https://android.googlesource.com/platform/cts/+/0563cc2ea1665ea784f6f4c33d61b4dba2f1d90a", "0563cc2ea1665ea784f6f4c33d61b4dba2f1d90a")</f>
        <v>0</v>
      </c>
      <c r="D17987" t="s">
        <v>12439</v>
      </c>
      <c r="E17987" t="s">
        <v>14128</v>
      </c>
      <c r="F17987" t="s">
        <v>17075</v>
      </c>
      <c r="G17987" t="s">
        <v>19671</v>
      </c>
      <c r="H17987" t="s">
        <v>25701</v>
      </c>
      <c r="I17987" t="s">
        <v>1357</v>
      </c>
      <c r="J17987" t="s">
        <v>1357</v>
      </c>
      <c r="K17987" t="s">
        <v>1357</v>
      </c>
      <c r="L17987" t="s">
        <v>1357</v>
      </c>
      <c r="M17987" t="s">
        <v>9957</v>
      </c>
    </row>
    <row r="17988" spans="1:13">
      <c r="A17988" t="s">
        <v>11615</v>
      </c>
      <c r="B17988">
        <f>HYPERLINK("https://android.googlesource.com/platform/cts/+/f6c8f9156f57a8c7a7915965cd9221c038dc1848", "f6c8f9156f57a8c7a7915965cd9221c038dc1848")</f>
        <v>0</v>
      </c>
      <c r="C17988">
        <f>HYPERLINK("https://android.googlesource.com/platform/cts/+/88447a0721522681668c34a9adad9db2375f3ad3", "88447a0721522681668c34a9adad9db2375f3ad3")</f>
        <v>0</v>
      </c>
      <c r="D17988" t="s">
        <v>12440</v>
      </c>
      <c r="E17988" t="s">
        <v>14129</v>
      </c>
      <c r="F17988" t="s">
        <v>17076</v>
      </c>
      <c r="G17988" t="s">
        <v>19672</v>
      </c>
      <c r="H17988" t="s">
        <v>25702</v>
      </c>
      <c r="I17988" t="s">
        <v>1357</v>
      </c>
      <c r="J17988" t="s">
        <v>1357</v>
      </c>
      <c r="K17988" t="s">
        <v>1357</v>
      </c>
      <c r="L17988" t="s">
        <v>1357</v>
      </c>
    </row>
    <row r="17989" spans="1:13">
      <c r="A17989" t="s">
        <v>11616</v>
      </c>
      <c r="B17989">
        <f>HYPERLINK("https://android.googlesource.com/platform/cts/+/844415b0fbdd3ba69e67263a0d7f220c4d45aad8", "844415b0fbdd3ba69e67263a0d7f220c4d45aad8")</f>
        <v>0</v>
      </c>
      <c r="C17989">
        <f>HYPERLINK("https://android.googlesource.com/platform/cts/+/ec975bf3456b3e0c4a645dd4d3ba6e25a443f5ac", "ec975bf3456b3e0c4a645dd4d3ba6e25a443f5ac")</f>
        <v>0</v>
      </c>
      <c r="D17989" t="s">
        <v>12372</v>
      </c>
      <c r="E17989" t="s">
        <v>14130</v>
      </c>
      <c r="F17989" t="s">
        <v>16048</v>
      </c>
      <c r="G17989" t="s">
        <v>18739</v>
      </c>
      <c r="H17989" t="s">
        <v>25703</v>
      </c>
      <c r="I17989" t="s">
        <v>1357</v>
      </c>
      <c r="J17989" t="s">
        <v>1357</v>
      </c>
      <c r="K17989" t="s">
        <v>1357</v>
      </c>
      <c r="L17989" t="s">
        <v>1357</v>
      </c>
    </row>
    <row r="17990" spans="1:13">
      <c r="H17990" t="s">
        <v>25704</v>
      </c>
      <c r="I17990" t="s">
        <v>1357</v>
      </c>
      <c r="J17990" t="s">
        <v>1357</v>
      </c>
      <c r="K17990" t="s">
        <v>1357</v>
      </c>
      <c r="L17990" t="s">
        <v>1357</v>
      </c>
    </row>
    <row r="17991" spans="1:13">
      <c r="A17991" t="s">
        <v>11617</v>
      </c>
      <c r="B17991">
        <f>HYPERLINK("https://android.googlesource.com/platform/cts/+/c5da66ad93ecaf52420b8ff9667fe62e53fd71a5", "c5da66ad93ecaf52420b8ff9667fe62e53fd71a5")</f>
        <v>0</v>
      </c>
      <c r="C17991">
        <f>HYPERLINK("https://android.googlesource.com/platform/cts/+/8ebd21feea7d79325ce546f24d38cbd233704c37", "8ebd21feea7d79325ce546f24d38cbd233704c37")</f>
        <v>0</v>
      </c>
      <c r="D17991" t="s">
        <v>12441</v>
      </c>
      <c r="E17991" t="s">
        <v>14131</v>
      </c>
      <c r="F17991" t="s">
        <v>17077</v>
      </c>
      <c r="G17991" t="s">
        <v>19420</v>
      </c>
      <c r="H17991" t="s">
        <v>25705</v>
      </c>
      <c r="I17991" t="s">
        <v>1357</v>
      </c>
      <c r="J17991" t="s">
        <v>1357</v>
      </c>
      <c r="K17991" t="s">
        <v>1357</v>
      </c>
      <c r="L17991" t="s">
        <v>1357</v>
      </c>
    </row>
    <row r="17992" spans="1:13">
      <c r="A17992" t="s">
        <v>11618</v>
      </c>
      <c r="B17992">
        <f>HYPERLINK("https://android.googlesource.com/platform/cts/+/d3420a571f0ad9dd0bda47069694ed3ff21414e5", "d3420a571f0ad9dd0bda47069694ed3ff21414e5")</f>
        <v>0</v>
      </c>
      <c r="C17992">
        <f>HYPERLINK("https://android.googlesource.com/platform/cts/+/46d4255b981b1251033bf4dc7d523d6f05fc8adf", "46d4255b981b1251033bf4dc7d523d6f05fc8adf")</f>
        <v>0</v>
      </c>
      <c r="D17992" t="s">
        <v>12381</v>
      </c>
      <c r="E17992" t="s">
        <v>14132</v>
      </c>
      <c r="F17992" t="s">
        <v>17078</v>
      </c>
      <c r="G17992" t="s">
        <v>19673</v>
      </c>
      <c r="H17992" t="s">
        <v>25706</v>
      </c>
      <c r="I17992" t="s">
        <v>1357</v>
      </c>
      <c r="J17992" t="s">
        <v>1357</v>
      </c>
      <c r="K17992" t="s">
        <v>1357</v>
      </c>
      <c r="L17992" t="s">
        <v>1357</v>
      </c>
    </row>
    <row r="17993" spans="1:13">
      <c r="A17993" t="s">
        <v>11619</v>
      </c>
      <c r="B17993">
        <f>HYPERLINK("https://android.googlesource.com/platform/cts/+/d21e4d043a67a278ff5c4a640f53fe4f9900c929", "d21e4d043a67a278ff5c4a640f53fe4f9900c929")</f>
        <v>0</v>
      </c>
      <c r="C17993">
        <f>HYPERLINK("https://android.googlesource.com/platform/cts/+/76b21a1a35b64496b837ceaf0a5d4040c4875180", "76b21a1a35b64496b837ceaf0a5d4040c4875180")</f>
        <v>0</v>
      </c>
      <c r="D17993" t="s">
        <v>12102</v>
      </c>
      <c r="E17993" t="s">
        <v>14133</v>
      </c>
      <c r="F17993" t="s">
        <v>16682</v>
      </c>
      <c r="G17993" t="s">
        <v>19314</v>
      </c>
      <c r="H17993" t="s">
        <v>25707</v>
      </c>
      <c r="I17993" t="s">
        <v>1357</v>
      </c>
      <c r="J17993" t="s">
        <v>1357</v>
      </c>
      <c r="K17993" t="s">
        <v>1357</v>
      </c>
      <c r="L17993" t="s">
        <v>1357</v>
      </c>
    </row>
    <row r="17994" spans="1:13">
      <c r="H17994" t="s">
        <v>25708</v>
      </c>
      <c r="I17994" t="s">
        <v>1357</v>
      </c>
      <c r="J17994" t="s">
        <v>1357</v>
      </c>
      <c r="K17994" t="s">
        <v>1357</v>
      </c>
      <c r="L17994" t="s">
        <v>1357</v>
      </c>
    </row>
    <row r="17995" spans="1:13">
      <c r="H17995" t="s">
        <v>25709</v>
      </c>
      <c r="I17995" t="s">
        <v>1357</v>
      </c>
      <c r="J17995" t="s">
        <v>1357</v>
      </c>
      <c r="K17995" t="s">
        <v>1357</v>
      </c>
      <c r="L17995" t="s">
        <v>1357</v>
      </c>
    </row>
    <row r="17996" spans="1:13">
      <c r="H17996" t="s">
        <v>25710</v>
      </c>
      <c r="I17996" t="s">
        <v>1357</v>
      </c>
      <c r="J17996" t="s">
        <v>1357</v>
      </c>
      <c r="K17996" t="s">
        <v>1357</v>
      </c>
      <c r="L17996" t="s">
        <v>1357</v>
      </c>
    </row>
    <row r="17997" spans="1:13">
      <c r="H17997" t="s">
        <v>25711</v>
      </c>
      <c r="I17997" t="s">
        <v>1357</v>
      </c>
      <c r="J17997" t="s">
        <v>1357</v>
      </c>
      <c r="K17997" t="s">
        <v>1357</v>
      </c>
      <c r="L17997" t="s">
        <v>1357</v>
      </c>
    </row>
    <row r="17998" spans="1:13">
      <c r="A17998" t="s">
        <v>11620</v>
      </c>
      <c r="B17998">
        <f>HYPERLINK("https://android.googlesource.com/platform/cts/+/5ec64f5c564f9aeaab97766862c333181edeac44", "5ec64f5c564f9aeaab97766862c333181edeac44")</f>
        <v>0</v>
      </c>
      <c r="C17998">
        <f>HYPERLINK("https://android.googlesource.com/platform/cts/+/88fc0a0863c80320d29616186f6eaae47f71591e", "88fc0a0863c80320d29616186f6eaae47f71591e")</f>
        <v>0</v>
      </c>
      <c r="D17998" t="s">
        <v>12326</v>
      </c>
      <c r="E17998" t="s">
        <v>14134</v>
      </c>
      <c r="F17998" t="s">
        <v>16834</v>
      </c>
      <c r="G17998" t="s">
        <v>19450</v>
      </c>
      <c r="H17998" t="s">
        <v>25712</v>
      </c>
      <c r="I17998" t="s">
        <v>1357</v>
      </c>
      <c r="J17998" t="s">
        <v>1357</v>
      </c>
      <c r="K17998" t="s">
        <v>1357</v>
      </c>
      <c r="L17998" t="s">
        <v>1357</v>
      </c>
    </row>
    <row r="17999" spans="1:13">
      <c r="A17999" t="s">
        <v>11621</v>
      </c>
      <c r="B17999">
        <f>HYPERLINK("https://android.googlesource.com/platform/cts/+/4abe91d464e849cdee2ad325cfdd24a8ae48e446", "4abe91d464e849cdee2ad325cfdd24a8ae48e446")</f>
        <v>0</v>
      </c>
      <c r="C17999">
        <f>HYPERLINK("https://android.googlesource.com/platform/cts/+/9a7361602b746fb1bc7d0d17f88b7d503eaffb46", "9a7361602b746fb1bc7d0d17f88b7d503eaffb46")</f>
        <v>0</v>
      </c>
      <c r="D17999" t="s">
        <v>12339</v>
      </c>
      <c r="E17999" t="s">
        <v>14135</v>
      </c>
      <c r="F17999" t="s">
        <v>17079</v>
      </c>
      <c r="G17999" t="s">
        <v>19674</v>
      </c>
      <c r="H17999" t="s">
        <v>25713</v>
      </c>
      <c r="I17999" t="s">
        <v>1357</v>
      </c>
      <c r="J17999" t="s">
        <v>1357</v>
      </c>
      <c r="K17999" t="s">
        <v>1357</v>
      </c>
      <c r="L17999" t="s">
        <v>1357</v>
      </c>
    </row>
    <row r="18000" spans="1:13">
      <c r="A18000" t="s">
        <v>11622</v>
      </c>
      <c r="B18000">
        <f>HYPERLINK("https://android.googlesource.com/platform/cts/+/25e29b0f9979ca7b2806491564f246376feb9e9f", "25e29b0f9979ca7b2806491564f246376feb9e9f")</f>
        <v>0</v>
      </c>
      <c r="C18000">
        <f>HYPERLINK("https://android.googlesource.com/platform/cts/+/33d78c89d164b033729f0ca17e87ab26afe9e423", "33d78c89d164b033729f0ca17e87ab26afe9e423")</f>
        <v>0</v>
      </c>
      <c r="D18000" t="s">
        <v>12306</v>
      </c>
      <c r="E18000" t="s">
        <v>14136</v>
      </c>
      <c r="F18000" t="s">
        <v>17080</v>
      </c>
      <c r="G18000" t="s">
        <v>19603</v>
      </c>
      <c r="H18000" t="s">
        <v>25714</v>
      </c>
      <c r="I18000" t="s">
        <v>1358</v>
      </c>
      <c r="J18000" t="s">
        <v>1358</v>
      </c>
      <c r="K18000" t="s">
        <v>1358</v>
      </c>
      <c r="L18000" t="s">
        <v>1358</v>
      </c>
    </row>
    <row r="18001" spans="1:13">
      <c r="H18001" t="s">
        <v>25715</v>
      </c>
      <c r="I18001" t="s">
        <v>1358</v>
      </c>
      <c r="J18001" t="s">
        <v>1358</v>
      </c>
      <c r="K18001" t="s">
        <v>1358</v>
      </c>
      <c r="L18001" t="s">
        <v>1358</v>
      </c>
      <c r="M18001" t="s">
        <v>1361</v>
      </c>
    </row>
    <row r="18002" spans="1:13">
      <c r="F18002" t="s">
        <v>17081</v>
      </c>
      <c r="G18002" t="s">
        <v>19675</v>
      </c>
      <c r="H18002" t="s">
        <v>25714</v>
      </c>
      <c r="I18002" t="s">
        <v>1358</v>
      </c>
      <c r="J18002" t="s">
        <v>1358</v>
      </c>
      <c r="K18002" t="s">
        <v>1358</v>
      </c>
      <c r="L18002" t="s">
        <v>1358</v>
      </c>
    </row>
    <row r="18003" spans="1:13">
      <c r="H18003" t="s">
        <v>25715</v>
      </c>
      <c r="I18003" t="s">
        <v>1358</v>
      </c>
      <c r="J18003" t="s">
        <v>1358</v>
      </c>
      <c r="K18003" t="s">
        <v>1358</v>
      </c>
      <c r="L18003" t="s">
        <v>1358</v>
      </c>
    </row>
    <row r="18004" spans="1:13">
      <c r="F18004" t="s">
        <v>17082</v>
      </c>
      <c r="G18004" t="s">
        <v>19676</v>
      </c>
      <c r="H18004" t="s">
        <v>25714</v>
      </c>
      <c r="I18004" t="s">
        <v>1358</v>
      </c>
      <c r="J18004" t="s">
        <v>1358</v>
      </c>
      <c r="K18004" t="s">
        <v>1358</v>
      </c>
      <c r="L18004" t="s">
        <v>1358</v>
      </c>
    </row>
    <row r="18005" spans="1:13">
      <c r="H18005" t="s">
        <v>25715</v>
      </c>
      <c r="I18005" t="s">
        <v>1358</v>
      </c>
      <c r="J18005" t="s">
        <v>1358</v>
      </c>
      <c r="K18005" t="s">
        <v>1358</v>
      </c>
      <c r="L18005" t="s">
        <v>1358</v>
      </c>
    </row>
    <row r="18006" spans="1:13">
      <c r="F18006" t="s">
        <v>17083</v>
      </c>
      <c r="G18006" t="s">
        <v>19677</v>
      </c>
      <c r="H18006" t="s">
        <v>25714</v>
      </c>
      <c r="I18006" t="s">
        <v>1358</v>
      </c>
      <c r="J18006" t="s">
        <v>1358</v>
      </c>
      <c r="K18006" t="s">
        <v>1358</v>
      </c>
      <c r="L18006" t="s">
        <v>1358</v>
      </c>
    </row>
    <row r="18007" spans="1:13">
      <c r="H18007" t="s">
        <v>25715</v>
      </c>
      <c r="I18007" t="s">
        <v>1358</v>
      </c>
      <c r="J18007" t="s">
        <v>1358</v>
      </c>
      <c r="K18007" t="s">
        <v>1358</v>
      </c>
      <c r="L18007" t="s">
        <v>1358</v>
      </c>
    </row>
    <row r="18008" spans="1:13">
      <c r="F18008" t="s">
        <v>17084</v>
      </c>
      <c r="G18008" t="s">
        <v>19678</v>
      </c>
      <c r="H18008" t="s">
        <v>25714</v>
      </c>
      <c r="I18008" t="s">
        <v>1358</v>
      </c>
      <c r="J18008" t="s">
        <v>1358</v>
      </c>
      <c r="K18008" t="s">
        <v>1358</v>
      </c>
      <c r="L18008" t="s">
        <v>1358</v>
      </c>
    </row>
    <row r="18009" spans="1:13">
      <c r="H18009" t="s">
        <v>25715</v>
      </c>
      <c r="I18009" t="s">
        <v>1358</v>
      </c>
      <c r="J18009" t="s">
        <v>1358</v>
      </c>
      <c r="K18009" t="s">
        <v>1358</v>
      </c>
      <c r="L18009" t="s">
        <v>1358</v>
      </c>
    </row>
    <row r="18010" spans="1:13">
      <c r="F18010" t="s">
        <v>17085</v>
      </c>
      <c r="G18010" t="s">
        <v>19679</v>
      </c>
      <c r="H18010" t="s">
        <v>25714</v>
      </c>
      <c r="I18010" t="s">
        <v>1358</v>
      </c>
      <c r="J18010" t="s">
        <v>1358</v>
      </c>
      <c r="K18010" t="s">
        <v>1358</v>
      </c>
      <c r="L18010" t="s">
        <v>1358</v>
      </c>
    </row>
    <row r="18011" spans="1:13">
      <c r="H18011" t="s">
        <v>25715</v>
      </c>
      <c r="I18011" t="s">
        <v>1358</v>
      </c>
      <c r="J18011" t="s">
        <v>1358</v>
      </c>
      <c r="K18011" t="s">
        <v>1358</v>
      </c>
      <c r="L18011" t="s">
        <v>1358</v>
      </c>
    </row>
    <row r="18012" spans="1:13">
      <c r="F18012" t="s">
        <v>17086</v>
      </c>
      <c r="G18012" t="s">
        <v>19680</v>
      </c>
      <c r="H18012" t="s">
        <v>25714</v>
      </c>
      <c r="I18012" t="s">
        <v>1358</v>
      </c>
      <c r="J18012" t="s">
        <v>1358</v>
      </c>
      <c r="K18012" t="s">
        <v>1358</v>
      </c>
      <c r="L18012" t="s">
        <v>1358</v>
      </c>
    </row>
    <row r="18013" spans="1:13">
      <c r="H18013" t="s">
        <v>25715</v>
      </c>
      <c r="I18013" t="s">
        <v>1358</v>
      </c>
      <c r="J18013" t="s">
        <v>1358</v>
      </c>
      <c r="K18013" t="s">
        <v>1358</v>
      </c>
      <c r="L18013" t="s">
        <v>1358</v>
      </c>
    </row>
    <row r="18014" spans="1:13">
      <c r="A18014" t="s">
        <v>11623</v>
      </c>
      <c r="B18014">
        <f>HYPERLINK("https://android.googlesource.com/platform/cts/+/cfda91d6f75a354a484e9a44d80943016650280d", "cfda91d6f75a354a484e9a44d80943016650280d")</f>
        <v>0</v>
      </c>
      <c r="C18014">
        <f>HYPERLINK("https://android.googlesource.com/platform/cts/+/9e43735f96dc7b5f4107885469197498aa34c451", "9e43735f96dc7b5f4107885469197498aa34c451")</f>
        <v>0</v>
      </c>
      <c r="D18014" t="s">
        <v>12306</v>
      </c>
      <c r="E18014" t="s">
        <v>14137</v>
      </c>
      <c r="F18014" t="s">
        <v>17087</v>
      </c>
      <c r="G18014" t="s">
        <v>19681</v>
      </c>
      <c r="H18014" t="s">
        <v>25716</v>
      </c>
      <c r="I18014" t="s">
        <v>1357</v>
      </c>
      <c r="J18014" t="s">
        <v>1357</v>
      </c>
      <c r="K18014" t="s">
        <v>1357</v>
      </c>
      <c r="L18014" t="s">
        <v>1357</v>
      </c>
    </row>
    <row r="18015" spans="1:13">
      <c r="H18015" t="s">
        <v>25717</v>
      </c>
      <c r="I18015" t="s">
        <v>1357</v>
      </c>
      <c r="J18015" t="s">
        <v>1357</v>
      </c>
      <c r="K18015" t="s">
        <v>1357</v>
      </c>
      <c r="L18015" t="s">
        <v>1357</v>
      </c>
    </row>
    <row r="18016" spans="1:13">
      <c r="H18016" t="s">
        <v>25718</v>
      </c>
      <c r="I18016" t="s">
        <v>1357</v>
      </c>
      <c r="J18016" t="s">
        <v>1357</v>
      </c>
      <c r="K18016" t="s">
        <v>1357</v>
      </c>
      <c r="L18016" t="s">
        <v>1357</v>
      </c>
    </row>
    <row r="18017" spans="1:12">
      <c r="H18017" t="s">
        <v>25719</v>
      </c>
      <c r="I18017" t="s">
        <v>1357</v>
      </c>
      <c r="J18017" t="s">
        <v>1357</v>
      </c>
      <c r="K18017" t="s">
        <v>1357</v>
      </c>
      <c r="L18017" t="s">
        <v>1357</v>
      </c>
    </row>
    <row r="18018" spans="1:12">
      <c r="A18018" t="s">
        <v>11624</v>
      </c>
      <c r="B18018">
        <f>HYPERLINK("https://android.googlesource.com/platform/cts/+/a0193e8b64626f92c6a36cb0e0e2219fbcce0b4f", "a0193e8b64626f92c6a36cb0e0e2219fbcce0b4f")</f>
        <v>0</v>
      </c>
      <c r="C18018">
        <f>HYPERLINK("https://android.googlesource.com/platform/cts/+/b6457332199d648e6e29c0d6d8747740e9a04ee9", "b6457332199d648e6e29c0d6d8747740e9a04ee9")</f>
        <v>0</v>
      </c>
      <c r="D18018" t="s">
        <v>12306</v>
      </c>
      <c r="E18018" t="s">
        <v>14138</v>
      </c>
      <c r="F18018" t="s">
        <v>16138</v>
      </c>
      <c r="G18018" t="s">
        <v>18822</v>
      </c>
      <c r="H18018" t="s">
        <v>25720</v>
      </c>
      <c r="I18018" t="s">
        <v>1357</v>
      </c>
      <c r="J18018" t="s">
        <v>1357</v>
      </c>
      <c r="K18018" t="s">
        <v>1357</v>
      </c>
      <c r="L18018" t="s">
        <v>1357</v>
      </c>
    </row>
    <row r="18019" spans="1:12">
      <c r="F18019" t="s">
        <v>16682</v>
      </c>
      <c r="G18019" t="s">
        <v>19314</v>
      </c>
      <c r="H18019" t="s">
        <v>24343</v>
      </c>
      <c r="I18019" t="s">
        <v>1357</v>
      </c>
      <c r="J18019" t="s">
        <v>1357</v>
      </c>
      <c r="K18019" t="s">
        <v>1357</v>
      </c>
      <c r="L18019" t="s">
        <v>1357</v>
      </c>
    </row>
    <row r="18020" spans="1:12">
      <c r="A18020" t="s">
        <v>11625</v>
      </c>
      <c r="B18020">
        <f>HYPERLINK("https://android.googlesource.com/platform/cts/+/4465c1053e4c9d1b0fd47f79ab2fccef46cbfbc3", "4465c1053e4c9d1b0fd47f79ab2fccef46cbfbc3")</f>
        <v>0</v>
      </c>
      <c r="C18020">
        <f>HYPERLINK("https://android.googlesource.com/platform/cts/+/545ce33e994bc6d43612636f079859f9d0596986", "545ce33e994bc6d43612636f079859f9d0596986")</f>
        <v>0</v>
      </c>
      <c r="D18020" t="s">
        <v>12442</v>
      </c>
      <c r="E18020" t="s">
        <v>14139</v>
      </c>
      <c r="F18020" t="s">
        <v>16746</v>
      </c>
      <c r="G18020" t="s">
        <v>19375</v>
      </c>
      <c r="H18020" t="s">
        <v>25721</v>
      </c>
      <c r="I18020" t="s">
        <v>1357</v>
      </c>
      <c r="J18020" t="s">
        <v>1357</v>
      </c>
      <c r="K18020" t="s">
        <v>1357</v>
      </c>
      <c r="L18020" t="s">
        <v>1357</v>
      </c>
    </row>
    <row r="18021" spans="1:12">
      <c r="A18021" t="s">
        <v>11626</v>
      </c>
      <c r="B18021">
        <f>HYPERLINK("https://android.googlesource.com/platform/cts/+/829d5e4e7304464c4722555c3529fc6210df262f", "829d5e4e7304464c4722555c3529fc6210df262f")</f>
        <v>0</v>
      </c>
      <c r="C18021">
        <f>HYPERLINK("https://android.googlesource.com/platform/cts/+/bd81f2228d771aac9808212899a600effc59ffc6", "bd81f2228d771aac9808212899a600effc59ffc6")</f>
        <v>0</v>
      </c>
      <c r="D18021" t="s">
        <v>12443</v>
      </c>
      <c r="E18021" t="s">
        <v>14140</v>
      </c>
      <c r="F18021" t="s">
        <v>16054</v>
      </c>
      <c r="G18021" t="s">
        <v>18745</v>
      </c>
      <c r="H18021" t="s">
        <v>25722</v>
      </c>
      <c r="I18021" t="s">
        <v>1357</v>
      </c>
      <c r="J18021" t="s">
        <v>1357</v>
      </c>
      <c r="K18021" t="s">
        <v>1357</v>
      </c>
      <c r="L18021" t="s">
        <v>1357</v>
      </c>
    </row>
    <row r="18022" spans="1:12">
      <c r="H18022" t="s">
        <v>25723</v>
      </c>
      <c r="I18022" t="s">
        <v>1357</v>
      </c>
      <c r="J18022" t="s">
        <v>1357</v>
      </c>
      <c r="K18022" t="s">
        <v>1357</v>
      </c>
      <c r="L18022" t="s">
        <v>1357</v>
      </c>
    </row>
    <row r="18023" spans="1:12">
      <c r="H18023" t="s">
        <v>25724</v>
      </c>
      <c r="I18023" t="s">
        <v>1357</v>
      </c>
      <c r="J18023" t="s">
        <v>1357</v>
      </c>
      <c r="K18023" t="s">
        <v>1357</v>
      </c>
      <c r="L18023" t="s">
        <v>1357</v>
      </c>
    </row>
    <row r="18024" spans="1:12">
      <c r="A18024" t="s">
        <v>11627</v>
      </c>
      <c r="B18024">
        <f>HYPERLINK("https://android.googlesource.com/platform/cts/+/f22c02928c1dbd70085f31d59da32d1f928a6469", "f22c02928c1dbd70085f31d59da32d1f928a6469")</f>
        <v>0</v>
      </c>
      <c r="C18024">
        <f>HYPERLINK("https://android.googlesource.com/platform/cts/+/fd59cf5951ea7faa766ff9d66dece20fba341965", "fd59cf5951ea7faa766ff9d66dece20fba341965")</f>
        <v>0</v>
      </c>
      <c r="D18024" t="s">
        <v>12272</v>
      </c>
      <c r="E18024" t="s">
        <v>14141</v>
      </c>
      <c r="F18024" t="s">
        <v>17088</v>
      </c>
      <c r="G18024" t="s">
        <v>19682</v>
      </c>
      <c r="H18024" t="s">
        <v>25725</v>
      </c>
      <c r="I18024" t="s">
        <v>1357</v>
      </c>
      <c r="J18024" t="s">
        <v>1357</v>
      </c>
      <c r="K18024" t="s">
        <v>1357</v>
      </c>
      <c r="L18024" t="s">
        <v>1357</v>
      </c>
    </row>
    <row r="18025" spans="1:12">
      <c r="H18025" t="s">
        <v>25726</v>
      </c>
      <c r="I18025" t="s">
        <v>1357</v>
      </c>
      <c r="J18025" t="s">
        <v>1357</v>
      </c>
      <c r="K18025" t="s">
        <v>1357</v>
      </c>
      <c r="L18025" t="s">
        <v>1357</v>
      </c>
    </row>
    <row r="18026" spans="1:12">
      <c r="H18026" t="s">
        <v>25727</v>
      </c>
      <c r="I18026" t="s">
        <v>1357</v>
      </c>
      <c r="J18026" t="s">
        <v>1357</v>
      </c>
      <c r="K18026" t="s">
        <v>1357</v>
      </c>
      <c r="L18026" t="s">
        <v>1357</v>
      </c>
    </row>
    <row r="18027" spans="1:12">
      <c r="H18027" t="s">
        <v>25728</v>
      </c>
      <c r="I18027" t="s">
        <v>1357</v>
      </c>
      <c r="J18027" t="s">
        <v>1357</v>
      </c>
      <c r="K18027" t="s">
        <v>1357</v>
      </c>
      <c r="L18027" t="s">
        <v>1357</v>
      </c>
    </row>
    <row r="18028" spans="1:12">
      <c r="F18028" t="s">
        <v>17089</v>
      </c>
      <c r="G18028" t="s">
        <v>19683</v>
      </c>
      <c r="H18028" t="s">
        <v>25729</v>
      </c>
      <c r="I18028" t="s">
        <v>1357</v>
      </c>
      <c r="J18028" t="s">
        <v>1357</v>
      </c>
      <c r="K18028" t="s">
        <v>1357</v>
      </c>
      <c r="L18028" t="s">
        <v>1357</v>
      </c>
    </row>
    <row r="18029" spans="1:12">
      <c r="H18029" t="s">
        <v>25730</v>
      </c>
      <c r="I18029" t="s">
        <v>1357</v>
      </c>
      <c r="J18029" t="s">
        <v>1357</v>
      </c>
      <c r="K18029" t="s">
        <v>1357</v>
      </c>
      <c r="L18029" t="s">
        <v>1357</v>
      </c>
    </row>
    <row r="18030" spans="1:12">
      <c r="A18030" t="s">
        <v>11628</v>
      </c>
      <c r="B18030">
        <f>HYPERLINK("https://android.googlesource.com/platform/cts/+/92236ff8b2cb5085333a6847e97fde12c2ed32d1", "92236ff8b2cb5085333a6847e97fde12c2ed32d1")</f>
        <v>0</v>
      </c>
      <c r="C18030">
        <f>HYPERLINK("https://android.googlesource.com/platform/cts/+/a22031ffe4e9c114edaf40f834602f42baf2e8ea", "a22031ffe4e9c114edaf40f834602f42baf2e8ea")</f>
        <v>0</v>
      </c>
      <c r="D18030" t="s">
        <v>12444</v>
      </c>
      <c r="E18030" t="s">
        <v>14142</v>
      </c>
      <c r="F18030" t="s">
        <v>17090</v>
      </c>
      <c r="G18030" t="s">
        <v>19684</v>
      </c>
      <c r="H18030" t="s">
        <v>25731</v>
      </c>
      <c r="I18030" t="s">
        <v>1357</v>
      </c>
      <c r="J18030" t="s">
        <v>1357</v>
      </c>
      <c r="K18030" t="s">
        <v>1357</v>
      </c>
      <c r="L18030" t="s">
        <v>1357</v>
      </c>
    </row>
    <row r="18031" spans="1:12">
      <c r="A18031" t="s">
        <v>11629</v>
      </c>
      <c r="B18031">
        <f>HYPERLINK("https://android.googlesource.com/platform/cts/+/a28785a14c67a24877f1d48aa0956fd122c82a05", "a28785a14c67a24877f1d48aa0956fd122c82a05")</f>
        <v>0</v>
      </c>
      <c r="C18031">
        <f>HYPERLINK("https://android.googlesource.com/platform/cts/+/2351a964deb1dc06db025e0c433a8d696b84596b", "2351a964deb1dc06db025e0c433a8d696b84596b")</f>
        <v>0</v>
      </c>
      <c r="D18031" t="s">
        <v>12348</v>
      </c>
      <c r="E18031" t="s">
        <v>14143</v>
      </c>
      <c r="F18031" t="s">
        <v>17091</v>
      </c>
      <c r="G18031" t="s">
        <v>19685</v>
      </c>
      <c r="H18031" t="s">
        <v>25732</v>
      </c>
      <c r="I18031" t="s">
        <v>1358</v>
      </c>
      <c r="J18031" t="s">
        <v>1358</v>
      </c>
      <c r="K18031" t="s">
        <v>1358</v>
      </c>
      <c r="L18031" t="s">
        <v>1358</v>
      </c>
    </row>
    <row r="18032" spans="1:12">
      <c r="A18032" t="s">
        <v>11630</v>
      </c>
      <c r="B18032">
        <f>HYPERLINK("https://android.googlesource.com/platform/cts/+/e0453ae822136b3ee591aefeaa3efd9c9e8b4217", "e0453ae822136b3ee591aefeaa3efd9c9e8b4217")</f>
        <v>0</v>
      </c>
      <c r="C18032">
        <f>HYPERLINK("https://android.googlesource.com/platform/cts/+/20687daf1bffe90dcfeaf6fe0fc281f2c38f3b6d", "20687daf1bffe90dcfeaf6fe0fc281f2c38f3b6d")</f>
        <v>0</v>
      </c>
      <c r="D18032" t="s">
        <v>12199</v>
      </c>
      <c r="E18032" t="s">
        <v>14144</v>
      </c>
      <c r="F18032" t="s">
        <v>17092</v>
      </c>
      <c r="G18032" t="s">
        <v>19686</v>
      </c>
      <c r="H18032" t="s">
        <v>25733</v>
      </c>
      <c r="I18032" t="s">
        <v>1357</v>
      </c>
      <c r="J18032" t="s">
        <v>1357</v>
      </c>
      <c r="K18032" t="s">
        <v>1357</v>
      </c>
      <c r="L18032" t="s">
        <v>1357</v>
      </c>
    </row>
    <row r="18033" spans="1:12">
      <c r="A18033" t="s">
        <v>11631</v>
      </c>
      <c r="B18033">
        <f>HYPERLINK("https://android.googlesource.com/platform/cts/+/829386b620dde8170ae47533a3b6b7bd75bc7565", "829386b620dde8170ae47533a3b6b7bd75bc7565")</f>
        <v>0</v>
      </c>
      <c r="C18033">
        <f>HYPERLINK("https://android.googlesource.com/platform/cts/+/1355cadedc27797470a534de824c05beba313736", "1355cadedc27797470a534de824c05beba313736")</f>
        <v>0</v>
      </c>
      <c r="D18033" t="s">
        <v>12306</v>
      </c>
      <c r="E18033" t="s">
        <v>14145</v>
      </c>
      <c r="F18033" t="s">
        <v>17028</v>
      </c>
      <c r="G18033" t="s">
        <v>19628</v>
      </c>
      <c r="H18033" t="s">
        <v>25734</v>
      </c>
      <c r="I18033" t="s">
        <v>1357</v>
      </c>
      <c r="J18033" t="s">
        <v>1357</v>
      </c>
      <c r="K18033" t="s">
        <v>1357</v>
      </c>
      <c r="L18033" t="s">
        <v>1357</v>
      </c>
    </row>
    <row r="18034" spans="1:12">
      <c r="H18034" t="s">
        <v>25735</v>
      </c>
      <c r="I18034" t="s">
        <v>1357</v>
      </c>
      <c r="J18034" t="s">
        <v>1357</v>
      </c>
      <c r="K18034" t="s">
        <v>1357</v>
      </c>
      <c r="L18034" t="s">
        <v>1357</v>
      </c>
    </row>
    <row r="18035" spans="1:12">
      <c r="H18035" t="s">
        <v>25736</v>
      </c>
      <c r="I18035" t="s">
        <v>1357</v>
      </c>
      <c r="J18035" t="s">
        <v>1357</v>
      </c>
      <c r="K18035" t="s">
        <v>1357</v>
      </c>
      <c r="L18035" t="s">
        <v>1357</v>
      </c>
    </row>
    <row r="18036" spans="1:12">
      <c r="H18036" t="s">
        <v>25737</v>
      </c>
      <c r="I18036" t="s">
        <v>1357</v>
      </c>
      <c r="J18036" t="s">
        <v>1357</v>
      </c>
      <c r="K18036" t="s">
        <v>1357</v>
      </c>
      <c r="L18036" t="s">
        <v>1357</v>
      </c>
    </row>
    <row r="18037" spans="1:12">
      <c r="H18037" t="s">
        <v>25738</v>
      </c>
      <c r="I18037" t="s">
        <v>1357</v>
      </c>
      <c r="J18037" t="s">
        <v>1357</v>
      </c>
      <c r="K18037" t="s">
        <v>1357</v>
      </c>
      <c r="L18037" t="s">
        <v>1357</v>
      </c>
    </row>
    <row r="18038" spans="1:12">
      <c r="H18038" t="s">
        <v>25739</v>
      </c>
      <c r="I18038" t="s">
        <v>1357</v>
      </c>
      <c r="J18038" t="s">
        <v>1357</v>
      </c>
      <c r="K18038" t="s">
        <v>1357</v>
      </c>
      <c r="L18038" t="s">
        <v>1357</v>
      </c>
    </row>
    <row r="18039" spans="1:12">
      <c r="H18039" t="s">
        <v>25740</v>
      </c>
      <c r="I18039" t="s">
        <v>1357</v>
      </c>
      <c r="J18039" t="s">
        <v>1357</v>
      </c>
      <c r="K18039" t="s">
        <v>1357</v>
      </c>
      <c r="L18039" t="s">
        <v>1357</v>
      </c>
    </row>
    <row r="18040" spans="1:12">
      <c r="H18040" t="s">
        <v>25741</v>
      </c>
      <c r="I18040" t="s">
        <v>1357</v>
      </c>
      <c r="J18040" t="s">
        <v>1357</v>
      </c>
      <c r="K18040" t="s">
        <v>1357</v>
      </c>
      <c r="L18040" t="s">
        <v>1357</v>
      </c>
    </row>
    <row r="18041" spans="1:12">
      <c r="H18041" t="s">
        <v>25742</v>
      </c>
      <c r="I18041" t="s">
        <v>1357</v>
      </c>
      <c r="J18041" t="s">
        <v>1357</v>
      </c>
      <c r="K18041" t="s">
        <v>1357</v>
      </c>
      <c r="L18041" t="s">
        <v>1357</v>
      </c>
    </row>
    <row r="18042" spans="1:12">
      <c r="H18042" t="s">
        <v>25743</v>
      </c>
      <c r="I18042" t="s">
        <v>1357</v>
      </c>
      <c r="J18042" t="s">
        <v>1357</v>
      </c>
      <c r="K18042" t="s">
        <v>1357</v>
      </c>
      <c r="L18042" t="s">
        <v>1357</v>
      </c>
    </row>
    <row r="18043" spans="1:12">
      <c r="H18043" t="s">
        <v>25744</v>
      </c>
      <c r="I18043" t="s">
        <v>1357</v>
      </c>
      <c r="J18043" t="s">
        <v>1357</v>
      </c>
      <c r="K18043" t="s">
        <v>1357</v>
      </c>
      <c r="L18043" t="s">
        <v>1357</v>
      </c>
    </row>
    <row r="18044" spans="1:12">
      <c r="H18044" t="s">
        <v>25745</v>
      </c>
      <c r="I18044" t="s">
        <v>1357</v>
      </c>
      <c r="J18044" t="s">
        <v>1357</v>
      </c>
      <c r="K18044" t="s">
        <v>1357</v>
      </c>
      <c r="L18044" t="s">
        <v>1357</v>
      </c>
    </row>
    <row r="18045" spans="1:12">
      <c r="H18045" t="s">
        <v>25746</v>
      </c>
      <c r="I18045" t="s">
        <v>1357</v>
      </c>
      <c r="J18045" t="s">
        <v>1357</v>
      </c>
      <c r="K18045" t="s">
        <v>1357</v>
      </c>
      <c r="L18045" t="s">
        <v>1357</v>
      </c>
    </row>
    <row r="18046" spans="1:12">
      <c r="H18046" t="s">
        <v>25747</v>
      </c>
      <c r="I18046" t="s">
        <v>1357</v>
      </c>
      <c r="J18046" t="s">
        <v>1357</v>
      </c>
      <c r="K18046" t="s">
        <v>1357</v>
      </c>
      <c r="L18046" t="s">
        <v>1357</v>
      </c>
    </row>
    <row r="18047" spans="1:12">
      <c r="H18047" t="s">
        <v>25748</v>
      </c>
      <c r="I18047" t="s">
        <v>1357</v>
      </c>
      <c r="J18047" t="s">
        <v>1357</v>
      </c>
      <c r="K18047" t="s">
        <v>1357</v>
      </c>
      <c r="L18047" t="s">
        <v>1357</v>
      </c>
    </row>
    <row r="18048" spans="1:12">
      <c r="H18048" t="s">
        <v>25749</v>
      </c>
      <c r="I18048" t="s">
        <v>1357</v>
      </c>
      <c r="J18048" t="s">
        <v>1357</v>
      </c>
      <c r="K18048" t="s">
        <v>1357</v>
      </c>
      <c r="L18048" t="s">
        <v>1357</v>
      </c>
    </row>
    <row r="18049" spans="8:12">
      <c r="H18049" t="s">
        <v>25750</v>
      </c>
      <c r="I18049" t="s">
        <v>1357</v>
      </c>
      <c r="J18049" t="s">
        <v>1357</v>
      </c>
      <c r="K18049" t="s">
        <v>1357</v>
      </c>
      <c r="L18049" t="s">
        <v>1357</v>
      </c>
    </row>
    <row r="18050" spans="8:12">
      <c r="H18050" t="s">
        <v>25751</v>
      </c>
      <c r="I18050" t="s">
        <v>1357</v>
      </c>
      <c r="J18050" t="s">
        <v>1357</v>
      </c>
      <c r="K18050" t="s">
        <v>1357</v>
      </c>
      <c r="L18050" t="s">
        <v>1357</v>
      </c>
    </row>
    <row r="18051" spans="8:12">
      <c r="H18051" t="s">
        <v>25752</v>
      </c>
      <c r="I18051" t="s">
        <v>1357</v>
      </c>
      <c r="J18051" t="s">
        <v>1357</v>
      </c>
      <c r="K18051" t="s">
        <v>1357</v>
      </c>
      <c r="L18051" t="s">
        <v>1357</v>
      </c>
    </row>
    <row r="18052" spans="8:12">
      <c r="H18052" t="s">
        <v>25753</v>
      </c>
      <c r="I18052" t="s">
        <v>1357</v>
      </c>
      <c r="J18052" t="s">
        <v>1357</v>
      </c>
      <c r="K18052" t="s">
        <v>1357</v>
      </c>
      <c r="L18052" t="s">
        <v>1357</v>
      </c>
    </row>
    <row r="18053" spans="8:12">
      <c r="H18053" t="s">
        <v>25754</v>
      </c>
      <c r="I18053" t="s">
        <v>1357</v>
      </c>
      <c r="J18053" t="s">
        <v>1357</v>
      </c>
      <c r="K18053" t="s">
        <v>1357</v>
      </c>
      <c r="L18053" t="s">
        <v>1357</v>
      </c>
    </row>
    <row r="18054" spans="8:12">
      <c r="H18054" t="s">
        <v>25755</v>
      </c>
      <c r="I18054" t="s">
        <v>1357</v>
      </c>
      <c r="J18054" t="s">
        <v>1357</v>
      </c>
      <c r="K18054" t="s">
        <v>1357</v>
      </c>
      <c r="L18054" t="s">
        <v>1357</v>
      </c>
    </row>
    <row r="18055" spans="8:12">
      <c r="H18055" t="s">
        <v>25756</v>
      </c>
      <c r="I18055" t="s">
        <v>1357</v>
      </c>
      <c r="J18055" t="s">
        <v>1357</v>
      </c>
      <c r="K18055" t="s">
        <v>1357</v>
      </c>
      <c r="L18055" t="s">
        <v>1357</v>
      </c>
    </row>
    <row r="18056" spans="8:12">
      <c r="H18056" t="s">
        <v>25757</v>
      </c>
      <c r="I18056" t="s">
        <v>1357</v>
      </c>
      <c r="J18056" t="s">
        <v>1357</v>
      </c>
      <c r="K18056" t="s">
        <v>1357</v>
      </c>
      <c r="L18056" t="s">
        <v>1357</v>
      </c>
    </row>
    <row r="18057" spans="8:12">
      <c r="H18057" t="s">
        <v>25758</v>
      </c>
      <c r="I18057" t="s">
        <v>1357</v>
      </c>
      <c r="J18057" t="s">
        <v>1357</v>
      </c>
      <c r="K18057" t="s">
        <v>1357</v>
      </c>
      <c r="L18057" t="s">
        <v>1357</v>
      </c>
    </row>
    <row r="18058" spans="8:12">
      <c r="H18058" t="s">
        <v>25759</v>
      </c>
      <c r="I18058" t="s">
        <v>1357</v>
      </c>
      <c r="J18058" t="s">
        <v>1357</v>
      </c>
      <c r="K18058" t="s">
        <v>1357</v>
      </c>
      <c r="L18058" t="s">
        <v>1357</v>
      </c>
    </row>
    <row r="18059" spans="8:12">
      <c r="H18059" t="s">
        <v>25760</v>
      </c>
      <c r="I18059" t="s">
        <v>1357</v>
      </c>
      <c r="J18059" t="s">
        <v>1357</v>
      </c>
      <c r="K18059" t="s">
        <v>1357</v>
      </c>
      <c r="L18059" t="s">
        <v>1357</v>
      </c>
    </row>
    <row r="18060" spans="8:12">
      <c r="H18060" t="s">
        <v>25761</v>
      </c>
      <c r="I18060" t="s">
        <v>1357</v>
      </c>
      <c r="J18060" t="s">
        <v>1357</v>
      </c>
      <c r="K18060" t="s">
        <v>1357</v>
      </c>
      <c r="L18060" t="s">
        <v>1357</v>
      </c>
    </row>
    <row r="18061" spans="8:12">
      <c r="H18061" t="s">
        <v>25762</v>
      </c>
      <c r="I18061" t="s">
        <v>1357</v>
      </c>
      <c r="J18061" t="s">
        <v>1357</v>
      </c>
      <c r="K18061" t="s">
        <v>1357</v>
      </c>
      <c r="L18061" t="s">
        <v>1357</v>
      </c>
    </row>
    <row r="18062" spans="8:12">
      <c r="H18062" t="s">
        <v>25763</v>
      </c>
      <c r="I18062" t="s">
        <v>1357</v>
      </c>
      <c r="J18062" t="s">
        <v>1357</v>
      </c>
      <c r="K18062" t="s">
        <v>1357</v>
      </c>
      <c r="L18062" t="s">
        <v>1357</v>
      </c>
    </row>
    <row r="18063" spans="8:12">
      <c r="H18063" t="s">
        <v>25764</v>
      </c>
      <c r="I18063" t="s">
        <v>1357</v>
      </c>
      <c r="J18063" t="s">
        <v>1357</v>
      </c>
      <c r="K18063" t="s">
        <v>1357</v>
      </c>
      <c r="L18063" t="s">
        <v>1357</v>
      </c>
    </row>
    <row r="18064" spans="8:12">
      <c r="H18064" t="s">
        <v>25765</v>
      </c>
      <c r="I18064" t="s">
        <v>1357</v>
      </c>
      <c r="J18064" t="s">
        <v>1357</v>
      </c>
      <c r="K18064" t="s">
        <v>1357</v>
      </c>
      <c r="L18064" t="s">
        <v>1357</v>
      </c>
    </row>
    <row r="18065" spans="1:14">
      <c r="H18065" t="s">
        <v>25766</v>
      </c>
      <c r="I18065" t="s">
        <v>1357</v>
      </c>
      <c r="J18065" t="s">
        <v>1357</v>
      </c>
      <c r="K18065" t="s">
        <v>1357</v>
      </c>
      <c r="L18065" t="s">
        <v>1357</v>
      </c>
    </row>
    <row r="18066" spans="1:14">
      <c r="H18066" t="s">
        <v>25767</v>
      </c>
      <c r="I18066" t="s">
        <v>1357</v>
      </c>
      <c r="J18066" t="s">
        <v>1357</v>
      </c>
      <c r="K18066" t="s">
        <v>1357</v>
      </c>
      <c r="L18066" t="s">
        <v>1357</v>
      </c>
    </row>
    <row r="18067" spans="1:14">
      <c r="H18067" t="s">
        <v>25768</v>
      </c>
      <c r="I18067" t="s">
        <v>1357</v>
      </c>
      <c r="J18067" t="s">
        <v>1357</v>
      </c>
      <c r="K18067" t="s">
        <v>1357</v>
      </c>
      <c r="L18067" t="s">
        <v>1357</v>
      </c>
    </row>
    <row r="18068" spans="1:14">
      <c r="H18068" t="s">
        <v>25769</v>
      </c>
      <c r="I18068" t="s">
        <v>1357</v>
      </c>
      <c r="J18068" t="s">
        <v>1357</v>
      </c>
      <c r="K18068" t="s">
        <v>1357</v>
      </c>
      <c r="L18068" t="s">
        <v>1357</v>
      </c>
    </row>
    <row r="18069" spans="1:14">
      <c r="H18069" t="s">
        <v>25770</v>
      </c>
      <c r="I18069" t="s">
        <v>1357</v>
      </c>
      <c r="J18069" t="s">
        <v>1357</v>
      </c>
      <c r="K18069" t="s">
        <v>1357</v>
      </c>
      <c r="L18069" t="s">
        <v>1357</v>
      </c>
    </row>
    <row r="18070" spans="1:14">
      <c r="H18070" t="s">
        <v>25771</v>
      </c>
      <c r="I18070" t="s">
        <v>1357</v>
      </c>
      <c r="J18070" t="s">
        <v>1357</v>
      </c>
      <c r="K18070" t="s">
        <v>1357</v>
      </c>
      <c r="L18070" t="s">
        <v>1357</v>
      </c>
    </row>
    <row r="18071" spans="1:14">
      <c r="H18071" t="s">
        <v>25772</v>
      </c>
      <c r="I18071" t="s">
        <v>1357</v>
      </c>
      <c r="J18071" t="s">
        <v>1357</v>
      </c>
      <c r="K18071" t="s">
        <v>1357</v>
      </c>
      <c r="L18071" t="s">
        <v>1357</v>
      </c>
    </row>
    <row r="18072" spans="1:14">
      <c r="H18072" t="s">
        <v>25773</v>
      </c>
      <c r="I18072" t="s">
        <v>1357</v>
      </c>
      <c r="J18072" t="s">
        <v>1357</v>
      </c>
      <c r="K18072" t="s">
        <v>1357</v>
      </c>
      <c r="L18072" t="s">
        <v>1357</v>
      </c>
    </row>
    <row r="18073" spans="1:14">
      <c r="H18073" t="s">
        <v>25774</v>
      </c>
      <c r="I18073" t="s">
        <v>1357</v>
      </c>
      <c r="J18073" t="s">
        <v>1357</v>
      </c>
      <c r="K18073" t="s">
        <v>1357</v>
      </c>
      <c r="L18073" t="s">
        <v>1357</v>
      </c>
    </row>
    <row r="18074" spans="1:14">
      <c r="H18074" t="s">
        <v>25775</v>
      </c>
      <c r="I18074" t="s">
        <v>1357</v>
      </c>
      <c r="J18074" t="s">
        <v>1357</v>
      </c>
      <c r="K18074" t="s">
        <v>1357</v>
      </c>
      <c r="L18074" t="s">
        <v>1357</v>
      </c>
    </row>
    <row r="18075" spans="1:14">
      <c r="H18075" t="s">
        <v>25776</v>
      </c>
      <c r="I18075" t="s">
        <v>1357</v>
      </c>
      <c r="J18075" t="s">
        <v>1357</v>
      </c>
      <c r="K18075" t="s">
        <v>1357</v>
      </c>
      <c r="L18075" t="s">
        <v>1357</v>
      </c>
    </row>
    <row r="18076" spans="1:14">
      <c r="H18076" t="s">
        <v>25777</v>
      </c>
      <c r="I18076" t="s">
        <v>1357</v>
      </c>
      <c r="J18076" t="s">
        <v>1357</v>
      </c>
      <c r="K18076" t="s">
        <v>1357</v>
      </c>
      <c r="L18076" t="s">
        <v>1357</v>
      </c>
    </row>
    <row r="18077" spans="1:14">
      <c r="H18077" t="s">
        <v>25778</v>
      </c>
      <c r="I18077" t="s">
        <v>1357</v>
      </c>
      <c r="J18077" t="s">
        <v>1357</v>
      </c>
      <c r="K18077" t="s">
        <v>1357</v>
      </c>
      <c r="L18077" t="s">
        <v>1357</v>
      </c>
    </row>
    <row r="18078" spans="1:14">
      <c r="H18078" t="s">
        <v>25779</v>
      </c>
      <c r="I18078" t="s">
        <v>1357</v>
      </c>
      <c r="J18078" t="s">
        <v>1357</v>
      </c>
      <c r="K18078" t="s">
        <v>1357</v>
      </c>
      <c r="L18078" t="s">
        <v>1357</v>
      </c>
    </row>
    <row r="18079" spans="1:14">
      <c r="A18079" t="s">
        <v>11632</v>
      </c>
      <c r="B18079">
        <f>HYPERLINK("https://android.googlesource.com/platform/cts/+/177e833a9b25ec90501ee98f062177f2b57f2611", "177e833a9b25ec90501ee98f062177f2b57f2611")</f>
        <v>0</v>
      </c>
      <c r="C18079">
        <f>HYPERLINK("https://android.googlesource.com/platform/cts/+/a0193e8b64626f92c6a36cb0e0e2219fbcce0b4f", "a0193e8b64626f92c6a36cb0e0e2219fbcce0b4f")</f>
        <v>0</v>
      </c>
      <c r="D18079" t="s">
        <v>12306</v>
      </c>
      <c r="E18079" t="s">
        <v>14146</v>
      </c>
      <c r="F18079" t="s">
        <v>16292</v>
      </c>
      <c r="G18079" t="s">
        <v>18963</v>
      </c>
      <c r="H18079" t="s">
        <v>25720</v>
      </c>
      <c r="I18079" t="s">
        <v>1357</v>
      </c>
      <c r="J18079" t="s">
        <v>1357</v>
      </c>
      <c r="K18079" t="s">
        <v>1357</v>
      </c>
      <c r="L18079" t="s">
        <v>1357</v>
      </c>
      <c r="M18079" t="s">
        <v>1360</v>
      </c>
      <c r="N18079" t="s">
        <v>1360</v>
      </c>
    </row>
    <row r="18080" spans="1:14">
      <c r="A18080" t="s">
        <v>11633</v>
      </c>
      <c r="B18080">
        <f>HYPERLINK("https://android.googlesource.com/platform/cts/+/fc53507da74861adec8321847e7902418ff9a553", "fc53507da74861adec8321847e7902418ff9a553")</f>
        <v>0</v>
      </c>
      <c r="C18080">
        <f>HYPERLINK("https://android.googlesource.com/platform/cts/+/372cbf7570b4f701f9b9984d95586130d9de8e1c", "372cbf7570b4f701f9b9984d95586130d9de8e1c")</f>
        <v>0</v>
      </c>
      <c r="D18080" t="s">
        <v>12435</v>
      </c>
      <c r="E18080" t="s">
        <v>14147</v>
      </c>
      <c r="F18080" t="s">
        <v>17093</v>
      </c>
      <c r="G18080" t="s">
        <v>19687</v>
      </c>
      <c r="H18080" t="s">
        <v>25780</v>
      </c>
      <c r="I18080" t="s">
        <v>1357</v>
      </c>
      <c r="J18080" t="s">
        <v>1357</v>
      </c>
      <c r="K18080" t="s">
        <v>1357</v>
      </c>
      <c r="L18080" t="s">
        <v>1357</v>
      </c>
    </row>
    <row r="18081" spans="1:13">
      <c r="A18081" t="s">
        <v>11634</v>
      </c>
      <c r="B18081">
        <f>HYPERLINK("https://android.googlesource.com/platform/cts/+/d303182399bfc0d15f7687c9664521aacee236b0", "d303182399bfc0d15f7687c9664521aacee236b0")</f>
        <v>0</v>
      </c>
      <c r="C18081">
        <f>HYPERLINK("https://android.googlesource.com/platform/cts/+/2d04aecf20acc2f34db257d18ea37e8e10fe6590", "2d04aecf20acc2f34db257d18ea37e8e10fe6590")</f>
        <v>0</v>
      </c>
      <c r="D18081" t="s">
        <v>12445</v>
      </c>
      <c r="E18081" t="s">
        <v>14148</v>
      </c>
      <c r="F18081" t="s">
        <v>17094</v>
      </c>
      <c r="G18081" t="s">
        <v>19688</v>
      </c>
      <c r="H18081" t="s">
        <v>25781</v>
      </c>
      <c r="I18081" t="s">
        <v>1357</v>
      </c>
      <c r="J18081" t="s">
        <v>1357</v>
      </c>
      <c r="K18081" t="s">
        <v>1357</v>
      </c>
      <c r="L18081" t="s">
        <v>1357</v>
      </c>
    </row>
    <row r="18082" spans="1:13">
      <c r="H18082" t="s">
        <v>25782</v>
      </c>
      <c r="I18082" t="s">
        <v>1357</v>
      </c>
      <c r="J18082" t="s">
        <v>1357</v>
      </c>
      <c r="K18082" t="s">
        <v>1357</v>
      </c>
      <c r="L18082" t="s">
        <v>1357</v>
      </c>
    </row>
    <row r="18083" spans="1:13">
      <c r="H18083" t="s">
        <v>25783</v>
      </c>
      <c r="I18083" t="s">
        <v>1357</v>
      </c>
      <c r="J18083" t="s">
        <v>1357</v>
      </c>
      <c r="K18083" t="s">
        <v>1357</v>
      </c>
      <c r="L18083" t="s">
        <v>1357</v>
      </c>
    </row>
    <row r="18084" spans="1:13">
      <c r="A18084" t="s">
        <v>11635</v>
      </c>
      <c r="B18084">
        <f>HYPERLINK("https://android.googlesource.com/platform/cts/+/27aad09fd59b2d9395c2253b535de24753a801b5", "27aad09fd59b2d9395c2253b535de24753a801b5")</f>
        <v>0</v>
      </c>
      <c r="C18084">
        <f>HYPERLINK("https://android.googlesource.com/platform/cts/+/7f1a976ea7aff647838cd5552f26bce4d624b998", "7f1a976ea7aff647838cd5552f26bce4d624b998")</f>
        <v>0</v>
      </c>
      <c r="D18084" t="s">
        <v>12342</v>
      </c>
      <c r="E18084" t="s">
        <v>14149</v>
      </c>
      <c r="F18084" t="s">
        <v>16138</v>
      </c>
      <c r="G18084" t="s">
        <v>18822</v>
      </c>
      <c r="H18084" t="s">
        <v>25784</v>
      </c>
      <c r="I18084" t="s">
        <v>1357</v>
      </c>
      <c r="J18084" t="s">
        <v>1357</v>
      </c>
      <c r="K18084" t="s">
        <v>1357</v>
      </c>
      <c r="L18084" t="s">
        <v>1357</v>
      </c>
    </row>
    <row r="18085" spans="1:13">
      <c r="F18085" t="s">
        <v>16682</v>
      </c>
      <c r="G18085" t="s">
        <v>19314</v>
      </c>
      <c r="H18085" t="s">
        <v>25784</v>
      </c>
      <c r="I18085" t="s">
        <v>1357</v>
      </c>
      <c r="J18085" t="s">
        <v>1357</v>
      </c>
      <c r="K18085" t="s">
        <v>1357</v>
      </c>
      <c r="L18085" t="s">
        <v>1357</v>
      </c>
    </row>
    <row r="18086" spans="1:13">
      <c r="A18086" t="s">
        <v>11636</v>
      </c>
      <c r="B18086">
        <f>HYPERLINK("https://android.googlesource.com/platform/cts/+/dd4802c1ebb0605928c073857b0646d0612fe279", "dd4802c1ebb0605928c073857b0646d0612fe279")</f>
        <v>0</v>
      </c>
      <c r="C18086">
        <f>HYPERLINK("https://android.googlesource.com/platform/cts/+/6aee871b0542de20c263403b79734d4c8167ee86", "6aee871b0542de20c263403b79734d4c8167ee86")</f>
        <v>0</v>
      </c>
      <c r="D18086" t="s">
        <v>12306</v>
      </c>
      <c r="E18086" t="s">
        <v>14150</v>
      </c>
      <c r="F18086" t="s">
        <v>16888</v>
      </c>
      <c r="G18086" t="s">
        <v>19501</v>
      </c>
      <c r="H18086" t="s">
        <v>25785</v>
      </c>
      <c r="I18086" t="s">
        <v>1359</v>
      </c>
      <c r="J18086" t="s">
        <v>1358</v>
      </c>
      <c r="K18086" t="s">
        <v>1357</v>
      </c>
      <c r="L18086" t="s">
        <v>1358</v>
      </c>
    </row>
    <row r="18087" spans="1:13">
      <c r="F18087" t="s">
        <v>16138</v>
      </c>
      <c r="G18087" t="s">
        <v>18822</v>
      </c>
      <c r="H18087" t="s">
        <v>24433</v>
      </c>
      <c r="I18087" t="s">
        <v>1357</v>
      </c>
      <c r="J18087" t="s">
        <v>1357</v>
      </c>
      <c r="K18087" t="s">
        <v>1357</v>
      </c>
      <c r="L18087" t="s">
        <v>1357</v>
      </c>
    </row>
    <row r="18088" spans="1:13">
      <c r="F18088" t="s">
        <v>16292</v>
      </c>
      <c r="G18088" t="s">
        <v>18963</v>
      </c>
      <c r="H18088" t="s">
        <v>24433</v>
      </c>
      <c r="I18088" t="s">
        <v>1357</v>
      </c>
      <c r="J18088" t="s">
        <v>1357</v>
      </c>
      <c r="K18088" t="s">
        <v>1357</v>
      </c>
      <c r="L18088" t="s">
        <v>1357</v>
      </c>
      <c r="M18088" t="s">
        <v>1360</v>
      </c>
    </row>
    <row r="18089" spans="1:13">
      <c r="A18089" t="s">
        <v>11637</v>
      </c>
      <c r="B18089">
        <f>HYPERLINK("https://android.googlesource.com/platform/cts/+/bfa8cabea09e163e7eb3610147d92b4bc4ebd67e", "bfa8cabea09e163e7eb3610147d92b4bc4ebd67e")</f>
        <v>0</v>
      </c>
      <c r="C18089">
        <f>HYPERLINK("https://android.googlesource.com/platform/cts/+/dd4802c1ebb0605928c073857b0646d0612fe279", "dd4802c1ebb0605928c073857b0646d0612fe279")</f>
        <v>0</v>
      </c>
      <c r="D18089" t="s">
        <v>12306</v>
      </c>
      <c r="E18089" t="s">
        <v>14151</v>
      </c>
      <c r="F18089" t="s">
        <v>16888</v>
      </c>
      <c r="G18089" t="s">
        <v>19501</v>
      </c>
      <c r="H18089" t="s">
        <v>25786</v>
      </c>
      <c r="I18089" t="s">
        <v>1359</v>
      </c>
      <c r="J18089" t="s">
        <v>1358</v>
      </c>
      <c r="K18089" t="s">
        <v>1357</v>
      </c>
      <c r="L18089" t="s">
        <v>1358</v>
      </c>
      <c r="M18089" t="s">
        <v>27497</v>
      </c>
    </row>
    <row r="18090" spans="1:13">
      <c r="F18090" t="s">
        <v>16138</v>
      </c>
      <c r="G18090" t="s">
        <v>18822</v>
      </c>
      <c r="H18090" t="s">
        <v>25787</v>
      </c>
      <c r="I18090" t="s">
        <v>1357</v>
      </c>
      <c r="J18090" t="s">
        <v>1357</v>
      </c>
      <c r="K18090" t="s">
        <v>1357</v>
      </c>
      <c r="L18090" t="s">
        <v>1357</v>
      </c>
    </row>
    <row r="18091" spans="1:13">
      <c r="F18091" t="s">
        <v>16292</v>
      </c>
      <c r="G18091" t="s">
        <v>18963</v>
      </c>
      <c r="H18091" t="s">
        <v>25787</v>
      </c>
      <c r="I18091" t="s">
        <v>1357</v>
      </c>
      <c r="J18091" t="s">
        <v>1357</v>
      </c>
      <c r="K18091" t="s">
        <v>1357</v>
      </c>
      <c r="L18091" t="s">
        <v>1357</v>
      </c>
      <c r="M18091" t="s">
        <v>1360</v>
      </c>
    </row>
    <row r="18092" spans="1:13">
      <c r="A18092" t="s">
        <v>11638</v>
      </c>
      <c r="B18092">
        <f>HYPERLINK("https://android.googlesource.com/platform/cts/+/4eb9d1b5d7b5c4cb5841dd49944b5545e8ad1ccf", "4eb9d1b5d7b5c4cb5841dd49944b5545e8ad1ccf")</f>
        <v>0</v>
      </c>
      <c r="C18092">
        <f>HYPERLINK("https://android.googlesource.com/platform/cts/+/bfa8cabea09e163e7eb3610147d92b4bc4ebd67e", "bfa8cabea09e163e7eb3610147d92b4bc4ebd67e")</f>
        <v>0</v>
      </c>
      <c r="D18092" t="s">
        <v>12306</v>
      </c>
      <c r="E18092" t="s">
        <v>14152</v>
      </c>
      <c r="F18092" t="s">
        <v>16888</v>
      </c>
      <c r="G18092" t="s">
        <v>19501</v>
      </c>
      <c r="H18092" t="s">
        <v>25788</v>
      </c>
      <c r="I18092" t="s">
        <v>1357</v>
      </c>
      <c r="J18092" t="s">
        <v>1357</v>
      </c>
      <c r="K18092" t="s">
        <v>1357</v>
      </c>
      <c r="L18092" t="s">
        <v>1357</v>
      </c>
    </row>
    <row r="18093" spans="1:13">
      <c r="F18093" t="s">
        <v>16138</v>
      </c>
      <c r="G18093" t="s">
        <v>18822</v>
      </c>
      <c r="H18093" t="s">
        <v>25789</v>
      </c>
      <c r="I18093" t="s">
        <v>1357</v>
      </c>
      <c r="J18093" t="s">
        <v>1357</v>
      </c>
      <c r="K18093" t="s">
        <v>1357</v>
      </c>
      <c r="L18093" t="s">
        <v>1357</v>
      </c>
    </row>
    <row r="18094" spans="1:13">
      <c r="F18094" t="s">
        <v>16292</v>
      </c>
      <c r="G18094" t="s">
        <v>18963</v>
      </c>
      <c r="H18094" t="s">
        <v>25789</v>
      </c>
      <c r="I18094" t="s">
        <v>1357</v>
      </c>
      <c r="J18094" t="s">
        <v>1357</v>
      </c>
      <c r="K18094" t="s">
        <v>1357</v>
      </c>
      <c r="L18094" t="s">
        <v>1357</v>
      </c>
      <c r="M18094" t="s">
        <v>1360</v>
      </c>
    </row>
    <row r="18095" spans="1:13">
      <c r="F18095" t="s">
        <v>16151</v>
      </c>
      <c r="G18095" t="s">
        <v>18832</v>
      </c>
      <c r="H18095" t="s">
        <v>25789</v>
      </c>
      <c r="I18095" t="s">
        <v>1357</v>
      </c>
      <c r="J18095" t="s">
        <v>1357</v>
      </c>
      <c r="K18095" t="s">
        <v>1357</v>
      </c>
      <c r="L18095" t="s">
        <v>1357</v>
      </c>
    </row>
    <row r="18096" spans="1:13">
      <c r="A18096" t="s">
        <v>11639</v>
      </c>
      <c r="B18096">
        <f>HYPERLINK("https://android.googlesource.com/platform/cts/+/e8a1d649357008d9ca0c3ffbe2e287e1f00a6401", "e8a1d649357008d9ca0c3ffbe2e287e1f00a6401")</f>
        <v>0</v>
      </c>
      <c r="C18096">
        <f>HYPERLINK("https://android.googlesource.com/platform/cts/+/224d5d9a67370c56651e9aa00c4ca73f168e3d65", "224d5d9a67370c56651e9aa00c4ca73f168e3d65")</f>
        <v>0</v>
      </c>
      <c r="D18096" t="s">
        <v>12306</v>
      </c>
      <c r="E18096" t="s">
        <v>14153</v>
      </c>
      <c r="F18096" t="s">
        <v>16888</v>
      </c>
      <c r="G18096" t="s">
        <v>19501</v>
      </c>
      <c r="H18096" t="s">
        <v>25790</v>
      </c>
      <c r="I18096" t="s">
        <v>1357</v>
      </c>
      <c r="J18096" t="s">
        <v>1357</v>
      </c>
      <c r="K18096" t="s">
        <v>1357</v>
      </c>
      <c r="L18096" t="s">
        <v>1357</v>
      </c>
    </row>
    <row r="18097" spans="1:13">
      <c r="H18097" t="s">
        <v>25791</v>
      </c>
      <c r="I18097" t="s">
        <v>1357</v>
      </c>
      <c r="J18097" t="s">
        <v>1357</v>
      </c>
      <c r="K18097" t="s">
        <v>1357</v>
      </c>
      <c r="L18097" t="s">
        <v>1357</v>
      </c>
    </row>
    <row r="18098" spans="1:13">
      <c r="H18098" t="s">
        <v>24843</v>
      </c>
      <c r="I18098" t="s">
        <v>1357</v>
      </c>
      <c r="J18098" t="s">
        <v>1357</v>
      </c>
      <c r="K18098" t="s">
        <v>1357</v>
      </c>
      <c r="L18098" t="s">
        <v>1357</v>
      </c>
    </row>
    <row r="18099" spans="1:13">
      <c r="H18099" t="s">
        <v>25792</v>
      </c>
      <c r="I18099" t="s">
        <v>1357</v>
      </c>
      <c r="J18099" t="s">
        <v>1357</v>
      </c>
      <c r="K18099" t="s">
        <v>1357</v>
      </c>
      <c r="L18099" t="s">
        <v>1357</v>
      </c>
    </row>
    <row r="18100" spans="1:13">
      <c r="F18100" t="s">
        <v>16138</v>
      </c>
      <c r="G18100" t="s">
        <v>18822</v>
      </c>
      <c r="H18100" t="s">
        <v>25793</v>
      </c>
      <c r="I18100" t="s">
        <v>1357</v>
      </c>
      <c r="J18100" t="s">
        <v>1357</v>
      </c>
      <c r="K18100" t="s">
        <v>1357</v>
      </c>
      <c r="L18100" t="s">
        <v>1357</v>
      </c>
    </row>
    <row r="18101" spans="1:13">
      <c r="H18101" t="s">
        <v>25794</v>
      </c>
      <c r="I18101" t="s">
        <v>1357</v>
      </c>
      <c r="J18101" t="s">
        <v>1357</v>
      </c>
      <c r="K18101" t="s">
        <v>1357</v>
      </c>
      <c r="L18101" t="s">
        <v>1357</v>
      </c>
    </row>
    <row r="18102" spans="1:13">
      <c r="F18102" t="s">
        <v>16292</v>
      </c>
      <c r="G18102" t="s">
        <v>18963</v>
      </c>
      <c r="H18102" t="s">
        <v>25793</v>
      </c>
      <c r="I18102" t="s">
        <v>1357</v>
      </c>
      <c r="J18102" t="s">
        <v>1357</v>
      </c>
      <c r="K18102" t="s">
        <v>1357</v>
      </c>
      <c r="L18102" t="s">
        <v>1357</v>
      </c>
    </row>
    <row r="18103" spans="1:13">
      <c r="H18103" t="s">
        <v>25794</v>
      </c>
      <c r="I18103" t="s">
        <v>1357</v>
      </c>
      <c r="J18103" t="s">
        <v>1357</v>
      </c>
      <c r="K18103" t="s">
        <v>1357</v>
      </c>
      <c r="L18103" t="s">
        <v>1357</v>
      </c>
    </row>
    <row r="18104" spans="1:13">
      <c r="F18104" t="s">
        <v>16151</v>
      </c>
      <c r="G18104" t="s">
        <v>18832</v>
      </c>
      <c r="H18104" t="s">
        <v>25793</v>
      </c>
      <c r="I18104" t="s">
        <v>1357</v>
      </c>
      <c r="J18104" t="s">
        <v>1357</v>
      </c>
      <c r="K18104" t="s">
        <v>1357</v>
      </c>
      <c r="L18104" t="s">
        <v>1357</v>
      </c>
    </row>
    <row r="18105" spans="1:13">
      <c r="H18105" t="s">
        <v>25794</v>
      </c>
      <c r="I18105" t="s">
        <v>1357</v>
      </c>
      <c r="J18105" t="s">
        <v>1357</v>
      </c>
      <c r="K18105" t="s">
        <v>1357</v>
      </c>
      <c r="L18105" t="s">
        <v>1357</v>
      </c>
    </row>
    <row r="18106" spans="1:13">
      <c r="A18106" t="s">
        <v>11640</v>
      </c>
      <c r="B18106">
        <f>HYPERLINK("https://android.googlesource.com/platform/cts/+/4984843e45b71ae27fe6e8bec4c83a00264905c9", "4984843e45b71ae27fe6e8bec4c83a00264905c9")</f>
        <v>0</v>
      </c>
      <c r="C18106">
        <f>HYPERLINK("https://android.googlesource.com/platform/cts/+/baee13a93a0e96696235823c2fbab075e7bb201c", "baee13a93a0e96696235823c2fbab075e7bb201c")</f>
        <v>0</v>
      </c>
      <c r="D18106" t="s">
        <v>12198</v>
      </c>
      <c r="E18106" t="s">
        <v>14154</v>
      </c>
      <c r="F18106" t="s">
        <v>17090</v>
      </c>
      <c r="G18106" t="s">
        <v>19684</v>
      </c>
      <c r="H18106" t="s">
        <v>25731</v>
      </c>
      <c r="I18106" t="s">
        <v>1357</v>
      </c>
      <c r="J18106" t="s">
        <v>1357</v>
      </c>
      <c r="K18106" t="s">
        <v>1357</v>
      </c>
      <c r="L18106" t="s">
        <v>1357</v>
      </c>
      <c r="M18106" t="s">
        <v>9957</v>
      </c>
    </row>
    <row r="18107" spans="1:13">
      <c r="A18107" t="s">
        <v>11641</v>
      </c>
      <c r="B18107">
        <f>HYPERLINK("https://android.googlesource.com/platform/cts/+/30381cd9aaa8e3fb8a18e2160c242a1dd6b530e1", "30381cd9aaa8e3fb8a18e2160c242a1dd6b530e1")</f>
        <v>0</v>
      </c>
      <c r="C18107">
        <f>HYPERLINK("https://android.googlesource.com/platform/cts/+/8a46eff2d6e934eebe727f42c66d425870650f34", "8a46eff2d6e934eebe727f42c66d425870650f34")</f>
        <v>0</v>
      </c>
      <c r="D18107" t="s">
        <v>12102</v>
      </c>
      <c r="E18107" t="s">
        <v>14155</v>
      </c>
      <c r="F18107" t="s">
        <v>16682</v>
      </c>
      <c r="G18107" t="s">
        <v>19314</v>
      </c>
      <c r="H18107" t="s">
        <v>21803</v>
      </c>
      <c r="I18107" t="s">
        <v>1357</v>
      </c>
      <c r="J18107" t="s">
        <v>1357</v>
      </c>
      <c r="K18107" t="s">
        <v>1357</v>
      </c>
      <c r="L18107" t="s">
        <v>1357</v>
      </c>
    </row>
    <row r="18108" spans="1:13">
      <c r="A18108" t="s">
        <v>11642</v>
      </c>
      <c r="B18108">
        <f>HYPERLINK("https://android.googlesource.com/platform/cts/+/4e9be5a06fe5c6b92716f04b0bbb3bd82850d018", "4e9be5a06fe5c6b92716f04b0bbb3bd82850d018")</f>
        <v>0</v>
      </c>
      <c r="C18108">
        <f>HYPERLINK("https://android.googlesource.com/platform/cts/+/5357d91deeb60d0891f7a6a0011214d7edf30a76", "5357d91deeb60d0891f7a6a0011214d7edf30a76")</f>
        <v>0</v>
      </c>
      <c r="D18108" t="s">
        <v>12144</v>
      </c>
      <c r="E18108" t="s">
        <v>14156</v>
      </c>
      <c r="F18108" t="s">
        <v>17095</v>
      </c>
      <c r="G18108" t="s">
        <v>19689</v>
      </c>
      <c r="H18108" t="s">
        <v>25795</v>
      </c>
      <c r="I18108" t="s">
        <v>1357</v>
      </c>
      <c r="J18108" t="s">
        <v>1357</v>
      </c>
      <c r="K18108" t="s">
        <v>1357</v>
      </c>
      <c r="L18108" t="s">
        <v>1357</v>
      </c>
    </row>
    <row r="18109" spans="1:13">
      <c r="F18109" t="s">
        <v>16135</v>
      </c>
      <c r="G18109" t="s">
        <v>18819</v>
      </c>
      <c r="H18109" t="s">
        <v>25796</v>
      </c>
      <c r="I18109" t="s">
        <v>1357</v>
      </c>
      <c r="J18109" t="s">
        <v>1357</v>
      </c>
      <c r="K18109" t="s">
        <v>1357</v>
      </c>
      <c r="L18109" t="s">
        <v>1357</v>
      </c>
    </row>
    <row r="18110" spans="1:13">
      <c r="A18110" t="s">
        <v>11643</v>
      </c>
      <c r="B18110">
        <f>HYPERLINK("https://android.googlesource.com/platform/cts/+/641e7af30ebe486915a2bfe2c2f5016712e92833", "641e7af30ebe486915a2bfe2c2f5016712e92833")</f>
        <v>0</v>
      </c>
      <c r="C18110">
        <f>HYPERLINK("https://android.googlesource.com/platform/cts/+/add5ea10adafbbbd40efb51708a3a85491729a49", "add5ea10adafbbbd40efb51708a3a85491729a49")</f>
        <v>0</v>
      </c>
      <c r="D18110" t="s">
        <v>12446</v>
      </c>
      <c r="E18110" t="s">
        <v>14157</v>
      </c>
      <c r="F18110" t="s">
        <v>17096</v>
      </c>
      <c r="G18110" t="s">
        <v>19690</v>
      </c>
      <c r="H18110" t="s">
        <v>25797</v>
      </c>
      <c r="I18110" t="s">
        <v>1357</v>
      </c>
      <c r="J18110" t="s">
        <v>1357</v>
      </c>
      <c r="K18110" t="s">
        <v>1357</v>
      </c>
      <c r="L18110" t="s">
        <v>1357</v>
      </c>
    </row>
    <row r="18111" spans="1:13">
      <c r="F18111" t="s">
        <v>17097</v>
      </c>
      <c r="G18111" t="s">
        <v>19653</v>
      </c>
      <c r="H18111" t="s">
        <v>25798</v>
      </c>
      <c r="I18111" t="s">
        <v>1357</v>
      </c>
      <c r="J18111" t="s">
        <v>1357</v>
      </c>
      <c r="K18111" t="s">
        <v>1357</v>
      </c>
      <c r="L18111" t="s">
        <v>1357</v>
      </c>
    </row>
    <row r="18112" spans="1:13">
      <c r="A18112" t="s">
        <v>11644</v>
      </c>
      <c r="B18112">
        <f>HYPERLINK("https://android.googlesource.com/platform/cts/+/72ee4fe4894d0efbad956c68a747b250a9a813de", "72ee4fe4894d0efbad956c68a747b250a9a813de")</f>
        <v>0</v>
      </c>
      <c r="C18112">
        <f>HYPERLINK("https://android.googlesource.com/platform/cts/+/d33438ca83a8addba6f1f2c9710427002aee5327", "d33438ca83a8addba6f1f2c9710427002aee5327")</f>
        <v>0</v>
      </c>
      <c r="D18112" t="s">
        <v>12428</v>
      </c>
      <c r="E18112" t="s">
        <v>14158</v>
      </c>
      <c r="F18112" t="s">
        <v>16838</v>
      </c>
      <c r="G18112" t="s">
        <v>19007</v>
      </c>
      <c r="H18112" t="s">
        <v>25573</v>
      </c>
      <c r="I18112" t="s">
        <v>1357</v>
      </c>
      <c r="J18112" t="s">
        <v>1357</v>
      </c>
      <c r="K18112" t="s">
        <v>1357</v>
      </c>
      <c r="L18112" t="s">
        <v>1357</v>
      </c>
    </row>
    <row r="18113" spans="1:14">
      <c r="A18113" t="s">
        <v>11645</v>
      </c>
      <c r="B18113">
        <f>HYPERLINK("https://android.googlesource.com/platform/cts/+/0fddc5e003cfe8535faf4f7742f32bb965ae18d4", "0fddc5e003cfe8535faf4f7742f32bb965ae18d4")</f>
        <v>0</v>
      </c>
      <c r="C18113">
        <f>HYPERLINK("https://android.googlesource.com/platform/cts/+/1fb5df26b2118e45ce8bb6198f9be07783731bb0", "1fb5df26b2118e45ce8bb6198f9be07783731bb0")</f>
        <v>0</v>
      </c>
      <c r="D18113" t="s">
        <v>12446</v>
      </c>
      <c r="E18113" t="s">
        <v>14159</v>
      </c>
      <c r="F18113" t="s">
        <v>17096</v>
      </c>
      <c r="G18113" t="s">
        <v>19690</v>
      </c>
      <c r="H18113" t="s">
        <v>25797</v>
      </c>
      <c r="I18113" t="s">
        <v>1357</v>
      </c>
      <c r="J18113" t="s">
        <v>1357</v>
      </c>
      <c r="K18113" t="s">
        <v>1357</v>
      </c>
      <c r="L18113" t="s">
        <v>1357</v>
      </c>
      <c r="M18113" t="s">
        <v>9957</v>
      </c>
    </row>
    <row r="18114" spans="1:14">
      <c r="F18114" t="s">
        <v>17097</v>
      </c>
      <c r="G18114" t="s">
        <v>19653</v>
      </c>
      <c r="H18114" t="s">
        <v>25798</v>
      </c>
      <c r="I18114" t="s">
        <v>1357</v>
      </c>
      <c r="J18114" t="s">
        <v>1357</v>
      </c>
      <c r="K18114" t="s">
        <v>1357</v>
      </c>
      <c r="L18114" t="s">
        <v>1357</v>
      </c>
    </row>
    <row r="18115" spans="1:14">
      <c r="A18115" t="s">
        <v>11646</v>
      </c>
      <c r="B18115">
        <f>HYPERLINK("https://android.googlesource.com/platform/cts/+/b861418e5f9664be87dc5aaa60630c12c8ec08f2", "b861418e5f9664be87dc5aaa60630c12c8ec08f2")</f>
        <v>0</v>
      </c>
      <c r="C18115">
        <f>HYPERLINK("https://android.googlesource.com/platform/cts/+/821965037ffd92fa4c4fac54a700a0d7d76145d5", "821965037ffd92fa4c4fac54a700a0d7d76145d5")</f>
        <v>0</v>
      </c>
      <c r="D18115" t="s">
        <v>12061</v>
      </c>
      <c r="E18115" t="s">
        <v>14154</v>
      </c>
      <c r="F18115" t="s">
        <v>17090</v>
      </c>
      <c r="G18115" t="s">
        <v>19684</v>
      </c>
      <c r="H18115" t="s">
        <v>25731</v>
      </c>
      <c r="I18115" t="s">
        <v>1357</v>
      </c>
      <c r="J18115" t="s">
        <v>1357</v>
      </c>
      <c r="K18115" t="s">
        <v>1357</v>
      </c>
      <c r="L18115" t="s">
        <v>1357</v>
      </c>
      <c r="M18115" t="s">
        <v>9957</v>
      </c>
    </row>
    <row r="18116" spans="1:14">
      <c r="A18116" t="s">
        <v>11647</v>
      </c>
      <c r="B18116">
        <f>HYPERLINK("https://android.googlesource.com/platform/cts/+/fdc0962018be0098285695cb4b756011e904417d", "fdc0962018be0098285695cb4b756011e904417d")</f>
        <v>0</v>
      </c>
      <c r="C18116">
        <f>HYPERLINK("https://android.googlesource.com/platform/cts/+/ebda9875c3b7c5c9c4ea277c3b43e4c1d4a7b58a", "ebda9875c3b7c5c9c4ea277c3b43e4c1d4a7b58a")</f>
        <v>0</v>
      </c>
      <c r="D18116" t="s">
        <v>12447</v>
      </c>
      <c r="E18116" t="s">
        <v>14160</v>
      </c>
      <c r="F18116" t="s">
        <v>17098</v>
      </c>
      <c r="G18116" t="s">
        <v>19691</v>
      </c>
      <c r="H18116" t="s">
        <v>25799</v>
      </c>
      <c r="I18116" t="s">
        <v>1357</v>
      </c>
      <c r="J18116" t="s">
        <v>1357</v>
      </c>
      <c r="K18116" t="s">
        <v>1357</v>
      </c>
      <c r="L18116" t="s">
        <v>1357</v>
      </c>
    </row>
    <row r="18117" spans="1:14">
      <c r="F18117" t="s">
        <v>17099</v>
      </c>
      <c r="G18117" t="s">
        <v>19692</v>
      </c>
      <c r="H18117" t="s">
        <v>25799</v>
      </c>
      <c r="I18117" t="s">
        <v>1357</v>
      </c>
      <c r="J18117" t="s">
        <v>1357</v>
      </c>
      <c r="K18117" t="s">
        <v>1357</v>
      </c>
      <c r="L18117" t="s">
        <v>1357</v>
      </c>
    </row>
    <row r="18118" spans="1:14">
      <c r="A18118" t="s">
        <v>11648</v>
      </c>
      <c r="B18118">
        <f>HYPERLINK("https://android.googlesource.com/platform/cts/+/06a84310f16c0aeaf323b1b2cbfb4c4e233c06ba", "06a84310f16c0aeaf323b1b2cbfb4c4e233c06ba")</f>
        <v>0</v>
      </c>
      <c r="C18118">
        <f>HYPERLINK("https://android.googlesource.com/platform/cts/+/d4b71441b44ccb6b687c1cf7b1bada503b60ad6b", "d4b71441b44ccb6b687c1cf7b1bada503b60ad6b")</f>
        <v>0</v>
      </c>
      <c r="D18118" t="s">
        <v>12306</v>
      </c>
      <c r="E18118" t="s">
        <v>14161</v>
      </c>
      <c r="F18118" t="s">
        <v>17100</v>
      </c>
      <c r="G18118" t="s">
        <v>19693</v>
      </c>
      <c r="H18118" t="s">
        <v>25800</v>
      </c>
      <c r="I18118" t="s">
        <v>1358</v>
      </c>
      <c r="J18118" t="s">
        <v>1358</v>
      </c>
      <c r="K18118" t="s">
        <v>1358</v>
      </c>
      <c r="L18118" t="s">
        <v>1358</v>
      </c>
      <c r="N18118" t="s">
        <v>27538</v>
      </c>
    </row>
    <row r="18119" spans="1:14">
      <c r="H18119" t="s">
        <v>25801</v>
      </c>
      <c r="I18119" t="s">
        <v>1358</v>
      </c>
      <c r="J18119" t="s">
        <v>1358</v>
      </c>
      <c r="K18119" t="s">
        <v>1358</v>
      </c>
      <c r="L18119" t="s">
        <v>1358</v>
      </c>
    </row>
    <row r="18120" spans="1:14">
      <c r="H18120" t="s">
        <v>25802</v>
      </c>
      <c r="I18120" t="s">
        <v>1358</v>
      </c>
      <c r="J18120" t="s">
        <v>1358</v>
      </c>
      <c r="K18120" t="s">
        <v>1358</v>
      </c>
      <c r="L18120" t="s">
        <v>1358</v>
      </c>
    </row>
    <row r="18121" spans="1:14">
      <c r="H18121" t="s">
        <v>25803</v>
      </c>
      <c r="I18121" t="s">
        <v>1358</v>
      </c>
      <c r="J18121" t="s">
        <v>1358</v>
      </c>
      <c r="K18121" t="s">
        <v>1358</v>
      </c>
      <c r="L18121" t="s">
        <v>1358</v>
      </c>
    </row>
    <row r="18122" spans="1:14">
      <c r="F18122" t="s">
        <v>17101</v>
      </c>
      <c r="G18122" t="s">
        <v>19694</v>
      </c>
      <c r="H18122" t="s">
        <v>25800</v>
      </c>
      <c r="I18122" t="s">
        <v>1358</v>
      </c>
      <c r="J18122" t="s">
        <v>1358</v>
      </c>
      <c r="K18122" t="s">
        <v>1358</v>
      </c>
      <c r="L18122" t="s">
        <v>1358</v>
      </c>
    </row>
    <row r="18123" spans="1:14">
      <c r="H18123" t="s">
        <v>25804</v>
      </c>
      <c r="I18123" t="s">
        <v>1358</v>
      </c>
      <c r="J18123" t="s">
        <v>1358</v>
      </c>
      <c r="K18123" t="s">
        <v>1358</v>
      </c>
      <c r="L18123" t="s">
        <v>1358</v>
      </c>
    </row>
    <row r="18124" spans="1:14">
      <c r="H18124" t="s">
        <v>25805</v>
      </c>
      <c r="I18124" t="s">
        <v>1358</v>
      </c>
      <c r="J18124" t="s">
        <v>1358</v>
      </c>
      <c r="K18124" t="s">
        <v>1358</v>
      </c>
      <c r="L18124" t="s">
        <v>1358</v>
      </c>
    </row>
    <row r="18125" spans="1:14">
      <c r="H18125" t="s">
        <v>25806</v>
      </c>
      <c r="I18125" t="s">
        <v>1358</v>
      </c>
      <c r="J18125" t="s">
        <v>1358</v>
      </c>
      <c r="K18125" t="s">
        <v>1358</v>
      </c>
      <c r="L18125" t="s">
        <v>1358</v>
      </c>
    </row>
    <row r="18126" spans="1:14">
      <c r="A18126" t="s">
        <v>11649</v>
      </c>
      <c r="B18126">
        <f>HYPERLINK("https://android.googlesource.com/platform/cts/+/9adfa2d93b38785d0433065779cd7c4965fcc005", "9adfa2d93b38785d0433065779cd7c4965fcc005")</f>
        <v>0</v>
      </c>
      <c r="C18126">
        <f>HYPERLINK("https://android.googlesource.com/platform/cts/+/0ee905ad4b56b49066ae8e8596de2ecaa8b64072", "0ee905ad4b56b49066ae8e8596de2ecaa8b64072")</f>
        <v>0</v>
      </c>
      <c r="D18126" t="s">
        <v>12421</v>
      </c>
      <c r="E18126" t="s">
        <v>14162</v>
      </c>
      <c r="F18126" t="s">
        <v>17102</v>
      </c>
      <c r="G18126" t="s">
        <v>19695</v>
      </c>
      <c r="H18126" t="s">
        <v>25807</v>
      </c>
      <c r="I18126" t="s">
        <v>1357</v>
      </c>
      <c r="J18126" t="s">
        <v>1357</v>
      </c>
      <c r="K18126" t="s">
        <v>1357</v>
      </c>
      <c r="L18126" t="s">
        <v>1357</v>
      </c>
    </row>
    <row r="18127" spans="1:14">
      <c r="H18127" t="s">
        <v>25808</v>
      </c>
      <c r="I18127" t="s">
        <v>1357</v>
      </c>
      <c r="J18127" t="s">
        <v>1357</v>
      </c>
      <c r="K18127" t="s">
        <v>1357</v>
      </c>
      <c r="L18127" t="s">
        <v>1357</v>
      </c>
    </row>
    <row r="18128" spans="1:14">
      <c r="H18128" t="s">
        <v>25809</v>
      </c>
      <c r="I18128" t="s">
        <v>1357</v>
      </c>
      <c r="J18128" t="s">
        <v>1357</v>
      </c>
      <c r="K18128" t="s">
        <v>1357</v>
      </c>
      <c r="L18128" t="s">
        <v>1357</v>
      </c>
    </row>
    <row r="18129" spans="1:14">
      <c r="H18129" t="s">
        <v>25810</v>
      </c>
      <c r="I18129" t="s">
        <v>1357</v>
      </c>
      <c r="J18129" t="s">
        <v>1357</v>
      </c>
      <c r="K18129" t="s">
        <v>1357</v>
      </c>
      <c r="L18129" t="s">
        <v>1357</v>
      </c>
    </row>
    <row r="18130" spans="1:14">
      <c r="A18130" t="s">
        <v>11650</v>
      </c>
      <c r="B18130">
        <f>HYPERLINK("https://android.googlesource.com/platform/cts/+/7c5d2bc90886f36f7941698d2a4c766af1f07792", "7c5d2bc90886f36f7941698d2a4c766af1f07792")</f>
        <v>0</v>
      </c>
      <c r="C18130">
        <f>HYPERLINK("https://android.googlesource.com/platform/cts/+/dbedeae15ba8e966eb20bfbc5c0c0fb901567891", "dbedeae15ba8e966eb20bfbc5c0c0fb901567891")</f>
        <v>0</v>
      </c>
      <c r="D18130" t="s">
        <v>12230</v>
      </c>
      <c r="E18130" t="s">
        <v>14163</v>
      </c>
      <c r="F18130" t="s">
        <v>17001</v>
      </c>
      <c r="G18130" t="s">
        <v>19255</v>
      </c>
      <c r="H18130" t="s">
        <v>25811</v>
      </c>
      <c r="I18130" t="s">
        <v>1357</v>
      </c>
      <c r="J18130" t="s">
        <v>1357</v>
      </c>
      <c r="K18130" t="s">
        <v>1357</v>
      </c>
      <c r="L18130" t="s">
        <v>1357</v>
      </c>
    </row>
    <row r="18131" spans="1:14">
      <c r="A18131" t="s">
        <v>11651</v>
      </c>
      <c r="B18131">
        <f>HYPERLINK("https://android.googlesource.com/platform/cts/+/4ab8024b3c4dc967f3ac9c0addc917a76b19a13e", "4ab8024b3c4dc967f3ac9c0addc917a76b19a13e")</f>
        <v>0</v>
      </c>
      <c r="C18131">
        <f>HYPERLINK("https://android.googlesource.com/platform/cts/+/dbc6118981a8362b7cc671f4707a55a2f11978ec", "dbc6118981a8362b7cc671f4707a55a2f11978ec")</f>
        <v>0</v>
      </c>
      <c r="D18131" t="s">
        <v>12448</v>
      </c>
      <c r="E18131" t="s">
        <v>14164</v>
      </c>
      <c r="F18131" t="s">
        <v>17103</v>
      </c>
      <c r="G18131" t="s">
        <v>19696</v>
      </c>
      <c r="H18131" t="s">
        <v>25812</v>
      </c>
      <c r="I18131" t="s">
        <v>1357</v>
      </c>
      <c r="J18131" t="s">
        <v>1357</v>
      </c>
      <c r="K18131" t="s">
        <v>1357</v>
      </c>
      <c r="L18131" t="s">
        <v>1357</v>
      </c>
    </row>
    <row r="18132" spans="1:14">
      <c r="A18132" t="s">
        <v>11652</v>
      </c>
      <c r="B18132">
        <f>HYPERLINK("https://android.googlesource.com/platform/cts/+/5c17ed6ed301928ef09b80083aecde14eaaed96d", "5c17ed6ed301928ef09b80083aecde14eaaed96d")</f>
        <v>0</v>
      </c>
      <c r="C18132">
        <f>HYPERLINK("https://android.googlesource.com/platform/cts/+/6feb1b5e3fb274d8884aa4f50084285d27d109a7", "6feb1b5e3fb274d8884aa4f50084285d27d109a7")</f>
        <v>0</v>
      </c>
      <c r="D18132" t="s">
        <v>12449</v>
      </c>
      <c r="E18132" t="s">
        <v>14165</v>
      </c>
      <c r="F18132" t="s">
        <v>17103</v>
      </c>
      <c r="G18132" t="s">
        <v>19696</v>
      </c>
      <c r="H18132" t="s">
        <v>25812</v>
      </c>
      <c r="I18132" t="s">
        <v>1357</v>
      </c>
      <c r="J18132" t="s">
        <v>1357</v>
      </c>
      <c r="K18132" t="s">
        <v>1357</v>
      </c>
      <c r="L18132" t="s">
        <v>1357</v>
      </c>
      <c r="M18132" t="s">
        <v>9957</v>
      </c>
    </row>
    <row r="18133" spans="1:14">
      <c r="A18133" t="s">
        <v>11653</v>
      </c>
      <c r="B18133">
        <f>HYPERLINK("https://android.googlesource.com/platform/cts/+/2eca861ed7053667b6461a472cd7d759df69a516", "2eca861ed7053667b6461a472cd7d759df69a516")</f>
        <v>0</v>
      </c>
      <c r="C18133">
        <f>HYPERLINK("https://android.googlesource.com/platform/cts/+/4ab009d29db4ad2fe1cc66fd3d52b3cde0dab85d", "4ab009d29db4ad2fe1cc66fd3d52b3cde0dab85d")</f>
        <v>0</v>
      </c>
      <c r="D18133" t="s">
        <v>12230</v>
      </c>
      <c r="E18133" t="s">
        <v>14166</v>
      </c>
      <c r="F18133" t="s">
        <v>17001</v>
      </c>
      <c r="G18133" t="s">
        <v>19255</v>
      </c>
      <c r="H18133" t="s">
        <v>25811</v>
      </c>
      <c r="I18133" t="s">
        <v>1357</v>
      </c>
      <c r="J18133" t="s">
        <v>1357</v>
      </c>
      <c r="K18133" t="s">
        <v>1357</v>
      </c>
      <c r="L18133" t="s">
        <v>1357</v>
      </c>
    </row>
    <row r="18134" spans="1:14">
      <c r="A18134" t="s">
        <v>11654</v>
      </c>
      <c r="B18134">
        <f>HYPERLINK("https://android.googlesource.com/platform/cts/+/0579b0ca6d4664ff28514fe7efd6c7543a5e6471", "0579b0ca6d4664ff28514fe7efd6c7543a5e6471")</f>
        <v>0</v>
      </c>
      <c r="C18134">
        <f>HYPERLINK("https://android.googlesource.com/platform/cts/+/ed55bee8e9e0f821a11c935a43a524c2495cad7f", "ed55bee8e9e0f821a11c935a43a524c2495cad7f")</f>
        <v>0</v>
      </c>
      <c r="D18134" t="s">
        <v>12230</v>
      </c>
      <c r="E18134" t="s">
        <v>14166</v>
      </c>
      <c r="F18134" t="s">
        <v>17001</v>
      </c>
      <c r="G18134" t="s">
        <v>19255</v>
      </c>
      <c r="H18134" t="s">
        <v>25811</v>
      </c>
      <c r="I18134" t="s">
        <v>1357</v>
      </c>
      <c r="J18134" t="s">
        <v>1357</v>
      </c>
      <c r="K18134" t="s">
        <v>1357</v>
      </c>
      <c r="L18134" t="s">
        <v>1357</v>
      </c>
      <c r="M18134" t="s">
        <v>9957</v>
      </c>
    </row>
    <row r="18135" spans="1:14">
      <c r="A18135" t="s">
        <v>11655</v>
      </c>
      <c r="B18135">
        <f>HYPERLINK("https://android.googlesource.com/platform/cts/+/4d6b858e0f9a908d5503539d7f8093cce8272e05", "4d6b858e0f9a908d5503539d7f8093cce8272e05")</f>
        <v>0</v>
      </c>
      <c r="C18135">
        <f>HYPERLINK("https://android.googlesource.com/platform/cts/+/785f64789bf862a64d0ccab46a79e809e7ea5515", "785f64789bf862a64d0ccab46a79e809e7ea5515")</f>
        <v>0</v>
      </c>
      <c r="D18135" t="s">
        <v>12450</v>
      </c>
      <c r="E18135" t="s">
        <v>14167</v>
      </c>
      <c r="F18135" t="s">
        <v>17104</v>
      </c>
      <c r="G18135" t="s">
        <v>19697</v>
      </c>
      <c r="H18135" t="s">
        <v>25813</v>
      </c>
      <c r="I18135" t="s">
        <v>1357</v>
      </c>
      <c r="J18135" t="s">
        <v>1357</v>
      </c>
      <c r="K18135" t="s">
        <v>1357</v>
      </c>
      <c r="L18135" t="s">
        <v>1357</v>
      </c>
    </row>
    <row r="18136" spans="1:14">
      <c r="A18136" t="s">
        <v>11656</v>
      </c>
      <c r="B18136">
        <f>HYPERLINK("https://android.googlesource.com/platform/cts/+/5675d5b40e6688b093a2d05afb5daab2a28a388e", "5675d5b40e6688b093a2d05afb5daab2a28a388e")</f>
        <v>0</v>
      </c>
      <c r="C18136">
        <f>HYPERLINK("https://android.googlesource.com/platform/cts/+/27cdd58435b1aaf80186e02dd280d4a373644916", "27cdd58435b1aaf80186e02dd280d4a373644916")</f>
        <v>0</v>
      </c>
      <c r="D18136" t="s">
        <v>12306</v>
      </c>
      <c r="E18136" t="s">
        <v>14168</v>
      </c>
      <c r="F18136" t="s">
        <v>17105</v>
      </c>
      <c r="G18136" t="s">
        <v>19698</v>
      </c>
      <c r="H18136" t="s">
        <v>25814</v>
      </c>
      <c r="I18136" t="s">
        <v>1359</v>
      </c>
      <c r="J18136" t="s">
        <v>1357</v>
      </c>
      <c r="K18136" t="s">
        <v>1358</v>
      </c>
      <c r="L18136" t="s">
        <v>1357</v>
      </c>
    </row>
    <row r="18137" spans="1:14">
      <c r="H18137" t="s">
        <v>25815</v>
      </c>
      <c r="I18137" t="s">
        <v>1358</v>
      </c>
      <c r="J18137" t="s">
        <v>1358</v>
      </c>
      <c r="K18137" t="s">
        <v>1358</v>
      </c>
      <c r="L18137" t="s">
        <v>1358</v>
      </c>
    </row>
    <row r="18138" spans="1:14">
      <c r="A18138" t="s">
        <v>11657</v>
      </c>
      <c r="B18138">
        <f>HYPERLINK("https://android.googlesource.com/platform/cts/+/b68a484e6fa0b7992809ba583a0f5fe915c3b557", "b68a484e6fa0b7992809ba583a0f5fe915c3b557")</f>
        <v>0</v>
      </c>
      <c r="C18138">
        <f>HYPERLINK("https://android.googlesource.com/platform/cts/+/226041e349bd8b9bc6fd64e14ae1df7eeee8dff3", "226041e349bd8b9bc6fd64e14ae1df7eeee8dff3")</f>
        <v>0</v>
      </c>
      <c r="D18138" t="s">
        <v>12212</v>
      </c>
      <c r="E18138" t="s">
        <v>14169</v>
      </c>
      <c r="F18138" t="s">
        <v>16138</v>
      </c>
      <c r="G18138" t="s">
        <v>18822</v>
      </c>
      <c r="H18138" t="s">
        <v>25816</v>
      </c>
      <c r="I18138" t="s">
        <v>1357</v>
      </c>
      <c r="J18138" t="s">
        <v>1357</v>
      </c>
      <c r="K18138" t="s">
        <v>1357</v>
      </c>
      <c r="L18138" t="s">
        <v>1357</v>
      </c>
    </row>
    <row r="18139" spans="1:14">
      <c r="A18139" t="s">
        <v>11658</v>
      </c>
      <c r="B18139">
        <f>HYPERLINK("https://android.googlesource.com/platform/cts/+/f8b0e6ddd4a7e14ac23511da768d5930b868d6ba", "f8b0e6ddd4a7e14ac23511da768d5930b868d6ba")</f>
        <v>0</v>
      </c>
      <c r="C18139">
        <f>HYPERLINK("https://android.googlesource.com/platform/cts/+/1712c1bf1df20f4d3bed44ef98c2c69cbb56471e", "1712c1bf1df20f4d3bed44ef98c2c69cbb56471e")</f>
        <v>0</v>
      </c>
      <c r="D18139" t="s">
        <v>12200</v>
      </c>
      <c r="E18139" t="s">
        <v>14170</v>
      </c>
      <c r="F18139" t="s">
        <v>17106</v>
      </c>
      <c r="G18139" t="s">
        <v>19699</v>
      </c>
      <c r="H18139" t="s">
        <v>25817</v>
      </c>
      <c r="I18139" t="s">
        <v>1359</v>
      </c>
      <c r="J18139" t="s">
        <v>1358</v>
      </c>
      <c r="K18139" t="s">
        <v>1357</v>
      </c>
      <c r="L18139" t="s">
        <v>1358</v>
      </c>
      <c r="N18139" t="s">
        <v>27529</v>
      </c>
    </row>
    <row r="18140" spans="1:14">
      <c r="H18140" t="s">
        <v>25818</v>
      </c>
      <c r="I18140" t="s">
        <v>1359</v>
      </c>
      <c r="J18140" t="s">
        <v>1358</v>
      </c>
      <c r="K18140" t="s">
        <v>1357</v>
      </c>
      <c r="L18140" t="s">
        <v>1358</v>
      </c>
      <c r="N18140" t="s">
        <v>27529</v>
      </c>
    </row>
    <row r="18141" spans="1:14">
      <c r="A18141" t="s">
        <v>11659</v>
      </c>
      <c r="B18141">
        <f>HYPERLINK("https://android.googlesource.com/platform/cts/+/07f3063588719ff79a300753401b2f4a2b6e5b96", "07f3063588719ff79a300753401b2f4a2b6e5b96")</f>
        <v>0</v>
      </c>
      <c r="C18141">
        <f>HYPERLINK("https://android.googlesource.com/platform/cts/+/43fa93bdf1f6e22bf9dcaeca2a14b185f32a8c3a", "43fa93bdf1f6e22bf9dcaeca2a14b185f32a8c3a")</f>
        <v>0</v>
      </c>
      <c r="D18141" t="s">
        <v>12451</v>
      </c>
      <c r="E18141" t="s">
        <v>14171</v>
      </c>
      <c r="F18141" t="s">
        <v>17107</v>
      </c>
      <c r="G18141" t="s">
        <v>19700</v>
      </c>
      <c r="H18141" t="s">
        <v>25819</v>
      </c>
      <c r="I18141" t="s">
        <v>1358</v>
      </c>
      <c r="J18141" t="s">
        <v>1358</v>
      </c>
      <c r="K18141" t="s">
        <v>1358</v>
      </c>
      <c r="L18141" t="s">
        <v>1358</v>
      </c>
    </row>
    <row r="18142" spans="1:14">
      <c r="A18142" t="s">
        <v>11660</v>
      </c>
      <c r="B18142">
        <f>HYPERLINK("https://android.googlesource.com/platform/cts/+/aafedb0bd34b07854d8a84e9a3d35478cbf920f9", "aafedb0bd34b07854d8a84e9a3d35478cbf920f9")</f>
        <v>0</v>
      </c>
      <c r="C18142">
        <f>HYPERLINK("https://android.googlesource.com/platform/cts/+/0be33f80cc418d8ae84d136c44a5d4146f03d7d8", "0be33f80cc418d8ae84d136c44a5d4146f03d7d8")</f>
        <v>0</v>
      </c>
      <c r="D18142" t="s">
        <v>12205</v>
      </c>
      <c r="E18142" t="s">
        <v>14172</v>
      </c>
      <c r="F18142" t="s">
        <v>16810</v>
      </c>
      <c r="G18142" t="s">
        <v>19430</v>
      </c>
      <c r="H18142" t="s">
        <v>25820</v>
      </c>
      <c r="I18142" t="s">
        <v>1357</v>
      </c>
      <c r="J18142" t="s">
        <v>1357</v>
      </c>
      <c r="K18142" t="s">
        <v>1357</v>
      </c>
      <c r="L18142" t="s">
        <v>1357</v>
      </c>
    </row>
    <row r="18143" spans="1:14">
      <c r="A18143" t="s">
        <v>11661</v>
      </c>
      <c r="B18143">
        <f>HYPERLINK("https://android.googlesource.com/platform/cts/+/ec2e9aaa0957ec773c2d37008ba2af98313d4d58", "ec2e9aaa0957ec773c2d37008ba2af98313d4d58")</f>
        <v>0</v>
      </c>
      <c r="C18143">
        <f>HYPERLINK("https://android.googlesource.com/platform/cts/+/5cd84dbaef140091606678509c7824d6734012b8", "5cd84dbaef140091606678509c7824d6734012b8")</f>
        <v>0</v>
      </c>
      <c r="D18143" t="s">
        <v>12270</v>
      </c>
      <c r="E18143" t="s">
        <v>14173</v>
      </c>
      <c r="F18143" t="s">
        <v>17108</v>
      </c>
      <c r="G18143" t="s">
        <v>19294</v>
      </c>
      <c r="H18143" t="s">
        <v>795</v>
      </c>
      <c r="I18143" t="s">
        <v>1358</v>
      </c>
      <c r="J18143" t="s">
        <v>1358</v>
      </c>
      <c r="K18143" t="s">
        <v>1358</v>
      </c>
      <c r="L18143" t="s">
        <v>1358</v>
      </c>
    </row>
    <row r="18144" spans="1:14">
      <c r="H18144" t="s">
        <v>19948</v>
      </c>
      <c r="I18144" t="s">
        <v>1357</v>
      </c>
      <c r="J18144" t="s">
        <v>1357</v>
      </c>
      <c r="K18144" t="s">
        <v>1357</v>
      </c>
      <c r="L18144" t="s">
        <v>1357</v>
      </c>
    </row>
    <row r="18145" spans="8:12">
      <c r="H18145" t="s">
        <v>25821</v>
      </c>
      <c r="I18145" t="s">
        <v>1358</v>
      </c>
      <c r="J18145" t="s">
        <v>1358</v>
      </c>
      <c r="K18145" t="s">
        <v>1358</v>
      </c>
      <c r="L18145" t="s">
        <v>1358</v>
      </c>
    </row>
    <row r="18146" spans="8:12">
      <c r="H18146" t="s">
        <v>25822</v>
      </c>
      <c r="I18146" t="s">
        <v>1358</v>
      </c>
      <c r="J18146" t="s">
        <v>1358</v>
      </c>
      <c r="K18146" t="s">
        <v>1358</v>
      </c>
      <c r="L18146" t="s">
        <v>1358</v>
      </c>
    </row>
    <row r="18147" spans="8:12">
      <c r="H18147" t="s">
        <v>25823</v>
      </c>
      <c r="I18147" t="s">
        <v>1358</v>
      </c>
      <c r="J18147" t="s">
        <v>1358</v>
      </c>
      <c r="K18147" t="s">
        <v>1358</v>
      </c>
      <c r="L18147" t="s">
        <v>1358</v>
      </c>
    </row>
    <row r="18148" spans="8:12">
      <c r="H18148" t="s">
        <v>25824</v>
      </c>
      <c r="I18148" t="s">
        <v>1358</v>
      </c>
      <c r="J18148" t="s">
        <v>1358</v>
      </c>
      <c r="K18148" t="s">
        <v>1358</v>
      </c>
      <c r="L18148" t="s">
        <v>1358</v>
      </c>
    </row>
    <row r="18149" spans="8:12">
      <c r="H18149" t="s">
        <v>25825</v>
      </c>
      <c r="I18149" t="s">
        <v>1358</v>
      </c>
      <c r="J18149" t="s">
        <v>1358</v>
      </c>
      <c r="K18149" t="s">
        <v>1358</v>
      </c>
      <c r="L18149" t="s">
        <v>1358</v>
      </c>
    </row>
    <row r="18150" spans="8:12">
      <c r="H18150" t="s">
        <v>25826</v>
      </c>
      <c r="I18150" t="s">
        <v>1358</v>
      </c>
      <c r="J18150" t="s">
        <v>1358</v>
      </c>
      <c r="K18150" t="s">
        <v>1358</v>
      </c>
      <c r="L18150" t="s">
        <v>1358</v>
      </c>
    </row>
    <row r="18151" spans="8:12">
      <c r="H18151" t="s">
        <v>25827</v>
      </c>
      <c r="I18151" t="s">
        <v>1358</v>
      </c>
      <c r="J18151" t="s">
        <v>1358</v>
      </c>
      <c r="K18151" t="s">
        <v>1358</v>
      </c>
      <c r="L18151" t="s">
        <v>1358</v>
      </c>
    </row>
    <row r="18152" spans="8:12">
      <c r="H18152" t="s">
        <v>25828</v>
      </c>
      <c r="I18152" t="s">
        <v>1358</v>
      </c>
      <c r="J18152" t="s">
        <v>1358</v>
      </c>
      <c r="K18152" t="s">
        <v>1358</v>
      </c>
      <c r="L18152" t="s">
        <v>1358</v>
      </c>
    </row>
    <row r="18153" spans="8:12">
      <c r="H18153" t="s">
        <v>25829</v>
      </c>
      <c r="I18153" t="s">
        <v>1358</v>
      </c>
      <c r="J18153" t="s">
        <v>1358</v>
      </c>
      <c r="K18153" t="s">
        <v>1358</v>
      </c>
      <c r="L18153" t="s">
        <v>1358</v>
      </c>
    </row>
    <row r="18154" spans="8:12">
      <c r="H18154" t="s">
        <v>25830</v>
      </c>
      <c r="I18154" t="s">
        <v>1358</v>
      </c>
      <c r="J18154" t="s">
        <v>1358</v>
      </c>
      <c r="K18154" t="s">
        <v>1358</v>
      </c>
      <c r="L18154" t="s">
        <v>1358</v>
      </c>
    </row>
    <row r="18155" spans="8:12">
      <c r="H18155" t="s">
        <v>25831</v>
      </c>
      <c r="I18155" t="s">
        <v>1358</v>
      </c>
      <c r="J18155" t="s">
        <v>1358</v>
      </c>
      <c r="K18155" t="s">
        <v>1358</v>
      </c>
      <c r="L18155" t="s">
        <v>1358</v>
      </c>
    </row>
    <row r="18156" spans="8:12">
      <c r="H18156" t="s">
        <v>25832</v>
      </c>
      <c r="I18156" t="s">
        <v>1358</v>
      </c>
      <c r="J18156" t="s">
        <v>1358</v>
      </c>
      <c r="K18156" t="s">
        <v>1358</v>
      </c>
      <c r="L18156" t="s">
        <v>1358</v>
      </c>
    </row>
    <row r="18157" spans="8:12">
      <c r="H18157" t="s">
        <v>25833</v>
      </c>
      <c r="I18157" t="s">
        <v>1358</v>
      </c>
      <c r="J18157" t="s">
        <v>1358</v>
      </c>
      <c r="K18157" t="s">
        <v>1358</v>
      </c>
      <c r="L18157" t="s">
        <v>1358</v>
      </c>
    </row>
    <row r="18158" spans="8:12">
      <c r="H18158" t="s">
        <v>23984</v>
      </c>
      <c r="I18158" t="s">
        <v>1358</v>
      </c>
      <c r="J18158" t="s">
        <v>1358</v>
      </c>
      <c r="K18158" t="s">
        <v>1358</v>
      </c>
      <c r="L18158" t="s">
        <v>1358</v>
      </c>
    </row>
    <row r="18159" spans="8:12">
      <c r="H18159" t="s">
        <v>25834</v>
      </c>
      <c r="I18159" t="s">
        <v>1358</v>
      </c>
      <c r="J18159" t="s">
        <v>1358</v>
      </c>
      <c r="K18159" t="s">
        <v>1358</v>
      </c>
      <c r="L18159" t="s">
        <v>1358</v>
      </c>
    </row>
    <row r="18160" spans="8:12">
      <c r="H18160" t="s">
        <v>901</v>
      </c>
      <c r="I18160" t="s">
        <v>1357</v>
      </c>
      <c r="J18160" t="s">
        <v>1357</v>
      </c>
      <c r="K18160" t="s">
        <v>1357</v>
      </c>
      <c r="L18160" t="s">
        <v>1357</v>
      </c>
    </row>
    <row r="18161" spans="1:13">
      <c r="A18161" t="s">
        <v>11662</v>
      </c>
      <c r="B18161">
        <f>HYPERLINK("https://android.googlesource.com/platform/cts/+/5d39eece835c7b3f8afa474807b88b2ce0c86136", "5d39eece835c7b3f8afa474807b88b2ce0c86136")</f>
        <v>0</v>
      </c>
      <c r="C18161">
        <f>HYPERLINK("https://android.googlesource.com/platform/cts/+/01b5ce4de9ac67a8770f125e3b4f3fc601e090fa", "01b5ce4de9ac67a8770f125e3b4f3fc601e090fa")</f>
        <v>0</v>
      </c>
      <c r="D18161" t="s">
        <v>12400</v>
      </c>
      <c r="E18161" t="s">
        <v>14174</v>
      </c>
      <c r="F18161" t="s">
        <v>16973</v>
      </c>
      <c r="G18161" t="s">
        <v>19580</v>
      </c>
      <c r="H18161" t="s">
        <v>25835</v>
      </c>
      <c r="I18161" t="s">
        <v>1357</v>
      </c>
      <c r="J18161" t="s">
        <v>1357</v>
      </c>
      <c r="K18161" t="s">
        <v>1357</v>
      </c>
      <c r="L18161" t="s">
        <v>1357</v>
      </c>
    </row>
    <row r="18162" spans="1:13">
      <c r="H18162" t="s">
        <v>25836</v>
      </c>
      <c r="I18162" t="s">
        <v>1357</v>
      </c>
      <c r="J18162" t="s">
        <v>1357</v>
      </c>
      <c r="K18162" t="s">
        <v>1357</v>
      </c>
      <c r="L18162" t="s">
        <v>1357</v>
      </c>
    </row>
    <row r="18163" spans="1:13">
      <c r="A18163" t="s">
        <v>11663</v>
      </c>
      <c r="B18163">
        <f>HYPERLINK("https://android.googlesource.com/platform/cts/+/f3fcf464c8108580d022638eb96e8e484adad800", "f3fcf464c8108580d022638eb96e8e484adad800")</f>
        <v>0</v>
      </c>
      <c r="C18163">
        <f>HYPERLINK("https://android.googlesource.com/platform/cts/+/e870bd624677122dc166aac10eb2d78acba3ea8a", "e870bd624677122dc166aac10eb2d78acba3ea8a")</f>
        <v>0</v>
      </c>
      <c r="D18163" t="s">
        <v>12306</v>
      </c>
      <c r="E18163" t="s">
        <v>14169</v>
      </c>
      <c r="F18163" t="s">
        <v>16138</v>
      </c>
      <c r="G18163" t="s">
        <v>18822</v>
      </c>
      <c r="H18163" t="s">
        <v>25816</v>
      </c>
      <c r="I18163" t="s">
        <v>1357</v>
      </c>
      <c r="J18163" t="s">
        <v>1357</v>
      </c>
      <c r="K18163" t="s">
        <v>1357</v>
      </c>
      <c r="L18163" t="s">
        <v>1357</v>
      </c>
    </row>
    <row r="18164" spans="1:13">
      <c r="A18164" t="s">
        <v>11664</v>
      </c>
      <c r="B18164">
        <f>HYPERLINK("https://android.googlesource.com/platform/cts/+/3d2df9c448bea6fd762f047d9e86a5e32d2ee1c6", "3d2df9c448bea6fd762f047d9e86a5e32d2ee1c6")</f>
        <v>0</v>
      </c>
      <c r="C18164">
        <f>HYPERLINK("https://android.googlesource.com/platform/cts/+/0a911208cd0d0d1c6539d2fbcbe4bedea63a32e9", "0a911208cd0d0d1c6539d2fbcbe4bedea63a32e9")</f>
        <v>0</v>
      </c>
      <c r="D18164" t="s">
        <v>12452</v>
      </c>
      <c r="E18164" t="s">
        <v>14175</v>
      </c>
      <c r="F18164" t="s">
        <v>17109</v>
      </c>
      <c r="G18164" t="s">
        <v>19701</v>
      </c>
      <c r="H18164" t="s">
        <v>25837</v>
      </c>
      <c r="I18164" t="s">
        <v>1357</v>
      </c>
      <c r="J18164" t="s">
        <v>1357</v>
      </c>
      <c r="K18164" t="s">
        <v>1357</v>
      </c>
      <c r="L18164" t="s">
        <v>1357</v>
      </c>
    </row>
    <row r="18165" spans="1:13">
      <c r="A18165" t="s">
        <v>11665</v>
      </c>
      <c r="B18165">
        <f>HYPERLINK("https://android.googlesource.com/platform/cts/+/9c5e475cf71047612613e90ca4a3930875a4c9f8", "9c5e475cf71047612613e90ca4a3930875a4c9f8")</f>
        <v>0</v>
      </c>
      <c r="C18165">
        <f>HYPERLINK("https://android.googlesource.com/platform/cts/+/0a375bf1a064a47df5f60d071eb66e46f3a11ae2", "0a375bf1a064a47df5f60d071eb66e46f3a11ae2")</f>
        <v>0</v>
      </c>
      <c r="D18165" t="s">
        <v>12452</v>
      </c>
      <c r="E18165" t="s">
        <v>14176</v>
      </c>
      <c r="F18165" t="s">
        <v>17109</v>
      </c>
      <c r="G18165" t="s">
        <v>19701</v>
      </c>
      <c r="H18165" t="s">
        <v>25837</v>
      </c>
      <c r="I18165" t="s">
        <v>1357</v>
      </c>
      <c r="J18165" t="s">
        <v>1357</v>
      </c>
      <c r="K18165" t="s">
        <v>1357</v>
      </c>
      <c r="L18165" t="s">
        <v>1357</v>
      </c>
      <c r="M18165" t="s">
        <v>9957</v>
      </c>
    </row>
    <row r="18166" spans="1:13">
      <c r="A18166" t="s">
        <v>11666</v>
      </c>
      <c r="B18166">
        <f>HYPERLINK("https://android.googlesource.com/platform/cts/+/58456bfeea410d2dcc44e9bdf96e0645b54d35fc", "58456bfeea410d2dcc44e9bdf96e0645b54d35fc")</f>
        <v>0</v>
      </c>
      <c r="C18166">
        <f>HYPERLINK("https://android.googlesource.com/platform/cts/+/5cd870fa497e364429757b1cc14fdc8f288ed83d", "5cd870fa497e364429757b1cc14fdc8f288ed83d")</f>
        <v>0</v>
      </c>
      <c r="D18166" t="s">
        <v>12453</v>
      </c>
      <c r="E18166" t="s">
        <v>14177</v>
      </c>
      <c r="F18166" t="s">
        <v>17110</v>
      </c>
      <c r="G18166" t="s">
        <v>19702</v>
      </c>
      <c r="H18166" t="s">
        <v>8479</v>
      </c>
      <c r="I18166" t="s">
        <v>1358</v>
      </c>
      <c r="J18166" t="s">
        <v>1358</v>
      </c>
      <c r="K18166" t="s">
        <v>1358</v>
      </c>
      <c r="L18166" t="s">
        <v>1358</v>
      </c>
    </row>
    <row r="18167" spans="1:13">
      <c r="A18167" t="s">
        <v>11667</v>
      </c>
      <c r="B18167">
        <f>HYPERLINK("https://android.googlesource.com/platform/cts/+/6c7a7c6f6199628b1d95b8789fb234bf4b1b319d", "6c7a7c6f6199628b1d95b8789fb234bf4b1b319d")</f>
        <v>0</v>
      </c>
      <c r="C18167">
        <f>HYPERLINK("https://android.googlesource.com/platform/cts/+/692d84644c93c20ba17cf97461fc13195bc4cfd9", "692d84644c93c20ba17cf97461fc13195bc4cfd9")</f>
        <v>0</v>
      </c>
      <c r="D18167" t="s">
        <v>12212</v>
      </c>
      <c r="E18167" t="s">
        <v>14178</v>
      </c>
      <c r="F18167" t="s">
        <v>16099</v>
      </c>
      <c r="G18167" t="s">
        <v>18788</v>
      </c>
      <c r="H18167" t="s">
        <v>25838</v>
      </c>
      <c r="I18167" t="s">
        <v>1359</v>
      </c>
      <c r="J18167" t="s">
        <v>1358</v>
      </c>
      <c r="K18167" t="s">
        <v>1357</v>
      </c>
      <c r="L18167" t="s">
        <v>1358</v>
      </c>
    </row>
    <row r="18168" spans="1:13">
      <c r="F18168" t="s">
        <v>16147</v>
      </c>
      <c r="G18168" t="s">
        <v>17894</v>
      </c>
      <c r="H18168" t="s">
        <v>25839</v>
      </c>
      <c r="I18168" t="s">
        <v>1359</v>
      </c>
      <c r="J18168" t="s">
        <v>1358</v>
      </c>
      <c r="K18168" t="s">
        <v>1357</v>
      </c>
      <c r="L18168" t="s">
        <v>1358</v>
      </c>
    </row>
    <row r="18169" spans="1:13">
      <c r="A18169" t="s">
        <v>11668</v>
      </c>
      <c r="B18169">
        <f>HYPERLINK("https://android.googlesource.com/platform/cts/+/34b6954075b3d1f4486f031ad82bbb9972638903", "34b6954075b3d1f4486f031ad82bbb9972638903")</f>
        <v>0</v>
      </c>
      <c r="C18169">
        <f>HYPERLINK("https://android.googlesource.com/platform/cts/+/9a84d939ebc0533f9ee1ef49d164382e3408566f", "9a84d939ebc0533f9ee1ef49d164382e3408566f")</f>
        <v>0</v>
      </c>
      <c r="D18169" t="s">
        <v>12437</v>
      </c>
      <c r="E18169" t="s">
        <v>14179</v>
      </c>
      <c r="F18169" t="s">
        <v>16099</v>
      </c>
      <c r="G18169" t="s">
        <v>18788</v>
      </c>
      <c r="H18169" t="s">
        <v>25840</v>
      </c>
      <c r="I18169" t="s">
        <v>1357</v>
      </c>
      <c r="J18169" t="s">
        <v>1357</v>
      </c>
      <c r="K18169" t="s">
        <v>1357</v>
      </c>
      <c r="L18169" t="s">
        <v>1357</v>
      </c>
    </row>
    <row r="18170" spans="1:13">
      <c r="H18170" t="s">
        <v>25841</v>
      </c>
      <c r="I18170" t="s">
        <v>1357</v>
      </c>
      <c r="J18170" t="s">
        <v>1357</v>
      </c>
      <c r="K18170" t="s">
        <v>1357</v>
      </c>
      <c r="L18170" t="s">
        <v>1357</v>
      </c>
    </row>
    <row r="18171" spans="1:13">
      <c r="A18171" t="s">
        <v>11669</v>
      </c>
      <c r="B18171">
        <f>HYPERLINK("https://android.googlesource.com/platform/cts/+/333d93e6992584bc81f43c4ce1dcb338244abdff", "333d93e6992584bc81f43c4ce1dcb338244abdff")</f>
        <v>0</v>
      </c>
      <c r="C18171">
        <f>HYPERLINK("https://android.googlesource.com/platform/cts/+/692d84644c93c20ba17cf97461fc13195bc4cfd9", "692d84644c93c20ba17cf97461fc13195bc4cfd9")</f>
        <v>0</v>
      </c>
      <c r="D18171" t="s">
        <v>12221</v>
      </c>
      <c r="E18171" t="s">
        <v>14180</v>
      </c>
      <c r="F18171" t="s">
        <v>17111</v>
      </c>
      <c r="G18171" t="s">
        <v>19703</v>
      </c>
      <c r="H18171" t="s">
        <v>25842</v>
      </c>
      <c r="I18171" t="s">
        <v>1357</v>
      </c>
      <c r="J18171" t="s">
        <v>1357</v>
      </c>
      <c r="K18171" t="s">
        <v>1357</v>
      </c>
      <c r="L18171" t="s">
        <v>1357</v>
      </c>
    </row>
    <row r="18172" spans="1:13">
      <c r="F18172" t="s">
        <v>16893</v>
      </c>
      <c r="G18172" t="s">
        <v>19505</v>
      </c>
      <c r="H18172" t="s">
        <v>25843</v>
      </c>
      <c r="I18172" t="s">
        <v>1357</v>
      </c>
      <c r="J18172" t="s">
        <v>1357</v>
      </c>
      <c r="K18172" t="s">
        <v>1357</v>
      </c>
      <c r="L18172" t="s">
        <v>1357</v>
      </c>
    </row>
    <row r="18173" spans="1:13">
      <c r="A18173" t="s">
        <v>11670</v>
      </c>
      <c r="B18173">
        <f>HYPERLINK("https://android.googlesource.com/platform/cts/+/bb0aa86013029d702e36ca359368fc22d0902a35", "bb0aa86013029d702e36ca359368fc22d0902a35")</f>
        <v>0</v>
      </c>
      <c r="C18173">
        <f>HYPERLINK("https://android.googlesource.com/platform/cts/+/132bc0d31ab56ca63a9fba2049885396bcb3e25e", "132bc0d31ab56ca63a9fba2049885396bcb3e25e")</f>
        <v>0</v>
      </c>
      <c r="D18173" t="s">
        <v>12342</v>
      </c>
      <c r="E18173" t="s">
        <v>14181</v>
      </c>
      <c r="F18173" t="s">
        <v>16138</v>
      </c>
      <c r="G18173" t="s">
        <v>18822</v>
      </c>
      <c r="H18173" t="s">
        <v>25844</v>
      </c>
      <c r="I18173" t="s">
        <v>1359</v>
      </c>
      <c r="J18173" t="s">
        <v>1358</v>
      </c>
      <c r="K18173" t="s">
        <v>1357</v>
      </c>
      <c r="L18173" t="s">
        <v>1358</v>
      </c>
    </row>
    <row r="18174" spans="1:13">
      <c r="F18174" t="s">
        <v>16682</v>
      </c>
      <c r="G18174" t="s">
        <v>19314</v>
      </c>
      <c r="H18174" t="s">
        <v>25844</v>
      </c>
      <c r="I18174" t="s">
        <v>1359</v>
      </c>
      <c r="J18174" t="s">
        <v>1358</v>
      </c>
      <c r="K18174" t="s">
        <v>1357</v>
      </c>
      <c r="L18174" t="s">
        <v>1358</v>
      </c>
    </row>
    <row r="18175" spans="1:13">
      <c r="F18175" t="s">
        <v>16292</v>
      </c>
      <c r="G18175" t="s">
        <v>18963</v>
      </c>
      <c r="H18175" t="s">
        <v>25844</v>
      </c>
      <c r="I18175" t="s">
        <v>1359</v>
      </c>
      <c r="J18175" t="s">
        <v>1358</v>
      </c>
      <c r="K18175" t="s">
        <v>1357</v>
      </c>
      <c r="L18175" t="s">
        <v>1358</v>
      </c>
    </row>
    <row r="18176" spans="1:13">
      <c r="A18176" t="s">
        <v>11671</v>
      </c>
      <c r="B18176">
        <f>HYPERLINK("https://android.googlesource.com/platform/cts/+/a63c7ddc934b566430c6054099aae0abaf8f47fb", "a63c7ddc934b566430c6054099aae0abaf8f47fb")</f>
        <v>0</v>
      </c>
      <c r="C18176">
        <f>HYPERLINK("https://android.googlesource.com/platform/cts/+/724a9cf12daf83c43f17a8a1a1b4ce65113adf58", "724a9cf12daf83c43f17a8a1a1b4ce65113adf58")</f>
        <v>0</v>
      </c>
      <c r="D18176" t="s">
        <v>12342</v>
      </c>
      <c r="E18176" t="s">
        <v>14182</v>
      </c>
      <c r="F18176" t="s">
        <v>16099</v>
      </c>
      <c r="G18176" t="s">
        <v>18788</v>
      </c>
      <c r="H18176" t="s">
        <v>25845</v>
      </c>
      <c r="I18176" t="s">
        <v>1359</v>
      </c>
      <c r="J18176" t="s">
        <v>1358</v>
      </c>
      <c r="K18176" t="s">
        <v>1357</v>
      </c>
      <c r="L18176" t="s">
        <v>1358</v>
      </c>
    </row>
    <row r="18177" spans="1:12">
      <c r="A18177" t="s">
        <v>11672</v>
      </c>
      <c r="B18177">
        <f>HYPERLINK("https://android.googlesource.com/platform/cts/+/f3e93d9f4eedff735ad6b8c576c33bf858528d10", "f3e93d9f4eedff735ad6b8c576c33bf858528d10")</f>
        <v>0</v>
      </c>
      <c r="C18177">
        <f>HYPERLINK("https://android.googlesource.com/platform/cts/+/b078cd136995ee5288808165a590fd60979c46a2", "b078cd136995ee5288808165a590fd60979c46a2")</f>
        <v>0</v>
      </c>
      <c r="D18177" t="s">
        <v>12437</v>
      </c>
      <c r="E18177" t="s">
        <v>14183</v>
      </c>
      <c r="F18177" t="s">
        <v>16099</v>
      </c>
      <c r="G18177" t="s">
        <v>18788</v>
      </c>
      <c r="H18177" t="s">
        <v>25846</v>
      </c>
      <c r="I18177" t="s">
        <v>1357</v>
      </c>
      <c r="J18177" t="s">
        <v>1357</v>
      </c>
      <c r="K18177" t="s">
        <v>1357</v>
      </c>
      <c r="L18177" t="s">
        <v>1357</v>
      </c>
    </row>
    <row r="18178" spans="1:12">
      <c r="H18178" t="s">
        <v>25847</v>
      </c>
      <c r="I18178" t="s">
        <v>1357</v>
      </c>
      <c r="J18178" t="s">
        <v>1357</v>
      </c>
      <c r="K18178" t="s">
        <v>1357</v>
      </c>
      <c r="L18178" t="s">
        <v>1357</v>
      </c>
    </row>
    <row r="18179" spans="1:12">
      <c r="A18179" t="s">
        <v>11673</v>
      </c>
      <c r="B18179">
        <f>HYPERLINK("https://android.googlesource.com/platform/cts/+/2fdb6dc04f0b3ca23dd7f6f83e6c7e0a5c855783", "2fdb6dc04f0b3ca23dd7f6f83e6c7e0a5c855783")</f>
        <v>0</v>
      </c>
      <c r="C18179">
        <f>HYPERLINK("https://android.googlesource.com/platform/cts/+/8862c6d82c0f1cc8a2c1de222fd2f9f964641c92", "8862c6d82c0f1cc8a2c1de222fd2f9f964641c92")</f>
        <v>0</v>
      </c>
      <c r="D18179" t="s">
        <v>12272</v>
      </c>
      <c r="E18179" t="s">
        <v>14184</v>
      </c>
      <c r="F18179" t="s">
        <v>17088</v>
      </c>
      <c r="G18179" t="s">
        <v>19682</v>
      </c>
      <c r="H18179" t="s">
        <v>25725</v>
      </c>
      <c r="I18179" t="s">
        <v>1357</v>
      </c>
      <c r="J18179" t="s">
        <v>1357</v>
      </c>
      <c r="K18179" t="s">
        <v>1357</v>
      </c>
      <c r="L18179" t="s">
        <v>1357</v>
      </c>
    </row>
    <row r="18180" spans="1:12">
      <c r="H18180" t="s">
        <v>25726</v>
      </c>
      <c r="I18180" t="s">
        <v>1357</v>
      </c>
      <c r="J18180" t="s">
        <v>1357</v>
      </c>
      <c r="K18180" t="s">
        <v>1357</v>
      </c>
      <c r="L18180" t="s">
        <v>1357</v>
      </c>
    </row>
    <row r="18181" spans="1:12">
      <c r="H18181" t="s">
        <v>25727</v>
      </c>
      <c r="I18181" t="s">
        <v>1357</v>
      </c>
      <c r="J18181" t="s">
        <v>1357</v>
      </c>
      <c r="K18181" t="s">
        <v>1357</v>
      </c>
      <c r="L18181" t="s">
        <v>1357</v>
      </c>
    </row>
    <row r="18182" spans="1:12">
      <c r="H18182" t="s">
        <v>25728</v>
      </c>
      <c r="I18182" t="s">
        <v>1357</v>
      </c>
      <c r="J18182" t="s">
        <v>1357</v>
      </c>
      <c r="K18182" t="s">
        <v>1357</v>
      </c>
      <c r="L18182" t="s">
        <v>1357</v>
      </c>
    </row>
    <row r="18183" spans="1:12">
      <c r="F18183" t="s">
        <v>17089</v>
      </c>
      <c r="G18183" t="s">
        <v>19683</v>
      </c>
      <c r="H18183" t="s">
        <v>25729</v>
      </c>
      <c r="I18183" t="s">
        <v>1357</v>
      </c>
      <c r="J18183" t="s">
        <v>1357</v>
      </c>
      <c r="K18183" t="s">
        <v>1357</v>
      </c>
      <c r="L18183" t="s">
        <v>1357</v>
      </c>
    </row>
    <row r="18184" spans="1:12">
      <c r="H18184" t="s">
        <v>25730</v>
      </c>
      <c r="I18184" t="s">
        <v>1357</v>
      </c>
      <c r="J18184" t="s">
        <v>1357</v>
      </c>
      <c r="K18184" t="s">
        <v>1357</v>
      </c>
      <c r="L18184" t="s">
        <v>1357</v>
      </c>
    </row>
    <row r="18185" spans="1:12">
      <c r="A18185" t="s">
        <v>11674</v>
      </c>
      <c r="B18185">
        <f>HYPERLINK("https://android.googlesource.com/platform/cts/+/d7e31245820ee86f49afa885098d7ab422201a1f", "d7e31245820ee86f49afa885098d7ab422201a1f")</f>
        <v>0</v>
      </c>
      <c r="C18185">
        <f>HYPERLINK("https://android.googlesource.com/platform/cts/+/692d84644c93c20ba17cf97461fc13195bc4cfd9", "692d84644c93c20ba17cf97461fc13195bc4cfd9")</f>
        <v>0</v>
      </c>
      <c r="D18185" t="s">
        <v>12447</v>
      </c>
      <c r="E18185" t="s">
        <v>14185</v>
      </c>
      <c r="F18185" t="s">
        <v>16138</v>
      </c>
      <c r="G18185" t="s">
        <v>18822</v>
      </c>
      <c r="H18185" t="s">
        <v>21804</v>
      </c>
      <c r="I18185" t="s">
        <v>1359</v>
      </c>
      <c r="J18185" t="s">
        <v>1358</v>
      </c>
      <c r="K18185" t="s">
        <v>1357</v>
      </c>
      <c r="L18185" t="s">
        <v>1358</v>
      </c>
    </row>
    <row r="18186" spans="1:12">
      <c r="F18186" t="s">
        <v>16292</v>
      </c>
      <c r="G18186" t="s">
        <v>18963</v>
      </c>
      <c r="H18186" t="s">
        <v>25848</v>
      </c>
      <c r="I18186" t="s">
        <v>1359</v>
      </c>
      <c r="J18186" t="s">
        <v>1358</v>
      </c>
      <c r="K18186" t="s">
        <v>1357</v>
      </c>
      <c r="L18186" t="s">
        <v>1358</v>
      </c>
    </row>
    <row r="18187" spans="1:12">
      <c r="A18187" t="s">
        <v>11675</v>
      </c>
      <c r="B18187">
        <f>HYPERLINK("https://android.googlesource.com/platform/cts/+/4e07b5c3f7685350445cdfb00ae282b3f21839af", "4e07b5c3f7685350445cdfb00ae282b3f21839af")</f>
        <v>0</v>
      </c>
      <c r="C18187">
        <f>HYPERLINK("https://android.googlesource.com/platform/cts/+/ccb3ed48d3083d615f4d1ec1d9a5771a0e45bf84", "ccb3ed48d3083d615f4d1ec1d9a5771a0e45bf84")</f>
        <v>0</v>
      </c>
      <c r="D18187" t="s">
        <v>12163</v>
      </c>
      <c r="E18187" t="s">
        <v>14186</v>
      </c>
      <c r="F18187" t="s">
        <v>16138</v>
      </c>
      <c r="G18187" t="s">
        <v>18822</v>
      </c>
      <c r="H18187" t="s">
        <v>25849</v>
      </c>
      <c r="I18187" t="s">
        <v>1359</v>
      </c>
      <c r="J18187" t="s">
        <v>1358</v>
      </c>
      <c r="K18187" t="s">
        <v>1357</v>
      </c>
      <c r="L18187" t="s">
        <v>1358</v>
      </c>
    </row>
    <row r="18188" spans="1:12">
      <c r="H18188" t="s">
        <v>25850</v>
      </c>
      <c r="I18188" t="s">
        <v>1359</v>
      </c>
      <c r="J18188" t="s">
        <v>1358</v>
      </c>
      <c r="K18188" t="s">
        <v>1357</v>
      </c>
      <c r="L18188" t="s">
        <v>1358</v>
      </c>
    </row>
    <row r="18189" spans="1:12">
      <c r="H18189" t="s">
        <v>25851</v>
      </c>
      <c r="I18189" t="s">
        <v>1359</v>
      </c>
      <c r="J18189" t="s">
        <v>1358</v>
      </c>
      <c r="K18189" t="s">
        <v>1357</v>
      </c>
      <c r="L18189" t="s">
        <v>1358</v>
      </c>
    </row>
    <row r="18190" spans="1:12">
      <c r="F18190" t="s">
        <v>17112</v>
      </c>
      <c r="G18190" t="s">
        <v>19704</v>
      </c>
      <c r="H18190" t="s">
        <v>25852</v>
      </c>
      <c r="I18190" t="s">
        <v>1358</v>
      </c>
      <c r="J18190" t="s">
        <v>1358</v>
      </c>
      <c r="K18190" t="s">
        <v>1358</v>
      </c>
      <c r="L18190" t="s">
        <v>1358</v>
      </c>
    </row>
    <row r="18191" spans="1:12">
      <c r="A18191" t="s">
        <v>11676</v>
      </c>
      <c r="B18191">
        <f>HYPERLINK("https://android.googlesource.com/platform/cts/+/a3570f7505395d5be9f9b4177396ff4118614026", "a3570f7505395d5be9f9b4177396ff4118614026")</f>
        <v>0</v>
      </c>
      <c r="C18191">
        <f>HYPERLINK("https://android.googlesource.com/platform/cts/+/6c7a7c6f6199628b1d95b8789fb234bf4b1b319d", "6c7a7c6f6199628b1d95b8789fb234bf4b1b319d")</f>
        <v>0</v>
      </c>
      <c r="D18191" t="s">
        <v>12212</v>
      </c>
      <c r="E18191" t="s">
        <v>14187</v>
      </c>
      <c r="F18191" t="s">
        <v>17113</v>
      </c>
      <c r="G18191" t="s">
        <v>19705</v>
      </c>
      <c r="H18191" t="s">
        <v>25853</v>
      </c>
      <c r="I18191" t="s">
        <v>1359</v>
      </c>
      <c r="J18191" t="s">
        <v>1358</v>
      </c>
      <c r="K18191" t="s">
        <v>1357</v>
      </c>
      <c r="L18191" t="s">
        <v>1358</v>
      </c>
    </row>
    <row r="18192" spans="1:12">
      <c r="H18192" t="s">
        <v>25854</v>
      </c>
      <c r="I18192" t="s">
        <v>1359</v>
      </c>
      <c r="J18192" t="s">
        <v>1358</v>
      </c>
      <c r="K18192" t="s">
        <v>1357</v>
      </c>
      <c r="L18192" t="s">
        <v>1358</v>
      </c>
    </row>
    <row r="18193" spans="1:13">
      <c r="H18193" t="s">
        <v>25855</v>
      </c>
      <c r="I18193" t="s">
        <v>1359</v>
      </c>
      <c r="J18193" t="s">
        <v>1358</v>
      </c>
      <c r="K18193" t="s">
        <v>1357</v>
      </c>
      <c r="L18193" t="s">
        <v>1358</v>
      </c>
    </row>
    <row r="18194" spans="1:13">
      <c r="H18194" t="s">
        <v>25856</v>
      </c>
      <c r="I18194" t="s">
        <v>1359</v>
      </c>
      <c r="J18194" t="s">
        <v>1358</v>
      </c>
      <c r="K18194" t="s">
        <v>1357</v>
      </c>
      <c r="L18194" t="s">
        <v>1358</v>
      </c>
    </row>
    <row r="18195" spans="1:13">
      <c r="F18195" t="s">
        <v>16138</v>
      </c>
      <c r="G18195" t="s">
        <v>18822</v>
      </c>
      <c r="H18195" t="s">
        <v>25857</v>
      </c>
      <c r="I18195" t="s">
        <v>1359</v>
      </c>
      <c r="J18195" t="s">
        <v>1358</v>
      </c>
      <c r="K18195" t="s">
        <v>1357</v>
      </c>
      <c r="L18195" t="s">
        <v>1358</v>
      </c>
    </row>
    <row r="18196" spans="1:13">
      <c r="A18196" t="s">
        <v>11677</v>
      </c>
      <c r="B18196">
        <f>HYPERLINK("https://android.googlesource.com/platform/cts/+/5bdafc5dd23e9793aaed1a56d1806eb0205408a3", "5bdafc5dd23e9793aaed1a56d1806eb0205408a3")</f>
        <v>0</v>
      </c>
      <c r="C18196">
        <f>HYPERLINK("https://android.googlesource.com/platform/cts/+/ee6f4d3e44916542555311681c6716c8d1887550", "ee6f4d3e44916542555311681c6716c8d1887550")</f>
        <v>0</v>
      </c>
      <c r="D18196" t="s">
        <v>12437</v>
      </c>
      <c r="E18196" t="s">
        <v>14188</v>
      </c>
      <c r="F18196" t="s">
        <v>16147</v>
      </c>
      <c r="G18196" t="s">
        <v>17894</v>
      </c>
      <c r="H18196" t="s">
        <v>25858</v>
      </c>
      <c r="I18196" t="s">
        <v>1357</v>
      </c>
      <c r="J18196" t="s">
        <v>1357</v>
      </c>
      <c r="K18196" t="s">
        <v>1357</v>
      </c>
      <c r="L18196" t="s">
        <v>1357</v>
      </c>
    </row>
    <row r="18197" spans="1:13">
      <c r="H18197" t="s">
        <v>25859</v>
      </c>
      <c r="I18197" t="s">
        <v>1357</v>
      </c>
      <c r="J18197" t="s">
        <v>1357</v>
      </c>
      <c r="K18197" t="s">
        <v>1357</v>
      </c>
      <c r="L18197" t="s">
        <v>1357</v>
      </c>
    </row>
    <row r="18198" spans="1:13">
      <c r="A18198" t="s">
        <v>11678</v>
      </c>
      <c r="B18198">
        <f>HYPERLINK("https://android.googlesource.com/platform/cts/+/e99f8553bce8be74bd22516725ebb72c379e6c65", "e99f8553bce8be74bd22516725ebb72c379e6c65")</f>
        <v>0</v>
      </c>
      <c r="C18198">
        <f>HYPERLINK("https://android.googlesource.com/platform/cts/+/369712cd45cb8e0ef971df3e8a6fe352aefe5365", "369712cd45cb8e0ef971df3e8a6fe352aefe5365")</f>
        <v>0</v>
      </c>
      <c r="D18198" t="s">
        <v>12221</v>
      </c>
      <c r="E18198" t="s">
        <v>14189</v>
      </c>
      <c r="F18198" t="s">
        <v>17111</v>
      </c>
      <c r="G18198" t="s">
        <v>19703</v>
      </c>
      <c r="H18198" t="s">
        <v>20242</v>
      </c>
      <c r="I18198" t="s">
        <v>1359</v>
      </c>
      <c r="J18198" t="s">
        <v>1358</v>
      </c>
      <c r="K18198" t="s">
        <v>1357</v>
      </c>
      <c r="L18198" t="s">
        <v>1358</v>
      </c>
    </row>
    <row r="18199" spans="1:13">
      <c r="H18199" t="s">
        <v>25860</v>
      </c>
      <c r="I18199" t="s">
        <v>1359</v>
      </c>
      <c r="J18199" t="s">
        <v>1358</v>
      </c>
      <c r="K18199" t="s">
        <v>1357</v>
      </c>
      <c r="L18199" t="s">
        <v>1358</v>
      </c>
    </row>
    <row r="18200" spans="1:13">
      <c r="H18200" t="s">
        <v>25861</v>
      </c>
      <c r="I18200" t="s">
        <v>1359</v>
      </c>
      <c r="J18200" t="s">
        <v>1358</v>
      </c>
      <c r="K18200" t="s">
        <v>1357</v>
      </c>
      <c r="L18200" t="s">
        <v>1358</v>
      </c>
    </row>
    <row r="18201" spans="1:13">
      <c r="H18201" t="s">
        <v>25862</v>
      </c>
      <c r="I18201" t="s">
        <v>1359</v>
      </c>
      <c r="J18201" t="s">
        <v>1358</v>
      </c>
      <c r="K18201" t="s">
        <v>1357</v>
      </c>
      <c r="L18201" t="s">
        <v>1358</v>
      </c>
    </row>
    <row r="18202" spans="1:13">
      <c r="H18202" t="s">
        <v>25863</v>
      </c>
      <c r="I18202" t="s">
        <v>1359</v>
      </c>
      <c r="J18202" t="s">
        <v>1358</v>
      </c>
      <c r="K18202" t="s">
        <v>1357</v>
      </c>
      <c r="L18202" t="s">
        <v>1358</v>
      </c>
    </row>
    <row r="18203" spans="1:13">
      <c r="F18203" t="s">
        <v>16893</v>
      </c>
      <c r="G18203" t="s">
        <v>19505</v>
      </c>
      <c r="H18203" t="s">
        <v>25864</v>
      </c>
      <c r="I18203" t="s">
        <v>1359</v>
      </c>
      <c r="J18203" t="s">
        <v>1358</v>
      </c>
      <c r="K18203" t="s">
        <v>1357</v>
      </c>
      <c r="L18203" t="s">
        <v>1358</v>
      </c>
    </row>
    <row r="18204" spans="1:13">
      <c r="A18204" t="s">
        <v>11679</v>
      </c>
      <c r="B18204">
        <f>HYPERLINK("https://android.googlesource.com/platform/cts/+/c3ac3461de445cc0326bd3524d6221d9d170ea54", "c3ac3461de445cc0326bd3524d6221d9d170ea54")</f>
        <v>0</v>
      </c>
      <c r="C18204">
        <f>HYPERLINK("https://android.googlesource.com/platform/cts/+/b8ce8d0c5bbbbcf3e47353154e7e02adf3ad288d", "b8ce8d0c5bbbbcf3e47353154e7e02adf3ad288d")</f>
        <v>0</v>
      </c>
      <c r="D18204" t="s">
        <v>12306</v>
      </c>
      <c r="E18204" t="s">
        <v>14190</v>
      </c>
      <c r="F18204" t="s">
        <v>16099</v>
      </c>
      <c r="G18204" t="s">
        <v>18788</v>
      </c>
      <c r="H18204" t="s">
        <v>25838</v>
      </c>
      <c r="I18204" t="s">
        <v>1359</v>
      </c>
      <c r="J18204" t="s">
        <v>1358</v>
      </c>
      <c r="K18204" t="s">
        <v>1357</v>
      </c>
      <c r="L18204" t="s">
        <v>1358</v>
      </c>
    </row>
    <row r="18205" spans="1:13">
      <c r="F18205" t="s">
        <v>16147</v>
      </c>
      <c r="G18205" t="s">
        <v>17894</v>
      </c>
      <c r="H18205" t="s">
        <v>25839</v>
      </c>
      <c r="I18205" t="s">
        <v>1359</v>
      </c>
      <c r="J18205" t="s">
        <v>1358</v>
      </c>
      <c r="K18205" t="s">
        <v>1357</v>
      </c>
      <c r="L18205" t="s">
        <v>1358</v>
      </c>
    </row>
    <row r="18206" spans="1:13">
      <c r="A18206" t="s">
        <v>11680</v>
      </c>
      <c r="B18206">
        <f>HYPERLINK("https://android.googlesource.com/platform/cts/+/f210afcca0eaf36462d48ae0066cb7d7f6f0ddd1", "f210afcca0eaf36462d48ae0066cb7d7f6f0ddd1")</f>
        <v>0</v>
      </c>
      <c r="C18206">
        <f>HYPERLINK("https://android.googlesource.com/platform/cts/+/b8ce8d0c5bbbbcf3e47353154e7e02adf3ad288d", "b8ce8d0c5bbbbcf3e47353154e7e02adf3ad288d")</f>
        <v>0</v>
      </c>
      <c r="D18206" t="s">
        <v>12306</v>
      </c>
      <c r="E18206" t="s">
        <v>14191</v>
      </c>
      <c r="F18206" t="s">
        <v>16099</v>
      </c>
      <c r="G18206" t="s">
        <v>18788</v>
      </c>
      <c r="H18206" t="s">
        <v>25840</v>
      </c>
      <c r="I18206" t="s">
        <v>1359</v>
      </c>
      <c r="J18206" t="s">
        <v>1358</v>
      </c>
      <c r="K18206" t="s">
        <v>1357</v>
      </c>
      <c r="L18206" t="s">
        <v>1358</v>
      </c>
      <c r="M18206" t="s">
        <v>27498</v>
      </c>
    </row>
    <row r="18207" spans="1:13">
      <c r="H18207" t="s">
        <v>25841</v>
      </c>
      <c r="I18207" t="s">
        <v>1359</v>
      </c>
      <c r="J18207" t="s">
        <v>1358</v>
      </c>
      <c r="K18207" t="s">
        <v>1357</v>
      </c>
      <c r="L18207" t="s">
        <v>1358</v>
      </c>
    </row>
    <row r="18208" spans="1:13">
      <c r="A18208" t="s">
        <v>11681</v>
      </c>
      <c r="B18208">
        <f>HYPERLINK("https://android.googlesource.com/platform/cts/+/991969b98754ca27b2260051a1ae6adeea871e1a", "991969b98754ca27b2260051a1ae6adeea871e1a")</f>
        <v>0</v>
      </c>
      <c r="C18208">
        <f>HYPERLINK("https://android.googlesource.com/platform/cts/+/b8ce8d0c5bbbbcf3e47353154e7e02adf3ad288d", "b8ce8d0c5bbbbcf3e47353154e7e02adf3ad288d")</f>
        <v>0</v>
      </c>
      <c r="D18208" t="s">
        <v>12306</v>
      </c>
      <c r="E18208" t="s">
        <v>14192</v>
      </c>
      <c r="F18208" t="s">
        <v>16147</v>
      </c>
      <c r="G18208" t="s">
        <v>17894</v>
      </c>
      <c r="H18208" t="s">
        <v>25858</v>
      </c>
      <c r="I18208" t="s">
        <v>1357</v>
      </c>
      <c r="J18208" t="s">
        <v>1357</v>
      </c>
      <c r="K18208" t="s">
        <v>1357</v>
      </c>
      <c r="L18208" t="s">
        <v>1357</v>
      </c>
    </row>
    <row r="18209" spans="1:13">
      <c r="H18209" t="s">
        <v>25859</v>
      </c>
      <c r="I18209" t="s">
        <v>1357</v>
      </c>
      <c r="J18209" t="s">
        <v>1357</v>
      </c>
      <c r="K18209" t="s">
        <v>1357</v>
      </c>
      <c r="L18209" t="s">
        <v>1357</v>
      </c>
    </row>
    <row r="18210" spans="1:13">
      <c r="A18210" t="s">
        <v>11682</v>
      </c>
      <c r="B18210">
        <f>HYPERLINK("https://android.googlesource.com/platform/cts/+/793fbc1b82b6127cd481d524d3d7d5eec5d3a200", "793fbc1b82b6127cd481d524d3d7d5eec5d3a200")</f>
        <v>0</v>
      </c>
      <c r="C18210">
        <f>HYPERLINK("https://android.googlesource.com/platform/cts/+/b8ce8d0c5bbbbcf3e47353154e7e02adf3ad288d", "b8ce8d0c5bbbbcf3e47353154e7e02adf3ad288d")</f>
        <v>0</v>
      </c>
      <c r="D18210" t="s">
        <v>12306</v>
      </c>
      <c r="E18210" t="s">
        <v>14193</v>
      </c>
      <c r="F18210" t="s">
        <v>17111</v>
      </c>
      <c r="G18210" t="s">
        <v>19703</v>
      </c>
      <c r="H18210" t="s">
        <v>25842</v>
      </c>
      <c r="I18210" t="s">
        <v>1359</v>
      </c>
      <c r="J18210" t="s">
        <v>1358</v>
      </c>
      <c r="K18210" t="s">
        <v>1357</v>
      </c>
      <c r="L18210" t="s">
        <v>1358</v>
      </c>
    </row>
    <row r="18211" spans="1:13">
      <c r="F18211" t="s">
        <v>16893</v>
      </c>
      <c r="G18211" t="s">
        <v>19505</v>
      </c>
      <c r="H18211" t="s">
        <v>25843</v>
      </c>
      <c r="I18211" t="s">
        <v>1359</v>
      </c>
      <c r="J18211" t="s">
        <v>1358</v>
      </c>
      <c r="K18211" t="s">
        <v>1357</v>
      </c>
      <c r="L18211" t="s">
        <v>1358</v>
      </c>
    </row>
    <row r="18212" spans="1:13">
      <c r="A18212" t="s">
        <v>11683</v>
      </c>
      <c r="B18212">
        <f>HYPERLINK("https://android.googlesource.com/platform/cts/+/9616e202ebefe9b06733e9587226c8d8d04df6de", "9616e202ebefe9b06733e9587226c8d8d04df6de")</f>
        <v>0</v>
      </c>
      <c r="C18212">
        <f>HYPERLINK("https://android.googlesource.com/platform/cts/+/b8ce8d0c5bbbbcf3e47353154e7e02adf3ad288d", "b8ce8d0c5bbbbcf3e47353154e7e02adf3ad288d")</f>
        <v>0</v>
      </c>
      <c r="D18212" t="s">
        <v>12306</v>
      </c>
      <c r="E18212" t="s">
        <v>14194</v>
      </c>
      <c r="F18212" t="s">
        <v>16099</v>
      </c>
      <c r="G18212" t="s">
        <v>18788</v>
      </c>
      <c r="H18212" t="s">
        <v>25845</v>
      </c>
      <c r="I18212" t="s">
        <v>1359</v>
      </c>
      <c r="J18212" t="s">
        <v>1358</v>
      </c>
      <c r="K18212" t="s">
        <v>1357</v>
      </c>
      <c r="L18212" t="s">
        <v>1358</v>
      </c>
    </row>
    <row r="18213" spans="1:13">
      <c r="A18213" t="s">
        <v>11684</v>
      </c>
      <c r="B18213">
        <f>HYPERLINK("https://android.googlesource.com/platform/cts/+/ea09ee3d7cbc4131a392a6fbb5539c553430b21c", "ea09ee3d7cbc4131a392a6fbb5539c553430b21c")</f>
        <v>0</v>
      </c>
      <c r="C18213">
        <f>HYPERLINK("https://android.googlesource.com/platform/cts/+/b8ce8d0c5bbbbcf3e47353154e7e02adf3ad288d", "b8ce8d0c5bbbbcf3e47353154e7e02adf3ad288d")</f>
        <v>0</v>
      </c>
      <c r="D18213" t="s">
        <v>12306</v>
      </c>
      <c r="E18213" t="s">
        <v>14195</v>
      </c>
      <c r="F18213" t="s">
        <v>16138</v>
      </c>
      <c r="G18213" t="s">
        <v>18822</v>
      </c>
      <c r="H18213" t="s">
        <v>21804</v>
      </c>
      <c r="I18213" t="s">
        <v>1359</v>
      </c>
      <c r="J18213" t="s">
        <v>1358</v>
      </c>
      <c r="K18213" t="s">
        <v>1357</v>
      </c>
      <c r="L18213" t="s">
        <v>1358</v>
      </c>
    </row>
    <row r="18214" spans="1:13">
      <c r="F18214" t="s">
        <v>16292</v>
      </c>
      <c r="G18214" t="s">
        <v>18963</v>
      </c>
      <c r="H18214" t="s">
        <v>25848</v>
      </c>
      <c r="I18214" t="s">
        <v>1359</v>
      </c>
      <c r="J18214" t="s">
        <v>1358</v>
      </c>
      <c r="K18214" t="s">
        <v>1357</v>
      </c>
      <c r="L18214" t="s">
        <v>1358</v>
      </c>
    </row>
    <row r="18215" spans="1:13">
      <c r="A18215" t="s">
        <v>11685</v>
      </c>
      <c r="B18215">
        <f>HYPERLINK("https://android.googlesource.com/platform/cts/+/d1ef05a951d87214e357cf5f7a34e786bc5f6f6c", "d1ef05a951d87214e357cf5f7a34e786bc5f6f6c")</f>
        <v>0</v>
      </c>
      <c r="C18215">
        <f>HYPERLINK("https://android.googlesource.com/platform/cts/+/61543347bf1372868a5b6b9d3b3ca3f1bab913c4", "61543347bf1372868a5b6b9d3b3ca3f1bab913c4")</f>
        <v>0</v>
      </c>
      <c r="D18215" t="s">
        <v>12306</v>
      </c>
      <c r="E18215" t="s">
        <v>14196</v>
      </c>
      <c r="F18215" t="s">
        <v>16138</v>
      </c>
      <c r="G18215" t="s">
        <v>18822</v>
      </c>
      <c r="H18215" t="s">
        <v>25849</v>
      </c>
      <c r="I18215" t="s">
        <v>1359</v>
      </c>
      <c r="J18215" t="s">
        <v>1358</v>
      </c>
      <c r="K18215" t="s">
        <v>1357</v>
      </c>
      <c r="L18215" t="s">
        <v>1358</v>
      </c>
      <c r="M18215" t="s">
        <v>27499</v>
      </c>
    </row>
    <row r="18216" spans="1:13">
      <c r="H18216" t="s">
        <v>25850</v>
      </c>
      <c r="I18216" t="s">
        <v>1359</v>
      </c>
      <c r="J18216" t="s">
        <v>1358</v>
      </c>
      <c r="K18216" t="s">
        <v>1357</v>
      </c>
      <c r="L18216" t="s">
        <v>1358</v>
      </c>
    </row>
    <row r="18217" spans="1:13">
      <c r="H18217" t="s">
        <v>25851</v>
      </c>
      <c r="I18217" t="s">
        <v>1359</v>
      </c>
      <c r="J18217" t="s">
        <v>1358</v>
      </c>
      <c r="K18217" t="s">
        <v>1357</v>
      </c>
      <c r="L18217" t="s">
        <v>1358</v>
      </c>
    </row>
    <row r="18218" spans="1:13">
      <c r="F18218" t="s">
        <v>17112</v>
      </c>
      <c r="G18218" t="s">
        <v>19704</v>
      </c>
      <c r="H18218" t="s">
        <v>25852</v>
      </c>
      <c r="I18218" t="s">
        <v>1358</v>
      </c>
      <c r="J18218" t="s">
        <v>1358</v>
      </c>
      <c r="K18218" t="s">
        <v>1358</v>
      </c>
      <c r="L18218" t="s">
        <v>1358</v>
      </c>
    </row>
    <row r="18219" spans="1:13">
      <c r="A18219" t="s">
        <v>11686</v>
      </c>
      <c r="B18219">
        <f>HYPERLINK("https://android.googlesource.com/platform/cts/+/88c6d400448cf66a1d2a682cc95ad8444e147a0f", "88c6d400448cf66a1d2a682cc95ad8444e147a0f")</f>
        <v>0</v>
      </c>
      <c r="C18219">
        <f>HYPERLINK("https://android.googlesource.com/platform/cts/+/6f45f3877b2b302b0a90e5ce506e4b46cc0f6dc9", "6f45f3877b2b302b0a90e5ce506e4b46cc0f6dc9")</f>
        <v>0</v>
      </c>
      <c r="D18219" t="s">
        <v>12306</v>
      </c>
      <c r="E18219" t="s">
        <v>14197</v>
      </c>
      <c r="F18219" t="s">
        <v>16138</v>
      </c>
      <c r="G18219" t="s">
        <v>18822</v>
      </c>
      <c r="H18219" t="s">
        <v>25844</v>
      </c>
      <c r="I18219" t="s">
        <v>1359</v>
      </c>
      <c r="J18219" t="s">
        <v>1358</v>
      </c>
      <c r="K18219" t="s">
        <v>1357</v>
      </c>
      <c r="L18219" t="s">
        <v>1358</v>
      </c>
    </row>
    <row r="18220" spans="1:13">
      <c r="F18220" t="s">
        <v>16682</v>
      </c>
      <c r="G18220" t="s">
        <v>19314</v>
      </c>
      <c r="H18220" t="s">
        <v>25844</v>
      </c>
      <c r="I18220" t="s">
        <v>1359</v>
      </c>
      <c r="J18220" t="s">
        <v>1358</v>
      </c>
      <c r="K18220" t="s">
        <v>1357</v>
      </c>
      <c r="L18220" t="s">
        <v>1358</v>
      </c>
    </row>
    <row r="18221" spans="1:13">
      <c r="F18221" t="s">
        <v>16292</v>
      </c>
      <c r="G18221" t="s">
        <v>18963</v>
      </c>
      <c r="H18221" t="s">
        <v>25844</v>
      </c>
      <c r="I18221" t="s">
        <v>1359</v>
      </c>
      <c r="J18221" t="s">
        <v>1358</v>
      </c>
      <c r="K18221" t="s">
        <v>1357</v>
      </c>
      <c r="L18221" t="s">
        <v>1358</v>
      </c>
    </row>
    <row r="18222" spans="1:13">
      <c r="A18222" t="s">
        <v>11687</v>
      </c>
      <c r="B18222">
        <f>HYPERLINK("https://android.googlesource.com/platform/cts/+/0e6657c160ed64526d55f46810876b7317c354da", "0e6657c160ed64526d55f46810876b7317c354da")</f>
        <v>0</v>
      </c>
      <c r="C18222">
        <f>HYPERLINK("https://android.googlesource.com/platform/cts/+/6f45f3877b2b302b0a90e5ce506e4b46cc0f6dc9", "6f45f3877b2b302b0a90e5ce506e4b46cc0f6dc9")</f>
        <v>0</v>
      </c>
      <c r="D18222" t="s">
        <v>12306</v>
      </c>
      <c r="E18222" t="s">
        <v>14198</v>
      </c>
      <c r="F18222" t="s">
        <v>16099</v>
      </c>
      <c r="G18222" t="s">
        <v>18788</v>
      </c>
      <c r="H18222" t="s">
        <v>25846</v>
      </c>
      <c r="I18222" t="s">
        <v>1357</v>
      </c>
      <c r="J18222" t="s">
        <v>1357</v>
      </c>
      <c r="K18222" t="s">
        <v>1357</v>
      </c>
      <c r="L18222" t="s">
        <v>1357</v>
      </c>
    </row>
    <row r="18223" spans="1:13">
      <c r="H18223" t="s">
        <v>25847</v>
      </c>
      <c r="I18223" t="s">
        <v>1357</v>
      </c>
      <c r="J18223" t="s">
        <v>1357</v>
      </c>
      <c r="K18223" t="s">
        <v>1357</v>
      </c>
      <c r="L18223" t="s">
        <v>1357</v>
      </c>
    </row>
    <row r="18224" spans="1:13">
      <c r="A18224" t="s">
        <v>11688</v>
      </c>
      <c r="B18224">
        <f>HYPERLINK("https://android.googlesource.com/platform/cts/+/aa7bfd4ea9f03653368c1c644813ef410a9a1b17", "aa7bfd4ea9f03653368c1c644813ef410a9a1b17")</f>
        <v>0</v>
      </c>
      <c r="C18224">
        <f>HYPERLINK("https://android.googlesource.com/platform/cts/+/6f45f3877b2b302b0a90e5ce506e4b46cc0f6dc9", "6f45f3877b2b302b0a90e5ce506e4b46cc0f6dc9")</f>
        <v>0</v>
      </c>
      <c r="D18224" t="s">
        <v>12306</v>
      </c>
      <c r="E18224" t="s">
        <v>14199</v>
      </c>
      <c r="F18224" t="s">
        <v>17113</v>
      </c>
      <c r="G18224" t="s">
        <v>19705</v>
      </c>
      <c r="H18224" t="s">
        <v>25853</v>
      </c>
      <c r="I18224" t="s">
        <v>1359</v>
      </c>
      <c r="J18224" t="s">
        <v>1358</v>
      </c>
      <c r="K18224" t="s">
        <v>1357</v>
      </c>
      <c r="L18224" t="s">
        <v>1358</v>
      </c>
    </row>
    <row r="18225" spans="1:13">
      <c r="H18225" t="s">
        <v>25854</v>
      </c>
      <c r="I18225" t="s">
        <v>1359</v>
      </c>
      <c r="J18225" t="s">
        <v>1358</v>
      </c>
      <c r="K18225" t="s">
        <v>1357</v>
      </c>
      <c r="L18225" t="s">
        <v>1358</v>
      </c>
    </row>
    <row r="18226" spans="1:13">
      <c r="H18226" t="s">
        <v>25855</v>
      </c>
      <c r="I18226" t="s">
        <v>1359</v>
      </c>
      <c r="J18226" t="s">
        <v>1358</v>
      </c>
      <c r="K18226" t="s">
        <v>1357</v>
      </c>
      <c r="L18226" t="s">
        <v>1358</v>
      </c>
    </row>
    <row r="18227" spans="1:13">
      <c r="H18227" t="s">
        <v>25856</v>
      </c>
      <c r="I18227" t="s">
        <v>1359</v>
      </c>
      <c r="J18227" t="s">
        <v>1358</v>
      </c>
      <c r="K18227" t="s">
        <v>1357</v>
      </c>
      <c r="L18227" t="s">
        <v>1358</v>
      </c>
    </row>
    <row r="18228" spans="1:13">
      <c r="F18228" t="s">
        <v>16138</v>
      </c>
      <c r="G18228" t="s">
        <v>18822</v>
      </c>
      <c r="H18228" t="s">
        <v>25857</v>
      </c>
      <c r="I18228" t="s">
        <v>1359</v>
      </c>
      <c r="J18228" t="s">
        <v>1358</v>
      </c>
      <c r="K18228" t="s">
        <v>1357</v>
      </c>
      <c r="L18228" t="s">
        <v>1358</v>
      </c>
    </row>
    <row r="18229" spans="1:13">
      <c r="A18229" t="s">
        <v>11689</v>
      </c>
      <c r="B18229">
        <f>HYPERLINK("https://android.googlesource.com/platform/cts/+/2b1ebdf1d32305f93696fe863b5d4436ffef673b", "2b1ebdf1d32305f93696fe863b5d4436ffef673b")</f>
        <v>0</v>
      </c>
      <c r="C18229">
        <f>HYPERLINK("https://android.googlesource.com/platform/cts/+/6f45f3877b2b302b0a90e5ce506e4b46cc0f6dc9", "6f45f3877b2b302b0a90e5ce506e4b46cc0f6dc9")</f>
        <v>0</v>
      </c>
      <c r="D18229" t="s">
        <v>12306</v>
      </c>
      <c r="E18229" t="s">
        <v>14200</v>
      </c>
      <c r="F18229" t="s">
        <v>17111</v>
      </c>
      <c r="G18229" t="s">
        <v>19703</v>
      </c>
      <c r="H18229" t="s">
        <v>20242</v>
      </c>
      <c r="I18229" t="s">
        <v>1359</v>
      </c>
      <c r="J18229" t="s">
        <v>1358</v>
      </c>
      <c r="K18229" t="s">
        <v>1357</v>
      </c>
      <c r="L18229" t="s">
        <v>1358</v>
      </c>
      <c r="M18229" t="s">
        <v>27499</v>
      </c>
    </row>
    <row r="18230" spans="1:13">
      <c r="H18230" t="s">
        <v>25860</v>
      </c>
      <c r="I18230" t="s">
        <v>1359</v>
      </c>
      <c r="J18230" t="s">
        <v>1358</v>
      </c>
      <c r="K18230" t="s">
        <v>1357</v>
      </c>
      <c r="L18230" t="s">
        <v>1358</v>
      </c>
    </row>
    <row r="18231" spans="1:13">
      <c r="H18231" t="s">
        <v>25861</v>
      </c>
      <c r="I18231" t="s">
        <v>1359</v>
      </c>
      <c r="J18231" t="s">
        <v>1358</v>
      </c>
      <c r="K18231" t="s">
        <v>1357</v>
      </c>
      <c r="L18231" t="s">
        <v>1358</v>
      </c>
    </row>
    <row r="18232" spans="1:13">
      <c r="H18232" t="s">
        <v>25862</v>
      </c>
      <c r="I18232" t="s">
        <v>1359</v>
      </c>
      <c r="J18232" t="s">
        <v>1358</v>
      </c>
      <c r="K18232" t="s">
        <v>1357</v>
      </c>
      <c r="L18232" t="s">
        <v>1358</v>
      </c>
    </row>
    <row r="18233" spans="1:13">
      <c r="H18233" t="s">
        <v>25863</v>
      </c>
      <c r="I18233" t="s">
        <v>1359</v>
      </c>
      <c r="J18233" t="s">
        <v>1358</v>
      </c>
      <c r="K18233" t="s">
        <v>1357</v>
      </c>
      <c r="L18233" t="s">
        <v>1358</v>
      </c>
    </row>
    <row r="18234" spans="1:13">
      <c r="F18234" t="s">
        <v>16893</v>
      </c>
      <c r="G18234" t="s">
        <v>19505</v>
      </c>
      <c r="H18234" t="s">
        <v>25864</v>
      </c>
      <c r="I18234" t="s">
        <v>1359</v>
      </c>
      <c r="J18234" t="s">
        <v>1358</v>
      </c>
      <c r="K18234" t="s">
        <v>1357</v>
      </c>
      <c r="L18234" t="s">
        <v>1358</v>
      </c>
    </row>
    <row r="18235" spans="1:13">
      <c r="A18235" t="s">
        <v>11690</v>
      </c>
      <c r="B18235">
        <f>HYPERLINK("https://android.googlesource.com/platform/cts/+/d72f1a1a6f977a7e05fc96e24b4ecc6029e735f2", "d72f1a1a6f977a7e05fc96e24b4ecc6029e735f2")</f>
        <v>0</v>
      </c>
      <c r="C18235">
        <f>HYPERLINK("https://android.googlesource.com/platform/cts/+/9b7670cda1ca55700ecc1295d6b4a111594aeb56", "9b7670cda1ca55700ecc1295d6b4a111594aeb56")</f>
        <v>0</v>
      </c>
      <c r="D18235" t="s">
        <v>12353</v>
      </c>
      <c r="E18235" t="s">
        <v>14201</v>
      </c>
      <c r="F18235" t="s">
        <v>16845</v>
      </c>
      <c r="G18235" t="s">
        <v>19460</v>
      </c>
      <c r="H18235" t="s">
        <v>25865</v>
      </c>
      <c r="I18235" t="s">
        <v>1357</v>
      </c>
      <c r="J18235" t="s">
        <v>1357</v>
      </c>
      <c r="K18235" t="s">
        <v>1357</v>
      </c>
      <c r="L18235" t="s">
        <v>1357</v>
      </c>
    </row>
    <row r="18236" spans="1:13">
      <c r="H18236" t="s">
        <v>25866</v>
      </c>
      <c r="I18236" t="s">
        <v>1357</v>
      </c>
      <c r="J18236" t="s">
        <v>1357</v>
      </c>
      <c r="K18236" t="s">
        <v>1357</v>
      </c>
      <c r="L18236" t="s">
        <v>1357</v>
      </c>
    </row>
    <row r="18237" spans="1:13">
      <c r="H18237" t="s">
        <v>25867</v>
      </c>
      <c r="I18237" t="s">
        <v>1357</v>
      </c>
      <c r="J18237" t="s">
        <v>1357</v>
      </c>
      <c r="K18237" t="s">
        <v>1357</v>
      </c>
      <c r="L18237" t="s">
        <v>1357</v>
      </c>
    </row>
    <row r="18238" spans="1:13">
      <c r="H18238" t="s">
        <v>25868</v>
      </c>
      <c r="I18238" t="s">
        <v>1357</v>
      </c>
      <c r="J18238" t="s">
        <v>1357</v>
      </c>
      <c r="K18238" t="s">
        <v>1357</v>
      </c>
      <c r="L18238" t="s">
        <v>1357</v>
      </c>
    </row>
    <row r="18239" spans="1:13">
      <c r="H18239" t="s">
        <v>25869</v>
      </c>
      <c r="I18239" t="s">
        <v>1357</v>
      </c>
      <c r="J18239" t="s">
        <v>1357</v>
      </c>
      <c r="K18239" t="s">
        <v>1357</v>
      </c>
      <c r="L18239" t="s">
        <v>1357</v>
      </c>
    </row>
    <row r="18240" spans="1:13">
      <c r="H18240" t="s">
        <v>25870</v>
      </c>
      <c r="I18240" t="s">
        <v>1357</v>
      </c>
      <c r="J18240" t="s">
        <v>1357</v>
      </c>
      <c r="K18240" t="s">
        <v>1357</v>
      </c>
      <c r="L18240" t="s">
        <v>1357</v>
      </c>
    </row>
    <row r="18241" spans="1:13">
      <c r="H18241" t="s">
        <v>25871</v>
      </c>
      <c r="I18241" t="s">
        <v>1357</v>
      </c>
      <c r="J18241" t="s">
        <v>1357</v>
      </c>
      <c r="K18241" t="s">
        <v>1357</v>
      </c>
      <c r="L18241" t="s">
        <v>1357</v>
      </c>
    </row>
    <row r="18242" spans="1:13">
      <c r="H18242" t="s">
        <v>25872</v>
      </c>
      <c r="I18242" t="s">
        <v>1357</v>
      </c>
      <c r="J18242" t="s">
        <v>1357</v>
      </c>
      <c r="K18242" t="s">
        <v>1357</v>
      </c>
      <c r="L18242" t="s">
        <v>1357</v>
      </c>
    </row>
    <row r="18243" spans="1:13">
      <c r="H18243" t="s">
        <v>25873</v>
      </c>
      <c r="I18243" t="s">
        <v>1357</v>
      </c>
      <c r="J18243" t="s">
        <v>1357</v>
      </c>
      <c r="K18243" t="s">
        <v>1357</v>
      </c>
      <c r="L18243" t="s">
        <v>1357</v>
      </c>
    </row>
    <row r="18244" spans="1:13">
      <c r="F18244" t="s">
        <v>17114</v>
      </c>
      <c r="G18244" t="s">
        <v>19706</v>
      </c>
      <c r="H18244" t="s">
        <v>25874</v>
      </c>
      <c r="I18244" t="s">
        <v>1357</v>
      </c>
      <c r="J18244" t="s">
        <v>1357</v>
      </c>
      <c r="K18244" t="s">
        <v>1357</v>
      </c>
      <c r="L18244" t="s">
        <v>1357</v>
      </c>
    </row>
    <row r="18245" spans="1:13">
      <c r="H18245" t="s">
        <v>25875</v>
      </c>
      <c r="I18245" t="s">
        <v>1357</v>
      </c>
      <c r="J18245" t="s">
        <v>1357</v>
      </c>
      <c r="K18245" t="s">
        <v>1357</v>
      </c>
      <c r="L18245" t="s">
        <v>1357</v>
      </c>
    </row>
    <row r="18246" spans="1:13">
      <c r="H18246" t="s">
        <v>25876</v>
      </c>
      <c r="I18246" t="s">
        <v>1357</v>
      </c>
      <c r="J18246" t="s">
        <v>1357</v>
      </c>
      <c r="K18246" t="s">
        <v>1357</v>
      </c>
      <c r="L18246" t="s">
        <v>1357</v>
      </c>
    </row>
    <row r="18247" spans="1:13">
      <c r="F18247" t="s">
        <v>17115</v>
      </c>
      <c r="G18247" t="s">
        <v>19707</v>
      </c>
      <c r="H18247" t="s">
        <v>25876</v>
      </c>
      <c r="I18247" t="s">
        <v>1357</v>
      </c>
      <c r="J18247" t="s">
        <v>1357</v>
      </c>
      <c r="K18247" t="s">
        <v>1357</v>
      </c>
      <c r="L18247" t="s">
        <v>1357</v>
      </c>
    </row>
    <row r="18248" spans="1:13">
      <c r="H18248" t="s">
        <v>25877</v>
      </c>
      <c r="I18248" t="s">
        <v>1357</v>
      </c>
      <c r="J18248" t="s">
        <v>1357</v>
      </c>
      <c r="K18248" t="s">
        <v>1357</v>
      </c>
      <c r="L18248" t="s">
        <v>1357</v>
      </c>
    </row>
    <row r="18249" spans="1:13">
      <c r="H18249" t="s">
        <v>25878</v>
      </c>
      <c r="I18249" t="s">
        <v>1357</v>
      </c>
      <c r="J18249" t="s">
        <v>1357</v>
      </c>
      <c r="K18249" t="s">
        <v>1357</v>
      </c>
      <c r="L18249" t="s">
        <v>1357</v>
      </c>
    </row>
    <row r="18250" spans="1:13">
      <c r="H18250" t="s">
        <v>25879</v>
      </c>
      <c r="I18250" t="s">
        <v>1357</v>
      </c>
      <c r="J18250" t="s">
        <v>1357</v>
      </c>
      <c r="K18250" t="s">
        <v>1357</v>
      </c>
      <c r="L18250" t="s">
        <v>1357</v>
      </c>
    </row>
    <row r="18251" spans="1:13">
      <c r="A18251" t="s">
        <v>11691</v>
      </c>
      <c r="B18251">
        <f>HYPERLINK("https://android.googlesource.com/platform/cts/+/d9ffd585837570b5f8b5f214bf9df058d03c34b8", "d9ffd585837570b5f8b5f214bf9df058d03c34b8")</f>
        <v>0</v>
      </c>
      <c r="C18251">
        <f>HYPERLINK("https://android.googlesource.com/platform/cts/+/1c61d5eb47077773f9d056aa5c746bd3245c6686", "1c61d5eb47077773f9d056aa5c746bd3245c6686")</f>
        <v>0</v>
      </c>
      <c r="D18251" t="s">
        <v>12353</v>
      </c>
      <c r="E18251" t="s">
        <v>14202</v>
      </c>
      <c r="F18251" t="s">
        <v>16845</v>
      </c>
      <c r="G18251" t="s">
        <v>19460</v>
      </c>
      <c r="H18251" t="s">
        <v>25865</v>
      </c>
      <c r="I18251" t="s">
        <v>1357</v>
      </c>
      <c r="J18251" t="s">
        <v>1357</v>
      </c>
      <c r="K18251" t="s">
        <v>1357</v>
      </c>
      <c r="L18251" t="s">
        <v>1357</v>
      </c>
    </row>
    <row r="18252" spans="1:13">
      <c r="H18252" t="s">
        <v>25866</v>
      </c>
      <c r="I18252" t="s">
        <v>1357</v>
      </c>
      <c r="J18252" t="s">
        <v>1357</v>
      </c>
      <c r="K18252" t="s">
        <v>1357</v>
      </c>
      <c r="L18252" t="s">
        <v>1357</v>
      </c>
      <c r="M18252" t="s">
        <v>27499</v>
      </c>
    </row>
    <row r="18253" spans="1:13">
      <c r="H18253" t="s">
        <v>25867</v>
      </c>
      <c r="I18253" t="s">
        <v>1357</v>
      </c>
      <c r="J18253" t="s">
        <v>1357</v>
      </c>
      <c r="K18253" t="s">
        <v>1357</v>
      </c>
      <c r="L18253" t="s">
        <v>1357</v>
      </c>
    </row>
    <row r="18254" spans="1:13">
      <c r="H18254" t="s">
        <v>25868</v>
      </c>
      <c r="I18254" t="s">
        <v>1357</v>
      </c>
      <c r="J18254" t="s">
        <v>1357</v>
      </c>
      <c r="K18254" t="s">
        <v>1357</v>
      </c>
      <c r="L18254" t="s">
        <v>1357</v>
      </c>
    </row>
    <row r="18255" spans="1:13">
      <c r="H18255" t="s">
        <v>25869</v>
      </c>
      <c r="I18255" t="s">
        <v>1357</v>
      </c>
      <c r="J18255" t="s">
        <v>1357</v>
      </c>
      <c r="K18255" t="s">
        <v>1357</v>
      </c>
      <c r="L18255" t="s">
        <v>1357</v>
      </c>
    </row>
    <row r="18256" spans="1:13">
      <c r="H18256" t="s">
        <v>25870</v>
      </c>
      <c r="I18256" t="s">
        <v>1357</v>
      </c>
      <c r="J18256" t="s">
        <v>1357</v>
      </c>
      <c r="K18256" t="s">
        <v>1357</v>
      </c>
      <c r="L18256" t="s">
        <v>1357</v>
      </c>
    </row>
    <row r="18257" spans="1:13">
      <c r="H18257" t="s">
        <v>25871</v>
      </c>
      <c r="I18257" t="s">
        <v>1357</v>
      </c>
      <c r="J18257" t="s">
        <v>1357</v>
      </c>
      <c r="K18257" t="s">
        <v>1357</v>
      </c>
      <c r="L18257" t="s">
        <v>1357</v>
      </c>
    </row>
    <row r="18258" spans="1:13">
      <c r="H18258" t="s">
        <v>25872</v>
      </c>
      <c r="I18258" t="s">
        <v>1357</v>
      </c>
      <c r="J18258" t="s">
        <v>1357</v>
      </c>
      <c r="K18258" t="s">
        <v>1357</v>
      </c>
      <c r="L18258" t="s">
        <v>1357</v>
      </c>
    </row>
    <row r="18259" spans="1:13">
      <c r="H18259" t="s">
        <v>25873</v>
      </c>
      <c r="I18259" t="s">
        <v>1357</v>
      </c>
      <c r="J18259" t="s">
        <v>1357</v>
      </c>
      <c r="K18259" t="s">
        <v>1357</v>
      </c>
      <c r="L18259" t="s">
        <v>1357</v>
      </c>
    </row>
    <row r="18260" spans="1:13">
      <c r="F18260" t="s">
        <v>17114</v>
      </c>
      <c r="G18260" t="s">
        <v>19706</v>
      </c>
      <c r="H18260" t="s">
        <v>25874</v>
      </c>
      <c r="I18260" t="s">
        <v>1357</v>
      </c>
      <c r="J18260" t="s">
        <v>1357</v>
      </c>
      <c r="K18260" t="s">
        <v>1357</v>
      </c>
      <c r="L18260" t="s">
        <v>1357</v>
      </c>
    </row>
    <row r="18261" spans="1:13">
      <c r="H18261" t="s">
        <v>25875</v>
      </c>
      <c r="I18261" t="s">
        <v>1357</v>
      </c>
      <c r="J18261" t="s">
        <v>1357</v>
      </c>
      <c r="K18261" t="s">
        <v>1357</v>
      </c>
      <c r="L18261" t="s">
        <v>1357</v>
      </c>
    </row>
    <row r="18262" spans="1:13">
      <c r="H18262" t="s">
        <v>25876</v>
      </c>
      <c r="I18262" t="s">
        <v>1357</v>
      </c>
      <c r="J18262" t="s">
        <v>1357</v>
      </c>
      <c r="K18262" t="s">
        <v>1357</v>
      </c>
      <c r="L18262" t="s">
        <v>1357</v>
      </c>
    </row>
    <row r="18263" spans="1:13">
      <c r="F18263" t="s">
        <v>17115</v>
      </c>
      <c r="G18263" t="s">
        <v>19707</v>
      </c>
      <c r="H18263" t="s">
        <v>25876</v>
      </c>
      <c r="I18263" t="s">
        <v>1357</v>
      </c>
      <c r="J18263" t="s">
        <v>1357</v>
      </c>
      <c r="K18263" t="s">
        <v>1357</v>
      </c>
      <c r="L18263" t="s">
        <v>1357</v>
      </c>
    </row>
    <row r="18264" spans="1:13">
      <c r="H18264" t="s">
        <v>25877</v>
      </c>
      <c r="I18264" t="s">
        <v>1357</v>
      </c>
      <c r="J18264" t="s">
        <v>1357</v>
      </c>
      <c r="K18264" t="s">
        <v>1357</v>
      </c>
      <c r="L18264" t="s">
        <v>1357</v>
      </c>
    </row>
    <row r="18265" spans="1:13">
      <c r="H18265" t="s">
        <v>25878</v>
      </c>
      <c r="I18265" t="s">
        <v>1357</v>
      </c>
      <c r="J18265" t="s">
        <v>1357</v>
      </c>
      <c r="K18265" t="s">
        <v>1357</v>
      </c>
      <c r="L18265" t="s">
        <v>1357</v>
      </c>
    </row>
    <row r="18266" spans="1:13">
      <c r="H18266" t="s">
        <v>25879</v>
      </c>
      <c r="I18266" t="s">
        <v>1357</v>
      </c>
      <c r="J18266" t="s">
        <v>1357</v>
      </c>
      <c r="K18266" t="s">
        <v>1357</v>
      </c>
      <c r="L18266" t="s">
        <v>1357</v>
      </c>
    </row>
    <row r="18267" spans="1:13">
      <c r="A18267" t="s">
        <v>11692</v>
      </c>
      <c r="B18267">
        <f>HYPERLINK("https://android.googlesource.com/platform/cts/+/7d5c088d0a7a1eb4be676819cd3e7c9eeb8c6f66", "7d5c088d0a7a1eb4be676819cd3e7c9eeb8c6f66")</f>
        <v>0</v>
      </c>
      <c r="C18267">
        <f>HYPERLINK("https://android.googlesource.com/platform/cts/+/f5f4547f31021d88c411d133e8660b4f4cdb8fff", "f5f4547f31021d88c411d133e8660b4f4cdb8fff")</f>
        <v>0</v>
      </c>
      <c r="D18267" t="s">
        <v>12353</v>
      </c>
      <c r="E18267" t="s">
        <v>14203</v>
      </c>
      <c r="F18267" t="s">
        <v>16845</v>
      </c>
      <c r="G18267" t="s">
        <v>19460</v>
      </c>
      <c r="H18267" t="s">
        <v>25865</v>
      </c>
      <c r="I18267" t="s">
        <v>1357</v>
      </c>
      <c r="J18267" t="s">
        <v>1357</v>
      </c>
      <c r="K18267" t="s">
        <v>1357</v>
      </c>
      <c r="L18267" t="s">
        <v>1357</v>
      </c>
    </row>
    <row r="18268" spans="1:13">
      <c r="H18268" t="s">
        <v>25866</v>
      </c>
      <c r="I18268" t="s">
        <v>1357</v>
      </c>
      <c r="J18268" t="s">
        <v>1357</v>
      </c>
      <c r="K18268" t="s">
        <v>1357</v>
      </c>
      <c r="L18268" t="s">
        <v>1357</v>
      </c>
      <c r="M18268" t="s">
        <v>27499</v>
      </c>
    </row>
    <row r="18269" spans="1:13">
      <c r="H18269" t="s">
        <v>25867</v>
      </c>
      <c r="I18269" t="s">
        <v>1357</v>
      </c>
      <c r="J18269" t="s">
        <v>1357</v>
      </c>
      <c r="K18269" t="s">
        <v>1357</v>
      </c>
      <c r="L18269" t="s">
        <v>1357</v>
      </c>
    </row>
    <row r="18270" spans="1:13">
      <c r="H18270" t="s">
        <v>25868</v>
      </c>
      <c r="I18270" t="s">
        <v>1357</v>
      </c>
      <c r="J18270" t="s">
        <v>1357</v>
      </c>
      <c r="K18270" t="s">
        <v>1357</v>
      </c>
      <c r="L18270" t="s">
        <v>1357</v>
      </c>
    </row>
    <row r="18271" spans="1:13">
      <c r="H18271" t="s">
        <v>25869</v>
      </c>
      <c r="I18271" t="s">
        <v>1357</v>
      </c>
      <c r="J18271" t="s">
        <v>1357</v>
      </c>
      <c r="K18271" t="s">
        <v>1357</v>
      </c>
      <c r="L18271" t="s">
        <v>1357</v>
      </c>
    </row>
    <row r="18272" spans="1:13">
      <c r="H18272" t="s">
        <v>25870</v>
      </c>
      <c r="I18272" t="s">
        <v>1357</v>
      </c>
      <c r="J18272" t="s">
        <v>1357</v>
      </c>
      <c r="K18272" t="s">
        <v>1357</v>
      </c>
      <c r="L18272" t="s">
        <v>1357</v>
      </c>
    </row>
    <row r="18273" spans="1:12">
      <c r="H18273" t="s">
        <v>25871</v>
      </c>
      <c r="I18273" t="s">
        <v>1357</v>
      </c>
      <c r="J18273" t="s">
        <v>1357</v>
      </c>
      <c r="K18273" t="s">
        <v>1357</v>
      </c>
      <c r="L18273" t="s">
        <v>1357</v>
      </c>
    </row>
    <row r="18274" spans="1:12">
      <c r="H18274" t="s">
        <v>25872</v>
      </c>
      <c r="I18274" t="s">
        <v>1357</v>
      </c>
      <c r="J18274" t="s">
        <v>1357</v>
      </c>
      <c r="K18274" t="s">
        <v>1357</v>
      </c>
      <c r="L18274" t="s">
        <v>1357</v>
      </c>
    </row>
    <row r="18275" spans="1:12">
      <c r="H18275" t="s">
        <v>25873</v>
      </c>
      <c r="I18275" t="s">
        <v>1357</v>
      </c>
      <c r="J18275" t="s">
        <v>1357</v>
      </c>
      <c r="K18275" t="s">
        <v>1357</v>
      </c>
      <c r="L18275" t="s">
        <v>1357</v>
      </c>
    </row>
    <row r="18276" spans="1:12">
      <c r="F18276" t="s">
        <v>17114</v>
      </c>
      <c r="G18276" t="s">
        <v>19706</v>
      </c>
      <c r="H18276" t="s">
        <v>25874</v>
      </c>
      <c r="I18276" t="s">
        <v>1357</v>
      </c>
      <c r="J18276" t="s">
        <v>1357</v>
      </c>
      <c r="K18276" t="s">
        <v>1357</v>
      </c>
      <c r="L18276" t="s">
        <v>1357</v>
      </c>
    </row>
    <row r="18277" spans="1:12">
      <c r="H18277" t="s">
        <v>25875</v>
      </c>
      <c r="I18277" t="s">
        <v>1357</v>
      </c>
      <c r="J18277" t="s">
        <v>1357</v>
      </c>
      <c r="K18277" t="s">
        <v>1357</v>
      </c>
      <c r="L18277" t="s">
        <v>1357</v>
      </c>
    </row>
    <row r="18278" spans="1:12">
      <c r="H18278" t="s">
        <v>25876</v>
      </c>
      <c r="I18278" t="s">
        <v>1357</v>
      </c>
      <c r="J18278" t="s">
        <v>1357</v>
      </c>
      <c r="K18278" t="s">
        <v>1357</v>
      </c>
      <c r="L18278" t="s">
        <v>1357</v>
      </c>
    </row>
    <row r="18279" spans="1:12">
      <c r="F18279" t="s">
        <v>17115</v>
      </c>
      <c r="G18279" t="s">
        <v>19707</v>
      </c>
      <c r="H18279" t="s">
        <v>25876</v>
      </c>
      <c r="I18279" t="s">
        <v>1357</v>
      </c>
      <c r="J18279" t="s">
        <v>1357</v>
      </c>
      <c r="K18279" t="s">
        <v>1357</v>
      </c>
      <c r="L18279" t="s">
        <v>1357</v>
      </c>
    </row>
    <row r="18280" spans="1:12">
      <c r="H18280" t="s">
        <v>25877</v>
      </c>
      <c r="I18280" t="s">
        <v>1357</v>
      </c>
      <c r="J18280" t="s">
        <v>1357</v>
      </c>
      <c r="K18280" t="s">
        <v>1357</v>
      </c>
      <c r="L18280" t="s">
        <v>1357</v>
      </c>
    </row>
    <row r="18281" spans="1:12">
      <c r="H18281" t="s">
        <v>25878</v>
      </c>
      <c r="I18281" t="s">
        <v>1357</v>
      </c>
      <c r="J18281" t="s">
        <v>1357</v>
      </c>
      <c r="K18281" t="s">
        <v>1357</v>
      </c>
      <c r="L18281" t="s">
        <v>1357</v>
      </c>
    </row>
    <row r="18282" spans="1:12">
      <c r="H18282" t="s">
        <v>25879</v>
      </c>
      <c r="I18282" t="s">
        <v>1357</v>
      </c>
      <c r="J18282" t="s">
        <v>1357</v>
      </c>
      <c r="K18282" t="s">
        <v>1357</v>
      </c>
      <c r="L18282" t="s">
        <v>1357</v>
      </c>
    </row>
    <row r="18283" spans="1:12">
      <c r="A18283" t="s">
        <v>11693</v>
      </c>
      <c r="B18283">
        <f>HYPERLINK("https://android.googlesource.com/platform/cts/+/e61e07e55b7911c66487f86937bf59928c9bbf52", "e61e07e55b7911c66487f86937bf59928c9bbf52")</f>
        <v>0</v>
      </c>
      <c r="C18283">
        <f>HYPERLINK("https://android.googlesource.com/platform/cts/+/07172db3746d097bc55315f211abb9d7195ab48e", "07172db3746d097bc55315f211abb9d7195ab48e")</f>
        <v>0</v>
      </c>
      <c r="D18283" t="s">
        <v>12454</v>
      </c>
      <c r="E18283" t="s">
        <v>14204</v>
      </c>
      <c r="F18283" t="s">
        <v>17116</v>
      </c>
      <c r="G18283" t="s">
        <v>19708</v>
      </c>
      <c r="H18283" t="s">
        <v>25880</v>
      </c>
      <c r="I18283" t="s">
        <v>1357</v>
      </c>
      <c r="J18283" t="s">
        <v>1357</v>
      </c>
      <c r="K18283" t="s">
        <v>1357</v>
      </c>
      <c r="L18283" t="s">
        <v>1357</v>
      </c>
    </row>
    <row r="18284" spans="1:12">
      <c r="H18284" t="s">
        <v>25881</v>
      </c>
      <c r="I18284" t="s">
        <v>1357</v>
      </c>
      <c r="J18284" t="s">
        <v>1357</v>
      </c>
      <c r="K18284" t="s">
        <v>1357</v>
      </c>
      <c r="L18284" t="s">
        <v>1357</v>
      </c>
    </row>
    <row r="18285" spans="1:12">
      <c r="H18285" t="s">
        <v>25882</v>
      </c>
      <c r="I18285" t="s">
        <v>1357</v>
      </c>
      <c r="J18285" t="s">
        <v>1357</v>
      </c>
      <c r="K18285" t="s">
        <v>1357</v>
      </c>
      <c r="L18285" t="s">
        <v>1357</v>
      </c>
    </row>
    <row r="18286" spans="1:12">
      <c r="H18286" t="s">
        <v>25883</v>
      </c>
      <c r="I18286" t="s">
        <v>1357</v>
      </c>
      <c r="J18286" t="s">
        <v>1357</v>
      </c>
      <c r="K18286" t="s">
        <v>1357</v>
      </c>
      <c r="L18286" t="s">
        <v>1357</v>
      </c>
    </row>
    <row r="18287" spans="1:12">
      <c r="H18287" t="s">
        <v>25884</v>
      </c>
      <c r="I18287" t="s">
        <v>1357</v>
      </c>
      <c r="J18287" t="s">
        <v>1357</v>
      </c>
      <c r="K18287" t="s">
        <v>1357</v>
      </c>
      <c r="L18287" t="s">
        <v>1357</v>
      </c>
    </row>
    <row r="18288" spans="1:12">
      <c r="A18288" t="s">
        <v>11694</v>
      </c>
      <c r="B18288">
        <f>HYPERLINK("https://android.googlesource.com/platform/cts/+/faf808e57b15bee8ad8fa360a64cdcd8fb698aa3", "faf808e57b15bee8ad8fa360a64cdcd8fb698aa3")</f>
        <v>0</v>
      </c>
      <c r="C18288">
        <f>HYPERLINK("https://android.googlesource.com/platform/cts/+/0c44a9950f9b243ab36ed6aeb7caf3cc2ca3d3e3", "0c44a9950f9b243ab36ed6aeb7caf3cc2ca3d3e3")</f>
        <v>0</v>
      </c>
      <c r="D18288" t="s">
        <v>12194</v>
      </c>
      <c r="E18288" t="s">
        <v>14205</v>
      </c>
      <c r="F18288" t="s">
        <v>16173</v>
      </c>
      <c r="G18288" t="s">
        <v>18853</v>
      </c>
      <c r="H18288" t="s">
        <v>25885</v>
      </c>
      <c r="I18288" t="s">
        <v>1358</v>
      </c>
      <c r="J18288" t="s">
        <v>1358</v>
      </c>
      <c r="K18288" t="s">
        <v>1358</v>
      </c>
      <c r="L18288" t="s">
        <v>1358</v>
      </c>
    </row>
    <row r="18289" spans="1:13">
      <c r="H18289" t="s">
        <v>25886</v>
      </c>
      <c r="I18289" t="s">
        <v>1357</v>
      </c>
      <c r="J18289" t="s">
        <v>1357</v>
      </c>
      <c r="K18289" t="s">
        <v>1357</v>
      </c>
      <c r="L18289" t="s">
        <v>1357</v>
      </c>
    </row>
    <row r="18290" spans="1:13">
      <c r="A18290" t="s">
        <v>11695</v>
      </c>
      <c r="B18290">
        <f>HYPERLINK("https://android.googlesource.com/platform/cts/+/9369eb7fa1a1c2b4a837ee88213de1b9448774c3", "9369eb7fa1a1c2b4a837ee88213de1b9448774c3")</f>
        <v>0</v>
      </c>
      <c r="C18290">
        <f>HYPERLINK("https://android.googlesource.com/platform/cts/+/a215978d84113147c4fd9b4f87533bb192a3dec2", "a215978d84113147c4fd9b4f87533bb192a3dec2")</f>
        <v>0</v>
      </c>
      <c r="D18290" t="s">
        <v>12360</v>
      </c>
      <c r="E18290" t="s">
        <v>14206</v>
      </c>
      <c r="F18290" t="s">
        <v>16868</v>
      </c>
      <c r="G18290" t="s">
        <v>19481</v>
      </c>
      <c r="H18290" t="s">
        <v>25887</v>
      </c>
      <c r="I18290" t="s">
        <v>1358</v>
      </c>
      <c r="J18290" t="s">
        <v>1358</v>
      </c>
      <c r="K18290" t="s">
        <v>1358</v>
      </c>
      <c r="L18290" t="s">
        <v>1358</v>
      </c>
    </row>
    <row r="18291" spans="1:13">
      <c r="A18291" t="s">
        <v>11696</v>
      </c>
      <c r="B18291">
        <f>HYPERLINK("https://android.googlesource.com/platform/cts/+/ad6d66c2f6cbcb551c67f9d497f7520a84b42d95", "ad6d66c2f6cbcb551c67f9d497f7520a84b42d95")</f>
        <v>0</v>
      </c>
      <c r="C18291">
        <f>HYPERLINK("https://android.googlesource.com/platform/cts/+/dcf0f79fcca3fdf2c58e19947073e0a19dabc7dd", "dcf0f79fcca3fdf2c58e19947073e0a19dabc7dd")</f>
        <v>0</v>
      </c>
      <c r="D18291" t="s">
        <v>12353</v>
      </c>
      <c r="E18291" t="s">
        <v>14203</v>
      </c>
      <c r="F18291" t="s">
        <v>16845</v>
      </c>
      <c r="G18291" t="s">
        <v>19460</v>
      </c>
      <c r="H18291" t="s">
        <v>25865</v>
      </c>
      <c r="I18291" t="s">
        <v>1357</v>
      </c>
      <c r="J18291" t="s">
        <v>1357</v>
      </c>
      <c r="K18291" t="s">
        <v>1357</v>
      </c>
      <c r="L18291" t="s">
        <v>1357</v>
      </c>
    </row>
    <row r="18292" spans="1:13">
      <c r="H18292" t="s">
        <v>25866</v>
      </c>
      <c r="I18292" t="s">
        <v>1357</v>
      </c>
      <c r="J18292" t="s">
        <v>1357</v>
      </c>
      <c r="K18292" t="s">
        <v>1357</v>
      </c>
      <c r="L18292" t="s">
        <v>1357</v>
      </c>
      <c r="M18292" t="s">
        <v>27499</v>
      </c>
    </row>
    <row r="18293" spans="1:13">
      <c r="H18293" t="s">
        <v>25867</v>
      </c>
      <c r="I18293" t="s">
        <v>1357</v>
      </c>
      <c r="J18293" t="s">
        <v>1357</v>
      </c>
      <c r="K18293" t="s">
        <v>1357</v>
      </c>
      <c r="L18293" t="s">
        <v>1357</v>
      </c>
    </row>
    <row r="18294" spans="1:13">
      <c r="H18294" t="s">
        <v>25868</v>
      </c>
      <c r="I18294" t="s">
        <v>1357</v>
      </c>
      <c r="J18294" t="s">
        <v>1357</v>
      </c>
      <c r="K18294" t="s">
        <v>1357</v>
      </c>
      <c r="L18294" t="s">
        <v>1357</v>
      </c>
    </row>
    <row r="18295" spans="1:13">
      <c r="H18295" t="s">
        <v>25869</v>
      </c>
      <c r="I18295" t="s">
        <v>1357</v>
      </c>
      <c r="J18295" t="s">
        <v>1357</v>
      </c>
      <c r="K18295" t="s">
        <v>1357</v>
      </c>
      <c r="L18295" t="s">
        <v>1357</v>
      </c>
    </row>
    <row r="18296" spans="1:13">
      <c r="H18296" t="s">
        <v>25870</v>
      </c>
      <c r="I18296" t="s">
        <v>1357</v>
      </c>
      <c r="J18296" t="s">
        <v>1357</v>
      </c>
      <c r="K18296" t="s">
        <v>1357</v>
      </c>
      <c r="L18296" t="s">
        <v>1357</v>
      </c>
    </row>
    <row r="18297" spans="1:13">
      <c r="H18297" t="s">
        <v>25871</v>
      </c>
      <c r="I18297" t="s">
        <v>1357</v>
      </c>
      <c r="J18297" t="s">
        <v>1357</v>
      </c>
      <c r="K18297" t="s">
        <v>1357</v>
      </c>
      <c r="L18297" t="s">
        <v>1357</v>
      </c>
    </row>
    <row r="18298" spans="1:13">
      <c r="H18298" t="s">
        <v>25872</v>
      </c>
      <c r="I18298" t="s">
        <v>1357</v>
      </c>
      <c r="J18298" t="s">
        <v>1357</v>
      </c>
      <c r="K18298" t="s">
        <v>1357</v>
      </c>
      <c r="L18298" t="s">
        <v>1357</v>
      </c>
    </row>
    <row r="18299" spans="1:13">
      <c r="H18299" t="s">
        <v>25873</v>
      </c>
      <c r="I18299" t="s">
        <v>1357</v>
      </c>
      <c r="J18299" t="s">
        <v>1357</v>
      </c>
      <c r="K18299" t="s">
        <v>1357</v>
      </c>
      <c r="L18299" t="s">
        <v>1357</v>
      </c>
    </row>
    <row r="18300" spans="1:13">
      <c r="F18300" t="s">
        <v>17114</v>
      </c>
      <c r="G18300" t="s">
        <v>19706</v>
      </c>
      <c r="H18300" t="s">
        <v>25874</v>
      </c>
      <c r="I18300" t="s">
        <v>1357</v>
      </c>
      <c r="J18300" t="s">
        <v>1357</v>
      </c>
      <c r="K18300" t="s">
        <v>1357</v>
      </c>
      <c r="L18300" t="s">
        <v>1357</v>
      </c>
    </row>
    <row r="18301" spans="1:13">
      <c r="H18301" t="s">
        <v>25875</v>
      </c>
      <c r="I18301" t="s">
        <v>1357</v>
      </c>
      <c r="J18301" t="s">
        <v>1357</v>
      </c>
      <c r="K18301" t="s">
        <v>1357</v>
      </c>
      <c r="L18301" t="s">
        <v>1357</v>
      </c>
    </row>
    <row r="18302" spans="1:13">
      <c r="H18302" t="s">
        <v>25876</v>
      </c>
      <c r="I18302" t="s">
        <v>1357</v>
      </c>
      <c r="J18302" t="s">
        <v>1357</v>
      </c>
      <c r="K18302" t="s">
        <v>1357</v>
      </c>
      <c r="L18302" t="s">
        <v>1357</v>
      </c>
    </row>
    <row r="18303" spans="1:13">
      <c r="F18303" t="s">
        <v>17115</v>
      </c>
      <c r="G18303" t="s">
        <v>19707</v>
      </c>
      <c r="H18303" t="s">
        <v>25876</v>
      </c>
      <c r="I18303" t="s">
        <v>1357</v>
      </c>
      <c r="J18303" t="s">
        <v>1357</v>
      </c>
      <c r="K18303" t="s">
        <v>1357</v>
      </c>
      <c r="L18303" t="s">
        <v>1357</v>
      </c>
    </row>
    <row r="18304" spans="1:13">
      <c r="H18304" t="s">
        <v>25877</v>
      </c>
      <c r="I18304" t="s">
        <v>1357</v>
      </c>
      <c r="J18304" t="s">
        <v>1357</v>
      </c>
      <c r="K18304" t="s">
        <v>1357</v>
      </c>
      <c r="L18304" t="s">
        <v>1357</v>
      </c>
    </row>
    <row r="18305" spans="1:13">
      <c r="H18305" t="s">
        <v>25878</v>
      </c>
      <c r="I18305" t="s">
        <v>1357</v>
      </c>
      <c r="J18305" t="s">
        <v>1357</v>
      </c>
      <c r="K18305" t="s">
        <v>1357</v>
      </c>
      <c r="L18305" t="s">
        <v>1357</v>
      </c>
    </row>
    <row r="18306" spans="1:13">
      <c r="H18306" t="s">
        <v>25879</v>
      </c>
      <c r="I18306" t="s">
        <v>1357</v>
      </c>
      <c r="J18306" t="s">
        <v>1357</v>
      </c>
      <c r="K18306" t="s">
        <v>1357</v>
      </c>
      <c r="L18306" t="s">
        <v>1357</v>
      </c>
    </row>
    <row r="18307" spans="1:13">
      <c r="A18307" t="s">
        <v>11697</v>
      </c>
      <c r="B18307">
        <f>HYPERLINK("https://android.googlesource.com/platform/cts/+/4559a26f1cebd203ac2d509a1c7b4f694256b332", "4559a26f1cebd203ac2d509a1c7b4f694256b332")</f>
        <v>0</v>
      </c>
      <c r="C18307">
        <f>HYPERLINK("https://android.googlesource.com/platform/cts/+/dad33f1bc67fa8cde11c210bc928392216f9fb05", "dad33f1bc67fa8cde11c210bc928392216f9fb05")</f>
        <v>0</v>
      </c>
      <c r="D18307" t="s">
        <v>12212</v>
      </c>
      <c r="E18307" t="s">
        <v>14207</v>
      </c>
      <c r="F18307" t="s">
        <v>17117</v>
      </c>
      <c r="G18307" t="s">
        <v>18821</v>
      </c>
      <c r="H18307" t="s">
        <v>25888</v>
      </c>
      <c r="I18307" t="s">
        <v>1357</v>
      </c>
      <c r="J18307" t="s">
        <v>1357</v>
      </c>
      <c r="K18307" t="s">
        <v>1357</v>
      </c>
      <c r="L18307" t="s">
        <v>1357</v>
      </c>
    </row>
    <row r="18308" spans="1:13">
      <c r="H18308" t="s">
        <v>25889</v>
      </c>
      <c r="I18308" t="s">
        <v>1357</v>
      </c>
      <c r="J18308" t="s">
        <v>1357</v>
      </c>
      <c r="K18308" t="s">
        <v>1357</v>
      </c>
      <c r="L18308" t="s">
        <v>1357</v>
      </c>
    </row>
    <row r="18309" spans="1:13">
      <c r="F18309" t="s">
        <v>16336</v>
      </c>
      <c r="G18309" t="s">
        <v>19005</v>
      </c>
      <c r="H18309" t="s">
        <v>25890</v>
      </c>
      <c r="I18309" t="s">
        <v>1357</v>
      </c>
      <c r="J18309" t="s">
        <v>1357</v>
      </c>
      <c r="K18309" t="s">
        <v>1357</v>
      </c>
      <c r="L18309" t="s">
        <v>1357</v>
      </c>
    </row>
    <row r="18310" spans="1:13">
      <c r="A18310" t="s">
        <v>11698</v>
      </c>
      <c r="B18310">
        <f>HYPERLINK("https://android.googlesource.com/platform/cts/+/7c74c746ffa289969da0c9aac585ba4daf50e1c6", "7c74c746ffa289969da0c9aac585ba4daf50e1c6")</f>
        <v>0</v>
      </c>
      <c r="C18310">
        <f>HYPERLINK("https://android.googlesource.com/platform/cts/+/958375f8281c1e812c8bd729cc6ead5af0db953e", "958375f8281c1e812c8bd729cc6ead5af0db953e")</f>
        <v>0</v>
      </c>
      <c r="D18310" t="s">
        <v>12194</v>
      </c>
      <c r="E18310" t="s">
        <v>14208</v>
      </c>
      <c r="F18310" t="s">
        <v>16173</v>
      </c>
      <c r="G18310" t="s">
        <v>18853</v>
      </c>
      <c r="H18310" t="s">
        <v>25885</v>
      </c>
      <c r="I18310" t="s">
        <v>1358</v>
      </c>
      <c r="J18310" t="s">
        <v>1358</v>
      </c>
      <c r="K18310" t="s">
        <v>1358</v>
      </c>
      <c r="L18310" t="s">
        <v>1358</v>
      </c>
    </row>
    <row r="18311" spans="1:13">
      <c r="H18311" t="s">
        <v>25886</v>
      </c>
      <c r="I18311" t="s">
        <v>1357</v>
      </c>
      <c r="J18311" t="s">
        <v>1357</v>
      </c>
      <c r="K18311" t="s">
        <v>1357</v>
      </c>
      <c r="L18311" t="s">
        <v>1357</v>
      </c>
      <c r="M18311" t="s">
        <v>27499</v>
      </c>
    </row>
    <row r="18312" spans="1:13">
      <c r="A18312" t="s">
        <v>11699</v>
      </c>
      <c r="B18312">
        <f>HYPERLINK("https://android.googlesource.com/platform/cts/+/ad6f866d5864c72fca38f46602ddbb9bf39d50e2", "ad6f866d5864c72fca38f46602ddbb9bf39d50e2")</f>
        <v>0</v>
      </c>
      <c r="C18312">
        <f>HYPERLINK("https://android.googlesource.com/platform/cts/+/bcd0e5cbaa242b9459a7c88867ff2e138597271d", "bcd0e5cbaa242b9459a7c88867ff2e138597271d")</f>
        <v>0</v>
      </c>
      <c r="D18312" t="s">
        <v>12272</v>
      </c>
      <c r="E18312" t="s">
        <v>14209</v>
      </c>
      <c r="F18312" t="s">
        <v>17088</v>
      </c>
      <c r="G18312" t="s">
        <v>19682</v>
      </c>
      <c r="H18312" t="s">
        <v>25725</v>
      </c>
      <c r="I18312" t="s">
        <v>1357</v>
      </c>
      <c r="J18312" t="s">
        <v>1357</v>
      </c>
      <c r="K18312" t="s">
        <v>1357</v>
      </c>
      <c r="L18312" t="s">
        <v>1357</v>
      </c>
      <c r="M18312" t="s">
        <v>27499</v>
      </c>
    </row>
    <row r="18313" spans="1:13">
      <c r="H18313" t="s">
        <v>25726</v>
      </c>
      <c r="I18313" t="s">
        <v>1357</v>
      </c>
      <c r="J18313" t="s">
        <v>1357</v>
      </c>
      <c r="K18313" t="s">
        <v>1357</v>
      </c>
      <c r="L18313" t="s">
        <v>1357</v>
      </c>
    </row>
    <row r="18314" spans="1:13">
      <c r="H18314" t="s">
        <v>25727</v>
      </c>
      <c r="I18314" t="s">
        <v>1357</v>
      </c>
      <c r="J18314" t="s">
        <v>1357</v>
      </c>
      <c r="K18314" t="s">
        <v>1357</v>
      </c>
      <c r="L18314" t="s">
        <v>1357</v>
      </c>
    </row>
    <row r="18315" spans="1:13">
      <c r="H18315" t="s">
        <v>25728</v>
      </c>
      <c r="I18315" t="s">
        <v>1357</v>
      </c>
      <c r="J18315" t="s">
        <v>1357</v>
      </c>
      <c r="K18315" t="s">
        <v>1357</v>
      </c>
      <c r="L18315" t="s">
        <v>1357</v>
      </c>
    </row>
    <row r="18316" spans="1:13">
      <c r="F18316" t="s">
        <v>17089</v>
      </c>
      <c r="G18316" t="s">
        <v>19683</v>
      </c>
      <c r="H18316" t="s">
        <v>25729</v>
      </c>
      <c r="I18316" t="s">
        <v>1357</v>
      </c>
      <c r="J18316" t="s">
        <v>1357</v>
      </c>
      <c r="K18316" t="s">
        <v>1357</v>
      </c>
      <c r="L18316" t="s">
        <v>1357</v>
      </c>
    </row>
    <row r="18317" spans="1:13">
      <c r="H18317" t="s">
        <v>25730</v>
      </c>
      <c r="I18317" t="s">
        <v>1357</v>
      </c>
      <c r="J18317" t="s">
        <v>1357</v>
      </c>
      <c r="K18317" t="s">
        <v>1357</v>
      </c>
      <c r="L18317" t="s">
        <v>1357</v>
      </c>
    </row>
    <row r="18318" spans="1:13">
      <c r="A18318" t="s">
        <v>11700</v>
      </c>
      <c r="B18318">
        <f>HYPERLINK("https://android.googlesource.com/platform/cts/+/9d1204bccf203522b4d7ad656f36542bd83768d5", "9d1204bccf203522b4d7ad656f36542bd83768d5")</f>
        <v>0</v>
      </c>
      <c r="C18318">
        <f>HYPERLINK("https://android.googlesource.com/platform/cts/+/4acf91dfd0b761476b108c72e0c7f2fad5880479", "4acf91dfd0b761476b108c72e0c7f2fad5880479")</f>
        <v>0</v>
      </c>
      <c r="D18318" t="s">
        <v>12212</v>
      </c>
      <c r="E18318" t="s">
        <v>14210</v>
      </c>
      <c r="F18318" t="s">
        <v>17117</v>
      </c>
      <c r="G18318" t="s">
        <v>18821</v>
      </c>
      <c r="H18318" t="s">
        <v>25888</v>
      </c>
      <c r="I18318" t="s">
        <v>1357</v>
      </c>
      <c r="J18318" t="s">
        <v>1357</v>
      </c>
      <c r="K18318" t="s">
        <v>1357</v>
      </c>
      <c r="L18318" t="s">
        <v>1357</v>
      </c>
    </row>
    <row r="18319" spans="1:13">
      <c r="H18319" t="s">
        <v>25889</v>
      </c>
      <c r="I18319" t="s">
        <v>1357</v>
      </c>
      <c r="J18319" t="s">
        <v>1357</v>
      </c>
      <c r="K18319" t="s">
        <v>1357</v>
      </c>
      <c r="L18319" t="s">
        <v>1357</v>
      </c>
    </row>
    <row r="18320" spans="1:13">
      <c r="F18320" t="s">
        <v>16336</v>
      </c>
      <c r="G18320" t="s">
        <v>19005</v>
      </c>
      <c r="H18320" t="s">
        <v>25890</v>
      </c>
      <c r="I18320" t="s">
        <v>1357</v>
      </c>
      <c r="J18320" t="s">
        <v>1357</v>
      </c>
      <c r="K18320" t="s">
        <v>1357</v>
      </c>
      <c r="L18320" t="s">
        <v>1357</v>
      </c>
    </row>
    <row r="18321" spans="1:13">
      <c r="A18321" t="s">
        <v>11701</v>
      </c>
      <c r="B18321">
        <f>HYPERLINK("https://android.googlesource.com/platform/cts/+/519db55088c7ef993a9e86e1d906637f7bcdc7b9", "519db55088c7ef993a9e86e1d906637f7bcdc7b9")</f>
        <v>0</v>
      </c>
      <c r="C18321">
        <f>HYPERLINK("https://android.googlesource.com/platform/cts/+/e3116af2351c9b70b9cebadbd79fe91a5fdaa072", "e3116af2351c9b70b9cebadbd79fe91a5fdaa072")</f>
        <v>0</v>
      </c>
      <c r="D18321" t="s">
        <v>12455</v>
      </c>
      <c r="E18321" t="s">
        <v>14211</v>
      </c>
      <c r="F18321" t="s">
        <v>17118</v>
      </c>
      <c r="G18321" t="s">
        <v>19709</v>
      </c>
      <c r="H18321" t="s">
        <v>25891</v>
      </c>
      <c r="I18321" t="s">
        <v>1357</v>
      </c>
      <c r="J18321" t="s">
        <v>1357</v>
      </c>
      <c r="K18321" t="s">
        <v>1357</v>
      </c>
      <c r="L18321" t="s">
        <v>1357</v>
      </c>
    </row>
    <row r="18322" spans="1:13">
      <c r="A18322" t="s">
        <v>11702</v>
      </c>
      <c r="B18322">
        <f>HYPERLINK("https://android.googlesource.com/platform/cts/+/2d7f113734d6cdd29c9bca709f1fa5b4ccca30a2", "2d7f113734d6cdd29c9bca709f1fa5b4ccca30a2")</f>
        <v>0</v>
      </c>
      <c r="C18322">
        <f>HYPERLINK("https://android.googlesource.com/platform/cts/+/09dee81f2de9880f20fe856899a8cf3ad1bc15a4", "09dee81f2de9880f20fe856899a8cf3ad1bc15a4")</f>
        <v>0</v>
      </c>
      <c r="D18322" t="s">
        <v>12194</v>
      </c>
      <c r="E18322" t="s">
        <v>14208</v>
      </c>
      <c r="F18322" t="s">
        <v>16173</v>
      </c>
      <c r="G18322" t="s">
        <v>18853</v>
      </c>
      <c r="H18322" t="s">
        <v>25885</v>
      </c>
      <c r="I18322" t="s">
        <v>1358</v>
      </c>
      <c r="J18322" t="s">
        <v>1358</v>
      </c>
      <c r="K18322" t="s">
        <v>1358</v>
      </c>
      <c r="L18322" t="s">
        <v>1358</v>
      </c>
    </row>
    <row r="18323" spans="1:13">
      <c r="H18323" t="s">
        <v>25886</v>
      </c>
      <c r="I18323" t="s">
        <v>1357</v>
      </c>
      <c r="J18323" t="s">
        <v>1357</v>
      </c>
      <c r="K18323" t="s">
        <v>1357</v>
      </c>
      <c r="L18323" t="s">
        <v>1357</v>
      </c>
      <c r="M18323" t="s">
        <v>27499</v>
      </c>
    </row>
    <row r="18324" spans="1:13">
      <c r="A18324" t="s">
        <v>11703</v>
      </c>
      <c r="B18324">
        <f>HYPERLINK("https://android.googlesource.com/platform/cts/+/efb866daf8dedd01ddd5738f96d74cb1ed79b0fe", "efb866daf8dedd01ddd5738f96d74cb1ed79b0fe")</f>
        <v>0</v>
      </c>
      <c r="C18324">
        <f>HYPERLINK("https://android.googlesource.com/platform/cts/+/e3a4737b6971db40ebc94fc669c8fb88ee3adbf9", "e3a4737b6971db40ebc94fc669c8fb88ee3adbf9")</f>
        <v>0</v>
      </c>
      <c r="D18324" t="s">
        <v>12456</v>
      </c>
      <c r="E18324" t="s">
        <v>14212</v>
      </c>
      <c r="F18324" t="s">
        <v>16054</v>
      </c>
      <c r="G18324" t="s">
        <v>18745</v>
      </c>
      <c r="H18324" t="s">
        <v>25722</v>
      </c>
      <c r="I18324" t="s">
        <v>1357</v>
      </c>
      <c r="J18324" t="s">
        <v>1357</v>
      </c>
      <c r="K18324" t="s">
        <v>1357</v>
      </c>
      <c r="L18324" t="s">
        <v>1357</v>
      </c>
    </row>
    <row r="18325" spans="1:13">
      <c r="H18325" t="s">
        <v>25723</v>
      </c>
      <c r="I18325" t="s">
        <v>1357</v>
      </c>
      <c r="J18325" t="s">
        <v>1357</v>
      </c>
      <c r="K18325" t="s">
        <v>1357</v>
      </c>
      <c r="L18325" t="s">
        <v>1357</v>
      </c>
    </row>
    <row r="18326" spans="1:13">
      <c r="H18326" t="s">
        <v>25724</v>
      </c>
      <c r="I18326" t="s">
        <v>1357</v>
      </c>
      <c r="J18326" t="s">
        <v>1357</v>
      </c>
      <c r="K18326" t="s">
        <v>1357</v>
      </c>
      <c r="L18326" t="s">
        <v>1357</v>
      </c>
    </row>
    <row r="18327" spans="1:13">
      <c r="H18327" t="s">
        <v>25892</v>
      </c>
      <c r="I18327" t="s">
        <v>1357</v>
      </c>
      <c r="J18327" t="s">
        <v>1357</v>
      </c>
      <c r="K18327" t="s">
        <v>1357</v>
      </c>
      <c r="L18327" t="s">
        <v>1357</v>
      </c>
    </row>
    <row r="18328" spans="1:13">
      <c r="H18328" t="s">
        <v>25893</v>
      </c>
      <c r="I18328" t="s">
        <v>1357</v>
      </c>
      <c r="J18328" t="s">
        <v>1357</v>
      </c>
      <c r="K18328" t="s">
        <v>1357</v>
      </c>
      <c r="L18328" t="s">
        <v>1357</v>
      </c>
    </row>
    <row r="18329" spans="1:13">
      <c r="H18329" t="s">
        <v>25894</v>
      </c>
      <c r="I18329" t="s">
        <v>1357</v>
      </c>
      <c r="J18329" t="s">
        <v>1357</v>
      </c>
      <c r="K18329" t="s">
        <v>1357</v>
      </c>
      <c r="L18329" t="s">
        <v>1357</v>
      </c>
    </row>
    <row r="18330" spans="1:13">
      <c r="H18330" t="s">
        <v>25895</v>
      </c>
      <c r="I18330" t="s">
        <v>1357</v>
      </c>
      <c r="J18330" t="s">
        <v>1357</v>
      </c>
      <c r="K18330" t="s">
        <v>1357</v>
      </c>
      <c r="L18330" t="s">
        <v>1357</v>
      </c>
    </row>
    <row r="18331" spans="1:13">
      <c r="H18331" t="s">
        <v>25896</v>
      </c>
      <c r="I18331" t="s">
        <v>1357</v>
      </c>
      <c r="J18331" t="s">
        <v>1357</v>
      </c>
      <c r="K18331" t="s">
        <v>1357</v>
      </c>
      <c r="L18331" t="s">
        <v>1357</v>
      </c>
    </row>
    <row r="18332" spans="1:13">
      <c r="H18332" t="s">
        <v>25897</v>
      </c>
      <c r="I18332" t="s">
        <v>1357</v>
      </c>
      <c r="J18332" t="s">
        <v>1357</v>
      </c>
      <c r="K18332" t="s">
        <v>1357</v>
      </c>
      <c r="L18332" t="s">
        <v>1357</v>
      </c>
    </row>
    <row r="18333" spans="1:13">
      <c r="H18333" t="s">
        <v>25898</v>
      </c>
      <c r="I18333" t="s">
        <v>1357</v>
      </c>
      <c r="J18333" t="s">
        <v>1357</v>
      </c>
      <c r="K18333" t="s">
        <v>1357</v>
      </c>
      <c r="L18333" t="s">
        <v>1357</v>
      </c>
    </row>
    <row r="18334" spans="1:13">
      <c r="H18334" t="s">
        <v>25899</v>
      </c>
      <c r="I18334" t="s">
        <v>1357</v>
      </c>
      <c r="J18334" t="s">
        <v>1357</v>
      </c>
      <c r="K18334" t="s">
        <v>1357</v>
      </c>
      <c r="L18334" t="s">
        <v>1357</v>
      </c>
    </row>
    <row r="18335" spans="1:13">
      <c r="H18335" t="s">
        <v>25900</v>
      </c>
      <c r="I18335" t="s">
        <v>1357</v>
      </c>
      <c r="J18335" t="s">
        <v>1357</v>
      </c>
      <c r="K18335" t="s">
        <v>1357</v>
      </c>
      <c r="L18335" t="s">
        <v>1357</v>
      </c>
    </row>
    <row r="18336" spans="1:13">
      <c r="A18336" t="s">
        <v>11704</v>
      </c>
      <c r="B18336">
        <f>HYPERLINK("https://android.googlesource.com/platform/cts/+/e7e9836fe6538337de4030fd65924158da6e6e62", "e7e9836fe6538337de4030fd65924158da6e6e62")</f>
        <v>0</v>
      </c>
      <c r="C18336">
        <f>HYPERLINK("https://android.googlesource.com/platform/cts/+/341404f5c9cb1b87cc39e9d4b826310d8abc5cde", "341404f5c9cb1b87cc39e9d4b826310d8abc5cde")</f>
        <v>0</v>
      </c>
      <c r="D18336" t="s">
        <v>12457</v>
      </c>
      <c r="E18336" t="s">
        <v>14213</v>
      </c>
      <c r="F18336" t="s">
        <v>17119</v>
      </c>
      <c r="G18336" t="s">
        <v>19710</v>
      </c>
      <c r="H18336" t="s">
        <v>25901</v>
      </c>
      <c r="I18336" t="s">
        <v>1357</v>
      </c>
      <c r="J18336" t="s">
        <v>1357</v>
      </c>
      <c r="K18336" t="s">
        <v>1357</v>
      </c>
      <c r="L18336" t="s">
        <v>1357</v>
      </c>
    </row>
    <row r="18337" spans="1:12">
      <c r="A18337" t="s">
        <v>11705</v>
      </c>
      <c r="B18337">
        <f>HYPERLINK("https://android.googlesource.com/platform/cts/+/6632de7d76ddeb8e3ad48bc74cdb7974b14066a1", "6632de7d76ddeb8e3ad48bc74cdb7974b14066a1")</f>
        <v>0</v>
      </c>
      <c r="C18337">
        <f>HYPERLINK("https://android.googlesource.com/platform/cts/+/e590eabc49344c620255782d278c3d1528daef4e", "e590eabc49344c620255782d278c3d1528daef4e")</f>
        <v>0</v>
      </c>
      <c r="D18337" t="s">
        <v>12458</v>
      </c>
      <c r="E18337" t="s">
        <v>14214</v>
      </c>
      <c r="F18337" t="s">
        <v>17120</v>
      </c>
      <c r="G18337" t="s">
        <v>19711</v>
      </c>
      <c r="H18337" t="s">
        <v>25902</v>
      </c>
      <c r="I18337" t="s">
        <v>1357</v>
      </c>
      <c r="J18337" t="s">
        <v>1357</v>
      </c>
      <c r="K18337" t="s">
        <v>1357</v>
      </c>
      <c r="L18337" t="s">
        <v>1357</v>
      </c>
    </row>
    <row r="18338" spans="1:12">
      <c r="H18338" t="s">
        <v>25903</v>
      </c>
      <c r="I18338" t="s">
        <v>1357</v>
      </c>
      <c r="J18338" t="s">
        <v>1357</v>
      </c>
      <c r="K18338" t="s">
        <v>1357</v>
      </c>
      <c r="L18338" t="s">
        <v>1357</v>
      </c>
    </row>
    <row r="18339" spans="1:12">
      <c r="H18339" t="s">
        <v>25904</v>
      </c>
      <c r="I18339" t="s">
        <v>1357</v>
      </c>
      <c r="J18339" t="s">
        <v>1357</v>
      </c>
      <c r="K18339" t="s">
        <v>1357</v>
      </c>
      <c r="L18339" t="s">
        <v>1357</v>
      </c>
    </row>
    <row r="18340" spans="1:12">
      <c r="A18340" t="s">
        <v>11706</v>
      </c>
      <c r="B18340">
        <f>HYPERLINK("https://android.googlesource.com/platform/cts/+/9910ca9737f8838f6dc3a3d9d318f50339ff7cd4", "9910ca9737f8838f6dc3a3d9d318f50339ff7cd4")</f>
        <v>0</v>
      </c>
      <c r="C18340">
        <f>HYPERLINK("https://android.googlesource.com/platform/cts/+/0da7a74dc6555357aad4937ee257d37debc4c33e", "0da7a74dc6555357aad4937ee257d37debc4c33e")</f>
        <v>0</v>
      </c>
      <c r="D18340" t="s">
        <v>12459</v>
      </c>
      <c r="E18340" t="s">
        <v>14215</v>
      </c>
      <c r="F18340" t="s">
        <v>16367</v>
      </c>
      <c r="G18340" t="s">
        <v>19036</v>
      </c>
      <c r="H18340" t="s">
        <v>25905</v>
      </c>
      <c r="I18340" t="s">
        <v>1357</v>
      </c>
      <c r="J18340" t="s">
        <v>1357</v>
      </c>
      <c r="K18340" t="s">
        <v>1357</v>
      </c>
      <c r="L18340" t="s">
        <v>1357</v>
      </c>
    </row>
    <row r="18341" spans="1:12">
      <c r="A18341" t="s">
        <v>11707</v>
      </c>
      <c r="B18341">
        <f>HYPERLINK("https://android.googlesource.com/platform/cts/+/06a952a180e17fd5688b845566dbecb6411aa2a9", "06a952a180e17fd5688b845566dbecb6411aa2a9")</f>
        <v>0</v>
      </c>
      <c r="C18341">
        <f>HYPERLINK("https://android.googlesource.com/platform/cts/+/b003794023c050821258f5acf3988935784255c5", "b003794023c050821258f5acf3988935784255c5")</f>
        <v>0</v>
      </c>
      <c r="D18341" t="s">
        <v>12306</v>
      </c>
      <c r="E18341" t="s">
        <v>14216</v>
      </c>
      <c r="F18341" t="s">
        <v>17121</v>
      </c>
      <c r="G18341" t="s">
        <v>19712</v>
      </c>
      <c r="H18341" t="s">
        <v>25906</v>
      </c>
      <c r="I18341" t="s">
        <v>1357</v>
      </c>
      <c r="J18341" t="s">
        <v>1357</v>
      </c>
      <c r="K18341" t="s">
        <v>1357</v>
      </c>
      <c r="L18341" t="s">
        <v>1357</v>
      </c>
    </row>
    <row r="18342" spans="1:12">
      <c r="A18342" t="s">
        <v>11708</v>
      </c>
      <c r="B18342">
        <f>HYPERLINK("https://android.googlesource.com/platform/cts/+/1390ca540e3cc916e4a877207b7cc1c7928aa801", "1390ca540e3cc916e4a877207b7cc1c7928aa801")</f>
        <v>0</v>
      </c>
      <c r="C18342">
        <f>HYPERLINK("https://android.googlesource.com/platform/cts/+/06a952a180e17fd5688b845566dbecb6411aa2a9", "06a952a180e17fd5688b845566dbecb6411aa2a9")</f>
        <v>0</v>
      </c>
      <c r="D18342" t="s">
        <v>12306</v>
      </c>
      <c r="E18342" t="s">
        <v>14217</v>
      </c>
      <c r="F18342" t="s">
        <v>17069</v>
      </c>
      <c r="G18342" t="s">
        <v>19666</v>
      </c>
      <c r="H18342" t="s">
        <v>25907</v>
      </c>
      <c r="I18342" t="s">
        <v>1357</v>
      </c>
      <c r="J18342" t="s">
        <v>1357</v>
      </c>
      <c r="K18342" t="s">
        <v>1357</v>
      </c>
      <c r="L18342" t="s">
        <v>1357</v>
      </c>
    </row>
    <row r="18343" spans="1:12">
      <c r="H18343" t="s">
        <v>25908</v>
      </c>
      <c r="I18343" t="s">
        <v>1357</v>
      </c>
      <c r="J18343" t="s">
        <v>1357</v>
      </c>
      <c r="K18343" t="s">
        <v>1357</v>
      </c>
      <c r="L18343" t="s">
        <v>1357</v>
      </c>
    </row>
    <row r="18344" spans="1:12">
      <c r="F18344" t="s">
        <v>17122</v>
      </c>
      <c r="G18344" t="s">
        <v>19713</v>
      </c>
      <c r="H18344" t="s">
        <v>25909</v>
      </c>
      <c r="I18344" t="s">
        <v>1357</v>
      </c>
      <c r="J18344" t="s">
        <v>1357</v>
      </c>
      <c r="K18344" t="s">
        <v>1357</v>
      </c>
      <c r="L18344" t="s">
        <v>1357</v>
      </c>
    </row>
    <row r="18345" spans="1:12">
      <c r="H18345" t="s">
        <v>25910</v>
      </c>
      <c r="I18345" t="s">
        <v>1357</v>
      </c>
      <c r="J18345" t="s">
        <v>1357</v>
      </c>
      <c r="K18345" t="s">
        <v>1357</v>
      </c>
      <c r="L18345" t="s">
        <v>1357</v>
      </c>
    </row>
    <row r="18346" spans="1:12">
      <c r="H18346" t="s">
        <v>25911</v>
      </c>
      <c r="I18346" t="s">
        <v>1358</v>
      </c>
      <c r="J18346" t="s">
        <v>1358</v>
      </c>
      <c r="K18346" t="s">
        <v>1358</v>
      </c>
      <c r="L18346" t="s">
        <v>1358</v>
      </c>
    </row>
    <row r="18347" spans="1:12">
      <c r="H18347" t="s">
        <v>25912</v>
      </c>
      <c r="I18347" t="s">
        <v>1358</v>
      </c>
      <c r="J18347" t="s">
        <v>1358</v>
      </c>
      <c r="K18347" t="s">
        <v>1358</v>
      </c>
      <c r="L18347" t="s">
        <v>1358</v>
      </c>
    </row>
    <row r="18348" spans="1:12">
      <c r="H18348" t="s">
        <v>25913</v>
      </c>
      <c r="I18348" t="s">
        <v>1358</v>
      </c>
      <c r="J18348" t="s">
        <v>1358</v>
      </c>
      <c r="K18348" t="s">
        <v>1358</v>
      </c>
      <c r="L18348" t="s">
        <v>1358</v>
      </c>
    </row>
    <row r="18349" spans="1:12">
      <c r="H18349" t="s">
        <v>25914</v>
      </c>
      <c r="I18349" t="s">
        <v>1357</v>
      </c>
      <c r="J18349" t="s">
        <v>1357</v>
      </c>
      <c r="K18349" t="s">
        <v>1357</v>
      </c>
      <c r="L18349" t="s">
        <v>1357</v>
      </c>
    </row>
    <row r="18350" spans="1:12">
      <c r="H18350" t="s">
        <v>25915</v>
      </c>
      <c r="I18350" t="s">
        <v>1357</v>
      </c>
      <c r="J18350" t="s">
        <v>1357</v>
      </c>
      <c r="K18350" t="s">
        <v>1357</v>
      </c>
      <c r="L18350" t="s">
        <v>1357</v>
      </c>
    </row>
    <row r="18351" spans="1:12">
      <c r="H18351" t="s">
        <v>25916</v>
      </c>
      <c r="I18351" t="s">
        <v>1357</v>
      </c>
      <c r="J18351" t="s">
        <v>1357</v>
      </c>
      <c r="K18351" t="s">
        <v>1357</v>
      </c>
      <c r="L18351" t="s">
        <v>1357</v>
      </c>
    </row>
    <row r="18352" spans="1:12">
      <c r="A18352" t="s">
        <v>11709</v>
      </c>
      <c r="B18352">
        <f>HYPERLINK("https://android.googlesource.com/platform/cts/+/712829f4f4409aa7b225e7c1000d508cd950a2fe", "712829f4f4409aa7b225e7c1000d508cd950a2fe")</f>
        <v>0</v>
      </c>
      <c r="C18352">
        <f>HYPERLINK("https://android.googlesource.com/platform/cts/+/2f9deea76d279c85481ba9c4a7ceca4a1eea32c7", "2f9deea76d279c85481ba9c4a7ceca4a1eea32c7")</f>
        <v>0</v>
      </c>
      <c r="D18352" t="s">
        <v>12455</v>
      </c>
      <c r="E18352" t="s">
        <v>14218</v>
      </c>
      <c r="F18352" t="s">
        <v>17118</v>
      </c>
      <c r="G18352" t="s">
        <v>19709</v>
      </c>
      <c r="H18352" t="s">
        <v>25891</v>
      </c>
      <c r="I18352" t="s">
        <v>1357</v>
      </c>
      <c r="J18352" t="s">
        <v>1357</v>
      </c>
      <c r="K18352" t="s">
        <v>1357</v>
      </c>
      <c r="L18352" t="s">
        <v>1357</v>
      </c>
    </row>
    <row r="18353" spans="1:13">
      <c r="A18353" t="s">
        <v>11710</v>
      </c>
      <c r="B18353">
        <f>HYPERLINK("https://android.googlesource.com/platform/cts/+/fb218a175ac9101306009c75e337978786ebf466", "fb218a175ac9101306009c75e337978786ebf466")</f>
        <v>0</v>
      </c>
      <c r="C18353">
        <f>HYPERLINK("https://android.googlesource.com/platform/cts/+/fc8f3bae49e346ffc41ce131cb3f668d6ed9d5ac", "fc8f3bae49e346ffc41ce131cb3f668d6ed9d5ac")</f>
        <v>0</v>
      </c>
      <c r="D18353" t="s">
        <v>12325</v>
      </c>
      <c r="E18353" t="s">
        <v>14219</v>
      </c>
      <c r="F18353" t="s">
        <v>17118</v>
      </c>
      <c r="G18353" t="s">
        <v>19709</v>
      </c>
      <c r="H18353" t="s">
        <v>25891</v>
      </c>
      <c r="I18353" t="s">
        <v>1357</v>
      </c>
      <c r="J18353" t="s">
        <v>1357</v>
      </c>
      <c r="K18353" t="s">
        <v>1357</v>
      </c>
      <c r="L18353" t="s">
        <v>1357</v>
      </c>
    </row>
    <row r="18354" spans="1:13">
      <c r="A18354" t="s">
        <v>11711</v>
      </c>
      <c r="B18354">
        <f>HYPERLINK("https://android.googlesource.com/platform/cts/+/88a268b3acbe34a3bfe13a61d73e01fa984b6f52", "88a268b3acbe34a3bfe13a61d73e01fa984b6f52")</f>
        <v>0</v>
      </c>
      <c r="C18354">
        <f>HYPERLINK("https://android.googlesource.com/platform/cts/+/5959a156158a3d405f43fd6eb5dea1b8d9efbcdd", "5959a156158a3d405f43fd6eb5dea1b8d9efbcdd")</f>
        <v>0</v>
      </c>
      <c r="D18354" t="s">
        <v>12414</v>
      </c>
      <c r="E18354" t="s">
        <v>14220</v>
      </c>
      <c r="F18354" t="s">
        <v>17123</v>
      </c>
      <c r="G18354" t="s">
        <v>19246</v>
      </c>
      <c r="H18354" t="s">
        <v>25917</v>
      </c>
      <c r="I18354" t="s">
        <v>1358</v>
      </c>
      <c r="J18354" t="s">
        <v>1358</v>
      </c>
      <c r="K18354" t="s">
        <v>1358</v>
      </c>
      <c r="L18354" t="s">
        <v>1358</v>
      </c>
    </row>
    <row r="18355" spans="1:13">
      <c r="H18355" t="s">
        <v>25918</v>
      </c>
      <c r="I18355" t="s">
        <v>1357</v>
      </c>
      <c r="J18355" t="s">
        <v>1357</v>
      </c>
      <c r="K18355" t="s">
        <v>1357</v>
      </c>
      <c r="L18355" t="s">
        <v>1357</v>
      </c>
    </row>
    <row r="18356" spans="1:13">
      <c r="A18356" t="s">
        <v>11712</v>
      </c>
      <c r="B18356">
        <f>HYPERLINK("https://android.googlesource.com/platform/cts/+/720457d8b2b6d6d57d553155d28062d43c42b2d4", "720457d8b2b6d6d57d553155d28062d43c42b2d4")</f>
        <v>0</v>
      </c>
      <c r="C18356">
        <f>HYPERLINK("https://android.googlesource.com/platform/cts/+/0703bb7a2bb2a62b5bb54ac6c6ac443101c658db", "0703bb7a2bb2a62b5bb54ac6c6ac443101c658db")</f>
        <v>0</v>
      </c>
      <c r="D18356" t="s">
        <v>12272</v>
      </c>
      <c r="E18356" t="s">
        <v>14221</v>
      </c>
      <c r="F18356" t="s">
        <v>17088</v>
      </c>
      <c r="G18356" t="s">
        <v>19682</v>
      </c>
      <c r="H18356" t="s">
        <v>25725</v>
      </c>
      <c r="I18356" t="s">
        <v>1357</v>
      </c>
      <c r="J18356" t="s">
        <v>1357</v>
      </c>
      <c r="K18356" t="s">
        <v>1357</v>
      </c>
      <c r="L18356" t="s">
        <v>1357</v>
      </c>
      <c r="M18356" t="s">
        <v>27499</v>
      </c>
    </row>
    <row r="18357" spans="1:13">
      <c r="H18357" t="s">
        <v>25726</v>
      </c>
      <c r="I18357" t="s">
        <v>1357</v>
      </c>
      <c r="J18357" t="s">
        <v>1357</v>
      </c>
      <c r="K18357" t="s">
        <v>1357</v>
      </c>
      <c r="L18357" t="s">
        <v>1357</v>
      </c>
    </row>
    <row r="18358" spans="1:13">
      <c r="H18358" t="s">
        <v>25727</v>
      </c>
      <c r="I18358" t="s">
        <v>1357</v>
      </c>
      <c r="J18358" t="s">
        <v>1357</v>
      </c>
      <c r="K18358" t="s">
        <v>1357</v>
      </c>
      <c r="L18358" t="s">
        <v>1357</v>
      </c>
    </row>
    <row r="18359" spans="1:13">
      <c r="H18359" t="s">
        <v>25728</v>
      </c>
      <c r="I18359" t="s">
        <v>1357</v>
      </c>
      <c r="J18359" t="s">
        <v>1357</v>
      </c>
      <c r="K18359" t="s">
        <v>1357</v>
      </c>
      <c r="L18359" t="s">
        <v>1357</v>
      </c>
    </row>
    <row r="18360" spans="1:13">
      <c r="F18360" t="s">
        <v>17089</v>
      </c>
      <c r="G18360" t="s">
        <v>19683</v>
      </c>
      <c r="H18360" t="s">
        <v>25729</v>
      </c>
      <c r="I18360" t="s">
        <v>1357</v>
      </c>
      <c r="J18360" t="s">
        <v>1357</v>
      </c>
      <c r="K18360" t="s">
        <v>1357</v>
      </c>
      <c r="L18360" t="s">
        <v>1357</v>
      </c>
    </row>
    <row r="18361" spans="1:13">
      <c r="H18361" t="s">
        <v>25730</v>
      </c>
      <c r="I18361" t="s">
        <v>1357</v>
      </c>
      <c r="J18361" t="s">
        <v>1357</v>
      </c>
      <c r="K18361" t="s">
        <v>1357</v>
      </c>
      <c r="L18361" t="s">
        <v>1357</v>
      </c>
    </row>
    <row r="18362" spans="1:13">
      <c r="A18362" t="s">
        <v>11713</v>
      </c>
      <c r="B18362">
        <f>HYPERLINK("https://android.googlesource.com/platform/cts/+/8c62a604f50b975c4a80ea0d4a0015a89d73c074", "8c62a604f50b975c4a80ea0d4a0015a89d73c074")</f>
        <v>0</v>
      </c>
      <c r="C18362">
        <f>HYPERLINK("https://android.googlesource.com/platform/cts/+/d69c7d3193f631796241195d7bf40d3beac4871e", "d69c7d3193f631796241195d7bf40d3beac4871e")</f>
        <v>0</v>
      </c>
      <c r="D18362" t="s">
        <v>12460</v>
      </c>
      <c r="E18362" t="s">
        <v>14222</v>
      </c>
      <c r="F18362" t="s">
        <v>14491</v>
      </c>
      <c r="G18362" t="s">
        <v>17337</v>
      </c>
      <c r="H18362" t="s">
        <v>25919</v>
      </c>
      <c r="I18362" t="s">
        <v>1357</v>
      </c>
      <c r="J18362" t="s">
        <v>1357</v>
      </c>
      <c r="K18362" t="s">
        <v>1357</v>
      </c>
      <c r="L18362" t="s">
        <v>1357</v>
      </c>
    </row>
    <row r="18363" spans="1:13">
      <c r="A18363" t="s">
        <v>11714</v>
      </c>
      <c r="B18363">
        <f>HYPERLINK("https://android.googlesource.com/platform/cts/+/91b6c6ead2351220f97aef416f7a53dde3f81753", "91b6c6ead2351220f97aef416f7a53dde3f81753")</f>
        <v>0</v>
      </c>
      <c r="C18363">
        <f>HYPERLINK("https://android.googlesource.com/platform/cts/+/d573ace081783d694828d885c5ea30f1df08cdd9", "d573ace081783d694828d885c5ea30f1df08cdd9")</f>
        <v>0</v>
      </c>
      <c r="D18363" t="s">
        <v>12461</v>
      </c>
      <c r="E18363" t="s">
        <v>14223</v>
      </c>
      <c r="F18363" t="s">
        <v>16048</v>
      </c>
      <c r="G18363" t="s">
        <v>18739</v>
      </c>
      <c r="H18363" t="s">
        <v>25920</v>
      </c>
      <c r="I18363" t="s">
        <v>1357</v>
      </c>
      <c r="J18363" t="s">
        <v>1357</v>
      </c>
      <c r="K18363" t="s">
        <v>1357</v>
      </c>
      <c r="L18363" t="s">
        <v>1357</v>
      </c>
    </row>
    <row r="18364" spans="1:13">
      <c r="A18364" t="s">
        <v>11715</v>
      </c>
      <c r="B18364">
        <f>HYPERLINK("https://android.googlesource.com/platform/cts/+/e08e076a9150b382f759c9ca106f964955484218", "e08e076a9150b382f759c9ca106f964955484218")</f>
        <v>0</v>
      </c>
      <c r="C18364">
        <f>HYPERLINK("https://android.googlesource.com/platform/cts/+/a5b1318612630ac196503a94d9c5148e4d6fcf3a", "a5b1318612630ac196503a94d9c5148e4d6fcf3a")</f>
        <v>0</v>
      </c>
      <c r="D18364" t="s">
        <v>12457</v>
      </c>
      <c r="E18364" t="s">
        <v>14224</v>
      </c>
      <c r="F18364" t="s">
        <v>17124</v>
      </c>
      <c r="G18364" t="s">
        <v>19387</v>
      </c>
      <c r="H18364" t="s">
        <v>25921</v>
      </c>
      <c r="I18364" t="s">
        <v>1357</v>
      </c>
      <c r="J18364" t="s">
        <v>1357</v>
      </c>
      <c r="K18364" t="s">
        <v>1357</v>
      </c>
      <c r="L18364" t="s">
        <v>1357</v>
      </c>
    </row>
    <row r="18365" spans="1:13">
      <c r="A18365" t="s">
        <v>11716</v>
      </c>
      <c r="B18365">
        <f>HYPERLINK("https://android.googlesource.com/platform/cts/+/c18966e88504e6a6127fdac0e81cd907044f68ce", "c18966e88504e6a6127fdac0e81cd907044f68ce")</f>
        <v>0</v>
      </c>
      <c r="C18365">
        <f>HYPERLINK("https://android.googlesource.com/platform/cts/+/6f42ca0090b72ad3c8c2597f4c86aaa91b8c03ab", "6f42ca0090b72ad3c8c2597f4c86aaa91b8c03ab")</f>
        <v>0</v>
      </c>
      <c r="D18365" t="s">
        <v>12340</v>
      </c>
      <c r="E18365" t="s">
        <v>14225</v>
      </c>
      <c r="F18365" t="s">
        <v>17110</v>
      </c>
      <c r="G18365" t="s">
        <v>19702</v>
      </c>
      <c r="H18365" t="s">
        <v>8479</v>
      </c>
      <c r="I18365" t="s">
        <v>1358</v>
      </c>
      <c r="J18365" t="s">
        <v>1358</v>
      </c>
      <c r="K18365" t="s">
        <v>1358</v>
      </c>
      <c r="L18365" t="s">
        <v>1358</v>
      </c>
      <c r="M18365" t="s">
        <v>27499</v>
      </c>
    </row>
    <row r="18366" spans="1:13">
      <c r="A18366" t="s">
        <v>11717</v>
      </c>
      <c r="B18366">
        <f>HYPERLINK("https://android.googlesource.com/platform/cts/+/e0d3ae4b5e0c4224dcfb615d44f8b4ebe23edfbe", "e0d3ae4b5e0c4224dcfb615d44f8b4ebe23edfbe")</f>
        <v>0</v>
      </c>
      <c r="C18366">
        <f>HYPERLINK("https://android.googlesource.com/platform/cts/+/052c74c16c5c0a4ad0d857b3ad7401a8b4efa23a", "052c74c16c5c0a4ad0d857b3ad7401a8b4efa23a")</f>
        <v>0</v>
      </c>
      <c r="D18366" t="s">
        <v>12458</v>
      </c>
      <c r="E18366" t="s">
        <v>14226</v>
      </c>
      <c r="F18366" t="s">
        <v>17125</v>
      </c>
      <c r="G18366" t="s">
        <v>19714</v>
      </c>
      <c r="H18366" t="s">
        <v>25922</v>
      </c>
      <c r="I18366" t="s">
        <v>1358</v>
      </c>
      <c r="J18366" t="s">
        <v>1358</v>
      </c>
      <c r="K18366" t="s">
        <v>1358</v>
      </c>
      <c r="L18366" t="s">
        <v>1358</v>
      </c>
    </row>
    <row r="18367" spans="1:13">
      <c r="A18367" t="s">
        <v>11718</v>
      </c>
      <c r="B18367">
        <f>HYPERLINK("https://android.googlesource.com/platform/cts/+/aa8eb177ed11b321be3581ad93ca356531e5fe19", "aa8eb177ed11b321be3581ad93ca356531e5fe19")</f>
        <v>0</v>
      </c>
      <c r="C18367">
        <f>HYPERLINK("https://android.googlesource.com/platform/cts/+/696ee033f29f135a22f16e8b0f8349314dda4244", "696ee033f29f135a22f16e8b0f8349314dda4244")</f>
        <v>0</v>
      </c>
      <c r="D18367" t="s">
        <v>12393</v>
      </c>
      <c r="E18367" t="s">
        <v>14227</v>
      </c>
      <c r="F18367" t="s">
        <v>17096</v>
      </c>
      <c r="G18367" t="s">
        <v>19690</v>
      </c>
      <c r="H18367" t="s">
        <v>25923</v>
      </c>
      <c r="I18367" t="s">
        <v>1357</v>
      </c>
      <c r="J18367" t="s">
        <v>1357</v>
      </c>
      <c r="K18367" t="s">
        <v>1357</v>
      </c>
      <c r="L18367" t="s">
        <v>1357</v>
      </c>
    </row>
    <row r="18368" spans="1:13">
      <c r="H18368" t="s">
        <v>25797</v>
      </c>
      <c r="I18368" t="s">
        <v>1357</v>
      </c>
      <c r="J18368" t="s">
        <v>1357</v>
      </c>
      <c r="K18368" t="s">
        <v>1357</v>
      </c>
      <c r="L18368" t="s">
        <v>1357</v>
      </c>
    </row>
    <row r="18369" spans="1:14">
      <c r="F18369" t="s">
        <v>17097</v>
      </c>
      <c r="G18369" t="s">
        <v>19653</v>
      </c>
      <c r="H18369" t="s">
        <v>25924</v>
      </c>
      <c r="I18369" t="s">
        <v>1357</v>
      </c>
      <c r="J18369" t="s">
        <v>1357</v>
      </c>
      <c r="K18369" t="s">
        <v>1357</v>
      </c>
      <c r="L18369" t="s">
        <v>1357</v>
      </c>
    </row>
    <row r="18370" spans="1:14">
      <c r="H18370" t="s">
        <v>25925</v>
      </c>
      <c r="I18370" t="s">
        <v>1357</v>
      </c>
      <c r="J18370" t="s">
        <v>1357</v>
      </c>
      <c r="K18370" t="s">
        <v>1357</v>
      </c>
      <c r="L18370" t="s">
        <v>1357</v>
      </c>
    </row>
    <row r="18371" spans="1:14">
      <c r="H18371" t="s">
        <v>25798</v>
      </c>
      <c r="I18371" t="s">
        <v>1357</v>
      </c>
      <c r="J18371" t="s">
        <v>1357</v>
      </c>
      <c r="K18371" t="s">
        <v>1357</v>
      </c>
      <c r="L18371" t="s">
        <v>1357</v>
      </c>
    </row>
    <row r="18372" spans="1:14">
      <c r="A18372" t="s">
        <v>11719</v>
      </c>
      <c r="B18372">
        <f>HYPERLINK("https://android.googlesource.com/platform/cts/+/493aaa7ab7cfcca86c8434798fd722a3eb453d34", "493aaa7ab7cfcca86c8434798fd722a3eb453d34")</f>
        <v>0</v>
      </c>
      <c r="C18372">
        <f>HYPERLINK("https://android.googlesource.com/platform/cts/+/df132c09aa90d8d490e91fee14d14bd4a4dd568b", "df132c09aa90d8d490e91fee14d14bd4a4dd568b")</f>
        <v>0</v>
      </c>
      <c r="D18372" t="s">
        <v>12393</v>
      </c>
      <c r="E18372" t="s">
        <v>14228</v>
      </c>
      <c r="F18372" t="s">
        <v>17096</v>
      </c>
      <c r="G18372" t="s">
        <v>19690</v>
      </c>
      <c r="H18372" t="s">
        <v>25923</v>
      </c>
      <c r="I18372" t="s">
        <v>1357</v>
      </c>
      <c r="J18372" t="s">
        <v>1357</v>
      </c>
      <c r="K18372" t="s">
        <v>1357</v>
      </c>
      <c r="L18372" t="s">
        <v>1357</v>
      </c>
    </row>
    <row r="18373" spans="1:14">
      <c r="H18373" t="s">
        <v>25797</v>
      </c>
      <c r="I18373" t="s">
        <v>1357</v>
      </c>
      <c r="J18373" t="s">
        <v>1357</v>
      </c>
      <c r="K18373" t="s">
        <v>1357</v>
      </c>
      <c r="L18373" t="s">
        <v>1357</v>
      </c>
      <c r="M18373" t="s">
        <v>27499</v>
      </c>
    </row>
    <row r="18374" spans="1:14">
      <c r="F18374" t="s">
        <v>17097</v>
      </c>
      <c r="G18374" t="s">
        <v>19653</v>
      </c>
      <c r="H18374" t="s">
        <v>25924</v>
      </c>
      <c r="I18374" t="s">
        <v>1357</v>
      </c>
      <c r="J18374" t="s">
        <v>1357</v>
      </c>
      <c r="K18374" t="s">
        <v>1357</v>
      </c>
      <c r="L18374" t="s">
        <v>1357</v>
      </c>
    </row>
    <row r="18375" spans="1:14">
      <c r="H18375" t="s">
        <v>25925</v>
      </c>
      <c r="I18375" t="s">
        <v>1357</v>
      </c>
      <c r="J18375" t="s">
        <v>1357</v>
      </c>
      <c r="K18375" t="s">
        <v>1357</v>
      </c>
      <c r="L18375" t="s">
        <v>1357</v>
      </c>
    </row>
    <row r="18376" spans="1:14">
      <c r="H18376" t="s">
        <v>25798</v>
      </c>
      <c r="I18376" t="s">
        <v>1357</v>
      </c>
      <c r="J18376" t="s">
        <v>1357</v>
      </c>
      <c r="K18376" t="s">
        <v>1357</v>
      </c>
      <c r="L18376" t="s">
        <v>1357</v>
      </c>
    </row>
    <row r="18377" spans="1:14">
      <c r="A18377" t="s">
        <v>11720</v>
      </c>
      <c r="B18377">
        <f>HYPERLINK("https://android.googlesource.com/platform/cts/+/8746cf43fc15e57145b0b0fe82023ed8fb942f82", "8746cf43fc15e57145b0b0fe82023ed8fb942f82")</f>
        <v>0</v>
      </c>
      <c r="C18377">
        <f>HYPERLINK("https://android.googlesource.com/platform/cts/+/d8c72027aacb89e8ab4a3e37b81c22044c2ef001", "d8c72027aacb89e8ab4a3e37b81c22044c2ef001")</f>
        <v>0</v>
      </c>
      <c r="D18377" t="s">
        <v>12306</v>
      </c>
      <c r="E18377" t="s">
        <v>14229</v>
      </c>
      <c r="F18377" t="s">
        <v>17019</v>
      </c>
      <c r="G18377" t="s">
        <v>19620</v>
      </c>
      <c r="H18377" t="s">
        <v>25926</v>
      </c>
      <c r="I18377" t="s">
        <v>1359</v>
      </c>
      <c r="J18377" t="s">
        <v>1357</v>
      </c>
      <c r="K18377" t="s">
        <v>1357</v>
      </c>
      <c r="L18377" t="s">
        <v>1358</v>
      </c>
      <c r="N18377" t="s">
        <v>27539</v>
      </c>
    </row>
    <row r="18378" spans="1:14">
      <c r="H18378" t="s">
        <v>25927</v>
      </c>
      <c r="I18378" t="s">
        <v>1359</v>
      </c>
      <c r="J18378" t="s">
        <v>1357</v>
      </c>
      <c r="K18378" t="s">
        <v>1357</v>
      </c>
      <c r="L18378" t="s">
        <v>1358</v>
      </c>
      <c r="N18378" t="s">
        <v>27540</v>
      </c>
    </row>
    <row r="18379" spans="1:14">
      <c r="H18379" t="s">
        <v>25928</v>
      </c>
      <c r="I18379" t="s">
        <v>1359</v>
      </c>
      <c r="J18379" t="s">
        <v>1357</v>
      </c>
      <c r="K18379" t="s">
        <v>1357</v>
      </c>
      <c r="L18379" t="s">
        <v>1358</v>
      </c>
      <c r="N18379" t="s">
        <v>27541</v>
      </c>
    </row>
    <row r="18380" spans="1:14">
      <c r="H18380" t="s">
        <v>25929</v>
      </c>
      <c r="I18380" t="s">
        <v>1358</v>
      </c>
      <c r="J18380" t="s">
        <v>1358</v>
      </c>
      <c r="K18380" t="s">
        <v>1358</v>
      </c>
      <c r="L18380" t="s">
        <v>1358</v>
      </c>
    </row>
    <row r="18381" spans="1:14">
      <c r="H18381" t="s">
        <v>25930</v>
      </c>
      <c r="I18381" t="s">
        <v>1358</v>
      </c>
      <c r="J18381" t="s">
        <v>1358</v>
      </c>
      <c r="K18381" t="s">
        <v>1358</v>
      </c>
      <c r="L18381" t="s">
        <v>1358</v>
      </c>
    </row>
    <row r="18382" spans="1:14">
      <c r="H18382" t="s">
        <v>25931</v>
      </c>
      <c r="I18382" t="s">
        <v>1358</v>
      </c>
      <c r="J18382" t="s">
        <v>1358</v>
      </c>
      <c r="K18382" t="s">
        <v>1358</v>
      </c>
      <c r="L18382" t="s">
        <v>1358</v>
      </c>
    </row>
    <row r="18383" spans="1:14">
      <c r="H18383" t="s">
        <v>25932</v>
      </c>
      <c r="I18383" t="s">
        <v>1358</v>
      </c>
      <c r="J18383" t="s">
        <v>1358</v>
      </c>
      <c r="K18383" t="s">
        <v>1358</v>
      </c>
      <c r="L18383" t="s">
        <v>1358</v>
      </c>
    </row>
    <row r="18384" spans="1:14">
      <c r="H18384" t="s">
        <v>25933</v>
      </c>
      <c r="I18384" t="s">
        <v>1358</v>
      </c>
      <c r="J18384" t="s">
        <v>1358</v>
      </c>
      <c r="K18384" t="s">
        <v>1358</v>
      </c>
      <c r="L18384" t="s">
        <v>1358</v>
      </c>
    </row>
    <row r="18385" spans="1:13">
      <c r="H18385" t="s">
        <v>25934</v>
      </c>
      <c r="I18385" t="s">
        <v>1358</v>
      </c>
      <c r="J18385" t="s">
        <v>1358</v>
      </c>
      <c r="K18385" t="s">
        <v>1358</v>
      </c>
      <c r="L18385" t="s">
        <v>1358</v>
      </c>
    </row>
    <row r="18386" spans="1:13">
      <c r="H18386" t="s">
        <v>25935</v>
      </c>
      <c r="I18386" t="s">
        <v>1358</v>
      </c>
      <c r="J18386" t="s">
        <v>1358</v>
      </c>
      <c r="K18386" t="s">
        <v>1358</v>
      </c>
      <c r="L18386" t="s">
        <v>1358</v>
      </c>
    </row>
    <row r="18387" spans="1:13">
      <c r="H18387" t="s">
        <v>25936</v>
      </c>
      <c r="I18387" t="s">
        <v>1358</v>
      </c>
      <c r="J18387" t="s">
        <v>1358</v>
      </c>
      <c r="K18387" t="s">
        <v>1358</v>
      </c>
      <c r="L18387" t="s">
        <v>1358</v>
      </c>
    </row>
    <row r="18388" spans="1:13">
      <c r="F18388" t="s">
        <v>17121</v>
      </c>
      <c r="G18388" t="s">
        <v>19712</v>
      </c>
      <c r="H18388" t="s">
        <v>25937</v>
      </c>
      <c r="I18388" t="s">
        <v>1357</v>
      </c>
      <c r="J18388" t="s">
        <v>1357</v>
      </c>
      <c r="K18388" t="s">
        <v>1357</v>
      </c>
      <c r="L18388" t="s">
        <v>1357</v>
      </c>
    </row>
    <row r="18389" spans="1:13">
      <c r="H18389" t="s">
        <v>25938</v>
      </c>
      <c r="I18389" t="s">
        <v>1358</v>
      </c>
      <c r="J18389" t="s">
        <v>1358</v>
      </c>
      <c r="K18389" t="s">
        <v>1358</v>
      </c>
      <c r="L18389" t="s">
        <v>1358</v>
      </c>
    </row>
    <row r="18390" spans="1:13">
      <c r="F18390" t="s">
        <v>17126</v>
      </c>
      <c r="G18390" t="s">
        <v>19715</v>
      </c>
      <c r="H18390" t="s">
        <v>25939</v>
      </c>
      <c r="I18390" t="s">
        <v>1357</v>
      </c>
      <c r="J18390" t="s">
        <v>1357</v>
      </c>
      <c r="K18390" t="s">
        <v>1357</v>
      </c>
      <c r="L18390" t="s">
        <v>1357</v>
      </c>
    </row>
    <row r="18391" spans="1:13">
      <c r="A18391" t="s">
        <v>11721</v>
      </c>
      <c r="B18391">
        <f>HYPERLINK("https://android.googlesource.com/platform/cts/+/c0bd8f59e55e1484d52cf2331fbbae9b344bce39", "c0bd8f59e55e1484d52cf2331fbbae9b344bce39")</f>
        <v>0</v>
      </c>
      <c r="C18391">
        <f>HYPERLINK("https://android.googlesource.com/platform/cts/+/fcefd7cc31eb8c7e66caea789ffc43531e9b4fcb", "fcefd7cc31eb8c7e66caea789ffc43531e9b4fcb")</f>
        <v>0</v>
      </c>
      <c r="D18391" t="s">
        <v>12414</v>
      </c>
      <c r="E18391" t="s">
        <v>14230</v>
      </c>
      <c r="F18391" t="s">
        <v>17010</v>
      </c>
      <c r="G18391" t="s">
        <v>19612</v>
      </c>
      <c r="H18391" t="s">
        <v>25940</v>
      </c>
      <c r="I18391" t="s">
        <v>1357</v>
      </c>
      <c r="J18391" t="s">
        <v>1357</v>
      </c>
      <c r="K18391" t="s">
        <v>1357</v>
      </c>
      <c r="L18391" t="s">
        <v>1357</v>
      </c>
    </row>
    <row r="18392" spans="1:13">
      <c r="H18392" t="s">
        <v>25941</v>
      </c>
      <c r="I18392" t="s">
        <v>1357</v>
      </c>
      <c r="J18392" t="s">
        <v>1357</v>
      </c>
      <c r="K18392" t="s">
        <v>1357</v>
      </c>
      <c r="L18392" t="s">
        <v>1357</v>
      </c>
    </row>
    <row r="18393" spans="1:13">
      <c r="H18393" t="s">
        <v>25942</v>
      </c>
      <c r="I18393" t="s">
        <v>1357</v>
      </c>
      <c r="J18393" t="s">
        <v>1357</v>
      </c>
      <c r="K18393" t="s">
        <v>1357</v>
      </c>
      <c r="L18393" t="s">
        <v>1357</v>
      </c>
    </row>
    <row r="18394" spans="1:13">
      <c r="A18394" t="s">
        <v>11722</v>
      </c>
      <c r="B18394">
        <f>HYPERLINK("https://android.googlesource.com/platform/cts/+/6891a89454eac3e86b7d7b09d8d8f48955e39e0d", "6891a89454eac3e86b7d7b09d8d8f48955e39e0d")</f>
        <v>0</v>
      </c>
      <c r="C18394">
        <f>HYPERLINK("https://android.googlesource.com/platform/cts/+/445a77d404624b63e4f3272c57cda1a8384b1d61", "445a77d404624b63e4f3272c57cda1a8384b1d61")</f>
        <v>0</v>
      </c>
      <c r="D18394" t="s">
        <v>12462</v>
      </c>
      <c r="E18394" t="s">
        <v>14231</v>
      </c>
      <c r="F18394" t="s">
        <v>17127</v>
      </c>
      <c r="G18394" t="s">
        <v>19716</v>
      </c>
      <c r="H18394" t="s">
        <v>25943</v>
      </c>
      <c r="I18394" t="s">
        <v>1359</v>
      </c>
      <c r="J18394" t="s">
        <v>1358</v>
      </c>
      <c r="K18394" t="s">
        <v>1357</v>
      </c>
      <c r="L18394" t="s">
        <v>1358</v>
      </c>
    </row>
    <row r="18395" spans="1:13">
      <c r="H18395" t="s">
        <v>25944</v>
      </c>
      <c r="I18395" t="s">
        <v>1359</v>
      </c>
      <c r="J18395" t="s">
        <v>1357</v>
      </c>
      <c r="K18395" t="s">
        <v>1357</v>
      </c>
      <c r="L18395" t="s">
        <v>1358</v>
      </c>
    </row>
    <row r="18396" spans="1:13">
      <c r="H18396" t="s">
        <v>25945</v>
      </c>
      <c r="I18396" t="s">
        <v>1359</v>
      </c>
      <c r="J18396" t="s">
        <v>1358</v>
      </c>
      <c r="K18396" t="s">
        <v>1357</v>
      </c>
      <c r="L18396" t="s">
        <v>1358</v>
      </c>
    </row>
    <row r="18397" spans="1:13">
      <c r="H18397" t="s">
        <v>25946</v>
      </c>
      <c r="I18397" t="s">
        <v>1359</v>
      </c>
      <c r="J18397" t="s">
        <v>1358</v>
      </c>
      <c r="K18397" t="s">
        <v>1357</v>
      </c>
      <c r="L18397" t="s">
        <v>1358</v>
      </c>
    </row>
    <row r="18398" spans="1:13">
      <c r="H18398" t="s">
        <v>25947</v>
      </c>
      <c r="I18398" t="s">
        <v>1359</v>
      </c>
      <c r="J18398" t="s">
        <v>1358</v>
      </c>
      <c r="K18398" t="s">
        <v>1357</v>
      </c>
      <c r="L18398" t="s">
        <v>1358</v>
      </c>
      <c r="M18398" t="s">
        <v>1361</v>
      </c>
    </row>
    <row r="18399" spans="1:13">
      <c r="H18399" t="s">
        <v>25948</v>
      </c>
      <c r="I18399" t="s">
        <v>1359</v>
      </c>
      <c r="J18399" t="s">
        <v>1358</v>
      </c>
      <c r="K18399" t="s">
        <v>1357</v>
      </c>
      <c r="L18399" t="s">
        <v>1358</v>
      </c>
    </row>
    <row r="18400" spans="1:13">
      <c r="H18400" t="s">
        <v>25949</v>
      </c>
      <c r="I18400" t="s">
        <v>1358</v>
      </c>
      <c r="J18400" t="s">
        <v>1358</v>
      </c>
      <c r="K18400" t="s">
        <v>1358</v>
      </c>
      <c r="L18400" t="s">
        <v>1358</v>
      </c>
    </row>
    <row r="18401" spans="1:13">
      <c r="H18401" t="s">
        <v>25950</v>
      </c>
      <c r="I18401" t="s">
        <v>1358</v>
      </c>
      <c r="J18401" t="s">
        <v>1358</v>
      </c>
      <c r="K18401" t="s">
        <v>1358</v>
      </c>
      <c r="L18401" t="s">
        <v>1358</v>
      </c>
    </row>
    <row r="18402" spans="1:13">
      <c r="A18402" t="s">
        <v>11723</v>
      </c>
      <c r="B18402">
        <f>HYPERLINK("https://android.googlesource.com/platform/cts/+/4fdb202d2a817a66ec183f153d016786a0128ef2", "4fdb202d2a817a66ec183f153d016786a0128ef2")</f>
        <v>0</v>
      </c>
      <c r="C18402">
        <f>HYPERLINK("https://android.googlesource.com/platform/cts/+/4317d82bf0075c41e90c6f666e42523ab5616f8a", "4317d82bf0075c41e90c6f666e42523ab5616f8a")</f>
        <v>0</v>
      </c>
      <c r="D18402" t="s">
        <v>12385</v>
      </c>
      <c r="E18402" t="s">
        <v>14232</v>
      </c>
      <c r="F18402" t="s">
        <v>16810</v>
      </c>
      <c r="G18402" t="s">
        <v>19430</v>
      </c>
      <c r="H18402" t="s">
        <v>25820</v>
      </c>
      <c r="I18402" t="s">
        <v>1357</v>
      </c>
      <c r="J18402" t="s">
        <v>1357</v>
      </c>
      <c r="K18402" t="s">
        <v>1357</v>
      </c>
      <c r="L18402" t="s">
        <v>1357</v>
      </c>
    </row>
    <row r="18403" spans="1:13">
      <c r="A18403" t="s">
        <v>11724</v>
      </c>
      <c r="B18403">
        <f>HYPERLINK("https://android.googlesource.com/platform/cts/+/f86a88f62bb8f22de60202cd2932d41da2974024", "f86a88f62bb8f22de60202cd2932d41da2974024")</f>
        <v>0</v>
      </c>
      <c r="C18403">
        <f>HYPERLINK("https://android.googlesource.com/platform/cts/+/33ad3e3be507eb5dc60d73acc006fc4cb73b58f7", "33ad3e3be507eb5dc60d73acc006fc4cb73b58f7")</f>
        <v>0</v>
      </c>
      <c r="D18403" t="s">
        <v>12463</v>
      </c>
      <c r="E18403" t="s">
        <v>14233</v>
      </c>
      <c r="F18403" t="s">
        <v>14533</v>
      </c>
      <c r="G18403" t="s">
        <v>17378</v>
      </c>
      <c r="H18403" t="s">
        <v>25951</v>
      </c>
      <c r="I18403" t="s">
        <v>1357</v>
      </c>
      <c r="J18403" t="s">
        <v>1357</v>
      </c>
      <c r="K18403" t="s">
        <v>1357</v>
      </c>
      <c r="L18403" t="s">
        <v>1357</v>
      </c>
    </row>
    <row r="18404" spans="1:13">
      <c r="A18404" t="s">
        <v>11725</v>
      </c>
      <c r="B18404">
        <f>HYPERLINK("https://android.googlesource.com/platform/cts/+/cc9217d6b98985155ee2f7a64c173649302e4085", "cc9217d6b98985155ee2f7a64c173649302e4085")</f>
        <v>0</v>
      </c>
      <c r="C18404">
        <f>HYPERLINK("https://android.googlesource.com/platform/cts/+/43616b074cd9008a17652cf0baf4dd145f93850d", "43616b074cd9008a17652cf0baf4dd145f93850d")</f>
        <v>0</v>
      </c>
      <c r="D18404" t="s">
        <v>12323</v>
      </c>
      <c r="E18404" t="s">
        <v>14234</v>
      </c>
      <c r="F18404" t="s">
        <v>17119</v>
      </c>
      <c r="G18404" t="s">
        <v>19710</v>
      </c>
      <c r="H18404" t="s">
        <v>25901</v>
      </c>
      <c r="I18404" t="s">
        <v>1357</v>
      </c>
      <c r="J18404" t="s">
        <v>1357</v>
      </c>
      <c r="K18404" t="s">
        <v>1357</v>
      </c>
      <c r="L18404" t="s">
        <v>1357</v>
      </c>
    </row>
    <row r="18405" spans="1:13">
      <c r="A18405" t="s">
        <v>11726</v>
      </c>
      <c r="B18405">
        <f>HYPERLINK("https://android.googlesource.com/platform/cts/+/cda88f95929b2109437ab16e5a00142f784678fe", "cda88f95929b2109437ab16e5a00142f784678fe")</f>
        <v>0</v>
      </c>
      <c r="C18405">
        <f>HYPERLINK("https://android.googlesource.com/platform/cts/+/f1b0d10eb9fd0ba811e2730928c3167aaf1c180e", "f1b0d10eb9fd0ba811e2730928c3167aaf1c180e")</f>
        <v>0</v>
      </c>
      <c r="D18405" t="s">
        <v>12464</v>
      </c>
      <c r="E18405" t="s">
        <v>14235</v>
      </c>
      <c r="F18405" t="s">
        <v>17128</v>
      </c>
      <c r="G18405" t="s">
        <v>19717</v>
      </c>
      <c r="H18405" t="s">
        <v>25952</v>
      </c>
      <c r="I18405" t="s">
        <v>1357</v>
      </c>
      <c r="J18405" t="s">
        <v>1357</v>
      </c>
      <c r="K18405" t="s">
        <v>1357</v>
      </c>
      <c r="L18405" t="s">
        <v>1357</v>
      </c>
    </row>
    <row r="18406" spans="1:13">
      <c r="F18406" t="s">
        <v>17129</v>
      </c>
      <c r="G18406" t="s">
        <v>19718</v>
      </c>
      <c r="H18406" t="s">
        <v>25952</v>
      </c>
      <c r="I18406" t="s">
        <v>1357</v>
      </c>
      <c r="J18406" t="s">
        <v>1357</v>
      </c>
      <c r="K18406" t="s">
        <v>1357</v>
      </c>
      <c r="L18406" t="s">
        <v>1357</v>
      </c>
    </row>
    <row r="18407" spans="1:13">
      <c r="F18407" t="s">
        <v>17130</v>
      </c>
      <c r="G18407" t="s">
        <v>19719</v>
      </c>
      <c r="H18407" t="s">
        <v>25953</v>
      </c>
      <c r="I18407" t="s">
        <v>1357</v>
      </c>
      <c r="J18407" t="s">
        <v>1357</v>
      </c>
      <c r="K18407" t="s">
        <v>1357</v>
      </c>
      <c r="L18407" t="s">
        <v>1357</v>
      </c>
    </row>
    <row r="18408" spans="1:13">
      <c r="H18408" t="s">
        <v>25954</v>
      </c>
      <c r="I18408" t="s">
        <v>1357</v>
      </c>
      <c r="J18408" t="s">
        <v>1357</v>
      </c>
      <c r="K18408" t="s">
        <v>1357</v>
      </c>
      <c r="L18408" t="s">
        <v>1357</v>
      </c>
    </row>
    <row r="18409" spans="1:13">
      <c r="A18409" t="s">
        <v>11727</v>
      </c>
      <c r="B18409">
        <f>HYPERLINK("https://android.googlesource.com/platform/cts/+/1037d0c4ff94272e92163fe0a34c5d2d4e1df426", "1037d0c4ff94272e92163fe0a34c5d2d4e1df426")</f>
        <v>0</v>
      </c>
      <c r="C18409">
        <f>HYPERLINK("https://android.googlesource.com/platform/cts/+/24278a9a5563b694edeaf2714c0cb309048994dc", "24278a9a5563b694edeaf2714c0cb309048994dc")</f>
        <v>0</v>
      </c>
      <c r="D18409" t="s">
        <v>12306</v>
      </c>
      <c r="E18409" t="s">
        <v>14236</v>
      </c>
      <c r="F18409" t="s">
        <v>17131</v>
      </c>
      <c r="G18409" t="s">
        <v>19720</v>
      </c>
      <c r="H18409" t="s">
        <v>25955</v>
      </c>
      <c r="I18409" t="s">
        <v>1358</v>
      </c>
      <c r="J18409" t="s">
        <v>1358</v>
      </c>
      <c r="K18409" t="s">
        <v>1358</v>
      </c>
      <c r="L18409" t="s">
        <v>1358</v>
      </c>
    </row>
    <row r="18410" spans="1:13">
      <c r="H18410" t="s">
        <v>25956</v>
      </c>
      <c r="I18410" t="s">
        <v>1357</v>
      </c>
      <c r="J18410" t="s">
        <v>1357</v>
      </c>
      <c r="K18410" t="s">
        <v>1357</v>
      </c>
      <c r="L18410" t="s">
        <v>1357</v>
      </c>
    </row>
    <row r="18411" spans="1:13">
      <c r="F18411" t="s">
        <v>16999</v>
      </c>
      <c r="G18411" t="s">
        <v>19602</v>
      </c>
      <c r="H18411" t="s">
        <v>25957</v>
      </c>
      <c r="I18411" t="s">
        <v>1357</v>
      </c>
      <c r="J18411" t="s">
        <v>1357</v>
      </c>
      <c r="K18411" t="s">
        <v>1357</v>
      </c>
      <c r="L18411" t="s">
        <v>1357</v>
      </c>
    </row>
    <row r="18412" spans="1:13">
      <c r="H18412" t="s">
        <v>25958</v>
      </c>
      <c r="I18412" t="s">
        <v>1357</v>
      </c>
      <c r="J18412" t="s">
        <v>1357</v>
      </c>
      <c r="K18412" t="s">
        <v>1357</v>
      </c>
      <c r="L18412" t="s">
        <v>1357</v>
      </c>
    </row>
    <row r="18413" spans="1:13">
      <c r="H18413" t="s">
        <v>25959</v>
      </c>
      <c r="I18413" t="s">
        <v>1358</v>
      </c>
      <c r="J18413" t="s">
        <v>1358</v>
      </c>
      <c r="K18413" t="s">
        <v>1358</v>
      </c>
      <c r="L18413" t="s">
        <v>1358</v>
      </c>
    </row>
    <row r="18414" spans="1:13">
      <c r="H18414" t="s">
        <v>25960</v>
      </c>
      <c r="I18414" t="s">
        <v>1357</v>
      </c>
      <c r="J18414" t="s">
        <v>1357</v>
      </c>
      <c r="K18414" t="s">
        <v>1357</v>
      </c>
      <c r="L18414" t="s">
        <v>1357</v>
      </c>
    </row>
    <row r="18415" spans="1:13">
      <c r="H18415" t="s">
        <v>25961</v>
      </c>
      <c r="I18415" t="s">
        <v>1358</v>
      </c>
      <c r="J18415" t="s">
        <v>1358</v>
      </c>
      <c r="K18415" t="s">
        <v>1358</v>
      </c>
      <c r="L18415" t="s">
        <v>1358</v>
      </c>
    </row>
    <row r="18416" spans="1:13">
      <c r="H18416" t="s">
        <v>25962</v>
      </c>
      <c r="I18416" t="s">
        <v>1357</v>
      </c>
      <c r="J18416" t="s">
        <v>1357</v>
      </c>
      <c r="K18416" t="s">
        <v>1357</v>
      </c>
      <c r="L18416" t="s">
        <v>1357</v>
      </c>
      <c r="M18416" t="s">
        <v>1361</v>
      </c>
    </row>
    <row r="18417" spans="1:12">
      <c r="H18417" t="s">
        <v>25963</v>
      </c>
      <c r="I18417" t="s">
        <v>1357</v>
      </c>
      <c r="J18417" t="s">
        <v>1357</v>
      </c>
      <c r="K18417" t="s">
        <v>1357</v>
      </c>
      <c r="L18417" t="s">
        <v>1357</v>
      </c>
    </row>
    <row r="18418" spans="1:12">
      <c r="H18418" t="s">
        <v>25964</v>
      </c>
      <c r="I18418" t="s">
        <v>1357</v>
      </c>
      <c r="J18418" t="s">
        <v>1357</v>
      </c>
      <c r="K18418" t="s">
        <v>1357</v>
      </c>
      <c r="L18418" t="s">
        <v>1357</v>
      </c>
    </row>
    <row r="18419" spans="1:12">
      <c r="H18419" t="s">
        <v>25965</v>
      </c>
      <c r="I18419" t="s">
        <v>1357</v>
      </c>
      <c r="J18419" t="s">
        <v>1357</v>
      </c>
      <c r="K18419" t="s">
        <v>1357</v>
      </c>
      <c r="L18419" t="s">
        <v>1357</v>
      </c>
    </row>
    <row r="18420" spans="1:12">
      <c r="H18420" t="s">
        <v>25966</v>
      </c>
      <c r="I18420" t="s">
        <v>1357</v>
      </c>
      <c r="J18420" t="s">
        <v>1357</v>
      </c>
      <c r="K18420" t="s">
        <v>1357</v>
      </c>
      <c r="L18420" t="s">
        <v>1357</v>
      </c>
    </row>
    <row r="18421" spans="1:12">
      <c r="H18421" t="s">
        <v>25967</v>
      </c>
      <c r="I18421" t="s">
        <v>1357</v>
      </c>
      <c r="J18421" t="s">
        <v>1357</v>
      </c>
      <c r="K18421" t="s">
        <v>1357</v>
      </c>
      <c r="L18421" t="s">
        <v>1357</v>
      </c>
    </row>
    <row r="18422" spans="1:12">
      <c r="H18422" t="s">
        <v>25968</v>
      </c>
      <c r="I18422" t="s">
        <v>1357</v>
      </c>
      <c r="J18422" t="s">
        <v>1357</v>
      </c>
      <c r="K18422" t="s">
        <v>1357</v>
      </c>
      <c r="L18422" t="s">
        <v>1357</v>
      </c>
    </row>
    <row r="18423" spans="1:12">
      <c r="H18423" t="s">
        <v>25969</v>
      </c>
      <c r="I18423" t="s">
        <v>1358</v>
      </c>
      <c r="J18423" t="s">
        <v>1358</v>
      </c>
      <c r="K18423" t="s">
        <v>1358</v>
      </c>
      <c r="L18423" t="s">
        <v>1358</v>
      </c>
    </row>
    <row r="18424" spans="1:12">
      <c r="A18424" t="s">
        <v>11728</v>
      </c>
      <c r="B18424">
        <f>HYPERLINK("https://android.googlesource.com/platform/cts/+/966f8171b9baef889ff9aef096174a42d7263348", "966f8171b9baef889ff9aef096174a42d7263348")</f>
        <v>0</v>
      </c>
      <c r="C18424">
        <f>HYPERLINK("https://android.googlesource.com/platform/cts/+/2412d99bff0623939582be5b8022d616307da6d8", "2412d99bff0623939582be5b8022d616307da6d8")</f>
        <v>0</v>
      </c>
      <c r="D18424" t="s">
        <v>12306</v>
      </c>
      <c r="E18424" t="s">
        <v>14237</v>
      </c>
      <c r="F18424" t="s">
        <v>16818</v>
      </c>
      <c r="G18424" t="s">
        <v>19437</v>
      </c>
      <c r="H18424" t="s">
        <v>25970</v>
      </c>
      <c r="I18424" t="s">
        <v>1359</v>
      </c>
      <c r="J18424" t="s">
        <v>1358</v>
      </c>
      <c r="K18424" t="s">
        <v>1357</v>
      </c>
      <c r="L18424" t="s">
        <v>1358</v>
      </c>
    </row>
    <row r="18425" spans="1:12">
      <c r="H18425" t="s">
        <v>25971</v>
      </c>
      <c r="I18425" t="s">
        <v>1359</v>
      </c>
      <c r="J18425" t="s">
        <v>1358</v>
      </c>
      <c r="K18425" t="s">
        <v>1357</v>
      </c>
      <c r="L18425" t="s">
        <v>1358</v>
      </c>
    </row>
    <row r="18426" spans="1:12">
      <c r="H18426" t="s">
        <v>25972</v>
      </c>
      <c r="I18426" t="s">
        <v>1359</v>
      </c>
      <c r="J18426" t="s">
        <v>1358</v>
      </c>
      <c r="K18426" t="s">
        <v>1357</v>
      </c>
      <c r="L18426" t="s">
        <v>1358</v>
      </c>
    </row>
    <row r="18427" spans="1:12">
      <c r="H18427" t="s">
        <v>25973</v>
      </c>
      <c r="I18427" t="s">
        <v>1359</v>
      </c>
      <c r="J18427" t="s">
        <v>1358</v>
      </c>
      <c r="K18427" t="s">
        <v>1357</v>
      </c>
      <c r="L18427" t="s">
        <v>1358</v>
      </c>
    </row>
    <row r="18428" spans="1:12">
      <c r="H18428" t="s">
        <v>25974</v>
      </c>
      <c r="I18428" t="s">
        <v>1359</v>
      </c>
      <c r="J18428" t="s">
        <v>1358</v>
      </c>
      <c r="K18428" t="s">
        <v>1357</v>
      </c>
      <c r="L18428" t="s">
        <v>1358</v>
      </c>
    </row>
    <row r="18429" spans="1:12">
      <c r="H18429" t="s">
        <v>25975</v>
      </c>
      <c r="I18429" t="s">
        <v>1359</v>
      </c>
      <c r="J18429" t="s">
        <v>1358</v>
      </c>
      <c r="K18429" t="s">
        <v>1357</v>
      </c>
      <c r="L18429" t="s">
        <v>1358</v>
      </c>
    </row>
    <row r="18430" spans="1:12">
      <c r="H18430" t="s">
        <v>25976</v>
      </c>
      <c r="I18430" t="s">
        <v>1359</v>
      </c>
      <c r="J18430" t="s">
        <v>1358</v>
      </c>
      <c r="K18430" t="s">
        <v>1357</v>
      </c>
      <c r="L18430" t="s">
        <v>1358</v>
      </c>
    </row>
    <row r="18431" spans="1:12">
      <c r="F18431" t="s">
        <v>16138</v>
      </c>
      <c r="G18431" t="s">
        <v>18822</v>
      </c>
      <c r="H18431" t="s">
        <v>25977</v>
      </c>
      <c r="I18431" t="s">
        <v>1359</v>
      </c>
      <c r="J18431" t="s">
        <v>1358</v>
      </c>
      <c r="K18431" t="s">
        <v>1357</v>
      </c>
      <c r="L18431" t="s">
        <v>1358</v>
      </c>
    </row>
    <row r="18432" spans="1:12">
      <c r="H18432" t="s">
        <v>25978</v>
      </c>
      <c r="I18432" t="s">
        <v>1359</v>
      </c>
      <c r="J18432" t="s">
        <v>1358</v>
      </c>
      <c r="K18432" t="s">
        <v>1357</v>
      </c>
      <c r="L18432" t="s">
        <v>1358</v>
      </c>
    </row>
    <row r="18433" spans="1:12">
      <c r="H18433" t="s">
        <v>25979</v>
      </c>
      <c r="I18433" t="s">
        <v>1359</v>
      </c>
      <c r="J18433" t="s">
        <v>1358</v>
      </c>
      <c r="K18433" t="s">
        <v>1357</v>
      </c>
      <c r="L18433" t="s">
        <v>1358</v>
      </c>
    </row>
    <row r="18434" spans="1:12">
      <c r="H18434" t="s">
        <v>25980</v>
      </c>
      <c r="I18434" t="s">
        <v>1359</v>
      </c>
      <c r="J18434" t="s">
        <v>1358</v>
      </c>
      <c r="K18434" t="s">
        <v>1357</v>
      </c>
      <c r="L18434" t="s">
        <v>1358</v>
      </c>
    </row>
    <row r="18435" spans="1:12">
      <c r="H18435" t="s">
        <v>25976</v>
      </c>
      <c r="I18435" t="s">
        <v>1359</v>
      </c>
      <c r="J18435" t="s">
        <v>1358</v>
      </c>
      <c r="K18435" t="s">
        <v>1357</v>
      </c>
      <c r="L18435" t="s">
        <v>1358</v>
      </c>
    </row>
    <row r="18436" spans="1:12">
      <c r="F18436" t="s">
        <v>16682</v>
      </c>
      <c r="G18436" t="s">
        <v>19314</v>
      </c>
      <c r="H18436" t="s">
        <v>25981</v>
      </c>
      <c r="I18436" t="s">
        <v>1359</v>
      </c>
      <c r="J18436" t="s">
        <v>1358</v>
      </c>
      <c r="K18436" t="s">
        <v>1357</v>
      </c>
      <c r="L18436" t="s">
        <v>1358</v>
      </c>
    </row>
    <row r="18437" spans="1:12">
      <c r="H18437" t="s">
        <v>25979</v>
      </c>
      <c r="I18437" t="s">
        <v>1359</v>
      </c>
      <c r="J18437" t="s">
        <v>1358</v>
      </c>
      <c r="K18437" t="s">
        <v>1357</v>
      </c>
      <c r="L18437" t="s">
        <v>1358</v>
      </c>
    </row>
    <row r="18438" spans="1:12">
      <c r="H18438" t="s">
        <v>25976</v>
      </c>
      <c r="I18438" t="s">
        <v>1359</v>
      </c>
      <c r="J18438" t="s">
        <v>1358</v>
      </c>
      <c r="K18438" t="s">
        <v>1357</v>
      </c>
      <c r="L18438" t="s">
        <v>1358</v>
      </c>
    </row>
    <row r="18439" spans="1:12">
      <c r="H18439" t="s">
        <v>25977</v>
      </c>
      <c r="I18439" t="s">
        <v>1359</v>
      </c>
      <c r="J18439" t="s">
        <v>1358</v>
      </c>
      <c r="K18439" t="s">
        <v>1357</v>
      </c>
      <c r="L18439" t="s">
        <v>1358</v>
      </c>
    </row>
    <row r="18440" spans="1:12">
      <c r="F18440" t="s">
        <v>16292</v>
      </c>
      <c r="G18440" t="s">
        <v>18963</v>
      </c>
      <c r="H18440" t="s">
        <v>25977</v>
      </c>
      <c r="I18440" t="s">
        <v>1359</v>
      </c>
      <c r="J18440" t="s">
        <v>1358</v>
      </c>
      <c r="K18440" t="s">
        <v>1357</v>
      </c>
      <c r="L18440" t="s">
        <v>1358</v>
      </c>
    </row>
    <row r="18441" spans="1:12">
      <c r="A18441" t="s">
        <v>11729</v>
      </c>
      <c r="B18441">
        <f>HYPERLINK("https://android.googlesource.com/platform/cts/+/b4d225ea634b26347abc1337446f0ab6adbc4949", "b4d225ea634b26347abc1337446f0ab6adbc4949")</f>
        <v>0</v>
      </c>
      <c r="C18441">
        <f>HYPERLINK("https://android.googlesource.com/platform/cts/+/b0082c2ed4828ccd4313c5005f1f5da51b82e0c7", "b0082c2ed4828ccd4313c5005f1f5da51b82e0c7")</f>
        <v>0</v>
      </c>
      <c r="D18441" t="s">
        <v>12465</v>
      </c>
      <c r="E18441" t="s">
        <v>14238</v>
      </c>
      <c r="F18441" t="s">
        <v>16294</v>
      </c>
      <c r="G18441" t="s">
        <v>18965</v>
      </c>
      <c r="H18441" t="s">
        <v>25982</v>
      </c>
      <c r="I18441" t="s">
        <v>1357</v>
      </c>
      <c r="J18441" t="s">
        <v>1357</v>
      </c>
      <c r="K18441" t="s">
        <v>1357</v>
      </c>
      <c r="L18441" t="s">
        <v>1357</v>
      </c>
    </row>
    <row r="18442" spans="1:12">
      <c r="H18442" t="s">
        <v>25983</v>
      </c>
      <c r="I18442" t="s">
        <v>1357</v>
      </c>
      <c r="J18442" t="s">
        <v>1357</v>
      </c>
      <c r="K18442" t="s">
        <v>1357</v>
      </c>
      <c r="L18442" t="s">
        <v>1357</v>
      </c>
    </row>
    <row r="18443" spans="1:12">
      <c r="H18443" t="s">
        <v>25984</v>
      </c>
      <c r="I18443" t="s">
        <v>1357</v>
      </c>
      <c r="J18443" t="s">
        <v>1357</v>
      </c>
      <c r="K18443" t="s">
        <v>1357</v>
      </c>
      <c r="L18443" t="s">
        <v>1357</v>
      </c>
    </row>
    <row r="18444" spans="1:12">
      <c r="A18444" t="s">
        <v>11730</v>
      </c>
      <c r="B18444">
        <f>HYPERLINK("https://android.googlesource.com/platform/cts/+/79511e16e638d5167d14b3b5585f7d69ef9264c9", "79511e16e638d5167d14b3b5585f7d69ef9264c9")</f>
        <v>0</v>
      </c>
      <c r="C18444">
        <f>HYPERLINK("https://android.googlesource.com/platform/cts/+/1aa123151cd9000ddcbd5dedf50526b412be91e3", "1aa123151cd9000ddcbd5dedf50526b412be91e3")</f>
        <v>0</v>
      </c>
      <c r="D18444" t="s">
        <v>12466</v>
      </c>
      <c r="E18444" t="s">
        <v>14239</v>
      </c>
      <c r="F18444" t="s">
        <v>16845</v>
      </c>
      <c r="G18444" t="s">
        <v>19460</v>
      </c>
      <c r="H18444" t="s">
        <v>25865</v>
      </c>
      <c r="I18444" t="s">
        <v>1357</v>
      </c>
      <c r="J18444" t="s">
        <v>1357</v>
      </c>
      <c r="K18444" t="s">
        <v>1357</v>
      </c>
      <c r="L18444" t="s">
        <v>1357</v>
      </c>
    </row>
    <row r="18445" spans="1:12">
      <c r="H18445" t="s">
        <v>25866</v>
      </c>
      <c r="I18445" t="s">
        <v>1357</v>
      </c>
      <c r="J18445" t="s">
        <v>1357</v>
      </c>
      <c r="K18445" t="s">
        <v>1357</v>
      </c>
      <c r="L18445" t="s">
        <v>1357</v>
      </c>
    </row>
    <row r="18446" spans="1:12">
      <c r="H18446" t="s">
        <v>25867</v>
      </c>
      <c r="I18446" t="s">
        <v>1357</v>
      </c>
      <c r="J18446" t="s">
        <v>1357</v>
      </c>
      <c r="K18446" t="s">
        <v>1357</v>
      </c>
      <c r="L18446" t="s">
        <v>1357</v>
      </c>
    </row>
    <row r="18447" spans="1:12">
      <c r="H18447" t="s">
        <v>25868</v>
      </c>
      <c r="I18447" t="s">
        <v>1357</v>
      </c>
      <c r="J18447" t="s">
        <v>1357</v>
      </c>
      <c r="K18447" t="s">
        <v>1357</v>
      </c>
      <c r="L18447" t="s">
        <v>1357</v>
      </c>
    </row>
    <row r="18448" spans="1:12">
      <c r="H18448" t="s">
        <v>25869</v>
      </c>
      <c r="I18448" t="s">
        <v>1357</v>
      </c>
      <c r="J18448" t="s">
        <v>1357</v>
      </c>
      <c r="K18448" t="s">
        <v>1357</v>
      </c>
      <c r="L18448" t="s">
        <v>1357</v>
      </c>
    </row>
    <row r="18449" spans="1:12">
      <c r="H18449" t="s">
        <v>25870</v>
      </c>
      <c r="I18449" t="s">
        <v>1357</v>
      </c>
      <c r="J18449" t="s">
        <v>1357</v>
      </c>
      <c r="K18449" t="s">
        <v>1357</v>
      </c>
      <c r="L18449" t="s">
        <v>1357</v>
      </c>
    </row>
    <row r="18450" spans="1:12">
      <c r="H18450" t="s">
        <v>25871</v>
      </c>
      <c r="I18450" t="s">
        <v>1357</v>
      </c>
      <c r="J18450" t="s">
        <v>1357</v>
      </c>
      <c r="K18450" t="s">
        <v>1357</v>
      </c>
      <c r="L18450" t="s">
        <v>1357</v>
      </c>
    </row>
    <row r="18451" spans="1:12">
      <c r="H18451" t="s">
        <v>25872</v>
      </c>
      <c r="I18451" t="s">
        <v>1357</v>
      </c>
      <c r="J18451" t="s">
        <v>1357</v>
      </c>
      <c r="K18451" t="s">
        <v>1357</v>
      </c>
      <c r="L18451" t="s">
        <v>1357</v>
      </c>
    </row>
    <row r="18452" spans="1:12">
      <c r="H18452" t="s">
        <v>25873</v>
      </c>
      <c r="I18452" t="s">
        <v>1357</v>
      </c>
      <c r="J18452" t="s">
        <v>1357</v>
      </c>
      <c r="K18452" t="s">
        <v>1357</v>
      </c>
      <c r="L18452" t="s">
        <v>1357</v>
      </c>
    </row>
    <row r="18453" spans="1:12">
      <c r="F18453" t="s">
        <v>17114</v>
      </c>
      <c r="G18453" t="s">
        <v>19706</v>
      </c>
      <c r="H18453" t="s">
        <v>25874</v>
      </c>
      <c r="I18453" t="s">
        <v>1357</v>
      </c>
      <c r="J18453" t="s">
        <v>1357</v>
      </c>
      <c r="K18453" t="s">
        <v>1357</v>
      </c>
      <c r="L18453" t="s">
        <v>1357</v>
      </c>
    </row>
    <row r="18454" spans="1:12">
      <c r="H18454" t="s">
        <v>25875</v>
      </c>
      <c r="I18454" t="s">
        <v>1357</v>
      </c>
      <c r="J18454" t="s">
        <v>1357</v>
      </c>
      <c r="K18454" t="s">
        <v>1357</v>
      </c>
      <c r="L18454" t="s">
        <v>1357</v>
      </c>
    </row>
    <row r="18455" spans="1:12">
      <c r="H18455" t="s">
        <v>25876</v>
      </c>
      <c r="I18455" t="s">
        <v>1357</v>
      </c>
      <c r="J18455" t="s">
        <v>1357</v>
      </c>
      <c r="K18455" t="s">
        <v>1357</v>
      </c>
      <c r="L18455" t="s">
        <v>1357</v>
      </c>
    </row>
    <row r="18456" spans="1:12">
      <c r="F18456" t="s">
        <v>17115</v>
      </c>
      <c r="G18456" t="s">
        <v>19707</v>
      </c>
      <c r="H18456" t="s">
        <v>25876</v>
      </c>
      <c r="I18456" t="s">
        <v>1357</v>
      </c>
      <c r="J18456" t="s">
        <v>1357</v>
      </c>
      <c r="K18456" t="s">
        <v>1357</v>
      </c>
      <c r="L18456" t="s">
        <v>1357</v>
      </c>
    </row>
    <row r="18457" spans="1:12">
      <c r="H18457" t="s">
        <v>25877</v>
      </c>
      <c r="I18457" t="s">
        <v>1357</v>
      </c>
      <c r="J18457" t="s">
        <v>1357</v>
      </c>
      <c r="K18457" t="s">
        <v>1357</v>
      </c>
      <c r="L18457" t="s">
        <v>1357</v>
      </c>
    </row>
    <row r="18458" spans="1:12">
      <c r="H18458" t="s">
        <v>25878</v>
      </c>
      <c r="I18458" t="s">
        <v>1357</v>
      </c>
      <c r="J18458" t="s">
        <v>1357</v>
      </c>
      <c r="K18458" t="s">
        <v>1357</v>
      </c>
      <c r="L18458" t="s">
        <v>1357</v>
      </c>
    </row>
    <row r="18459" spans="1:12">
      <c r="H18459" t="s">
        <v>25879</v>
      </c>
      <c r="I18459" t="s">
        <v>1357</v>
      </c>
      <c r="J18459" t="s">
        <v>1357</v>
      </c>
      <c r="K18459" t="s">
        <v>1357</v>
      </c>
      <c r="L18459" t="s">
        <v>1357</v>
      </c>
    </row>
    <row r="18460" spans="1:12">
      <c r="A18460" t="s">
        <v>11731</v>
      </c>
      <c r="B18460">
        <f>HYPERLINK("https://android.googlesource.com/platform/cts/+/0b68e70b5b975430b206336b27323d33ae3bb820", "0b68e70b5b975430b206336b27323d33ae3bb820")</f>
        <v>0</v>
      </c>
      <c r="C18460">
        <f>HYPERLINK("https://android.googlesource.com/platform/cts/+/77964de8d5eda6eb18964bd9cfa9a7c239cb3e30", "77964de8d5eda6eb18964bd9cfa9a7c239cb3e30")</f>
        <v>0</v>
      </c>
      <c r="D18460" t="s">
        <v>12306</v>
      </c>
      <c r="E18460" t="s">
        <v>14240</v>
      </c>
      <c r="F18460" t="s">
        <v>16138</v>
      </c>
      <c r="G18460" t="s">
        <v>18822</v>
      </c>
      <c r="H18460" t="s">
        <v>22315</v>
      </c>
      <c r="I18460" t="s">
        <v>1357</v>
      </c>
      <c r="J18460" t="s">
        <v>1357</v>
      </c>
      <c r="K18460" t="s">
        <v>1357</v>
      </c>
      <c r="L18460" t="s">
        <v>1357</v>
      </c>
    </row>
    <row r="18461" spans="1:12">
      <c r="H18461" t="s">
        <v>25985</v>
      </c>
      <c r="I18461" t="s">
        <v>1357</v>
      </c>
      <c r="J18461" t="s">
        <v>1357</v>
      </c>
      <c r="K18461" t="s">
        <v>1357</v>
      </c>
      <c r="L18461" t="s">
        <v>1357</v>
      </c>
    </row>
    <row r="18462" spans="1:12">
      <c r="F18462" t="s">
        <v>16682</v>
      </c>
      <c r="G18462" t="s">
        <v>19314</v>
      </c>
      <c r="H18462" t="s">
        <v>22315</v>
      </c>
      <c r="I18462" t="s">
        <v>1357</v>
      </c>
      <c r="J18462" t="s">
        <v>1357</v>
      </c>
      <c r="K18462" t="s">
        <v>1357</v>
      </c>
      <c r="L18462" t="s">
        <v>1357</v>
      </c>
    </row>
    <row r="18463" spans="1:12">
      <c r="H18463" t="s">
        <v>25985</v>
      </c>
      <c r="I18463" t="s">
        <v>1357</v>
      </c>
      <c r="J18463" t="s">
        <v>1357</v>
      </c>
      <c r="K18463" t="s">
        <v>1357</v>
      </c>
      <c r="L18463" t="s">
        <v>1357</v>
      </c>
    </row>
    <row r="18464" spans="1:12">
      <c r="F18464" t="s">
        <v>16292</v>
      </c>
      <c r="G18464" t="s">
        <v>18963</v>
      </c>
      <c r="H18464" t="s">
        <v>22315</v>
      </c>
      <c r="I18464" t="s">
        <v>1357</v>
      </c>
      <c r="J18464" t="s">
        <v>1357</v>
      </c>
      <c r="K18464" t="s">
        <v>1357</v>
      </c>
      <c r="L18464" t="s">
        <v>1357</v>
      </c>
    </row>
    <row r="18465" spans="1:13">
      <c r="F18465" t="s">
        <v>16151</v>
      </c>
      <c r="G18465" t="s">
        <v>18832</v>
      </c>
      <c r="H18465" t="s">
        <v>22315</v>
      </c>
      <c r="I18465" t="s">
        <v>1357</v>
      </c>
      <c r="J18465" t="s">
        <v>1357</v>
      </c>
      <c r="K18465" t="s">
        <v>1357</v>
      </c>
      <c r="L18465" t="s">
        <v>1357</v>
      </c>
    </row>
    <row r="18466" spans="1:13">
      <c r="H18466" t="s">
        <v>25985</v>
      </c>
      <c r="I18466" t="s">
        <v>1357</v>
      </c>
      <c r="J18466" t="s">
        <v>1357</v>
      </c>
      <c r="K18466" t="s">
        <v>1357</v>
      </c>
      <c r="L18466" t="s">
        <v>1357</v>
      </c>
    </row>
    <row r="18467" spans="1:13">
      <c r="A18467" t="s">
        <v>11732</v>
      </c>
      <c r="B18467">
        <f>HYPERLINK("https://android.googlesource.com/platform/cts/+/97f1e988c0958ac3fa878d980da3a1d62fdb2772", "97f1e988c0958ac3fa878d980da3a1d62fdb2772")</f>
        <v>0</v>
      </c>
      <c r="C18467">
        <f>HYPERLINK("https://android.googlesource.com/platform/cts/+/f7bbcd8b82329995948ad2d9dd0696df845f1fb6", "f7bbcd8b82329995948ad2d9dd0696df845f1fb6")</f>
        <v>0</v>
      </c>
      <c r="D18467" t="s">
        <v>12465</v>
      </c>
      <c r="E18467" t="s">
        <v>14241</v>
      </c>
      <c r="F18467" t="s">
        <v>17036</v>
      </c>
      <c r="G18467" t="s">
        <v>19636</v>
      </c>
      <c r="H18467" t="s">
        <v>25986</v>
      </c>
      <c r="I18467" t="s">
        <v>1357</v>
      </c>
      <c r="J18467" t="s">
        <v>1357</v>
      </c>
      <c r="K18467" t="s">
        <v>1357</v>
      </c>
      <c r="L18467" t="s">
        <v>1357</v>
      </c>
    </row>
    <row r="18468" spans="1:13">
      <c r="H18468" t="s">
        <v>25987</v>
      </c>
      <c r="I18468" t="s">
        <v>1357</v>
      </c>
      <c r="J18468" t="s">
        <v>1357</v>
      </c>
      <c r="K18468" t="s">
        <v>1357</v>
      </c>
      <c r="L18468" t="s">
        <v>1357</v>
      </c>
    </row>
    <row r="18469" spans="1:13">
      <c r="A18469" t="s">
        <v>11733</v>
      </c>
      <c r="B18469">
        <f>HYPERLINK("https://android.googlesource.com/platform/cts/+/ea45855805ef68d49509594d57f7f2621051f83f", "ea45855805ef68d49509594d57f7f2621051f83f")</f>
        <v>0</v>
      </c>
      <c r="C18469">
        <f>HYPERLINK("https://android.googlesource.com/platform/cts/+/e44913ac1e561a77976c534b96b41e17a44c6aeb", "e44913ac1e561a77976c534b96b41e17a44c6aeb")</f>
        <v>0</v>
      </c>
      <c r="D18469" t="s">
        <v>12448</v>
      </c>
      <c r="E18469" t="s">
        <v>14242</v>
      </c>
      <c r="F18469" t="s">
        <v>17036</v>
      </c>
      <c r="G18469" t="s">
        <v>19636</v>
      </c>
      <c r="H18469" t="s">
        <v>25986</v>
      </c>
      <c r="I18469" t="s">
        <v>1357</v>
      </c>
      <c r="J18469" t="s">
        <v>1357</v>
      </c>
      <c r="K18469" t="s">
        <v>1357</v>
      </c>
      <c r="L18469" t="s">
        <v>1357</v>
      </c>
      <c r="M18469" t="s">
        <v>9957</v>
      </c>
    </row>
    <row r="18470" spans="1:13">
      <c r="H18470" t="s">
        <v>25987</v>
      </c>
      <c r="I18470" t="s">
        <v>1357</v>
      </c>
      <c r="J18470" t="s">
        <v>1357</v>
      </c>
      <c r="K18470" t="s">
        <v>1357</v>
      </c>
      <c r="L18470" t="s">
        <v>1357</v>
      </c>
    </row>
    <row r="18471" spans="1:13">
      <c r="A18471" t="s">
        <v>11734</v>
      </c>
      <c r="B18471">
        <f>HYPERLINK("https://android.googlesource.com/platform/cts/+/9877a122d69add931a3329633212e33376c9c4d8", "9877a122d69add931a3329633212e33376c9c4d8")</f>
        <v>0</v>
      </c>
      <c r="C18471">
        <f>HYPERLINK("https://android.googlesource.com/platform/cts/+/2c5dba4cc56f6d7db151021c4cc307ca4ff44997", "2c5dba4cc56f6d7db151021c4cc307ca4ff44997")</f>
        <v>0</v>
      </c>
      <c r="D18471" t="s">
        <v>12467</v>
      </c>
      <c r="E18471" t="s">
        <v>14243</v>
      </c>
      <c r="F18471" t="s">
        <v>17132</v>
      </c>
      <c r="G18471" t="s">
        <v>19721</v>
      </c>
      <c r="H18471" t="s">
        <v>25988</v>
      </c>
      <c r="I18471" t="s">
        <v>1358</v>
      </c>
      <c r="J18471" t="s">
        <v>1358</v>
      </c>
      <c r="K18471" t="s">
        <v>1358</v>
      </c>
      <c r="L18471" t="s">
        <v>1358</v>
      </c>
    </row>
    <row r="18472" spans="1:13">
      <c r="A18472" t="s">
        <v>11735</v>
      </c>
      <c r="B18472">
        <f>HYPERLINK("https://android.googlesource.com/platform/cts/+/7c6fa74a61d3da48add4d787636dde4bd8e4bcb8", "7c6fa74a61d3da48add4d787636dde4bd8e4bcb8")</f>
        <v>0</v>
      </c>
      <c r="C18472">
        <f>HYPERLINK("https://android.googlesource.com/platform/cts/+/0458171720478d24085f5ee98616da8062f7169b", "0458171720478d24085f5ee98616da8062f7169b")</f>
        <v>0</v>
      </c>
      <c r="D18472" t="s">
        <v>12306</v>
      </c>
      <c r="E18472" t="s">
        <v>14244</v>
      </c>
      <c r="F18472" t="s">
        <v>17133</v>
      </c>
      <c r="G18472" t="s">
        <v>19722</v>
      </c>
      <c r="H18472" t="s">
        <v>25689</v>
      </c>
      <c r="I18472" t="s">
        <v>1359</v>
      </c>
      <c r="J18472" t="s">
        <v>1358</v>
      </c>
      <c r="K18472" t="s">
        <v>1357</v>
      </c>
      <c r="L18472" t="s">
        <v>1358</v>
      </c>
    </row>
    <row r="18473" spans="1:13">
      <c r="H18473" t="s">
        <v>25989</v>
      </c>
      <c r="I18473" t="s">
        <v>1359</v>
      </c>
      <c r="J18473" t="s">
        <v>1358</v>
      </c>
      <c r="K18473" t="s">
        <v>1357</v>
      </c>
      <c r="L18473" t="s">
        <v>1358</v>
      </c>
    </row>
    <row r="18474" spans="1:13">
      <c r="F18474" t="s">
        <v>16138</v>
      </c>
      <c r="G18474" t="s">
        <v>18822</v>
      </c>
      <c r="H18474" t="s">
        <v>21803</v>
      </c>
      <c r="I18474" t="s">
        <v>1359</v>
      </c>
      <c r="J18474" t="s">
        <v>1358</v>
      </c>
      <c r="K18474" t="s">
        <v>1357</v>
      </c>
      <c r="L18474" t="s">
        <v>1358</v>
      </c>
    </row>
    <row r="18475" spans="1:13">
      <c r="F18475" t="s">
        <v>16682</v>
      </c>
      <c r="G18475" t="s">
        <v>19314</v>
      </c>
      <c r="H18475" t="s">
        <v>21803</v>
      </c>
      <c r="I18475" t="s">
        <v>1359</v>
      </c>
      <c r="J18475" t="s">
        <v>1358</v>
      </c>
      <c r="K18475" t="s">
        <v>1357</v>
      </c>
      <c r="L18475" t="s">
        <v>1358</v>
      </c>
    </row>
    <row r="18476" spans="1:13">
      <c r="A18476" t="s">
        <v>11736</v>
      </c>
      <c r="B18476">
        <f>HYPERLINK("https://android.googlesource.com/platform/cts/+/b858732d7fe874bad9e7145fff66e11e4a1a2ba1", "b858732d7fe874bad9e7145fff66e11e4a1a2ba1")</f>
        <v>0</v>
      </c>
      <c r="C18476">
        <f>HYPERLINK("https://android.googlesource.com/platform/cts/+/fb95db167c44339730bde359cbeb5555f83f45ff", "fb95db167c44339730bde359cbeb5555f83f45ff")</f>
        <v>0</v>
      </c>
      <c r="D18476" t="s">
        <v>12306</v>
      </c>
      <c r="E18476" t="s">
        <v>14245</v>
      </c>
      <c r="F18476" t="s">
        <v>16147</v>
      </c>
      <c r="G18476" t="s">
        <v>17894</v>
      </c>
      <c r="H18476" t="s">
        <v>25990</v>
      </c>
      <c r="I18476" t="s">
        <v>1359</v>
      </c>
      <c r="J18476" t="s">
        <v>1358</v>
      </c>
      <c r="K18476" t="s">
        <v>1357</v>
      </c>
      <c r="L18476" t="s">
        <v>1358</v>
      </c>
    </row>
    <row r="18477" spans="1:13">
      <c r="A18477" t="s">
        <v>11737</v>
      </c>
      <c r="B18477">
        <f>HYPERLINK("https://android.googlesource.com/platform/cts/+/b03c1bdb0c5e0dd0d36a0fa1b0616dd92b2705ba", "b03c1bdb0c5e0dd0d36a0fa1b0616dd92b2705ba")</f>
        <v>0</v>
      </c>
      <c r="C18477">
        <f>HYPERLINK("https://android.googlesource.com/platform/cts/+/7f2735dd3157dcc98e8419296dcc8cab7e7467df", "7f2735dd3157dcc98e8419296dcc8cab7e7467df")</f>
        <v>0</v>
      </c>
      <c r="D18477" t="s">
        <v>12100</v>
      </c>
      <c r="E18477" t="s">
        <v>14246</v>
      </c>
      <c r="F18477" t="s">
        <v>17134</v>
      </c>
      <c r="G18477" t="s">
        <v>19723</v>
      </c>
      <c r="H18477" t="s">
        <v>25991</v>
      </c>
      <c r="I18477" t="s">
        <v>1357</v>
      </c>
      <c r="J18477" t="s">
        <v>1357</v>
      </c>
      <c r="K18477" t="s">
        <v>1357</v>
      </c>
      <c r="L18477" t="s">
        <v>1357</v>
      </c>
    </row>
    <row r="18478" spans="1:13">
      <c r="H18478" t="s">
        <v>25992</v>
      </c>
      <c r="I18478" t="s">
        <v>1357</v>
      </c>
      <c r="J18478" t="s">
        <v>1357</v>
      </c>
      <c r="K18478" t="s">
        <v>1357</v>
      </c>
      <c r="L18478" t="s">
        <v>1357</v>
      </c>
    </row>
    <row r="18479" spans="1:13">
      <c r="A18479" t="s">
        <v>11738</v>
      </c>
      <c r="B18479">
        <f>HYPERLINK("https://android.googlesource.com/platform/cts/+/4c3fb4564420b2437bf3e4cd69f32ef7c7ab0f38", "4c3fb4564420b2437bf3e4cd69f32ef7c7ab0f38")</f>
        <v>0</v>
      </c>
      <c r="C18479">
        <f>HYPERLINK("https://android.googlesource.com/platform/cts/+/efeb4c4858338c11217ba3d801f665e7a1806bc7", "efeb4c4858338c11217ba3d801f665e7a1806bc7")</f>
        <v>0</v>
      </c>
      <c r="D18479" t="s">
        <v>12468</v>
      </c>
      <c r="E18479" t="s">
        <v>14247</v>
      </c>
      <c r="F18479" t="s">
        <v>16880</v>
      </c>
      <c r="G18479" t="s">
        <v>19493</v>
      </c>
      <c r="H18479" t="s">
        <v>25993</v>
      </c>
      <c r="I18479" t="s">
        <v>1357</v>
      </c>
      <c r="J18479" t="s">
        <v>1357</v>
      </c>
      <c r="K18479" t="s">
        <v>1357</v>
      </c>
      <c r="L18479" t="s">
        <v>1357</v>
      </c>
    </row>
    <row r="18480" spans="1:13">
      <c r="H18480" t="s">
        <v>25994</v>
      </c>
      <c r="I18480" t="s">
        <v>1359</v>
      </c>
      <c r="J18480" t="s">
        <v>1358</v>
      </c>
      <c r="K18480" t="s">
        <v>1358</v>
      </c>
      <c r="L18480" t="s">
        <v>1357</v>
      </c>
    </row>
    <row r="18481" spans="1:13">
      <c r="H18481" t="s">
        <v>25995</v>
      </c>
      <c r="I18481" t="s">
        <v>1359</v>
      </c>
      <c r="J18481" t="s">
        <v>1358</v>
      </c>
      <c r="K18481" t="s">
        <v>1358</v>
      </c>
      <c r="L18481" t="s">
        <v>1357</v>
      </c>
    </row>
    <row r="18482" spans="1:13">
      <c r="A18482" t="s">
        <v>11739</v>
      </c>
      <c r="B18482">
        <f>HYPERLINK("https://android.googlesource.com/platform/cts/+/662f7f4f2bb0af0eb2bcea218c496779489875dd", "662f7f4f2bb0af0eb2bcea218c496779489875dd")</f>
        <v>0</v>
      </c>
      <c r="C18482">
        <f>HYPERLINK("https://android.googlesource.com/platform/cts/+/853b613e7cc9470562fa875feab0fa22b7332220", "853b613e7cc9470562fa875feab0fa22b7332220")</f>
        <v>0</v>
      </c>
      <c r="D18482" t="s">
        <v>12264</v>
      </c>
      <c r="E18482" t="s">
        <v>14248</v>
      </c>
      <c r="F18482" t="s">
        <v>17135</v>
      </c>
      <c r="G18482" t="s">
        <v>19724</v>
      </c>
      <c r="H18482" t="s">
        <v>25996</v>
      </c>
      <c r="I18482" t="s">
        <v>1359</v>
      </c>
      <c r="J18482" t="s">
        <v>1358</v>
      </c>
      <c r="K18482" t="s">
        <v>1357</v>
      </c>
      <c r="L18482" t="s">
        <v>1358</v>
      </c>
    </row>
    <row r="18483" spans="1:13">
      <c r="H18483" t="s">
        <v>25997</v>
      </c>
      <c r="I18483" t="s">
        <v>1359</v>
      </c>
      <c r="J18483" t="s">
        <v>1358</v>
      </c>
      <c r="K18483" t="s">
        <v>1357</v>
      </c>
      <c r="L18483" t="s">
        <v>1358</v>
      </c>
    </row>
    <row r="18484" spans="1:13">
      <c r="H18484" t="s">
        <v>25998</v>
      </c>
      <c r="I18484" t="s">
        <v>1359</v>
      </c>
      <c r="J18484" t="s">
        <v>1358</v>
      </c>
      <c r="K18484" t="s">
        <v>1357</v>
      </c>
      <c r="L18484" t="s">
        <v>1358</v>
      </c>
    </row>
    <row r="18485" spans="1:13">
      <c r="H18485" t="s">
        <v>25999</v>
      </c>
      <c r="I18485" t="s">
        <v>1359</v>
      </c>
      <c r="J18485" t="s">
        <v>1358</v>
      </c>
      <c r="K18485" t="s">
        <v>1357</v>
      </c>
      <c r="L18485" t="s">
        <v>1358</v>
      </c>
    </row>
    <row r="18486" spans="1:13">
      <c r="H18486" t="s">
        <v>26000</v>
      </c>
      <c r="I18486" t="s">
        <v>1359</v>
      </c>
      <c r="J18486" t="s">
        <v>1358</v>
      </c>
      <c r="K18486" t="s">
        <v>1357</v>
      </c>
      <c r="L18486" t="s">
        <v>1358</v>
      </c>
    </row>
    <row r="18487" spans="1:13">
      <c r="H18487" t="s">
        <v>26001</v>
      </c>
      <c r="I18487" t="s">
        <v>1359</v>
      </c>
      <c r="J18487" t="s">
        <v>1358</v>
      </c>
      <c r="K18487" t="s">
        <v>1357</v>
      </c>
      <c r="L18487" t="s">
        <v>1358</v>
      </c>
    </row>
    <row r="18488" spans="1:13">
      <c r="A18488" t="s">
        <v>11740</v>
      </c>
      <c r="B18488">
        <f>HYPERLINK("https://android.googlesource.com/platform/cts/+/facb2fc47608f26c1037a11b4d786c8b22e29059", "facb2fc47608f26c1037a11b4d786c8b22e29059")</f>
        <v>0</v>
      </c>
      <c r="C18488">
        <f>HYPERLINK("https://android.googlesource.com/platform/cts/+/f33a749c7f2fab2dea28b472ab033a4934e641fc", "f33a749c7f2fab2dea28b472ab033a4934e641fc")</f>
        <v>0</v>
      </c>
      <c r="D18488" t="s">
        <v>12306</v>
      </c>
      <c r="E18488" t="s">
        <v>14249</v>
      </c>
      <c r="F18488" t="s">
        <v>17135</v>
      </c>
      <c r="G18488" t="s">
        <v>19724</v>
      </c>
      <c r="H18488" t="s">
        <v>25996</v>
      </c>
      <c r="I18488" t="s">
        <v>1359</v>
      </c>
      <c r="J18488" t="s">
        <v>1358</v>
      </c>
      <c r="K18488" t="s">
        <v>1357</v>
      </c>
      <c r="L18488" t="s">
        <v>1358</v>
      </c>
    </row>
    <row r="18489" spans="1:13">
      <c r="H18489" t="s">
        <v>25997</v>
      </c>
      <c r="I18489" t="s">
        <v>1359</v>
      </c>
      <c r="J18489" t="s">
        <v>1358</v>
      </c>
      <c r="K18489" t="s">
        <v>1357</v>
      </c>
      <c r="L18489" t="s">
        <v>1358</v>
      </c>
      <c r="M18489" t="s">
        <v>27500</v>
      </c>
    </row>
    <row r="18490" spans="1:13">
      <c r="H18490" t="s">
        <v>25998</v>
      </c>
      <c r="I18490" t="s">
        <v>1359</v>
      </c>
      <c r="J18490" t="s">
        <v>1358</v>
      </c>
      <c r="K18490" t="s">
        <v>1357</v>
      </c>
      <c r="L18490" t="s">
        <v>1358</v>
      </c>
    </row>
    <row r="18491" spans="1:13">
      <c r="H18491" t="s">
        <v>25999</v>
      </c>
      <c r="I18491" t="s">
        <v>1359</v>
      </c>
      <c r="J18491" t="s">
        <v>1358</v>
      </c>
      <c r="K18491" t="s">
        <v>1357</v>
      </c>
      <c r="L18491" t="s">
        <v>1358</v>
      </c>
    </row>
    <row r="18492" spans="1:13">
      <c r="H18492" t="s">
        <v>26000</v>
      </c>
      <c r="I18492" t="s">
        <v>1359</v>
      </c>
      <c r="J18492" t="s">
        <v>1358</v>
      </c>
      <c r="K18492" t="s">
        <v>1357</v>
      </c>
      <c r="L18492" t="s">
        <v>1358</v>
      </c>
    </row>
    <row r="18493" spans="1:13">
      <c r="H18493" t="s">
        <v>26001</v>
      </c>
      <c r="I18493" t="s">
        <v>1359</v>
      </c>
      <c r="J18493" t="s">
        <v>1358</v>
      </c>
      <c r="K18493" t="s">
        <v>1357</v>
      </c>
      <c r="L18493" t="s">
        <v>1358</v>
      </c>
    </row>
    <row r="18494" spans="1:13">
      <c r="A18494" t="s">
        <v>11741</v>
      </c>
      <c r="B18494">
        <f>HYPERLINK("https://android.googlesource.com/platform/cts/+/d68a19a553d2fd229bb4ad118fefae06c84f55a8", "d68a19a553d2fd229bb4ad118fefae06c84f55a8")</f>
        <v>0</v>
      </c>
      <c r="C18494">
        <f>HYPERLINK("https://android.googlesource.com/platform/cts/+/11d33b0ad9c0ae71b1093c95950161894fea7758", "11d33b0ad9c0ae71b1093c95950161894fea7758")</f>
        <v>0</v>
      </c>
      <c r="D18494" t="s">
        <v>12306</v>
      </c>
      <c r="E18494" t="s">
        <v>14250</v>
      </c>
      <c r="F18494" t="s">
        <v>17133</v>
      </c>
      <c r="G18494" t="s">
        <v>19722</v>
      </c>
      <c r="H18494" t="s">
        <v>25689</v>
      </c>
      <c r="I18494" t="s">
        <v>1359</v>
      </c>
      <c r="J18494" t="s">
        <v>1358</v>
      </c>
      <c r="K18494" t="s">
        <v>1357</v>
      </c>
      <c r="L18494" t="s">
        <v>1358</v>
      </c>
    </row>
    <row r="18495" spans="1:13">
      <c r="H18495" t="s">
        <v>25989</v>
      </c>
      <c r="I18495" t="s">
        <v>1359</v>
      </c>
      <c r="J18495" t="s">
        <v>1358</v>
      </c>
      <c r="K18495" t="s">
        <v>1357</v>
      </c>
      <c r="L18495" t="s">
        <v>1358</v>
      </c>
    </row>
    <row r="18496" spans="1:13">
      <c r="F18496" t="s">
        <v>17136</v>
      </c>
      <c r="G18496" t="s">
        <v>19725</v>
      </c>
      <c r="H18496" t="s">
        <v>26002</v>
      </c>
      <c r="I18496" t="s">
        <v>1359</v>
      </c>
      <c r="J18496" t="s">
        <v>1358</v>
      </c>
      <c r="K18496" t="s">
        <v>1357</v>
      </c>
      <c r="L18496" t="s">
        <v>1358</v>
      </c>
    </row>
    <row r="18497" spans="1:13">
      <c r="F18497" t="s">
        <v>16138</v>
      </c>
      <c r="G18497" t="s">
        <v>18822</v>
      </c>
      <c r="H18497" t="s">
        <v>21803</v>
      </c>
      <c r="I18497" t="s">
        <v>1359</v>
      </c>
      <c r="J18497" t="s">
        <v>1358</v>
      </c>
      <c r="K18497" t="s">
        <v>1357</v>
      </c>
      <c r="L18497" t="s">
        <v>1358</v>
      </c>
    </row>
    <row r="18498" spans="1:13">
      <c r="F18498" t="s">
        <v>16682</v>
      </c>
      <c r="G18498" t="s">
        <v>19314</v>
      </c>
      <c r="H18498" t="s">
        <v>21803</v>
      </c>
      <c r="I18498" t="s">
        <v>1359</v>
      </c>
      <c r="J18498" t="s">
        <v>1358</v>
      </c>
      <c r="K18498" t="s">
        <v>1357</v>
      </c>
      <c r="L18498" t="s">
        <v>1358</v>
      </c>
    </row>
    <row r="18499" spans="1:13">
      <c r="A18499" t="s">
        <v>11742</v>
      </c>
      <c r="B18499">
        <f>HYPERLINK("https://android.googlesource.com/platform/cts/+/b739d8a9a3cef09e1ecc1655416d7fe1dbb3b252", "b739d8a9a3cef09e1ecc1655416d7fe1dbb3b252")</f>
        <v>0</v>
      </c>
      <c r="C18499">
        <f>HYPERLINK("https://android.googlesource.com/platform/cts/+/464610904b6cb7029e0b2c035af8524d7264df1d", "464610904b6cb7029e0b2c035af8524d7264df1d")</f>
        <v>0</v>
      </c>
      <c r="D18499" t="s">
        <v>12469</v>
      </c>
      <c r="E18499" t="s">
        <v>14251</v>
      </c>
      <c r="F18499" t="s">
        <v>17137</v>
      </c>
      <c r="G18499" t="s">
        <v>19726</v>
      </c>
      <c r="H18499" t="s">
        <v>26003</v>
      </c>
      <c r="I18499" t="s">
        <v>1359</v>
      </c>
      <c r="J18499" t="s">
        <v>1358</v>
      </c>
      <c r="K18499" t="s">
        <v>1357</v>
      </c>
      <c r="L18499" t="s">
        <v>1358</v>
      </c>
    </row>
    <row r="18500" spans="1:13">
      <c r="H18500" t="s">
        <v>26004</v>
      </c>
      <c r="I18500" t="s">
        <v>1359</v>
      </c>
      <c r="J18500" t="s">
        <v>1358</v>
      </c>
      <c r="K18500" t="s">
        <v>1357</v>
      </c>
      <c r="L18500" t="s">
        <v>1358</v>
      </c>
    </row>
    <row r="18501" spans="1:13">
      <c r="A18501" t="s">
        <v>11743</v>
      </c>
      <c r="B18501">
        <f>HYPERLINK("https://android.googlesource.com/platform/cts/+/bfea2b429a1c1d118a394be5078d3fc0be403477", "bfea2b429a1c1d118a394be5078d3fc0be403477")</f>
        <v>0</v>
      </c>
      <c r="C18501">
        <f>HYPERLINK("https://android.googlesource.com/platform/cts/+/e49c76f519bbd7f07828bb94296989de2fd03248", "e49c76f519bbd7f07828bb94296989de2fd03248")</f>
        <v>0</v>
      </c>
      <c r="D18501" t="s">
        <v>12470</v>
      </c>
      <c r="E18501" t="s">
        <v>14252</v>
      </c>
      <c r="F18501" t="s">
        <v>17138</v>
      </c>
      <c r="G18501" t="s">
        <v>17894</v>
      </c>
      <c r="H18501" t="s">
        <v>26005</v>
      </c>
      <c r="I18501" t="s">
        <v>1357</v>
      </c>
      <c r="J18501" t="s">
        <v>1357</v>
      </c>
      <c r="K18501" t="s">
        <v>1357</v>
      </c>
      <c r="L18501" t="s">
        <v>1357</v>
      </c>
    </row>
    <row r="18502" spans="1:13">
      <c r="H18502" t="s">
        <v>26006</v>
      </c>
      <c r="I18502" t="s">
        <v>1357</v>
      </c>
      <c r="J18502" t="s">
        <v>1357</v>
      </c>
      <c r="K18502" t="s">
        <v>1357</v>
      </c>
      <c r="L18502" t="s">
        <v>1357</v>
      </c>
    </row>
    <row r="18503" spans="1:13">
      <c r="A18503" t="s">
        <v>11744</v>
      </c>
      <c r="B18503">
        <f>HYPERLINK("https://android.googlesource.com/platform/cts/+/51d1e27002686c3271a10c3f3de48b8e75e19125", "51d1e27002686c3271a10c3f3de48b8e75e19125")</f>
        <v>0</v>
      </c>
      <c r="C18503">
        <f>HYPERLINK("https://android.googlesource.com/platform/cts/+/7734362ee7e3fe0fc1d5fe07b2ebdc17db3eb152", "7734362ee7e3fe0fc1d5fe07b2ebdc17db3eb152")</f>
        <v>0</v>
      </c>
      <c r="D18503" t="s">
        <v>12469</v>
      </c>
      <c r="E18503" t="s">
        <v>14253</v>
      </c>
      <c r="F18503" t="s">
        <v>17139</v>
      </c>
      <c r="G18503" t="s">
        <v>19727</v>
      </c>
      <c r="H18503" t="s">
        <v>26007</v>
      </c>
      <c r="I18503" t="s">
        <v>1358</v>
      </c>
      <c r="J18503" t="s">
        <v>1358</v>
      </c>
      <c r="K18503" t="s">
        <v>1358</v>
      </c>
      <c r="L18503" t="s">
        <v>1358</v>
      </c>
    </row>
    <row r="18504" spans="1:13">
      <c r="F18504" t="s">
        <v>17137</v>
      </c>
      <c r="G18504" t="s">
        <v>19726</v>
      </c>
      <c r="H18504" t="s">
        <v>26007</v>
      </c>
      <c r="I18504" t="s">
        <v>1358</v>
      </c>
      <c r="J18504" t="s">
        <v>1358</v>
      </c>
      <c r="K18504" t="s">
        <v>1358</v>
      </c>
      <c r="L18504" t="s">
        <v>1358</v>
      </c>
    </row>
    <row r="18505" spans="1:13">
      <c r="H18505" t="s">
        <v>26008</v>
      </c>
      <c r="I18505" t="s">
        <v>1359</v>
      </c>
      <c r="J18505" t="s">
        <v>1358</v>
      </c>
      <c r="K18505" t="s">
        <v>1357</v>
      </c>
      <c r="L18505" t="s">
        <v>1358</v>
      </c>
      <c r="M18505" t="s">
        <v>1361</v>
      </c>
    </row>
    <row r="18506" spans="1:13">
      <c r="H18506" t="s">
        <v>26009</v>
      </c>
      <c r="I18506" t="s">
        <v>1359</v>
      </c>
      <c r="J18506" t="s">
        <v>1358</v>
      </c>
      <c r="K18506" t="s">
        <v>1357</v>
      </c>
      <c r="L18506" t="s">
        <v>1358</v>
      </c>
    </row>
    <row r="18507" spans="1:13">
      <c r="A18507" t="s">
        <v>11745</v>
      </c>
      <c r="B18507">
        <f>HYPERLINK("https://android.googlesource.com/platform/cts/+/562583f26131f45b7db32c50d2d2ce1f1465c167", "562583f26131f45b7db32c50d2d2ce1f1465c167")</f>
        <v>0</v>
      </c>
      <c r="C18507">
        <f>HYPERLINK("https://android.googlesource.com/platform/cts/+/da2602313a3029c44df290b5c232b68052f7e806", "da2602313a3029c44df290b5c232b68052f7e806")</f>
        <v>0</v>
      </c>
      <c r="D18507" t="s">
        <v>12306</v>
      </c>
      <c r="E18507" t="s">
        <v>14254</v>
      </c>
      <c r="F18507" t="s">
        <v>17140</v>
      </c>
      <c r="G18507" t="s">
        <v>19728</v>
      </c>
      <c r="H18507" t="s">
        <v>26010</v>
      </c>
      <c r="I18507" t="s">
        <v>1359</v>
      </c>
      <c r="J18507" t="s">
        <v>1357</v>
      </c>
      <c r="K18507" t="s">
        <v>1357</v>
      </c>
      <c r="L18507" t="s">
        <v>1358</v>
      </c>
    </row>
    <row r="18508" spans="1:13">
      <c r="H18508" t="s">
        <v>26011</v>
      </c>
      <c r="I18508" t="s">
        <v>1359</v>
      </c>
      <c r="J18508" t="s">
        <v>1357</v>
      </c>
      <c r="K18508" t="s">
        <v>1357</v>
      </c>
      <c r="L18508" t="s">
        <v>1358</v>
      </c>
    </row>
    <row r="18509" spans="1:13">
      <c r="H18509" t="s">
        <v>26012</v>
      </c>
      <c r="I18509" t="s">
        <v>1359</v>
      </c>
      <c r="J18509" t="s">
        <v>1357</v>
      </c>
      <c r="K18509" t="s">
        <v>1357</v>
      </c>
      <c r="L18509" t="s">
        <v>1358</v>
      </c>
    </row>
    <row r="18510" spans="1:13">
      <c r="H18510" t="s">
        <v>26013</v>
      </c>
      <c r="I18510" t="s">
        <v>1359</v>
      </c>
      <c r="J18510" t="s">
        <v>1357</v>
      </c>
      <c r="K18510" t="s">
        <v>1357</v>
      </c>
      <c r="L18510" t="s">
        <v>1358</v>
      </c>
    </row>
    <row r="18511" spans="1:13">
      <c r="H18511" t="s">
        <v>26014</v>
      </c>
      <c r="I18511" t="s">
        <v>1359</v>
      </c>
      <c r="J18511" t="s">
        <v>1357</v>
      </c>
      <c r="K18511" t="s">
        <v>1357</v>
      </c>
      <c r="L18511" t="s">
        <v>1358</v>
      </c>
    </row>
    <row r="18512" spans="1:13">
      <c r="H18512" t="s">
        <v>26015</v>
      </c>
      <c r="I18512" t="s">
        <v>1359</v>
      </c>
      <c r="J18512" t="s">
        <v>1357</v>
      </c>
      <c r="K18512" t="s">
        <v>1357</v>
      </c>
      <c r="L18512" t="s">
        <v>1358</v>
      </c>
      <c r="M18512" t="s">
        <v>1361</v>
      </c>
    </row>
    <row r="18513" spans="1:13">
      <c r="H18513" t="s">
        <v>26016</v>
      </c>
      <c r="I18513" t="s">
        <v>1359</v>
      </c>
      <c r="J18513" t="s">
        <v>1357</v>
      </c>
      <c r="K18513" t="s">
        <v>1357</v>
      </c>
      <c r="L18513" t="s">
        <v>1358</v>
      </c>
    </row>
    <row r="18514" spans="1:13">
      <c r="H18514" t="s">
        <v>26017</v>
      </c>
      <c r="I18514" t="s">
        <v>1359</v>
      </c>
      <c r="J18514" t="s">
        <v>1357</v>
      </c>
      <c r="K18514" t="s">
        <v>1357</v>
      </c>
      <c r="L18514" t="s">
        <v>1358</v>
      </c>
    </row>
    <row r="18515" spans="1:13">
      <c r="H18515" t="s">
        <v>26018</v>
      </c>
      <c r="I18515" t="s">
        <v>1359</v>
      </c>
      <c r="J18515" t="s">
        <v>1357</v>
      </c>
      <c r="K18515" t="s">
        <v>1357</v>
      </c>
      <c r="L18515" t="s">
        <v>1358</v>
      </c>
    </row>
    <row r="18516" spans="1:13">
      <c r="A18516" t="s">
        <v>11746</v>
      </c>
      <c r="B18516">
        <f>HYPERLINK("https://android.googlesource.com/platform/cts/+/19b5e88bc64382ccc94c9c04d17ca64dbcb3b39b", "19b5e88bc64382ccc94c9c04d17ca64dbcb3b39b")</f>
        <v>0</v>
      </c>
      <c r="C18516">
        <f>HYPERLINK("https://android.googlesource.com/platform/cts/+/a3e55b33bea281b39d0bda9892ecc56fdf93e892", "a3e55b33bea281b39d0bda9892ecc56fdf93e892")</f>
        <v>0</v>
      </c>
      <c r="D18516" t="s">
        <v>12306</v>
      </c>
      <c r="E18516" t="s">
        <v>14255</v>
      </c>
      <c r="F18516" t="s">
        <v>17140</v>
      </c>
      <c r="G18516" t="s">
        <v>19728</v>
      </c>
      <c r="H18516" t="s">
        <v>26010</v>
      </c>
      <c r="I18516" t="s">
        <v>1359</v>
      </c>
      <c r="J18516" t="s">
        <v>1357</v>
      </c>
      <c r="K18516" t="s">
        <v>1357</v>
      </c>
      <c r="L18516" t="s">
        <v>1358</v>
      </c>
    </row>
    <row r="18517" spans="1:13">
      <c r="H18517" t="s">
        <v>26011</v>
      </c>
      <c r="I18517" t="s">
        <v>1359</v>
      </c>
      <c r="J18517" t="s">
        <v>1357</v>
      </c>
      <c r="K18517" t="s">
        <v>1357</v>
      </c>
      <c r="L18517" t="s">
        <v>1358</v>
      </c>
    </row>
    <row r="18518" spans="1:13">
      <c r="H18518" t="s">
        <v>26012</v>
      </c>
      <c r="I18518" t="s">
        <v>1359</v>
      </c>
      <c r="J18518" t="s">
        <v>1357</v>
      </c>
      <c r="K18518" t="s">
        <v>1357</v>
      </c>
      <c r="L18518" t="s">
        <v>1358</v>
      </c>
    </row>
    <row r="18519" spans="1:13">
      <c r="H18519" t="s">
        <v>26013</v>
      </c>
      <c r="I18519" t="s">
        <v>1359</v>
      </c>
      <c r="J18519" t="s">
        <v>1357</v>
      </c>
      <c r="K18519" t="s">
        <v>1357</v>
      </c>
      <c r="L18519" t="s">
        <v>1358</v>
      </c>
    </row>
    <row r="18520" spans="1:13">
      <c r="H18520" t="s">
        <v>26014</v>
      </c>
      <c r="I18520" t="s">
        <v>1359</v>
      </c>
      <c r="J18520" t="s">
        <v>1357</v>
      </c>
      <c r="K18520" t="s">
        <v>1357</v>
      </c>
      <c r="L18520" t="s">
        <v>1358</v>
      </c>
    </row>
    <row r="18521" spans="1:13">
      <c r="H18521" t="s">
        <v>26015</v>
      </c>
      <c r="I18521" t="s">
        <v>1359</v>
      </c>
      <c r="J18521" t="s">
        <v>1357</v>
      </c>
      <c r="K18521" t="s">
        <v>1357</v>
      </c>
      <c r="L18521" t="s">
        <v>1358</v>
      </c>
      <c r="M18521" t="s">
        <v>27499</v>
      </c>
    </row>
    <row r="18522" spans="1:13">
      <c r="H18522" t="s">
        <v>26016</v>
      </c>
      <c r="I18522" t="s">
        <v>1359</v>
      </c>
      <c r="J18522" t="s">
        <v>1357</v>
      </c>
      <c r="K18522" t="s">
        <v>1357</v>
      </c>
      <c r="L18522" t="s">
        <v>1358</v>
      </c>
    </row>
    <row r="18523" spans="1:13">
      <c r="H18523" t="s">
        <v>26017</v>
      </c>
      <c r="I18523" t="s">
        <v>1359</v>
      </c>
      <c r="J18523" t="s">
        <v>1357</v>
      </c>
      <c r="K18523" t="s">
        <v>1357</v>
      </c>
      <c r="L18523" t="s">
        <v>1358</v>
      </c>
    </row>
    <row r="18524" spans="1:13">
      <c r="H18524" t="s">
        <v>26018</v>
      </c>
      <c r="I18524" t="s">
        <v>1359</v>
      </c>
      <c r="J18524" t="s">
        <v>1357</v>
      </c>
      <c r="K18524" t="s">
        <v>1357</v>
      </c>
      <c r="L18524" t="s">
        <v>1358</v>
      </c>
    </row>
    <row r="18525" spans="1:13">
      <c r="A18525" t="s">
        <v>11747</v>
      </c>
      <c r="B18525">
        <f>HYPERLINK("https://android.googlesource.com/platform/cts/+/fac20484489a1521b93da8efb8afd7e9e181f3cd", "fac20484489a1521b93da8efb8afd7e9e181f3cd")</f>
        <v>0</v>
      </c>
      <c r="C18525">
        <f>HYPERLINK("https://android.googlesource.com/platform/cts/+/db86295685fb2d24a838b2b1ee3e56b0e3c358fc", "db86295685fb2d24a838b2b1ee3e56b0e3c358fc")</f>
        <v>0</v>
      </c>
      <c r="D18525" t="s">
        <v>12405</v>
      </c>
      <c r="E18525" t="s">
        <v>14256</v>
      </c>
      <c r="F18525" t="s">
        <v>17141</v>
      </c>
      <c r="G18525" t="s">
        <v>19729</v>
      </c>
      <c r="H18525" t="s">
        <v>26019</v>
      </c>
      <c r="I18525" t="s">
        <v>1359</v>
      </c>
      <c r="J18525" t="s">
        <v>1358</v>
      </c>
      <c r="K18525" t="s">
        <v>1358</v>
      </c>
      <c r="L18525" t="s">
        <v>1357</v>
      </c>
    </row>
    <row r="18526" spans="1:13">
      <c r="A18526" t="s">
        <v>11748</v>
      </c>
      <c r="B18526">
        <f>HYPERLINK("https://android.googlesource.com/platform/cts/+/f51224949188a760cf007302fc29640951a45e7d", "f51224949188a760cf007302fc29640951a45e7d")</f>
        <v>0</v>
      </c>
      <c r="C18526">
        <f>HYPERLINK("https://android.googlesource.com/platform/cts/+/93c0427f66b8918067e8f45f0ad62dcd21da52d0", "93c0427f66b8918067e8f45f0ad62dcd21da52d0")</f>
        <v>0</v>
      </c>
      <c r="D18526" t="s">
        <v>12461</v>
      </c>
      <c r="E18526" t="s">
        <v>14257</v>
      </c>
      <c r="F18526" t="s">
        <v>17142</v>
      </c>
      <c r="G18526" t="s">
        <v>19730</v>
      </c>
      <c r="H18526" t="s">
        <v>26020</v>
      </c>
      <c r="I18526" t="s">
        <v>1357</v>
      </c>
      <c r="J18526" t="s">
        <v>1357</v>
      </c>
      <c r="K18526" t="s">
        <v>1357</v>
      </c>
      <c r="L18526" t="s">
        <v>1357</v>
      </c>
    </row>
    <row r="18527" spans="1:13">
      <c r="F18527" t="s">
        <v>17143</v>
      </c>
      <c r="G18527" t="s">
        <v>19731</v>
      </c>
      <c r="H18527" t="s">
        <v>26021</v>
      </c>
      <c r="I18527" t="s">
        <v>1357</v>
      </c>
      <c r="J18527" t="s">
        <v>1357</v>
      </c>
      <c r="K18527" t="s">
        <v>1357</v>
      </c>
      <c r="L18527" t="s">
        <v>1357</v>
      </c>
    </row>
    <row r="18528" spans="1:13">
      <c r="H18528" t="s">
        <v>26022</v>
      </c>
      <c r="I18528" t="s">
        <v>1357</v>
      </c>
      <c r="J18528" t="s">
        <v>1357</v>
      </c>
      <c r="K18528" t="s">
        <v>1357</v>
      </c>
      <c r="L18528" t="s">
        <v>1357</v>
      </c>
    </row>
    <row r="18529" spans="1:12">
      <c r="F18529" t="s">
        <v>17144</v>
      </c>
      <c r="G18529" t="s">
        <v>19732</v>
      </c>
      <c r="H18529" t="s">
        <v>26020</v>
      </c>
      <c r="I18529" t="s">
        <v>1357</v>
      </c>
      <c r="J18529" t="s">
        <v>1357</v>
      </c>
      <c r="K18529" t="s">
        <v>1357</v>
      </c>
      <c r="L18529" t="s">
        <v>1357</v>
      </c>
    </row>
    <row r="18530" spans="1:12">
      <c r="A18530" t="s">
        <v>11749</v>
      </c>
      <c r="B18530">
        <f>HYPERLINK("https://android.googlesource.com/platform/cts/+/bc80a038f8de952f31ac9396f00b3908ccf134e7", "bc80a038f8de952f31ac9396f00b3908ccf134e7")</f>
        <v>0</v>
      </c>
      <c r="C18530">
        <f>HYPERLINK("https://android.googlesource.com/platform/cts/+/5cc0002148066a6bc92bc761e08e31a431667e71", "5cc0002148066a6bc92bc761e08e31a431667e71")</f>
        <v>0</v>
      </c>
      <c r="D18530" t="s">
        <v>12471</v>
      </c>
      <c r="E18530" t="s">
        <v>14258</v>
      </c>
      <c r="F18530" t="s">
        <v>16380</v>
      </c>
      <c r="G18530" t="s">
        <v>19048</v>
      </c>
      <c r="H18530" t="s">
        <v>26023</v>
      </c>
      <c r="I18530" t="s">
        <v>1357</v>
      </c>
      <c r="J18530" t="s">
        <v>1357</v>
      </c>
      <c r="K18530" t="s">
        <v>1357</v>
      </c>
      <c r="L18530" t="s">
        <v>1357</v>
      </c>
    </row>
    <row r="18531" spans="1:12">
      <c r="A18531" t="s">
        <v>11750</v>
      </c>
      <c r="B18531">
        <f>HYPERLINK("https://android.googlesource.com/platform/cts/+/4b73d374ef778ffcaa4bfd141a2b675872f93b24", "4b73d374ef778ffcaa4bfd141a2b675872f93b24")</f>
        <v>0</v>
      </c>
      <c r="C18531">
        <f>HYPERLINK("https://android.googlesource.com/platform/cts/+/35648503dfd4e0662e876614f883be2803c6c75e", "35648503dfd4e0662e876614f883be2803c6c75e")</f>
        <v>0</v>
      </c>
      <c r="D18531" t="s">
        <v>12472</v>
      </c>
      <c r="E18531" t="s">
        <v>14259</v>
      </c>
      <c r="F18531" t="s">
        <v>17058</v>
      </c>
      <c r="G18531" t="s">
        <v>19657</v>
      </c>
      <c r="H18531" t="s">
        <v>26024</v>
      </c>
      <c r="I18531" t="s">
        <v>1358</v>
      </c>
      <c r="J18531" t="s">
        <v>1358</v>
      </c>
      <c r="K18531" t="s">
        <v>1358</v>
      </c>
      <c r="L18531" t="s">
        <v>1358</v>
      </c>
    </row>
    <row r="18532" spans="1:12">
      <c r="A18532" t="s">
        <v>11751</v>
      </c>
      <c r="B18532">
        <f>HYPERLINK("https://android.googlesource.com/platform/cts/+/f45369f736584e1545d2b4f3204424c07f56c52f", "f45369f736584e1545d2b4f3204424c07f56c52f")</f>
        <v>0</v>
      </c>
      <c r="C18532">
        <f>HYPERLINK("https://android.googlesource.com/platform/cts/+/ad9dab12a47e721c21daaf598626f0966c218b99", "ad9dab12a47e721c21daaf598626f0966c218b99")</f>
        <v>0</v>
      </c>
      <c r="D18532" t="s">
        <v>12413</v>
      </c>
      <c r="E18532" t="s">
        <v>14260</v>
      </c>
      <c r="F18532" t="s">
        <v>17005</v>
      </c>
      <c r="G18532" t="s">
        <v>19607</v>
      </c>
      <c r="H18532" t="s">
        <v>25493</v>
      </c>
      <c r="I18532" t="s">
        <v>1357</v>
      </c>
      <c r="J18532" t="s">
        <v>1357</v>
      </c>
      <c r="K18532" t="s">
        <v>1357</v>
      </c>
      <c r="L18532" t="s">
        <v>1357</v>
      </c>
    </row>
    <row r="18533" spans="1:12">
      <c r="A18533" t="s">
        <v>11752</v>
      </c>
      <c r="B18533">
        <f>HYPERLINK("https://android.googlesource.com/platform/cts/+/3fe97654b19ddd310ee47d7ff3ab8a5fb6eb823c", "3fe97654b19ddd310ee47d7ff3ab8a5fb6eb823c")</f>
        <v>0</v>
      </c>
      <c r="C18533">
        <f>HYPERLINK("https://android.googlesource.com/platform/cts/+/19e702e9d30c8e2fe6eac7b1fd2c447af5a84af9", "19e702e9d30c8e2fe6eac7b1fd2c447af5a84af9")</f>
        <v>0</v>
      </c>
      <c r="D18533" t="s">
        <v>12473</v>
      </c>
      <c r="E18533" t="s">
        <v>14261</v>
      </c>
      <c r="F18533" t="s">
        <v>16463</v>
      </c>
      <c r="G18533" t="s">
        <v>18722</v>
      </c>
      <c r="H18533" t="s">
        <v>26025</v>
      </c>
      <c r="I18533" t="s">
        <v>1357</v>
      </c>
      <c r="J18533" t="s">
        <v>1357</v>
      </c>
      <c r="K18533" t="s">
        <v>1357</v>
      </c>
      <c r="L18533" t="s">
        <v>1357</v>
      </c>
    </row>
    <row r="18534" spans="1:12">
      <c r="A18534" t="s">
        <v>11753</v>
      </c>
      <c r="B18534">
        <f>HYPERLINK("https://android.googlesource.com/platform/cts/+/e116edd8fc9e01bde4156ba43210c14a4190c7a5", "e116edd8fc9e01bde4156ba43210c14a4190c7a5")</f>
        <v>0</v>
      </c>
      <c r="C18534">
        <f>HYPERLINK("https://android.googlesource.com/platform/cts/+/74fad4d53b3e34921de625a64ae6d9f0aa1c832d", "74fad4d53b3e34921de625a64ae6d9f0aa1c832d")</f>
        <v>0</v>
      </c>
      <c r="D18534" t="s">
        <v>12414</v>
      </c>
      <c r="E18534" t="s">
        <v>14262</v>
      </c>
      <c r="F18534" t="s">
        <v>17123</v>
      </c>
      <c r="G18534" t="s">
        <v>19246</v>
      </c>
      <c r="H18534" t="s">
        <v>26026</v>
      </c>
      <c r="I18534" t="s">
        <v>1359</v>
      </c>
      <c r="J18534" t="s">
        <v>1358</v>
      </c>
      <c r="K18534" t="s">
        <v>1358</v>
      </c>
      <c r="L18534" t="s">
        <v>1357</v>
      </c>
    </row>
    <row r="18535" spans="1:12">
      <c r="H18535" t="s">
        <v>26027</v>
      </c>
      <c r="I18535" t="s">
        <v>1359</v>
      </c>
      <c r="J18535" t="s">
        <v>1358</v>
      </c>
      <c r="K18535" t="s">
        <v>1358</v>
      </c>
      <c r="L18535" t="s">
        <v>1357</v>
      </c>
    </row>
    <row r="18536" spans="1:12">
      <c r="A18536" t="s">
        <v>11754</v>
      </c>
      <c r="B18536">
        <f>HYPERLINK("https://android.googlesource.com/platform/cts/+/9a30fca9f8f4c6da04af1c5a8895a18749acb094", "9a30fca9f8f4c6da04af1c5a8895a18749acb094")</f>
        <v>0</v>
      </c>
      <c r="C18536">
        <f>HYPERLINK("https://android.googlesource.com/platform/cts/+/0ddee11e4fef17db7d7e5538e8ffd80b4fd70b39", "0ddee11e4fef17db7d7e5538e8ffd80b4fd70b39")</f>
        <v>0</v>
      </c>
      <c r="D18536" t="s">
        <v>12306</v>
      </c>
      <c r="E18536" t="s">
        <v>14263</v>
      </c>
      <c r="F18536" t="s">
        <v>16138</v>
      </c>
      <c r="G18536" t="s">
        <v>18822</v>
      </c>
      <c r="H18536" t="s">
        <v>26028</v>
      </c>
      <c r="I18536" t="s">
        <v>1357</v>
      </c>
      <c r="J18536" t="s">
        <v>1357</v>
      </c>
      <c r="K18536" t="s">
        <v>1357</v>
      </c>
      <c r="L18536" t="s">
        <v>1357</v>
      </c>
    </row>
    <row r="18537" spans="1:12">
      <c r="H18537" t="s">
        <v>26029</v>
      </c>
      <c r="I18537" t="s">
        <v>1357</v>
      </c>
      <c r="J18537" t="s">
        <v>1357</v>
      </c>
      <c r="K18537" t="s">
        <v>1357</v>
      </c>
      <c r="L18537" t="s">
        <v>1357</v>
      </c>
    </row>
    <row r="18538" spans="1:12">
      <c r="H18538" t="s">
        <v>26030</v>
      </c>
      <c r="I18538" t="s">
        <v>1357</v>
      </c>
      <c r="J18538" t="s">
        <v>1357</v>
      </c>
      <c r="K18538" t="s">
        <v>1357</v>
      </c>
      <c r="L18538" t="s">
        <v>1357</v>
      </c>
    </row>
    <row r="18539" spans="1:12">
      <c r="H18539" t="s">
        <v>26031</v>
      </c>
      <c r="I18539" t="s">
        <v>1357</v>
      </c>
      <c r="J18539" t="s">
        <v>1357</v>
      </c>
      <c r="K18539" t="s">
        <v>1357</v>
      </c>
      <c r="L18539" t="s">
        <v>1357</v>
      </c>
    </row>
    <row r="18540" spans="1:12">
      <c r="F18540" t="s">
        <v>16682</v>
      </c>
      <c r="G18540" t="s">
        <v>19314</v>
      </c>
      <c r="H18540" t="s">
        <v>26028</v>
      </c>
      <c r="I18540" t="s">
        <v>1357</v>
      </c>
      <c r="J18540" t="s">
        <v>1357</v>
      </c>
      <c r="K18540" t="s">
        <v>1357</v>
      </c>
      <c r="L18540" t="s">
        <v>1357</v>
      </c>
    </row>
    <row r="18541" spans="1:12">
      <c r="H18541" t="s">
        <v>26029</v>
      </c>
      <c r="I18541" t="s">
        <v>1357</v>
      </c>
      <c r="J18541" t="s">
        <v>1357</v>
      </c>
      <c r="K18541" t="s">
        <v>1357</v>
      </c>
      <c r="L18541" t="s">
        <v>1357</v>
      </c>
    </row>
    <row r="18542" spans="1:12">
      <c r="A18542" t="s">
        <v>11755</v>
      </c>
      <c r="B18542">
        <f>HYPERLINK("https://android.googlesource.com/platform/cts/+/1f6856c65d27ec7adbbb54693bbd721e5e08a133", "1f6856c65d27ec7adbbb54693bbd721e5e08a133")</f>
        <v>0</v>
      </c>
      <c r="C18542">
        <f>HYPERLINK("https://android.googlesource.com/platform/cts/+/97d7d5f16429d09b8c23e66ff92c28074b491e14", "97d7d5f16429d09b8c23e66ff92c28074b491e14")</f>
        <v>0</v>
      </c>
      <c r="D18542" t="s">
        <v>12306</v>
      </c>
      <c r="E18542" t="s">
        <v>14264</v>
      </c>
      <c r="F18542" t="s">
        <v>16861</v>
      </c>
      <c r="G18542" t="s">
        <v>19474</v>
      </c>
      <c r="H18542" t="s">
        <v>26032</v>
      </c>
      <c r="I18542" t="s">
        <v>1359</v>
      </c>
      <c r="J18542" t="s">
        <v>1358</v>
      </c>
      <c r="K18542" t="s">
        <v>1357</v>
      </c>
      <c r="L18542" t="s">
        <v>1358</v>
      </c>
    </row>
    <row r="18543" spans="1:12">
      <c r="F18543" t="s">
        <v>16966</v>
      </c>
      <c r="G18543" t="s">
        <v>19575</v>
      </c>
      <c r="H18543" t="s">
        <v>26033</v>
      </c>
      <c r="I18543" t="s">
        <v>1359</v>
      </c>
      <c r="J18543" t="s">
        <v>1358</v>
      </c>
      <c r="K18543" t="s">
        <v>1357</v>
      </c>
      <c r="L18543" t="s">
        <v>1358</v>
      </c>
    </row>
    <row r="18544" spans="1:12">
      <c r="F18544" t="s">
        <v>16138</v>
      </c>
      <c r="G18544" t="s">
        <v>18822</v>
      </c>
      <c r="H18544" t="s">
        <v>26032</v>
      </c>
      <c r="I18544" t="s">
        <v>1359</v>
      </c>
      <c r="J18544" t="s">
        <v>1358</v>
      </c>
      <c r="K18544" t="s">
        <v>1357</v>
      </c>
      <c r="L18544" t="s">
        <v>1358</v>
      </c>
    </row>
    <row r="18545" spans="1:12">
      <c r="F18545" t="s">
        <v>16987</v>
      </c>
      <c r="G18545" t="s">
        <v>19591</v>
      </c>
      <c r="H18545" t="s">
        <v>23616</v>
      </c>
      <c r="I18545" t="s">
        <v>1359</v>
      </c>
      <c r="J18545" t="s">
        <v>1358</v>
      </c>
      <c r="K18545" t="s">
        <v>1357</v>
      </c>
      <c r="L18545" t="s">
        <v>1358</v>
      </c>
    </row>
    <row r="18546" spans="1:12">
      <c r="A18546" t="s">
        <v>11756</v>
      </c>
      <c r="B18546">
        <f>HYPERLINK("https://android.googlesource.com/platform/cts/+/b4454b4ac95ea4076cc07152e288c78c0ebcb404", "b4454b4ac95ea4076cc07152e288c78c0ebcb404")</f>
        <v>0</v>
      </c>
      <c r="C18546">
        <f>HYPERLINK("https://android.googlesource.com/platform/cts/+/55e11d1cbf4812e764e1de79426a1dc27d225405", "55e11d1cbf4812e764e1de79426a1dc27d225405")</f>
        <v>0</v>
      </c>
      <c r="D18546" t="s">
        <v>12367</v>
      </c>
      <c r="E18546" t="s">
        <v>14265</v>
      </c>
      <c r="F18546" t="s">
        <v>17145</v>
      </c>
      <c r="G18546" t="s">
        <v>19733</v>
      </c>
      <c r="H18546" t="s">
        <v>26034</v>
      </c>
      <c r="I18546" t="s">
        <v>1357</v>
      </c>
      <c r="J18546" t="s">
        <v>1357</v>
      </c>
      <c r="K18546" t="s">
        <v>1357</v>
      </c>
      <c r="L18546" t="s">
        <v>1357</v>
      </c>
    </row>
    <row r="18547" spans="1:12">
      <c r="A18547" t="s">
        <v>11757</v>
      </c>
      <c r="B18547">
        <f>HYPERLINK("https://android.googlesource.com/platform/cts/+/24bfdb150a0ebeafa1e465a899bc63ca61663d78", "24bfdb150a0ebeafa1e465a899bc63ca61663d78")</f>
        <v>0</v>
      </c>
      <c r="C18547">
        <f>HYPERLINK("https://android.googlesource.com/platform/cts/+/96332e458ab5c8be69cdd7afbc07879eeb437059", "96332e458ab5c8be69cdd7afbc07879eeb437059")</f>
        <v>0</v>
      </c>
      <c r="D18547" t="s">
        <v>12306</v>
      </c>
      <c r="E18547" t="s">
        <v>14266</v>
      </c>
      <c r="F18547" t="s">
        <v>16778</v>
      </c>
      <c r="G18547" t="s">
        <v>19402</v>
      </c>
      <c r="H18547" t="s">
        <v>26035</v>
      </c>
      <c r="I18547" t="s">
        <v>1357</v>
      </c>
      <c r="J18547" t="s">
        <v>1357</v>
      </c>
      <c r="K18547" t="s">
        <v>1357</v>
      </c>
      <c r="L18547" t="s">
        <v>1357</v>
      </c>
    </row>
    <row r="18548" spans="1:12">
      <c r="F18548" t="s">
        <v>16780</v>
      </c>
      <c r="G18548" t="s">
        <v>19404</v>
      </c>
      <c r="H18548" t="s">
        <v>26035</v>
      </c>
      <c r="I18548" t="s">
        <v>1357</v>
      </c>
      <c r="J18548" t="s">
        <v>1357</v>
      </c>
      <c r="K18548" t="s">
        <v>1357</v>
      </c>
      <c r="L18548" t="s">
        <v>1357</v>
      </c>
    </row>
    <row r="18549" spans="1:12">
      <c r="F18549" t="s">
        <v>16144</v>
      </c>
      <c r="G18549" t="s">
        <v>18828</v>
      </c>
      <c r="H18549" t="s">
        <v>26035</v>
      </c>
      <c r="I18549" t="s">
        <v>1357</v>
      </c>
      <c r="J18549" t="s">
        <v>1357</v>
      </c>
      <c r="K18549" t="s">
        <v>1357</v>
      </c>
      <c r="L18549" t="s">
        <v>1357</v>
      </c>
    </row>
    <row r="18550" spans="1:12">
      <c r="F18550" t="s">
        <v>16138</v>
      </c>
      <c r="G18550" t="s">
        <v>18822</v>
      </c>
      <c r="H18550" t="s">
        <v>26035</v>
      </c>
      <c r="I18550" t="s">
        <v>1357</v>
      </c>
      <c r="J18550" t="s">
        <v>1357</v>
      </c>
      <c r="K18550" t="s">
        <v>1357</v>
      </c>
      <c r="L18550" t="s">
        <v>1357</v>
      </c>
    </row>
    <row r="18551" spans="1:12">
      <c r="F18551" t="s">
        <v>16682</v>
      </c>
      <c r="G18551" t="s">
        <v>19314</v>
      </c>
      <c r="H18551" t="s">
        <v>26035</v>
      </c>
      <c r="I18551" t="s">
        <v>1357</v>
      </c>
      <c r="J18551" t="s">
        <v>1357</v>
      </c>
      <c r="K18551" t="s">
        <v>1357</v>
      </c>
      <c r="L18551" t="s">
        <v>1357</v>
      </c>
    </row>
    <row r="18552" spans="1:12">
      <c r="A18552" t="s">
        <v>11758</v>
      </c>
      <c r="B18552">
        <f>HYPERLINK("https://android.googlesource.com/platform/cts/+/fa3a99538ff1124586f9bb889ab909a853d55d71", "fa3a99538ff1124586f9bb889ab909a853d55d71")</f>
        <v>0</v>
      </c>
      <c r="C18552">
        <f>HYPERLINK("https://android.googlesource.com/platform/cts/+/42df9fa626b9885f906594642591dc133c8ae506", "42df9fa626b9885f906594642591dc133c8ae506")</f>
        <v>0</v>
      </c>
      <c r="D18552" t="s">
        <v>12122</v>
      </c>
      <c r="E18552" t="s">
        <v>14267</v>
      </c>
      <c r="F18552" t="s">
        <v>17146</v>
      </c>
      <c r="G18552" t="s">
        <v>19734</v>
      </c>
      <c r="H18552" t="s">
        <v>26036</v>
      </c>
      <c r="I18552" t="s">
        <v>1358</v>
      </c>
      <c r="J18552" t="s">
        <v>1358</v>
      </c>
      <c r="K18552" t="s">
        <v>1358</v>
      </c>
      <c r="L18552" t="s">
        <v>1358</v>
      </c>
    </row>
    <row r="18553" spans="1:12">
      <c r="H18553" t="s">
        <v>26037</v>
      </c>
      <c r="I18553" t="s">
        <v>1358</v>
      </c>
      <c r="J18553" t="s">
        <v>1358</v>
      </c>
      <c r="K18553" t="s">
        <v>1358</v>
      </c>
      <c r="L18553" t="s">
        <v>1358</v>
      </c>
    </row>
    <row r="18554" spans="1:12">
      <c r="A18554" t="s">
        <v>11759</v>
      </c>
      <c r="B18554">
        <f>HYPERLINK("https://android.googlesource.com/platform/cts/+/fe2c9e9fb070ee40ae223375ed9143a927b96bf2", "fe2c9e9fb070ee40ae223375ed9143a927b96bf2")</f>
        <v>0</v>
      </c>
      <c r="C18554">
        <f>HYPERLINK("https://android.googlesource.com/platform/cts/+/473715dfebbe96a6b0b9bd4823a2402bbe81e537", "473715dfebbe96a6b0b9bd4823a2402bbe81e537")</f>
        <v>0</v>
      </c>
      <c r="D18554" t="s">
        <v>12290</v>
      </c>
      <c r="E18554" t="s">
        <v>14268</v>
      </c>
      <c r="F18554" t="s">
        <v>16656</v>
      </c>
      <c r="G18554" t="s">
        <v>19290</v>
      </c>
      <c r="H18554" t="s">
        <v>26038</v>
      </c>
      <c r="I18554" t="s">
        <v>1357</v>
      </c>
      <c r="J18554" t="s">
        <v>1357</v>
      </c>
      <c r="K18554" t="s">
        <v>1357</v>
      </c>
      <c r="L18554" t="s">
        <v>1357</v>
      </c>
    </row>
    <row r="18555" spans="1:12">
      <c r="A18555" t="s">
        <v>11760</v>
      </c>
      <c r="B18555">
        <f>HYPERLINK("https://android.googlesource.com/platform/cts/+/7a60317b587417f071bc6ab0c670c66b488e35b9", "7a60317b587417f071bc6ab0c670c66b488e35b9")</f>
        <v>0</v>
      </c>
      <c r="C18555">
        <f>HYPERLINK("https://android.googlesource.com/platform/cts/+/17e848e89df07027c6a718bb33f24d06d2d15366", "17e848e89df07027c6a718bb33f24d06d2d15366")</f>
        <v>0</v>
      </c>
      <c r="D18555" t="s">
        <v>12378</v>
      </c>
      <c r="E18555" t="s">
        <v>14269</v>
      </c>
      <c r="F18555" t="s">
        <v>17147</v>
      </c>
      <c r="G18555" t="s">
        <v>19735</v>
      </c>
      <c r="H18555" t="s">
        <v>26039</v>
      </c>
      <c r="I18555" t="s">
        <v>1357</v>
      </c>
      <c r="J18555" t="s">
        <v>1357</v>
      </c>
      <c r="K18555" t="s">
        <v>1357</v>
      </c>
      <c r="L18555" t="s">
        <v>1357</v>
      </c>
    </row>
    <row r="18556" spans="1:12">
      <c r="H18556" t="s">
        <v>26040</v>
      </c>
      <c r="I18556" t="s">
        <v>1357</v>
      </c>
      <c r="J18556" t="s">
        <v>1357</v>
      </c>
      <c r="K18556" t="s">
        <v>1357</v>
      </c>
      <c r="L18556" t="s">
        <v>1357</v>
      </c>
    </row>
    <row r="18557" spans="1:12">
      <c r="H18557" t="s">
        <v>26041</v>
      </c>
      <c r="I18557" t="s">
        <v>1357</v>
      </c>
      <c r="J18557" t="s">
        <v>1357</v>
      </c>
      <c r="K18557" t="s">
        <v>1357</v>
      </c>
      <c r="L18557" t="s">
        <v>1357</v>
      </c>
    </row>
    <row r="18558" spans="1:12">
      <c r="H18558" t="s">
        <v>26042</v>
      </c>
      <c r="I18558" t="s">
        <v>1357</v>
      </c>
      <c r="J18558" t="s">
        <v>1357</v>
      </c>
      <c r="K18558" t="s">
        <v>1357</v>
      </c>
      <c r="L18558" t="s">
        <v>1357</v>
      </c>
    </row>
    <row r="18559" spans="1:12">
      <c r="A18559" t="s">
        <v>11761</v>
      </c>
      <c r="B18559">
        <f>HYPERLINK("https://android.googlesource.com/platform/cts/+/54c31e41132932492fcccfe0336f405138bfa454", "54c31e41132932492fcccfe0336f405138bfa454")</f>
        <v>0</v>
      </c>
      <c r="C18559">
        <f>HYPERLINK("https://android.googlesource.com/platform/cts/+/1589ac3f1024c9db651b0288a86587035f940829", "1589ac3f1024c9db651b0288a86587035f940829")</f>
        <v>0</v>
      </c>
      <c r="D18559" t="s">
        <v>12337</v>
      </c>
      <c r="E18559" t="s">
        <v>14270</v>
      </c>
      <c r="F18559" t="s">
        <v>16864</v>
      </c>
      <c r="G18559" t="s">
        <v>19477</v>
      </c>
      <c r="H18559" t="s">
        <v>26043</v>
      </c>
      <c r="I18559" t="s">
        <v>1357</v>
      </c>
      <c r="J18559" t="s">
        <v>1357</v>
      </c>
      <c r="K18559" t="s">
        <v>1357</v>
      </c>
      <c r="L18559" t="s">
        <v>1357</v>
      </c>
    </row>
    <row r="18560" spans="1:12">
      <c r="A18560" t="s">
        <v>11762</v>
      </c>
      <c r="B18560">
        <f>HYPERLINK("https://android.googlesource.com/platform/cts/+/93e479813b6564b179d42d91bb5aed61b393f0a8", "93e479813b6564b179d42d91bb5aed61b393f0a8")</f>
        <v>0</v>
      </c>
      <c r="C18560">
        <f>HYPERLINK("https://android.googlesource.com/platform/cts/+/e8c1b8e3a818f990c7d2898c8987363316590b63", "e8c1b8e3a818f990c7d2898c8987363316590b63")</f>
        <v>0</v>
      </c>
      <c r="D18560" t="s">
        <v>12474</v>
      </c>
      <c r="E18560" t="s">
        <v>14271</v>
      </c>
      <c r="F18560" t="s">
        <v>16508</v>
      </c>
      <c r="G18560" t="s">
        <v>19166</v>
      </c>
      <c r="H18560" t="s">
        <v>26044</v>
      </c>
      <c r="I18560" t="s">
        <v>1357</v>
      </c>
      <c r="J18560" t="s">
        <v>1357</v>
      </c>
      <c r="K18560" t="s">
        <v>1357</v>
      </c>
      <c r="L18560" t="s">
        <v>1357</v>
      </c>
    </row>
    <row r="18561" spans="1:12">
      <c r="F18561" t="s">
        <v>17148</v>
      </c>
      <c r="G18561" t="s">
        <v>19736</v>
      </c>
      <c r="H18561" t="s">
        <v>26044</v>
      </c>
      <c r="I18561" t="s">
        <v>1357</v>
      </c>
      <c r="J18561" t="s">
        <v>1357</v>
      </c>
      <c r="K18561" t="s">
        <v>1357</v>
      </c>
      <c r="L18561" t="s">
        <v>1357</v>
      </c>
    </row>
    <row r="18562" spans="1:12">
      <c r="A18562" t="s">
        <v>11763</v>
      </c>
      <c r="B18562">
        <f>HYPERLINK("https://android.googlesource.com/platform/cts/+/27887a50ff11a1e4769ff39979870923ce7e0f25", "27887a50ff11a1e4769ff39979870923ce7e0f25")</f>
        <v>0</v>
      </c>
      <c r="C18562">
        <f>HYPERLINK("https://android.googlesource.com/platform/cts/+/c21ab94d0d1ed450f5a0881103cbd5da616bec96", "c21ab94d0d1ed450f5a0881103cbd5da616bec96")</f>
        <v>0</v>
      </c>
      <c r="D18562" t="s">
        <v>12348</v>
      </c>
      <c r="E18562" t="s">
        <v>14272</v>
      </c>
      <c r="F18562" t="s">
        <v>16996</v>
      </c>
      <c r="G18562" t="s">
        <v>19599</v>
      </c>
      <c r="H18562" t="s">
        <v>25699</v>
      </c>
      <c r="I18562" t="s">
        <v>1357</v>
      </c>
      <c r="J18562" t="s">
        <v>1357</v>
      </c>
      <c r="K18562" t="s">
        <v>1357</v>
      </c>
      <c r="L18562" t="s">
        <v>1357</v>
      </c>
    </row>
    <row r="18563" spans="1:12">
      <c r="H18563" t="s">
        <v>25700</v>
      </c>
      <c r="I18563" t="s">
        <v>1357</v>
      </c>
      <c r="J18563" t="s">
        <v>1357</v>
      </c>
      <c r="K18563" t="s">
        <v>1357</v>
      </c>
      <c r="L18563" t="s">
        <v>1357</v>
      </c>
    </row>
    <row r="18564" spans="1:12">
      <c r="F18564" t="s">
        <v>16997</v>
      </c>
      <c r="G18564" t="s">
        <v>19600</v>
      </c>
      <c r="H18564" t="s">
        <v>25699</v>
      </c>
      <c r="I18564" t="s">
        <v>1357</v>
      </c>
      <c r="J18564" t="s">
        <v>1357</v>
      </c>
      <c r="K18564" t="s">
        <v>1357</v>
      </c>
      <c r="L18564" t="s">
        <v>1357</v>
      </c>
    </row>
    <row r="18565" spans="1:12">
      <c r="H18565" t="s">
        <v>25700</v>
      </c>
      <c r="I18565" t="s">
        <v>1357</v>
      </c>
      <c r="J18565" t="s">
        <v>1357</v>
      </c>
      <c r="K18565" t="s">
        <v>1357</v>
      </c>
      <c r="L18565" t="s">
        <v>1357</v>
      </c>
    </row>
    <row r="18566" spans="1:12">
      <c r="A18566" t="s">
        <v>11764</v>
      </c>
      <c r="B18566">
        <f>HYPERLINK("https://android.googlesource.com/platform/cts/+/7da23f3b662b11d051f54dd946cab27600ddde25", "7da23f3b662b11d051f54dd946cab27600ddde25")</f>
        <v>0</v>
      </c>
      <c r="C18566">
        <f>HYPERLINK("https://android.googlesource.com/platform/cts/+/f3e1e5af4472d6d8953e95add8e67a631ee3471d", "f3e1e5af4472d6d8953e95add8e67a631ee3471d")</f>
        <v>0</v>
      </c>
      <c r="D18566" t="s">
        <v>12475</v>
      </c>
      <c r="E18566" t="s">
        <v>14273</v>
      </c>
      <c r="F18566" t="s">
        <v>17149</v>
      </c>
      <c r="G18566" t="s">
        <v>19447</v>
      </c>
      <c r="H18566" t="s">
        <v>26045</v>
      </c>
      <c r="I18566" t="s">
        <v>1358</v>
      </c>
      <c r="J18566" t="s">
        <v>1358</v>
      </c>
      <c r="K18566" t="s">
        <v>1358</v>
      </c>
      <c r="L18566" t="s">
        <v>1358</v>
      </c>
    </row>
    <row r="18567" spans="1:12">
      <c r="A18567" t="s">
        <v>11765</v>
      </c>
      <c r="B18567">
        <f>HYPERLINK("https://android.googlesource.com/platform/cts/+/f2b0346a3b40f64394abea4d4a28de12fbca4938", "f2b0346a3b40f64394abea4d4a28de12fbca4938")</f>
        <v>0</v>
      </c>
      <c r="C18567">
        <f>HYPERLINK("https://android.googlesource.com/platform/cts/+/f3e1e5af4472d6d8953e95add8e67a631ee3471d", "f3e1e5af4472d6d8953e95add8e67a631ee3471d")</f>
        <v>0</v>
      </c>
      <c r="D18567" t="s">
        <v>12475</v>
      </c>
      <c r="E18567" t="s">
        <v>14274</v>
      </c>
      <c r="F18567" t="s">
        <v>17150</v>
      </c>
      <c r="G18567" t="s">
        <v>17904</v>
      </c>
      <c r="H18567" t="s">
        <v>26046</v>
      </c>
      <c r="I18567" t="s">
        <v>1358</v>
      </c>
      <c r="J18567" t="s">
        <v>1358</v>
      </c>
      <c r="K18567" t="s">
        <v>1358</v>
      </c>
      <c r="L18567" t="s">
        <v>1358</v>
      </c>
    </row>
    <row r="18568" spans="1:12">
      <c r="A18568" t="s">
        <v>11766</v>
      </c>
      <c r="B18568">
        <f>HYPERLINK("https://android.googlesource.com/platform/cts/+/8549571aef0edf62ecd5aea350e61c3fa600779c", "8549571aef0edf62ecd5aea350e61c3fa600779c")</f>
        <v>0</v>
      </c>
      <c r="C18568">
        <f>HYPERLINK("https://android.googlesource.com/platform/cts/+/f3e1e5af4472d6d8953e95add8e67a631ee3471d", "f3e1e5af4472d6d8953e95add8e67a631ee3471d")</f>
        <v>0</v>
      </c>
      <c r="D18568" t="s">
        <v>12475</v>
      </c>
      <c r="E18568" t="s">
        <v>14275</v>
      </c>
      <c r="F18568" t="s">
        <v>17150</v>
      </c>
      <c r="G18568" t="s">
        <v>17904</v>
      </c>
      <c r="H18568" t="s">
        <v>26047</v>
      </c>
      <c r="I18568" t="s">
        <v>1358</v>
      </c>
      <c r="J18568" t="s">
        <v>1358</v>
      </c>
      <c r="K18568" t="s">
        <v>1358</v>
      </c>
      <c r="L18568" t="s">
        <v>1358</v>
      </c>
    </row>
    <row r="18569" spans="1:12">
      <c r="A18569" t="s">
        <v>11767</v>
      </c>
      <c r="B18569">
        <f>HYPERLINK("https://android.googlesource.com/platform/cts/+/fed08fea4f75261469e972ba03abf027055f6dba", "fed08fea4f75261469e972ba03abf027055f6dba")</f>
        <v>0</v>
      </c>
      <c r="C18569">
        <f>HYPERLINK("https://android.googlesource.com/platform/cts/+/1a6463c44989289bc0a755a978bfdd134a08338d", "1a6463c44989289bc0a755a978bfdd134a08338d")</f>
        <v>0</v>
      </c>
      <c r="D18569" t="s">
        <v>12476</v>
      </c>
      <c r="E18569" t="s">
        <v>14276</v>
      </c>
      <c r="F18569" t="s">
        <v>17151</v>
      </c>
      <c r="G18569" t="s">
        <v>19737</v>
      </c>
      <c r="H18569" t="s">
        <v>26048</v>
      </c>
      <c r="I18569" t="s">
        <v>1357</v>
      </c>
      <c r="J18569" t="s">
        <v>1357</v>
      </c>
      <c r="K18569" t="s">
        <v>1357</v>
      </c>
      <c r="L18569" t="s">
        <v>1357</v>
      </c>
    </row>
    <row r="18570" spans="1:12">
      <c r="H18570" t="s">
        <v>26049</v>
      </c>
      <c r="I18570" t="s">
        <v>1357</v>
      </c>
      <c r="J18570" t="s">
        <v>1357</v>
      </c>
      <c r="K18570" t="s">
        <v>1357</v>
      </c>
      <c r="L18570" t="s">
        <v>1357</v>
      </c>
    </row>
    <row r="18571" spans="1:12">
      <c r="H18571" t="s">
        <v>26050</v>
      </c>
      <c r="I18571" t="s">
        <v>1357</v>
      </c>
      <c r="J18571" t="s">
        <v>1357</v>
      </c>
      <c r="K18571" t="s">
        <v>1357</v>
      </c>
      <c r="L18571" t="s">
        <v>1357</v>
      </c>
    </row>
    <row r="18572" spans="1:12">
      <c r="A18572" t="s">
        <v>11768</v>
      </c>
      <c r="B18572">
        <f>HYPERLINK("https://android.googlesource.com/platform/cts/+/77847af5fd63358fce91d9223a2fa410eb6ea74c", "77847af5fd63358fce91d9223a2fa410eb6ea74c")</f>
        <v>0</v>
      </c>
      <c r="C18572">
        <f>HYPERLINK("https://android.googlesource.com/platform/cts/+/a25121b8ed05d9395caceb2f777cd4f17b2e7409", "a25121b8ed05d9395caceb2f777cd4f17b2e7409")</f>
        <v>0</v>
      </c>
      <c r="D18572" t="s">
        <v>12144</v>
      </c>
      <c r="E18572" t="s">
        <v>14277</v>
      </c>
      <c r="F18572" t="s">
        <v>17152</v>
      </c>
      <c r="G18572" t="s">
        <v>19738</v>
      </c>
      <c r="H18572" t="s">
        <v>26051</v>
      </c>
      <c r="I18572" t="s">
        <v>1357</v>
      </c>
      <c r="J18572" t="s">
        <v>1357</v>
      </c>
      <c r="K18572" t="s">
        <v>1357</v>
      </c>
      <c r="L18572" t="s">
        <v>1357</v>
      </c>
    </row>
    <row r="18573" spans="1:12">
      <c r="A18573" t="s">
        <v>11769</v>
      </c>
      <c r="B18573">
        <f>HYPERLINK("https://android.googlesource.com/platform/cts/+/ed92b5d220fe0c2f4fcd34734e073c3fe9b48be8", "ed92b5d220fe0c2f4fcd34734e073c3fe9b48be8")</f>
        <v>0</v>
      </c>
      <c r="C18573">
        <f>HYPERLINK("https://android.googlesource.com/platform/cts/+/6f7f2e606bc096d2cac1da50b2c7b5b811bb7dbf", "6f7f2e606bc096d2cac1da50b2c7b5b811bb7dbf")</f>
        <v>0</v>
      </c>
      <c r="D18573" t="s">
        <v>12477</v>
      </c>
      <c r="E18573" t="s">
        <v>14278</v>
      </c>
      <c r="F18573" t="s">
        <v>17153</v>
      </c>
      <c r="G18573" t="s">
        <v>19739</v>
      </c>
      <c r="H18573" t="s">
        <v>26052</v>
      </c>
      <c r="I18573" t="s">
        <v>1357</v>
      </c>
      <c r="J18573" t="s">
        <v>1357</v>
      </c>
      <c r="K18573" t="s">
        <v>1357</v>
      </c>
      <c r="L18573" t="s">
        <v>1357</v>
      </c>
    </row>
    <row r="18574" spans="1:12">
      <c r="H18574" t="s">
        <v>26053</v>
      </c>
      <c r="I18574" t="s">
        <v>1357</v>
      </c>
      <c r="J18574" t="s">
        <v>1357</v>
      </c>
      <c r="K18574" t="s">
        <v>1357</v>
      </c>
      <c r="L18574" t="s">
        <v>1357</v>
      </c>
    </row>
    <row r="18575" spans="1:12">
      <c r="F18575" t="s">
        <v>17154</v>
      </c>
      <c r="G18575" t="s">
        <v>19740</v>
      </c>
      <c r="H18575" t="s">
        <v>26054</v>
      </c>
      <c r="I18575" t="s">
        <v>1357</v>
      </c>
      <c r="J18575" t="s">
        <v>1357</v>
      </c>
      <c r="K18575" t="s">
        <v>1357</v>
      </c>
      <c r="L18575" t="s">
        <v>1357</v>
      </c>
    </row>
    <row r="18576" spans="1:12">
      <c r="H18576" t="s">
        <v>22410</v>
      </c>
      <c r="I18576" t="s">
        <v>1357</v>
      </c>
      <c r="J18576" t="s">
        <v>1357</v>
      </c>
      <c r="K18576" t="s">
        <v>1357</v>
      </c>
      <c r="L18576" t="s">
        <v>1357</v>
      </c>
    </row>
    <row r="18577" spans="8:12">
      <c r="H18577" t="s">
        <v>26055</v>
      </c>
      <c r="I18577" t="s">
        <v>1357</v>
      </c>
      <c r="J18577" t="s">
        <v>1357</v>
      </c>
      <c r="K18577" t="s">
        <v>1357</v>
      </c>
      <c r="L18577" t="s">
        <v>1357</v>
      </c>
    </row>
    <row r="18578" spans="8:12">
      <c r="H18578" t="s">
        <v>26056</v>
      </c>
      <c r="I18578" t="s">
        <v>1357</v>
      </c>
      <c r="J18578" t="s">
        <v>1357</v>
      </c>
      <c r="K18578" t="s">
        <v>1357</v>
      </c>
      <c r="L18578" t="s">
        <v>1357</v>
      </c>
    </row>
    <row r="18579" spans="8:12">
      <c r="H18579" t="s">
        <v>26057</v>
      </c>
      <c r="I18579" t="s">
        <v>1357</v>
      </c>
      <c r="J18579" t="s">
        <v>1357</v>
      </c>
      <c r="K18579" t="s">
        <v>1357</v>
      </c>
      <c r="L18579" t="s">
        <v>1357</v>
      </c>
    </row>
    <row r="18580" spans="8:12">
      <c r="H18580" t="s">
        <v>26058</v>
      </c>
      <c r="I18580" t="s">
        <v>1357</v>
      </c>
      <c r="J18580" t="s">
        <v>1357</v>
      </c>
      <c r="K18580" t="s">
        <v>1357</v>
      </c>
      <c r="L18580" t="s">
        <v>1357</v>
      </c>
    </row>
    <row r="18581" spans="8:12">
      <c r="H18581" t="s">
        <v>26059</v>
      </c>
      <c r="I18581" t="s">
        <v>1357</v>
      </c>
      <c r="J18581" t="s">
        <v>1357</v>
      </c>
      <c r="K18581" t="s">
        <v>1357</v>
      </c>
      <c r="L18581" t="s">
        <v>1357</v>
      </c>
    </row>
    <row r="18582" spans="8:12">
      <c r="H18582" t="s">
        <v>26060</v>
      </c>
      <c r="I18582" t="s">
        <v>1357</v>
      </c>
      <c r="J18582" t="s">
        <v>1357</v>
      </c>
      <c r="K18582" t="s">
        <v>1357</v>
      </c>
      <c r="L18582" t="s">
        <v>1357</v>
      </c>
    </row>
    <row r="18583" spans="8:12">
      <c r="H18583" t="s">
        <v>26061</v>
      </c>
      <c r="I18583" t="s">
        <v>1357</v>
      </c>
      <c r="J18583" t="s">
        <v>1357</v>
      </c>
      <c r="K18583" t="s">
        <v>1357</v>
      </c>
      <c r="L18583" t="s">
        <v>1357</v>
      </c>
    </row>
    <row r="18584" spans="8:12">
      <c r="H18584" t="s">
        <v>26062</v>
      </c>
      <c r="I18584" t="s">
        <v>1357</v>
      </c>
      <c r="J18584" t="s">
        <v>1357</v>
      </c>
      <c r="K18584" t="s">
        <v>1357</v>
      </c>
      <c r="L18584" t="s">
        <v>1357</v>
      </c>
    </row>
    <row r="18585" spans="8:12">
      <c r="H18585" t="s">
        <v>26063</v>
      </c>
      <c r="I18585" t="s">
        <v>1357</v>
      </c>
      <c r="J18585" t="s">
        <v>1357</v>
      </c>
      <c r="K18585" t="s">
        <v>1357</v>
      </c>
      <c r="L18585" t="s">
        <v>1357</v>
      </c>
    </row>
    <row r="18586" spans="8:12">
      <c r="H18586" t="s">
        <v>26064</v>
      </c>
      <c r="I18586" t="s">
        <v>1357</v>
      </c>
      <c r="J18586" t="s">
        <v>1357</v>
      </c>
      <c r="K18586" t="s">
        <v>1357</v>
      </c>
      <c r="L18586" t="s">
        <v>1357</v>
      </c>
    </row>
    <row r="18587" spans="8:12">
      <c r="H18587" t="s">
        <v>26065</v>
      </c>
      <c r="I18587" t="s">
        <v>1357</v>
      </c>
      <c r="J18587" t="s">
        <v>1357</v>
      </c>
      <c r="K18587" t="s">
        <v>1357</v>
      </c>
      <c r="L18587" t="s">
        <v>1357</v>
      </c>
    </row>
    <row r="18588" spans="8:12">
      <c r="H18588" t="s">
        <v>26066</v>
      </c>
      <c r="I18588" t="s">
        <v>1357</v>
      </c>
      <c r="J18588" t="s">
        <v>1357</v>
      </c>
      <c r="K18588" t="s">
        <v>1357</v>
      </c>
      <c r="L18588" t="s">
        <v>1357</v>
      </c>
    </row>
    <row r="18589" spans="8:12">
      <c r="H18589" t="s">
        <v>26067</v>
      </c>
      <c r="I18589" t="s">
        <v>1357</v>
      </c>
      <c r="J18589" t="s">
        <v>1357</v>
      </c>
      <c r="K18589" t="s">
        <v>1357</v>
      </c>
      <c r="L18589" t="s">
        <v>1357</v>
      </c>
    </row>
    <row r="18590" spans="8:12">
      <c r="H18590" t="s">
        <v>26068</v>
      </c>
      <c r="I18590" t="s">
        <v>1357</v>
      </c>
      <c r="J18590" t="s">
        <v>1357</v>
      </c>
      <c r="K18590" t="s">
        <v>1357</v>
      </c>
      <c r="L18590" t="s">
        <v>1357</v>
      </c>
    </row>
    <row r="18591" spans="8:12">
      <c r="H18591" t="s">
        <v>26069</v>
      </c>
      <c r="I18591" t="s">
        <v>1357</v>
      </c>
      <c r="J18591" t="s">
        <v>1357</v>
      </c>
      <c r="K18591" t="s">
        <v>1357</v>
      </c>
      <c r="L18591" t="s">
        <v>1357</v>
      </c>
    </row>
    <row r="18592" spans="8:12">
      <c r="H18592" t="s">
        <v>26070</v>
      </c>
      <c r="I18592" t="s">
        <v>1357</v>
      </c>
      <c r="J18592" t="s">
        <v>1357</v>
      </c>
      <c r="K18592" t="s">
        <v>1357</v>
      </c>
      <c r="L18592" t="s">
        <v>1357</v>
      </c>
    </row>
    <row r="18593" spans="1:13">
      <c r="H18593" t="s">
        <v>26071</v>
      </c>
      <c r="I18593" t="s">
        <v>1357</v>
      </c>
      <c r="J18593" t="s">
        <v>1357</v>
      </c>
      <c r="K18593" t="s">
        <v>1357</v>
      </c>
      <c r="L18593" t="s">
        <v>1357</v>
      </c>
    </row>
    <row r="18594" spans="1:13">
      <c r="H18594" t="s">
        <v>26072</v>
      </c>
      <c r="I18594" t="s">
        <v>1357</v>
      </c>
      <c r="J18594" t="s">
        <v>1357</v>
      </c>
      <c r="K18594" t="s">
        <v>1357</v>
      </c>
      <c r="L18594" t="s">
        <v>1357</v>
      </c>
    </row>
    <row r="18595" spans="1:13">
      <c r="H18595" t="s">
        <v>26073</v>
      </c>
      <c r="I18595" t="s">
        <v>1357</v>
      </c>
      <c r="J18595" t="s">
        <v>1357</v>
      </c>
      <c r="K18595" t="s">
        <v>1357</v>
      </c>
      <c r="L18595" t="s">
        <v>1357</v>
      </c>
    </row>
    <row r="18596" spans="1:13">
      <c r="H18596" t="s">
        <v>26074</v>
      </c>
      <c r="I18596" t="s">
        <v>1357</v>
      </c>
      <c r="J18596" t="s">
        <v>1357</v>
      </c>
      <c r="K18596" t="s">
        <v>1357</v>
      </c>
      <c r="L18596" t="s">
        <v>1357</v>
      </c>
    </row>
    <row r="18597" spans="1:13">
      <c r="H18597" t="s">
        <v>26075</v>
      </c>
      <c r="I18597" t="s">
        <v>1357</v>
      </c>
      <c r="J18597" t="s">
        <v>1357</v>
      </c>
      <c r="K18597" t="s">
        <v>1357</v>
      </c>
      <c r="L18597" t="s">
        <v>1357</v>
      </c>
    </row>
    <row r="18598" spans="1:13">
      <c r="A18598" t="s">
        <v>11770</v>
      </c>
      <c r="B18598">
        <f>HYPERLINK("https://android.googlesource.com/platform/cts/+/fc5ada74e1e94e40ebf4dfe080a24c628107a207", "fc5ada74e1e94e40ebf4dfe080a24c628107a207")</f>
        <v>0</v>
      </c>
      <c r="C18598">
        <f>HYPERLINK("https://android.googlesource.com/platform/cts/+/4b94f1fdec5d53e85cef75aa38b5e0d426f794a4", "4b94f1fdec5d53e85cef75aa38b5e0d426f794a4")</f>
        <v>0</v>
      </c>
      <c r="D18598" t="s">
        <v>12448</v>
      </c>
      <c r="E18598" t="s">
        <v>14279</v>
      </c>
      <c r="F18598" t="s">
        <v>17153</v>
      </c>
      <c r="G18598" t="s">
        <v>19739</v>
      </c>
      <c r="H18598" t="s">
        <v>26052</v>
      </c>
      <c r="I18598" t="s">
        <v>1357</v>
      </c>
      <c r="J18598" t="s">
        <v>1357</v>
      </c>
      <c r="K18598" t="s">
        <v>1357</v>
      </c>
      <c r="L18598" t="s">
        <v>1357</v>
      </c>
      <c r="M18598" t="s">
        <v>27499</v>
      </c>
    </row>
    <row r="18599" spans="1:13">
      <c r="H18599" t="s">
        <v>26053</v>
      </c>
      <c r="I18599" t="s">
        <v>1357</v>
      </c>
      <c r="J18599" t="s">
        <v>1357</v>
      </c>
      <c r="K18599" t="s">
        <v>1357</v>
      </c>
      <c r="L18599" t="s">
        <v>1357</v>
      </c>
    </row>
    <row r="18600" spans="1:13">
      <c r="F18600" t="s">
        <v>17154</v>
      </c>
      <c r="G18600" t="s">
        <v>19740</v>
      </c>
      <c r="H18600" t="s">
        <v>26054</v>
      </c>
      <c r="I18600" t="s">
        <v>1357</v>
      </c>
      <c r="J18600" t="s">
        <v>1357</v>
      </c>
      <c r="K18600" t="s">
        <v>1357</v>
      </c>
      <c r="L18600" t="s">
        <v>1357</v>
      </c>
    </row>
    <row r="18601" spans="1:13">
      <c r="H18601" t="s">
        <v>22410</v>
      </c>
      <c r="I18601" t="s">
        <v>1357</v>
      </c>
      <c r="J18601" t="s">
        <v>1357</v>
      </c>
      <c r="K18601" t="s">
        <v>1357</v>
      </c>
      <c r="L18601" t="s">
        <v>1357</v>
      </c>
    </row>
    <row r="18602" spans="1:13">
      <c r="H18602" t="s">
        <v>26055</v>
      </c>
      <c r="I18602" t="s">
        <v>1357</v>
      </c>
      <c r="J18602" t="s">
        <v>1357</v>
      </c>
      <c r="K18602" t="s">
        <v>1357</v>
      </c>
      <c r="L18602" t="s">
        <v>1357</v>
      </c>
    </row>
    <row r="18603" spans="1:13">
      <c r="H18603" t="s">
        <v>26056</v>
      </c>
      <c r="I18603" t="s">
        <v>1357</v>
      </c>
      <c r="J18603" t="s">
        <v>1357</v>
      </c>
      <c r="K18603" t="s">
        <v>1357</v>
      </c>
      <c r="L18603" t="s">
        <v>1357</v>
      </c>
    </row>
    <row r="18604" spans="1:13">
      <c r="H18604" t="s">
        <v>26057</v>
      </c>
      <c r="I18604" t="s">
        <v>1357</v>
      </c>
      <c r="J18604" t="s">
        <v>1357</v>
      </c>
      <c r="K18604" t="s">
        <v>1357</v>
      </c>
      <c r="L18604" t="s">
        <v>1357</v>
      </c>
    </row>
    <row r="18605" spans="1:13">
      <c r="H18605" t="s">
        <v>26058</v>
      </c>
      <c r="I18605" t="s">
        <v>1357</v>
      </c>
      <c r="J18605" t="s">
        <v>1357</v>
      </c>
      <c r="K18605" t="s">
        <v>1357</v>
      </c>
      <c r="L18605" t="s">
        <v>1357</v>
      </c>
    </row>
    <row r="18606" spans="1:13">
      <c r="H18606" t="s">
        <v>26059</v>
      </c>
      <c r="I18606" t="s">
        <v>1357</v>
      </c>
      <c r="J18606" t="s">
        <v>1357</v>
      </c>
      <c r="K18606" t="s">
        <v>1357</v>
      </c>
      <c r="L18606" t="s">
        <v>1357</v>
      </c>
    </row>
    <row r="18607" spans="1:13">
      <c r="H18607" t="s">
        <v>26060</v>
      </c>
      <c r="I18607" t="s">
        <v>1357</v>
      </c>
      <c r="J18607" t="s">
        <v>1357</v>
      </c>
      <c r="K18607" t="s">
        <v>1357</v>
      </c>
      <c r="L18607" t="s">
        <v>1357</v>
      </c>
    </row>
    <row r="18608" spans="1:13">
      <c r="H18608" t="s">
        <v>26061</v>
      </c>
      <c r="I18608" t="s">
        <v>1357</v>
      </c>
      <c r="J18608" t="s">
        <v>1357</v>
      </c>
      <c r="K18608" t="s">
        <v>1357</v>
      </c>
      <c r="L18608" t="s">
        <v>1357</v>
      </c>
    </row>
    <row r="18609" spans="1:12">
      <c r="H18609" t="s">
        <v>26062</v>
      </c>
      <c r="I18609" t="s">
        <v>1357</v>
      </c>
      <c r="J18609" t="s">
        <v>1357</v>
      </c>
      <c r="K18609" t="s">
        <v>1357</v>
      </c>
      <c r="L18609" t="s">
        <v>1357</v>
      </c>
    </row>
    <row r="18610" spans="1:12">
      <c r="H18610" t="s">
        <v>26063</v>
      </c>
      <c r="I18610" t="s">
        <v>1357</v>
      </c>
      <c r="J18610" t="s">
        <v>1357</v>
      </c>
      <c r="K18610" t="s">
        <v>1357</v>
      </c>
      <c r="L18610" t="s">
        <v>1357</v>
      </c>
    </row>
    <row r="18611" spans="1:12">
      <c r="H18611" t="s">
        <v>26064</v>
      </c>
      <c r="I18611" t="s">
        <v>1357</v>
      </c>
      <c r="J18611" t="s">
        <v>1357</v>
      </c>
      <c r="K18611" t="s">
        <v>1357</v>
      </c>
      <c r="L18611" t="s">
        <v>1357</v>
      </c>
    </row>
    <row r="18612" spans="1:12">
      <c r="H18612" t="s">
        <v>26065</v>
      </c>
      <c r="I18612" t="s">
        <v>1357</v>
      </c>
      <c r="J18612" t="s">
        <v>1357</v>
      </c>
      <c r="K18612" t="s">
        <v>1357</v>
      </c>
      <c r="L18612" t="s">
        <v>1357</v>
      </c>
    </row>
    <row r="18613" spans="1:12">
      <c r="H18613" t="s">
        <v>26066</v>
      </c>
      <c r="I18613" t="s">
        <v>1357</v>
      </c>
      <c r="J18613" t="s">
        <v>1357</v>
      </c>
      <c r="K18613" t="s">
        <v>1357</v>
      </c>
      <c r="L18613" t="s">
        <v>1357</v>
      </c>
    </row>
    <row r="18614" spans="1:12">
      <c r="H18614" t="s">
        <v>26067</v>
      </c>
      <c r="I18614" t="s">
        <v>1357</v>
      </c>
      <c r="J18614" t="s">
        <v>1357</v>
      </c>
      <c r="K18614" t="s">
        <v>1357</v>
      </c>
      <c r="L18614" t="s">
        <v>1357</v>
      </c>
    </row>
    <row r="18615" spans="1:12">
      <c r="H18615" t="s">
        <v>26068</v>
      </c>
      <c r="I18615" t="s">
        <v>1357</v>
      </c>
      <c r="J18615" t="s">
        <v>1357</v>
      </c>
      <c r="K18615" t="s">
        <v>1357</v>
      </c>
      <c r="L18615" t="s">
        <v>1357</v>
      </c>
    </row>
    <row r="18616" spans="1:12">
      <c r="H18616" t="s">
        <v>26069</v>
      </c>
      <c r="I18616" t="s">
        <v>1357</v>
      </c>
      <c r="J18616" t="s">
        <v>1357</v>
      </c>
      <c r="K18616" t="s">
        <v>1357</v>
      </c>
      <c r="L18616" t="s">
        <v>1357</v>
      </c>
    </row>
    <row r="18617" spans="1:12">
      <c r="H18617" t="s">
        <v>26070</v>
      </c>
      <c r="I18617" t="s">
        <v>1357</v>
      </c>
      <c r="J18617" t="s">
        <v>1357</v>
      </c>
      <c r="K18617" t="s">
        <v>1357</v>
      </c>
      <c r="L18617" t="s">
        <v>1357</v>
      </c>
    </row>
    <row r="18618" spans="1:12">
      <c r="H18618" t="s">
        <v>26071</v>
      </c>
      <c r="I18618" t="s">
        <v>1357</v>
      </c>
      <c r="J18618" t="s">
        <v>1357</v>
      </c>
      <c r="K18618" t="s">
        <v>1357</v>
      </c>
      <c r="L18618" t="s">
        <v>1357</v>
      </c>
    </row>
    <row r="18619" spans="1:12">
      <c r="H18619" t="s">
        <v>26072</v>
      </c>
      <c r="I18619" t="s">
        <v>1357</v>
      </c>
      <c r="J18619" t="s">
        <v>1357</v>
      </c>
      <c r="K18619" t="s">
        <v>1357</v>
      </c>
      <c r="L18619" t="s">
        <v>1357</v>
      </c>
    </row>
    <row r="18620" spans="1:12">
      <c r="H18620" t="s">
        <v>26073</v>
      </c>
      <c r="I18620" t="s">
        <v>1357</v>
      </c>
      <c r="J18620" t="s">
        <v>1357</v>
      </c>
      <c r="K18620" t="s">
        <v>1357</v>
      </c>
      <c r="L18620" t="s">
        <v>1357</v>
      </c>
    </row>
    <row r="18621" spans="1:12">
      <c r="H18621" t="s">
        <v>26074</v>
      </c>
      <c r="I18621" t="s">
        <v>1357</v>
      </c>
      <c r="J18621" t="s">
        <v>1357</v>
      </c>
      <c r="K18621" t="s">
        <v>1357</v>
      </c>
      <c r="L18621" t="s">
        <v>1357</v>
      </c>
    </row>
    <row r="18622" spans="1:12">
      <c r="H18622" t="s">
        <v>26075</v>
      </c>
      <c r="I18622" t="s">
        <v>1357</v>
      </c>
      <c r="J18622" t="s">
        <v>1357</v>
      </c>
      <c r="K18622" t="s">
        <v>1357</v>
      </c>
      <c r="L18622" t="s">
        <v>1357</v>
      </c>
    </row>
    <row r="18623" spans="1:12">
      <c r="A18623" t="s">
        <v>11771</v>
      </c>
      <c r="B18623">
        <f>HYPERLINK("https://android.googlesource.com/platform/cts/+/b3fa9adc1430ad7e716bbe046bc0a6c9dac67013", "b3fa9adc1430ad7e716bbe046bc0a6c9dac67013")</f>
        <v>0</v>
      </c>
      <c r="C18623">
        <f>HYPERLINK("https://android.googlesource.com/platform/cts/+/fb33ad5df17245fc69ac1527a2e6d4f8a41be551", "fb33ad5df17245fc69ac1527a2e6d4f8a41be551")</f>
        <v>0</v>
      </c>
      <c r="D18623" t="s">
        <v>12191</v>
      </c>
      <c r="E18623" t="s">
        <v>14280</v>
      </c>
      <c r="F18623" t="s">
        <v>17155</v>
      </c>
      <c r="G18623" t="s">
        <v>19741</v>
      </c>
      <c r="H18623" t="s">
        <v>26076</v>
      </c>
      <c r="I18623" t="s">
        <v>1358</v>
      </c>
      <c r="J18623" t="s">
        <v>1358</v>
      </c>
      <c r="K18623" t="s">
        <v>1358</v>
      </c>
      <c r="L18623" t="s">
        <v>1358</v>
      </c>
    </row>
    <row r="18624" spans="1:12">
      <c r="A18624" t="s">
        <v>11772</v>
      </c>
      <c r="B18624">
        <f>HYPERLINK("https://android.googlesource.com/platform/cts/+/493b8d7d3b4d43e483c03b155d38057e3eacd3c9", "493b8d7d3b4d43e483c03b155d38057e3eacd3c9")</f>
        <v>0</v>
      </c>
      <c r="C18624">
        <f>HYPERLINK("https://android.googlesource.com/platform/cts/+/245f97758f65d5446b0ca2c0ab08b9c72c73a428", "245f97758f65d5446b0ca2c0ab08b9c72c73a428")</f>
        <v>0</v>
      </c>
      <c r="D18624" t="s">
        <v>12477</v>
      </c>
      <c r="E18624" t="s">
        <v>14281</v>
      </c>
      <c r="F18624" t="s">
        <v>17156</v>
      </c>
      <c r="G18624" t="s">
        <v>19742</v>
      </c>
      <c r="H18624" t="s">
        <v>26077</v>
      </c>
      <c r="I18624" t="s">
        <v>1357</v>
      </c>
      <c r="J18624" t="s">
        <v>1357</v>
      </c>
      <c r="K18624" t="s">
        <v>1357</v>
      </c>
      <c r="L18624" t="s">
        <v>1357</v>
      </c>
    </row>
    <row r="18625" spans="1:13">
      <c r="A18625" t="s">
        <v>11773</v>
      </c>
      <c r="B18625">
        <f>HYPERLINK("https://android.googlesource.com/platform/cts/+/93f558b615626e4a6a2e63c046d303000ddb96ea", "93f558b615626e4a6a2e63c046d303000ddb96ea")</f>
        <v>0</v>
      </c>
      <c r="C18625">
        <f>HYPERLINK("https://android.googlesource.com/platform/cts/+/a79a4f33e63a9f6f24efdfd0b914b89c31e59ff7", "a79a4f33e63a9f6f24efdfd0b914b89c31e59ff7")</f>
        <v>0</v>
      </c>
      <c r="D18625" t="s">
        <v>12103</v>
      </c>
      <c r="E18625" t="s">
        <v>14282</v>
      </c>
      <c r="F18625" t="s">
        <v>16294</v>
      </c>
      <c r="G18625" t="s">
        <v>18965</v>
      </c>
      <c r="H18625" t="s">
        <v>26078</v>
      </c>
      <c r="I18625" t="s">
        <v>1357</v>
      </c>
      <c r="J18625" t="s">
        <v>1357</v>
      </c>
      <c r="K18625" t="s">
        <v>1357</v>
      </c>
      <c r="L18625" t="s">
        <v>1357</v>
      </c>
    </row>
    <row r="18626" spans="1:13">
      <c r="A18626" t="s">
        <v>11774</v>
      </c>
      <c r="B18626">
        <f>HYPERLINK("https://android.googlesource.com/platform/cts/+/e4fd83b35b9a08a252bd8ffcdf3ac872c4f162fd", "e4fd83b35b9a08a252bd8ffcdf3ac872c4f162fd")</f>
        <v>0</v>
      </c>
      <c r="C18626">
        <f>HYPERLINK("https://android.googlesource.com/platform/cts/+/150b78826bbe95f74fc03718d1f267e2ae4cf291", "150b78826bbe95f74fc03718d1f267e2ae4cf291")</f>
        <v>0</v>
      </c>
      <c r="D18626" t="s">
        <v>12103</v>
      </c>
      <c r="E18626" t="s">
        <v>14282</v>
      </c>
      <c r="F18626" t="s">
        <v>16294</v>
      </c>
      <c r="G18626" t="s">
        <v>18965</v>
      </c>
      <c r="H18626" t="s">
        <v>26078</v>
      </c>
      <c r="I18626" t="s">
        <v>1357</v>
      </c>
      <c r="J18626" t="s">
        <v>1357</v>
      </c>
      <c r="K18626" t="s">
        <v>1357</v>
      </c>
      <c r="L18626" t="s">
        <v>1357</v>
      </c>
      <c r="M18626" t="s">
        <v>27499</v>
      </c>
    </row>
    <row r="18627" spans="1:13">
      <c r="A18627" t="s">
        <v>11775</v>
      </c>
      <c r="B18627">
        <f>HYPERLINK("https://android.googlesource.com/platform/cts/+/d84e73becbfeb44c9426990111535dd3f952df87", "d84e73becbfeb44c9426990111535dd3f952df87")</f>
        <v>0</v>
      </c>
      <c r="C18627">
        <f>HYPERLINK("https://android.googlesource.com/platform/cts/+/2aeaaee25fa81017d7cdab07c42f4461a9b11617", "2aeaaee25fa81017d7cdab07c42f4461a9b11617")</f>
        <v>0</v>
      </c>
      <c r="D18627" t="s">
        <v>12103</v>
      </c>
      <c r="E18627" t="s">
        <v>14282</v>
      </c>
      <c r="F18627" t="s">
        <v>16294</v>
      </c>
      <c r="G18627" t="s">
        <v>18965</v>
      </c>
      <c r="H18627" t="s">
        <v>26078</v>
      </c>
      <c r="I18627" t="s">
        <v>1357</v>
      </c>
      <c r="J18627" t="s">
        <v>1357</v>
      </c>
      <c r="K18627" t="s">
        <v>1357</v>
      </c>
      <c r="L18627" t="s">
        <v>1357</v>
      </c>
      <c r="M18627" t="s">
        <v>27499</v>
      </c>
    </row>
    <row r="18628" spans="1:13">
      <c r="A18628" t="s">
        <v>11776</v>
      </c>
      <c r="B18628">
        <f>HYPERLINK("https://android.googlesource.com/platform/cts/+/77408a8a033dfaff6b95670d83b88ae79c449391", "77408a8a033dfaff6b95670d83b88ae79c449391")</f>
        <v>0</v>
      </c>
      <c r="C18628">
        <f>HYPERLINK("https://android.googlesource.com/platform/cts/+/198882554896207baa9f61d58daf78dab1ab266c", "198882554896207baa9f61d58daf78dab1ab266c")</f>
        <v>0</v>
      </c>
      <c r="D18628" t="s">
        <v>12103</v>
      </c>
      <c r="E18628" t="s">
        <v>14282</v>
      </c>
      <c r="F18628" t="s">
        <v>16294</v>
      </c>
      <c r="G18628" t="s">
        <v>18965</v>
      </c>
      <c r="H18628" t="s">
        <v>26078</v>
      </c>
      <c r="I18628" t="s">
        <v>1357</v>
      </c>
      <c r="J18628" t="s">
        <v>1357</v>
      </c>
      <c r="K18628" t="s">
        <v>1357</v>
      </c>
      <c r="L18628" t="s">
        <v>1357</v>
      </c>
      <c r="M18628" t="s">
        <v>27499</v>
      </c>
    </row>
    <row r="18629" spans="1:13">
      <c r="A18629" t="s">
        <v>11777</v>
      </c>
      <c r="B18629">
        <f>HYPERLINK("https://android.googlesource.com/platform/cts/+/e71f66ecc0dacc8e5d53afc2ef05112f1a19fe0c", "e71f66ecc0dacc8e5d53afc2ef05112f1a19fe0c")</f>
        <v>0</v>
      </c>
      <c r="C18629">
        <f>HYPERLINK("https://android.googlesource.com/platform/cts/+/6a7835b7b0fbf1fb1fdbc6e395fb7a5db6a3ec63", "6a7835b7b0fbf1fb1fdbc6e395fb7a5db6a3ec63")</f>
        <v>0</v>
      </c>
      <c r="D18629" t="s">
        <v>12270</v>
      </c>
      <c r="E18629" t="s">
        <v>14283</v>
      </c>
      <c r="F18629" t="s">
        <v>17157</v>
      </c>
      <c r="G18629" t="s">
        <v>19743</v>
      </c>
      <c r="H18629" t="s">
        <v>795</v>
      </c>
      <c r="I18629" t="s">
        <v>1357</v>
      </c>
      <c r="J18629" t="s">
        <v>1357</v>
      </c>
      <c r="K18629" t="s">
        <v>1357</v>
      </c>
      <c r="L18629" t="s">
        <v>1357</v>
      </c>
    </row>
    <row r="18630" spans="1:13">
      <c r="A18630" t="s">
        <v>11778</v>
      </c>
      <c r="B18630">
        <f>HYPERLINK("https://android.googlesource.com/platform/cts/+/13016e250e25a406319211a8fa9bd779c618587e", "13016e250e25a406319211a8fa9bd779c618587e")</f>
        <v>0</v>
      </c>
      <c r="C18630">
        <f>HYPERLINK("https://android.googlesource.com/platform/cts/+/efc9b0e5db7c03456c8eeb2fabb8b570b7dd73e2", "efc9b0e5db7c03456c8eeb2fabb8b570b7dd73e2")</f>
        <v>0</v>
      </c>
      <c r="D18630" t="s">
        <v>12309</v>
      </c>
      <c r="E18630" t="s">
        <v>14284</v>
      </c>
      <c r="F18630" t="s">
        <v>16508</v>
      </c>
      <c r="G18630" t="s">
        <v>19166</v>
      </c>
      <c r="H18630" t="s">
        <v>26044</v>
      </c>
      <c r="I18630" t="s">
        <v>1357</v>
      </c>
      <c r="J18630" t="s">
        <v>1357</v>
      </c>
      <c r="K18630" t="s">
        <v>1357</v>
      </c>
      <c r="L18630" t="s">
        <v>1357</v>
      </c>
    </row>
    <row r="18631" spans="1:13">
      <c r="A18631" t="s">
        <v>11779</v>
      </c>
      <c r="B18631">
        <f>HYPERLINK("https://android.googlesource.com/platform/cts/+/2deb3b31533ac7e8cfbd434ebf69548ca0ec8e19", "2deb3b31533ac7e8cfbd434ebf69548ca0ec8e19")</f>
        <v>0</v>
      </c>
      <c r="C18631">
        <f>HYPERLINK("https://android.googlesource.com/platform/cts/+/89228705d002b34f8e6a55f36a5ad8e36b9c9e00", "89228705d002b34f8e6a55f36a5ad8e36b9c9e00")</f>
        <v>0</v>
      </c>
      <c r="D18631" t="s">
        <v>12357</v>
      </c>
      <c r="E18631" t="s">
        <v>14285</v>
      </c>
      <c r="F18631" t="s">
        <v>17158</v>
      </c>
      <c r="G18631" t="s">
        <v>19744</v>
      </c>
      <c r="H18631" t="s">
        <v>26079</v>
      </c>
      <c r="I18631" t="s">
        <v>1358</v>
      </c>
      <c r="J18631" t="s">
        <v>1358</v>
      </c>
      <c r="K18631" t="s">
        <v>1358</v>
      </c>
      <c r="L18631" t="s">
        <v>1358</v>
      </c>
    </row>
    <row r="18632" spans="1:13">
      <c r="H18632" t="s">
        <v>26080</v>
      </c>
      <c r="I18632" t="s">
        <v>1357</v>
      </c>
      <c r="J18632" t="s">
        <v>1357</v>
      </c>
      <c r="K18632" t="s">
        <v>1357</v>
      </c>
      <c r="L18632" t="s">
        <v>1357</v>
      </c>
    </row>
    <row r="18633" spans="1:13">
      <c r="H18633" t="s">
        <v>26081</v>
      </c>
      <c r="I18633" t="s">
        <v>1357</v>
      </c>
      <c r="J18633" t="s">
        <v>1357</v>
      </c>
      <c r="K18633" t="s">
        <v>1357</v>
      </c>
      <c r="L18633" t="s">
        <v>1357</v>
      </c>
    </row>
    <row r="18634" spans="1:13">
      <c r="A18634" t="s">
        <v>11780</v>
      </c>
      <c r="B18634">
        <f>HYPERLINK("https://android.googlesource.com/platform/cts/+/304ee81e08ef62d93f260ab298d9e3ed23bbcb03", "304ee81e08ef62d93f260ab298d9e3ed23bbcb03")</f>
        <v>0</v>
      </c>
      <c r="C18634">
        <f>HYPERLINK("https://android.googlesource.com/platform/cts/+/3f146cc6e7c777bd9fd454ed7aaf8183ef2ad64c", "3f146cc6e7c777bd9fd454ed7aaf8183ef2ad64c")</f>
        <v>0</v>
      </c>
      <c r="D18634" t="s">
        <v>12385</v>
      </c>
      <c r="E18634" t="s">
        <v>14286</v>
      </c>
      <c r="F18634" t="s">
        <v>17159</v>
      </c>
      <c r="G18634" t="s">
        <v>19745</v>
      </c>
      <c r="H18634" t="s">
        <v>26082</v>
      </c>
      <c r="I18634" t="s">
        <v>1359</v>
      </c>
      <c r="J18634" t="s">
        <v>1358</v>
      </c>
      <c r="K18634" t="s">
        <v>1357</v>
      </c>
      <c r="L18634" t="s">
        <v>1358</v>
      </c>
    </row>
    <row r="18635" spans="1:13">
      <c r="H18635" t="s">
        <v>26083</v>
      </c>
      <c r="I18635" t="s">
        <v>1359</v>
      </c>
      <c r="J18635" t="s">
        <v>1358</v>
      </c>
      <c r="K18635" t="s">
        <v>1357</v>
      </c>
      <c r="L18635" t="s">
        <v>1358</v>
      </c>
    </row>
    <row r="18636" spans="1:13">
      <c r="H18636" t="s">
        <v>26084</v>
      </c>
      <c r="I18636" t="s">
        <v>1359</v>
      </c>
      <c r="J18636" t="s">
        <v>1358</v>
      </c>
      <c r="K18636" t="s">
        <v>1357</v>
      </c>
      <c r="L18636" t="s">
        <v>1358</v>
      </c>
    </row>
    <row r="18637" spans="1:13">
      <c r="H18637" t="s">
        <v>26085</v>
      </c>
      <c r="I18637" t="s">
        <v>1359</v>
      </c>
      <c r="J18637" t="s">
        <v>1358</v>
      </c>
      <c r="K18637" t="s">
        <v>1357</v>
      </c>
      <c r="L18637" t="s">
        <v>1358</v>
      </c>
    </row>
    <row r="18638" spans="1:13">
      <c r="H18638" t="s">
        <v>26086</v>
      </c>
      <c r="I18638" t="s">
        <v>1359</v>
      </c>
      <c r="J18638" t="s">
        <v>1358</v>
      </c>
      <c r="K18638" t="s">
        <v>1357</v>
      </c>
      <c r="L18638" t="s">
        <v>1358</v>
      </c>
    </row>
    <row r="18639" spans="1:13">
      <c r="H18639" t="s">
        <v>26087</v>
      </c>
      <c r="I18639" t="s">
        <v>1359</v>
      </c>
      <c r="J18639" t="s">
        <v>1358</v>
      </c>
      <c r="K18639" t="s">
        <v>1357</v>
      </c>
      <c r="L18639" t="s">
        <v>1358</v>
      </c>
    </row>
    <row r="18640" spans="1:13">
      <c r="H18640" t="s">
        <v>26088</v>
      </c>
      <c r="I18640" t="s">
        <v>1359</v>
      </c>
      <c r="J18640" t="s">
        <v>1358</v>
      </c>
      <c r="K18640" t="s">
        <v>1357</v>
      </c>
      <c r="L18640" t="s">
        <v>1358</v>
      </c>
    </row>
    <row r="18641" spans="8:12">
      <c r="H18641" t="s">
        <v>26089</v>
      </c>
      <c r="I18641" t="s">
        <v>1359</v>
      </c>
      <c r="J18641" t="s">
        <v>1358</v>
      </c>
      <c r="K18641" t="s">
        <v>1357</v>
      </c>
      <c r="L18641" t="s">
        <v>1358</v>
      </c>
    </row>
    <row r="18642" spans="8:12">
      <c r="H18642" t="s">
        <v>26090</v>
      </c>
      <c r="I18642" t="s">
        <v>1359</v>
      </c>
      <c r="J18642" t="s">
        <v>1358</v>
      </c>
      <c r="K18642" t="s">
        <v>1357</v>
      </c>
      <c r="L18642" t="s">
        <v>1358</v>
      </c>
    </row>
    <row r="18643" spans="8:12">
      <c r="H18643" t="s">
        <v>26091</v>
      </c>
      <c r="I18643" t="s">
        <v>1359</v>
      </c>
      <c r="J18643" t="s">
        <v>1358</v>
      </c>
      <c r="K18643" t="s">
        <v>1357</v>
      </c>
      <c r="L18643" t="s">
        <v>1358</v>
      </c>
    </row>
    <row r="18644" spans="8:12">
      <c r="H18644" t="s">
        <v>26092</v>
      </c>
      <c r="I18644" t="s">
        <v>1359</v>
      </c>
      <c r="J18644" t="s">
        <v>1358</v>
      </c>
      <c r="K18644" t="s">
        <v>1357</v>
      </c>
      <c r="L18644" t="s">
        <v>1358</v>
      </c>
    </row>
    <row r="18645" spans="8:12">
      <c r="H18645" t="s">
        <v>26093</v>
      </c>
      <c r="I18645" t="s">
        <v>1359</v>
      </c>
      <c r="J18645" t="s">
        <v>1358</v>
      </c>
      <c r="K18645" t="s">
        <v>1357</v>
      </c>
      <c r="L18645" t="s">
        <v>1358</v>
      </c>
    </row>
    <row r="18646" spans="8:12">
      <c r="H18646" t="s">
        <v>26094</v>
      </c>
      <c r="I18646" t="s">
        <v>1359</v>
      </c>
      <c r="J18646" t="s">
        <v>1358</v>
      </c>
      <c r="K18646" t="s">
        <v>1357</v>
      </c>
      <c r="L18646" t="s">
        <v>1358</v>
      </c>
    </row>
    <row r="18647" spans="8:12">
      <c r="H18647" t="s">
        <v>26095</v>
      </c>
      <c r="I18647" t="s">
        <v>1359</v>
      </c>
      <c r="J18647" t="s">
        <v>1358</v>
      </c>
      <c r="K18647" t="s">
        <v>1357</v>
      </c>
      <c r="L18647" t="s">
        <v>1358</v>
      </c>
    </row>
    <row r="18648" spans="8:12">
      <c r="H18648" t="s">
        <v>26096</v>
      </c>
      <c r="I18648" t="s">
        <v>1359</v>
      </c>
      <c r="J18648" t="s">
        <v>1358</v>
      </c>
      <c r="K18648" t="s">
        <v>1357</v>
      </c>
      <c r="L18648" t="s">
        <v>1358</v>
      </c>
    </row>
    <row r="18649" spans="8:12">
      <c r="H18649" t="s">
        <v>26097</v>
      </c>
      <c r="I18649" t="s">
        <v>1359</v>
      </c>
      <c r="J18649" t="s">
        <v>1358</v>
      </c>
      <c r="K18649" t="s">
        <v>1357</v>
      </c>
      <c r="L18649" t="s">
        <v>1358</v>
      </c>
    </row>
    <row r="18650" spans="8:12">
      <c r="H18650" t="s">
        <v>26098</v>
      </c>
      <c r="I18650" t="s">
        <v>1359</v>
      </c>
      <c r="J18650" t="s">
        <v>1358</v>
      </c>
      <c r="K18650" t="s">
        <v>1357</v>
      </c>
      <c r="L18650" t="s">
        <v>1358</v>
      </c>
    </row>
    <row r="18651" spans="8:12">
      <c r="H18651" t="s">
        <v>26099</v>
      </c>
      <c r="I18651" t="s">
        <v>1359</v>
      </c>
      <c r="J18651" t="s">
        <v>1358</v>
      </c>
      <c r="K18651" t="s">
        <v>1357</v>
      </c>
      <c r="L18651" t="s">
        <v>1358</v>
      </c>
    </row>
    <row r="18652" spans="8:12">
      <c r="H18652" t="s">
        <v>26100</v>
      </c>
      <c r="I18652" t="s">
        <v>1359</v>
      </c>
      <c r="J18652" t="s">
        <v>1358</v>
      </c>
      <c r="K18652" t="s">
        <v>1357</v>
      </c>
      <c r="L18652" t="s">
        <v>1358</v>
      </c>
    </row>
    <row r="18653" spans="8:12">
      <c r="H18653" t="s">
        <v>26101</v>
      </c>
      <c r="I18653" t="s">
        <v>1359</v>
      </c>
      <c r="J18653" t="s">
        <v>1358</v>
      </c>
      <c r="K18653" t="s">
        <v>1357</v>
      </c>
      <c r="L18653" t="s">
        <v>1358</v>
      </c>
    </row>
    <row r="18654" spans="8:12">
      <c r="H18654" t="s">
        <v>26102</v>
      </c>
      <c r="I18654" t="s">
        <v>1359</v>
      </c>
      <c r="J18654" t="s">
        <v>1358</v>
      </c>
      <c r="K18654" t="s">
        <v>1357</v>
      </c>
      <c r="L18654" t="s">
        <v>1358</v>
      </c>
    </row>
    <row r="18655" spans="8:12">
      <c r="H18655" t="s">
        <v>26103</v>
      </c>
      <c r="I18655" t="s">
        <v>1359</v>
      </c>
      <c r="J18655" t="s">
        <v>1358</v>
      </c>
      <c r="K18655" t="s">
        <v>1357</v>
      </c>
      <c r="L18655" t="s">
        <v>1358</v>
      </c>
    </row>
    <row r="18656" spans="8:12">
      <c r="H18656" t="s">
        <v>26104</v>
      </c>
      <c r="I18656" t="s">
        <v>1359</v>
      </c>
      <c r="J18656" t="s">
        <v>1358</v>
      </c>
      <c r="K18656" t="s">
        <v>1357</v>
      </c>
      <c r="L18656" t="s">
        <v>1358</v>
      </c>
    </row>
    <row r="18657" spans="1:13">
      <c r="H18657" t="s">
        <v>26105</v>
      </c>
      <c r="I18657" t="s">
        <v>1359</v>
      </c>
      <c r="J18657" t="s">
        <v>1358</v>
      </c>
      <c r="K18657" t="s">
        <v>1357</v>
      </c>
      <c r="L18657" t="s">
        <v>1358</v>
      </c>
    </row>
    <row r="18658" spans="1:13">
      <c r="H18658" t="s">
        <v>26106</v>
      </c>
      <c r="I18658" t="s">
        <v>1359</v>
      </c>
      <c r="J18658" t="s">
        <v>1358</v>
      </c>
      <c r="K18658" t="s">
        <v>1357</v>
      </c>
      <c r="L18658" t="s">
        <v>1358</v>
      </c>
    </row>
    <row r="18659" spans="1:13">
      <c r="H18659" t="s">
        <v>26107</v>
      </c>
      <c r="I18659" t="s">
        <v>1359</v>
      </c>
      <c r="J18659" t="s">
        <v>1358</v>
      </c>
      <c r="K18659" t="s">
        <v>1357</v>
      </c>
      <c r="L18659" t="s">
        <v>1358</v>
      </c>
    </row>
    <row r="18660" spans="1:13">
      <c r="A18660" t="s">
        <v>11781</v>
      </c>
      <c r="B18660">
        <f>HYPERLINK("https://android.googlesource.com/platform/cts/+/da816eb1f661a6859d1ab89fffd49f04cf743ef2", "da816eb1f661a6859d1ab89fffd49f04cf743ef2")</f>
        <v>0</v>
      </c>
      <c r="C18660">
        <f>HYPERLINK("https://android.googlesource.com/platform/cts/+/de2d34fbe42917d2fccfc1b2e8f9fa13646ef0f7", "de2d34fbe42917d2fccfc1b2e8f9fa13646ef0f7")</f>
        <v>0</v>
      </c>
      <c r="D18660" t="s">
        <v>12448</v>
      </c>
      <c r="E18660" t="s">
        <v>14287</v>
      </c>
      <c r="F18660" t="s">
        <v>15172</v>
      </c>
      <c r="G18660" t="s">
        <v>17874</v>
      </c>
      <c r="H18660" t="s">
        <v>26108</v>
      </c>
      <c r="I18660" t="s">
        <v>1357</v>
      </c>
      <c r="J18660" t="s">
        <v>1357</v>
      </c>
      <c r="K18660" t="s">
        <v>1357</v>
      </c>
      <c r="L18660" t="s">
        <v>1357</v>
      </c>
    </row>
    <row r="18661" spans="1:13">
      <c r="H18661" t="s">
        <v>26109</v>
      </c>
      <c r="I18661" t="s">
        <v>1357</v>
      </c>
      <c r="J18661" t="s">
        <v>1357</v>
      </c>
      <c r="K18661" t="s">
        <v>1357</v>
      </c>
      <c r="L18661" t="s">
        <v>1357</v>
      </c>
    </row>
    <row r="18662" spans="1:13">
      <c r="H18662" t="s">
        <v>26110</v>
      </c>
      <c r="I18662" t="s">
        <v>1357</v>
      </c>
      <c r="J18662" t="s">
        <v>1357</v>
      </c>
      <c r="K18662" t="s">
        <v>1357</v>
      </c>
      <c r="L18662" t="s">
        <v>1357</v>
      </c>
    </row>
    <row r="18663" spans="1:13">
      <c r="H18663" t="s">
        <v>26111</v>
      </c>
      <c r="I18663" t="s">
        <v>1357</v>
      </c>
      <c r="J18663" t="s">
        <v>1357</v>
      </c>
      <c r="K18663" t="s">
        <v>1357</v>
      </c>
      <c r="L18663" t="s">
        <v>1357</v>
      </c>
    </row>
    <row r="18664" spans="1:13">
      <c r="H18664" t="s">
        <v>26112</v>
      </c>
      <c r="I18664" t="s">
        <v>1357</v>
      </c>
      <c r="J18664" t="s">
        <v>1357</v>
      </c>
      <c r="K18664" t="s">
        <v>1357</v>
      </c>
      <c r="L18664" t="s">
        <v>1357</v>
      </c>
    </row>
    <row r="18665" spans="1:13">
      <c r="H18665" t="s">
        <v>26113</v>
      </c>
      <c r="I18665" t="s">
        <v>1357</v>
      </c>
      <c r="J18665" t="s">
        <v>1357</v>
      </c>
      <c r="K18665" t="s">
        <v>1357</v>
      </c>
      <c r="L18665" t="s">
        <v>1357</v>
      </c>
    </row>
    <row r="18666" spans="1:13">
      <c r="A18666" t="s">
        <v>11782</v>
      </c>
      <c r="B18666">
        <f>HYPERLINK("https://android.googlesource.com/platform/cts/+/9404bd8e52785eb80408240092cad30c91e77bde", "9404bd8e52785eb80408240092cad30c91e77bde")</f>
        <v>0</v>
      </c>
      <c r="C18666">
        <f>HYPERLINK("https://android.googlesource.com/platform/cts/+/816f133942e42c98935056fc08d0244a7d57838c", "816f133942e42c98935056fc08d0244a7d57838c")</f>
        <v>0</v>
      </c>
      <c r="D18666" t="s">
        <v>12448</v>
      </c>
      <c r="E18666" t="s">
        <v>14287</v>
      </c>
      <c r="F18666" t="s">
        <v>15172</v>
      </c>
      <c r="G18666" t="s">
        <v>17874</v>
      </c>
      <c r="H18666" t="s">
        <v>26108</v>
      </c>
      <c r="I18666" t="s">
        <v>1357</v>
      </c>
      <c r="J18666" t="s">
        <v>1357</v>
      </c>
      <c r="K18666" t="s">
        <v>1357</v>
      </c>
      <c r="L18666" t="s">
        <v>1357</v>
      </c>
      <c r="M18666" t="s">
        <v>27499</v>
      </c>
    </row>
    <row r="18667" spans="1:13">
      <c r="H18667" t="s">
        <v>26109</v>
      </c>
      <c r="I18667" t="s">
        <v>1357</v>
      </c>
      <c r="J18667" t="s">
        <v>1357</v>
      </c>
      <c r="K18667" t="s">
        <v>1357</v>
      </c>
      <c r="L18667" t="s">
        <v>1357</v>
      </c>
    </row>
    <row r="18668" spans="1:13">
      <c r="H18668" t="s">
        <v>26110</v>
      </c>
      <c r="I18668" t="s">
        <v>1357</v>
      </c>
      <c r="J18668" t="s">
        <v>1357</v>
      </c>
      <c r="K18668" t="s">
        <v>1357</v>
      </c>
      <c r="L18668" t="s">
        <v>1357</v>
      </c>
    </row>
    <row r="18669" spans="1:13">
      <c r="H18669" t="s">
        <v>26111</v>
      </c>
      <c r="I18669" t="s">
        <v>1357</v>
      </c>
      <c r="J18669" t="s">
        <v>1357</v>
      </c>
      <c r="K18669" t="s">
        <v>1357</v>
      </c>
      <c r="L18669" t="s">
        <v>1357</v>
      </c>
    </row>
    <row r="18670" spans="1:13">
      <c r="H18670" t="s">
        <v>26112</v>
      </c>
      <c r="I18670" t="s">
        <v>1357</v>
      </c>
      <c r="J18670" t="s">
        <v>1357</v>
      </c>
      <c r="K18670" t="s">
        <v>1357</v>
      </c>
      <c r="L18670" t="s">
        <v>1357</v>
      </c>
    </row>
    <row r="18671" spans="1:13">
      <c r="H18671" t="s">
        <v>26113</v>
      </c>
      <c r="I18671" t="s">
        <v>1357</v>
      </c>
      <c r="J18671" t="s">
        <v>1357</v>
      </c>
      <c r="K18671" t="s">
        <v>1357</v>
      </c>
      <c r="L18671" t="s">
        <v>1357</v>
      </c>
    </row>
    <row r="18672" spans="1:13">
      <c r="A18672" t="s">
        <v>11783</v>
      </c>
      <c r="B18672">
        <f>HYPERLINK("https://android.googlesource.com/platform/cts/+/da70318e3d974aba9db05dcbaf77130e886134a1", "da70318e3d974aba9db05dcbaf77130e886134a1")</f>
        <v>0</v>
      </c>
      <c r="C18672">
        <f>HYPERLINK("https://android.googlesource.com/platform/cts/+/2deb3b31533ac7e8cfbd434ebf69548ca0ec8e19", "2deb3b31533ac7e8cfbd434ebf69548ca0ec8e19")</f>
        <v>0</v>
      </c>
      <c r="D18672" t="s">
        <v>12478</v>
      </c>
      <c r="E18672" t="s">
        <v>14288</v>
      </c>
      <c r="F18672" t="s">
        <v>17158</v>
      </c>
      <c r="G18672" t="s">
        <v>19744</v>
      </c>
      <c r="H18672" t="s">
        <v>26114</v>
      </c>
      <c r="I18672" t="s">
        <v>1359</v>
      </c>
      <c r="J18672" t="s">
        <v>1358</v>
      </c>
      <c r="K18672" t="s">
        <v>1358</v>
      </c>
      <c r="L18672" t="s">
        <v>1357</v>
      </c>
      <c r="M18672" t="s">
        <v>27499</v>
      </c>
    </row>
    <row r="18673" spans="1:13">
      <c r="A18673" t="s">
        <v>11784</v>
      </c>
      <c r="B18673">
        <f>HYPERLINK("https://android.googlesource.com/platform/cts/+/9f48672fe8aefafc2bb544a5db923a95cfee61cd", "9f48672fe8aefafc2bb544a5db923a95cfee61cd")</f>
        <v>0</v>
      </c>
      <c r="C18673">
        <f>HYPERLINK("https://android.googlesource.com/platform/cts/+/79dac82f2c8826d01b0b228e42023568200ac911", "79dac82f2c8826d01b0b228e42023568200ac911")</f>
        <v>0</v>
      </c>
      <c r="D18673" t="s">
        <v>12357</v>
      </c>
      <c r="E18673" t="s">
        <v>14289</v>
      </c>
      <c r="F18673" t="s">
        <v>17158</v>
      </c>
      <c r="G18673" t="s">
        <v>19744</v>
      </c>
      <c r="H18673" t="s">
        <v>26079</v>
      </c>
      <c r="I18673" t="s">
        <v>1358</v>
      </c>
      <c r="J18673" t="s">
        <v>1358</v>
      </c>
      <c r="K18673" t="s">
        <v>1358</v>
      </c>
      <c r="L18673" t="s">
        <v>1358</v>
      </c>
    </row>
    <row r="18674" spans="1:13">
      <c r="H18674" t="s">
        <v>26080</v>
      </c>
      <c r="I18674" t="s">
        <v>1357</v>
      </c>
      <c r="J18674" t="s">
        <v>1357</v>
      </c>
      <c r="K18674" t="s">
        <v>1357</v>
      </c>
      <c r="L18674" t="s">
        <v>1357</v>
      </c>
    </row>
    <row r="18675" spans="1:13">
      <c r="H18675" t="s">
        <v>26081</v>
      </c>
      <c r="I18675" t="s">
        <v>1357</v>
      </c>
      <c r="J18675" t="s">
        <v>1357</v>
      </c>
      <c r="K18675" t="s">
        <v>1357</v>
      </c>
      <c r="L18675" t="s">
        <v>1357</v>
      </c>
      <c r="M18675" t="s">
        <v>27499</v>
      </c>
    </row>
    <row r="18676" spans="1:13">
      <c r="A18676" t="s">
        <v>11785</v>
      </c>
      <c r="B18676">
        <f>HYPERLINK("https://android.googlesource.com/platform/cts/+/a415f0739fccbe5407052b27a7de74965ae1c0e8", "a415f0739fccbe5407052b27a7de74965ae1c0e8")</f>
        <v>0</v>
      </c>
      <c r="C18676">
        <f>HYPERLINK("https://android.googlesource.com/platform/cts/+/c7f14c6cd2e17ab1908a1c3f3a42a50eda85ea82", "c7f14c6cd2e17ab1908a1c3f3a42a50eda85ea82")</f>
        <v>0</v>
      </c>
      <c r="D18676" t="s">
        <v>12479</v>
      </c>
      <c r="E18676" t="s">
        <v>14290</v>
      </c>
      <c r="F18676" t="s">
        <v>17160</v>
      </c>
      <c r="G18676" t="s">
        <v>19746</v>
      </c>
      <c r="H18676" t="s">
        <v>26115</v>
      </c>
      <c r="I18676" t="s">
        <v>1359</v>
      </c>
      <c r="J18676" t="s">
        <v>1358</v>
      </c>
      <c r="K18676" t="s">
        <v>1357</v>
      </c>
      <c r="L18676" t="s">
        <v>1358</v>
      </c>
    </row>
    <row r="18677" spans="1:13">
      <c r="A18677" t="s">
        <v>11786</v>
      </c>
      <c r="B18677">
        <f>HYPERLINK("https://android.googlesource.com/platform/cts/+/166c6fda73c3938920f80ec4b93cd5877fbc691a", "166c6fda73c3938920f80ec4b93cd5877fbc691a")</f>
        <v>0</v>
      </c>
      <c r="C18677">
        <f>HYPERLINK("https://android.googlesource.com/platform/cts/+/f4b7d1720c21df71caf222449f5e9c8e536d6359", "f4b7d1720c21df71caf222449f5e9c8e536d6359")</f>
        <v>0</v>
      </c>
      <c r="D18677" t="s">
        <v>12103</v>
      </c>
      <c r="E18677" t="s">
        <v>14291</v>
      </c>
      <c r="F18677" t="s">
        <v>16294</v>
      </c>
      <c r="G18677" t="s">
        <v>18965</v>
      </c>
      <c r="H18677" t="s">
        <v>26078</v>
      </c>
      <c r="I18677" t="s">
        <v>1357</v>
      </c>
      <c r="J18677" t="s">
        <v>1357</v>
      </c>
      <c r="K18677" t="s">
        <v>1357</v>
      </c>
      <c r="L18677" t="s">
        <v>1357</v>
      </c>
      <c r="M18677" t="s">
        <v>27499</v>
      </c>
    </row>
    <row r="18678" spans="1:13">
      <c r="A18678" t="s">
        <v>11787</v>
      </c>
      <c r="B18678">
        <f>HYPERLINK("https://android.googlesource.com/platform/cts/+/d4990dd801b20b8bbcacc541e84f07615baabb8f", "d4990dd801b20b8bbcacc541e84f07615baabb8f")</f>
        <v>0</v>
      </c>
      <c r="C18678">
        <f>HYPERLINK("https://android.googlesource.com/platform/cts/+/cac73c0ecd456ccd62e77aff7cff88c5f596202b", "cac73c0ecd456ccd62e77aff7cff88c5f596202b")</f>
        <v>0</v>
      </c>
      <c r="D18678" t="s">
        <v>12103</v>
      </c>
      <c r="E18678" t="s">
        <v>14291</v>
      </c>
      <c r="F18678" t="s">
        <v>16294</v>
      </c>
      <c r="G18678" t="s">
        <v>18965</v>
      </c>
      <c r="H18678" t="s">
        <v>26078</v>
      </c>
      <c r="I18678" t="s">
        <v>1357</v>
      </c>
      <c r="J18678" t="s">
        <v>1357</v>
      </c>
      <c r="K18678" t="s">
        <v>1357</v>
      </c>
      <c r="L18678" t="s">
        <v>1357</v>
      </c>
      <c r="M18678" t="s">
        <v>27499</v>
      </c>
    </row>
    <row r="18679" spans="1:13">
      <c r="A18679" t="s">
        <v>11788</v>
      </c>
      <c r="B18679">
        <f>HYPERLINK("https://android.googlesource.com/platform/cts/+/4a24eb03fbaf7e75828fb815a9f2695c5c7f1b2f", "4a24eb03fbaf7e75828fb815a9f2695c5c7f1b2f")</f>
        <v>0</v>
      </c>
      <c r="C18679">
        <f>HYPERLINK("https://android.googlesource.com/platform/cts/+/722a221cded9b217ac56580882711815116b6bc8", "722a221cded9b217ac56580882711815116b6bc8")</f>
        <v>0</v>
      </c>
      <c r="D18679" t="s">
        <v>12103</v>
      </c>
      <c r="E18679" t="s">
        <v>14291</v>
      </c>
      <c r="F18679" t="s">
        <v>16294</v>
      </c>
      <c r="G18679" t="s">
        <v>18965</v>
      </c>
      <c r="H18679" t="s">
        <v>26078</v>
      </c>
      <c r="I18679" t="s">
        <v>1357</v>
      </c>
      <c r="J18679" t="s">
        <v>1357</v>
      </c>
      <c r="K18679" t="s">
        <v>1357</v>
      </c>
      <c r="L18679" t="s">
        <v>1357</v>
      </c>
      <c r="M18679" t="s">
        <v>27499</v>
      </c>
    </row>
    <row r="18680" spans="1:13">
      <c r="A18680" t="s">
        <v>11789</v>
      </c>
      <c r="B18680">
        <f>HYPERLINK("https://android.googlesource.com/platform/cts/+/e61c6edfebe41513655e150e259956ec89f4ee9b", "e61c6edfebe41513655e150e259956ec89f4ee9b")</f>
        <v>0</v>
      </c>
      <c r="C18680">
        <f>HYPERLINK("https://android.googlesource.com/platform/cts/+/3bb8da604b4c066951a4912f3681cbc43dd67250", "3bb8da604b4c066951a4912f3681cbc43dd67250")</f>
        <v>0</v>
      </c>
      <c r="D18680" t="s">
        <v>12103</v>
      </c>
      <c r="E18680" t="s">
        <v>14291</v>
      </c>
      <c r="F18680" t="s">
        <v>16294</v>
      </c>
      <c r="G18680" t="s">
        <v>18965</v>
      </c>
      <c r="H18680" t="s">
        <v>26078</v>
      </c>
      <c r="I18680" t="s">
        <v>1357</v>
      </c>
      <c r="J18680" t="s">
        <v>1357</v>
      </c>
      <c r="K18680" t="s">
        <v>1357</v>
      </c>
      <c r="L18680" t="s">
        <v>1357</v>
      </c>
      <c r="M18680" t="s">
        <v>27499</v>
      </c>
    </row>
    <row r="18681" spans="1:13">
      <c r="A18681" t="s">
        <v>11790</v>
      </c>
      <c r="B18681">
        <f>HYPERLINK("https://android.googlesource.com/platform/cts/+/a042cf3b90e6b8ffda2ee2a2560b6da5341ea501", "a042cf3b90e6b8ffda2ee2a2560b6da5341ea501")</f>
        <v>0</v>
      </c>
      <c r="C18681">
        <f>HYPERLINK("https://android.googlesource.com/platform/cts/+/94da53ac26428dd9f02dfe0cf5dc366516aa8ec5", "94da53ac26428dd9f02dfe0cf5dc366516aa8ec5")</f>
        <v>0</v>
      </c>
      <c r="D18681" t="s">
        <v>12448</v>
      </c>
      <c r="E18681" t="s">
        <v>14287</v>
      </c>
      <c r="F18681" t="s">
        <v>15172</v>
      </c>
      <c r="G18681" t="s">
        <v>17874</v>
      </c>
      <c r="H18681" t="s">
        <v>26108</v>
      </c>
      <c r="I18681" t="s">
        <v>1357</v>
      </c>
      <c r="J18681" t="s">
        <v>1357</v>
      </c>
      <c r="K18681" t="s">
        <v>1357</v>
      </c>
      <c r="L18681" t="s">
        <v>1357</v>
      </c>
      <c r="M18681" t="s">
        <v>27499</v>
      </c>
    </row>
    <row r="18682" spans="1:13">
      <c r="H18682" t="s">
        <v>26109</v>
      </c>
      <c r="I18682" t="s">
        <v>1357</v>
      </c>
      <c r="J18682" t="s">
        <v>1357</v>
      </c>
      <c r="K18682" t="s">
        <v>1357</v>
      </c>
      <c r="L18682" t="s">
        <v>1357</v>
      </c>
    </row>
    <row r="18683" spans="1:13">
      <c r="H18683" t="s">
        <v>26110</v>
      </c>
      <c r="I18683" t="s">
        <v>1357</v>
      </c>
      <c r="J18683" t="s">
        <v>1357</v>
      </c>
      <c r="K18683" t="s">
        <v>1357</v>
      </c>
      <c r="L18683" t="s">
        <v>1357</v>
      </c>
    </row>
    <row r="18684" spans="1:13">
      <c r="H18684" t="s">
        <v>26111</v>
      </c>
      <c r="I18684" t="s">
        <v>1357</v>
      </c>
      <c r="J18684" t="s">
        <v>1357</v>
      </c>
      <c r="K18684" t="s">
        <v>1357</v>
      </c>
      <c r="L18684" t="s">
        <v>1357</v>
      </c>
    </row>
    <row r="18685" spans="1:13">
      <c r="H18685" t="s">
        <v>26112</v>
      </c>
      <c r="I18685" t="s">
        <v>1357</v>
      </c>
      <c r="J18685" t="s">
        <v>1357</v>
      </c>
      <c r="K18685" t="s">
        <v>1357</v>
      </c>
      <c r="L18685" t="s">
        <v>1357</v>
      </c>
    </row>
    <row r="18686" spans="1:13">
      <c r="H18686" t="s">
        <v>26113</v>
      </c>
      <c r="I18686" t="s">
        <v>1357</v>
      </c>
      <c r="J18686" t="s">
        <v>1357</v>
      </c>
      <c r="K18686" t="s">
        <v>1357</v>
      </c>
      <c r="L18686" t="s">
        <v>1357</v>
      </c>
    </row>
    <row r="18687" spans="1:13">
      <c r="A18687" t="s">
        <v>11791</v>
      </c>
      <c r="B18687">
        <f>HYPERLINK("https://android.googlesource.com/platform/cts/+/fd2772894b2be84bda85735053ce99cf5eb73019", "fd2772894b2be84bda85735053ce99cf5eb73019")</f>
        <v>0</v>
      </c>
      <c r="C18687">
        <f>HYPERLINK("https://android.googlesource.com/platform/cts/+/3cd74e0c5ade6c71ad28d2f22a81e3d513da28d1", "3cd74e0c5ade6c71ad28d2f22a81e3d513da28d1")</f>
        <v>0</v>
      </c>
      <c r="D18687" t="s">
        <v>12480</v>
      </c>
      <c r="E18687" t="s">
        <v>14292</v>
      </c>
      <c r="F18687" t="s">
        <v>15174</v>
      </c>
      <c r="G18687" t="s">
        <v>17876</v>
      </c>
      <c r="H18687" t="s">
        <v>26116</v>
      </c>
      <c r="I18687" t="s">
        <v>1357</v>
      </c>
      <c r="J18687" t="s">
        <v>1357</v>
      </c>
      <c r="K18687" t="s">
        <v>1357</v>
      </c>
      <c r="L18687" t="s">
        <v>1357</v>
      </c>
    </row>
    <row r="18688" spans="1:13">
      <c r="H18688" t="s">
        <v>26117</v>
      </c>
      <c r="I18688" t="s">
        <v>1357</v>
      </c>
      <c r="J18688" t="s">
        <v>1357</v>
      </c>
      <c r="K18688" t="s">
        <v>1357</v>
      </c>
      <c r="L18688" t="s">
        <v>1357</v>
      </c>
    </row>
    <row r="18689" spans="1:12">
      <c r="A18689" t="s">
        <v>11792</v>
      </c>
      <c r="B18689">
        <f>HYPERLINK("https://android.googlesource.com/platform/cts/+/8aa2ff2b46c82bdf1e91adc9c0eae65ccf1da82d", "8aa2ff2b46c82bdf1e91adc9c0eae65ccf1da82d")</f>
        <v>0</v>
      </c>
      <c r="C18689">
        <f>HYPERLINK("https://android.googlesource.com/platform/cts/+/0bb0c6886c962b347f657b852e986a4b58431607", "0bb0c6886c962b347f657b852e986a4b58431607")</f>
        <v>0</v>
      </c>
      <c r="D18689" t="s">
        <v>12293</v>
      </c>
      <c r="E18689" t="s">
        <v>14293</v>
      </c>
      <c r="F18689" t="s">
        <v>17161</v>
      </c>
      <c r="G18689" t="s">
        <v>19747</v>
      </c>
      <c r="H18689" t="s">
        <v>26118</v>
      </c>
      <c r="I18689" t="s">
        <v>1357</v>
      </c>
      <c r="J18689" t="s">
        <v>1357</v>
      </c>
      <c r="K18689" t="s">
        <v>1357</v>
      </c>
      <c r="L18689" t="s">
        <v>1357</v>
      </c>
    </row>
    <row r="18690" spans="1:12">
      <c r="H18690" t="s">
        <v>26119</v>
      </c>
      <c r="I18690" t="s">
        <v>1357</v>
      </c>
      <c r="J18690" t="s">
        <v>1357</v>
      </c>
      <c r="K18690" t="s">
        <v>1357</v>
      </c>
      <c r="L18690" t="s">
        <v>1357</v>
      </c>
    </row>
    <row r="18691" spans="1:12">
      <c r="H18691" t="s">
        <v>899</v>
      </c>
      <c r="I18691" t="s">
        <v>1357</v>
      </c>
      <c r="J18691" t="s">
        <v>1357</v>
      </c>
      <c r="K18691" t="s">
        <v>1357</v>
      </c>
      <c r="L18691" t="s">
        <v>1357</v>
      </c>
    </row>
    <row r="18692" spans="1:12">
      <c r="A18692" t="s">
        <v>11793</v>
      </c>
      <c r="B18692">
        <f>HYPERLINK("https://android.googlesource.com/platform/cts/+/13fa701c65c7bb3641a516bb174a184b6513c381", "13fa701c65c7bb3641a516bb174a184b6513c381")</f>
        <v>0</v>
      </c>
      <c r="C18692">
        <f>HYPERLINK("https://android.googlesource.com/platform/cts/+/6d92b65a98866b9804f6dfa750f43a1ce667ecd5", "6d92b65a98866b9804f6dfa750f43a1ce667ecd5")</f>
        <v>0</v>
      </c>
      <c r="D18692" t="s">
        <v>12405</v>
      </c>
      <c r="E18692" t="s">
        <v>14294</v>
      </c>
      <c r="F18692" t="s">
        <v>16494</v>
      </c>
      <c r="G18692" t="s">
        <v>19153</v>
      </c>
      <c r="H18692" t="s">
        <v>26120</v>
      </c>
      <c r="I18692" t="s">
        <v>1357</v>
      </c>
      <c r="J18692" t="s">
        <v>1357</v>
      </c>
      <c r="K18692" t="s">
        <v>1357</v>
      </c>
      <c r="L18692" t="s">
        <v>1357</v>
      </c>
    </row>
    <row r="18693" spans="1:12">
      <c r="H18693" t="s">
        <v>26121</v>
      </c>
      <c r="I18693" t="s">
        <v>1359</v>
      </c>
      <c r="J18693" t="s">
        <v>1358</v>
      </c>
      <c r="K18693" t="s">
        <v>1358</v>
      </c>
      <c r="L18693" t="s">
        <v>1357</v>
      </c>
    </row>
    <row r="18694" spans="1:12">
      <c r="A18694" t="s">
        <v>11794</v>
      </c>
      <c r="B18694">
        <f>HYPERLINK("https://android.googlesource.com/platform/cts/+/31cf1869eb64dd417b686cad2486687756a54a41", "31cf1869eb64dd417b686cad2486687756a54a41")</f>
        <v>0</v>
      </c>
      <c r="C18694">
        <f>HYPERLINK("https://android.googlesource.com/platform/cts/+/01316ae298f6acda9bb724f031bdc42f69450a02", "01316ae298f6acda9bb724f031bdc42f69450a02")</f>
        <v>0</v>
      </c>
      <c r="D18694" t="s">
        <v>12367</v>
      </c>
      <c r="E18694" t="s">
        <v>14295</v>
      </c>
      <c r="F18694" t="s">
        <v>17145</v>
      </c>
      <c r="G18694" t="s">
        <v>19733</v>
      </c>
      <c r="H18694" t="s">
        <v>26034</v>
      </c>
      <c r="I18694" t="s">
        <v>1357</v>
      </c>
      <c r="J18694" t="s">
        <v>1357</v>
      </c>
      <c r="K18694" t="s">
        <v>1357</v>
      </c>
      <c r="L18694" t="s">
        <v>1357</v>
      </c>
    </row>
    <row r="18695" spans="1:12">
      <c r="A18695" t="s">
        <v>11795</v>
      </c>
      <c r="B18695">
        <f>HYPERLINK("https://android.googlesource.com/platform/cts/+/c6cb3f261cad3323f15c0c8dc848f11630baf62e", "c6cb3f261cad3323f15c0c8dc848f11630baf62e")</f>
        <v>0</v>
      </c>
      <c r="C18695">
        <f>HYPERLINK("https://android.googlesource.com/platform/cts/+/9aaf739ea6e18e54c61c24e8d4cba24e645d3225", "9aaf739ea6e18e54c61c24e8d4cba24e645d3225")</f>
        <v>0</v>
      </c>
      <c r="D18695" t="s">
        <v>12306</v>
      </c>
      <c r="E18695" t="s">
        <v>14296</v>
      </c>
      <c r="F18695" t="s">
        <v>17162</v>
      </c>
      <c r="G18695" t="s">
        <v>19748</v>
      </c>
      <c r="H18695" t="s">
        <v>26122</v>
      </c>
      <c r="I18695" t="s">
        <v>1357</v>
      </c>
      <c r="J18695" t="s">
        <v>1357</v>
      </c>
      <c r="K18695" t="s">
        <v>1357</v>
      </c>
      <c r="L18695" t="s">
        <v>1357</v>
      </c>
    </row>
    <row r="18696" spans="1:12">
      <c r="H18696" t="s">
        <v>26123</v>
      </c>
      <c r="I18696" t="s">
        <v>1357</v>
      </c>
      <c r="J18696" t="s">
        <v>1357</v>
      </c>
      <c r="K18696" t="s">
        <v>1357</v>
      </c>
      <c r="L18696" t="s">
        <v>1357</v>
      </c>
    </row>
    <row r="18697" spans="1:12">
      <c r="H18697" t="s">
        <v>26124</v>
      </c>
      <c r="I18697" t="s">
        <v>1357</v>
      </c>
      <c r="J18697" t="s">
        <v>1357</v>
      </c>
      <c r="K18697" t="s">
        <v>1357</v>
      </c>
      <c r="L18697" t="s">
        <v>1357</v>
      </c>
    </row>
    <row r="18698" spans="1:12">
      <c r="H18698" t="s">
        <v>26125</v>
      </c>
      <c r="I18698" t="s">
        <v>1357</v>
      </c>
      <c r="J18698" t="s">
        <v>1357</v>
      </c>
      <c r="K18698" t="s">
        <v>1357</v>
      </c>
      <c r="L18698" t="s">
        <v>1357</v>
      </c>
    </row>
    <row r="18699" spans="1:12">
      <c r="H18699" t="s">
        <v>26126</v>
      </c>
      <c r="I18699" t="s">
        <v>1358</v>
      </c>
      <c r="J18699" t="s">
        <v>1358</v>
      </c>
      <c r="K18699" t="s">
        <v>1358</v>
      </c>
      <c r="L18699" t="s">
        <v>1358</v>
      </c>
    </row>
    <row r="18700" spans="1:12">
      <c r="H18700" t="s">
        <v>26127</v>
      </c>
      <c r="I18700" t="s">
        <v>1357</v>
      </c>
      <c r="J18700" t="s">
        <v>1357</v>
      </c>
      <c r="K18700" t="s">
        <v>1357</v>
      </c>
      <c r="L18700" t="s">
        <v>1357</v>
      </c>
    </row>
    <row r="18701" spans="1:12">
      <c r="H18701" t="s">
        <v>26128</v>
      </c>
      <c r="I18701" t="s">
        <v>1357</v>
      </c>
      <c r="J18701" t="s">
        <v>1357</v>
      </c>
      <c r="K18701" t="s">
        <v>1357</v>
      </c>
      <c r="L18701" t="s">
        <v>1357</v>
      </c>
    </row>
    <row r="18702" spans="1:12">
      <c r="H18702" t="s">
        <v>26129</v>
      </c>
      <c r="I18702" t="s">
        <v>1357</v>
      </c>
      <c r="J18702" t="s">
        <v>1357</v>
      </c>
      <c r="K18702" t="s">
        <v>1357</v>
      </c>
      <c r="L18702" t="s">
        <v>1357</v>
      </c>
    </row>
    <row r="18703" spans="1:12">
      <c r="H18703" t="s">
        <v>26130</v>
      </c>
      <c r="I18703" t="s">
        <v>1357</v>
      </c>
      <c r="J18703" t="s">
        <v>1357</v>
      </c>
      <c r="K18703" t="s">
        <v>1357</v>
      </c>
      <c r="L18703" t="s">
        <v>1357</v>
      </c>
    </row>
    <row r="18704" spans="1:12">
      <c r="H18704" t="s">
        <v>26131</v>
      </c>
      <c r="I18704" t="s">
        <v>1357</v>
      </c>
      <c r="J18704" t="s">
        <v>1357</v>
      </c>
      <c r="K18704" t="s">
        <v>1357</v>
      </c>
      <c r="L18704" t="s">
        <v>1357</v>
      </c>
    </row>
    <row r="18705" spans="1:14">
      <c r="H18705" t="s">
        <v>26132</v>
      </c>
      <c r="I18705" t="s">
        <v>1357</v>
      </c>
      <c r="J18705" t="s">
        <v>1357</v>
      </c>
      <c r="K18705" t="s">
        <v>1357</v>
      </c>
      <c r="L18705" t="s">
        <v>1357</v>
      </c>
    </row>
    <row r="18706" spans="1:14">
      <c r="H18706" t="s">
        <v>26133</v>
      </c>
      <c r="I18706" t="s">
        <v>1357</v>
      </c>
      <c r="J18706" t="s">
        <v>1357</v>
      </c>
      <c r="K18706" t="s">
        <v>1357</v>
      </c>
      <c r="L18706" t="s">
        <v>1357</v>
      </c>
    </row>
    <row r="18707" spans="1:14">
      <c r="H18707" t="s">
        <v>26134</v>
      </c>
      <c r="I18707" t="s">
        <v>1357</v>
      </c>
      <c r="J18707" t="s">
        <v>1357</v>
      </c>
      <c r="K18707" t="s">
        <v>1357</v>
      </c>
      <c r="L18707" t="s">
        <v>1357</v>
      </c>
    </row>
    <row r="18708" spans="1:14">
      <c r="A18708" t="s">
        <v>11796</v>
      </c>
      <c r="B18708">
        <f>HYPERLINK("https://android.googlesource.com/platform/cts/+/449bf6037520ba672048764322f88ab607139348", "449bf6037520ba672048764322f88ab607139348")</f>
        <v>0</v>
      </c>
      <c r="C18708">
        <f>HYPERLINK("https://android.googlesource.com/platform/cts/+/7706876a3c8768b2ca2b0397bc97b4e93136f8e7", "7706876a3c8768b2ca2b0397bc97b4e93136f8e7")</f>
        <v>0</v>
      </c>
      <c r="D18708" t="s">
        <v>12481</v>
      </c>
      <c r="E18708" t="s">
        <v>14297</v>
      </c>
      <c r="F18708" t="s">
        <v>16138</v>
      </c>
      <c r="G18708" t="s">
        <v>18822</v>
      </c>
      <c r="H18708" t="s">
        <v>26135</v>
      </c>
      <c r="I18708" t="s">
        <v>1359</v>
      </c>
      <c r="J18708" t="s">
        <v>1358</v>
      </c>
      <c r="K18708" t="s">
        <v>1357</v>
      </c>
      <c r="L18708" t="s">
        <v>1358</v>
      </c>
      <c r="N18708" t="s">
        <v>27542</v>
      </c>
    </row>
    <row r="18709" spans="1:14">
      <c r="H18709" t="s">
        <v>26136</v>
      </c>
      <c r="I18709" t="s">
        <v>1359</v>
      </c>
      <c r="J18709" t="s">
        <v>1358</v>
      </c>
      <c r="K18709" t="s">
        <v>1357</v>
      </c>
      <c r="L18709" t="s">
        <v>1358</v>
      </c>
    </row>
    <row r="18710" spans="1:14">
      <c r="H18710" t="s">
        <v>26137</v>
      </c>
      <c r="I18710" t="s">
        <v>1359</v>
      </c>
      <c r="J18710" t="s">
        <v>1358</v>
      </c>
      <c r="K18710" t="s">
        <v>1357</v>
      </c>
      <c r="L18710" t="s">
        <v>1358</v>
      </c>
      <c r="N18710" t="s">
        <v>27543</v>
      </c>
    </row>
    <row r="18711" spans="1:14">
      <c r="H18711" t="s">
        <v>26138</v>
      </c>
      <c r="I18711" t="s">
        <v>1359</v>
      </c>
      <c r="J18711" t="s">
        <v>1358</v>
      </c>
      <c r="K18711" t="s">
        <v>1357</v>
      </c>
      <c r="L18711" t="s">
        <v>1358</v>
      </c>
    </row>
    <row r="18712" spans="1:14">
      <c r="A18712" t="s">
        <v>11797</v>
      </c>
      <c r="B18712">
        <f>HYPERLINK("https://android.googlesource.com/platform/cts/+/3588aa80da491ff2ab097421e43f9802e97b139e", "3588aa80da491ff2ab097421e43f9802e97b139e")</f>
        <v>0</v>
      </c>
      <c r="C18712">
        <f>HYPERLINK("https://android.googlesource.com/platform/cts/+/30f754c624014836f63937f4753400847fdecc27", "30f754c624014836f63937f4753400847fdecc27")</f>
        <v>0</v>
      </c>
      <c r="D18712" t="s">
        <v>12482</v>
      </c>
      <c r="E18712" t="s">
        <v>14298</v>
      </c>
      <c r="F18712" t="s">
        <v>17163</v>
      </c>
      <c r="G18712" t="s">
        <v>19749</v>
      </c>
      <c r="H18712" t="s">
        <v>26139</v>
      </c>
      <c r="I18712" t="s">
        <v>1357</v>
      </c>
      <c r="J18712" t="s">
        <v>1357</v>
      </c>
      <c r="K18712" t="s">
        <v>1357</v>
      </c>
      <c r="L18712" t="s">
        <v>1357</v>
      </c>
    </row>
    <row r="18713" spans="1:14">
      <c r="H18713" t="s">
        <v>26140</v>
      </c>
      <c r="I18713" t="s">
        <v>1357</v>
      </c>
      <c r="J18713" t="s">
        <v>1357</v>
      </c>
      <c r="K18713" t="s">
        <v>1357</v>
      </c>
      <c r="L18713" t="s">
        <v>1357</v>
      </c>
    </row>
    <row r="18714" spans="1:14">
      <c r="H18714" t="s">
        <v>26141</v>
      </c>
      <c r="I18714" t="s">
        <v>1357</v>
      </c>
      <c r="J18714" t="s">
        <v>1357</v>
      </c>
      <c r="K18714" t="s">
        <v>1357</v>
      </c>
      <c r="L18714" t="s">
        <v>1357</v>
      </c>
    </row>
    <row r="18715" spans="1:14">
      <c r="H18715" t="s">
        <v>26142</v>
      </c>
      <c r="I18715" t="s">
        <v>1357</v>
      </c>
      <c r="J18715" t="s">
        <v>1357</v>
      </c>
      <c r="K18715" t="s">
        <v>1357</v>
      </c>
      <c r="L18715" t="s">
        <v>1357</v>
      </c>
    </row>
    <row r="18716" spans="1:14">
      <c r="A18716" t="s">
        <v>11798</v>
      </c>
      <c r="B18716">
        <f>HYPERLINK("https://android.googlesource.com/platform/cts/+/780465c10641027cc5c7f216a7f733174696a6ae", "780465c10641027cc5c7f216a7f733174696a6ae")</f>
        <v>0</v>
      </c>
      <c r="C18716">
        <f>HYPERLINK("https://android.googlesource.com/platform/cts/+/f0103aea9b747f6fa2037307d2e33fa77501182d", "f0103aea9b747f6fa2037307d2e33fa77501182d")</f>
        <v>0</v>
      </c>
      <c r="D18716" t="s">
        <v>12483</v>
      </c>
      <c r="E18716" t="s">
        <v>14299</v>
      </c>
      <c r="F18716" t="s">
        <v>17164</v>
      </c>
      <c r="G18716" t="s">
        <v>19750</v>
      </c>
      <c r="H18716" t="s">
        <v>26143</v>
      </c>
      <c r="I18716" t="s">
        <v>1358</v>
      </c>
      <c r="J18716" t="s">
        <v>1358</v>
      </c>
      <c r="K18716" t="s">
        <v>1358</v>
      </c>
      <c r="L18716" t="s">
        <v>1358</v>
      </c>
      <c r="N18716" t="s">
        <v>27544</v>
      </c>
    </row>
    <row r="18717" spans="1:14">
      <c r="H18717" t="s">
        <v>26144</v>
      </c>
      <c r="I18717" t="s">
        <v>1359</v>
      </c>
      <c r="J18717" t="s">
        <v>1358</v>
      </c>
      <c r="K18717" t="s">
        <v>1357</v>
      </c>
      <c r="L18717" t="s">
        <v>1358</v>
      </c>
      <c r="N18717" t="s">
        <v>27529</v>
      </c>
    </row>
    <row r="18718" spans="1:14">
      <c r="H18718" t="s">
        <v>26145</v>
      </c>
      <c r="I18718" t="s">
        <v>1358</v>
      </c>
      <c r="J18718" t="s">
        <v>1358</v>
      </c>
      <c r="K18718" t="s">
        <v>1358</v>
      </c>
      <c r="L18718" t="s">
        <v>1358</v>
      </c>
      <c r="N18718" t="s">
        <v>27544</v>
      </c>
    </row>
    <row r="18719" spans="1:14">
      <c r="H18719" t="s">
        <v>26146</v>
      </c>
      <c r="I18719" t="s">
        <v>1359</v>
      </c>
      <c r="J18719" t="s">
        <v>1358</v>
      </c>
      <c r="K18719" t="s">
        <v>1357</v>
      </c>
      <c r="L18719" t="s">
        <v>1358</v>
      </c>
      <c r="N18719" t="s">
        <v>27529</v>
      </c>
    </row>
    <row r="18720" spans="1:14">
      <c r="A18720" t="s">
        <v>11799</v>
      </c>
      <c r="B18720">
        <f>HYPERLINK("https://android.googlesource.com/platform/cts/+/2683d003443de436a50a86bdc3f6ab2049f31ef2", "2683d003443de436a50a86bdc3f6ab2049f31ef2")</f>
        <v>0</v>
      </c>
      <c r="C18720">
        <f>HYPERLINK("https://android.googlesource.com/platform/cts/+/f3a999b728f083276ae951a82b61a907092e2b81", "f3a999b728f083276ae951a82b61a907092e2b81")</f>
        <v>0</v>
      </c>
      <c r="D18720" t="s">
        <v>12089</v>
      </c>
      <c r="E18720" t="s">
        <v>14300</v>
      </c>
      <c r="F18720" t="s">
        <v>17165</v>
      </c>
      <c r="G18720" t="s">
        <v>19751</v>
      </c>
      <c r="H18720" t="s">
        <v>26147</v>
      </c>
      <c r="I18720" t="s">
        <v>1357</v>
      </c>
      <c r="J18720" t="s">
        <v>1357</v>
      </c>
      <c r="K18720" t="s">
        <v>1357</v>
      </c>
      <c r="L18720" t="s">
        <v>1357</v>
      </c>
    </row>
    <row r="18721" spans="1:13">
      <c r="H18721" t="s">
        <v>26148</v>
      </c>
      <c r="I18721" t="s">
        <v>1357</v>
      </c>
      <c r="J18721" t="s">
        <v>1357</v>
      </c>
      <c r="K18721" t="s">
        <v>1357</v>
      </c>
      <c r="L18721" t="s">
        <v>1357</v>
      </c>
    </row>
    <row r="18722" spans="1:13">
      <c r="H18722" t="s">
        <v>26149</v>
      </c>
      <c r="I18722" t="s">
        <v>1357</v>
      </c>
      <c r="J18722" t="s">
        <v>1357</v>
      </c>
      <c r="K18722" t="s">
        <v>1357</v>
      </c>
      <c r="L18722" t="s">
        <v>1357</v>
      </c>
    </row>
    <row r="18723" spans="1:13">
      <c r="H18723" t="s">
        <v>26150</v>
      </c>
      <c r="I18723" t="s">
        <v>1357</v>
      </c>
      <c r="J18723" t="s">
        <v>1357</v>
      </c>
      <c r="K18723" t="s">
        <v>1357</v>
      </c>
      <c r="L18723" t="s">
        <v>1357</v>
      </c>
    </row>
    <row r="18724" spans="1:13">
      <c r="H18724" t="s">
        <v>26151</v>
      </c>
      <c r="I18724" t="s">
        <v>1357</v>
      </c>
      <c r="J18724" t="s">
        <v>1357</v>
      </c>
      <c r="K18724" t="s">
        <v>1357</v>
      </c>
      <c r="L18724" t="s">
        <v>1357</v>
      </c>
    </row>
    <row r="18725" spans="1:13">
      <c r="H18725" t="s">
        <v>26152</v>
      </c>
      <c r="I18725" t="s">
        <v>1357</v>
      </c>
      <c r="J18725" t="s">
        <v>1357</v>
      </c>
      <c r="K18725" t="s">
        <v>1357</v>
      </c>
      <c r="L18725" t="s">
        <v>1357</v>
      </c>
    </row>
    <row r="18726" spans="1:13">
      <c r="H18726" t="s">
        <v>26153</v>
      </c>
      <c r="I18726" t="s">
        <v>1357</v>
      </c>
      <c r="J18726" t="s">
        <v>1357</v>
      </c>
      <c r="K18726" t="s">
        <v>1357</v>
      </c>
      <c r="L18726" t="s">
        <v>1357</v>
      </c>
    </row>
    <row r="18727" spans="1:13">
      <c r="H18727" t="s">
        <v>23298</v>
      </c>
      <c r="I18727" t="s">
        <v>1357</v>
      </c>
      <c r="J18727" t="s">
        <v>1357</v>
      </c>
      <c r="K18727" t="s">
        <v>1357</v>
      </c>
      <c r="L18727" t="s">
        <v>1357</v>
      </c>
    </row>
    <row r="18728" spans="1:13">
      <c r="A18728" t="s">
        <v>11800</v>
      </c>
      <c r="B18728">
        <f>HYPERLINK("https://android.googlesource.com/platform/cts/+/f8c1a7f1445b1213b3331e1499cd5064c72df349", "f8c1a7f1445b1213b3331e1499cd5064c72df349")</f>
        <v>0</v>
      </c>
      <c r="C18728">
        <f>HYPERLINK("https://android.googlesource.com/platform/cts/+/a624659b79f1b6e1e5bf5cb9a33a54739adfd577", "a624659b79f1b6e1e5bf5cb9a33a54739adfd577")</f>
        <v>0</v>
      </c>
      <c r="D18728" t="s">
        <v>12484</v>
      </c>
      <c r="E18728" t="s">
        <v>14301</v>
      </c>
      <c r="F18728" t="s">
        <v>17166</v>
      </c>
      <c r="G18728" t="s">
        <v>19384</v>
      </c>
      <c r="H18728" t="s">
        <v>26154</v>
      </c>
      <c r="I18728" t="s">
        <v>1357</v>
      </c>
      <c r="J18728" t="s">
        <v>1357</v>
      </c>
      <c r="K18728" t="s">
        <v>1357</v>
      </c>
      <c r="L18728" t="s">
        <v>1357</v>
      </c>
    </row>
    <row r="18729" spans="1:13">
      <c r="H18729" t="s">
        <v>26155</v>
      </c>
      <c r="I18729" t="s">
        <v>1357</v>
      </c>
      <c r="J18729" t="s">
        <v>1357</v>
      </c>
      <c r="K18729" t="s">
        <v>1357</v>
      </c>
      <c r="L18729" t="s">
        <v>1357</v>
      </c>
    </row>
    <row r="18730" spans="1:13">
      <c r="A18730" t="s">
        <v>11801</v>
      </c>
      <c r="B18730">
        <f>HYPERLINK("https://android.googlesource.com/platform/cts/+/54237ccae2b0d4f268c69061b053a909ca2665d6", "54237ccae2b0d4f268c69061b053a909ca2665d6")</f>
        <v>0</v>
      </c>
      <c r="C18730">
        <f>HYPERLINK("https://android.googlesource.com/platform/cts/+/a624659b79f1b6e1e5bf5cb9a33a54739adfd577", "a624659b79f1b6e1e5bf5cb9a33a54739adfd577")</f>
        <v>0</v>
      </c>
      <c r="D18730" t="s">
        <v>12485</v>
      </c>
      <c r="E18730" t="s">
        <v>14302</v>
      </c>
      <c r="F18730" t="s">
        <v>17167</v>
      </c>
      <c r="G18730" t="s">
        <v>19752</v>
      </c>
      <c r="H18730" t="s">
        <v>26156</v>
      </c>
      <c r="I18730" t="s">
        <v>1357</v>
      </c>
      <c r="J18730" t="s">
        <v>1357</v>
      </c>
      <c r="K18730" t="s">
        <v>1357</v>
      </c>
      <c r="L18730" t="s">
        <v>1357</v>
      </c>
    </row>
    <row r="18731" spans="1:13">
      <c r="A18731" t="s">
        <v>11802</v>
      </c>
      <c r="B18731">
        <f>HYPERLINK("https://android.googlesource.com/platform/cts/+/cf386e92dde2422b966f7558c484d3eccb83ff29", "cf386e92dde2422b966f7558c484d3eccb83ff29")</f>
        <v>0</v>
      </c>
      <c r="C18731">
        <f>HYPERLINK("https://android.googlesource.com/platform/cts/+/c7d1e0f6a3842529f08d969ca4f14adfdef97657", "c7d1e0f6a3842529f08d969ca4f14adfdef97657")</f>
        <v>0</v>
      </c>
      <c r="D18731" t="s">
        <v>12486</v>
      </c>
      <c r="E18731" t="s">
        <v>14303</v>
      </c>
      <c r="F18731" t="s">
        <v>17168</v>
      </c>
      <c r="G18731" t="s">
        <v>19753</v>
      </c>
      <c r="H18731" t="s">
        <v>26157</v>
      </c>
      <c r="I18731" t="s">
        <v>1358</v>
      </c>
      <c r="J18731" t="s">
        <v>1358</v>
      </c>
      <c r="K18731" t="s">
        <v>1358</v>
      </c>
      <c r="L18731" t="s">
        <v>1358</v>
      </c>
    </row>
    <row r="18732" spans="1:13">
      <c r="H18732" t="s">
        <v>26158</v>
      </c>
      <c r="I18732" t="s">
        <v>1358</v>
      </c>
      <c r="J18732" t="s">
        <v>1358</v>
      </c>
      <c r="K18732" t="s">
        <v>1358</v>
      </c>
      <c r="L18732" t="s">
        <v>1358</v>
      </c>
    </row>
    <row r="18733" spans="1:13">
      <c r="A18733" t="s">
        <v>11803</v>
      </c>
      <c r="B18733">
        <f>HYPERLINK("https://android.googlesource.com/platform/cts/+/90b48f79dafb34362d0246d4d12f35809edf9fa9", "90b48f79dafb34362d0246d4d12f35809edf9fa9")</f>
        <v>0</v>
      </c>
      <c r="C18733">
        <f>HYPERLINK("https://android.googlesource.com/platform/cts/+/be3222476c2e57009310d16f0b43ef8177cb2f47", "be3222476c2e57009310d16f0b43ef8177cb2f47")</f>
        <v>0</v>
      </c>
      <c r="D18733" t="s">
        <v>12487</v>
      </c>
      <c r="E18733" t="s">
        <v>14304</v>
      </c>
      <c r="F18733" t="s">
        <v>17169</v>
      </c>
      <c r="G18733" t="s">
        <v>19754</v>
      </c>
      <c r="H18733" t="s">
        <v>26159</v>
      </c>
      <c r="I18733" t="s">
        <v>1359</v>
      </c>
      <c r="J18733" t="s">
        <v>1358</v>
      </c>
      <c r="K18733" t="s">
        <v>1357</v>
      </c>
      <c r="L18733" t="s">
        <v>1358</v>
      </c>
    </row>
    <row r="18734" spans="1:13">
      <c r="H18734" t="s">
        <v>26160</v>
      </c>
      <c r="I18734" t="s">
        <v>1359</v>
      </c>
      <c r="J18734" t="s">
        <v>1358</v>
      </c>
      <c r="K18734" t="s">
        <v>1357</v>
      </c>
      <c r="L18734" t="s">
        <v>1358</v>
      </c>
    </row>
    <row r="18735" spans="1:13">
      <c r="A18735" t="s">
        <v>11804</v>
      </c>
      <c r="B18735">
        <f>HYPERLINK("https://android.googlesource.com/platform/cts/+/1a952ef8154e021527efd6dbeba142afeddc4163", "1a952ef8154e021527efd6dbeba142afeddc4163")</f>
        <v>0</v>
      </c>
      <c r="C18735">
        <f>HYPERLINK("https://android.googlesource.com/platform/cts/+/50572c908bb498661d86874639f7660c69f127f3", "50572c908bb498661d86874639f7660c69f127f3")</f>
        <v>0</v>
      </c>
      <c r="D18735" t="s">
        <v>12306</v>
      </c>
      <c r="E18735" t="s">
        <v>14305</v>
      </c>
      <c r="F18735" t="s">
        <v>17170</v>
      </c>
      <c r="G18735" t="s">
        <v>19755</v>
      </c>
      <c r="H18735" t="s">
        <v>26161</v>
      </c>
      <c r="I18735" t="s">
        <v>1357</v>
      </c>
      <c r="J18735" t="s">
        <v>1357</v>
      </c>
      <c r="K18735" t="s">
        <v>1357</v>
      </c>
      <c r="L18735" t="s">
        <v>1357</v>
      </c>
    </row>
    <row r="18736" spans="1:13">
      <c r="H18736" t="s">
        <v>26162</v>
      </c>
      <c r="I18736" t="s">
        <v>1357</v>
      </c>
      <c r="J18736" t="s">
        <v>1357</v>
      </c>
      <c r="K18736" t="s">
        <v>1357</v>
      </c>
      <c r="L18736" t="s">
        <v>1357</v>
      </c>
      <c r="M18736" t="s">
        <v>1361</v>
      </c>
    </row>
    <row r="18737" spans="6:12">
      <c r="H18737" t="s">
        <v>26163</v>
      </c>
      <c r="I18737" t="s">
        <v>1357</v>
      </c>
      <c r="J18737" t="s">
        <v>1357</v>
      </c>
      <c r="K18737" t="s">
        <v>1357</v>
      </c>
      <c r="L18737" t="s">
        <v>1357</v>
      </c>
    </row>
    <row r="18738" spans="6:12">
      <c r="F18738" t="s">
        <v>17171</v>
      </c>
      <c r="G18738" t="s">
        <v>19756</v>
      </c>
      <c r="H18738" t="s">
        <v>26164</v>
      </c>
      <c r="I18738" t="s">
        <v>1357</v>
      </c>
      <c r="J18738" t="s">
        <v>1357</v>
      </c>
      <c r="K18738" t="s">
        <v>1357</v>
      </c>
      <c r="L18738" t="s">
        <v>1357</v>
      </c>
    </row>
    <row r="18739" spans="6:12">
      <c r="H18739" t="s">
        <v>26165</v>
      </c>
      <c r="I18739" t="s">
        <v>1357</v>
      </c>
      <c r="J18739" t="s">
        <v>1357</v>
      </c>
      <c r="K18739" t="s">
        <v>1357</v>
      </c>
      <c r="L18739" t="s">
        <v>1357</v>
      </c>
    </row>
    <row r="18740" spans="6:12">
      <c r="H18740" t="s">
        <v>26166</v>
      </c>
      <c r="I18740" t="s">
        <v>1357</v>
      </c>
      <c r="J18740" t="s">
        <v>1357</v>
      </c>
      <c r="K18740" t="s">
        <v>1357</v>
      </c>
      <c r="L18740" t="s">
        <v>1357</v>
      </c>
    </row>
    <row r="18741" spans="6:12">
      <c r="H18741" t="s">
        <v>26167</v>
      </c>
      <c r="I18741" t="s">
        <v>1357</v>
      </c>
      <c r="J18741" t="s">
        <v>1357</v>
      </c>
      <c r="K18741" t="s">
        <v>1357</v>
      </c>
      <c r="L18741" t="s">
        <v>1357</v>
      </c>
    </row>
    <row r="18742" spans="6:12">
      <c r="H18742" t="s">
        <v>26168</v>
      </c>
      <c r="I18742" t="s">
        <v>1357</v>
      </c>
      <c r="J18742" t="s">
        <v>1357</v>
      </c>
      <c r="K18742" t="s">
        <v>1357</v>
      </c>
      <c r="L18742" t="s">
        <v>1357</v>
      </c>
    </row>
    <row r="18743" spans="6:12">
      <c r="H18743" t="s">
        <v>26169</v>
      </c>
      <c r="I18743" t="s">
        <v>1357</v>
      </c>
      <c r="J18743" t="s">
        <v>1357</v>
      </c>
      <c r="K18743" t="s">
        <v>1357</v>
      </c>
      <c r="L18743" t="s">
        <v>1357</v>
      </c>
    </row>
    <row r="18744" spans="6:12">
      <c r="H18744" t="s">
        <v>26170</v>
      </c>
      <c r="I18744" t="s">
        <v>1357</v>
      </c>
      <c r="J18744" t="s">
        <v>1357</v>
      </c>
      <c r="K18744" t="s">
        <v>1357</v>
      </c>
      <c r="L18744" t="s">
        <v>1357</v>
      </c>
    </row>
    <row r="18745" spans="6:12">
      <c r="H18745" t="s">
        <v>26171</v>
      </c>
      <c r="I18745" t="s">
        <v>1357</v>
      </c>
      <c r="J18745" t="s">
        <v>1357</v>
      </c>
      <c r="K18745" t="s">
        <v>1357</v>
      </c>
      <c r="L18745" t="s">
        <v>1357</v>
      </c>
    </row>
    <row r="18746" spans="6:12">
      <c r="H18746" t="s">
        <v>26172</v>
      </c>
      <c r="I18746" t="s">
        <v>1357</v>
      </c>
      <c r="J18746" t="s">
        <v>1357</v>
      </c>
      <c r="K18746" t="s">
        <v>1357</v>
      </c>
      <c r="L18746" t="s">
        <v>1357</v>
      </c>
    </row>
    <row r="18747" spans="6:12">
      <c r="H18747" t="s">
        <v>26173</v>
      </c>
      <c r="I18747" t="s">
        <v>1357</v>
      </c>
      <c r="J18747" t="s">
        <v>1357</v>
      </c>
      <c r="K18747" t="s">
        <v>1357</v>
      </c>
      <c r="L18747" t="s">
        <v>1357</v>
      </c>
    </row>
    <row r="18748" spans="6:12">
      <c r="H18748" t="s">
        <v>26174</v>
      </c>
      <c r="I18748" t="s">
        <v>1357</v>
      </c>
      <c r="J18748" t="s">
        <v>1357</v>
      </c>
      <c r="K18748" t="s">
        <v>1357</v>
      </c>
      <c r="L18748" t="s">
        <v>1357</v>
      </c>
    </row>
    <row r="18749" spans="6:12">
      <c r="H18749" t="s">
        <v>26175</v>
      </c>
      <c r="I18749" t="s">
        <v>1357</v>
      </c>
      <c r="J18749" t="s">
        <v>1357</v>
      </c>
      <c r="K18749" t="s">
        <v>1357</v>
      </c>
      <c r="L18749" t="s">
        <v>1357</v>
      </c>
    </row>
    <row r="18750" spans="6:12">
      <c r="H18750" t="s">
        <v>26176</v>
      </c>
      <c r="I18750" t="s">
        <v>1357</v>
      </c>
      <c r="J18750" t="s">
        <v>1357</v>
      </c>
      <c r="K18750" t="s">
        <v>1357</v>
      </c>
      <c r="L18750" t="s">
        <v>1357</v>
      </c>
    </row>
    <row r="18751" spans="6:12">
      <c r="H18751" t="s">
        <v>26177</v>
      </c>
      <c r="I18751" t="s">
        <v>1357</v>
      </c>
      <c r="J18751" t="s">
        <v>1357</v>
      </c>
      <c r="K18751" t="s">
        <v>1357</v>
      </c>
      <c r="L18751" t="s">
        <v>1357</v>
      </c>
    </row>
    <row r="18752" spans="6:12">
      <c r="H18752" t="s">
        <v>26178</v>
      </c>
      <c r="I18752" t="s">
        <v>1357</v>
      </c>
      <c r="J18752" t="s">
        <v>1357</v>
      </c>
      <c r="K18752" t="s">
        <v>1357</v>
      </c>
      <c r="L18752" t="s">
        <v>1357</v>
      </c>
    </row>
    <row r="18753" spans="6:12">
      <c r="H18753" t="s">
        <v>26179</v>
      </c>
      <c r="I18753" t="s">
        <v>1357</v>
      </c>
      <c r="J18753" t="s">
        <v>1357</v>
      </c>
      <c r="K18753" t="s">
        <v>1357</v>
      </c>
      <c r="L18753" t="s">
        <v>1357</v>
      </c>
    </row>
    <row r="18754" spans="6:12">
      <c r="H18754" t="s">
        <v>26180</v>
      </c>
      <c r="I18754" t="s">
        <v>1357</v>
      </c>
      <c r="J18754" t="s">
        <v>1357</v>
      </c>
      <c r="K18754" t="s">
        <v>1357</v>
      </c>
      <c r="L18754" t="s">
        <v>1357</v>
      </c>
    </row>
    <row r="18755" spans="6:12">
      <c r="H18755" t="s">
        <v>26181</v>
      </c>
      <c r="I18755" t="s">
        <v>1357</v>
      </c>
      <c r="J18755" t="s">
        <v>1357</v>
      </c>
      <c r="K18755" t="s">
        <v>1357</v>
      </c>
      <c r="L18755" t="s">
        <v>1357</v>
      </c>
    </row>
    <row r="18756" spans="6:12">
      <c r="H18756" t="s">
        <v>26182</v>
      </c>
      <c r="I18756" t="s">
        <v>1357</v>
      </c>
      <c r="J18756" t="s">
        <v>1357</v>
      </c>
      <c r="K18756" t="s">
        <v>1357</v>
      </c>
      <c r="L18756" t="s">
        <v>1357</v>
      </c>
    </row>
    <row r="18757" spans="6:12">
      <c r="H18757" t="s">
        <v>26183</v>
      </c>
      <c r="I18757" t="s">
        <v>1357</v>
      </c>
      <c r="J18757" t="s">
        <v>1357</v>
      </c>
      <c r="K18757" t="s">
        <v>1357</v>
      </c>
      <c r="L18757" t="s">
        <v>1357</v>
      </c>
    </row>
    <row r="18758" spans="6:12">
      <c r="F18758" t="s">
        <v>17172</v>
      </c>
      <c r="G18758" t="s">
        <v>19757</v>
      </c>
      <c r="H18758" t="s">
        <v>26184</v>
      </c>
      <c r="I18758" t="s">
        <v>1357</v>
      </c>
      <c r="J18758" t="s">
        <v>1357</v>
      </c>
      <c r="K18758" t="s">
        <v>1357</v>
      </c>
      <c r="L18758" t="s">
        <v>1357</v>
      </c>
    </row>
    <row r="18759" spans="6:12">
      <c r="H18759" t="s">
        <v>26185</v>
      </c>
      <c r="I18759" t="s">
        <v>1357</v>
      </c>
      <c r="J18759" t="s">
        <v>1357</v>
      </c>
      <c r="K18759" t="s">
        <v>1357</v>
      </c>
      <c r="L18759" t="s">
        <v>1357</v>
      </c>
    </row>
    <row r="18760" spans="6:12">
      <c r="H18760" t="s">
        <v>26186</v>
      </c>
      <c r="I18760" t="s">
        <v>1357</v>
      </c>
      <c r="J18760" t="s">
        <v>1357</v>
      </c>
      <c r="K18760" t="s">
        <v>1357</v>
      </c>
      <c r="L18760" t="s">
        <v>1357</v>
      </c>
    </row>
    <row r="18761" spans="6:12">
      <c r="H18761" t="s">
        <v>26187</v>
      </c>
      <c r="I18761" t="s">
        <v>1357</v>
      </c>
      <c r="J18761" t="s">
        <v>1357</v>
      </c>
      <c r="K18761" t="s">
        <v>1357</v>
      </c>
      <c r="L18761" t="s">
        <v>1357</v>
      </c>
    </row>
    <row r="18762" spans="6:12">
      <c r="H18762" t="s">
        <v>26188</v>
      </c>
      <c r="I18762" t="s">
        <v>1357</v>
      </c>
      <c r="J18762" t="s">
        <v>1357</v>
      </c>
      <c r="K18762" t="s">
        <v>1357</v>
      </c>
      <c r="L18762" t="s">
        <v>1357</v>
      </c>
    </row>
    <row r="18763" spans="6:12">
      <c r="H18763" t="s">
        <v>26189</v>
      </c>
      <c r="I18763" t="s">
        <v>1357</v>
      </c>
      <c r="J18763" t="s">
        <v>1357</v>
      </c>
      <c r="K18763" t="s">
        <v>1357</v>
      </c>
      <c r="L18763" t="s">
        <v>1357</v>
      </c>
    </row>
    <row r="18764" spans="6:12">
      <c r="H18764" t="s">
        <v>26190</v>
      </c>
      <c r="I18764" t="s">
        <v>1357</v>
      </c>
      <c r="J18764" t="s">
        <v>1357</v>
      </c>
      <c r="K18764" t="s">
        <v>1357</v>
      </c>
      <c r="L18764" t="s">
        <v>1357</v>
      </c>
    </row>
    <row r="18765" spans="6:12">
      <c r="H18765" t="s">
        <v>26191</v>
      </c>
      <c r="I18765" t="s">
        <v>1357</v>
      </c>
      <c r="J18765" t="s">
        <v>1357</v>
      </c>
      <c r="K18765" t="s">
        <v>1357</v>
      </c>
      <c r="L18765" t="s">
        <v>1357</v>
      </c>
    </row>
    <row r="18766" spans="6:12">
      <c r="H18766" t="s">
        <v>26192</v>
      </c>
      <c r="I18766" t="s">
        <v>1357</v>
      </c>
      <c r="J18766" t="s">
        <v>1357</v>
      </c>
      <c r="K18766" t="s">
        <v>1357</v>
      </c>
      <c r="L18766" t="s">
        <v>1357</v>
      </c>
    </row>
    <row r="18767" spans="6:12">
      <c r="F18767" t="s">
        <v>17173</v>
      </c>
      <c r="G18767" t="s">
        <v>19758</v>
      </c>
      <c r="H18767" t="s">
        <v>26193</v>
      </c>
      <c r="I18767" t="s">
        <v>1357</v>
      </c>
      <c r="J18767" t="s">
        <v>1357</v>
      </c>
      <c r="K18767" t="s">
        <v>1357</v>
      </c>
      <c r="L18767" t="s">
        <v>1357</v>
      </c>
    </row>
    <row r="18768" spans="6:12">
      <c r="H18768" t="s">
        <v>26194</v>
      </c>
      <c r="I18768" t="s">
        <v>1357</v>
      </c>
      <c r="J18768" t="s">
        <v>1357</v>
      </c>
      <c r="K18768" t="s">
        <v>1357</v>
      </c>
      <c r="L18768" t="s">
        <v>1357</v>
      </c>
    </row>
    <row r="18769" spans="1:12">
      <c r="H18769" t="s">
        <v>26195</v>
      </c>
      <c r="I18769" t="s">
        <v>1357</v>
      </c>
      <c r="J18769" t="s">
        <v>1357</v>
      </c>
      <c r="K18769" t="s">
        <v>1357</v>
      </c>
      <c r="L18769" t="s">
        <v>1357</v>
      </c>
    </row>
    <row r="18770" spans="1:12">
      <c r="H18770" t="s">
        <v>26196</v>
      </c>
      <c r="I18770" t="s">
        <v>1357</v>
      </c>
      <c r="J18770" t="s">
        <v>1357</v>
      </c>
      <c r="K18770" t="s">
        <v>1357</v>
      </c>
      <c r="L18770" t="s">
        <v>1357</v>
      </c>
    </row>
    <row r="18771" spans="1:12">
      <c r="H18771" t="s">
        <v>26197</v>
      </c>
      <c r="I18771" t="s">
        <v>1357</v>
      </c>
      <c r="J18771" t="s">
        <v>1357</v>
      </c>
      <c r="K18771" t="s">
        <v>1357</v>
      </c>
      <c r="L18771" t="s">
        <v>1357</v>
      </c>
    </row>
    <row r="18772" spans="1:12">
      <c r="H18772" t="s">
        <v>26198</v>
      </c>
      <c r="I18772" t="s">
        <v>1357</v>
      </c>
      <c r="J18772" t="s">
        <v>1357</v>
      </c>
      <c r="K18772" t="s">
        <v>1357</v>
      </c>
      <c r="L18772" t="s">
        <v>1357</v>
      </c>
    </row>
    <row r="18773" spans="1:12">
      <c r="H18773" t="s">
        <v>26199</v>
      </c>
      <c r="I18773" t="s">
        <v>1357</v>
      </c>
      <c r="J18773" t="s">
        <v>1357</v>
      </c>
      <c r="K18773" t="s">
        <v>1357</v>
      </c>
      <c r="L18773" t="s">
        <v>1357</v>
      </c>
    </row>
    <row r="18774" spans="1:12">
      <c r="H18774" t="s">
        <v>26173</v>
      </c>
      <c r="I18774" t="s">
        <v>1357</v>
      </c>
      <c r="J18774" t="s">
        <v>1357</v>
      </c>
      <c r="K18774" t="s">
        <v>1357</v>
      </c>
      <c r="L18774" t="s">
        <v>1357</v>
      </c>
    </row>
    <row r="18775" spans="1:12">
      <c r="H18775" t="s">
        <v>26174</v>
      </c>
      <c r="I18775" t="s">
        <v>1357</v>
      </c>
      <c r="J18775" t="s">
        <v>1357</v>
      </c>
      <c r="K18775" t="s">
        <v>1357</v>
      </c>
      <c r="L18775" t="s">
        <v>1357</v>
      </c>
    </row>
    <row r="18776" spans="1:12">
      <c r="H18776" t="s">
        <v>26200</v>
      </c>
      <c r="I18776" t="s">
        <v>1357</v>
      </c>
      <c r="J18776" t="s">
        <v>1357</v>
      </c>
      <c r="K18776" t="s">
        <v>1357</v>
      </c>
      <c r="L18776" t="s">
        <v>1357</v>
      </c>
    </row>
    <row r="18777" spans="1:12">
      <c r="H18777" t="s">
        <v>26201</v>
      </c>
      <c r="I18777" t="s">
        <v>1357</v>
      </c>
      <c r="J18777" t="s">
        <v>1357</v>
      </c>
      <c r="K18777" t="s">
        <v>1357</v>
      </c>
      <c r="L18777" t="s">
        <v>1357</v>
      </c>
    </row>
    <row r="18778" spans="1:12">
      <c r="H18778" t="s">
        <v>26202</v>
      </c>
      <c r="I18778" t="s">
        <v>1357</v>
      </c>
      <c r="J18778" t="s">
        <v>1357</v>
      </c>
      <c r="K18778" t="s">
        <v>1357</v>
      </c>
      <c r="L18778" t="s">
        <v>1357</v>
      </c>
    </row>
    <row r="18779" spans="1:12">
      <c r="H18779" t="s">
        <v>26203</v>
      </c>
      <c r="I18779" t="s">
        <v>1357</v>
      </c>
      <c r="J18779" t="s">
        <v>1357</v>
      </c>
      <c r="K18779" t="s">
        <v>1357</v>
      </c>
      <c r="L18779" t="s">
        <v>1357</v>
      </c>
    </row>
    <row r="18780" spans="1:12">
      <c r="H18780" t="s">
        <v>26204</v>
      </c>
      <c r="I18780" t="s">
        <v>1357</v>
      </c>
      <c r="J18780" t="s">
        <v>1357</v>
      </c>
      <c r="K18780" t="s">
        <v>1357</v>
      </c>
      <c r="L18780" t="s">
        <v>1357</v>
      </c>
    </row>
    <row r="18781" spans="1:12">
      <c r="A18781" t="s">
        <v>11805</v>
      </c>
      <c r="B18781">
        <f>HYPERLINK("https://android.googlesource.com/platform/cts/+/0a68d2b95b9b9edf8db8c07d3e39c51da378313f", "0a68d2b95b9b9edf8db8c07d3e39c51da378313f")</f>
        <v>0</v>
      </c>
      <c r="C18781">
        <f>HYPERLINK("https://android.googlesource.com/platform/cts/+/75b77c6e27579d87b16050d54b698618d7497eb6", "75b77c6e27579d87b16050d54b698618d7497eb6")</f>
        <v>0</v>
      </c>
      <c r="D18781" t="s">
        <v>12482</v>
      </c>
      <c r="E18781" t="s">
        <v>14306</v>
      </c>
      <c r="F18781" t="s">
        <v>17163</v>
      </c>
      <c r="G18781" t="s">
        <v>19749</v>
      </c>
      <c r="H18781" t="s">
        <v>26139</v>
      </c>
      <c r="I18781" t="s">
        <v>1357</v>
      </c>
      <c r="J18781" t="s">
        <v>1357</v>
      </c>
      <c r="K18781" t="s">
        <v>1357</v>
      </c>
      <c r="L18781" t="s">
        <v>1357</v>
      </c>
    </row>
    <row r="18782" spans="1:12">
      <c r="H18782" t="s">
        <v>26140</v>
      </c>
      <c r="I18782" t="s">
        <v>1357</v>
      </c>
      <c r="J18782" t="s">
        <v>1357</v>
      </c>
      <c r="K18782" t="s">
        <v>1357</v>
      </c>
      <c r="L18782" t="s">
        <v>1357</v>
      </c>
    </row>
    <row r="18783" spans="1:12">
      <c r="H18783" t="s">
        <v>26141</v>
      </c>
      <c r="I18783" t="s">
        <v>1357</v>
      </c>
      <c r="J18783" t="s">
        <v>1357</v>
      </c>
      <c r="K18783" t="s">
        <v>1357</v>
      </c>
      <c r="L18783" t="s">
        <v>1357</v>
      </c>
    </row>
    <row r="18784" spans="1:12">
      <c r="H18784" t="s">
        <v>26142</v>
      </c>
      <c r="I18784" t="s">
        <v>1357</v>
      </c>
      <c r="J18784" t="s">
        <v>1357</v>
      </c>
      <c r="K18784" t="s">
        <v>1357</v>
      </c>
      <c r="L18784" t="s">
        <v>1357</v>
      </c>
    </row>
    <row r="18785" spans="1:12">
      <c r="A18785" t="s">
        <v>11806</v>
      </c>
      <c r="B18785">
        <f>HYPERLINK("https://android.googlesource.com/platform/cts/+/5dc82ea03202d37ac2df21f1e3e1e15a70350686", "5dc82ea03202d37ac2df21f1e3e1e15a70350686")</f>
        <v>0</v>
      </c>
      <c r="C18785">
        <f>HYPERLINK("https://android.googlesource.com/platform/cts/+/1a952ef8154e021527efd6dbeba142afeddc4163", "1a952ef8154e021527efd6dbeba142afeddc4163")</f>
        <v>0</v>
      </c>
      <c r="D18785" t="s">
        <v>12306</v>
      </c>
      <c r="E18785" t="s">
        <v>14307</v>
      </c>
      <c r="F18785" t="s">
        <v>17174</v>
      </c>
      <c r="G18785" t="s">
        <v>19759</v>
      </c>
      <c r="H18785" t="s">
        <v>26205</v>
      </c>
      <c r="I18785" t="s">
        <v>1357</v>
      </c>
      <c r="J18785" t="s">
        <v>1357</v>
      </c>
      <c r="K18785" t="s">
        <v>1357</v>
      </c>
      <c r="L18785" t="s">
        <v>1357</v>
      </c>
    </row>
    <row r="18786" spans="1:12">
      <c r="H18786" t="s">
        <v>26206</v>
      </c>
      <c r="I18786" t="s">
        <v>1357</v>
      </c>
      <c r="J18786" t="s">
        <v>1357</v>
      </c>
      <c r="K18786" t="s">
        <v>1357</v>
      </c>
      <c r="L18786" t="s">
        <v>1357</v>
      </c>
    </row>
    <row r="18787" spans="1:12">
      <c r="H18787" t="s">
        <v>26207</v>
      </c>
      <c r="I18787" t="s">
        <v>1357</v>
      </c>
      <c r="J18787" t="s">
        <v>1357</v>
      </c>
      <c r="K18787" t="s">
        <v>1357</v>
      </c>
      <c r="L18787" t="s">
        <v>1357</v>
      </c>
    </row>
    <row r="18788" spans="1:12">
      <c r="H18788" t="s">
        <v>26208</v>
      </c>
      <c r="I18788" t="s">
        <v>1357</v>
      </c>
      <c r="J18788" t="s">
        <v>1357</v>
      </c>
      <c r="K18788" t="s">
        <v>1357</v>
      </c>
      <c r="L18788" t="s">
        <v>1357</v>
      </c>
    </row>
    <row r="18789" spans="1:12">
      <c r="H18789" t="s">
        <v>26209</v>
      </c>
      <c r="I18789" t="s">
        <v>1357</v>
      </c>
      <c r="J18789" t="s">
        <v>1357</v>
      </c>
      <c r="K18789" t="s">
        <v>1357</v>
      </c>
      <c r="L18789" t="s">
        <v>1357</v>
      </c>
    </row>
    <row r="18790" spans="1:12">
      <c r="H18790" t="s">
        <v>26210</v>
      </c>
      <c r="I18790" t="s">
        <v>1357</v>
      </c>
      <c r="J18790" t="s">
        <v>1357</v>
      </c>
      <c r="K18790" t="s">
        <v>1357</v>
      </c>
      <c r="L18790" t="s">
        <v>1357</v>
      </c>
    </row>
    <row r="18791" spans="1:12">
      <c r="H18791" t="s">
        <v>26211</v>
      </c>
      <c r="I18791" t="s">
        <v>1357</v>
      </c>
      <c r="J18791" t="s">
        <v>1357</v>
      </c>
      <c r="K18791" t="s">
        <v>1357</v>
      </c>
      <c r="L18791" t="s">
        <v>1357</v>
      </c>
    </row>
    <row r="18792" spans="1:12">
      <c r="H18792" t="s">
        <v>26212</v>
      </c>
      <c r="I18792" t="s">
        <v>1357</v>
      </c>
      <c r="J18792" t="s">
        <v>1357</v>
      </c>
      <c r="K18792" t="s">
        <v>1357</v>
      </c>
      <c r="L18792" t="s">
        <v>1357</v>
      </c>
    </row>
    <row r="18793" spans="1:12">
      <c r="H18793" t="s">
        <v>26213</v>
      </c>
      <c r="I18793" t="s">
        <v>1357</v>
      </c>
      <c r="J18793" t="s">
        <v>1357</v>
      </c>
      <c r="K18793" t="s">
        <v>1357</v>
      </c>
      <c r="L18793" t="s">
        <v>1357</v>
      </c>
    </row>
    <row r="18794" spans="1:12">
      <c r="H18794" t="s">
        <v>26214</v>
      </c>
      <c r="I18794" t="s">
        <v>1357</v>
      </c>
      <c r="J18794" t="s">
        <v>1357</v>
      </c>
      <c r="K18794" t="s">
        <v>1357</v>
      </c>
      <c r="L18794" t="s">
        <v>1357</v>
      </c>
    </row>
    <row r="18795" spans="1:12">
      <c r="H18795" t="s">
        <v>26215</v>
      </c>
      <c r="I18795" t="s">
        <v>1357</v>
      </c>
      <c r="J18795" t="s">
        <v>1357</v>
      </c>
      <c r="K18795" t="s">
        <v>1357</v>
      </c>
      <c r="L18795" t="s">
        <v>1357</v>
      </c>
    </row>
    <row r="18796" spans="1:12">
      <c r="H18796" t="s">
        <v>26216</v>
      </c>
      <c r="I18796" t="s">
        <v>1357</v>
      </c>
      <c r="J18796" t="s">
        <v>1357</v>
      </c>
      <c r="K18796" t="s">
        <v>1357</v>
      </c>
      <c r="L18796" t="s">
        <v>1357</v>
      </c>
    </row>
    <row r="18797" spans="1:12">
      <c r="H18797" t="s">
        <v>26217</v>
      </c>
      <c r="I18797" t="s">
        <v>1357</v>
      </c>
      <c r="J18797" t="s">
        <v>1357</v>
      </c>
      <c r="K18797" t="s">
        <v>1357</v>
      </c>
      <c r="L18797" t="s">
        <v>1357</v>
      </c>
    </row>
    <row r="18798" spans="1:12">
      <c r="F18798" t="s">
        <v>17175</v>
      </c>
      <c r="G18798" t="s">
        <v>19760</v>
      </c>
      <c r="H18798" t="s">
        <v>26218</v>
      </c>
      <c r="I18798" t="s">
        <v>1357</v>
      </c>
      <c r="J18798" t="s">
        <v>1357</v>
      </c>
      <c r="K18798" t="s">
        <v>1357</v>
      </c>
      <c r="L18798" t="s">
        <v>1357</v>
      </c>
    </row>
    <row r="18799" spans="1:12">
      <c r="H18799" t="s">
        <v>26219</v>
      </c>
      <c r="I18799" t="s">
        <v>1357</v>
      </c>
      <c r="J18799" t="s">
        <v>1357</v>
      </c>
      <c r="K18799" t="s">
        <v>1357</v>
      </c>
      <c r="L18799" t="s">
        <v>1357</v>
      </c>
    </row>
    <row r="18800" spans="1:12">
      <c r="H18800" t="s">
        <v>26220</v>
      </c>
      <c r="I18800" t="s">
        <v>1357</v>
      </c>
      <c r="J18800" t="s">
        <v>1357</v>
      </c>
      <c r="K18800" t="s">
        <v>1357</v>
      </c>
      <c r="L18800" t="s">
        <v>1357</v>
      </c>
    </row>
    <row r="18801" spans="8:12">
      <c r="H18801" t="s">
        <v>26221</v>
      </c>
      <c r="I18801" t="s">
        <v>1357</v>
      </c>
      <c r="J18801" t="s">
        <v>1357</v>
      </c>
      <c r="K18801" t="s">
        <v>1357</v>
      </c>
      <c r="L18801" t="s">
        <v>1357</v>
      </c>
    </row>
    <row r="18802" spans="8:12">
      <c r="H18802" t="s">
        <v>26222</v>
      </c>
      <c r="I18802" t="s">
        <v>1357</v>
      </c>
      <c r="J18802" t="s">
        <v>1357</v>
      </c>
      <c r="K18802" t="s">
        <v>1357</v>
      </c>
      <c r="L18802" t="s">
        <v>1357</v>
      </c>
    </row>
    <row r="18803" spans="8:12">
      <c r="H18803" t="s">
        <v>26223</v>
      </c>
      <c r="I18803" t="s">
        <v>1357</v>
      </c>
      <c r="J18803" t="s">
        <v>1357</v>
      </c>
      <c r="K18803" t="s">
        <v>1357</v>
      </c>
      <c r="L18803" t="s">
        <v>1357</v>
      </c>
    </row>
    <row r="18804" spans="8:12">
      <c r="H18804" t="s">
        <v>26224</v>
      </c>
      <c r="I18804" t="s">
        <v>1357</v>
      </c>
      <c r="J18804" t="s">
        <v>1357</v>
      </c>
      <c r="K18804" t="s">
        <v>1357</v>
      </c>
      <c r="L18804" t="s">
        <v>1357</v>
      </c>
    </row>
    <row r="18805" spans="8:12">
      <c r="H18805" t="s">
        <v>26207</v>
      </c>
      <c r="I18805" t="s">
        <v>1357</v>
      </c>
      <c r="J18805" t="s">
        <v>1357</v>
      </c>
      <c r="K18805" t="s">
        <v>1357</v>
      </c>
      <c r="L18805" t="s">
        <v>1357</v>
      </c>
    </row>
    <row r="18806" spans="8:12">
      <c r="H18806" t="s">
        <v>26208</v>
      </c>
      <c r="I18806" t="s">
        <v>1357</v>
      </c>
      <c r="J18806" t="s">
        <v>1357</v>
      </c>
      <c r="K18806" t="s">
        <v>1357</v>
      </c>
      <c r="L18806" t="s">
        <v>1357</v>
      </c>
    </row>
    <row r="18807" spans="8:12">
      <c r="H18807" t="s">
        <v>26209</v>
      </c>
      <c r="I18807" t="s">
        <v>1357</v>
      </c>
      <c r="J18807" t="s">
        <v>1357</v>
      </c>
      <c r="K18807" t="s">
        <v>1357</v>
      </c>
      <c r="L18807" t="s">
        <v>1357</v>
      </c>
    </row>
    <row r="18808" spans="8:12">
      <c r="H18808" t="s">
        <v>26210</v>
      </c>
      <c r="I18808" t="s">
        <v>1357</v>
      </c>
      <c r="J18808" t="s">
        <v>1357</v>
      </c>
      <c r="K18808" t="s">
        <v>1357</v>
      </c>
      <c r="L18808" t="s">
        <v>1357</v>
      </c>
    </row>
    <row r="18809" spans="8:12">
      <c r="H18809" t="s">
        <v>26225</v>
      </c>
      <c r="I18809" t="s">
        <v>1357</v>
      </c>
      <c r="J18809" t="s">
        <v>1357</v>
      </c>
      <c r="K18809" t="s">
        <v>1357</v>
      </c>
      <c r="L18809" t="s">
        <v>1357</v>
      </c>
    </row>
    <row r="18810" spans="8:12">
      <c r="H18810" t="s">
        <v>26226</v>
      </c>
      <c r="I18810" t="s">
        <v>1357</v>
      </c>
      <c r="J18810" t="s">
        <v>1357</v>
      </c>
      <c r="K18810" t="s">
        <v>1357</v>
      </c>
      <c r="L18810" t="s">
        <v>1357</v>
      </c>
    </row>
    <row r="18811" spans="8:12">
      <c r="H18811" t="s">
        <v>26213</v>
      </c>
      <c r="I18811" t="s">
        <v>1357</v>
      </c>
      <c r="J18811" t="s">
        <v>1357</v>
      </c>
      <c r="K18811" t="s">
        <v>1357</v>
      </c>
      <c r="L18811" t="s">
        <v>1357</v>
      </c>
    </row>
    <row r="18812" spans="8:12">
      <c r="H18812" t="s">
        <v>26211</v>
      </c>
      <c r="I18812" t="s">
        <v>1357</v>
      </c>
      <c r="J18812" t="s">
        <v>1357</v>
      </c>
      <c r="K18812" t="s">
        <v>1357</v>
      </c>
      <c r="L18812" t="s">
        <v>1357</v>
      </c>
    </row>
    <row r="18813" spans="8:12">
      <c r="H18813" t="s">
        <v>26212</v>
      </c>
      <c r="I18813" t="s">
        <v>1357</v>
      </c>
      <c r="J18813" t="s">
        <v>1357</v>
      </c>
      <c r="K18813" t="s">
        <v>1357</v>
      </c>
      <c r="L18813" t="s">
        <v>1357</v>
      </c>
    </row>
    <row r="18814" spans="8:12">
      <c r="H18814" t="s">
        <v>26214</v>
      </c>
      <c r="I18814" t="s">
        <v>1357</v>
      </c>
      <c r="J18814" t="s">
        <v>1357</v>
      </c>
      <c r="K18814" t="s">
        <v>1357</v>
      </c>
      <c r="L18814" t="s">
        <v>1357</v>
      </c>
    </row>
    <row r="18815" spans="8:12">
      <c r="H18815" t="s">
        <v>26227</v>
      </c>
      <c r="I18815" t="s">
        <v>1357</v>
      </c>
      <c r="J18815" t="s">
        <v>1357</v>
      </c>
      <c r="K18815" t="s">
        <v>1357</v>
      </c>
      <c r="L18815" t="s">
        <v>1357</v>
      </c>
    </row>
    <row r="18816" spans="8:12">
      <c r="H18816" t="s">
        <v>26215</v>
      </c>
      <c r="I18816" t="s">
        <v>1357</v>
      </c>
      <c r="J18816" t="s">
        <v>1357</v>
      </c>
      <c r="K18816" t="s">
        <v>1357</v>
      </c>
      <c r="L18816" t="s">
        <v>1357</v>
      </c>
    </row>
    <row r="18817" spans="1:12">
      <c r="A18817" t="s">
        <v>11807</v>
      </c>
      <c r="B18817">
        <f>HYPERLINK("https://android.googlesource.com/platform/cts/+/c67fb38ca0b55e013644b1fa354a19e8ee019741", "c67fb38ca0b55e013644b1fa354a19e8ee019741")</f>
        <v>0</v>
      </c>
      <c r="C18817">
        <f>HYPERLINK("https://android.googlesource.com/platform/cts/+/206f54ea85c46c5495b0688515f6378609fdb9a3", "206f54ea85c46c5495b0688515f6378609fdb9a3")</f>
        <v>0</v>
      </c>
      <c r="D18817" t="s">
        <v>12306</v>
      </c>
      <c r="E18817" t="s">
        <v>14308</v>
      </c>
      <c r="F18817" t="s">
        <v>17176</v>
      </c>
      <c r="G18817" t="s">
        <v>19761</v>
      </c>
      <c r="H18817" t="s">
        <v>26228</v>
      </c>
      <c r="I18817" t="s">
        <v>1358</v>
      </c>
      <c r="J18817" t="s">
        <v>1358</v>
      </c>
      <c r="K18817" t="s">
        <v>1358</v>
      </c>
      <c r="L18817" t="s">
        <v>1358</v>
      </c>
    </row>
    <row r="18818" spans="1:12">
      <c r="H18818" t="s">
        <v>26229</v>
      </c>
      <c r="I18818" t="s">
        <v>1358</v>
      </c>
      <c r="J18818" t="s">
        <v>1358</v>
      </c>
      <c r="K18818" t="s">
        <v>1358</v>
      </c>
      <c r="L18818" t="s">
        <v>1358</v>
      </c>
    </row>
    <row r="18819" spans="1:12">
      <c r="H18819" t="s">
        <v>26230</v>
      </c>
      <c r="I18819" t="s">
        <v>1358</v>
      </c>
      <c r="J18819" t="s">
        <v>1358</v>
      </c>
      <c r="K18819" t="s">
        <v>1358</v>
      </c>
      <c r="L18819" t="s">
        <v>1358</v>
      </c>
    </row>
    <row r="18820" spans="1:12">
      <c r="H18820" t="s">
        <v>26231</v>
      </c>
      <c r="I18820" t="s">
        <v>1357</v>
      </c>
      <c r="J18820" t="s">
        <v>1357</v>
      </c>
      <c r="K18820" t="s">
        <v>1357</v>
      </c>
      <c r="L18820" t="s">
        <v>1357</v>
      </c>
    </row>
    <row r="18821" spans="1:12">
      <c r="H18821" t="s">
        <v>26232</v>
      </c>
      <c r="I18821" t="s">
        <v>1357</v>
      </c>
      <c r="J18821" t="s">
        <v>1357</v>
      </c>
      <c r="K18821" t="s">
        <v>1357</v>
      </c>
      <c r="L18821" t="s">
        <v>1357</v>
      </c>
    </row>
    <row r="18822" spans="1:12">
      <c r="H18822" t="s">
        <v>26233</v>
      </c>
      <c r="I18822" t="s">
        <v>1358</v>
      </c>
      <c r="J18822" t="s">
        <v>1358</v>
      </c>
      <c r="K18822" t="s">
        <v>1358</v>
      </c>
      <c r="L18822" t="s">
        <v>1358</v>
      </c>
    </row>
    <row r="18823" spans="1:12">
      <c r="H18823" t="s">
        <v>26234</v>
      </c>
      <c r="I18823" t="s">
        <v>1357</v>
      </c>
      <c r="J18823" t="s">
        <v>1357</v>
      </c>
      <c r="K18823" t="s">
        <v>1357</v>
      </c>
      <c r="L18823" t="s">
        <v>1357</v>
      </c>
    </row>
    <row r="18824" spans="1:12">
      <c r="H18824" t="s">
        <v>26235</v>
      </c>
      <c r="I18824" t="s">
        <v>1358</v>
      </c>
      <c r="J18824" t="s">
        <v>1358</v>
      </c>
      <c r="K18824" t="s">
        <v>1358</v>
      </c>
      <c r="L18824" t="s">
        <v>1358</v>
      </c>
    </row>
    <row r="18825" spans="1:12">
      <c r="H18825" t="s">
        <v>26236</v>
      </c>
      <c r="I18825" t="s">
        <v>1357</v>
      </c>
      <c r="J18825" t="s">
        <v>1357</v>
      </c>
      <c r="K18825" t="s">
        <v>1357</v>
      </c>
      <c r="L18825" t="s">
        <v>1357</v>
      </c>
    </row>
    <row r="18826" spans="1:12">
      <c r="H18826" t="s">
        <v>26237</v>
      </c>
      <c r="I18826" t="s">
        <v>1357</v>
      </c>
      <c r="J18826" t="s">
        <v>1357</v>
      </c>
      <c r="K18826" t="s">
        <v>1357</v>
      </c>
      <c r="L18826" t="s">
        <v>1357</v>
      </c>
    </row>
    <row r="18827" spans="1:12">
      <c r="H18827" t="s">
        <v>26238</v>
      </c>
      <c r="I18827" t="s">
        <v>1358</v>
      </c>
      <c r="J18827" t="s">
        <v>1358</v>
      </c>
      <c r="K18827" t="s">
        <v>1358</v>
      </c>
      <c r="L18827" t="s">
        <v>1358</v>
      </c>
    </row>
    <row r="18828" spans="1:12">
      <c r="H18828" t="s">
        <v>26239</v>
      </c>
      <c r="I18828" t="s">
        <v>1357</v>
      </c>
      <c r="J18828" t="s">
        <v>1357</v>
      </c>
      <c r="K18828" t="s">
        <v>1357</v>
      </c>
      <c r="L18828" t="s">
        <v>1357</v>
      </c>
    </row>
    <row r="18829" spans="1:12">
      <c r="H18829" t="s">
        <v>26240</v>
      </c>
      <c r="I18829" t="s">
        <v>1357</v>
      </c>
      <c r="J18829" t="s">
        <v>1357</v>
      </c>
      <c r="K18829" t="s">
        <v>1357</v>
      </c>
      <c r="L18829" t="s">
        <v>1357</v>
      </c>
    </row>
    <row r="18830" spans="1:12">
      <c r="H18830" t="s">
        <v>26241</v>
      </c>
      <c r="I18830" t="s">
        <v>1357</v>
      </c>
      <c r="J18830" t="s">
        <v>1357</v>
      </c>
      <c r="K18830" t="s">
        <v>1357</v>
      </c>
      <c r="L18830" t="s">
        <v>1357</v>
      </c>
    </row>
    <row r="18831" spans="1:12">
      <c r="H18831" t="s">
        <v>26242</v>
      </c>
      <c r="I18831" t="s">
        <v>1358</v>
      </c>
      <c r="J18831" t="s">
        <v>1358</v>
      </c>
      <c r="K18831" t="s">
        <v>1358</v>
      </c>
      <c r="L18831" t="s">
        <v>1358</v>
      </c>
    </row>
    <row r="18832" spans="1:12">
      <c r="A18832" t="s">
        <v>11808</v>
      </c>
      <c r="B18832">
        <f>HYPERLINK("https://android.googlesource.com/platform/cts/+/04eb8ac828f62f81cf46d4534cd196525cfe8318", "04eb8ac828f62f81cf46d4534cd196525cfe8318")</f>
        <v>0</v>
      </c>
      <c r="C18832">
        <f>HYPERLINK("https://android.googlesource.com/platform/cts/+/35eadc722c7679ce8dfec80c9d302642fd2de4a5", "35eadc722c7679ce8dfec80c9d302642fd2de4a5")</f>
        <v>0</v>
      </c>
      <c r="D18832" t="s">
        <v>12477</v>
      </c>
      <c r="E18832" t="s">
        <v>14309</v>
      </c>
      <c r="F18832" t="s">
        <v>17177</v>
      </c>
      <c r="G18832" t="s">
        <v>19762</v>
      </c>
      <c r="H18832" t="s">
        <v>26243</v>
      </c>
      <c r="I18832" t="s">
        <v>1357</v>
      </c>
      <c r="J18832" t="s">
        <v>1357</v>
      </c>
      <c r="K18832" t="s">
        <v>1357</v>
      </c>
      <c r="L18832" t="s">
        <v>1357</v>
      </c>
    </row>
    <row r="18833" spans="1:14">
      <c r="A18833" t="s">
        <v>11809</v>
      </c>
      <c r="B18833">
        <f>HYPERLINK("https://android.googlesource.com/platform/cts/+/ea4037d772c2cfeb02fbe64fd05c77ff270b14be", "ea4037d772c2cfeb02fbe64fd05c77ff270b14be")</f>
        <v>0</v>
      </c>
      <c r="C18833">
        <f>HYPERLINK("https://android.googlesource.com/platform/cts/+/665dad20499f35cca567b6598053c5420fafa987", "665dad20499f35cca567b6598053c5420fafa987")</f>
        <v>0</v>
      </c>
      <c r="D18833" t="s">
        <v>12321</v>
      </c>
      <c r="E18833" t="s">
        <v>14310</v>
      </c>
      <c r="F18833" t="s">
        <v>16084</v>
      </c>
      <c r="G18833" t="s">
        <v>18773</v>
      </c>
      <c r="H18833" t="s">
        <v>26244</v>
      </c>
      <c r="I18833" t="s">
        <v>1357</v>
      </c>
      <c r="J18833" t="s">
        <v>1357</v>
      </c>
      <c r="K18833" t="s">
        <v>1357</v>
      </c>
      <c r="L18833" t="s">
        <v>1357</v>
      </c>
    </row>
    <row r="18834" spans="1:14">
      <c r="F18834" t="s">
        <v>17178</v>
      </c>
      <c r="G18834" t="s">
        <v>19763</v>
      </c>
      <c r="H18834" t="s">
        <v>26245</v>
      </c>
      <c r="I18834" t="s">
        <v>1357</v>
      </c>
      <c r="J18834" t="s">
        <v>1357</v>
      </c>
      <c r="K18834" t="s">
        <v>1357</v>
      </c>
      <c r="L18834" t="s">
        <v>1357</v>
      </c>
    </row>
    <row r="18835" spans="1:14">
      <c r="H18835" t="s">
        <v>26246</v>
      </c>
      <c r="I18835" t="s">
        <v>1357</v>
      </c>
      <c r="J18835" t="s">
        <v>1357</v>
      </c>
      <c r="K18835" t="s">
        <v>1357</v>
      </c>
      <c r="L18835" t="s">
        <v>1357</v>
      </c>
    </row>
    <row r="18836" spans="1:14">
      <c r="H18836" t="s">
        <v>26247</v>
      </c>
      <c r="I18836" t="s">
        <v>1357</v>
      </c>
      <c r="J18836" t="s">
        <v>1357</v>
      </c>
      <c r="K18836" t="s">
        <v>1357</v>
      </c>
      <c r="L18836" t="s">
        <v>1357</v>
      </c>
    </row>
    <row r="18837" spans="1:14">
      <c r="H18837" t="s">
        <v>26248</v>
      </c>
      <c r="I18837" t="s">
        <v>1357</v>
      </c>
      <c r="J18837" t="s">
        <v>1357</v>
      </c>
      <c r="K18837" t="s">
        <v>1357</v>
      </c>
      <c r="L18837" t="s">
        <v>1357</v>
      </c>
    </row>
    <row r="18838" spans="1:14">
      <c r="H18838" t="s">
        <v>26249</v>
      </c>
      <c r="I18838" t="s">
        <v>1357</v>
      </c>
      <c r="J18838" t="s">
        <v>1357</v>
      </c>
      <c r="K18838" t="s">
        <v>1357</v>
      </c>
      <c r="L18838" t="s">
        <v>1357</v>
      </c>
    </row>
    <row r="18839" spans="1:14">
      <c r="F18839" t="s">
        <v>17179</v>
      </c>
      <c r="G18839" t="s">
        <v>18724</v>
      </c>
      <c r="H18839" t="s">
        <v>26250</v>
      </c>
      <c r="I18839" t="s">
        <v>1357</v>
      </c>
      <c r="J18839" t="s">
        <v>1357</v>
      </c>
      <c r="K18839" t="s">
        <v>1357</v>
      </c>
      <c r="L18839" t="s">
        <v>1357</v>
      </c>
    </row>
    <row r="18840" spans="1:14">
      <c r="A18840" t="s">
        <v>11810</v>
      </c>
      <c r="B18840">
        <f>HYPERLINK("https://android.googlesource.com/platform/cts/+/087aafafb4d70519f101fd46785f1c31ec7572b1", "087aafafb4d70519f101fd46785f1c31ec7572b1")</f>
        <v>0</v>
      </c>
      <c r="C18840">
        <f>HYPERLINK("https://android.googlesource.com/platform/cts/+/161b17471862eeabcb3aab12bbf2ccbb333175d6", "161b17471862eeabcb3aab12bbf2ccbb333175d6")</f>
        <v>0</v>
      </c>
      <c r="D18840" t="s">
        <v>12482</v>
      </c>
      <c r="E18840" t="s">
        <v>14311</v>
      </c>
      <c r="F18840" t="s">
        <v>17163</v>
      </c>
      <c r="G18840" t="s">
        <v>19749</v>
      </c>
      <c r="H18840" t="s">
        <v>26251</v>
      </c>
      <c r="I18840" t="s">
        <v>1357</v>
      </c>
      <c r="J18840" t="s">
        <v>1357</v>
      </c>
      <c r="K18840" t="s">
        <v>1357</v>
      </c>
      <c r="L18840" t="s">
        <v>1357</v>
      </c>
    </row>
    <row r="18841" spans="1:14">
      <c r="H18841" t="s">
        <v>26252</v>
      </c>
      <c r="I18841" t="s">
        <v>1357</v>
      </c>
      <c r="J18841" t="s">
        <v>1357</v>
      </c>
      <c r="K18841" t="s">
        <v>1357</v>
      </c>
      <c r="L18841" t="s">
        <v>1357</v>
      </c>
    </row>
    <row r="18842" spans="1:14">
      <c r="A18842" t="s">
        <v>11811</v>
      </c>
      <c r="B18842">
        <f>HYPERLINK("https://android.googlesource.com/platform/cts/+/392ee2d0c438ad3501949f3ef98dbc615e32edf6", "392ee2d0c438ad3501949f3ef98dbc615e32edf6")</f>
        <v>0</v>
      </c>
      <c r="C18842">
        <f>HYPERLINK("https://android.googlesource.com/platform/cts/+/3b5d755c506e01051293fb4f9a28ac72e666d690", "3b5d755c506e01051293fb4f9a28ac72e666d690")</f>
        <v>0</v>
      </c>
      <c r="D18842" t="s">
        <v>12367</v>
      </c>
      <c r="E18842" t="s">
        <v>14312</v>
      </c>
      <c r="F18842" t="s">
        <v>17145</v>
      </c>
      <c r="G18842" t="s">
        <v>19733</v>
      </c>
      <c r="H18842" t="s">
        <v>26034</v>
      </c>
      <c r="I18842" t="s">
        <v>1357</v>
      </c>
      <c r="J18842" t="s">
        <v>1357</v>
      </c>
      <c r="K18842" t="s">
        <v>1357</v>
      </c>
      <c r="L18842" t="s">
        <v>1357</v>
      </c>
    </row>
    <row r="18843" spans="1:14">
      <c r="A18843" t="s">
        <v>11812</v>
      </c>
      <c r="B18843">
        <f>HYPERLINK("https://android.googlesource.com/platform/cts/+/9be135ac5c50799a2868922f670d28776ffe9aba", "9be135ac5c50799a2868922f670d28776ffe9aba")</f>
        <v>0</v>
      </c>
      <c r="C18843">
        <f>HYPERLINK("https://android.googlesource.com/platform/cts/+/ddc4da83e860f987e86c2ac9e5a7c8027850a2e7", "ddc4da83e860f987e86c2ac9e5a7c8027850a2e7")</f>
        <v>0</v>
      </c>
      <c r="D18843" t="s">
        <v>12345</v>
      </c>
      <c r="E18843" t="s">
        <v>14313</v>
      </c>
      <c r="F18843" t="s">
        <v>17180</v>
      </c>
      <c r="G18843" t="s">
        <v>19764</v>
      </c>
      <c r="H18843" t="s">
        <v>26253</v>
      </c>
      <c r="I18843" t="s">
        <v>1357</v>
      </c>
      <c r="J18843" t="s">
        <v>1357</v>
      </c>
      <c r="K18843" t="s">
        <v>1357</v>
      </c>
      <c r="L18843" t="s">
        <v>1357</v>
      </c>
    </row>
    <row r="18844" spans="1:14">
      <c r="A18844" t="s">
        <v>11813</v>
      </c>
      <c r="B18844">
        <f>HYPERLINK("https://android.googlesource.com/platform/cts/+/35d66c03de9fdb986d40833f227e19b4e8806aa3", "35d66c03de9fdb986d40833f227e19b4e8806aa3")</f>
        <v>0</v>
      </c>
      <c r="C18844">
        <f>HYPERLINK("https://android.googlesource.com/platform/cts/+/390aca5068b41475519d9201220d9e0d48338a89", "390aca5068b41475519d9201220d9e0d48338a89")</f>
        <v>0</v>
      </c>
      <c r="D18844" t="s">
        <v>12306</v>
      </c>
      <c r="E18844" t="s">
        <v>14314</v>
      </c>
      <c r="F18844" t="s">
        <v>16516</v>
      </c>
      <c r="G18844" t="s">
        <v>19174</v>
      </c>
      <c r="H18844" t="s">
        <v>23925</v>
      </c>
      <c r="I18844" t="s">
        <v>1359</v>
      </c>
      <c r="J18844" t="s">
        <v>1357</v>
      </c>
      <c r="K18844" t="s">
        <v>1357</v>
      </c>
      <c r="L18844" t="s">
        <v>1358</v>
      </c>
    </row>
    <row r="18845" spans="1:14">
      <c r="F18845" t="s">
        <v>17181</v>
      </c>
      <c r="G18845" t="s">
        <v>19765</v>
      </c>
      <c r="H18845" t="s">
        <v>26254</v>
      </c>
      <c r="I18845" t="s">
        <v>1357</v>
      </c>
      <c r="J18845" t="s">
        <v>1357</v>
      </c>
      <c r="K18845" t="s">
        <v>1357</v>
      </c>
      <c r="L18845" t="s">
        <v>1357</v>
      </c>
      <c r="M18845" t="s">
        <v>1360</v>
      </c>
      <c r="N18845" t="s">
        <v>1360</v>
      </c>
    </row>
    <row r="18846" spans="1:14">
      <c r="F18846" t="s">
        <v>16634</v>
      </c>
      <c r="G18846" t="s">
        <v>19174</v>
      </c>
      <c r="H18846" t="s">
        <v>23925</v>
      </c>
      <c r="I18846" t="s">
        <v>1359</v>
      </c>
      <c r="J18846" t="s">
        <v>1357</v>
      </c>
      <c r="K18846" t="s">
        <v>1357</v>
      </c>
      <c r="L18846" t="s">
        <v>1358</v>
      </c>
    </row>
    <row r="18847" spans="1:14">
      <c r="F18847" t="s">
        <v>16273</v>
      </c>
      <c r="G18847" t="s">
        <v>18946</v>
      </c>
      <c r="H18847" t="s">
        <v>23926</v>
      </c>
      <c r="I18847" t="s">
        <v>1357</v>
      </c>
      <c r="J18847" t="s">
        <v>1357</v>
      </c>
      <c r="K18847" t="s">
        <v>1357</v>
      </c>
      <c r="L18847" t="s">
        <v>1357</v>
      </c>
    </row>
    <row r="18848" spans="1:14">
      <c r="A18848" t="s">
        <v>11814</v>
      </c>
      <c r="B18848">
        <f>HYPERLINK("https://android.googlesource.com/platform/cts/+/9e9a19b29298c5c59d310b098add614e6531551e", "9e9a19b29298c5c59d310b098add614e6531551e")</f>
        <v>0</v>
      </c>
      <c r="C18848">
        <f>HYPERLINK("https://android.googlesource.com/platform/cts/+/a82d7550bc9c256375ecf8872bdbdf805daba83c", "a82d7550bc9c256375ecf8872bdbdf805daba83c")</f>
        <v>0</v>
      </c>
      <c r="D18848" t="s">
        <v>12400</v>
      </c>
      <c r="E18848" t="s">
        <v>14315</v>
      </c>
      <c r="F18848" t="s">
        <v>16973</v>
      </c>
      <c r="G18848" t="s">
        <v>19580</v>
      </c>
      <c r="H18848" t="s">
        <v>25835</v>
      </c>
      <c r="I18848" t="s">
        <v>1357</v>
      </c>
      <c r="J18848" t="s">
        <v>1357</v>
      </c>
      <c r="K18848" t="s">
        <v>1357</v>
      </c>
      <c r="L18848" t="s">
        <v>1357</v>
      </c>
    </row>
    <row r="18849" spans="1:12">
      <c r="H18849" t="s">
        <v>25836</v>
      </c>
      <c r="I18849" t="s">
        <v>1357</v>
      </c>
      <c r="J18849" t="s">
        <v>1357</v>
      </c>
      <c r="K18849" t="s">
        <v>1357</v>
      </c>
      <c r="L18849" t="s">
        <v>1357</v>
      </c>
    </row>
    <row r="18850" spans="1:12">
      <c r="A18850" t="s">
        <v>11815</v>
      </c>
      <c r="B18850">
        <f>HYPERLINK("https://android.googlesource.com/platform/cts/+/be96fe647473a01b8f94f6eb3b15464c82ab0050", "be96fe647473a01b8f94f6eb3b15464c82ab0050")</f>
        <v>0</v>
      </c>
      <c r="C18850">
        <f>HYPERLINK("https://android.googlesource.com/platform/cts/+/8f6f633aceddc2b6c280189af6d403bb9dbf55f6", "8f6f633aceddc2b6c280189af6d403bb9dbf55f6")</f>
        <v>0</v>
      </c>
      <c r="D18850" t="s">
        <v>12367</v>
      </c>
      <c r="E18850" t="s">
        <v>14312</v>
      </c>
      <c r="F18850" t="s">
        <v>17145</v>
      </c>
      <c r="G18850" t="s">
        <v>19733</v>
      </c>
      <c r="H18850" t="s">
        <v>26034</v>
      </c>
      <c r="I18850" t="s">
        <v>1357</v>
      </c>
      <c r="J18850" t="s">
        <v>1357</v>
      </c>
      <c r="K18850" t="s">
        <v>1357</v>
      </c>
      <c r="L18850" t="s">
        <v>1357</v>
      </c>
    </row>
    <row r="18851" spans="1:12">
      <c r="A18851" t="s">
        <v>11816</v>
      </c>
      <c r="B18851">
        <f>HYPERLINK("https://android.googlesource.com/platform/cts/+/0744d7aacb7cb454655796841e64f8f9d6786f1a", "0744d7aacb7cb454655796841e64f8f9d6786f1a")</f>
        <v>0</v>
      </c>
      <c r="C18851">
        <f>HYPERLINK("https://android.googlesource.com/platform/cts/+/760a4df405e8d32c2601289f013bc69f6da7da08", "760a4df405e8d32c2601289f013bc69f6da7da08")</f>
        <v>0</v>
      </c>
      <c r="D18851" t="s">
        <v>12488</v>
      </c>
      <c r="E18851" t="s">
        <v>14316</v>
      </c>
      <c r="F18851" t="s">
        <v>17182</v>
      </c>
      <c r="G18851" t="s">
        <v>19766</v>
      </c>
      <c r="H18851" t="s">
        <v>26255</v>
      </c>
      <c r="I18851" t="s">
        <v>1358</v>
      </c>
      <c r="J18851" t="s">
        <v>1358</v>
      </c>
      <c r="K18851" t="s">
        <v>1358</v>
      </c>
      <c r="L18851" t="s">
        <v>1358</v>
      </c>
    </row>
    <row r="18852" spans="1:12">
      <c r="A18852" t="s">
        <v>11817</v>
      </c>
      <c r="B18852">
        <f>HYPERLINK("https://android.googlesource.com/platform/cts/+/ea932a560c115735da9fea197c7ef0dbf63bef3b", "ea932a560c115735da9fea197c7ef0dbf63bef3b")</f>
        <v>0</v>
      </c>
      <c r="C18852">
        <f>HYPERLINK("https://android.googlesource.com/platform/cts/+/e3e830216821a750a108ef4bd7e5e46388423f4d", "e3e830216821a750a108ef4bd7e5e46388423f4d")</f>
        <v>0</v>
      </c>
      <c r="D18852" t="s">
        <v>12489</v>
      </c>
      <c r="E18852" t="s">
        <v>14317</v>
      </c>
      <c r="F18852" t="s">
        <v>17183</v>
      </c>
      <c r="G18852" t="s">
        <v>19767</v>
      </c>
      <c r="H18852" t="s">
        <v>26256</v>
      </c>
      <c r="I18852" t="s">
        <v>1357</v>
      </c>
      <c r="J18852" t="s">
        <v>1357</v>
      </c>
      <c r="K18852" t="s">
        <v>1357</v>
      </c>
      <c r="L18852" t="s">
        <v>1357</v>
      </c>
    </row>
    <row r="18853" spans="1:12">
      <c r="A18853" t="s">
        <v>11818</v>
      </c>
      <c r="B18853">
        <f>HYPERLINK("https://android.googlesource.com/platform/cts/+/5eec84deae56cff374a2de89ac2d44abc1f750d2", "5eec84deae56cff374a2de89ac2d44abc1f750d2")</f>
        <v>0</v>
      </c>
      <c r="C18853">
        <f>HYPERLINK("https://android.googlesource.com/platform/cts/+/b82cb7ca0aea7104e7f94c5ba673bea4389d688b", "b82cb7ca0aea7104e7f94c5ba673bea4389d688b")</f>
        <v>0</v>
      </c>
      <c r="D18853" t="s">
        <v>12457</v>
      </c>
      <c r="E18853" t="s">
        <v>14318</v>
      </c>
      <c r="F18853" t="s">
        <v>17166</v>
      </c>
      <c r="G18853" t="s">
        <v>19384</v>
      </c>
      <c r="H18853" t="s">
        <v>26257</v>
      </c>
      <c r="I18853" t="s">
        <v>1357</v>
      </c>
      <c r="J18853" t="s">
        <v>1357</v>
      </c>
      <c r="K18853" t="s">
        <v>1357</v>
      </c>
      <c r="L18853" t="s">
        <v>1357</v>
      </c>
    </row>
    <row r="18854" spans="1:12">
      <c r="A18854" t="s">
        <v>11819</v>
      </c>
      <c r="B18854">
        <f>HYPERLINK("https://android.googlesource.com/platform/cts/+/c5993a09d8ece9f95daf348cfe14108e4e90ccb9", "c5993a09d8ece9f95daf348cfe14108e4e90ccb9")</f>
        <v>0</v>
      </c>
      <c r="C18854">
        <f>HYPERLINK("https://android.googlesource.com/platform/cts/+/3a5db353f240b980c1ed11871c9dac0e69899540", "3a5db353f240b980c1ed11871c9dac0e69899540")</f>
        <v>0</v>
      </c>
      <c r="D18854" t="s">
        <v>12385</v>
      </c>
      <c r="E18854" t="s">
        <v>14319</v>
      </c>
      <c r="F18854" t="s">
        <v>17184</v>
      </c>
      <c r="G18854" t="s">
        <v>19768</v>
      </c>
      <c r="H18854" t="s">
        <v>26258</v>
      </c>
      <c r="I18854" t="s">
        <v>1358</v>
      </c>
      <c r="J18854" t="s">
        <v>1358</v>
      </c>
      <c r="K18854" t="s">
        <v>1358</v>
      </c>
      <c r="L18854" t="s">
        <v>1358</v>
      </c>
    </row>
    <row r="18855" spans="1:12">
      <c r="H18855" t="s">
        <v>26259</v>
      </c>
      <c r="I18855" t="s">
        <v>1358</v>
      </c>
      <c r="J18855" t="s">
        <v>1358</v>
      </c>
      <c r="K18855" t="s">
        <v>1358</v>
      </c>
      <c r="L18855" t="s">
        <v>1358</v>
      </c>
    </row>
    <row r="18856" spans="1:12">
      <c r="H18856" t="s">
        <v>26260</v>
      </c>
      <c r="I18856" t="s">
        <v>1358</v>
      </c>
      <c r="J18856" t="s">
        <v>1358</v>
      </c>
      <c r="K18856" t="s">
        <v>1358</v>
      </c>
      <c r="L18856" t="s">
        <v>1358</v>
      </c>
    </row>
    <row r="18857" spans="1:12">
      <c r="A18857" t="s">
        <v>11820</v>
      </c>
      <c r="B18857">
        <f>HYPERLINK("https://android.googlesource.com/platform/cts/+/d04911e7737437b0dcbf7535b7f287e38d2b599c", "d04911e7737437b0dcbf7535b7f287e38d2b599c")</f>
        <v>0</v>
      </c>
      <c r="C18857">
        <f>HYPERLINK("https://android.googlesource.com/platform/cts/+/3a5db353f240b980c1ed11871c9dac0e69899540", "3a5db353f240b980c1ed11871c9dac0e69899540")</f>
        <v>0</v>
      </c>
      <c r="D18857" t="s">
        <v>12385</v>
      </c>
      <c r="E18857" t="s">
        <v>14320</v>
      </c>
      <c r="F18857" t="s">
        <v>17185</v>
      </c>
      <c r="G18857" t="s">
        <v>19023</v>
      </c>
      <c r="H18857" t="s">
        <v>26261</v>
      </c>
      <c r="I18857" t="s">
        <v>1358</v>
      </c>
      <c r="J18857" t="s">
        <v>1358</v>
      </c>
      <c r="K18857" t="s">
        <v>1358</v>
      </c>
      <c r="L18857" t="s">
        <v>1358</v>
      </c>
    </row>
    <row r="18858" spans="1:12">
      <c r="H18858" t="s">
        <v>26262</v>
      </c>
      <c r="I18858" t="s">
        <v>1358</v>
      </c>
      <c r="J18858" t="s">
        <v>1358</v>
      </c>
      <c r="K18858" t="s">
        <v>1358</v>
      </c>
      <c r="L18858" t="s">
        <v>1358</v>
      </c>
    </row>
    <row r="18859" spans="1:12">
      <c r="H18859" t="s">
        <v>26263</v>
      </c>
      <c r="I18859" t="s">
        <v>1358</v>
      </c>
      <c r="J18859" t="s">
        <v>1358</v>
      </c>
      <c r="K18859" t="s">
        <v>1358</v>
      </c>
      <c r="L18859" t="s">
        <v>1358</v>
      </c>
    </row>
    <row r="18860" spans="1:12">
      <c r="H18860" t="s">
        <v>26264</v>
      </c>
      <c r="I18860" t="s">
        <v>1358</v>
      </c>
      <c r="J18860" t="s">
        <v>1358</v>
      </c>
      <c r="K18860" t="s">
        <v>1358</v>
      </c>
      <c r="L18860" t="s">
        <v>1358</v>
      </c>
    </row>
    <row r="18861" spans="1:12">
      <c r="H18861" t="s">
        <v>26265</v>
      </c>
      <c r="I18861" t="s">
        <v>1358</v>
      </c>
      <c r="J18861" t="s">
        <v>1358</v>
      </c>
      <c r="K18861" t="s">
        <v>1358</v>
      </c>
      <c r="L18861" t="s">
        <v>1358</v>
      </c>
    </row>
    <row r="18862" spans="1:12">
      <c r="H18862" t="s">
        <v>26266</v>
      </c>
      <c r="I18862" t="s">
        <v>1358</v>
      </c>
      <c r="J18862" t="s">
        <v>1358</v>
      </c>
      <c r="K18862" t="s">
        <v>1358</v>
      </c>
      <c r="L18862" t="s">
        <v>1358</v>
      </c>
    </row>
    <row r="18863" spans="1:12">
      <c r="H18863" t="s">
        <v>26267</v>
      </c>
      <c r="I18863" t="s">
        <v>1358</v>
      </c>
      <c r="J18863" t="s">
        <v>1358</v>
      </c>
      <c r="K18863" t="s">
        <v>1358</v>
      </c>
      <c r="L18863" t="s">
        <v>1358</v>
      </c>
    </row>
    <row r="18864" spans="1:12">
      <c r="H18864" t="s">
        <v>26268</v>
      </c>
      <c r="I18864" t="s">
        <v>1358</v>
      </c>
      <c r="J18864" t="s">
        <v>1358</v>
      </c>
      <c r="K18864" t="s">
        <v>1358</v>
      </c>
      <c r="L18864" t="s">
        <v>1358</v>
      </c>
    </row>
    <row r="18865" spans="8:12">
      <c r="H18865" t="s">
        <v>26269</v>
      </c>
      <c r="I18865" t="s">
        <v>1358</v>
      </c>
      <c r="J18865" t="s">
        <v>1358</v>
      </c>
      <c r="K18865" t="s">
        <v>1358</v>
      </c>
      <c r="L18865" t="s">
        <v>1358</v>
      </c>
    </row>
    <row r="18866" spans="8:12">
      <c r="H18866" t="s">
        <v>26270</v>
      </c>
      <c r="I18866" t="s">
        <v>1358</v>
      </c>
      <c r="J18866" t="s">
        <v>1358</v>
      </c>
      <c r="K18866" t="s">
        <v>1358</v>
      </c>
      <c r="L18866" t="s">
        <v>1358</v>
      </c>
    </row>
    <row r="18867" spans="8:12">
      <c r="H18867" t="s">
        <v>26271</v>
      </c>
      <c r="I18867" t="s">
        <v>1358</v>
      </c>
      <c r="J18867" t="s">
        <v>1358</v>
      </c>
      <c r="K18867" t="s">
        <v>1358</v>
      </c>
      <c r="L18867" t="s">
        <v>1358</v>
      </c>
    </row>
    <row r="18868" spans="8:12">
      <c r="H18868" t="s">
        <v>26272</v>
      </c>
      <c r="I18868" t="s">
        <v>1358</v>
      </c>
      <c r="J18868" t="s">
        <v>1358</v>
      </c>
      <c r="K18868" t="s">
        <v>1358</v>
      </c>
      <c r="L18868" t="s">
        <v>1358</v>
      </c>
    </row>
    <row r="18869" spans="8:12">
      <c r="H18869" t="s">
        <v>26273</v>
      </c>
      <c r="I18869" t="s">
        <v>1358</v>
      </c>
      <c r="J18869" t="s">
        <v>1358</v>
      </c>
      <c r="K18869" t="s">
        <v>1358</v>
      </c>
      <c r="L18869" t="s">
        <v>1358</v>
      </c>
    </row>
    <row r="18870" spans="8:12">
      <c r="H18870" t="s">
        <v>26274</v>
      </c>
      <c r="I18870" t="s">
        <v>1358</v>
      </c>
      <c r="J18870" t="s">
        <v>1358</v>
      </c>
      <c r="K18870" t="s">
        <v>1358</v>
      </c>
      <c r="L18870" t="s">
        <v>1358</v>
      </c>
    </row>
    <row r="18871" spans="8:12">
      <c r="H18871" t="s">
        <v>26275</v>
      </c>
      <c r="I18871" t="s">
        <v>1358</v>
      </c>
      <c r="J18871" t="s">
        <v>1358</v>
      </c>
      <c r="K18871" t="s">
        <v>1358</v>
      </c>
      <c r="L18871" t="s">
        <v>1358</v>
      </c>
    </row>
    <row r="18872" spans="8:12">
      <c r="H18872" t="s">
        <v>22769</v>
      </c>
      <c r="I18872" t="s">
        <v>1358</v>
      </c>
      <c r="J18872" t="s">
        <v>1358</v>
      </c>
      <c r="K18872" t="s">
        <v>1358</v>
      </c>
      <c r="L18872" t="s">
        <v>1358</v>
      </c>
    </row>
    <row r="18873" spans="8:12">
      <c r="H18873" t="s">
        <v>26276</v>
      </c>
      <c r="I18873" t="s">
        <v>1358</v>
      </c>
      <c r="J18873" t="s">
        <v>1358</v>
      </c>
      <c r="K18873" t="s">
        <v>1358</v>
      </c>
      <c r="L18873" t="s">
        <v>1358</v>
      </c>
    </row>
    <row r="18874" spans="8:12">
      <c r="H18874" t="s">
        <v>26277</v>
      </c>
      <c r="I18874" t="s">
        <v>1358</v>
      </c>
      <c r="J18874" t="s">
        <v>1358</v>
      </c>
      <c r="K18874" t="s">
        <v>1358</v>
      </c>
      <c r="L18874" t="s">
        <v>1358</v>
      </c>
    </row>
    <row r="18875" spans="8:12">
      <c r="H18875" t="s">
        <v>26278</v>
      </c>
      <c r="I18875" t="s">
        <v>1358</v>
      </c>
      <c r="J18875" t="s">
        <v>1358</v>
      </c>
      <c r="K18875" t="s">
        <v>1358</v>
      </c>
      <c r="L18875" t="s">
        <v>1358</v>
      </c>
    </row>
    <row r="18876" spans="8:12">
      <c r="H18876" t="s">
        <v>22770</v>
      </c>
      <c r="I18876" t="s">
        <v>1358</v>
      </c>
      <c r="J18876" t="s">
        <v>1358</v>
      </c>
      <c r="K18876" t="s">
        <v>1358</v>
      </c>
      <c r="L18876" t="s">
        <v>1358</v>
      </c>
    </row>
    <row r="18877" spans="8:12">
      <c r="H18877" t="s">
        <v>26279</v>
      </c>
      <c r="I18877" t="s">
        <v>1358</v>
      </c>
      <c r="J18877" t="s">
        <v>1358</v>
      </c>
      <c r="K18877" t="s">
        <v>1358</v>
      </c>
      <c r="L18877" t="s">
        <v>1358</v>
      </c>
    </row>
    <row r="18878" spans="8:12">
      <c r="H18878" t="s">
        <v>26280</v>
      </c>
      <c r="I18878" t="s">
        <v>1358</v>
      </c>
      <c r="J18878" t="s">
        <v>1358</v>
      </c>
      <c r="K18878" t="s">
        <v>1358</v>
      </c>
      <c r="L18878" t="s">
        <v>1358</v>
      </c>
    </row>
    <row r="18879" spans="8:12">
      <c r="H18879" t="s">
        <v>26281</v>
      </c>
      <c r="I18879" t="s">
        <v>1358</v>
      </c>
      <c r="J18879" t="s">
        <v>1358</v>
      </c>
      <c r="K18879" t="s">
        <v>1358</v>
      </c>
      <c r="L18879" t="s">
        <v>1358</v>
      </c>
    </row>
    <row r="18880" spans="8:12">
      <c r="H18880" t="s">
        <v>22771</v>
      </c>
      <c r="I18880" t="s">
        <v>1358</v>
      </c>
      <c r="J18880" t="s">
        <v>1358</v>
      </c>
      <c r="K18880" t="s">
        <v>1358</v>
      </c>
      <c r="L18880" t="s">
        <v>1358</v>
      </c>
    </row>
    <row r="18881" spans="1:12">
      <c r="H18881" t="s">
        <v>26282</v>
      </c>
      <c r="I18881" t="s">
        <v>1358</v>
      </c>
      <c r="J18881" t="s">
        <v>1358</v>
      </c>
      <c r="K18881" t="s">
        <v>1358</v>
      </c>
      <c r="L18881" t="s">
        <v>1358</v>
      </c>
    </row>
    <row r="18882" spans="1:12">
      <c r="H18882" t="s">
        <v>26283</v>
      </c>
      <c r="I18882" t="s">
        <v>1358</v>
      </c>
      <c r="J18882" t="s">
        <v>1358</v>
      </c>
      <c r="K18882" t="s">
        <v>1358</v>
      </c>
      <c r="L18882" t="s">
        <v>1358</v>
      </c>
    </row>
    <row r="18883" spans="1:12">
      <c r="H18883" t="s">
        <v>26284</v>
      </c>
      <c r="I18883" t="s">
        <v>1358</v>
      </c>
      <c r="J18883" t="s">
        <v>1358</v>
      </c>
      <c r="K18883" t="s">
        <v>1358</v>
      </c>
      <c r="L18883" t="s">
        <v>1358</v>
      </c>
    </row>
    <row r="18884" spans="1:12">
      <c r="H18884" t="s">
        <v>22772</v>
      </c>
      <c r="I18884" t="s">
        <v>1358</v>
      </c>
      <c r="J18884" t="s">
        <v>1358</v>
      </c>
      <c r="K18884" t="s">
        <v>1358</v>
      </c>
      <c r="L18884" t="s">
        <v>1358</v>
      </c>
    </row>
    <row r="18885" spans="1:12">
      <c r="A18885" t="s">
        <v>11821</v>
      </c>
      <c r="B18885">
        <f>HYPERLINK("https://android.googlesource.com/platform/cts/+/87cd8d2d4ba1c31de4070eaac2c674ed14c3ff9e", "87cd8d2d4ba1c31de4070eaac2c674ed14c3ff9e")</f>
        <v>0</v>
      </c>
      <c r="C18885">
        <f>HYPERLINK("https://android.googlesource.com/platform/cts/+/3a5db353f240b980c1ed11871c9dac0e69899540", "3a5db353f240b980c1ed11871c9dac0e69899540")</f>
        <v>0</v>
      </c>
      <c r="D18885" t="s">
        <v>12385</v>
      </c>
      <c r="E18885" t="s">
        <v>14321</v>
      </c>
      <c r="F18885" t="s">
        <v>17186</v>
      </c>
      <c r="G18885" t="s">
        <v>19769</v>
      </c>
      <c r="H18885" t="s">
        <v>26285</v>
      </c>
      <c r="I18885" t="s">
        <v>1358</v>
      </c>
      <c r="J18885" t="s">
        <v>1358</v>
      </c>
      <c r="K18885" t="s">
        <v>1358</v>
      </c>
      <c r="L18885" t="s">
        <v>1358</v>
      </c>
    </row>
    <row r="18886" spans="1:12">
      <c r="H18886" t="s">
        <v>26286</v>
      </c>
      <c r="I18886" t="s">
        <v>1358</v>
      </c>
      <c r="J18886" t="s">
        <v>1358</v>
      </c>
      <c r="K18886" t="s">
        <v>1358</v>
      </c>
      <c r="L18886" t="s">
        <v>1358</v>
      </c>
    </row>
    <row r="18887" spans="1:12">
      <c r="H18887" t="s">
        <v>26287</v>
      </c>
      <c r="I18887" t="s">
        <v>1358</v>
      </c>
      <c r="J18887" t="s">
        <v>1358</v>
      </c>
      <c r="K18887" t="s">
        <v>1358</v>
      </c>
      <c r="L18887" t="s">
        <v>1358</v>
      </c>
    </row>
    <row r="18888" spans="1:12">
      <c r="H18888" t="s">
        <v>26288</v>
      </c>
      <c r="I18888" t="s">
        <v>1358</v>
      </c>
      <c r="J18888" t="s">
        <v>1358</v>
      </c>
      <c r="K18888" t="s">
        <v>1358</v>
      </c>
      <c r="L18888" t="s">
        <v>1358</v>
      </c>
    </row>
    <row r="18889" spans="1:12">
      <c r="H18889" t="s">
        <v>26289</v>
      </c>
      <c r="I18889" t="s">
        <v>1358</v>
      </c>
      <c r="J18889" t="s">
        <v>1358</v>
      </c>
      <c r="K18889" t="s">
        <v>1358</v>
      </c>
      <c r="L18889" t="s">
        <v>1358</v>
      </c>
    </row>
    <row r="18890" spans="1:12">
      <c r="H18890" t="s">
        <v>26290</v>
      </c>
      <c r="I18890" t="s">
        <v>1358</v>
      </c>
      <c r="J18890" t="s">
        <v>1358</v>
      </c>
      <c r="K18890" t="s">
        <v>1358</v>
      </c>
      <c r="L18890" t="s">
        <v>1358</v>
      </c>
    </row>
    <row r="18891" spans="1:12">
      <c r="H18891" t="s">
        <v>26291</v>
      </c>
      <c r="I18891" t="s">
        <v>1358</v>
      </c>
      <c r="J18891" t="s">
        <v>1358</v>
      </c>
      <c r="K18891" t="s">
        <v>1358</v>
      </c>
      <c r="L18891" t="s">
        <v>1358</v>
      </c>
    </row>
    <row r="18892" spans="1:12">
      <c r="H18892" t="s">
        <v>26292</v>
      </c>
      <c r="I18892" t="s">
        <v>1358</v>
      </c>
      <c r="J18892" t="s">
        <v>1358</v>
      </c>
      <c r="K18892" t="s">
        <v>1358</v>
      </c>
      <c r="L18892" t="s">
        <v>1358</v>
      </c>
    </row>
    <row r="18893" spans="1:12">
      <c r="H18893" t="s">
        <v>26293</v>
      </c>
      <c r="I18893" t="s">
        <v>1358</v>
      </c>
      <c r="J18893" t="s">
        <v>1358</v>
      </c>
      <c r="K18893" t="s">
        <v>1358</v>
      </c>
      <c r="L18893" t="s">
        <v>1358</v>
      </c>
    </row>
    <row r="18894" spans="1:12">
      <c r="H18894" t="s">
        <v>26294</v>
      </c>
      <c r="I18894" t="s">
        <v>1358</v>
      </c>
      <c r="J18894" t="s">
        <v>1358</v>
      </c>
      <c r="K18894" t="s">
        <v>1358</v>
      </c>
      <c r="L18894" t="s">
        <v>1358</v>
      </c>
    </row>
    <row r="18895" spans="1:12">
      <c r="H18895" t="s">
        <v>26295</v>
      </c>
      <c r="I18895" t="s">
        <v>1358</v>
      </c>
      <c r="J18895" t="s">
        <v>1358</v>
      </c>
      <c r="K18895" t="s">
        <v>1358</v>
      </c>
      <c r="L18895" t="s">
        <v>1358</v>
      </c>
    </row>
    <row r="18896" spans="1:12">
      <c r="H18896" t="s">
        <v>26296</v>
      </c>
      <c r="I18896" t="s">
        <v>1358</v>
      </c>
      <c r="J18896" t="s">
        <v>1358</v>
      </c>
      <c r="K18896" t="s">
        <v>1358</v>
      </c>
      <c r="L18896" t="s">
        <v>1358</v>
      </c>
    </row>
    <row r="18897" spans="8:12">
      <c r="H18897" t="s">
        <v>26297</v>
      </c>
      <c r="I18897" t="s">
        <v>1358</v>
      </c>
      <c r="J18897" t="s">
        <v>1358</v>
      </c>
      <c r="K18897" t="s">
        <v>1358</v>
      </c>
      <c r="L18897" t="s">
        <v>1358</v>
      </c>
    </row>
    <row r="18898" spans="8:12">
      <c r="H18898" t="s">
        <v>26298</v>
      </c>
      <c r="I18898" t="s">
        <v>1358</v>
      </c>
      <c r="J18898" t="s">
        <v>1358</v>
      </c>
      <c r="K18898" t="s">
        <v>1358</v>
      </c>
      <c r="L18898" t="s">
        <v>1358</v>
      </c>
    </row>
    <row r="18899" spans="8:12">
      <c r="H18899" t="s">
        <v>26299</v>
      </c>
      <c r="I18899" t="s">
        <v>1358</v>
      </c>
      <c r="J18899" t="s">
        <v>1358</v>
      </c>
      <c r="K18899" t="s">
        <v>1358</v>
      </c>
      <c r="L18899" t="s">
        <v>1358</v>
      </c>
    </row>
    <row r="18900" spans="8:12">
      <c r="H18900" t="s">
        <v>26300</v>
      </c>
      <c r="I18900" t="s">
        <v>1358</v>
      </c>
      <c r="J18900" t="s">
        <v>1358</v>
      </c>
      <c r="K18900" t="s">
        <v>1358</v>
      </c>
      <c r="L18900" t="s">
        <v>1358</v>
      </c>
    </row>
    <row r="18901" spans="8:12">
      <c r="H18901" t="s">
        <v>26301</v>
      </c>
      <c r="I18901" t="s">
        <v>1358</v>
      </c>
      <c r="J18901" t="s">
        <v>1358</v>
      </c>
      <c r="K18901" t="s">
        <v>1358</v>
      </c>
      <c r="L18901" t="s">
        <v>1358</v>
      </c>
    </row>
    <row r="18902" spans="8:12">
      <c r="H18902" t="s">
        <v>26302</v>
      </c>
      <c r="I18902" t="s">
        <v>1358</v>
      </c>
      <c r="J18902" t="s">
        <v>1358</v>
      </c>
      <c r="K18902" t="s">
        <v>1358</v>
      </c>
      <c r="L18902" t="s">
        <v>1358</v>
      </c>
    </row>
    <row r="18903" spans="8:12">
      <c r="H18903" t="s">
        <v>26303</v>
      </c>
      <c r="I18903" t="s">
        <v>1358</v>
      </c>
      <c r="J18903" t="s">
        <v>1358</v>
      </c>
      <c r="K18903" t="s">
        <v>1358</v>
      </c>
      <c r="L18903" t="s">
        <v>1358</v>
      </c>
    </row>
    <row r="18904" spans="8:12">
      <c r="H18904" t="s">
        <v>26304</v>
      </c>
      <c r="I18904" t="s">
        <v>1358</v>
      </c>
      <c r="J18904" t="s">
        <v>1358</v>
      </c>
      <c r="K18904" t="s">
        <v>1358</v>
      </c>
      <c r="L18904" t="s">
        <v>1358</v>
      </c>
    </row>
    <row r="18905" spans="8:12">
      <c r="H18905" t="s">
        <v>26305</v>
      </c>
      <c r="I18905" t="s">
        <v>1358</v>
      </c>
      <c r="J18905" t="s">
        <v>1358</v>
      </c>
      <c r="K18905" t="s">
        <v>1358</v>
      </c>
      <c r="L18905" t="s">
        <v>1358</v>
      </c>
    </row>
    <row r="18906" spans="8:12">
      <c r="H18906" t="s">
        <v>26306</v>
      </c>
      <c r="I18906" t="s">
        <v>1358</v>
      </c>
      <c r="J18906" t="s">
        <v>1358</v>
      </c>
      <c r="K18906" t="s">
        <v>1358</v>
      </c>
      <c r="L18906" t="s">
        <v>1358</v>
      </c>
    </row>
    <row r="18907" spans="8:12">
      <c r="H18907" t="s">
        <v>26307</v>
      </c>
      <c r="I18907" t="s">
        <v>1358</v>
      </c>
      <c r="J18907" t="s">
        <v>1358</v>
      </c>
      <c r="K18907" t="s">
        <v>1358</v>
      </c>
      <c r="L18907" t="s">
        <v>1358</v>
      </c>
    </row>
    <row r="18908" spans="8:12">
      <c r="H18908" t="s">
        <v>26308</v>
      </c>
      <c r="I18908" t="s">
        <v>1358</v>
      </c>
      <c r="J18908" t="s">
        <v>1358</v>
      </c>
      <c r="K18908" t="s">
        <v>1358</v>
      </c>
      <c r="L18908" t="s">
        <v>1358</v>
      </c>
    </row>
    <row r="18909" spans="8:12">
      <c r="H18909" t="s">
        <v>26309</v>
      </c>
      <c r="I18909" t="s">
        <v>1358</v>
      </c>
      <c r="J18909" t="s">
        <v>1358</v>
      </c>
      <c r="K18909" t="s">
        <v>1358</v>
      </c>
      <c r="L18909" t="s">
        <v>1358</v>
      </c>
    </row>
    <row r="18910" spans="8:12">
      <c r="H18910" t="s">
        <v>26310</v>
      </c>
      <c r="I18910" t="s">
        <v>1358</v>
      </c>
      <c r="J18910" t="s">
        <v>1358</v>
      </c>
      <c r="K18910" t="s">
        <v>1358</v>
      </c>
      <c r="L18910" t="s">
        <v>1358</v>
      </c>
    </row>
    <row r="18911" spans="8:12">
      <c r="H18911" t="s">
        <v>26311</v>
      </c>
      <c r="I18911" t="s">
        <v>1358</v>
      </c>
      <c r="J18911" t="s">
        <v>1358</v>
      </c>
      <c r="K18911" t="s">
        <v>1358</v>
      </c>
      <c r="L18911" t="s">
        <v>1358</v>
      </c>
    </row>
    <row r="18912" spans="8:12">
      <c r="H18912" t="s">
        <v>26312</v>
      </c>
      <c r="I18912" t="s">
        <v>1358</v>
      </c>
      <c r="J18912" t="s">
        <v>1358</v>
      </c>
      <c r="K18912" t="s">
        <v>1358</v>
      </c>
      <c r="L18912" t="s">
        <v>1358</v>
      </c>
    </row>
    <row r="18913" spans="8:12">
      <c r="H18913" t="s">
        <v>26313</v>
      </c>
      <c r="I18913" t="s">
        <v>1358</v>
      </c>
      <c r="J18913" t="s">
        <v>1358</v>
      </c>
      <c r="K18913" t="s">
        <v>1358</v>
      </c>
      <c r="L18913" t="s">
        <v>1358</v>
      </c>
    </row>
    <row r="18914" spans="8:12">
      <c r="H18914" t="s">
        <v>26314</v>
      </c>
      <c r="I18914" t="s">
        <v>1358</v>
      </c>
      <c r="J18914" t="s">
        <v>1358</v>
      </c>
      <c r="K18914" t="s">
        <v>1358</v>
      </c>
      <c r="L18914" t="s">
        <v>1358</v>
      </c>
    </row>
    <row r="18915" spans="8:12">
      <c r="H18915" t="s">
        <v>26315</v>
      </c>
      <c r="I18915" t="s">
        <v>1358</v>
      </c>
      <c r="J18915" t="s">
        <v>1358</v>
      </c>
      <c r="K18915" t="s">
        <v>1358</v>
      </c>
      <c r="L18915" t="s">
        <v>1358</v>
      </c>
    </row>
    <row r="18916" spans="8:12">
      <c r="H18916" t="s">
        <v>26316</v>
      </c>
      <c r="I18916" t="s">
        <v>1358</v>
      </c>
      <c r="J18916" t="s">
        <v>1358</v>
      </c>
      <c r="K18916" t="s">
        <v>1358</v>
      </c>
      <c r="L18916" t="s">
        <v>1358</v>
      </c>
    </row>
    <row r="18917" spans="8:12">
      <c r="H18917" t="s">
        <v>26317</v>
      </c>
      <c r="I18917" t="s">
        <v>1358</v>
      </c>
      <c r="J18917" t="s">
        <v>1358</v>
      </c>
      <c r="K18917" t="s">
        <v>1358</v>
      </c>
      <c r="L18917" t="s">
        <v>1358</v>
      </c>
    </row>
    <row r="18918" spans="8:12">
      <c r="H18918" t="s">
        <v>26318</v>
      </c>
      <c r="I18918" t="s">
        <v>1358</v>
      </c>
      <c r="J18918" t="s">
        <v>1358</v>
      </c>
      <c r="K18918" t="s">
        <v>1358</v>
      </c>
      <c r="L18918" t="s">
        <v>1358</v>
      </c>
    </row>
    <row r="18919" spans="8:12">
      <c r="H18919" t="s">
        <v>26319</v>
      </c>
      <c r="I18919" t="s">
        <v>1358</v>
      </c>
      <c r="J18919" t="s">
        <v>1358</v>
      </c>
      <c r="K18919" t="s">
        <v>1358</v>
      </c>
      <c r="L18919" t="s">
        <v>1358</v>
      </c>
    </row>
    <row r="18920" spans="8:12">
      <c r="H18920" t="s">
        <v>26320</v>
      </c>
      <c r="I18920" t="s">
        <v>1358</v>
      </c>
      <c r="J18920" t="s">
        <v>1358</v>
      </c>
      <c r="K18920" t="s">
        <v>1358</v>
      </c>
      <c r="L18920" t="s">
        <v>1358</v>
      </c>
    </row>
    <row r="18921" spans="8:12">
      <c r="H18921" t="s">
        <v>26321</v>
      </c>
      <c r="I18921" t="s">
        <v>1358</v>
      </c>
      <c r="J18921" t="s">
        <v>1358</v>
      </c>
      <c r="K18921" t="s">
        <v>1358</v>
      </c>
      <c r="L18921" t="s">
        <v>1358</v>
      </c>
    </row>
    <row r="18922" spans="8:12">
      <c r="H18922" t="s">
        <v>26322</v>
      </c>
      <c r="I18922" t="s">
        <v>1358</v>
      </c>
      <c r="J18922" t="s">
        <v>1358</v>
      </c>
      <c r="K18922" t="s">
        <v>1358</v>
      </c>
      <c r="L18922" t="s">
        <v>1358</v>
      </c>
    </row>
    <row r="18923" spans="8:12">
      <c r="H18923" t="s">
        <v>26323</v>
      </c>
      <c r="I18923" t="s">
        <v>1358</v>
      </c>
      <c r="J18923" t="s">
        <v>1358</v>
      </c>
      <c r="K18923" t="s">
        <v>1358</v>
      </c>
      <c r="L18923" t="s">
        <v>1358</v>
      </c>
    </row>
    <row r="18924" spans="8:12">
      <c r="H18924" t="s">
        <v>26324</v>
      </c>
      <c r="I18924" t="s">
        <v>1358</v>
      </c>
      <c r="J18924" t="s">
        <v>1358</v>
      </c>
      <c r="K18924" t="s">
        <v>1358</v>
      </c>
      <c r="L18924" t="s">
        <v>1358</v>
      </c>
    </row>
    <row r="18925" spans="8:12">
      <c r="H18925" t="s">
        <v>26325</v>
      </c>
      <c r="I18925" t="s">
        <v>1358</v>
      </c>
      <c r="J18925" t="s">
        <v>1358</v>
      </c>
      <c r="K18925" t="s">
        <v>1358</v>
      </c>
      <c r="L18925" t="s">
        <v>1358</v>
      </c>
    </row>
    <row r="18926" spans="8:12">
      <c r="H18926" t="s">
        <v>26326</v>
      </c>
      <c r="I18926" t="s">
        <v>1358</v>
      </c>
      <c r="J18926" t="s">
        <v>1358</v>
      </c>
      <c r="K18926" t="s">
        <v>1358</v>
      </c>
      <c r="L18926" t="s">
        <v>1358</v>
      </c>
    </row>
    <row r="18927" spans="8:12">
      <c r="H18927" t="s">
        <v>26327</v>
      </c>
      <c r="I18927" t="s">
        <v>1358</v>
      </c>
      <c r="J18927" t="s">
        <v>1358</v>
      </c>
      <c r="K18927" t="s">
        <v>1358</v>
      </c>
      <c r="L18927" t="s">
        <v>1358</v>
      </c>
    </row>
    <row r="18928" spans="8:12">
      <c r="H18928" t="s">
        <v>26328</v>
      </c>
      <c r="I18928" t="s">
        <v>1358</v>
      </c>
      <c r="J18928" t="s">
        <v>1358</v>
      </c>
      <c r="K18928" t="s">
        <v>1358</v>
      </c>
      <c r="L18928" t="s">
        <v>1358</v>
      </c>
    </row>
    <row r="18929" spans="8:12">
      <c r="H18929" t="s">
        <v>26329</v>
      </c>
      <c r="I18929" t="s">
        <v>1358</v>
      </c>
      <c r="J18929" t="s">
        <v>1358</v>
      </c>
      <c r="K18929" t="s">
        <v>1358</v>
      </c>
      <c r="L18929" t="s">
        <v>1358</v>
      </c>
    </row>
    <row r="18930" spans="8:12">
      <c r="H18930" t="s">
        <v>26330</v>
      </c>
      <c r="I18930" t="s">
        <v>1358</v>
      </c>
      <c r="J18930" t="s">
        <v>1358</v>
      </c>
      <c r="K18930" t="s">
        <v>1358</v>
      </c>
      <c r="L18930" t="s">
        <v>1358</v>
      </c>
    </row>
    <row r="18931" spans="8:12">
      <c r="H18931" t="s">
        <v>26331</v>
      </c>
      <c r="I18931" t="s">
        <v>1358</v>
      </c>
      <c r="J18931" t="s">
        <v>1358</v>
      </c>
      <c r="K18931" t="s">
        <v>1358</v>
      </c>
      <c r="L18931" t="s">
        <v>1358</v>
      </c>
    </row>
    <row r="18932" spans="8:12">
      <c r="H18932" t="s">
        <v>26332</v>
      </c>
      <c r="I18932" t="s">
        <v>1358</v>
      </c>
      <c r="J18932" t="s">
        <v>1358</v>
      </c>
      <c r="K18932" t="s">
        <v>1358</v>
      </c>
      <c r="L18932" t="s">
        <v>1358</v>
      </c>
    </row>
    <row r="18933" spans="8:12">
      <c r="H18933" t="s">
        <v>26333</v>
      </c>
      <c r="I18933" t="s">
        <v>1358</v>
      </c>
      <c r="J18933" t="s">
        <v>1358</v>
      </c>
      <c r="K18933" t="s">
        <v>1358</v>
      </c>
      <c r="L18933" t="s">
        <v>1358</v>
      </c>
    </row>
    <row r="18934" spans="8:12">
      <c r="H18934" t="s">
        <v>26334</v>
      </c>
      <c r="I18934" t="s">
        <v>1358</v>
      </c>
      <c r="J18934" t="s">
        <v>1358</v>
      </c>
      <c r="K18934" t="s">
        <v>1358</v>
      </c>
      <c r="L18934" t="s">
        <v>1358</v>
      </c>
    </row>
    <row r="18935" spans="8:12">
      <c r="H18935" t="s">
        <v>26335</v>
      </c>
      <c r="I18935" t="s">
        <v>1358</v>
      </c>
      <c r="J18935" t="s">
        <v>1358</v>
      </c>
      <c r="K18935" t="s">
        <v>1358</v>
      </c>
      <c r="L18935" t="s">
        <v>1358</v>
      </c>
    </row>
    <row r="18936" spans="8:12">
      <c r="H18936" t="s">
        <v>26336</v>
      </c>
      <c r="I18936" t="s">
        <v>1358</v>
      </c>
      <c r="J18936" t="s">
        <v>1358</v>
      </c>
      <c r="K18936" t="s">
        <v>1358</v>
      </c>
      <c r="L18936" t="s">
        <v>1358</v>
      </c>
    </row>
    <row r="18937" spans="8:12">
      <c r="H18937" t="s">
        <v>26337</v>
      </c>
      <c r="I18937" t="s">
        <v>1358</v>
      </c>
      <c r="J18937" t="s">
        <v>1358</v>
      </c>
      <c r="K18937" t="s">
        <v>1358</v>
      </c>
      <c r="L18937" t="s">
        <v>1358</v>
      </c>
    </row>
    <row r="18938" spans="8:12">
      <c r="H18938" t="s">
        <v>26338</v>
      </c>
      <c r="I18938" t="s">
        <v>1358</v>
      </c>
      <c r="J18938" t="s">
        <v>1358</v>
      </c>
      <c r="K18938" t="s">
        <v>1358</v>
      </c>
      <c r="L18938" t="s">
        <v>1358</v>
      </c>
    </row>
    <row r="18939" spans="8:12">
      <c r="H18939" t="s">
        <v>26339</v>
      </c>
      <c r="I18939" t="s">
        <v>1358</v>
      </c>
      <c r="J18939" t="s">
        <v>1358</v>
      </c>
      <c r="K18939" t="s">
        <v>1358</v>
      </c>
      <c r="L18939" t="s">
        <v>1358</v>
      </c>
    </row>
    <row r="18940" spans="8:12">
      <c r="H18940" t="s">
        <v>26340</v>
      </c>
      <c r="I18940" t="s">
        <v>1358</v>
      </c>
      <c r="J18940" t="s">
        <v>1358</v>
      </c>
      <c r="K18940" t="s">
        <v>1358</v>
      </c>
      <c r="L18940" t="s">
        <v>1358</v>
      </c>
    </row>
    <row r="18941" spans="8:12">
      <c r="H18941" t="s">
        <v>26341</v>
      </c>
      <c r="I18941" t="s">
        <v>1358</v>
      </c>
      <c r="J18941" t="s">
        <v>1358</v>
      </c>
      <c r="K18941" t="s">
        <v>1358</v>
      </c>
      <c r="L18941" t="s">
        <v>1358</v>
      </c>
    </row>
    <row r="18942" spans="8:12">
      <c r="H18942" t="s">
        <v>26342</v>
      </c>
      <c r="I18942" t="s">
        <v>1358</v>
      </c>
      <c r="J18942" t="s">
        <v>1358</v>
      </c>
      <c r="K18942" t="s">
        <v>1358</v>
      </c>
      <c r="L18942" t="s">
        <v>1358</v>
      </c>
    </row>
    <row r="18943" spans="8:12">
      <c r="H18943" t="s">
        <v>26343</v>
      </c>
      <c r="I18943" t="s">
        <v>1358</v>
      </c>
      <c r="J18943" t="s">
        <v>1358</v>
      </c>
      <c r="K18943" t="s">
        <v>1358</v>
      </c>
      <c r="L18943" t="s">
        <v>1358</v>
      </c>
    </row>
    <row r="18944" spans="8:12">
      <c r="H18944" t="s">
        <v>26344</v>
      </c>
      <c r="I18944" t="s">
        <v>1358</v>
      </c>
      <c r="J18944" t="s">
        <v>1358</v>
      </c>
      <c r="K18944" t="s">
        <v>1358</v>
      </c>
      <c r="L18944" t="s">
        <v>1358</v>
      </c>
    </row>
    <row r="18945" spans="8:12">
      <c r="H18945" t="s">
        <v>26345</v>
      </c>
      <c r="I18945" t="s">
        <v>1358</v>
      </c>
      <c r="J18945" t="s">
        <v>1358</v>
      </c>
      <c r="K18945" t="s">
        <v>1358</v>
      </c>
      <c r="L18945" t="s">
        <v>1358</v>
      </c>
    </row>
    <row r="18946" spans="8:12">
      <c r="H18946" t="s">
        <v>26346</v>
      </c>
      <c r="I18946" t="s">
        <v>1358</v>
      </c>
      <c r="J18946" t="s">
        <v>1358</v>
      </c>
      <c r="K18946" t="s">
        <v>1358</v>
      </c>
      <c r="L18946" t="s">
        <v>1358</v>
      </c>
    </row>
    <row r="18947" spans="8:12">
      <c r="H18947" t="s">
        <v>26347</v>
      </c>
      <c r="I18947" t="s">
        <v>1358</v>
      </c>
      <c r="J18947" t="s">
        <v>1358</v>
      </c>
      <c r="K18947" t="s">
        <v>1358</v>
      </c>
      <c r="L18947" t="s">
        <v>1358</v>
      </c>
    </row>
    <row r="18948" spans="8:12">
      <c r="H18948" t="s">
        <v>26348</v>
      </c>
      <c r="I18948" t="s">
        <v>1358</v>
      </c>
      <c r="J18948" t="s">
        <v>1358</v>
      </c>
      <c r="K18948" t="s">
        <v>1358</v>
      </c>
      <c r="L18948" t="s">
        <v>1358</v>
      </c>
    </row>
    <row r="18949" spans="8:12">
      <c r="H18949" t="s">
        <v>26349</v>
      </c>
      <c r="I18949" t="s">
        <v>1358</v>
      </c>
      <c r="J18949" t="s">
        <v>1358</v>
      </c>
      <c r="K18949" t="s">
        <v>1358</v>
      </c>
      <c r="L18949" t="s">
        <v>1358</v>
      </c>
    </row>
    <row r="18950" spans="8:12">
      <c r="H18950" t="s">
        <v>26350</v>
      </c>
      <c r="I18950" t="s">
        <v>1358</v>
      </c>
      <c r="J18950" t="s">
        <v>1358</v>
      </c>
      <c r="K18950" t="s">
        <v>1358</v>
      </c>
      <c r="L18950" t="s">
        <v>1358</v>
      </c>
    </row>
    <row r="18951" spans="8:12">
      <c r="H18951" t="s">
        <v>26351</v>
      </c>
      <c r="I18951" t="s">
        <v>1358</v>
      </c>
      <c r="J18951" t="s">
        <v>1358</v>
      </c>
      <c r="K18951" t="s">
        <v>1358</v>
      </c>
      <c r="L18951" t="s">
        <v>1358</v>
      </c>
    </row>
    <row r="18952" spans="8:12">
      <c r="H18952" t="s">
        <v>26352</v>
      </c>
      <c r="I18952" t="s">
        <v>1358</v>
      </c>
      <c r="J18952" t="s">
        <v>1358</v>
      </c>
      <c r="K18952" t="s">
        <v>1358</v>
      </c>
      <c r="L18952" t="s">
        <v>1358</v>
      </c>
    </row>
    <row r="18953" spans="8:12">
      <c r="H18953" t="s">
        <v>26353</v>
      </c>
      <c r="I18953" t="s">
        <v>1358</v>
      </c>
      <c r="J18953" t="s">
        <v>1358</v>
      </c>
      <c r="K18953" t="s">
        <v>1358</v>
      </c>
      <c r="L18953" t="s">
        <v>1358</v>
      </c>
    </row>
    <row r="18954" spans="8:12">
      <c r="H18954" t="s">
        <v>26354</v>
      </c>
      <c r="I18954" t="s">
        <v>1358</v>
      </c>
      <c r="J18954" t="s">
        <v>1358</v>
      </c>
      <c r="K18954" t="s">
        <v>1358</v>
      </c>
      <c r="L18954" t="s">
        <v>1358</v>
      </c>
    </row>
    <row r="18955" spans="8:12">
      <c r="H18955" t="s">
        <v>26355</v>
      </c>
      <c r="I18955" t="s">
        <v>1358</v>
      </c>
      <c r="J18955" t="s">
        <v>1358</v>
      </c>
      <c r="K18955" t="s">
        <v>1358</v>
      </c>
      <c r="L18955" t="s">
        <v>1358</v>
      </c>
    </row>
    <row r="18956" spans="8:12">
      <c r="H18956" t="s">
        <v>26356</v>
      </c>
      <c r="I18956" t="s">
        <v>1358</v>
      </c>
      <c r="J18956" t="s">
        <v>1358</v>
      </c>
      <c r="K18956" t="s">
        <v>1358</v>
      </c>
      <c r="L18956" t="s">
        <v>1358</v>
      </c>
    </row>
    <row r="18957" spans="8:12">
      <c r="H18957" t="s">
        <v>26357</v>
      </c>
      <c r="I18957" t="s">
        <v>1358</v>
      </c>
      <c r="J18957" t="s">
        <v>1358</v>
      </c>
      <c r="K18957" t="s">
        <v>1358</v>
      </c>
      <c r="L18957" t="s">
        <v>1358</v>
      </c>
    </row>
    <row r="18958" spans="8:12">
      <c r="H18958" t="s">
        <v>26358</v>
      </c>
      <c r="I18958" t="s">
        <v>1358</v>
      </c>
      <c r="J18958" t="s">
        <v>1358</v>
      </c>
      <c r="K18958" t="s">
        <v>1358</v>
      </c>
      <c r="L18958" t="s">
        <v>1358</v>
      </c>
    </row>
    <row r="18959" spans="8:12">
      <c r="H18959" t="s">
        <v>26359</v>
      </c>
      <c r="I18959" t="s">
        <v>1358</v>
      </c>
      <c r="J18959" t="s">
        <v>1358</v>
      </c>
      <c r="K18959" t="s">
        <v>1358</v>
      </c>
      <c r="L18959" t="s">
        <v>1358</v>
      </c>
    </row>
    <row r="18960" spans="8:12">
      <c r="H18960" t="s">
        <v>26360</v>
      </c>
      <c r="I18960" t="s">
        <v>1358</v>
      </c>
      <c r="J18960" t="s">
        <v>1358</v>
      </c>
      <c r="K18960" t="s">
        <v>1358</v>
      </c>
      <c r="L18960" t="s">
        <v>1358</v>
      </c>
    </row>
    <row r="18961" spans="8:12">
      <c r="H18961" t="s">
        <v>26361</v>
      </c>
      <c r="I18961" t="s">
        <v>1358</v>
      </c>
      <c r="J18961" t="s">
        <v>1358</v>
      </c>
      <c r="K18961" t="s">
        <v>1358</v>
      </c>
      <c r="L18961" t="s">
        <v>1358</v>
      </c>
    </row>
    <row r="18962" spans="8:12">
      <c r="H18962" t="s">
        <v>26362</v>
      </c>
      <c r="I18962" t="s">
        <v>1358</v>
      </c>
      <c r="J18962" t="s">
        <v>1358</v>
      </c>
      <c r="K18962" t="s">
        <v>1358</v>
      </c>
      <c r="L18962" t="s">
        <v>1358</v>
      </c>
    </row>
    <row r="18963" spans="8:12">
      <c r="H18963" t="s">
        <v>26363</v>
      </c>
      <c r="I18963" t="s">
        <v>1358</v>
      </c>
      <c r="J18963" t="s">
        <v>1358</v>
      </c>
      <c r="K18963" t="s">
        <v>1358</v>
      </c>
      <c r="L18963" t="s">
        <v>1358</v>
      </c>
    </row>
    <row r="18964" spans="8:12">
      <c r="H18964" t="s">
        <v>26364</v>
      </c>
      <c r="I18964" t="s">
        <v>1358</v>
      </c>
      <c r="J18964" t="s">
        <v>1358</v>
      </c>
      <c r="K18964" t="s">
        <v>1358</v>
      </c>
      <c r="L18964" t="s">
        <v>1358</v>
      </c>
    </row>
    <row r="18965" spans="8:12">
      <c r="H18965" t="s">
        <v>26365</v>
      </c>
      <c r="I18965" t="s">
        <v>1358</v>
      </c>
      <c r="J18965" t="s">
        <v>1358</v>
      </c>
      <c r="K18965" t="s">
        <v>1358</v>
      </c>
      <c r="L18965" t="s">
        <v>1358</v>
      </c>
    </row>
    <row r="18966" spans="8:12">
      <c r="H18966" t="s">
        <v>26366</v>
      </c>
      <c r="I18966" t="s">
        <v>1358</v>
      </c>
      <c r="J18966" t="s">
        <v>1358</v>
      </c>
      <c r="K18966" t="s">
        <v>1358</v>
      </c>
      <c r="L18966" t="s">
        <v>1358</v>
      </c>
    </row>
    <row r="18967" spans="8:12">
      <c r="H18967" t="s">
        <v>26367</v>
      </c>
      <c r="I18967" t="s">
        <v>1358</v>
      </c>
      <c r="J18967" t="s">
        <v>1358</v>
      </c>
      <c r="K18967" t="s">
        <v>1358</v>
      </c>
      <c r="L18967" t="s">
        <v>1358</v>
      </c>
    </row>
    <row r="18968" spans="8:12">
      <c r="H18968" t="s">
        <v>26368</v>
      </c>
      <c r="I18968" t="s">
        <v>1358</v>
      </c>
      <c r="J18968" t="s">
        <v>1358</v>
      </c>
      <c r="K18968" t="s">
        <v>1358</v>
      </c>
      <c r="L18968" t="s">
        <v>1358</v>
      </c>
    </row>
    <row r="18969" spans="8:12">
      <c r="H18969" t="s">
        <v>26369</v>
      </c>
      <c r="I18969" t="s">
        <v>1358</v>
      </c>
      <c r="J18969" t="s">
        <v>1358</v>
      </c>
      <c r="K18969" t="s">
        <v>1358</v>
      </c>
      <c r="L18969" t="s">
        <v>1358</v>
      </c>
    </row>
    <row r="18970" spans="8:12">
      <c r="H18970" t="s">
        <v>26370</v>
      </c>
      <c r="I18970" t="s">
        <v>1358</v>
      </c>
      <c r="J18970" t="s">
        <v>1358</v>
      </c>
      <c r="K18970" t="s">
        <v>1358</v>
      </c>
      <c r="L18970" t="s">
        <v>1358</v>
      </c>
    </row>
    <row r="18971" spans="8:12">
      <c r="H18971" t="s">
        <v>26371</v>
      </c>
      <c r="I18971" t="s">
        <v>1358</v>
      </c>
      <c r="J18971" t="s">
        <v>1358</v>
      </c>
      <c r="K18971" t="s">
        <v>1358</v>
      </c>
      <c r="L18971" t="s">
        <v>1358</v>
      </c>
    </row>
    <row r="18972" spans="8:12">
      <c r="H18972" t="s">
        <v>26372</v>
      </c>
      <c r="I18972" t="s">
        <v>1358</v>
      </c>
      <c r="J18972" t="s">
        <v>1358</v>
      </c>
      <c r="K18972" t="s">
        <v>1358</v>
      </c>
      <c r="L18972" t="s">
        <v>1358</v>
      </c>
    </row>
    <row r="18973" spans="8:12">
      <c r="H18973" t="s">
        <v>26373</v>
      </c>
      <c r="I18973" t="s">
        <v>1358</v>
      </c>
      <c r="J18973" t="s">
        <v>1358</v>
      </c>
      <c r="K18973" t="s">
        <v>1358</v>
      </c>
      <c r="L18973" t="s">
        <v>1358</v>
      </c>
    </row>
    <row r="18974" spans="8:12">
      <c r="H18974" t="s">
        <v>26374</v>
      </c>
      <c r="I18974" t="s">
        <v>1358</v>
      </c>
      <c r="J18974" t="s">
        <v>1358</v>
      </c>
      <c r="K18974" t="s">
        <v>1358</v>
      </c>
      <c r="L18974" t="s">
        <v>1358</v>
      </c>
    </row>
    <row r="18975" spans="8:12">
      <c r="H18975" t="s">
        <v>26375</v>
      </c>
      <c r="I18975" t="s">
        <v>1358</v>
      </c>
      <c r="J18975" t="s">
        <v>1358</v>
      </c>
      <c r="K18975" t="s">
        <v>1358</v>
      </c>
      <c r="L18975" t="s">
        <v>1358</v>
      </c>
    </row>
    <row r="18976" spans="8:12">
      <c r="H18976" t="s">
        <v>26376</v>
      </c>
      <c r="I18976" t="s">
        <v>1358</v>
      </c>
      <c r="J18976" t="s">
        <v>1358</v>
      </c>
      <c r="K18976" t="s">
        <v>1358</v>
      </c>
      <c r="L18976" t="s">
        <v>1358</v>
      </c>
    </row>
    <row r="18977" spans="8:12">
      <c r="H18977" t="s">
        <v>26377</v>
      </c>
      <c r="I18977" t="s">
        <v>1358</v>
      </c>
      <c r="J18977" t="s">
        <v>1358</v>
      </c>
      <c r="K18977" t="s">
        <v>1358</v>
      </c>
      <c r="L18977" t="s">
        <v>1358</v>
      </c>
    </row>
    <row r="18978" spans="8:12">
      <c r="H18978" t="s">
        <v>26378</v>
      </c>
      <c r="I18978" t="s">
        <v>1358</v>
      </c>
      <c r="J18978" t="s">
        <v>1358</v>
      </c>
      <c r="K18978" t="s">
        <v>1358</v>
      </c>
      <c r="L18978" t="s">
        <v>1358</v>
      </c>
    </row>
    <row r="18979" spans="8:12">
      <c r="H18979" t="s">
        <v>26379</v>
      </c>
      <c r="I18979" t="s">
        <v>1358</v>
      </c>
      <c r="J18979" t="s">
        <v>1358</v>
      </c>
      <c r="K18979" t="s">
        <v>1358</v>
      </c>
      <c r="L18979" t="s">
        <v>1358</v>
      </c>
    </row>
    <row r="18980" spans="8:12">
      <c r="H18980" t="s">
        <v>26380</v>
      </c>
      <c r="I18980" t="s">
        <v>1358</v>
      </c>
      <c r="J18980" t="s">
        <v>1358</v>
      </c>
      <c r="K18980" t="s">
        <v>1358</v>
      </c>
      <c r="L18980" t="s">
        <v>1358</v>
      </c>
    </row>
    <row r="18981" spans="8:12">
      <c r="H18981" t="s">
        <v>26381</v>
      </c>
      <c r="I18981" t="s">
        <v>1358</v>
      </c>
      <c r="J18981" t="s">
        <v>1358</v>
      </c>
      <c r="K18981" t="s">
        <v>1358</v>
      </c>
      <c r="L18981" t="s">
        <v>1358</v>
      </c>
    </row>
    <row r="18982" spans="8:12">
      <c r="H18982" t="s">
        <v>26382</v>
      </c>
      <c r="I18982" t="s">
        <v>1358</v>
      </c>
      <c r="J18982" t="s">
        <v>1358</v>
      </c>
      <c r="K18982" t="s">
        <v>1358</v>
      </c>
      <c r="L18982" t="s">
        <v>1358</v>
      </c>
    </row>
    <row r="18983" spans="8:12">
      <c r="H18983" t="s">
        <v>26383</v>
      </c>
      <c r="I18983" t="s">
        <v>1358</v>
      </c>
      <c r="J18983" t="s">
        <v>1358</v>
      </c>
      <c r="K18983" t="s">
        <v>1358</v>
      </c>
      <c r="L18983" t="s">
        <v>1358</v>
      </c>
    </row>
    <row r="18984" spans="8:12">
      <c r="H18984" t="s">
        <v>26384</v>
      </c>
      <c r="I18984" t="s">
        <v>1358</v>
      </c>
      <c r="J18984" t="s">
        <v>1358</v>
      </c>
      <c r="K18984" t="s">
        <v>1358</v>
      </c>
      <c r="L18984" t="s">
        <v>1358</v>
      </c>
    </row>
    <row r="18985" spans="8:12">
      <c r="H18985" t="s">
        <v>26385</v>
      </c>
      <c r="I18985" t="s">
        <v>1358</v>
      </c>
      <c r="J18985" t="s">
        <v>1358</v>
      </c>
      <c r="K18985" t="s">
        <v>1358</v>
      </c>
      <c r="L18985" t="s">
        <v>1358</v>
      </c>
    </row>
    <row r="18986" spans="8:12">
      <c r="H18986" t="s">
        <v>26386</v>
      </c>
      <c r="I18986" t="s">
        <v>1358</v>
      </c>
      <c r="J18986" t="s">
        <v>1358</v>
      </c>
      <c r="K18986" t="s">
        <v>1358</v>
      </c>
      <c r="L18986" t="s">
        <v>1358</v>
      </c>
    </row>
    <row r="18987" spans="8:12">
      <c r="H18987" t="s">
        <v>26387</v>
      </c>
      <c r="I18987" t="s">
        <v>1358</v>
      </c>
      <c r="J18987" t="s">
        <v>1358</v>
      </c>
      <c r="K18987" t="s">
        <v>1358</v>
      </c>
      <c r="L18987" t="s">
        <v>1358</v>
      </c>
    </row>
    <row r="18988" spans="8:12">
      <c r="H18988" t="s">
        <v>26388</v>
      </c>
      <c r="I18988" t="s">
        <v>1358</v>
      </c>
      <c r="J18988" t="s">
        <v>1358</v>
      </c>
      <c r="K18988" t="s">
        <v>1358</v>
      </c>
      <c r="L18988" t="s">
        <v>1358</v>
      </c>
    </row>
    <row r="18989" spans="8:12">
      <c r="H18989" t="s">
        <v>26389</v>
      </c>
      <c r="I18989" t="s">
        <v>1358</v>
      </c>
      <c r="J18989" t="s">
        <v>1358</v>
      </c>
      <c r="K18989" t="s">
        <v>1358</v>
      </c>
      <c r="L18989" t="s">
        <v>1358</v>
      </c>
    </row>
    <row r="18990" spans="8:12">
      <c r="H18990" t="s">
        <v>26390</v>
      </c>
      <c r="I18990" t="s">
        <v>1358</v>
      </c>
      <c r="J18990" t="s">
        <v>1358</v>
      </c>
      <c r="K18990" t="s">
        <v>1358</v>
      </c>
      <c r="L18990" t="s">
        <v>1358</v>
      </c>
    </row>
    <row r="18991" spans="8:12">
      <c r="H18991" t="s">
        <v>26391</v>
      </c>
      <c r="I18991" t="s">
        <v>1358</v>
      </c>
      <c r="J18991" t="s">
        <v>1358</v>
      </c>
      <c r="K18991" t="s">
        <v>1358</v>
      </c>
      <c r="L18991" t="s">
        <v>1358</v>
      </c>
    </row>
    <row r="18992" spans="8:12">
      <c r="H18992" t="s">
        <v>26392</v>
      </c>
      <c r="I18992" t="s">
        <v>1358</v>
      </c>
      <c r="J18992" t="s">
        <v>1358</v>
      </c>
      <c r="K18992" t="s">
        <v>1358</v>
      </c>
      <c r="L18992" t="s">
        <v>1358</v>
      </c>
    </row>
    <row r="18993" spans="8:12">
      <c r="H18993" t="s">
        <v>26393</v>
      </c>
      <c r="I18993" t="s">
        <v>1358</v>
      </c>
      <c r="J18993" t="s">
        <v>1358</v>
      </c>
      <c r="K18993" t="s">
        <v>1358</v>
      </c>
      <c r="L18993" t="s">
        <v>1358</v>
      </c>
    </row>
    <row r="18994" spans="8:12">
      <c r="H18994" t="s">
        <v>26394</v>
      </c>
      <c r="I18994" t="s">
        <v>1358</v>
      </c>
      <c r="J18994" t="s">
        <v>1358</v>
      </c>
      <c r="K18994" t="s">
        <v>1358</v>
      </c>
      <c r="L18994" t="s">
        <v>1358</v>
      </c>
    </row>
    <row r="18995" spans="8:12">
      <c r="H18995" t="s">
        <v>26395</v>
      </c>
      <c r="I18995" t="s">
        <v>1358</v>
      </c>
      <c r="J18995" t="s">
        <v>1358</v>
      </c>
      <c r="K18995" t="s">
        <v>1358</v>
      </c>
      <c r="L18995" t="s">
        <v>1358</v>
      </c>
    </row>
    <row r="18996" spans="8:12">
      <c r="H18996" t="s">
        <v>26396</v>
      </c>
      <c r="I18996" t="s">
        <v>1358</v>
      </c>
      <c r="J18996" t="s">
        <v>1358</v>
      </c>
      <c r="K18996" t="s">
        <v>1358</v>
      </c>
      <c r="L18996" t="s">
        <v>1358</v>
      </c>
    </row>
    <row r="18997" spans="8:12">
      <c r="H18997" t="s">
        <v>26397</v>
      </c>
      <c r="I18997" t="s">
        <v>1358</v>
      </c>
      <c r="J18997" t="s">
        <v>1358</v>
      </c>
      <c r="K18997" t="s">
        <v>1358</v>
      </c>
      <c r="L18997" t="s">
        <v>1358</v>
      </c>
    </row>
    <row r="18998" spans="8:12">
      <c r="H18998" t="s">
        <v>26398</v>
      </c>
      <c r="I18998" t="s">
        <v>1358</v>
      </c>
      <c r="J18998" t="s">
        <v>1358</v>
      </c>
      <c r="K18998" t="s">
        <v>1358</v>
      </c>
      <c r="L18998" t="s">
        <v>1358</v>
      </c>
    </row>
    <row r="18999" spans="8:12">
      <c r="H18999" t="s">
        <v>26399</v>
      </c>
      <c r="I18999" t="s">
        <v>1358</v>
      </c>
      <c r="J18999" t="s">
        <v>1358</v>
      </c>
      <c r="K18999" t="s">
        <v>1358</v>
      </c>
      <c r="L18999" t="s">
        <v>1358</v>
      </c>
    </row>
    <row r="19000" spans="8:12">
      <c r="H19000" t="s">
        <v>26400</v>
      </c>
      <c r="I19000" t="s">
        <v>1358</v>
      </c>
      <c r="J19000" t="s">
        <v>1358</v>
      </c>
      <c r="K19000" t="s">
        <v>1358</v>
      </c>
      <c r="L19000" t="s">
        <v>1358</v>
      </c>
    </row>
    <row r="19001" spans="8:12">
      <c r="H19001" t="s">
        <v>26401</v>
      </c>
      <c r="I19001" t="s">
        <v>1358</v>
      </c>
      <c r="J19001" t="s">
        <v>1358</v>
      </c>
      <c r="K19001" t="s">
        <v>1358</v>
      </c>
      <c r="L19001" t="s">
        <v>1358</v>
      </c>
    </row>
    <row r="19002" spans="8:12">
      <c r="H19002" t="s">
        <v>26402</v>
      </c>
      <c r="I19002" t="s">
        <v>1358</v>
      </c>
      <c r="J19002" t="s">
        <v>1358</v>
      </c>
      <c r="K19002" t="s">
        <v>1358</v>
      </c>
      <c r="L19002" t="s">
        <v>1358</v>
      </c>
    </row>
    <row r="19003" spans="8:12">
      <c r="H19003" t="s">
        <v>26403</v>
      </c>
      <c r="I19003" t="s">
        <v>1358</v>
      </c>
      <c r="J19003" t="s">
        <v>1358</v>
      </c>
      <c r="K19003" t="s">
        <v>1358</v>
      </c>
      <c r="L19003" t="s">
        <v>1358</v>
      </c>
    </row>
    <row r="19004" spans="8:12">
      <c r="H19004" t="s">
        <v>26404</v>
      </c>
      <c r="I19004" t="s">
        <v>1358</v>
      </c>
      <c r="J19004" t="s">
        <v>1358</v>
      </c>
      <c r="K19004" t="s">
        <v>1358</v>
      </c>
      <c r="L19004" t="s">
        <v>1358</v>
      </c>
    </row>
    <row r="19005" spans="8:12">
      <c r="H19005" t="s">
        <v>26405</v>
      </c>
      <c r="I19005" t="s">
        <v>1358</v>
      </c>
      <c r="J19005" t="s">
        <v>1358</v>
      </c>
      <c r="K19005" t="s">
        <v>1358</v>
      </c>
      <c r="L19005" t="s">
        <v>1358</v>
      </c>
    </row>
    <row r="19006" spans="8:12">
      <c r="H19006" t="s">
        <v>26406</v>
      </c>
      <c r="I19006" t="s">
        <v>1358</v>
      </c>
      <c r="J19006" t="s">
        <v>1358</v>
      </c>
      <c r="K19006" t="s">
        <v>1358</v>
      </c>
      <c r="L19006" t="s">
        <v>1358</v>
      </c>
    </row>
    <row r="19007" spans="8:12">
      <c r="H19007" t="s">
        <v>26407</v>
      </c>
      <c r="I19007" t="s">
        <v>1358</v>
      </c>
      <c r="J19007" t="s">
        <v>1358</v>
      </c>
      <c r="K19007" t="s">
        <v>1358</v>
      </c>
      <c r="L19007" t="s">
        <v>1358</v>
      </c>
    </row>
    <row r="19008" spans="8:12">
      <c r="H19008" t="s">
        <v>26408</v>
      </c>
      <c r="I19008" t="s">
        <v>1358</v>
      </c>
      <c r="J19008" t="s">
        <v>1358</v>
      </c>
      <c r="K19008" t="s">
        <v>1358</v>
      </c>
      <c r="L19008" t="s">
        <v>1358</v>
      </c>
    </row>
    <row r="19009" spans="8:12">
      <c r="H19009" t="s">
        <v>26409</v>
      </c>
      <c r="I19009" t="s">
        <v>1358</v>
      </c>
      <c r="J19009" t="s">
        <v>1358</v>
      </c>
      <c r="K19009" t="s">
        <v>1358</v>
      </c>
      <c r="L19009" t="s">
        <v>1358</v>
      </c>
    </row>
    <row r="19010" spans="8:12">
      <c r="H19010" t="s">
        <v>26410</v>
      </c>
      <c r="I19010" t="s">
        <v>1358</v>
      </c>
      <c r="J19010" t="s">
        <v>1358</v>
      </c>
      <c r="K19010" t="s">
        <v>1358</v>
      </c>
      <c r="L19010" t="s">
        <v>1358</v>
      </c>
    </row>
    <row r="19011" spans="8:12">
      <c r="H19011" t="s">
        <v>26411</v>
      </c>
      <c r="I19011" t="s">
        <v>1358</v>
      </c>
      <c r="J19011" t="s">
        <v>1358</v>
      </c>
      <c r="K19011" t="s">
        <v>1358</v>
      </c>
      <c r="L19011" t="s">
        <v>1358</v>
      </c>
    </row>
    <row r="19012" spans="8:12">
      <c r="H19012" t="s">
        <v>26412</v>
      </c>
      <c r="I19012" t="s">
        <v>1358</v>
      </c>
      <c r="J19012" t="s">
        <v>1358</v>
      </c>
      <c r="K19012" t="s">
        <v>1358</v>
      </c>
      <c r="L19012" t="s">
        <v>1358</v>
      </c>
    </row>
    <row r="19013" spans="8:12">
      <c r="H19013" t="s">
        <v>26413</v>
      </c>
      <c r="I19013" t="s">
        <v>1358</v>
      </c>
      <c r="J19013" t="s">
        <v>1358</v>
      </c>
      <c r="K19013" t="s">
        <v>1358</v>
      </c>
      <c r="L19013" t="s">
        <v>1358</v>
      </c>
    </row>
    <row r="19014" spans="8:12">
      <c r="H19014" t="s">
        <v>26414</v>
      </c>
      <c r="I19014" t="s">
        <v>1358</v>
      </c>
      <c r="J19014" t="s">
        <v>1358</v>
      </c>
      <c r="K19014" t="s">
        <v>1358</v>
      </c>
      <c r="L19014" t="s">
        <v>1358</v>
      </c>
    </row>
    <row r="19015" spans="8:12">
      <c r="H19015" t="s">
        <v>26415</v>
      </c>
      <c r="I19015" t="s">
        <v>1358</v>
      </c>
      <c r="J19015" t="s">
        <v>1358</v>
      </c>
      <c r="K19015" t="s">
        <v>1358</v>
      </c>
      <c r="L19015" t="s">
        <v>1358</v>
      </c>
    </row>
    <row r="19016" spans="8:12">
      <c r="H19016" t="s">
        <v>26416</v>
      </c>
      <c r="I19016" t="s">
        <v>1358</v>
      </c>
      <c r="J19016" t="s">
        <v>1358</v>
      </c>
      <c r="K19016" t="s">
        <v>1358</v>
      </c>
      <c r="L19016" t="s">
        <v>1358</v>
      </c>
    </row>
    <row r="19017" spans="8:12">
      <c r="H19017" t="s">
        <v>26417</v>
      </c>
      <c r="I19017" t="s">
        <v>1358</v>
      </c>
      <c r="J19017" t="s">
        <v>1358</v>
      </c>
      <c r="K19017" t="s">
        <v>1358</v>
      </c>
      <c r="L19017" t="s">
        <v>1358</v>
      </c>
    </row>
    <row r="19018" spans="8:12">
      <c r="H19018" t="s">
        <v>26418</v>
      </c>
      <c r="I19018" t="s">
        <v>1358</v>
      </c>
      <c r="J19018" t="s">
        <v>1358</v>
      </c>
      <c r="K19018" t="s">
        <v>1358</v>
      </c>
      <c r="L19018" t="s">
        <v>1358</v>
      </c>
    </row>
    <row r="19019" spans="8:12">
      <c r="H19019" t="s">
        <v>26419</v>
      </c>
      <c r="I19019" t="s">
        <v>1358</v>
      </c>
      <c r="J19019" t="s">
        <v>1358</v>
      </c>
      <c r="K19019" t="s">
        <v>1358</v>
      </c>
      <c r="L19019" t="s">
        <v>1358</v>
      </c>
    </row>
    <row r="19020" spans="8:12">
      <c r="H19020" t="s">
        <v>26420</v>
      </c>
      <c r="I19020" t="s">
        <v>1358</v>
      </c>
      <c r="J19020" t="s">
        <v>1358</v>
      </c>
      <c r="K19020" t="s">
        <v>1358</v>
      </c>
      <c r="L19020" t="s">
        <v>1358</v>
      </c>
    </row>
    <row r="19021" spans="8:12">
      <c r="H19021" t="s">
        <v>26421</v>
      </c>
      <c r="I19021" t="s">
        <v>1358</v>
      </c>
      <c r="J19021" t="s">
        <v>1358</v>
      </c>
      <c r="K19021" t="s">
        <v>1358</v>
      </c>
      <c r="L19021" t="s">
        <v>1358</v>
      </c>
    </row>
    <row r="19022" spans="8:12">
      <c r="H19022" t="s">
        <v>26422</v>
      </c>
      <c r="I19022" t="s">
        <v>1358</v>
      </c>
      <c r="J19022" t="s">
        <v>1358</v>
      </c>
      <c r="K19022" t="s">
        <v>1358</v>
      </c>
      <c r="L19022" t="s">
        <v>1358</v>
      </c>
    </row>
    <row r="19023" spans="8:12">
      <c r="H19023" t="s">
        <v>26423</v>
      </c>
      <c r="I19023" t="s">
        <v>1358</v>
      </c>
      <c r="J19023" t="s">
        <v>1358</v>
      </c>
      <c r="K19023" t="s">
        <v>1358</v>
      </c>
      <c r="L19023" t="s">
        <v>1358</v>
      </c>
    </row>
    <row r="19024" spans="8:12">
      <c r="H19024" t="s">
        <v>26424</v>
      </c>
      <c r="I19024" t="s">
        <v>1358</v>
      </c>
      <c r="J19024" t="s">
        <v>1358</v>
      </c>
      <c r="K19024" t="s">
        <v>1358</v>
      </c>
      <c r="L19024" t="s">
        <v>1358</v>
      </c>
    </row>
    <row r="19025" spans="8:12">
      <c r="H19025" t="s">
        <v>26425</v>
      </c>
      <c r="I19025" t="s">
        <v>1358</v>
      </c>
      <c r="J19025" t="s">
        <v>1358</v>
      </c>
      <c r="K19025" t="s">
        <v>1358</v>
      </c>
      <c r="L19025" t="s">
        <v>1358</v>
      </c>
    </row>
    <row r="19026" spans="8:12">
      <c r="H19026" t="s">
        <v>26426</v>
      </c>
      <c r="I19026" t="s">
        <v>1358</v>
      </c>
      <c r="J19026" t="s">
        <v>1358</v>
      </c>
      <c r="K19026" t="s">
        <v>1358</v>
      </c>
      <c r="L19026" t="s">
        <v>1358</v>
      </c>
    </row>
    <row r="19027" spans="8:12">
      <c r="H19027" t="s">
        <v>26427</v>
      </c>
      <c r="I19027" t="s">
        <v>1358</v>
      </c>
      <c r="J19027" t="s">
        <v>1358</v>
      </c>
      <c r="K19027" t="s">
        <v>1358</v>
      </c>
      <c r="L19027" t="s">
        <v>1358</v>
      </c>
    </row>
    <row r="19028" spans="8:12">
      <c r="H19028" t="s">
        <v>26428</v>
      </c>
      <c r="I19028" t="s">
        <v>1358</v>
      </c>
      <c r="J19028" t="s">
        <v>1358</v>
      </c>
      <c r="K19028" t="s">
        <v>1358</v>
      </c>
      <c r="L19028" t="s">
        <v>1358</v>
      </c>
    </row>
    <row r="19029" spans="8:12">
      <c r="H19029" t="s">
        <v>26429</v>
      </c>
      <c r="I19029" t="s">
        <v>1358</v>
      </c>
      <c r="J19029" t="s">
        <v>1358</v>
      </c>
      <c r="K19029" t="s">
        <v>1358</v>
      </c>
      <c r="L19029" t="s">
        <v>1358</v>
      </c>
    </row>
    <row r="19030" spans="8:12">
      <c r="H19030" t="s">
        <v>26430</v>
      </c>
      <c r="I19030" t="s">
        <v>1358</v>
      </c>
      <c r="J19030" t="s">
        <v>1358</v>
      </c>
      <c r="K19030" t="s">
        <v>1358</v>
      </c>
      <c r="L19030" t="s">
        <v>1358</v>
      </c>
    </row>
    <row r="19031" spans="8:12">
      <c r="H19031" t="s">
        <v>26431</v>
      </c>
      <c r="I19031" t="s">
        <v>1358</v>
      </c>
      <c r="J19031" t="s">
        <v>1358</v>
      </c>
      <c r="K19031" t="s">
        <v>1358</v>
      </c>
      <c r="L19031" t="s">
        <v>1358</v>
      </c>
    </row>
    <row r="19032" spans="8:12">
      <c r="H19032" t="s">
        <v>26432</v>
      </c>
      <c r="I19032" t="s">
        <v>1358</v>
      </c>
      <c r="J19032" t="s">
        <v>1358</v>
      </c>
      <c r="K19032" t="s">
        <v>1358</v>
      </c>
      <c r="L19032" t="s">
        <v>1358</v>
      </c>
    </row>
    <row r="19033" spans="8:12">
      <c r="H19033" t="s">
        <v>26433</v>
      </c>
      <c r="I19033" t="s">
        <v>1358</v>
      </c>
      <c r="J19033" t="s">
        <v>1358</v>
      </c>
      <c r="K19033" t="s">
        <v>1358</v>
      </c>
      <c r="L19033" t="s">
        <v>1358</v>
      </c>
    </row>
    <row r="19034" spans="8:12">
      <c r="H19034" t="s">
        <v>26434</v>
      </c>
      <c r="I19034" t="s">
        <v>1358</v>
      </c>
      <c r="J19034" t="s">
        <v>1358</v>
      </c>
      <c r="K19034" t="s">
        <v>1358</v>
      </c>
      <c r="L19034" t="s">
        <v>1358</v>
      </c>
    </row>
    <row r="19035" spans="8:12">
      <c r="H19035" t="s">
        <v>26435</v>
      </c>
      <c r="I19035" t="s">
        <v>1358</v>
      </c>
      <c r="J19035" t="s">
        <v>1358</v>
      </c>
      <c r="K19035" t="s">
        <v>1358</v>
      </c>
      <c r="L19035" t="s">
        <v>1358</v>
      </c>
    </row>
    <row r="19036" spans="8:12">
      <c r="H19036" t="s">
        <v>26436</v>
      </c>
      <c r="I19036" t="s">
        <v>1358</v>
      </c>
      <c r="J19036" t="s">
        <v>1358</v>
      </c>
      <c r="K19036" t="s">
        <v>1358</v>
      </c>
      <c r="L19036" t="s">
        <v>1358</v>
      </c>
    </row>
    <row r="19037" spans="8:12">
      <c r="H19037" t="s">
        <v>26437</v>
      </c>
      <c r="I19037" t="s">
        <v>1358</v>
      </c>
      <c r="J19037" t="s">
        <v>1358</v>
      </c>
      <c r="K19037" t="s">
        <v>1358</v>
      </c>
      <c r="L19037" t="s">
        <v>1358</v>
      </c>
    </row>
    <row r="19038" spans="8:12">
      <c r="H19038" t="s">
        <v>26438</v>
      </c>
      <c r="I19038" t="s">
        <v>1358</v>
      </c>
      <c r="J19038" t="s">
        <v>1358</v>
      </c>
      <c r="K19038" t="s">
        <v>1358</v>
      </c>
      <c r="L19038" t="s">
        <v>1358</v>
      </c>
    </row>
    <row r="19039" spans="8:12">
      <c r="H19039" t="s">
        <v>26439</v>
      </c>
      <c r="I19039" t="s">
        <v>1358</v>
      </c>
      <c r="J19039" t="s">
        <v>1358</v>
      </c>
      <c r="K19039" t="s">
        <v>1358</v>
      </c>
      <c r="L19039" t="s">
        <v>1358</v>
      </c>
    </row>
    <row r="19040" spans="8:12">
      <c r="H19040" t="s">
        <v>26440</v>
      </c>
      <c r="I19040" t="s">
        <v>1358</v>
      </c>
      <c r="J19040" t="s">
        <v>1358</v>
      </c>
      <c r="K19040" t="s">
        <v>1358</v>
      </c>
      <c r="L19040" t="s">
        <v>1358</v>
      </c>
    </row>
    <row r="19041" spans="8:12">
      <c r="H19041" t="s">
        <v>26441</v>
      </c>
      <c r="I19041" t="s">
        <v>1358</v>
      </c>
      <c r="J19041" t="s">
        <v>1358</v>
      </c>
      <c r="K19041" t="s">
        <v>1358</v>
      </c>
      <c r="L19041" t="s">
        <v>1358</v>
      </c>
    </row>
    <row r="19042" spans="8:12">
      <c r="H19042" t="s">
        <v>26442</v>
      </c>
      <c r="I19042" t="s">
        <v>1358</v>
      </c>
      <c r="J19042" t="s">
        <v>1358</v>
      </c>
      <c r="K19042" t="s">
        <v>1358</v>
      </c>
      <c r="L19042" t="s">
        <v>1358</v>
      </c>
    </row>
    <row r="19043" spans="8:12">
      <c r="H19043" t="s">
        <v>26443</v>
      </c>
      <c r="I19043" t="s">
        <v>1358</v>
      </c>
      <c r="J19043" t="s">
        <v>1358</v>
      </c>
      <c r="K19043" t="s">
        <v>1358</v>
      </c>
      <c r="L19043" t="s">
        <v>1358</v>
      </c>
    </row>
    <row r="19044" spans="8:12">
      <c r="H19044" t="s">
        <v>26444</v>
      </c>
      <c r="I19044" t="s">
        <v>1358</v>
      </c>
      <c r="J19044" t="s">
        <v>1358</v>
      </c>
      <c r="K19044" t="s">
        <v>1358</v>
      </c>
      <c r="L19044" t="s">
        <v>1358</v>
      </c>
    </row>
    <row r="19045" spans="8:12">
      <c r="H19045" t="s">
        <v>26445</v>
      </c>
      <c r="I19045" t="s">
        <v>1358</v>
      </c>
      <c r="J19045" t="s">
        <v>1358</v>
      </c>
      <c r="K19045" t="s">
        <v>1358</v>
      </c>
      <c r="L19045" t="s">
        <v>1358</v>
      </c>
    </row>
    <row r="19046" spans="8:12">
      <c r="H19046" t="s">
        <v>26446</v>
      </c>
      <c r="I19046" t="s">
        <v>1358</v>
      </c>
      <c r="J19046" t="s">
        <v>1358</v>
      </c>
      <c r="K19046" t="s">
        <v>1358</v>
      </c>
      <c r="L19046" t="s">
        <v>1358</v>
      </c>
    </row>
    <row r="19047" spans="8:12">
      <c r="H19047" t="s">
        <v>26447</v>
      </c>
      <c r="I19047" t="s">
        <v>1358</v>
      </c>
      <c r="J19047" t="s">
        <v>1358</v>
      </c>
      <c r="K19047" t="s">
        <v>1358</v>
      </c>
      <c r="L19047" t="s">
        <v>1358</v>
      </c>
    </row>
    <row r="19048" spans="8:12">
      <c r="H19048" t="s">
        <v>26448</v>
      </c>
      <c r="I19048" t="s">
        <v>1358</v>
      </c>
      <c r="J19048" t="s">
        <v>1358</v>
      </c>
      <c r="K19048" t="s">
        <v>1358</v>
      </c>
      <c r="L19048" t="s">
        <v>1358</v>
      </c>
    </row>
    <row r="19049" spans="8:12">
      <c r="H19049" t="s">
        <v>26449</v>
      </c>
      <c r="I19049" t="s">
        <v>1358</v>
      </c>
      <c r="J19049" t="s">
        <v>1358</v>
      </c>
      <c r="K19049" t="s">
        <v>1358</v>
      </c>
      <c r="L19049" t="s">
        <v>1358</v>
      </c>
    </row>
    <row r="19050" spans="8:12">
      <c r="H19050" t="s">
        <v>26450</v>
      </c>
      <c r="I19050" t="s">
        <v>1358</v>
      </c>
      <c r="J19050" t="s">
        <v>1358</v>
      </c>
      <c r="K19050" t="s">
        <v>1358</v>
      </c>
      <c r="L19050" t="s">
        <v>1358</v>
      </c>
    </row>
    <row r="19051" spans="8:12">
      <c r="H19051" t="s">
        <v>26451</v>
      </c>
      <c r="I19051" t="s">
        <v>1358</v>
      </c>
      <c r="J19051" t="s">
        <v>1358</v>
      </c>
      <c r="K19051" t="s">
        <v>1358</v>
      </c>
      <c r="L19051" t="s">
        <v>1358</v>
      </c>
    </row>
    <row r="19052" spans="8:12">
      <c r="H19052" t="s">
        <v>26452</v>
      </c>
      <c r="I19052" t="s">
        <v>1358</v>
      </c>
      <c r="J19052" t="s">
        <v>1358</v>
      </c>
      <c r="K19052" t="s">
        <v>1358</v>
      </c>
      <c r="L19052" t="s">
        <v>1358</v>
      </c>
    </row>
    <row r="19053" spans="8:12">
      <c r="H19053" t="s">
        <v>26453</v>
      </c>
      <c r="I19053" t="s">
        <v>1358</v>
      </c>
      <c r="J19053" t="s">
        <v>1358</v>
      </c>
      <c r="K19053" t="s">
        <v>1358</v>
      </c>
      <c r="L19053" t="s">
        <v>1358</v>
      </c>
    </row>
    <row r="19054" spans="8:12">
      <c r="H19054" t="s">
        <v>26454</v>
      </c>
      <c r="I19054" t="s">
        <v>1358</v>
      </c>
      <c r="J19054" t="s">
        <v>1358</v>
      </c>
      <c r="K19054" t="s">
        <v>1358</v>
      </c>
      <c r="L19054" t="s">
        <v>1358</v>
      </c>
    </row>
    <row r="19055" spans="8:12">
      <c r="H19055" t="s">
        <v>26455</v>
      </c>
      <c r="I19055" t="s">
        <v>1358</v>
      </c>
      <c r="J19055" t="s">
        <v>1358</v>
      </c>
      <c r="K19055" t="s">
        <v>1358</v>
      </c>
      <c r="L19055" t="s">
        <v>1358</v>
      </c>
    </row>
    <row r="19056" spans="8:12">
      <c r="H19056" t="s">
        <v>26456</v>
      </c>
      <c r="I19056" t="s">
        <v>1358</v>
      </c>
      <c r="J19056" t="s">
        <v>1358</v>
      </c>
      <c r="K19056" t="s">
        <v>1358</v>
      </c>
      <c r="L19056" t="s">
        <v>1358</v>
      </c>
    </row>
    <row r="19057" spans="8:12">
      <c r="H19057" t="s">
        <v>26457</v>
      </c>
      <c r="I19057" t="s">
        <v>1358</v>
      </c>
      <c r="J19057" t="s">
        <v>1358</v>
      </c>
      <c r="K19057" t="s">
        <v>1358</v>
      </c>
      <c r="L19057" t="s">
        <v>1358</v>
      </c>
    </row>
    <row r="19058" spans="8:12">
      <c r="H19058" t="s">
        <v>26458</v>
      </c>
      <c r="I19058" t="s">
        <v>1358</v>
      </c>
      <c r="J19058" t="s">
        <v>1358</v>
      </c>
      <c r="K19058" t="s">
        <v>1358</v>
      </c>
      <c r="L19058" t="s">
        <v>1358</v>
      </c>
    </row>
    <row r="19059" spans="8:12">
      <c r="H19059" t="s">
        <v>26459</v>
      </c>
      <c r="I19059" t="s">
        <v>1358</v>
      </c>
      <c r="J19059" t="s">
        <v>1358</v>
      </c>
      <c r="K19059" t="s">
        <v>1358</v>
      </c>
      <c r="L19059" t="s">
        <v>1358</v>
      </c>
    </row>
    <row r="19060" spans="8:12">
      <c r="H19060" t="s">
        <v>26460</v>
      </c>
      <c r="I19060" t="s">
        <v>1358</v>
      </c>
      <c r="J19060" t="s">
        <v>1358</v>
      </c>
      <c r="K19060" t="s">
        <v>1358</v>
      </c>
      <c r="L19060" t="s">
        <v>1358</v>
      </c>
    </row>
    <row r="19061" spans="8:12">
      <c r="H19061" t="s">
        <v>26461</v>
      </c>
      <c r="I19061" t="s">
        <v>1358</v>
      </c>
      <c r="J19061" t="s">
        <v>1358</v>
      </c>
      <c r="K19061" t="s">
        <v>1358</v>
      </c>
      <c r="L19061" t="s">
        <v>1358</v>
      </c>
    </row>
    <row r="19062" spans="8:12">
      <c r="H19062" t="s">
        <v>26462</v>
      </c>
      <c r="I19062" t="s">
        <v>1358</v>
      </c>
      <c r="J19062" t="s">
        <v>1358</v>
      </c>
      <c r="K19062" t="s">
        <v>1358</v>
      </c>
      <c r="L19062" t="s">
        <v>1358</v>
      </c>
    </row>
    <row r="19063" spans="8:12">
      <c r="H19063" t="s">
        <v>26463</v>
      </c>
      <c r="I19063" t="s">
        <v>1358</v>
      </c>
      <c r="J19063" t="s">
        <v>1358</v>
      </c>
      <c r="K19063" t="s">
        <v>1358</v>
      </c>
      <c r="L19063" t="s">
        <v>1358</v>
      </c>
    </row>
    <row r="19064" spans="8:12">
      <c r="H19064" t="s">
        <v>26464</v>
      </c>
      <c r="I19064" t="s">
        <v>1358</v>
      </c>
      <c r="J19064" t="s">
        <v>1358</v>
      </c>
      <c r="K19064" t="s">
        <v>1358</v>
      </c>
      <c r="L19064" t="s">
        <v>1358</v>
      </c>
    </row>
    <row r="19065" spans="8:12">
      <c r="H19065" t="s">
        <v>26465</v>
      </c>
      <c r="I19065" t="s">
        <v>1358</v>
      </c>
      <c r="J19065" t="s">
        <v>1358</v>
      </c>
      <c r="K19065" t="s">
        <v>1358</v>
      </c>
      <c r="L19065" t="s">
        <v>1358</v>
      </c>
    </row>
    <row r="19066" spans="8:12">
      <c r="H19066" t="s">
        <v>26466</v>
      </c>
      <c r="I19066" t="s">
        <v>1358</v>
      </c>
      <c r="J19066" t="s">
        <v>1358</v>
      </c>
      <c r="K19066" t="s">
        <v>1358</v>
      </c>
      <c r="L19066" t="s">
        <v>1358</v>
      </c>
    </row>
    <row r="19067" spans="8:12">
      <c r="H19067" t="s">
        <v>26467</v>
      </c>
      <c r="I19067" t="s">
        <v>1358</v>
      </c>
      <c r="J19067" t="s">
        <v>1358</v>
      </c>
      <c r="K19067" t="s">
        <v>1358</v>
      </c>
      <c r="L19067" t="s">
        <v>1358</v>
      </c>
    </row>
    <row r="19068" spans="8:12">
      <c r="H19068" t="s">
        <v>26468</v>
      </c>
      <c r="I19068" t="s">
        <v>1358</v>
      </c>
      <c r="J19068" t="s">
        <v>1358</v>
      </c>
      <c r="K19068" t="s">
        <v>1358</v>
      </c>
      <c r="L19068" t="s">
        <v>1358</v>
      </c>
    </row>
    <row r="19069" spans="8:12">
      <c r="H19069" t="s">
        <v>26469</v>
      </c>
      <c r="I19069" t="s">
        <v>1358</v>
      </c>
      <c r="J19069" t="s">
        <v>1358</v>
      </c>
      <c r="K19069" t="s">
        <v>1358</v>
      </c>
      <c r="L19069" t="s">
        <v>1358</v>
      </c>
    </row>
    <row r="19070" spans="8:12">
      <c r="H19070" t="s">
        <v>26470</v>
      </c>
      <c r="I19070" t="s">
        <v>1358</v>
      </c>
      <c r="J19070" t="s">
        <v>1358</v>
      </c>
      <c r="K19070" t="s">
        <v>1358</v>
      </c>
      <c r="L19070" t="s">
        <v>1358</v>
      </c>
    </row>
    <row r="19071" spans="8:12">
      <c r="H19071" t="s">
        <v>26471</v>
      </c>
      <c r="I19071" t="s">
        <v>1358</v>
      </c>
      <c r="J19071" t="s">
        <v>1358</v>
      </c>
      <c r="K19071" t="s">
        <v>1358</v>
      </c>
      <c r="L19071" t="s">
        <v>1358</v>
      </c>
    </row>
    <row r="19072" spans="8:12">
      <c r="H19072" t="s">
        <v>26472</v>
      </c>
      <c r="I19072" t="s">
        <v>1358</v>
      </c>
      <c r="J19072" t="s">
        <v>1358</v>
      </c>
      <c r="K19072" t="s">
        <v>1358</v>
      </c>
      <c r="L19072" t="s">
        <v>1358</v>
      </c>
    </row>
    <row r="19073" spans="8:12">
      <c r="H19073" t="s">
        <v>26473</v>
      </c>
      <c r="I19073" t="s">
        <v>1358</v>
      </c>
      <c r="J19073" t="s">
        <v>1358</v>
      </c>
      <c r="K19073" t="s">
        <v>1358</v>
      </c>
      <c r="L19073" t="s">
        <v>1358</v>
      </c>
    </row>
    <row r="19074" spans="8:12">
      <c r="H19074" t="s">
        <v>26474</v>
      </c>
      <c r="I19074" t="s">
        <v>1358</v>
      </c>
      <c r="J19074" t="s">
        <v>1358</v>
      </c>
      <c r="K19074" t="s">
        <v>1358</v>
      </c>
      <c r="L19074" t="s">
        <v>1358</v>
      </c>
    </row>
    <row r="19075" spans="8:12">
      <c r="H19075" t="s">
        <v>26475</v>
      </c>
      <c r="I19075" t="s">
        <v>1358</v>
      </c>
      <c r="J19075" t="s">
        <v>1358</v>
      </c>
      <c r="K19075" t="s">
        <v>1358</v>
      </c>
      <c r="L19075" t="s">
        <v>1358</v>
      </c>
    </row>
    <row r="19076" spans="8:12">
      <c r="H19076" t="s">
        <v>26476</v>
      </c>
      <c r="I19076" t="s">
        <v>1358</v>
      </c>
      <c r="J19076" t="s">
        <v>1358</v>
      </c>
      <c r="K19076" t="s">
        <v>1358</v>
      </c>
      <c r="L19076" t="s">
        <v>1358</v>
      </c>
    </row>
    <row r="19077" spans="8:12">
      <c r="H19077" t="s">
        <v>26477</v>
      </c>
      <c r="I19077" t="s">
        <v>1358</v>
      </c>
      <c r="J19077" t="s">
        <v>1358</v>
      </c>
      <c r="K19077" t="s">
        <v>1358</v>
      </c>
      <c r="L19077" t="s">
        <v>1358</v>
      </c>
    </row>
    <row r="19078" spans="8:12">
      <c r="H19078" t="s">
        <v>26478</v>
      </c>
      <c r="I19078" t="s">
        <v>1358</v>
      </c>
      <c r="J19078" t="s">
        <v>1358</v>
      </c>
      <c r="K19078" t="s">
        <v>1358</v>
      </c>
      <c r="L19078" t="s">
        <v>1358</v>
      </c>
    </row>
    <row r="19079" spans="8:12">
      <c r="H19079" t="s">
        <v>26479</v>
      </c>
      <c r="I19079" t="s">
        <v>1358</v>
      </c>
      <c r="J19079" t="s">
        <v>1358</v>
      </c>
      <c r="K19079" t="s">
        <v>1358</v>
      </c>
      <c r="L19079" t="s">
        <v>1358</v>
      </c>
    </row>
    <row r="19080" spans="8:12">
      <c r="H19080" t="s">
        <v>26480</v>
      </c>
      <c r="I19080" t="s">
        <v>1358</v>
      </c>
      <c r="J19080" t="s">
        <v>1358</v>
      </c>
      <c r="K19080" t="s">
        <v>1358</v>
      </c>
      <c r="L19080" t="s">
        <v>1358</v>
      </c>
    </row>
    <row r="19081" spans="8:12">
      <c r="H19081" t="s">
        <v>26481</v>
      </c>
      <c r="I19081" t="s">
        <v>1358</v>
      </c>
      <c r="J19081" t="s">
        <v>1358</v>
      </c>
      <c r="K19081" t="s">
        <v>1358</v>
      </c>
      <c r="L19081" t="s">
        <v>1358</v>
      </c>
    </row>
    <row r="19082" spans="8:12">
      <c r="H19082" t="s">
        <v>26482</v>
      </c>
      <c r="I19082" t="s">
        <v>1358</v>
      </c>
      <c r="J19082" t="s">
        <v>1358</v>
      </c>
      <c r="K19082" t="s">
        <v>1358</v>
      </c>
      <c r="L19082" t="s">
        <v>1358</v>
      </c>
    </row>
    <row r="19083" spans="8:12">
      <c r="H19083" t="s">
        <v>26483</v>
      </c>
      <c r="I19083" t="s">
        <v>1358</v>
      </c>
      <c r="J19083" t="s">
        <v>1358</v>
      </c>
      <c r="K19083" t="s">
        <v>1358</v>
      </c>
      <c r="L19083" t="s">
        <v>1358</v>
      </c>
    </row>
    <row r="19084" spans="8:12">
      <c r="H19084" t="s">
        <v>26484</v>
      </c>
      <c r="I19084" t="s">
        <v>1358</v>
      </c>
      <c r="J19084" t="s">
        <v>1358</v>
      </c>
      <c r="K19084" t="s">
        <v>1358</v>
      </c>
      <c r="L19084" t="s">
        <v>1358</v>
      </c>
    </row>
    <row r="19085" spans="8:12">
      <c r="H19085" t="s">
        <v>26485</v>
      </c>
      <c r="I19085" t="s">
        <v>1358</v>
      </c>
      <c r="J19085" t="s">
        <v>1358</v>
      </c>
      <c r="K19085" t="s">
        <v>1358</v>
      </c>
      <c r="L19085" t="s">
        <v>1358</v>
      </c>
    </row>
    <row r="19086" spans="8:12">
      <c r="H19086" t="s">
        <v>26486</v>
      </c>
      <c r="I19086" t="s">
        <v>1358</v>
      </c>
      <c r="J19086" t="s">
        <v>1358</v>
      </c>
      <c r="K19086" t="s">
        <v>1358</v>
      </c>
      <c r="L19086" t="s">
        <v>1358</v>
      </c>
    </row>
    <row r="19087" spans="8:12">
      <c r="H19087" t="s">
        <v>26487</v>
      </c>
      <c r="I19087" t="s">
        <v>1358</v>
      </c>
      <c r="J19087" t="s">
        <v>1358</v>
      </c>
      <c r="K19087" t="s">
        <v>1358</v>
      </c>
      <c r="L19087" t="s">
        <v>1358</v>
      </c>
    </row>
    <row r="19088" spans="8:12">
      <c r="H19088" t="s">
        <v>26488</v>
      </c>
      <c r="I19088" t="s">
        <v>1358</v>
      </c>
      <c r="J19088" t="s">
        <v>1358</v>
      </c>
      <c r="K19088" t="s">
        <v>1358</v>
      </c>
      <c r="L19088" t="s">
        <v>1358</v>
      </c>
    </row>
    <row r="19089" spans="8:12">
      <c r="H19089" t="s">
        <v>26489</v>
      </c>
      <c r="I19089" t="s">
        <v>1358</v>
      </c>
      <c r="J19089" t="s">
        <v>1358</v>
      </c>
      <c r="K19089" t="s">
        <v>1358</v>
      </c>
      <c r="L19089" t="s">
        <v>1358</v>
      </c>
    </row>
    <row r="19090" spans="8:12">
      <c r="H19090" t="s">
        <v>26490</v>
      </c>
      <c r="I19090" t="s">
        <v>1358</v>
      </c>
      <c r="J19090" t="s">
        <v>1358</v>
      </c>
      <c r="K19090" t="s">
        <v>1358</v>
      </c>
      <c r="L19090" t="s">
        <v>1358</v>
      </c>
    </row>
    <row r="19091" spans="8:12">
      <c r="H19091" t="s">
        <v>26491</v>
      </c>
      <c r="I19091" t="s">
        <v>1358</v>
      </c>
      <c r="J19091" t="s">
        <v>1358</v>
      </c>
      <c r="K19091" t="s">
        <v>1358</v>
      </c>
      <c r="L19091" t="s">
        <v>1358</v>
      </c>
    </row>
    <row r="19092" spans="8:12">
      <c r="H19092" t="s">
        <v>26492</v>
      </c>
      <c r="I19092" t="s">
        <v>1358</v>
      </c>
      <c r="J19092" t="s">
        <v>1358</v>
      </c>
      <c r="K19092" t="s">
        <v>1358</v>
      </c>
      <c r="L19092" t="s">
        <v>1358</v>
      </c>
    </row>
    <row r="19093" spans="8:12">
      <c r="H19093" t="s">
        <v>26493</v>
      </c>
      <c r="I19093" t="s">
        <v>1358</v>
      </c>
      <c r="J19093" t="s">
        <v>1358</v>
      </c>
      <c r="K19093" t="s">
        <v>1358</v>
      </c>
      <c r="L19093" t="s">
        <v>1358</v>
      </c>
    </row>
    <row r="19094" spans="8:12">
      <c r="H19094" t="s">
        <v>26494</v>
      </c>
      <c r="I19094" t="s">
        <v>1358</v>
      </c>
      <c r="J19094" t="s">
        <v>1358</v>
      </c>
      <c r="K19094" t="s">
        <v>1358</v>
      </c>
      <c r="L19094" t="s">
        <v>1358</v>
      </c>
    </row>
    <row r="19095" spans="8:12">
      <c r="H19095" t="s">
        <v>26495</v>
      </c>
      <c r="I19095" t="s">
        <v>1358</v>
      </c>
      <c r="J19095" t="s">
        <v>1358</v>
      </c>
      <c r="K19095" t="s">
        <v>1358</v>
      </c>
      <c r="L19095" t="s">
        <v>1358</v>
      </c>
    </row>
    <row r="19096" spans="8:12">
      <c r="H19096" t="s">
        <v>26496</v>
      </c>
      <c r="I19096" t="s">
        <v>1358</v>
      </c>
      <c r="J19096" t="s">
        <v>1358</v>
      </c>
      <c r="K19096" t="s">
        <v>1358</v>
      </c>
      <c r="L19096" t="s">
        <v>1358</v>
      </c>
    </row>
    <row r="19097" spans="8:12">
      <c r="H19097" t="s">
        <v>26497</v>
      </c>
      <c r="I19097" t="s">
        <v>1358</v>
      </c>
      <c r="J19097" t="s">
        <v>1358</v>
      </c>
      <c r="K19097" t="s">
        <v>1358</v>
      </c>
      <c r="L19097" t="s">
        <v>1358</v>
      </c>
    </row>
    <row r="19098" spans="8:12">
      <c r="H19098" t="s">
        <v>26498</v>
      </c>
      <c r="I19098" t="s">
        <v>1358</v>
      </c>
      <c r="J19098" t="s">
        <v>1358</v>
      </c>
      <c r="K19098" t="s">
        <v>1358</v>
      </c>
      <c r="L19098" t="s">
        <v>1358</v>
      </c>
    </row>
    <row r="19099" spans="8:12">
      <c r="H19099" t="s">
        <v>26499</v>
      </c>
      <c r="I19099" t="s">
        <v>1358</v>
      </c>
      <c r="J19099" t="s">
        <v>1358</v>
      </c>
      <c r="K19099" t="s">
        <v>1358</v>
      </c>
      <c r="L19099" t="s">
        <v>1358</v>
      </c>
    </row>
    <row r="19100" spans="8:12">
      <c r="H19100" t="s">
        <v>26500</v>
      </c>
      <c r="I19100" t="s">
        <v>1358</v>
      </c>
      <c r="J19100" t="s">
        <v>1358</v>
      </c>
      <c r="K19100" t="s">
        <v>1358</v>
      </c>
      <c r="L19100" t="s">
        <v>1358</v>
      </c>
    </row>
    <row r="19101" spans="8:12">
      <c r="H19101" t="s">
        <v>26501</v>
      </c>
      <c r="I19101" t="s">
        <v>1358</v>
      </c>
      <c r="J19101" t="s">
        <v>1358</v>
      </c>
      <c r="K19101" t="s">
        <v>1358</v>
      </c>
      <c r="L19101" t="s">
        <v>1358</v>
      </c>
    </row>
    <row r="19102" spans="8:12">
      <c r="H19102" t="s">
        <v>26502</v>
      </c>
      <c r="I19102" t="s">
        <v>1358</v>
      </c>
      <c r="J19102" t="s">
        <v>1358</v>
      </c>
      <c r="K19102" t="s">
        <v>1358</v>
      </c>
      <c r="L19102" t="s">
        <v>1358</v>
      </c>
    </row>
    <row r="19103" spans="8:12">
      <c r="H19103" t="s">
        <v>26503</v>
      </c>
      <c r="I19103" t="s">
        <v>1358</v>
      </c>
      <c r="J19103" t="s">
        <v>1358</v>
      </c>
      <c r="K19103" t="s">
        <v>1358</v>
      </c>
      <c r="L19103" t="s">
        <v>1358</v>
      </c>
    </row>
    <row r="19104" spans="8:12">
      <c r="H19104" t="s">
        <v>26504</v>
      </c>
      <c r="I19104" t="s">
        <v>1358</v>
      </c>
      <c r="J19104" t="s">
        <v>1358</v>
      </c>
      <c r="K19104" t="s">
        <v>1358</v>
      </c>
      <c r="L19104" t="s">
        <v>1358</v>
      </c>
    </row>
    <row r="19105" spans="8:12">
      <c r="H19105" t="s">
        <v>26505</v>
      </c>
      <c r="I19105" t="s">
        <v>1358</v>
      </c>
      <c r="J19105" t="s">
        <v>1358</v>
      </c>
      <c r="K19105" t="s">
        <v>1358</v>
      </c>
      <c r="L19105" t="s">
        <v>1358</v>
      </c>
    </row>
    <row r="19106" spans="8:12">
      <c r="H19106" t="s">
        <v>26506</v>
      </c>
      <c r="I19106" t="s">
        <v>1358</v>
      </c>
      <c r="J19106" t="s">
        <v>1358</v>
      </c>
      <c r="K19106" t="s">
        <v>1358</v>
      </c>
      <c r="L19106" t="s">
        <v>1358</v>
      </c>
    </row>
    <row r="19107" spans="8:12">
      <c r="H19107" t="s">
        <v>26507</v>
      </c>
      <c r="I19107" t="s">
        <v>1358</v>
      </c>
      <c r="J19107" t="s">
        <v>1358</v>
      </c>
      <c r="K19107" t="s">
        <v>1358</v>
      </c>
      <c r="L19107" t="s">
        <v>1358</v>
      </c>
    </row>
    <row r="19108" spans="8:12">
      <c r="H19108" t="s">
        <v>26508</v>
      </c>
      <c r="I19108" t="s">
        <v>1358</v>
      </c>
      <c r="J19108" t="s">
        <v>1358</v>
      </c>
      <c r="K19108" t="s">
        <v>1358</v>
      </c>
      <c r="L19108" t="s">
        <v>1358</v>
      </c>
    </row>
    <row r="19109" spans="8:12">
      <c r="H19109" t="s">
        <v>26509</v>
      </c>
      <c r="I19109" t="s">
        <v>1358</v>
      </c>
      <c r="J19109" t="s">
        <v>1358</v>
      </c>
      <c r="K19109" t="s">
        <v>1358</v>
      </c>
      <c r="L19109" t="s">
        <v>1358</v>
      </c>
    </row>
    <row r="19110" spans="8:12">
      <c r="H19110" t="s">
        <v>26510</v>
      </c>
      <c r="I19110" t="s">
        <v>1358</v>
      </c>
      <c r="J19110" t="s">
        <v>1358</v>
      </c>
      <c r="K19110" t="s">
        <v>1358</v>
      </c>
      <c r="L19110" t="s">
        <v>1358</v>
      </c>
    </row>
    <row r="19111" spans="8:12">
      <c r="H19111" t="s">
        <v>26511</v>
      </c>
      <c r="I19111" t="s">
        <v>1358</v>
      </c>
      <c r="J19111" t="s">
        <v>1358</v>
      </c>
      <c r="K19111" t="s">
        <v>1358</v>
      </c>
      <c r="L19111" t="s">
        <v>1358</v>
      </c>
    </row>
    <row r="19112" spans="8:12">
      <c r="H19112" t="s">
        <v>26512</v>
      </c>
      <c r="I19112" t="s">
        <v>1358</v>
      </c>
      <c r="J19112" t="s">
        <v>1358</v>
      </c>
      <c r="K19112" t="s">
        <v>1358</v>
      </c>
      <c r="L19112" t="s">
        <v>1358</v>
      </c>
    </row>
    <row r="19113" spans="8:12">
      <c r="H19113" t="s">
        <v>26513</v>
      </c>
      <c r="I19113" t="s">
        <v>1358</v>
      </c>
      <c r="J19113" t="s">
        <v>1358</v>
      </c>
      <c r="K19113" t="s">
        <v>1358</v>
      </c>
      <c r="L19113" t="s">
        <v>1358</v>
      </c>
    </row>
    <row r="19114" spans="8:12">
      <c r="H19114" t="s">
        <v>26514</v>
      </c>
      <c r="I19114" t="s">
        <v>1358</v>
      </c>
      <c r="J19114" t="s">
        <v>1358</v>
      </c>
      <c r="K19114" t="s">
        <v>1358</v>
      </c>
      <c r="L19114" t="s">
        <v>1358</v>
      </c>
    </row>
    <row r="19115" spans="8:12">
      <c r="H19115" t="s">
        <v>26515</v>
      </c>
      <c r="I19115" t="s">
        <v>1358</v>
      </c>
      <c r="J19115" t="s">
        <v>1358</v>
      </c>
      <c r="K19115" t="s">
        <v>1358</v>
      </c>
      <c r="L19115" t="s">
        <v>1358</v>
      </c>
    </row>
    <row r="19116" spans="8:12">
      <c r="H19116" t="s">
        <v>26516</v>
      </c>
      <c r="I19116" t="s">
        <v>1358</v>
      </c>
      <c r="J19116" t="s">
        <v>1358</v>
      </c>
      <c r="K19116" t="s">
        <v>1358</v>
      </c>
      <c r="L19116" t="s">
        <v>1358</v>
      </c>
    </row>
    <row r="19117" spans="8:12">
      <c r="H19117" t="s">
        <v>26517</v>
      </c>
      <c r="I19117" t="s">
        <v>1358</v>
      </c>
      <c r="J19117" t="s">
        <v>1358</v>
      </c>
      <c r="K19117" t="s">
        <v>1358</v>
      </c>
      <c r="L19117" t="s">
        <v>1358</v>
      </c>
    </row>
    <row r="19118" spans="8:12">
      <c r="H19118" t="s">
        <v>26518</v>
      </c>
      <c r="I19118" t="s">
        <v>1358</v>
      </c>
      <c r="J19118" t="s">
        <v>1358</v>
      </c>
      <c r="K19118" t="s">
        <v>1358</v>
      </c>
      <c r="L19118" t="s">
        <v>1358</v>
      </c>
    </row>
    <row r="19119" spans="8:12">
      <c r="H19119" t="s">
        <v>26519</v>
      </c>
      <c r="I19119" t="s">
        <v>1358</v>
      </c>
      <c r="J19119" t="s">
        <v>1358</v>
      </c>
      <c r="K19119" t="s">
        <v>1358</v>
      </c>
      <c r="L19119" t="s">
        <v>1358</v>
      </c>
    </row>
    <row r="19120" spans="8:12">
      <c r="H19120" t="s">
        <v>26520</v>
      </c>
      <c r="I19120" t="s">
        <v>1358</v>
      </c>
      <c r="J19120" t="s">
        <v>1358</v>
      </c>
      <c r="K19120" t="s">
        <v>1358</v>
      </c>
      <c r="L19120" t="s">
        <v>1358</v>
      </c>
    </row>
    <row r="19121" spans="8:12">
      <c r="H19121" t="s">
        <v>26521</v>
      </c>
      <c r="I19121" t="s">
        <v>1358</v>
      </c>
      <c r="J19121" t="s">
        <v>1358</v>
      </c>
      <c r="K19121" t="s">
        <v>1358</v>
      </c>
      <c r="L19121" t="s">
        <v>1358</v>
      </c>
    </row>
    <row r="19122" spans="8:12">
      <c r="H19122" t="s">
        <v>26522</v>
      </c>
      <c r="I19122" t="s">
        <v>1358</v>
      </c>
      <c r="J19122" t="s">
        <v>1358</v>
      </c>
      <c r="K19122" t="s">
        <v>1358</v>
      </c>
      <c r="L19122" t="s">
        <v>1358</v>
      </c>
    </row>
    <row r="19123" spans="8:12">
      <c r="H19123" t="s">
        <v>26523</v>
      </c>
      <c r="I19123" t="s">
        <v>1358</v>
      </c>
      <c r="J19123" t="s">
        <v>1358</v>
      </c>
      <c r="K19123" t="s">
        <v>1358</v>
      </c>
      <c r="L19123" t="s">
        <v>1358</v>
      </c>
    </row>
    <row r="19124" spans="8:12">
      <c r="H19124" t="s">
        <v>26524</v>
      </c>
      <c r="I19124" t="s">
        <v>1358</v>
      </c>
      <c r="J19124" t="s">
        <v>1358</v>
      </c>
      <c r="K19124" t="s">
        <v>1358</v>
      </c>
      <c r="L19124" t="s">
        <v>1358</v>
      </c>
    </row>
    <row r="19125" spans="8:12">
      <c r="H19125" t="s">
        <v>26525</v>
      </c>
      <c r="I19125" t="s">
        <v>1358</v>
      </c>
      <c r="J19125" t="s">
        <v>1358</v>
      </c>
      <c r="K19125" t="s">
        <v>1358</v>
      </c>
      <c r="L19125" t="s">
        <v>1358</v>
      </c>
    </row>
    <row r="19126" spans="8:12">
      <c r="H19126" t="s">
        <v>26526</v>
      </c>
      <c r="I19126" t="s">
        <v>1358</v>
      </c>
      <c r="J19126" t="s">
        <v>1358</v>
      </c>
      <c r="K19126" t="s">
        <v>1358</v>
      </c>
      <c r="L19126" t="s">
        <v>1358</v>
      </c>
    </row>
    <row r="19127" spans="8:12">
      <c r="H19127" t="s">
        <v>26527</v>
      </c>
      <c r="I19127" t="s">
        <v>1358</v>
      </c>
      <c r="J19127" t="s">
        <v>1358</v>
      </c>
      <c r="K19127" t="s">
        <v>1358</v>
      </c>
      <c r="L19127" t="s">
        <v>1358</v>
      </c>
    </row>
    <row r="19128" spans="8:12">
      <c r="H19128" t="s">
        <v>26528</v>
      </c>
      <c r="I19128" t="s">
        <v>1358</v>
      </c>
      <c r="J19128" t="s">
        <v>1358</v>
      </c>
      <c r="K19128" t="s">
        <v>1358</v>
      </c>
      <c r="L19128" t="s">
        <v>1358</v>
      </c>
    </row>
    <row r="19129" spans="8:12">
      <c r="H19129" t="s">
        <v>26529</v>
      </c>
      <c r="I19129" t="s">
        <v>1358</v>
      </c>
      <c r="J19129" t="s">
        <v>1358</v>
      </c>
      <c r="K19129" t="s">
        <v>1358</v>
      </c>
      <c r="L19129" t="s">
        <v>1358</v>
      </c>
    </row>
    <row r="19130" spans="8:12">
      <c r="H19130" t="s">
        <v>26530</v>
      </c>
      <c r="I19130" t="s">
        <v>1358</v>
      </c>
      <c r="J19130" t="s">
        <v>1358</v>
      </c>
      <c r="K19130" t="s">
        <v>1358</v>
      </c>
      <c r="L19130" t="s">
        <v>1358</v>
      </c>
    </row>
    <row r="19131" spans="8:12">
      <c r="H19131" t="s">
        <v>26531</v>
      </c>
      <c r="I19131" t="s">
        <v>1358</v>
      </c>
      <c r="J19131" t="s">
        <v>1358</v>
      </c>
      <c r="K19131" t="s">
        <v>1358</v>
      </c>
      <c r="L19131" t="s">
        <v>1358</v>
      </c>
    </row>
    <row r="19132" spans="8:12">
      <c r="H19132" t="s">
        <v>26532</v>
      </c>
      <c r="I19132" t="s">
        <v>1358</v>
      </c>
      <c r="J19132" t="s">
        <v>1358</v>
      </c>
      <c r="K19132" t="s">
        <v>1358</v>
      </c>
      <c r="L19132" t="s">
        <v>1358</v>
      </c>
    </row>
    <row r="19133" spans="8:12">
      <c r="H19133" t="s">
        <v>26533</v>
      </c>
      <c r="I19133" t="s">
        <v>1358</v>
      </c>
      <c r="J19133" t="s">
        <v>1358</v>
      </c>
      <c r="K19133" t="s">
        <v>1358</v>
      </c>
      <c r="L19133" t="s">
        <v>1358</v>
      </c>
    </row>
    <row r="19134" spans="8:12">
      <c r="H19134" t="s">
        <v>26534</v>
      </c>
      <c r="I19134" t="s">
        <v>1358</v>
      </c>
      <c r="J19134" t="s">
        <v>1358</v>
      </c>
      <c r="K19134" t="s">
        <v>1358</v>
      </c>
      <c r="L19134" t="s">
        <v>1358</v>
      </c>
    </row>
    <row r="19135" spans="8:12">
      <c r="H19135" t="s">
        <v>26535</v>
      </c>
      <c r="I19135" t="s">
        <v>1358</v>
      </c>
      <c r="J19135" t="s">
        <v>1358</v>
      </c>
      <c r="K19135" t="s">
        <v>1358</v>
      </c>
      <c r="L19135" t="s">
        <v>1358</v>
      </c>
    </row>
    <row r="19136" spans="8:12">
      <c r="H19136" t="s">
        <v>26536</v>
      </c>
      <c r="I19136" t="s">
        <v>1358</v>
      </c>
      <c r="J19136" t="s">
        <v>1358</v>
      </c>
      <c r="K19136" t="s">
        <v>1358</v>
      </c>
      <c r="L19136" t="s">
        <v>1358</v>
      </c>
    </row>
    <row r="19137" spans="8:12">
      <c r="H19137" t="s">
        <v>26537</v>
      </c>
      <c r="I19137" t="s">
        <v>1358</v>
      </c>
      <c r="J19137" t="s">
        <v>1358</v>
      </c>
      <c r="K19137" t="s">
        <v>1358</v>
      </c>
      <c r="L19137" t="s">
        <v>1358</v>
      </c>
    </row>
    <row r="19138" spans="8:12">
      <c r="H19138" t="s">
        <v>26538</v>
      </c>
      <c r="I19138" t="s">
        <v>1358</v>
      </c>
      <c r="J19138" t="s">
        <v>1358</v>
      </c>
      <c r="K19138" t="s">
        <v>1358</v>
      </c>
      <c r="L19138" t="s">
        <v>1358</v>
      </c>
    </row>
    <row r="19139" spans="8:12">
      <c r="H19139" t="s">
        <v>26539</v>
      </c>
      <c r="I19139" t="s">
        <v>1358</v>
      </c>
      <c r="J19139" t="s">
        <v>1358</v>
      </c>
      <c r="K19139" t="s">
        <v>1358</v>
      </c>
      <c r="L19139" t="s">
        <v>1358</v>
      </c>
    </row>
    <row r="19140" spans="8:12">
      <c r="H19140" t="s">
        <v>26540</v>
      </c>
      <c r="I19140" t="s">
        <v>1358</v>
      </c>
      <c r="J19140" t="s">
        <v>1358</v>
      </c>
      <c r="K19140" t="s">
        <v>1358</v>
      </c>
      <c r="L19140" t="s">
        <v>1358</v>
      </c>
    </row>
    <row r="19141" spans="8:12">
      <c r="H19141" t="s">
        <v>26541</v>
      </c>
      <c r="I19141" t="s">
        <v>1358</v>
      </c>
      <c r="J19141" t="s">
        <v>1358</v>
      </c>
      <c r="K19141" t="s">
        <v>1358</v>
      </c>
      <c r="L19141" t="s">
        <v>1358</v>
      </c>
    </row>
    <row r="19142" spans="8:12">
      <c r="H19142" t="s">
        <v>26542</v>
      </c>
      <c r="I19142" t="s">
        <v>1358</v>
      </c>
      <c r="J19142" t="s">
        <v>1358</v>
      </c>
      <c r="K19142" t="s">
        <v>1358</v>
      </c>
      <c r="L19142" t="s">
        <v>1358</v>
      </c>
    </row>
    <row r="19143" spans="8:12">
      <c r="H19143" t="s">
        <v>26543</v>
      </c>
      <c r="I19143" t="s">
        <v>1358</v>
      </c>
      <c r="J19143" t="s">
        <v>1358</v>
      </c>
      <c r="K19143" t="s">
        <v>1358</v>
      </c>
      <c r="L19143" t="s">
        <v>1358</v>
      </c>
    </row>
    <row r="19144" spans="8:12">
      <c r="H19144" t="s">
        <v>26544</v>
      </c>
      <c r="I19144" t="s">
        <v>1358</v>
      </c>
      <c r="J19144" t="s">
        <v>1358</v>
      </c>
      <c r="K19144" t="s">
        <v>1358</v>
      </c>
      <c r="L19144" t="s">
        <v>1358</v>
      </c>
    </row>
    <row r="19145" spans="8:12">
      <c r="H19145" t="s">
        <v>26545</v>
      </c>
      <c r="I19145" t="s">
        <v>1358</v>
      </c>
      <c r="J19145" t="s">
        <v>1358</v>
      </c>
      <c r="K19145" t="s">
        <v>1358</v>
      </c>
      <c r="L19145" t="s">
        <v>1358</v>
      </c>
    </row>
    <row r="19146" spans="8:12">
      <c r="H19146" t="s">
        <v>26546</v>
      </c>
      <c r="I19146" t="s">
        <v>1358</v>
      </c>
      <c r="J19146" t="s">
        <v>1358</v>
      </c>
      <c r="K19146" t="s">
        <v>1358</v>
      </c>
      <c r="L19146" t="s">
        <v>1358</v>
      </c>
    </row>
    <row r="19147" spans="8:12">
      <c r="H19147" t="s">
        <v>26547</v>
      </c>
      <c r="I19147" t="s">
        <v>1358</v>
      </c>
      <c r="J19147" t="s">
        <v>1358</v>
      </c>
      <c r="K19147" t="s">
        <v>1358</v>
      </c>
      <c r="L19147" t="s">
        <v>1358</v>
      </c>
    </row>
    <row r="19148" spans="8:12">
      <c r="H19148" t="s">
        <v>26548</v>
      </c>
      <c r="I19148" t="s">
        <v>1358</v>
      </c>
      <c r="J19148" t="s">
        <v>1358</v>
      </c>
      <c r="K19148" t="s">
        <v>1358</v>
      </c>
      <c r="L19148" t="s">
        <v>1358</v>
      </c>
    </row>
    <row r="19149" spans="8:12">
      <c r="H19149" t="s">
        <v>26549</v>
      </c>
      <c r="I19149" t="s">
        <v>1358</v>
      </c>
      <c r="J19149" t="s">
        <v>1358</v>
      </c>
      <c r="K19149" t="s">
        <v>1358</v>
      </c>
      <c r="L19149" t="s">
        <v>1358</v>
      </c>
    </row>
    <row r="19150" spans="8:12">
      <c r="H19150" t="s">
        <v>26550</v>
      </c>
      <c r="I19150" t="s">
        <v>1358</v>
      </c>
      <c r="J19150" t="s">
        <v>1358</v>
      </c>
      <c r="K19150" t="s">
        <v>1358</v>
      </c>
      <c r="L19150" t="s">
        <v>1358</v>
      </c>
    </row>
    <row r="19151" spans="8:12">
      <c r="H19151" t="s">
        <v>26551</v>
      </c>
      <c r="I19151" t="s">
        <v>1358</v>
      </c>
      <c r="J19151" t="s">
        <v>1358</v>
      </c>
      <c r="K19151" t="s">
        <v>1358</v>
      </c>
      <c r="L19151" t="s">
        <v>1358</v>
      </c>
    </row>
    <row r="19152" spans="8:12">
      <c r="H19152" t="s">
        <v>26552</v>
      </c>
      <c r="I19152" t="s">
        <v>1358</v>
      </c>
      <c r="J19152" t="s">
        <v>1358</v>
      </c>
      <c r="K19152" t="s">
        <v>1358</v>
      </c>
      <c r="L19152" t="s">
        <v>1358</v>
      </c>
    </row>
    <row r="19153" spans="8:12">
      <c r="H19153" t="s">
        <v>26553</v>
      </c>
      <c r="I19153" t="s">
        <v>1358</v>
      </c>
      <c r="J19153" t="s">
        <v>1358</v>
      </c>
      <c r="K19153" t="s">
        <v>1358</v>
      </c>
      <c r="L19153" t="s">
        <v>1358</v>
      </c>
    </row>
    <row r="19154" spans="8:12">
      <c r="H19154" t="s">
        <v>26554</v>
      </c>
      <c r="I19154" t="s">
        <v>1358</v>
      </c>
      <c r="J19154" t="s">
        <v>1358</v>
      </c>
      <c r="K19154" t="s">
        <v>1358</v>
      </c>
      <c r="L19154" t="s">
        <v>1358</v>
      </c>
    </row>
    <row r="19155" spans="8:12">
      <c r="H19155" t="s">
        <v>26555</v>
      </c>
      <c r="I19155" t="s">
        <v>1358</v>
      </c>
      <c r="J19155" t="s">
        <v>1358</v>
      </c>
      <c r="K19155" t="s">
        <v>1358</v>
      </c>
      <c r="L19155" t="s">
        <v>1358</v>
      </c>
    </row>
    <row r="19156" spans="8:12">
      <c r="H19156" t="s">
        <v>26556</v>
      </c>
      <c r="I19156" t="s">
        <v>1358</v>
      </c>
      <c r="J19156" t="s">
        <v>1358</v>
      </c>
      <c r="K19156" t="s">
        <v>1358</v>
      </c>
      <c r="L19156" t="s">
        <v>1358</v>
      </c>
    </row>
    <row r="19157" spans="8:12">
      <c r="H19157" t="s">
        <v>26557</v>
      </c>
      <c r="I19157" t="s">
        <v>1358</v>
      </c>
      <c r="J19157" t="s">
        <v>1358</v>
      </c>
      <c r="K19157" t="s">
        <v>1358</v>
      </c>
      <c r="L19157" t="s">
        <v>1358</v>
      </c>
    </row>
    <row r="19158" spans="8:12">
      <c r="H19158" t="s">
        <v>26558</v>
      </c>
      <c r="I19158" t="s">
        <v>1358</v>
      </c>
      <c r="J19158" t="s">
        <v>1358</v>
      </c>
      <c r="K19158" t="s">
        <v>1358</v>
      </c>
      <c r="L19158" t="s">
        <v>1358</v>
      </c>
    </row>
    <row r="19159" spans="8:12">
      <c r="H19159" t="s">
        <v>26559</v>
      </c>
      <c r="I19159" t="s">
        <v>1358</v>
      </c>
      <c r="J19159" t="s">
        <v>1358</v>
      </c>
      <c r="K19159" t="s">
        <v>1358</v>
      </c>
      <c r="L19159" t="s">
        <v>1358</v>
      </c>
    </row>
    <row r="19160" spans="8:12">
      <c r="H19160" t="s">
        <v>26560</v>
      </c>
      <c r="I19160" t="s">
        <v>1358</v>
      </c>
      <c r="J19160" t="s">
        <v>1358</v>
      </c>
      <c r="K19160" t="s">
        <v>1358</v>
      </c>
      <c r="L19160" t="s">
        <v>1358</v>
      </c>
    </row>
    <row r="19161" spans="8:12">
      <c r="H19161" t="s">
        <v>26561</v>
      </c>
      <c r="I19161" t="s">
        <v>1358</v>
      </c>
      <c r="J19161" t="s">
        <v>1358</v>
      </c>
      <c r="K19161" t="s">
        <v>1358</v>
      </c>
      <c r="L19161" t="s">
        <v>1358</v>
      </c>
    </row>
    <row r="19162" spans="8:12">
      <c r="H19162" t="s">
        <v>26562</v>
      </c>
      <c r="I19162" t="s">
        <v>1358</v>
      </c>
      <c r="J19162" t="s">
        <v>1358</v>
      </c>
      <c r="K19162" t="s">
        <v>1358</v>
      </c>
      <c r="L19162" t="s">
        <v>1358</v>
      </c>
    </row>
    <row r="19163" spans="8:12">
      <c r="H19163" t="s">
        <v>26563</v>
      </c>
      <c r="I19163" t="s">
        <v>1358</v>
      </c>
      <c r="J19163" t="s">
        <v>1358</v>
      </c>
      <c r="K19163" t="s">
        <v>1358</v>
      </c>
      <c r="L19163" t="s">
        <v>1358</v>
      </c>
    </row>
    <row r="19164" spans="8:12">
      <c r="H19164" t="s">
        <v>26564</v>
      </c>
      <c r="I19164" t="s">
        <v>1358</v>
      </c>
      <c r="J19164" t="s">
        <v>1358</v>
      </c>
      <c r="K19164" t="s">
        <v>1358</v>
      </c>
      <c r="L19164" t="s">
        <v>1358</v>
      </c>
    </row>
    <row r="19165" spans="8:12">
      <c r="H19165" t="s">
        <v>26565</v>
      </c>
      <c r="I19165" t="s">
        <v>1358</v>
      </c>
      <c r="J19165" t="s">
        <v>1358</v>
      </c>
      <c r="K19165" t="s">
        <v>1358</v>
      </c>
      <c r="L19165" t="s">
        <v>1358</v>
      </c>
    </row>
    <row r="19166" spans="8:12">
      <c r="H19166" t="s">
        <v>26566</v>
      </c>
      <c r="I19166" t="s">
        <v>1358</v>
      </c>
      <c r="J19166" t="s">
        <v>1358</v>
      </c>
      <c r="K19166" t="s">
        <v>1358</v>
      </c>
      <c r="L19166" t="s">
        <v>1358</v>
      </c>
    </row>
    <row r="19167" spans="8:12">
      <c r="H19167" t="s">
        <v>26567</v>
      </c>
      <c r="I19167" t="s">
        <v>1358</v>
      </c>
      <c r="J19167" t="s">
        <v>1358</v>
      </c>
      <c r="K19167" t="s">
        <v>1358</v>
      </c>
      <c r="L19167" t="s">
        <v>1358</v>
      </c>
    </row>
    <row r="19168" spans="8:12">
      <c r="H19168" t="s">
        <v>26568</v>
      </c>
      <c r="I19168" t="s">
        <v>1358</v>
      </c>
      <c r="J19168" t="s">
        <v>1358</v>
      </c>
      <c r="K19168" t="s">
        <v>1358</v>
      </c>
      <c r="L19168" t="s">
        <v>1358</v>
      </c>
    </row>
    <row r="19169" spans="8:12">
      <c r="H19169" t="s">
        <v>26569</v>
      </c>
      <c r="I19169" t="s">
        <v>1358</v>
      </c>
      <c r="J19169" t="s">
        <v>1358</v>
      </c>
      <c r="K19169" t="s">
        <v>1358</v>
      </c>
      <c r="L19169" t="s">
        <v>1358</v>
      </c>
    </row>
    <row r="19170" spans="8:12">
      <c r="H19170" t="s">
        <v>26570</v>
      </c>
      <c r="I19170" t="s">
        <v>1358</v>
      </c>
      <c r="J19170" t="s">
        <v>1358</v>
      </c>
      <c r="K19170" t="s">
        <v>1358</v>
      </c>
      <c r="L19170" t="s">
        <v>1358</v>
      </c>
    </row>
    <row r="19171" spans="8:12">
      <c r="H19171" t="s">
        <v>26571</v>
      </c>
      <c r="I19171" t="s">
        <v>1358</v>
      </c>
      <c r="J19171" t="s">
        <v>1358</v>
      </c>
      <c r="K19171" t="s">
        <v>1358</v>
      </c>
      <c r="L19171" t="s">
        <v>1358</v>
      </c>
    </row>
    <row r="19172" spans="8:12">
      <c r="H19172" t="s">
        <v>26572</v>
      </c>
      <c r="I19172" t="s">
        <v>1358</v>
      </c>
      <c r="J19172" t="s">
        <v>1358</v>
      </c>
      <c r="K19172" t="s">
        <v>1358</v>
      </c>
      <c r="L19172" t="s">
        <v>1358</v>
      </c>
    </row>
    <row r="19173" spans="8:12">
      <c r="H19173" t="s">
        <v>26573</v>
      </c>
      <c r="I19173" t="s">
        <v>1358</v>
      </c>
      <c r="J19173" t="s">
        <v>1358</v>
      </c>
      <c r="K19173" t="s">
        <v>1358</v>
      </c>
      <c r="L19173" t="s">
        <v>1358</v>
      </c>
    </row>
    <row r="19174" spans="8:12">
      <c r="H19174" t="s">
        <v>26574</v>
      </c>
      <c r="I19174" t="s">
        <v>1358</v>
      </c>
      <c r="J19174" t="s">
        <v>1358</v>
      </c>
      <c r="K19174" t="s">
        <v>1358</v>
      </c>
      <c r="L19174" t="s">
        <v>1358</v>
      </c>
    </row>
    <row r="19175" spans="8:12">
      <c r="H19175" t="s">
        <v>26575</v>
      </c>
      <c r="I19175" t="s">
        <v>1358</v>
      </c>
      <c r="J19175" t="s">
        <v>1358</v>
      </c>
      <c r="K19175" t="s">
        <v>1358</v>
      </c>
      <c r="L19175" t="s">
        <v>1358</v>
      </c>
    </row>
    <row r="19176" spans="8:12">
      <c r="H19176" t="s">
        <v>26576</v>
      </c>
      <c r="I19176" t="s">
        <v>1358</v>
      </c>
      <c r="J19176" t="s">
        <v>1358</v>
      </c>
      <c r="K19176" t="s">
        <v>1358</v>
      </c>
      <c r="L19176" t="s">
        <v>1358</v>
      </c>
    </row>
    <row r="19177" spans="8:12">
      <c r="H19177" t="s">
        <v>26577</v>
      </c>
      <c r="I19177" t="s">
        <v>1358</v>
      </c>
      <c r="J19177" t="s">
        <v>1358</v>
      </c>
      <c r="K19177" t="s">
        <v>1358</v>
      </c>
      <c r="L19177" t="s">
        <v>1358</v>
      </c>
    </row>
    <row r="19178" spans="8:12">
      <c r="H19178" t="s">
        <v>26578</v>
      </c>
      <c r="I19178" t="s">
        <v>1358</v>
      </c>
      <c r="J19178" t="s">
        <v>1358</v>
      </c>
      <c r="K19178" t="s">
        <v>1358</v>
      </c>
      <c r="L19178" t="s">
        <v>1358</v>
      </c>
    </row>
    <row r="19179" spans="8:12">
      <c r="H19179" t="s">
        <v>26579</v>
      </c>
      <c r="I19179" t="s">
        <v>1358</v>
      </c>
      <c r="J19179" t="s">
        <v>1358</v>
      </c>
      <c r="K19179" t="s">
        <v>1358</v>
      </c>
      <c r="L19179" t="s">
        <v>1358</v>
      </c>
    </row>
    <row r="19180" spans="8:12">
      <c r="H19180" t="s">
        <v>26580</v>
      </c>
      <c r="I19180" t="s">
        <v>1358</v>
      </c>
      <c r="J19180" t="s">
        <v>1358</v>
      </c>
      <c r="K19180" t="s">
        <v>1358</v>
      </c>
      <c r="L19180" t="s">
        <v>1358</v>
      </c>
    </row>
    <row r="19181" spans="8:12">
      <c r="H19181" t="s">
        <v>26581</v>
      </c>
      <c r="I19181" t="s">
        <v>1358</v>
      </c>
      <c r="J19181" t="s">
        <v>1358</v>
      </c>
      <c r="K19181" t="s">
        <v>1358</v>
      </c>
      <c r="L19181" t="s">
        <v>1358</v>
      </c>
    </row>
    <row r="19182" spans="8:12">
      <c r="H19182" t="s">
        <v>26582</v>
      </c>
      <c r="I19182" t="s">
        <v>1358</v>
      </c>
      <c r="J19182" t="s">
        <v>1358</v>
      </c>
      <c r="K19182" t="s">
        <v>1358</v>
      </c>
      <c r="L19182" t="s">
        <v>1358</v>
      </c>
    </row>
    <row r="19183" spans="8:12">
      <c r="H19183" t="s">
        <v>26583</v>
      </c>
      <c r="I19183" t="s">
        <v>1358</v>
      </c>
      <c r="J19183" t="s">
        <v>1358</v>
      </c>
      <c r="K19183" t="s">
        <v>1358</v>
      </c>
      <c r="L19183" t="s">
        <v>1358</v>
      </c>
    </row>
    <row r="19184" spans="8:12">
      <c r="H19184" t="s">
        <v>26584</v>
      </c>
      <c r="I19184" t="s">
        <v>1358</v>
      </c>
      <c r="J19184" t="s">
        <v>1358</v>
      </c>
      <c r="K19184" t="s">
        <v>1358</v>
      </c>
      <c r="L19184" t="s">
        <v>1358</v>
      </c>
    </row>
    <row r="19185" spans="8:12">
      <c r="H19185" t="s">
        <v>26585</v>
      </c>
      <c r="I19185" t="s">
        <v>1358</v>
      </c>
      <c r="J19185" t="s">
        <v>1358</v>
      </c>
      <c r="K19185" t="s">
        <v>1358</v>
      </c>
      <c r="L19185" t="s">
        <v>1358</v>
      </c>
    </row>
    <row r="19186" spans="8:12">
      <c r="H19186" t="s">
        <v>26586</v>
      </c>
      <c r="I19186" t="s">
        <v>1358</v>
      </c>
      <c r="J19186" t="s">
        <v>1358</v>
      </c>
      <c r="K19186" t="s">
        <v>1358</v>
      </c>
      <c r="L19186" t="s">
        <v>1358</v>
      </c>
    </row>
    <row r="19187" spans="8:12">
      <c r="H19187" t="s">
        <v>26587</v>
      </c>
      <c r="I19187" t="s">
        <v>1358</v>
      </c>
      <c r="J19187" t="s">
        <v>1358</v>
      </c>
      <c r="K19187" t="s">
        <v>1358</v>
      </c>
      <c r="L19187" t="s">
        <v>1358</v>
      </c>
    </row>
    <row r="19188" spans="8:12">
      <c r="H19188" t="s">
        <v>26588</v>
      </c>
      <c r="I19188" t="s">
        <v>1358</v>
      </c>
      <c r="J19188" t="s">
        <v>1358</v>
      </c>
      <c r="K19188" t="s">
        <v>1358</v>
      </c>
      <c r="L19188" t="s">
        <v>1358</v>
      </c>
    </row>
    <row r="19189" spans="8:12">
      <c r="H19189" t="s">
        <v>26589</v>
      </c>
      <c r="I19189" t="s">
        <v>1358</v>
      </c>
      <c r="J19189" t="s">
        <v>1358</v>
      </c>
      <c r="K19189" t="s">
        <v>1358</v>
      </c>
      <c r="L19189" t="s">
        <v>1358</v>
      </c>
    </row>
    <row r="19190" spans="8:12">
      <c r="H19190" t="s">
        <v>26590</v>
      </c>
      <c r="I19190" t="s">
        <v>1358</v>
      </c>
      <c r="J19190" t="s">
        <v>1358</v>
      </c>
      <c r="K19190" t="s">
        <v>1358</v>
      </c>
      <c r="L19190" t="s">
        <v>1358</v>
      </c>
    </row>
    <row r="19191" spans="8:12">
      <c r="H19191" t="s">
        <v>26591</v>
      </c>
      <c r="I19191" t="s">
        <v>1358</v>
      </c>
      <c r="J19191" t="s">
        <v>1358</v>
      </c>
      <c r="K19191" t="s">
        <v>1358</v>
      </c>
      <c r="L19191" t="s">
        <v>1358</v>
      </c>
    </row>
    <row r="19192" spans="8:12">
      <c r="H19192" t="s">
        <v>26592</v>
      </c>
      <c r="I19192" t="s">
        <v>1358</v>
      </c>
      <c r="J19192" t="s">
        <v>1358</v>
      </c>
      <c r="K19192" t="s">
        <v>1358</v>
      </c>
      <c r="L19192" t="s">
        <v>1358</v>
      </c>
    </row>
    <row r="19193" spans="8:12">
      <c r="H19193" t="s">
        <v>26593</v>
      </c>
      <c r="I19193" t="s">
        <v>1358</v>
      </c>
      <c r="J19193" t="s">
        <v>1358</v>
      </c>
      <c r="K19193" t="s">
        <v>1358</v>
      </c>
      <c r="L19193" t="s">
        <v>1358</v>
      </c>
    </row>
    <row r="19194" spans="8:12">
      <c r="H19194" t="s">
        <v>26594</v>
      </c>
      <c r="I19194" t="s">
        <v>1358</v>
      </c>
      <c r="J19194" t="s">
        <v>1358</v>
      </c>
      <c r="K19194" t="s">
        <v>1358</v>
      </c>
      <c r="L19194" t="s">
        <v>1358</v>
      </c>
    </row>
    <row r="19195" spans="8:12">
      <c r="H19195" t="s">
        <v>26595</v>
      </c>
      <c r="I19195" t="s">
        <v>1358</v>
      </c>
      <c r="J19195" t="s">
        <v>1358</v>
      </c>
      <c r="K19195" t="s">
        <v>1358</v>
      </c>
      <c r="L19195" t="s">
        <v>1358</v>
      </c>
    </row>
    <row r="19196" spans="8:12">
      <c r="H19196" t="s">
        <v>26596</v>
      </c>
      <c r="I19196" t="s">
        <v>1358</v>
      </c>
      <c r="J19196" t="s">
        <v>1358</v>
      </c>
      <c r="K19196" t="s">
        <v>1358</v>
      </c>
      <c r="L19196" t="s">
        <v>1358</v>
      </c>
    </row>
    <row r="19197" spans="8:12">
      <c r="H19197" t="s">
        <v>26597</v>
      </c>
      <c r="I19197" t="s">
        <v>1358</v>
      </c>
      <c r="J19197" t="s">
        <v>1358</v>
      </c>
      <c r="K19197" t="s">
        <v>1358</v>
      </c>
      <c r="L19197" t="s">
        <v>1358</v>
      </c>
    </row>
    <row r="19198" spans="8:12">
      <c r="H19198" t="s">
        <v>26598</v>
      </c>
      <c r="I19198" t="s">
        <v>1358</v>
      </c>
      <c r="J19198" t="s">
        <v>1358</v>
      </c>
      <c r="K19198" t="s">
        <v>1358</v>
      </c>
      <c r="L19198" t="s">
        <v>1358</v>
      </c>
    </row>
    <row r="19199" spans="8:12">
      <c r="H19199" t="s">
        <v>26599</v>
      </c>
      <c r="I19199" t="s">
        <v>1358</v>
      </c>
      <c r="J19199" t="s">
        <v>1358</v>
      </c>
      <c r="K19199" t="s">
        <v>1358</v>
      </c>
      <c r="L19199" t="s">
        <v>1358</v>
      </c>
    </row>
    <row r="19200" spans="8:12">
      <c r="H19200" t="s">
        <v>26600</v>
      </c>
      <c r="I19200" t="s">
        <v>1358</v>
      </c>
      <c r="J19200" t="s">
        <v>1358</v>
      </c>
      <c r="K19200" t="s">
        <v>1358</v>
      </c>
      <c r="L19200" t="s">
        <v>1358</v>
      </c>
    </row>
    <row r="19201" spans="1:12">
      <c r="H19201" t="s">
        <v>26601</v>
      </c>
      <c r="I19201" t="s">
        <v>1358</v>
      </c>
      <c r="J19201" t="s">
        <v>1358</v>
      </c>
      <c r="K19201" t="s">
        <v>1358</v>
      </c>
      <c r="L19201" t="s">
        <v>1358</v>
      </c>
    </row>
    <row r="19202" spans="1:12">
      <c r="H19202" t="s">
        <v>26602</v>
      </c>
      <c r="I19202" t="s">
        <v>1358</v>
      </c>
      <c r="J19202" t="s">
        <v>1358</v>
      </c>
      <c r="K19202" t="s">
        <v>1358</v>
      </c>
      <c r="L19202" t="s">
        <v>1358</v>
      </c>
    </row>
    <row r="19203" spans="1:12">
      <c r="H19203" t="s">
        <v>26603</v>
      </c>
      <c r="I19203" t="s">
        <v>1358</v>
      </c>
      <c r="J19203" t="s">
        <v>1358</v>
      </c>
      <c r="K19203" t="s">
        <v>1358</v>
      </c>
      <c r="L19203" t="s">
        <v>1358</v>
      </c>
    </row>
    <row r="19204" spans="1:12">
      <c r="H19204" t="s">
        <v>26604</v>
      </c>
      <c r="I19204" t="s">
        <v>1358</v>
      </c>
      <c r="J19204" t="s">
        <v>1358</v>
      </c>
      <c r="K19204" t="s">
        <v>1358</v>
      </c>
      <c r="L19204" t="s">
        <v>1358</v>
      </c>
    </row>
    <row r="19205" spans="1:12">
      <c r="H19205" t="s">
        <v>26605</v>
      </c>
      <c r="I19205" t="s">
        <v>1358</v>
      </c>
      <c r="J19205" t="s">
        <v>1358</v>
      </c>
      <c r="K19205" t="s">
        <v>1358</v>
      </c>
      <c r="L19205" t="s">
        <v>1358</v>
      </c>
    </row>
    <row r="19206" spans="1:12">
      <c r="H19206" t="s">
        <v>26606</v>
      </c>
      <c r="I19206" t="s">
        <v>1358</v>
      </c>
      <c r="J19206" t="s">
        <v>1358</v>
      </c>
      <c r="K19206" t="s">
        <v>1358</v>
      </c>
      <c r="L19206" t="s">
        <v>1358</v>
      </c>
    </row>
    <row r="19207" spans="1:12">
      <c r="H19207" t="s">
        <v>26607</v>
      </c>
      <c r="I19207" t="s">
        <v>1358</v>
      </c>
      <c r="J19207" t="s">
        <v>1358</v>
      </c>
      <c r="K19207" t="s">
        <v>1358</v>
      </c>
      <c r="L19207" t="s">
        <v>1358</v>
      </c>
    </row>
    <row r="19208" spans="1:12">
      <c r="H19208" t="s">
        <v>26608</v>
      </c>
      <c r="I19208" t="s">
        <v>1358</v>
      </c>
      <c r="J19208" t="s">
        <v>1358</v>
      </c>
      <c r="K19208" t="s">
        <v>1358</v>
      </c>
      <c r="L19208" t="s">
        <v>1358</v>
      </c>
    </row>
    <row r="19209" spans="1:12">
      <c r="H19209" t="s">
        <v>26609</v>
      </c>
      <c r="I19209" t="s">
        <v>1358</v>
      </c>
      <c r="J19209" t="s">
        <v>1358</v>
      </c>
      <c r="K19209" t="s">
        <v>1358</v>
      </c>
      <c r="L19209" t="s">
        <v>1358</v>
      </c>
    </row>
    <row r="19210" spans="1:12">
      <c r="H19210" t="s">
        <v>26610</v>
      </c>
      <c r="I19210" t="s">
        <v>1358</v>
      </c>
      <c r="J19210" t="s">
        <v>1358</v>
      </c>
      <c r="K19210" t="s">
        <v>1358</v>
      </c>
      <c r="L19210" t="s">
        <v>1358</v>
      </c>
    </row>
    <row r="19211" spans="1:12">
      <c r="H19211" t="s">
        <v>26611</v>
      </c>
      <c r="I19211" t="s">
        <v>1358</v>
      </c>
      <c r="J19211" t="s">
        <v>1358</v>
      </c>
      <c r="K19211" t="s">
        <v>1358</v>
      </c>
      <c r="L19211" t="s">
        <v>1358</v>
      </c>
    </row>
    <row r="19212" spans="1:12">
      <c r="A19212" t="s">
        <v>11822</v>
      </c>
      <c r="B19212">
        <f>HYPERLINK("https://android.googlesource.com/platform/cts/+/b9642e074942f58947545180870dc26d0f54d642", "b9642e074942f58947545180870dc26d0f54d642")</f>
        <v>0</v>
      </c>
      <c r="C19212">
        <f>HYPERLINK("https://android.googlesource.com/platform/cts/+/457e773ef90b98c3fd0b765d9eef189a2177e8ef", "457e773ef90b98c3fd0b765d9eef189a2177e8ef")</f>
        <v>0</v>
      </c>
      <c r="D19212" t="s">
        <v>12490</v>
      </c>
      <c r="E19212" t="s">
        <v>14322</v>
      </c>
      <c r="F19212" t="s">
        <v>17187</v>
      </c>
      <c r="G19212" t="s">
        <v>19770</v>
      </c>
      <c r="H19212" t="s">
        <v>26612</v>
      </c>
      <c r="I19212" t="s">
        <v>1358</v>
      </c>
      <c r="J19212" t="s">
        <v>1358</v>
      </c>
      <c r="K19212" t="s">
        <v>1358</v>
      </c>
      <c r="L19212" t="s">
        <v>1358</v>
      </c>
    </row>
    <row r="19213" spans="1:12">
      <c r="F19213" t="s">
        <v>17188</v>
      </c>
      <c r="G19213" t="s">
        <v>19771</v>
      </c>
      <c r="H19213" t="s">
        <v>26613</v>
      </c>
      <c r="I19213" t="s">
        <v>1358</v>
      </c>
      <c r="J19213" t="s">
        <v>1358</v>
      </c>
      <c r="K19213" t="s">
        <v>1358</v>
      </c>
      <c r="L19213" t="s">
        <v>1358</v>
      </c>
    </row>
    <row r="19214" spans="1:12">
      <c r="F19214" t="s">
        <v>17189</v>
      </c>
      <c r="G19214" t="s">
        <v>19772</v>
      </c>
      <c r="H19214" t="s">
        <v>26614</v>
      </c>
      <c r="I19214" t="s">
        <v>1359</v>
      </c>
      <c r="J19214" t="s">
        <v>1358</v>
      </c>
      <c r="K19214" t="s">
        <v>1357</v>
      </c>
      <c r="L19214" t="s">
        <v>1358</v>
      </c>
    </row>
    <row r="19215" spans="1:12">
      <c r="F19215" t="s">
        <v>17190</v>
      </c>
      <c r="G19215" t="s">
        <v>19773</v>
      </c>
      <c r="H19215" t="s">
        <v>26615</v>
      </c>
      <c r="I19215" t="s">
        <v>1358</v>
      </c>
      <c r="J19215" t="s">
        <v>1358</v>
      </c>
      <c r="K19215" t="s">
        <v>1358</v>
      </c>
      <c r="L19215" t="s">
        <v>1358</v>
      </c>
    </row>
    <row r="19216" spans="1:12">
      <c r="F19216" t="s">
        <v>17191</v>
      </c>
      <c r="G19216" t="s">
        <v>19774</v>
      </c>
      <c r="H19216" t="s">
        <v>26616</v>
      </c>
      <c r="I19216" t="s">
        <v>1358</v>
      </c>
      <c r="J19216" t="s">
        <v>1358</v>
      </c>
      <c r="K19216" t="s">
        <v>1358</v>
      </c>
      <c r="L19216" t="s">
        <v>1358</v>
      </c>
    </row>
    <row r="19217" spans="1:14">
      <c r="F19217" t="s">
        <v>17192</v>
      </c>
      <c r="G19217" t="s">
        <v>19775</v>
      </c>
      <c r="H19217" t="s">
        <v>26617</v>
      </c>
      <c r="I19217" t="s">
        <v>1358</v>
      </c>
      <c r="J19217" t="s">
        <v>1358</v>
      </c>
      <c r="K19217" t="s">
        <v>1358</v>
      </c>
      <c r="L19217" t="s">
        <v>1358</v>
      </c>
    </row>
    <row r="19218" spans="1:14">
      <c r="F19218" t="s">
        <v>17193</v>
      </c>
      <c r="G19218" t="s">
        <v>19776</v>
      </c>
      <c r="H19218" t="s">
        <v>26618</v>
      </c>
      <c r="I19218" t="s">
        <v>1358</v>
      </c>
      <c r="J19218" t="s">
        <v>1358</v>
      </c>
      <c r="K19218" t="s">
        <v>1358</v>
      </c>
      <c r="L19218" t="s">
        <v>1358</v>
      </c>
    </row>
    <row r="19219" spans="1:14">
      <c r="A19219" t="s">
        <v>11823</v>
      </c>
      <c r="B19219">
        <f>HYPERLINK("https://android.googlesource.com/platform/cts/+/222bfeac56e87058c387158f6144681000bfd0bb", "222bfeac56e87058c387158f6144681000bfd0bb")</f>
        <v>0</v>
      </c>
      <c r="C19219">
        <f>HYPERLINK("https://android.googlesource.com/platform/cts/+/d482480e7bdae5cf7754f1516e45225586b8109c", "d482480e7bdae5cf7754f1516e45225586b8109c")</f>
        <v>0</v>
      </c>
      <c r="D19219" t="s">
        <v>12491</v>
      </c>
      <c r="E19219" t="s">
        <v>14323</v>
      </c>
      <c r="F19219" t="s">
        <v>17163</v>
      </c>
      <c r="G19219" t="s">
        <v>19749</v>
      </c>
      <c r="H19219" t="s">
        <v>26619</v>
      </c>
      <c r="I19219" t="s">
        <v>1359</v>
      </c>
      <c r="J19219" t="s">
        <v>1357</v>
      </c>
      <c r="K19219" t="s">
        <v>1357</v>
      </c>
      <c r="L19219" t="s">
        <v>1358</v>
      </c>
    </row>
    <row r="19220" spans="1:14">
      <c r="A19220" t="s">
        <v>11824</v>
      </c>
      <c r="B19220">
        <f>HYPERLINK("https://android.googlesource.com/platform/cts/+/63f614d357563fef83cd4b09127a1e13e005fe99", "63f614d357563fef83cd4b09127a1e13e005fe99")</f>
        <v>0</v>
      </c>
      <c r="C19220">
        <f>HYPERLINK("https://android.googlesource.com/platform/cts/+/35d66c03de9fdb986d40833f227e19b4e8806aa3", "35d66c03de9fdb986d40833f227e19b4e8806aa3")</f>
        <v>0</v>
      </c>
      <c r="D19220" t="s">
        <v>12306</v>
      </c>
      <c r="E19220" t="s">
        <v>14324</v>
      </c>
      <c r="F19220" t="s">
        <v>16048</v>
      </c>
      <c r="G19220" t="s">
        <v>18739</v>
      </c>
      <c r="H19220" t="s">
        <v>26620</v>
      </c>
      <c r="I19220" t="s">
        <v>1359</v>
      </c>
      <c r="J19220" t="s">
        <v>1358</v>
      </c>
      <c r="K19220" t="s">
        <v>1357</v>
      </c>
      <c r="L19220" t="s">
        <v>1358</v>
      </c>
    </row>
    <row r="19221" spans="1:14">
      <c r="A19221" t="s">
        <v>11825</v>
      </c>
      <c r="B19221">
        <f>HYPERLINK("https://android.googlesource.com/platform/cts/+/13cbaa3a425d69b262c5ce7bbe8bb5310ec44b37", "13cbaa3a425d69b262c5ce7bbe8bb5310ec44b37")</f>
        <v>0</v>
      </c>
      <c r="C19221">
        <f>HYPERLINK("https://android.googlesource.com/platform/cts/+/63f614d357563fef83cd4b09127a1e13e005fe99", "63f614d357563fef83cd4b09127a1e13e005fe99")</f>
        <v>0</v>
      </c>
      <c r="D19221" t="s">
        <v>12306</v>
      </c>
      <c r="E19221" t="s">
        <v>14325</v>
      </c>
      <c r="F19221" t="s">
        <v>17136</v>
      </c>
      <c r="G19221" t="s">
        <v>19725</v>
      </c>
      <c r="H19221" t="s">
        <v>26621</v>
      </c>
      <c r="I19221" t="s">
        <v>1357</v>
      </c>
      <c r="J19221" t="s">
        <v>1357</v>
      </c>
      <c r="K19221" t="s">
        <v>1357</v>
      </c>
      <c r="L19221" t="s">
        <v>1357</v>
      </c>
      <c r="N19221" t="s">
        <v>27521</v>
      </c>
    </row>
    <row r="19222" spans="1:14">
      <c r="H19222" t="s">
        <v>26622</v>
      </c>
      <c r="I19222" t="s">
        <v>1357</v>
      </c>
      <c r="J19222" t="s">
        <v>1357</v>
      </c>
      <c r="K19222" t="s">
        <v>1357</v>
      </c>
      <c r="L19222" t="s">
        <v>1357</v>
      </c>
      <c r="N19222" t="s">
        <v>27521</v>
      </c>
    </row>
    <row r="19223" spans="1:14">
      <c r="H19223" t="s">
        <v>26002</v>
      </c>
      <c r="I19223" t="s">
        <v>1357</v>
      </c>
      <c r="J19223" t="s">
        <v>1357</v>
      </c>
      <c r="K19223" t="s">
        <v>1357</v>
      </c>
      <c r="L19223" t="s">
        <v>1357</v>
      </c>
      <c r="N19223" t="s">
        <v>27521</v>
      </c>
    </row>
    <row r="19224" spans="1:14">
      <c r="A19224" t="s">
        <v>11826</v>
      </c>
      <c r="B19224">
        <f>HYPERLINK("https://android.googlesource.com/platform/cts/+/ccbd6dea4d9f7abceac9174136849e45b9cbd339", "ccbd6dea4d9f7abceac9174136849e45b9cbd339")</f>
        <v>0</v>
      </c>
      <c r="C19224">
        <f>HYPERLINK("https://android.googlesource.com/platform/cts/+/13cbaa3a425d69b262c5ce7bbe8bb5310ec44b37", "13cbaa3a425d69b262c5ce7bbe8bb5310ec44b37")</f>
        <v>0</v>
      </c>
      <c r="D19224" t="s">
        <v>12306</v>
      </c>
      <c r="E19224" t="s">
        <v>14326</v>
      </c>
      <c r="F19224" t="s">
        <v>17194</v>
      </c>
      <c r="G19224" t="s">
        <v>19777</v>
      </c>
      <c r="H19224" t="s">
        <v>25689</v>
      </c>
      <c r="I19224" t="s">
        <v>1357</v>
      </c>
      <c r="J19224" t="s">
        <v>1357</v>
      </c>
      <c r="K19224" t="s">
        <v>1357</v>
      </c>
      <c r="L19224" t="s">
        <v>1357</v>
      </c>
    </row>
    <row r="19225" spans="1:14">
      <c r="H19225" t="s">
        <v>25989</v>
      </c>
      <c r="I19225" t="s">
        <v>1357</v>
      </c>
      <c r="J19225" t="s">
        <v>1357</v>
      </c>
      <c r="K19225" t="s">
        <v>1357</v>
      </c>
      <c r="L19225" t="s">
        <v>1357</v>
      </c>
    </row>
    <row r="19226" spans="1:14">
      <c r="A19226" t="s">
        <v>11827</v>
      </c>
      <c r="B19226">
        <f>HYPERLINK("https://android.googlesource.com/platform/cts/+/fd6135bf77a5d44fa4704c2c7acb67ed93841b17", "fd6135bf77a5d44fa4704c2c7acb67ed93841b17")</f>
        <v>0</v>
      </c>
      <c r="C19226">
        <f>HYPERLINK("https://android.googlesource.com/platform/cts/+/d482480e7bdae5cf7754f1516e45225586b8109c", "d482480e7bdae5cf7754f1516e45225586b8109c")</f>
        <v>0</v>
      </c>
      <c r="D19226" t="s">
        <v>12385</v>
      </c>
      <c r="E19226" t="s">
        <v>14327</v>
      </c>
      <c r="F19226" t="s">
        <v>17195</v>
      </c>
      <c r="G19226" t="s">
        <v>19778</v>
      </c>
      <c r="H19226" t="s">
        <v>26623</v>
      </c>
      <c r="I19226" t="s">
        <v>1358</v>
      </c>
      <c r="J19226" t="s">
        <v>1358</v>
      </c>
      <c r="K19226" t="s">
        <v>1358</v>
      </c>
      <c r="L19226" t="s">
        <v>1358</v>
      </c>
    </row>
    <row r="19227" spans="1:14">
      <c r="H19227" t="s">
        <v>26624</v>
      </c>
      <c r="I19227" t="s">
        <v>1358</v>
      </c>
      <c r="J19227" t="s">
        <v>1358</v>
      </c>
      <c r="K19227" t="s">
        <v>1358</v>
      </c>
      <c r="L19227" t="s">
        <v>1358</v>
      </c>
    </row>
    <row r="19228" spans="1:14">
      <c r="H19228" t="s">
        <v>26625</v>
      </c>
      <c r="I19228" t="s">
        <v>1358</v>
      </c>
      <c r="J19228" t="s">
        <v>1358</v>
      </c>
      <c r="K19228" t="s">
        <v>1358</v>
      </c>
      <c r="L19228" t="s">
        <v>1358</v>
      </c>
    </row>
    <row r="19229" spans="1:14">
      <c r="H19229" t="s">
        <v>26626</v>
      </c>
      <c r="I19229" t="s">
        <v>1358</v>
      </c>
      <c r="J19229" t="s">
        <v>1358</v>
      </c>
      <c r="K19229" t="s">
        <v>1358</v>
      </c>
      <c r="L19229" t="s">
        <v>1358</v>
      </c>
    </row>
    <row r="19230" spans="1:14">
      <c r="H19230" t="s">
        <v>26627</v>
      </c>
      <c r="I19230" t="s">
        <v>1358</v>
      </c>
      <c r="J19230" t="s">
        <v>1358</v>
      </c>
      <c r="K19230" t="s">
        <v>1358</v>
      </c>
      <c r="L19230" t="s">
        <v>1358</v>
      </c>
    </row>
    <row r="19231" spans="1:14">
      <c r="H19231" t="s">
        <v>26628</v>
      </c>
      <c r="I19231" t="s">
        <v>1358</v>
      </c>
      <c r="J19231" t="s">
        <v>1358</v>
      </c>
      <c r="K19231" t="s">
        <v>1358</v>
      </c>
      <c r="L19231" t="s">
        <v>1358</v>
      </c>
    </row>
    <row r="19232" spans="1:14">
      <c r="H19232" t="s">
        <v>26629</v>
      </c>
      <c r="I19232" t="s">
        <v>1358</v>
      </c>
      <c r="J19232" t="s">
        <v>1358</v>
      </c>
      <c r="K19232" t="s">
        <v>1358</v>
      </c>
      <c r="L19232" t="s">
        <v>1358</v>
      </c>
    </row>
    <row r="19233" spans="8:12">
      <c r="H19233" t="s">
        <v>26630</v>
      </c>
      <c r="I19233" t="s">
        <v>1358</v>
      </c>
      <c r="J19233" t="s">
        <v>1358</v>
      </c>
      <c r="K19233" t="s">
        <v>1358</v>
      </c>
      <c r="L19233" t="s">
        <v>1358</v>
      </c>
    </row>
    <row r="19234" spans="8:12">
      <c r="H19234" t="s">
        <v>26631</v>
      </c>
      <c r="I19234" t="s">
        <v>1358</v>
      </c>
      <c r="J19234" t="s">
        <v>1358</v>
      </c>
      <c r="K19234" t="s">
        <v>1358</v>
      </c>
      <c r="L19234" t="s">
        <v>1358</v>
      </c>
    </row>
    <row r="19235" spans="8:12">
      <c r="H19235" t="s">
        <v>26632</v>
      </c>
      <c r="I19235" t="s">
        <v>1358</v>
      </c>
      <c r="J19235" t="s">
        <v>1358</v>
      </c>
      <c r="K19235" t="s">
        <v>1358</v>
      </c>
      <c r="L19235" t="s">
        <v>1358</v>
      </c>
    </row>
    <row r="19236" spans="8:12">
      <c r="H19236" t="s">
        <v>26633</v>
      </c>
      <c r="I19236" t="s">
        <v>1358</v>
      </c>
      <c r="J19236" t="s">
        <v>1358</v>
      </c>
      <c r="K19236" t="s">
        <v>1358</v>
      </c>
      <c r="L19236" t="s">
        <v>1358</v>
      </c>
    </row>
    <row r="19237" spans="8:12">
      <c r="H19237" t="s">
        <v>26634</v>
      </c>
      <c r="I19237" t="s">
        <v>1358</v>
      </c>
      <c r="J19237" t="s">
        <v>1358</v>
      </c>
      <c r="K19237" t="s">
        <v>1358</v>
      </c>
      <c r="L19237" t="s">
        <v>1358</v>
      </c>
    </row>
    <row r="19238" spans="8:12">
      <c r="H19238" t="s">
        <v>26635</v>
      </c>
      <c r="I19238" t="s">
        <v>1358</v>
      </c>
      <c r="J19238" t="s">
        <v>1358</v>
      </c>
      <c r="K19238" t="s">
        <v>1358</v>
      </c>
      <c r="L19238" t="s">
        <v>1358</v>
      </c>
    </row>
    <row r="19239" spans="8:12">
      <c r="H19239" t="s">
        <v>26636</v>
      </c>
      <c r="I19239" t="s">
        <v>1358</v>
      </c>
      <c r="J19239" t="s">
        <v>1358</v>
      </c>
      <c r="K19239" t="s">
        <v>1358</v>
      </c>
      <c r="L19239" t="s">
        <v>1358</v>
      </c>
    </row>
    <row r="19240" spans="8:12">
      <c r="H19240" t="s">
        <v>26637</v>
      </c>
      <c r="I19240" t="s">
        <v>1358</v>
      </c>
      <c r="J19240" t="s">
        <v>1358</v>
      </c>
      <c r="K19240" t="s">
        <v>1358</v>
      </c>
      <c r="L19240" t="s">
        <v>1358</v>
      </c>
    </row>
    <row r="19241" spans="8:12">
      <c r="H19241" t="s">
        <v>26638</v>
      </c>
      <c r="I19241" t="s">
        <v>1358</v>
      </c>
      <c r="J19241" t="s">
        <v>1358</v>
      </c>
      <c r="K19241" t="s">
        <v>1358</v>
      </c>
      <c r="L19241" t="s">
        <v>1358</v>
      </c>
    </row>
    <row r="19242" spans="8:12">
      <c r="H19242" t="s">
        <v>26639</v>
      </c>
      <c r="I19242" t="s">
        <v>1358</v>
      </c>
      <c r="J19242" t="s">
        <v>1358</v>
      </c>
      <c r="K19242" t="s">
        <v>1358</v>
      </c>
      <c r="L19242" t="s">
        <v>1358</v>
      </c>
    </row>
    <row r="19243" spans="8:12">
      <c r="H19243" t="s">
        <v>26640</v>
      </c>
      <c r="I19243" t="s">
        <v>1358</v>
      </c>
      <c r="J19243" t="s">
        <v>1358</v>
      </c>
      <c r="K19243" t="s">
        <v>1358</v>
      </c>
      <c r="L19243" t="s">
        <v>1358</v>
      </c>
    </row>
    <row r="19244" spans="8:12">
      <c r="H19244" t="s">
        <v>26641</v>
      </c>
      <c r="I19244" t="s">
        <v>1358</v>
      </c>
      <c r="J19244" t="s">
        <v>1358</v>
      </c>
      <c r="K19244" t="s">
        <v>1358</v>
      </c>
      <c r="L19244" t="s">
        <v>1358</v>
      </c>
    </row>
    <row r="19245" spans="8:12">
      <c r="H19245" t="s">
        <v>26642</v>
      </c>
      <c r="I19245" t="s">
        <v>1358</v>
      </c>
      <c r="J19245" t="s">
        <v>1358</v>
      </c>
      <c r="K19245" t="s">
        <v>1358</v>
      </c>
      <c r="L19245" t="s">
        <v>1358</v>
      </c>
    </row>
    <row r="19246" spans="8:12">
      <c r="H19246" t="s">
        <v>26643</v>
      </c>
      <c r="I19246" t="s">
        <v>1358</v>
      </c>
      <c r="J19246" t="s">
        <v>1358</v>
      </c>
      <c r="K19246" t="s">
        <v>1358</v>
      </c>
      <c r="L19246" t="s">
        <v>1358</v>
      </c>
    </row>
    <row r="19247" spans="8:12">
      <c r="H19247" t="s">
        <v>26644</v>
      </c>
      <c r="I19247" t="s">
        <v>1358</v>
      </c>
      <c r="J19247" t="s">
        <v>1358</v>
      </c>
      <c r="K19247" t="s">
        <v>1358</v>
      </c>
      <c r="L19247" t="s">
        <v>1358</v>
      </c>
    </row>
    <row r="19248" spans="8:12">
      <c r="H19248" t="s">
        <v>26645</v>
      </c>
      <c r="I19248" t="s">
        <v>1358</v>
      </c>
      <c r="J19248" t="s">
        <v>1358</v>
      </c>
      <c r="K19248" t="s">
        <v>1358</v>
      </c>
      <c r="L19248" t="s">
        <v>1358</v>
      </c>
    </row>
    <row r="19249" spans="8:12">
      <c r="H19249" t="s">
        <v>26646</v>
      </c>
      <c r="I19249" t="s">
        <v>1358</v>
      </c>
      <c r="J19249" t="s">
        <v>1358</v>
      </c>
      <c r="K19249" t="s">
        <v>1358</v>
      </c>
      <c r="L19249" t="s">
        <v>1358</v>
      </c>
    </row>
    <row r="19250" spans="8:12">
      <c r="H19250" t="s">
        <v>26647</v>
      </c>
      <c r="I19250" t="s">
        <v>1358</v>
      </c>
      <c r="J19250" t="s">
        <v>1358</v>
      </c>
      <c r="K19250" t="s">
        <v>1358</v>
      </c>
      <c r="L19250" t="s">
        <v>1358</v>
      </c>
    </row>
    <row r="19251" spans="8:12">
      <c r="H19251" t="s">
        <v>26648</v>
      </c>
      <c r="I19251" t="s">
        <v>1358</v>
      </c>
      <c r="J19251" t="s">
        <v>1358</v>
      </c>
      <c r="K19251" t="s">
        <v>1358</v>
      </c>
      <c r="L19251" t="s">
        <v>1358</v>
      </c>
    </row>
    <row r="19252" spans="8:12">
      <c r="H19252" t="s">
        <v>26649</v>
      </c>
      <c r="I19252" t="s">
        <v>1358</v>
      </c>
      <c r="J19252" t="s">
        <v>1358</v>
      </c>
      <c r="K19252" t="s">
        <v>1358</v>
      </c>
      <c r="L19252" t="s">
        <v>1358</v>
      </c>
    </row>
    <row r="19253" spans="8:12">
      <c r="H19253" t="s">
        <v>26650</v>
      </c>
      <c r="I19253" t="s">
        <v>1358</v>
      </c>
      <c r="J19253" t="s">
        <v>1358</v>
      </c>
      <c r="K19253" t="s">
        <v>1358</v>
      </c>
      <c r="L19253" t="s">
        <v>1358</v>
      </c>
    </row>
    <row r="19254" spans="8:12">
      <c r="H19254" t="s">
        <v>26651</v>
      </c>
      <c r="I19254" t="s">
        <v>1358</v>
      </c>
      <c r="J19254" t="s">
        <v>1358</v>
      </c>
      <c r="K19254" t="s">
        <v>1358</v>
      </c>
      <c r="L19254" t="s">
        <v>1358</v>
      </c>
    </row>
    <row r="19255" spans="8:12">
      <c r="H19255" t="s">
        <v>26652</v>
      </c>
      <c r="I19255" t="s">
        <v>1358</v>
      </c>
      <c r="J19255" t="s">
        <v>1358</v>
      </c>
      <c r="K19255" t="s">
        <v>1358</v>
      </c>
      <c r="L19255" t="s">
        <v>1358</v>
      </c>
    </row>
    <row r="19256" spans="8:12">
      <c r="H19256" t="s">
        <v>26653</v>
      </c>
      <c r="I19256" t="s">
        <v>1358</v>
      </c>
      <c r="J19256" t="s">
        <v>1358</v>
      </c>
      <c r="K19256" t="s">
        <v>1358</v>
      </c>
      <c r="L19256" t="s">
        <v>1358</v>
      </c>
    </row>
    <row r="19257" spans="8:12">
      <c r="H19257" t="s">
        <v>26654</v>
      </c>
      <c r="I19257" t="s">
        <v>1358</v>
      </c>
      <c r="J19257" t="s">
        <v>1358</v>
      </c>
      <c r="K19257" t="s">
        <v>1358</v>
      </c>
      <c r="L19257" t="s">
        <v>1358</v>
      </c>
    </row>
    <row r="19258" spans="8:12">
      <c r="H19258" t="s">
        <v>26655</v>
      </c>
      <c r="I19258" t="s">
        <v>1358</v>
      </c>
      <c r="J19258" t="s">
        <v>1358</v>
      </c>
      <c r="K19258" t="s">
        <v>1358</v>
      </c>
      <c r="L19258" t="s">
        <v>1358</v>
      </c>
    </row>
    <row r="19259" spans="8:12">
      <c r="H19259" t="s">
        <v>26656</v>
      </c>
      <c r="I19259" t="s">
        <v>1358</v>
      </c>
      <c r="J19259" t="s">
        <v>1358</v>
      </c>
      <c r="K19259" t="s">
        <v>1358</v>
      </c>
      <c r="L19259" t="s">
        <v>1358</v>
      </c>
    </row>
    <row r="19260" spans="8:12">
      <c r="H19260" t="s">
        <v>26657</v>
      </c>
      <c r="I19260" t="s">
        <v>1358</v>
      </c>
      <c r="J19260" t="s">
        <v>1358</v>
      </c>
      <c r="K19260" t="s">
        <v>1358</v>
      </c>
      <c r="L19260" t="s">
        <v>1358</v>
      </c>
    </row>
    <row r="19261" spans="8:12">
      <c r="H19261" t="s">
        <v>26658</v>
      </c>
      <c r="I19261" t="s">
        <v>1358</v>
      </c>
      <c r="J19261" t="s">
        <v>1358</v>
      </c>
      <c r="K19261" t="s">
        <v>1358</v>
      </c>
      <c r="L19261" t="s">
        <v>1358</v>
      </c>
    </row>
    <row r="19262" spans="8:12">
      <c r="H19262" t="s">
        <v>26659</v>
      </c>
      <c r="I19262" t="s">
        <v>1358</v>
      </c>
      <c r="J19262" t="s">
        <v>1358</v>
      </c>
      <c r="K19262" t="s">
        <v>1358</v>
      </c>
      <c r="L19262" t="s">
        <v>1358</v>
      </c>
    </row>
    <row r="19263" spans="8:12">
      <c r="H19263" t="s">
        <v>26660</v>
      </c>
      <c r="I19263" t="s">
        <v>1358</v>
      </c>
      <c r="J19263" t="s">
        <v>1358</v>
      </c>
      <c r="K19263" t="s">
        <v>1358</v>
      </c>
      <c r="L19263" t="s">
        <v>1358</v>
      </c>
    </row>
    <row r="19264" spans="8:12">
      <c r="H19264" t="s">
        <v>26661</v>
      </c>
      <c r="I19264" t="s">
        <v>1358</v>
      </c>
      <c r="J19264" t="s">
        <v>1358</v>
      </c>
      <c r="K19264" t="s">
        <v>1358</v>
      </c>
      <c r="L19264" t="s">
        <v>1358</v>
      </c>
    </row>
    <row r="19265" spans="8:12">
      <c r="H19265" t="s">
        <v>26662</v>
      </c>
      <c r="I19265" t="s">
        <v>1358</v>
      </c>
      <c r="J19265" t="s">
        <v>1358</v>
      </c>
      <c r="K19265" t="s">
        <v>1358</v>
      </c>
      <c r="L19265" t="s">
        <v>1358</v>
      </c>
    </row>
    <row r="19266" spans="8:12">
      <c r="H19266" t="s">
        <v>26663</v>
      </c>
      <c r="I19266" t="s">
        <v>1358</v>
      </c>
      <c r="J19266" t="s">
        <v>1358</v>
      </c>
      <c r="K19266" t="s">
        <v>1358</v>
      </c>
      <c r="L19266" t="s">
        <v>1358</v>
      </c>
    </row>
    <row r="19267" spans="8:12">
      <c r="H19267" t="s">
        <v>26664</v>
      </c>
      <c r="I19267" t="s">
        <v>1358</v>
      </c>
      <c r="J19267" t="s">
        <v>1358</v>
      </c>
      <c r="K19267" t="s">
        <v>1358</v>
      </c>
      <c r="L19267" t="s">
        <v>1358</v>
      </c>
    </row>
    <row r="19268" spans="8:12">
      <c r="H19268" t="s">
        <v>26665</v>
      </c>
      <c r="I19268" t="s">
        <v>1358</v>
      </c>
      <c r="J19268" t="s">
        <v>1358</v>
      </c>
      <c r="K19268" t="s">
        <v>1358</v>
      </c>
      <c r="L19268" t="s">
        <v>1358</v>
      </c>
    </row>
    <row r="19269" spans="8:12">
      <c r="H19269" t="s">
        <v>26666</v>
      </c>
      <c r="I19269" t="s">
        <v>1358</v>
      </c>
      <c r="J19269" t="s">
        <v>1358</v>
      </c>
      <c r="K19269" t="s">
        <v>1358</v>
      </c>
      <c r="L19269" t="s">
        <v>1358</v>
      </c>
    </row>
    <row r="19270" spans="8:12">
      <c r="H19270" t="s">
        <v>26667</v>
      </c>
      <c r="I19270" t="s">
        <v>1358</v>
      </c>
      <c r="J19270" t="s">
        <v>1358</v>
      </c>
      <c r="K19270" t="s">
        <v>1358</v>
      </c>
      <c r="L19270" t="s">
        <v>1358</v>
      </c>
    </row>
    <row r="19271" spans="8:12">
      <c r="H19271" t="s">
        <v>26668</v>
      </c>
      <c r="I19271" t="s">
        <v>1358</v>
      </c>
      <c r="J19271" t="s">
        <v>1358</v>
      </c>
      <c r="K19271" t="s">
        <v>1358</v>
      </c>
      <c r="L19271" t="s">
        <v>1358</v>
      </c>
    </row>
    <row r="19272" spans="8:12">
      <c r="H19272" t="s">
        <v>26669</v>
      </c>
      <c r="I19272" t="s">
        <v>1358</v>
      </c>
      <c r="J19272" t="s">
        <v>1358</v>
      </c>
      <c r="K19272" t="s">
        <v>1358</v>
      </c>
      <c r="L19272" t="s">
        <v>1358</v>
      </c>
    </row>
    <row r="19273" spans="8:12">
      <c r="H19273" t="s">
        <v>26670</v>
      </c>
      <c r="I19273" t="s">
        <v>1358</v>
      </c>
      <c r="J19273" t="s">
        <v>1358</v>
      </c>
      <c r="K19273" t="s">
        <v>1358</v>
      </c>
      <c r="L19273" t="s">
        <v>1358</v>
      </c>
    </row>
    <row r="19274" spans="8:12">
      <c r="H19274" t="s">
        <v>26671</v>
      </c>
      <c r="I19274" t="s">
        <v>1358</v>
      </c>
      <c r="J19274" t="s">
        <v>1358</v>
      </c>
      <c r="K19274" t="s">
        <v>1358</v>
      </c>
      <c r="L19274" t="s">
        <v>1358</v>
      </c>
    </row>
    <row r="19275" spans="8:12">
      <c r="H19275" t="s">
        <v>26672</v>
      </c>
      <c r="I19275" t="s">
        <v>1358</v>
      </c>
      <c r="J19275" t="s">
        <v>1358</v>
      </c>
      <c r="K19275" t="s">
        <v>1358</v>
      </c>
      <c r="L19275" t="s">
        <v>1358</v>
      </c>
    </row>
    <row r="19276" spans="8:12">
      <c r="H19276" t="s">
        <v>26673</v>
      </c>
      <c r="I19276" t="s">
        <v>1358</v>
      </c>
      <c r="J19276" t="s">
        <v>1358</v>
      </c>
      <c r="K19276" t="s">
        <v>1358</v>
      </c>
      <c r="L19276" t="s">
        <v>1358</v>
      </c>
    </row>
    <row r="19277" spans="8:12">
      <c r="H19277" t="s">
        <v>26674</v>
      </c>
      <c r="I19277" t="s">
        <v>1358</v>
      </c>
      <c r="J19277" t="s">
        <v>1358</v>
      </c>
      <c r="K19277" t="s">
        <v>1358</v>
      </c>
      <c r="L19277" t="s">
        <v>1358</v>
      </c>
    </row>
    <row r="19278" spans="8:12">
      <c r="H19278" t="s">
        <v>26675</v>
      </c>
      <c r="I19278" t="s">
        <v>1358</v>
      </c>
      <c r="J19278" t="s">
        <v>1358</v>
      </c>
      <c r="K19278" t="s">
        <v>1358</v>
      </c>
      <c r="L19278" t="s">
        <v>1358</v>
      </c>
    </row>
    <row r="19279" spans="8:12">
      <c r="H19279" t="s">
        <v>26676</v>
      </c>
      <c r="I19279" t="s">
        <v>1358</v>
      </c>
      <c r="J19279" t="s">
        <v>1358</v>
      </c>
      <c r="K19279" t="s">
        <v>1358</v>
      </c>
      <c r="L19279" t="s">
        <v>1358</v>
      </c>
    </row>
    <row r="19280" spans="8:12">
      <c r="H19280" t="s">
        <v>26677</v>
      </c>
      <c r="I19280" t="s">
        <v>1358</v>
      </c>
      <c r="J19280" t="s">
        <v>1358</v>
      </c>
      <c r="K19280" t="s">
        <v>1358</v>
      </c>
      <c r="L19280" t="s">
        <v>1358</v>
      </c>
    </row>
    <row r="19281" spans="1:12">
      <c r="H19281" t="s">
        <v>26678</v>
      </c>
      <c r="I19281" t="s">
        <v>1358</v>
      </c>
      <c r="J19281" t="s">
        <v>1358</v>
      </c>
      <c r="K19281" t="s">
        <v>1358</v>
      </c>
      <c r="L19281" t="s">
        <v>1358</v>
      </c>
    </row>
    <row r="19282" spans="1:12">
      <c r="H19282" t="s">
        <v>26679</v>
      </c>
      <c r="I19282" t="s">
        <v>1358</v>
      </c>
      <c r="J19282" t="s">
        <v>1358</v>
      </c>
      <c r="K19282" t="s">
        <v>1358</v>
      </c>
      <c r="L19282" t="s">
        <v>1358</v>
      </c>
    </row>
    <row r="19283" spans="1:12">
      <c r="H19283" t="s">
        <v>26680</v>
      </c>
      <c r="I19283" t="s">
        <v>1358</v>
      </c>
      <c r="J19283" t="s">
        <v>1358</v>
      </c>
      <c r="K19283" t="s">
        <v>1358</v>
      </c>
      <c r="L19283" t="s">
        <v>1358</v>
      </c>
    </row>
    <row r="19284" spans="1:12">
      <c r="H19284" t="s">
        <v>26681</v>
      </c>
      <c r="I19284" t="s">
        <v>1358</v>
      </c>
      <c r="J19284" t="s">
        <v>1358</v>
      </c>
      <c r="K19284" t="s">
        <v>1358</v>
      </c>
      <c r="L19284" t="s">
        <v>1358</v>
      </c>
    </row>
    <row r="19285" spans="1:12">
      <c r="H19285" t="s">
        <v>26682</v>
      </c>
      <c r="I19285" t="s">
        <v>1358</v>
      </c>
      <c r="J19285" t="s">
        <v>1358</v>
      </c>
      <c r="K19285" t="s">
        <v>1358</v>
      </c>
      <c r="L19285" t="s">
        <v>1358</v>
      </c>
    </row>
    <row r="19286" spans="1:12">
      <c r="A19286" t="s">
        <v>11828</v>
      </c>
      <c r="B19286">
        <f>HYPERLINK("https://android.googlesource.com/platform/cts/+/89e7db85873382dc2de717d7f668a911ba4b72cd", "89e7db85873382dc2de717d7f668a911ba4b72cd")</f>
        <v>0</v>
      </c>
      <c r="C19286">
        <f>HYPERLINK("https://android.googlesource.com/platform/cts/+/5ddeee4e9361d38048185b32ceef05150649890f", "5ddeee4e9361d38048185b32ceef05150649890f")</f>
        <v>0</v>
      </c>
      <c r="D19286" t="s">
        <v>12492</v>
      </c>
      <c r="E19286" t="s">
        <v>14328</v>
      </c>
      <c r="F19286" t="s">
        <v>17196</v>
      </c>
      <c r="G19286" t="s">
        <v>19779</v>
      </c>
      <c r="H19286" t="s">
        <v>26683</v>
      </c>
      <c r="I19286" t="s">
        <v>1357</v>
      </c>
      <c r="J19286" t="s">
        <v>1357</v>
      </c>
      <c r="K19286" t="s">
        <v>1357</v>
      </c>
      <c r="L19286" t="s">
        <v>1357</v>
      </c>
    </row>
    <row r="19287" spans="1:12">
      <c r="A19287" t="s">
        <v>11829</v>
      </c>
      <c r="B19287">
        <f>HYPERLINK("https://android.googlesource.com/platform/cts/+/89d40c2c28f41229c06e2a944f36b93e19e4b0f0", "89d40c2c28f41229c06e2a944f36b93e19e4b0f0")</f>
        <v>0</v>
      </c>
      <c r="C19287">
        <f>HYPERLINK("https://android.googlesource.com/platform/cts/+/6890b4b940b8c63ff3c8a3fee8ebdc99de8f446b", "6890b4b940b8c63ff3c8a3fee8ebdc99de8f446b")</f>
        <v>0</v>
      </c>
      <c r="D19287" t="s">
        <v>12188</v>
      </c>
      <c r="E19287" t="s">
        <v>14329</v>
      </c>
      <c r="F19287" t="s">
        <v>17006</v>
      </c>
      <c r="G19287" t="s">
        <v>19608</v>
      </c>
      <c r="H19287" t="s">
        <v>26684</v>
      </c>
      <c r="I19287" t="s">
        <v>1358</v>
      </c>
      <c r="J19287" t="s">
        <v>1358</v>
      </c>
      <c r="K19287" t="s">
        <v>1358</v>
      </c>
      <c r="L19287" t="s">
        <v>1358</v>
      </c>
    </row>
    <row r="19288" spans="1:12">
      <c r="A19288" t="s">
        <v>11830</v>
      </c>
      <c r="B19288">
        <f>HYPERLINK("https://android.googlesource.com/platform/cts/+/f796b85d994467ef4e6d4eebabe5eedda55571e2", "f796b85d994467ef4e6d4eebabe5eedda55571e2")</f>
        <v>0</v>
      </c>
      <c r="C19288">
        <f>HYPERLINK("https://android.googlesource.com/platform/cts/+/d482480e7bdae5cf7754f1516e45225586b8109c", "d482480e7bdae5cf7754f1516e45225586b8109c")</f>
        <v>0</v>
      </c>
      <c r="D19288" t="s">
        <v>12385</v>
      </c>
      <c r="E19288" t="s">
        <v>14330</v>
      </c>
      <c r="F19288" t="s">
        <v>17197</v>
      </c>
      <c r="G19288" t="s">
        <v>18894</v>
      </c>
      <c r="H19288" t="s">
        <v>26685</v>
      </c>
      <c r="I19288" t="s">
        <v>1358</v>
      </c>
      <c r="J19288" t="s">
        <v>1358</v>
      </c>
      <c r="K19288" t="s">
        <v>1358</v>
      </c>
      <c r="L19288" t="s">
        <v>1358</v>
      </c>
    </row>
    <row r="19289" spans="1:12">
      <c r="H19289" t="s">
        <v>26686</v>
      </c>
      <c r="I19289" t="s">
        <v>1358</v>
      </c>
      <c r="J19289" t="s">
        <v>1358</v>
      </c>
      <c r="K19289" t="s">
        <v>1358</v>
      </c>
      <c r="L19289" t="s">
        <v>1358</v>
      </c>
    </row>
    <row r="19290" spans="1:12">
      <c r="H19290" t="s">
        <v>26687</v>
      </c>
      <c r="I19290" t="s">
        <v>1358</v>
      </c>
      <c r="J19290" t="s">
        <v>1358</v>
      </c>
      <c r="K19290" t="s">
        <v>1358</v>
      </c>
      <c r="L19290" t="s">
        <v>1358</v>
      </c>
    </row>
    <row r="19291" spans="1:12">
      <c r="H19291" t="s">
        <v>26688</v>
      </c>
      <c r="I19291" t="s">
        <v>1358</v>
      </c>
      <c r="J19291" t="s">
        <v>1358</v>
      </c>
      <c r="K19291" t="s">
        <v>1358</v>
      </c>
      <c r="L19291" t="s">
        <v>1358</v>
      </c>
    </row>
    <row r="19292" spans="1:12">
      <c r="H19292" t="s">
        <v>26689</v>
      </c>
      <c r="I19292" t="s">
        <v>1358</v>
      </c>
      <c r="J19292" t="s">
        <v>1358</v>
      </c>
      <c r="K19292" t="s">
        <v>1358</v>
      </c>
      <c r="L19292" t="s">
        <v>1358</v>
      </c>
    </row>
    <row r="19293" spans="1:12">
      <c r="H19293" t="s">
        <v>26690</v>
      </c>
      <c r="I19293" t="s">
        <v>1358</v>
      </c>
      <c r="J19293" t="s">
        <v>1358</v>
      </c>
      <c r="K19293" t="s">
        <v>1358</v>
      </c>
      <c r="L19293" t="s">
        <v>1358</v>
      </c>
    </row>
    <row r="19294" spans="1:12">
      <c r="H19294" t="s">
        <v>26691</v>
      </c>
      <c r="I19294" t="s">
        <v>1358</v>
      </c>
      <c r="J19294" t="s">
        <v>1358</v>
      </c>
      <c r="K19294" t="s">
        <v>1358</v>
      </c>
      <c r="L19294" t="s">
        <v>1358</v>
      </c>
    </row>
    <row r="19295" spans="1:12">
      <c r="H19295" t="s">
        <v>26692</v>
      </c>
      <c r="I19295" t="s">
        <v>1358</v>
      </c>
      <c r="J19295" t="s">
        <v>1358</v>
      </c>
      <c r="K19295" t="s">
        <v>1358</v>
      </c>
      <c r="L19295" t="s">
        <v>1358</v>
      </c>
    </row>
    <row r="19296" spans="1:12">
      <c r="H19296" t="s">
        <v>26693</v>
      </c>
      <c r="I19296" t="s">
        <v>1358</v>
      </c>
      <c r="J19296" t="s">
        <v>1358</v>
      </c>
      <c r="K19296" t="s">
        <v>1358</v>
      </c>
      <c r="L19296" t="s">
        <v>1358</v>
      </c>
    </row>
    <row r="19297" spans="8:12">
      <c r="H19297" t="s">
        <v>26694</v>
      </c>
      <c r="I19297" t="s">
        <v>1358</v>
      </c>
      <c r="J19297" t="s">
        <v>1358</v>
      </c>
      <c r="K19297" t="s">
        <v>1358</v>
      </c>
      <c r="L19297" t="s">
        <v>1358</v>
      </c>
    </row>
    <row r="19298" spans="8:12">
      <c r="H19298" t="s">
        <v>26695</v>
      </c>
      <c r="I19298" t="s">
        <v>1358</v>
      </c>
      <c r="J19298" t="s">
        <v>1358</v>
      </c>
      <c r="K19298" t="s">
        <v>1358</v>
      </c>
      <c r="L19298" t="s">
        <v>1358</v>
      </c>
    </row>
    <row r="19299" spans="8:12">
      <c r="H19299" t="s">
        <v>26696</v>
      </c>
      <c r="I19299" t="s">
        <v>1358</v>
      </c>
      <c r="J19299" t="s">
        <v>1358</v>
      </c>
      <c r="K19299" t="s">
        <v>1358</v>
      </c>
      <c r="L19299" t="s">
        <v>1358</v>
      </c>
    </row>
    <row r="19300" spans="8:12">
      <c r="H19300" t="s">
        <v>26697</v>
      </c>
      <c r="I19300" t="s">
        <v>1358</v>
      </c>
      <c r="J19300" t="s">
        <v>1358</v>
      </c>
      <c r="K19300" t="s">
        <v>1358</v>
      </c>
      <c r="L19300" t="s">
        <v>1358</v>
      </c>
    </row>
    <row r="19301" spans="8:12">
      <c r="H19301" t="s">
        <v>26698</v>
      </c>
      <c r="I19301" t="s">
        <v>1358</v>
      </c>
      <c r="J19301" t="s">
        <v>1358</v>
      </c>
      <c r="K19301" t="s">
        <v>1358</v>
      </c>
      <c r="L19301" t="s">
        <v>1358</v>
      </c>
    </row>
    <row r="19302" spans="8:12">
      <c r="H19302" t="s">
        <v>26699</v>
      </c>
      <c r="I19302" t="s">
        <v>1358</v>
      </c>
      <c r="J19302" t="s">
        <v>1358</v>
      </c>
      <c r="K19302" t="s">
        <v>1358</v>
      </c>
      <c r="L19302" t="s">
        <v>1358</v>
      </c>
    </row>
    <row r="19303" spans="8:12">
      <c r="H19303" t="s">
        <v>26700</v>
      </c>
      <c r="I19303" t="s">
        <v>1358</v>
      </c>
      <c r="J19303" t="s">
        <v>1358</v>
      </c>
      <c r="K19303" t="s">
        <v>1358</v>
      </c>
      <c r="L19303" t="s">
        <v>1358</v>
      </c>
    </row>
    <row r="19304" spans="8:12">
      <c r="H19304" t="s">
        <v>26701</v>
      </c>
      <c r="I19304" t="s">
        <v>1358</v>
      </c>
      <c r="J19304" t="s">
        <v>1358</v>
      </c>
      <c r="K19304" t="s">
        <v>1358</v>
      </c>
      <c r="L19304" t="s">
        <v>1358</v>
      </c>
    </row>
    <row r="19305" spans="8:12">
      <c r="H19305" t="s">
        <v>26702</v>
      </c>
      <c r="I19305" t="s">
        <v>1358</v>
      </c>
      <c r="J19305" t="s">
        <v>1358</v>
      </c>
      <c r="K19305" t="s">
        <v>1358</v>
      </c>
      <c r="L19305" t="s">
        <v>1358</v>
      </c>
    </row>
    <row r="19306" spans="8:12">
      <c r="H19306" t="s">
        <v>26703</v>
      </c>
      <c r="I19306" t="s">
        <v>1358</v>
      </c>
      <c r="J19306" t="s">
        <v>1358</v>
      </c>
      <c r="K19306" t="s">
        <v>1358</v>
      </c>
      <c r="L19306" t="s">
        <v>1358</v>
      </c>
    </row>
    <row r="19307" spans="8:12">
      <c r="H19307" t="s">
        <v>26704</v>
      </c>
      <c r="I19307" t="s">
        <v>1358</v>
      </c>
      <c r="J19307" t="s">
        <v>1358</v>
      </c>
      <c r="K19307" t="s">
        <v>1358</v>
      </c>
      <c r="L19307" t="s">
        <v>1358</v>
      </c>
    </row>
    <row r="19308" spans="8:12">
      <c r="H19308" t="s">
        <v>26705</v>
      </c>
      <c r="I19308" t="s">
        <v>1358</v>
      </c>
      <c r="J19308" t="s">
        <v>1358</v>
      </c>
      <c r="K19308" t="s">
        <v>1358</v>
      </c>
      <c r="L19308" t="s">
        <v>1358</v>
      </c>
    </row>
    <row r="19309" spans="8:12">
      <c r="H19309" t="s">
        <v>26706</v>
      </c>
      <c r="I19309" t="s">
        <v>1358</v>
      </c>
      <c r="J19309" t="s">
        <v>1358</v>
      </c>
      <c r="K19309" t="s">
        <v>1358</v>
      </c>
      <c r="L19309" t="s">
        <v>1358</v>
      </c>
    </row>
    <row r="19310" spans="8:12">
      <c r="H19310" t="s">
        <v>26707</v>
      </c>
      <c r="I19310" t="s">
        <v>1358</v>
      </c>
      <c r="J19310" t="s">
        <v>1358</v>
      </c>
      <c r="K19310" t="s">
        <v>1358</v>
      </c>
      <c r="L19310" t="s">
        <v>1358</v>
      </c>
    </row>
    <row r="19311" spans="8:12">
      <c r="H19311" t="s">
        <v>26708</v>
      </c>
      <c r="I19311" t="s">
        <v>1358</v>
      </c>
      <c r="J19311" t="s">
        <v>1358</v>
      </c>
      <c r="K19311" t="s">
        <v>1358</v>
      </c>
      <c r="L19311" t="s">
        <v>1358</v>
      </c>
    </row>
    <row r="19312" spans="8:12">
      <c r="H19312" t="s">
        <v>26709</v>
      </c>
      <c r="I19312" t="s">
        <v>1358</v>
      </c>
      <c r="J19312" t="s">
        <v>1358</v>
      </c>
      <c r="K19312" t="s">
        <v>1358</v>
      </c>
      <c r="L19312" t="s">
        <v>1358</v>
      </c>
    </row>
    <row r="19313" spans="8:12">
      <c r="H19313" t="s">
        <v>26710</v>
      </c>
      <c r="I19313" t="s">
        <v>1358</v>
      </c>
      <c r="J19313" t="s">
        <v>1358</v>
      </c>
      <c r="K19313" t="s">
        <v>1358</v>
      </c>
      <c r="L19313" t="s">
        <v>1358</v>
      </c>
    </row>
    <row r="19314" spans="8:12">
      <c r="H19314" t="s">
        <v>26711</v>
      </c>
      <c r="I19314" t="s">
        <v>1358</v>
      </c>
      <c r="J19314" t="s">
        <v>1358</v>
      </c>
      <c r="K19314" t="s">
        <v>1358</v>
      </c>
      <c r="L19314" t="s">
        <v>1358</v>
      </c>
    </row>
    <row r="19315" spans="8:12">
      <c r="H19315" t="s">
        <v>26712</v>
      </c>
      <c r="I19315" t="s">
        <v>1358</v>
      </c>
      <c r="J19315" t="s">
        <v>1358</v>
      </c>
      <c r="K19315" t="s">
        <v>1358</v>
      </c>
      <c r="L19315" t="s">
        <v>1358</v>
      </c>
    </row>
    <row r="19316" spans="8:12">
      <c r="H19316" t="s">
        <v>26713</v>
      </c>
      <c r="I19316" t="s">
        <v>1358</v>
      </c>
      <c r="J19316" t="s">
        <v>1358</v>
      </c>
      <c r="K19316" t="s">
        <v>1358</v>
      </c>
      <c r="L19316" t="s">
        <v>1358</v>
      </c>
    </row>
    <row r="19317" spans="8:12">
      <c r="H19317" t="s">
        <v>26714</v>
      </c>
      <c r="I19317" t="s">
        <v>1358</v>
      </c>
      <c r="J19317" t="s">
        <v>1358</v>
      </c>
      <c r="K19317" t="s">
        <v>1358</v>
      </c>
      <c r="L19317" t="s">
        <v>1358</v>
      </c>
    </row>
    <row r="19318" spans="8:12">
      <c r="H19318" t="s">
        <v>26715</v>
      </c>
      <c r="I19318" t="s">
        <v>1358</v>
      </c>
      <c r="J19318" t="s">
        <v>1358</v>
      </c>
      <c r="K19318" t="s">
        <v>1358</v>
      </c>
      <c r="L19318" t="s">
        <v>1358</v>
      </c>
    </row>
    <row r="19319" spans="8:12">
      <c r="H19319" t="s">
        <v>26716</v>
      </c>
      <c r="I19319" t="s">
        <v>1358</v>
      </c>
      <c r="J19319" t="s">
        <v>1358</v>
      </c>
      <c r="K19319" t="s">
        <v>1358</v>
      </c>
      <c r="L19319" t="s">
        <v>1358</v>
      </c>
    </row>
    <row r="19320" spans="8:12">
      <c r="H19320" t="s">
        <v>26717</v>
      </c>
      <c r="I19320" t="s">
        <v>1358</v>
      </c>
      <c r="J19320" t="s">
        <v>1358</v>
      </c>
      <c r="K19320" t="s">
        <v>1358</v>
      </c>
      <c r="L19320" t="s">
        <v>1358</v>
      </c>
    </row>
    <row r="19321" spans="8:12">
      <c r="H19321" t="s">
        <v>26718</v>
      </c>
      <c r="I19321" t="s">
        <v>1358</v>
      </c>
      <c r="J19321" t="s">
        <v>1358</v>
      </c>
      <c r="K19321" t="s">
        <v>1358</v>
      </c>
      <c r="L19321" t="s">
        <v>1358</v>
      </c>
    </row>
    <row r="19322" spans="8:12">
      <c r="H19322" t="s">
        <v>26719</v>
      </c>
      <c r="I19322" t="s">
        <v>1358</v>
      </c>
      <c r="J19322" t="s">
        <v>1358</v>
      </c>
      <c r="K19322" t="s">
        <v>1358</v>
      </c>
      <c r="L19322" t="s">
        <v>1358</v>
      </c>
    </row>
    <row r="19323" spans="8:12">
      <c r="H19323" t="s">
        <v>26720</v>
      </c>
      <c r="I19323" t="s">
        <v>1358</v>
      </c>
      <c r="J19323" t="s">
        <v>1358</v>
      </c>
      <c r="K19323" t="s">
        <v>1358</v>
      </c>
      <c r="L19323" t="s">
        <v>1358</v>
      </c>
    </row>
    <row r="19324" spans="8:12">
      <c r="H19324" t="s">
        <v>26721</v>
      </c>
      <c r="I19324" t="s">
        <v>1358</v>
      </c>
      <c r="J19324" t="s">
        <v>1358</v>
      </c>
      <c r="K19324" t="s">
        <v>1358</v>
      </c>
      <c r="L19324" t="s">
        <v>1358</v>
      </c>
    </row>
    <row r="19325" spans="8:12">
      <c r="H19325" t="s">
        <v>26722</v>
      </c>
      <c r="I19325" t="s">
        <v>1358</v>
      </c>
      <c r="J19325" t="s">
        <v>1358</v>
      </c>
      <c r="K19325" t="s">
        <v>1358</v>
      </c>
      <c r="L19325" t="s">
        <v>1358</v>
      </c>
    </row>
    <row r="19326" spans="8:12">
      <c r="H19326" t="s">
        <v>26723</v>
      </c>
      <c r="I19326" t="s">
        <v>1358</v>
      </c>
      <c r="J19326" t="s">
        <v>1358</v>
      </c>
      <c r="K19326" t="s">
        <v>1358</v>
      </c>
      <c r="L19326" t="s">
        <v>1358</v>
      </c>
    </row>
    <row r="19327" spans="8:12">
      <c r="H19327" t="s">
        <v>26724</v>
      </c>
      <c r="I19327" t="s">
        <v>1358</v>
      </c>
      <c r="J19327" t="s">
        <v>1358</v>
      </c>
      <c r="K19327" t="s">
        <v>1358</v>
      </c>
      <c r="L19327" t="s">
        <v>1358</v>
      </c>
    </row>
    <row r="19328" spans="8:12">
      <c r="H19328" t="s">
        <v>26725</v>
      </c>
      <c r="I19328" t="s">
        <v>1358</v>
      </c>
      <c r="J19328" t="s">
        <v>1358</v>
      </c>
      <c r="K19328" t="s">
        <v>1358</v>
      </c>
      <c r="L19328" t="s">
        <v>1358</v>
      </c>
    </row>
    <row r="19329" spans="8:12">
      <c r="H19329" t="s">
        <v>26726</v>
      </c>
      <c r="I19329" t="s">
        <v>1358</v>
      </c>
      <c r="J19329" t="s">
        <v>1358</v>
      </c>
      <c r="K19329" t="s">
        <v>1358</v>
      </c>
      <c r="L19329" t="s">
        <v>1358</v>
      </c>
    </row>
    <row r="19330" spans="8:12">
      <c r="H19330" t="s">
        <v>26727</v>
      </c>
      <c r="I19330" t="s">
        <v>1358</v>
      </c>
      <c r="J19330" t="s">
        <v>1358</v>
      </c>
      <c r="K19330" t="s">
        <v>1358</v>
      </c>
      <c r="L19330" t="s">
        <v>1358</v>
      </c>
    </row>
    <row r="19331" spans="8:12">
      <c r="H19331" t="s">
        <v>26728</v>
      </c>
      <c r="I19331" t="s">
        <v>1358</v>
      </c>
      <c r="J19331" t="s">
        <v>1358</v>
      </c>
      <c r="K19331" t="s">
        <v>1358</v>
      </c>
      <c r="L19331" t="s">
        <v>1358</v>
      </c>
    </row>
    <row r="19332" spans="8:12">
      <c r="H19332" t="s">
        <v>26729</v>
      </c>
      <c r="I19332" t="s">
        <v>1358</v>
      </c>
      <c r="J19332" t="s">
        <v>1358</v>
      </c>
      <c r="K19332" t="s">
        <v>1358</v>
      </c>
      <c r="L19332" t="s">
        <v>1358</v>
      </c>
    </row>
    <row r="19333" spans="8:12">
      <c r="H19333" t="s">
        <v>26730</v>
      </c>
      <c r="I19333" t="s">
        <v>1358</v>
      </c>
      <c r="J19333" t="s">
        <v>1358</v>
      </c>
      <c r="K19333" t="s">
        <v>1358</v>
      </c>
      <c r="L19333" t="s">
        <v>1358</v>
      </c>
    </row>
    <row r="19334" spans="8:12">
      <c r="H19334" t="s">
        <v>26731</v>
      </c>
      <c r="I19334" t="s">
        <v>1358</v>
      </c>
      <c r="J19334" t="s">
        <v>1358</v>
      </c>
      <c r="K19334" t="s">
        <v>1358</v>
      </c>
      <c r="L19334" t="s">
        <v>1358</v>
      </c>
    </row>
    <row r="19335" spans="8:12">
      <c r="H19335" t="s">
        <v>26732</v>
      </c>
      <c r="I19335" t="s">
        <v>1358</v>
      </c>
      <c r="J19335" t="s">
        <v>1358</v>
      </c>
      <c r="K19335" t="s">
        <v>1358</v>
      </c>
      <c r="L19335" t="s">
        <v>1358</v>
      </c>
    </row>
    <row r="19336" spans="8:12">
      <c r="H19336" t="s">
        <v>26733</v>
      </c>
      <c r="I19336" t="s">
        <v>1358</v>
      </c>
      <c r="J19336" t="s">
        <v>1358</v>
      </c>
      <c r="K19336" t="s">
        <v>1358</v>
      </c>
      <c r="L19336" t="s">
        <v>1358</v>
      </c>
    </row>
    <row r="19337" spans="8:12">
      <c r="H19337" t="s">
        <v>26734</v>
      </c>
      <c r="I19337" t="s">
        <v>1358</v>
      </c>
      <c r="J19337" t="s">
        <v>1358</v>
      </c>
      <c r="K19337" t="s">
        <v>1358</v>
      </c>
      <c r="L19337" t="s">
        <v>1358</v>
      </c>
    </row>
    <row r="19338" spans="8:12">
      <c r="H19338" t="s">
        <v>26735</v>
      </c>
      <c r="I19338" t="s">
        <v>1358</v>
      </c>
      <c r="J19338" t="s">
        <v>1358</v>
      </c>
      <c r="K19338" t="s">
        <v>1358</v>
      </c>
      <c r="L19338" t="s">
        <v>1358</v>
      </c>
    </row>
    <row r="19339" spans="8:12">
      <c r="H19339" t="s">
        <v>26736</v>
      </c>
      <c r="I19339" t="s">
        <v>1358</v>
      </c>
      <c r="J19339" t="s">
        <v>1358</v>
      </c>
      <c r="K19339" t="s">
        <v>1358</v>
      </c>
      <c r="L19339" t="s">
        <v>1358</v>
      </c>
    </row>
    <row r="19340" spans="8:12">
      <c r="H19340" t="s">
        <v>26737</v>
      </c>
      <c r="I19340" t="s">
        <v>1358</v>
      </c>
      <c r="J19340" t="s">
        <v>1358</v>
      </c>
      <c r="K19340" t="s">
        <v>1358</v>
      </c>
      <c r="L19340" t="s">
        <v>1358</v>
      </c>
    </row>
    <row r="19341" spans="8:12">
      <c r="H19341" t="s">
        <v>26738</v>
      </c>
      <c r="I19341" t="s">
        <v>1358</v>
      </c>
      <c r="J19341" t="s">
        <v>1358</v>
      </c>
      <c r="K19341" t="s">
        <v>1358</v>
      </c>
      <c r="L19341" t="s">
        <v>1358</v>
      </c>
    </row>
    <row r="19342" spans="8:12">
      <c r="H19342" t="s">
        <v>26739</v>
      </c>
      <c r="I19342" t="s">
        <v>1358</v>
      </c>
      <c r="J19342" t="s">
        <v>1358</v>
      </c>
      <c r="K19342" t="s">
        <v>1358</v>
      </c>
      <c r="L19342" t="s">
        <v>1358</v>
      </c>
    </row>
    <row r="19343" spans="8:12">
      <c r="H19343" t="s">
        <v>26740</v>
      </c>
      <c r="I19343" t="s">
        <v>1358</v>
      </c>
      <c r="J19343" t="s">
        <v>1358</v>
      </c>
      <c r="K19343" t="s">
        <v>1358</v>
      </c>
      <c r="L19343" t="s">
        <v>1358</v>
      </c>
    </row>
    <row r="19344" spans="8:12">
      <c r="H19344" t="s">
        <v>26741</v>
      </c>
      <c r="I19344" t="s">
        <v>1358</v>
      </c>
      <c r="J19344" t="s">
        <v>1358</v>
      </c>
      <c r="K19344" t="s">
        <v>1358</v>
      </c>
      <c r="L19344" t="s">
        <v>1358</v>
      </c>
    </row>
    <row r="19345" spans="8:12">
      <c r="H19345" t="s">
        <v>26742</v>
      </c>
      <c r="I19345" t="s">
        <v>1358</v>
      </c>
      <c r="J19345" t="s">
        <v>1358</v>
      </c>
      <c r="K19345" t="s">
        <v>1358</v>
      </c>
      <c r="L19345" t="s">
        <v>1358</v>
      </c>
    </row>
    <row r="19346" spans="8:12">
      <c r="H19346" t="s">
        <v>26743</v>
      </c>
      <c r="I19346" t="s">
        <v>1358</v>
      </c>
      <c r="J19346" t="s">
        <v>1358</v>
      </c>
      <c r="K19346" t="s">
        <v>1358</v>
      </c>
      <c r="L19346" t="s">
        <v>1358</v>
      </c>
    </row>
    <row r="19347" spans="8:12">
      <c r="H19347" t="s">
        <v>26744</v>
      </c>
      <c r="I19347" t="s">
        <v>1358</v>
      </c>
      <c r="J19347" t="s">
        <v>1358</v>
      </c>
      <c r="K19347" t="s">
        <v>1358</v>
      </c>
      <c r="L19347" t="s">
        <v>1358</v>
      </c>
    </row>
    <row r="19348" spans="8:12">
      <c r="H19348" t="s">
        <v>26745</v>
      </c>
      <c r="I19348" t="s">
        <v>1358</v>
      </c>
      <c r="J19348" t="s">
        <v>1358</v>
      </c>
      <c r="K19348" t="s">
        <v>1358</v>
      </c>
      <c r="L19348" t="s">
        <v>1358</v>
      </c>
    </row>
    <row r="19349" spans="8:12">
      <c r="H19349" t="s">
        <v>26746</v>
      </c>
      <c r="I19349" t="s">
        <v>1358</v>
      </c>
      <c r="J19349" t="s">
        <v>1358</v>
      </c>
      <c r="K19349" t="s">
        <v>1358</v>
      </c>
      <c r="L19349" t="s">
        <v>1358</v>
      </c>
    </row>
    <row r="19350" spans="8:12">
      <c r="H19350" t="s">
        <v>26747</v>
      </c>
      <c r="I19350" t="s">
        <v>1358</v>
      </c>
      <c r="J19350" t="s">
        <v>1358</v>
      </c>
      <c r="K19350" t="s">
        <v>1358</v>
      </c>
      <c r="L19350" t="s">
        <v>1358</v>
      </c>
    </row>
    <row r="19351" spans="8:12">
      <c r="H19351" t="s">
        <v>26748</v>
      </c>
      <c r="I19351" t="s">
        <v>1358</v>
      </c>
      <c r="J19351" t="s">
        <v>1358</v>
      </c>
      <c r="K19351" t="s">
        <v>1358</v>
      </c>
      <c r="L19351" t="s">
        <v>1358</v>
      </c>
    </row>
    <row r="19352" spans="8:12">
      <c r="H19352" t="s">
        <v>26749</v>
      </c>
      <c r="I19352" t="s">
        <v>1358</v>
      </c>
      <c r="J19352" t="s">
        <v>1358</v>
      </c>
      <c r="K19352" t="s">
        <v>1358</v>
      </c>
      <c r="L19352" t="s">
        <v>1358</v>
      </c>
    </row>
    <row r="19353" spans="8:12">
      <c r="H19353" t="s">
        <v>26750</v>
      </c>
      <c r="I19353" t="s">
        <v>1358</v>
      </c>
      <c r="J19353" t="s">
        <v>1358</v>
      </c>
      <c r="K19353" t="s">
        <v>1358</v>
      </c>
      <c r="L19353" t="s">
        <v>1358</v>
      </c>
    </row>
    <row r="19354" spans="8:12">
      <c r="H19354" t="s">
        <v>26751</v>
      </c>
      <c r="I19354" t="s">
        <v>1358</v>
      </c>
      <c r="J19354" t="s">
        <v>1358</v>
      </c>
      <c r="K19354" t="s">
        <v>1358</v>
      </c>
      <c r="L19354" t="s">
        <v>1358</v>
      </c>
    </row>
    <row r="19355" spans="8:12">
      <c r="H19355" t="s">
        <v>26752</v>
      </c>
      <c r="I19355" t="s">
        <v>1358</v>
      </c>
      <c r="J19355" t="s">
        <v>1358</v>
      </c>
      <c r="K19355" t="s">
        <v>1358</v>
      </c>
      <c r="L19355" t="s">
        <v>1358</v>
      </c>
    </row>
    <row r="19356" spans="8:12">
      <c r="H19356" t="s">
        <v>26753</v>
      </c>
      <c r="I19356" t="s">
        <v>1358</v>
      </c>
      <c r="J19356" t="s">
        <v>1358</v>
      </c>
      <c r="K19356" t="s">
        <v>1358</v>
      </c>
      <c r="L19356" t="s">
        <v>1358</v>
      </c>
    </row>
    <row r="19357" spans="8:12">
      <c r="H19357" t="s">
        <v>26754</v>
      </c>
      <c r="I19357" t="s">
        <v>1358</v>
      </c>
      <c r="J19357" t="s">
        <v>1358</v>
      </c>
      <c r="K19357" t="s">
        <v>1358</v>
      </c>
      <c r="L19357" t="s">
        <v>1358</v>
      </c>
    </row>
    <row r="19358" spans="8:12">
      <c r="H19358" t="s">
        <v>26755</v>
      </c>
      <c r="I19358" t="s">
        <v>1358</v>
      </c>
      <c r="J19358" t="s">
        <v>1358</v>
      </c>
      <c r="K19358" t="s">
        <v>1358</v>
      </c>
      <c r="L19358" t="s">
        <v>1358</v>
      </c>
    </row>
    <row r="19359" spans="8:12">
      <c r="H19359" t="s">
        <v>26756</v>
      </c>
      <c r="I19359" t="s">
        <v>1358</v>
      </c>
      <c r="J19359" t="s">
        <v>1358</v>
      </c>
      <c r="K19359" t="s">
        <v>1358</v>
      </c>
      <c r="L19359" t="s">
        <v>1358</v>
      </c>
    </row>
    <row r="19360" spans="8:12">
      <c r="H19360" t="s">
        <v>26757</v>
      </c>
      <c r="I19360" t="s">
        <v>1358</v>
      </c>
      <c r="J19360" t="s">
        <v>1358</v>
      </c>
      <c r="K19360" t="s">
        <v>1358</v>
      </c>
      <c r="L19360" t="s">
        <v>1358</v>
      </c>
    </row>
    <row r="19361" spans="8:12">
      <c r="H19361" t="s">
        <v>26758</v>
      </c>
      <c r="I19361" t="s">
        <v>1358</v>
      </c>
      <c r="J19361" t="s">
        <v>1358</v>
      </c>
      <c r="K19361" t="s">
        <v>1358</v>
      </c>
      <c r="L19361" t="s">
        <v>1358</v>
      </c>
    </row>
    <row r="19362" spans="8:12">
      <c r="H19362" t="s">
        <v>26759</v>
      </c>
      <c r="I19362" t="s">
        <v>1358</v>
      </c>
      <c r="J19362" t="s">
        <v>1358</v>
      </c>
      <c r="K19362" t="s">
        <v>1358</v>
      </c>
      <c r="L19362" t="s">
        <v>1358</v>
      </c>
    </row>
    <row r="19363" spans="8:12">
      <c r="H19363" t="s">
        <v>26760</v>
      </c>
      <c r="I19363" t="s">
        <v>1358</v>
      </c>
      <c r="J19363" t="s">
        <v>1358</v>
      </c>
      <c r="K19363" t="s">
        <v>1358</v>
      </c>
      <c r="L19363" t="s">
        <v>1358</v>
      </c>
    </row>
    <row r="19364" spans="8:12">
      <c r="H19364" t="s">
        <v>26761</v>
      </c>
      <c r="I19364" t="s">
        <v>1358</v>
      </c>
      <c r="J19364" t="s">
        <v>1358</v>
      </c>
      <c r="K19364" t="s">
        <v>1358</v>
      </c>
      <c r="L19364" t="s">
        <v>1358</v>
      </c>
    </row>
    <row r="19365" spans="8:12">
      <c r="H19365" t="s">
        <v>26762</v>
      </c>
      <c r="I19365" t="s">
        <v>1358</v>
      </c>
      <c r="J19365" t="s">
        <v>1358</v>
      </c>
      <c r="K19365" t="s">
        <v>1358</v>
      </c>
      <c r="L19365" t="s">
        <v>1358</v>
      </c>
    </row>
    <row r="19366" spans="8:12">
      <c r="H19366" t="s">
        <v>26763</v>
      </c>
      <c r="I19366" t="s">
        <v>1358</v>
      </c>
      <c r="J19366" t="s">
        <v>1358</v>
      </c>
      <c r="K19366" t="s">
        <v>1358</v>
      </c>
      <c r="L19366" t="s">
        <v>1358</v>
      </c>
    </row>
    <row r="19367" spans="8:12">
      <c r="H19367" t="s">
        <v>26764</v>
      </c>
      <c r="I19367" t="s">
        <v>1358</v>
      </c>
      <c r="J19367" t="s">
        <v>1358</v>
      </c>
      <c r="K19367" t="s">
        <v>1358</v>
      </c>
      <c r="L19367" t="s">
        <v>1358</v>
      </c>
    </row>
    <row r="19368" spans="8:12">
      <c r="H19368" t="s">
        <v>26765</v>
      </c>
      <c r="I19368" t="s">
        <v>1358</v>
      </c>
      <c r="J19368" t="s">
        <v>1358</v>
      </c>
      <c r="K19368" t="s">
        <v>1358</v>
      </c>
      <c r="L19368" t="s">
        <v>1358</v>
      </c>
    </row>
    <row r="19369" spans="8:12">
      <c r="H19369" t="s">
        <v>26766</v>
      </c>
      <c r="I19369" t="s">
        <v>1358</v>
      </c>
      <c r="J19369" t="s">
        <v>1358</v>
      </c>
      <c r="K19369" t="s">
        <v>1358</v>
      </c>
      <c r="L19369" t="s">
        <v>1358</v>
      </c>
    </row>
    <row r="19370" spans="8:12">
      <c r="H19370" t="s">
        <v>26767</v>
      </c>
      <c r="I19370" t="s">
        <v>1358</v>
      </c>
      <c r="J19370" t="s">
        <v>1358</v>
      </c>
      <c r="K19370" t="s">
        <v>1358</v>
      </c>
      <c r="L19370" t="s">
        <v>1358</v>
      </c>
    </row>
    <row r="19371" spans="8:12">
      <c r="H19371" t="s">
        <v>26768</v>
      </c>
      <c r="I19371" t="s">
        <v>1358</v>
      </c>
      <c r="J19371" t="s">
        <v>1358</v>
      </c>
      <c r="K19371" t="s">
        <v>1358</v>
      </c>
      <c r="L19371" t="s">
        <v>1358</v>
      </c>
    </row>
    <row r="19372" spans="8:12">
      <c r="H19372" t="s">
        <v>26769</v>
      </c>
      <c r="I19372" t="s">
        <v>1358</v>
      </c>
      <c r="J19372" t="s">
        <v>1358</v>
      </c>
      <c r="K19372" t="s">
        <v>1358</v>
      </c>
      <c r="L19372" t="s">
        <v>1358</v>
      </c>
    </row>
    <row r="19373" spans="8:12">
      <c r="H19373" t="s">
        <v>26770</v>
      </c>
      <c r="I19373" t="s">
        <v>1358</v>
      </c>
      <c r="J19373" t="s">
        <v>1358</v>
      </c>
      <c r="K19373" t="s">
        <v>1358</v>
      </c>
      <c r="L19373" t="s">
        <v>1358</v>
      </c>
    </row>
    <row r="19374" spans="8:12">
      <c r="H19374" t="s">
        <v>26771</v>
      </c>
      <c r="I19374" t="s">
        <v>1358</v>
      </c>
      <c r="J19374" t="s">
        <v>1358</v>
      </c>
      <c r="K19374" t="s">
        <v>1358</v>
      </c>
      <c r="L19374" t="s">
        <v>1358</v>
      </c>
    </row>
    <row r="19375" spans="8:12">
      <c r="H19375" t="s">
        <v>26772</v>
      </c>
      <c r="I19375" t="s">
        <v>1358</v>
      </c>
      <c r="J19375" t="s">
        <v>1358</v>
      </c>
      <c r="K19375" t="s">
        <v>1358</v>
      </c>
      <c r="L19375" t="s">
        <v>1358</v>
      </c>
    </row>
    <row r="19376" spans="8:12">
      <c r="H19376" t="s">
        <v>26773</v>
      </c>
      <c r="I19376" t="s">
        <v>1358</v>
      </c>
      <c r="J19376" t="s">
        <v>1358</v>
      </c>
      <c r="K19376" t="s">
        <v>1358</v>
      </c>
      <c r="L19376" t="s">
        <v>1358</v>
      </c>
    </row>
    <row r="19377" spans="8:12">
      <c r="H19377" t="s">
        <v>26774</v>
      </c>
      <c r="I19377" t="s">
        <v>1358</v>
      </c>
      <c r="J19377" t="s">
        <v>1358</v>
      </c>
      <c r="K19377" t="s">
        <v>1358</v>
      </c>
      <c r="L19377" t="s">
        <v>1358</v>
      </c>
    </row>
    <row r="19378" spans="8:12">
      <c r="H19378" t="s">
        <v>26775</v>
      </c>
      <c r="I19378" t="s">
        <v>1358</v>
      </c>
      <c r="J19378" t="s">
        <v>1358</v>
      </c>
      <c r="K19378" t="s">
        <v>1358</v>
      </c>
      <c r="L19378" t="s">
        <v>1358</v>
      </c>
    </row>
    <row r="19379" spans="8:12">
      <c r="H19379" t="s">
        <v>26776</v>
      </c>
      <c r="I19379" t="s">
        <v>1358</v>
      </c>
      <c r="J19379" t="s">
        <v>1358</v>
      </c>
      <c r="K19379" t="s">
        <v>1358</v>
      </c>
      <c r="L19379" t="s">
        <v>1358</v>
      </c>
    </row>
    <row r="19380" spans="8:12">
      <c r="H19380" t="s">
        <v>26777</v>
      </c>
      <c r="I19380" t="s">
        <v>1358</v>
      </c>
      <c r="J19380" t="s">
        <v>1358</v>
      </c>
      <c r="K19380" t="s">
        <v>1358</v>
      </c>
      <c r="L19380" t="s">
        <v>1358</v>
      </c>
    </row>
    <row r="19381" spans="8:12">
      <c r="H19381" t="s">
        <v>26778</v>
      </c>
      <c r="I19381" t="s">
        <v>1358</v>
      </c>
      <c r="J19381" t="s">
        <v>1358</v>
      </c>
      <c r="K19381" t="s">
        <v>1358</v>
      </c>
      <c r="L19381" t="s">
        <v>1358</v>
      </c>
    </row>
    <row r="19382" spans="8:12">
      <c r="H19382" t="s">
        <v>26779</v>
      </c>
      <c r="I19382" t="s">
        <v>1358</v>
      </c>
      <c r="J19382" t="s">
        <v>1358</v>
      </c>
      <c r="K19382" t="s">
        <v>1358</v>
      </c>
      <c r="L19382" t="s">
        <v>1358</v>
      </c>
    </row>
    <row r="19383" spans="8:12">
      <c r="H19383" t="s">
        <v>26780</v>
      </c>
      <c r="I19383" t="s">
        <v>1358</v>
      </c>
      <c r="J19383" t="s">
        <v>1358</v>
      </c>
      <c r="K19383" t="s">
        <v>1358</v>
      </c>
      <c r="L19383" t="s">
        <v>1358</v>
      </c>
    </row>
    <row r="19384" spans="8:12">
      <c r="H19384" t="s">
        <v>26781</v>
      </c>
      <c r="I19384" t="s">
        <v>1358</v>
      </c>
      <c r="J19384" t="s">
        <v>1358</v>
      </c>
      <c r="K19384" t="s">
        <v>1358</v>
      </c>
      <c r="L19384" t="s">
        <v>1358</v>
      </c>
    </row>
    <row r="19385" spans="8:12">
      <c r="H19385" t="s">
        <v>26782</v>
      </c>
      <c r="I19385" t="s">
        <v>1358</v>
      </c>
      <c r="J19385" t="s">
        <v>1358</v>
      </c>
      <c r="K19385" t="s">
        <v>1358</v>
      </c>
      <c r="L19385" t="s">
        <v>1358</v>
      </c>
    </row>
    <row r="19386" spans="8:12">
      <c r="H19386" t="s">
        <v>26783</v>
      </c>
      <c r="I19386" t="s">
        <v>1358</v>
      </c>
      <c r="J19386" t="s">
        <v>1358</v>
      </c>
      <c r="K19386" t="s">
        <v>1358</v>
      </c>
      <c r="L19386" t="s">
        <v>1358</v>
      </c>
    </row>
    <row r="19387" spans="8:12">
      <c r="H19387" t="s">
        <v>26784</v>
      </c>
      <c r="I19387" t="s">
        <v>1358</v>
      </c>
      <c r="J19387" t="s">
        <v>1358</v>
      </c>
      <c r="K19387" t="s">
        <v>1358</v>
      </c>
      <c r="L19387" t="s">
        <v>1358</v>
      </c>
    </row>
    <row r="19388" spans="8:12">
      <c r="H19388" t="s">
        <v>26785</v>
      </c>
      <c r="I19388" t="s">
        <v>1358</v>
      </c>
      <c r="J19388" t="s">
        <v>1358</v>
      </c>
      <c r="K19388" t="s">
        <v>1358</v>
      </c>
      <c r="L19388" t="s">
        <v>1358</v>
      </c>
    </row>
    <row r="19389" spans="8:12">
      <c r="H19389" t="s">
        <v>26786</v>
      </c>
      <c r="I19389" t="s">
        <v>1358</v>
      </c>
      <c r="J19389" t="s">
        <v>1358</v>
      </c>
      <c r="K19389" t="s">
        <v>1358</v>
      </c>
      <c r="L19389" t="s">
        <v>1358</v>
      </c>
    </row>
    <row r="19390" spans="8:12">
      <c r="H19390" t="s">
        <v>26787</v>
      </c>
      <c r="I19390" t="s">
        <v>1358</v>
      </c>
      <c r="J19390" t="s">
        <v>1358</v>
      </c>
      <c r="K19390" t="s">
        <v>1358</v>
      </c>
      <c r="L19390" t="s">
        <v>1358</v>
      </c>
    </row>
    <row r="19391" spans="8:12">
      <c r="H19391" t="s">
        <v>26788</v>
      </c>
      <c r="I19391" t="s">
        <v>1358</v>
      </c>
      <c r="J19391" t="s">
        <v>1358</v>
      </c>
      <c r="K19391" t="s">
        <v>1358</v>
      </c>
      <c r="L19391" t="s">
        <v>1358</v>
      </c>
    </row>
    <row r="19392" spans="8:12">
      <c r="H19392" t="s">
        <v>26789</v>
      </c>
      <c r="I19392" t="s">
        <v>1358</v>
      </c>
      <c r="J19392" t="s">
        <v>1358</v>
      </c>
      <c r="K19392" t="s">
        <v>1358</v>
      </c>
      <c r="L19392" t="s">
        <v>1358</v>
      </c>
    </row>
    <row r="19393" spans="8:12">
      <c r="H19393" t="s">
        <v>26790</v>
      </c>
      <c r="I19393" t="s">
        <v>1358</v>
      </c>
      <c r="J19393" t="s">
        <v>1358</v>
      </c>
      <c r="K19393" t="s">
        <v>1358</v>
      </c>
      <c r="L19393" t="s">
        <v>1358</v>
      </c>
    </row>
    <row r="19394" spans="8:12">
      <c r="H19394" t="s">
        <v>26791</v>
      </c>
      <c r="I19394" t="s">
        <v>1358</v>
      </c>
      <c r="J19394" t="s">
        <v>1358</v>
      </c>
      <c r="K19394" t="s">
        <v>1358</v>
      </c>
      <c r="L19394" t="s">
        <v>1358</v>
      </c>
    </row>
    <row r="19395" spans="8:12">
      <c r="H19395" t="s">
        <v>26792</v>
      </c>
      <c r="I19395" t="s">
        <v>1358</v>
      </c>
      <c r="J19395" t="s">
        <v>1358</v>
      </c>
      <c r="K19395" t="s">
        <v>1358</v>
      </c>
      <c r="L19395" t="s">
        <v>1358</v>
      </c>
    </row>
    <row r="19396" spans="8:12">
      <c r="H19396" t="s">
        <v>26793</v>
      </c>
      <c r="I19396" t="s">
        <v>1358</v>
      </c>
      <c r="J19396" t="s">
        <v>1358</v>
      </c>
      <c r="K19396" t="s">
        <v>1358</v>
      </c>
      <c r="L19396" t="s">
        <v>1358</v>
      </c>
    </row>
    <row r="19397" spans="8:12">
      <c r="H19397" t="s">
        <v>26794</v>
      </c>
      <c r="I19397" t="s">
        <v>1358</v>
      </c>
      <c r="J19397" t="s">
        <v>1358</v>
      </c>
      <c r="K19397" t="s">
        <v>1358</v>
      </c>
      <c r="L19397" t="s">
        <v>1358</v>
      </c>
    </row>
    <row r="19398" spans="8:12">
      <c r="H19398" t="s">
        <v>26795</v>
      </c>
      <c r="I19398" t="s">
        <v>1358</v>
      </c>
      <c r="J19398" t="s">
        <v>1358</v>
      </c>
      <c r="K19398" t="s">
        <v>1358</v>
      </c>
      <c r="L19398" t="s">
        <v>1358</v>
      </c>
    </row>
    <row r="19399" spans="8:12">
      <c r="H19399" t="s">
        <v>26796</v>
      </c>
      <c r="I19399" t="s">
        <v>1358</v>
      </c>
      <c r="J19399" t="s">
        <v>1358</v>
      </c>
      <c r="K19399" t="s">
        <v>1358</v>
      </c>
      <c r="L19399" t="s">
        <v>1358</v>
      </c>
    </row>
    <row r="19400" spans="8:12">
      <c r="H19400" t="s">
        <v>26797</v>
      </c>
      <c r="I19400" t="s">
        <v>1358</v>
      </c>
      <c r="J19400" t="s">
        <v>1358</v>
      </c>
      <c r="K19400" t="s">
        <v>1358</v>
      </c>
      <c r="L19400" t="s">
        <v>1358</v>
      </c>
    </row>
    <row r="19401" spans="8:12">
      <c r="H19401" t="s">
        <v>26798</v>
      </c>
      <c r="I19401" t="s">
        <v>1358</v>
      </c>
      <c r="J19401" t="s">
        <v>1358</v>
      </c>
      <c r="K19401" t="s">
        <v>1358</v>
      </c>
      <c r="L19401" t="s">
        <v>1358</v>
      </c>
    </row>
    <row r="19402" spans="8:12">
      <c r="H19402" t="s">
        <v>26799</v>
      </c>
      <c r="I19402" t="s">
        <v>1358</v>
      </c>
      <c r="J19402" t="s">
        <v>1358</v>
      </c>
      <c r="K19402" t="s">
        <v>1358</v>
      </c>
      <c r="L19402" t="s">
        <v>1358</v>
      </c>
    </row>
    <row r="19403" spans="8:12">
      <c r="H19403" t="s">
        <v>26800</v>
      </c>
      <c r="I19403" t="s">
        <v>1358</v>
      </c>
      <c r="J19403" t="s">
        <v>1358</v>
      </c>
      <c r="K19403" t="s">
        <v>1358</v>
      </c>
      <c r="L19403" t="s">
        <v>1358</v>
      </c>
    </row>
    <row r="19404" spans="8:12">
      <c r="H19404" t="s">
        <v>26801</v>
      </c>
      <c r="I19404" t="s">
        <v>1358</v>
      </c>
      <c r="J19404" t="s">
        <v>1358</v>
      </c>
      <c r="K19404" t="s">
        <v>1358</v>
      </c>
      <c r="L19404" t="s">
        <v>1358</v>
      </c>
    </row>
    <row r="19405" spans="8:12">
      <c r="H19405" t="s">
        <v>26802</v>
      </c>
      <c r="I19405" t="s">
        <v>1358</v>
      </c>
      <c r="J19405" t="s">
        <v>1358</v>
      </c>
      <c r="K19405" t="s">
        <v>1358</v>
      </c>
      <c r="L19405" t="s">
        <v>1358</v>
      </c>
    </row>
    <row r="19406" spans="8:12">
      <c r="H19406" t="s">
        <v>26803</v>
      </c>
      <c r="I19406" t="s">
        <v>1358</v>
      </c>
      <c r="J19406" t="s">
        <v>1358</v>
      </c>
      <c r="K19406" t="s">
        <v>1358</v>
      </c>
      <c r="L19406" t="s">
        <v>1358</v>
      </c>
    </row>
    <row r="19407" spans="8:12">
      <c r="H19407" t="s">
        <v>26804</v>
      </c>
      <c r="I19407" t="s">
        <v>1358</v>
      </c>
      <c r="J19407" t="s">
        <v>1358</v>
      </c>
      <c r="K19407" t="s">
        <v>1358</v>
      </c>
      <c r="L19407" t="s">
        <v>1358</v>
      </c>
    </row>
    <row r="19408" spans="8:12">
      <c r="H19408" t="s">
        <v>26805</v>
      </c>
      <c r="I19408" t="s">
        <v>1358</v>
      </c>
      <c r="J19408" t="s">
        <v>1358</v>
      </c>
      <c r="K19408" t="s">
        <v>1358</v>
      </c>
      <c r="L19408" t="s">
        <v>1358</v>
      </c>
    </row>
    <row r="19409" spans="8:12">
      <c r="H19409" t="s">
        <v>26806</v>
      </c>
      <c r="I19409" t="s">
        <v>1358</v>
      </c>
      <c r="J19409" t="s">
        <v>1358</v>
      </c>
      <c r="K19409" t="s">
        <v>1358</v>
      </c>
      <c r="L19409" t="s">
        <v>1358</v>
      </c>
    </row>
    <row r="19410" spans="8:12">
      <c r="H19410" t="s">
        <v>26807</v>
      </c>
      <c r="I19410" t="s">
        <v>1358</v>
      </c>
      <c r="J19410" t="s">
        <v>1358</v>
      </c>
      <c r="K19410" t="s">
        <v>1358</v>
      </c>
      <c r="L19410" t="s">
        <v>1358</v>
      </c>
    </row>
    <row r="19411" spans="8:12">
      <c r="H19411" t="s">
        <v>26808</v>
      </c>
      <c r="I19411" t="s">
        <v>1358</v>
      </c>
      <c r="J19411" t="s">
        <v>1358</v>
      </c>
      <c r="K19411" t="s">
        <v>1358</v>
      </c>
      <c r="L19411" t="s">
        <v>1358</v>
      </c>
    </row>
    <row r="19412" spans="8:12">
      <c r="H19412" t="s">
        <v>26809</v>
      </c>
      <c r="I19412" t="s">
        <v>1358</v>
      </c>
      <c r="J19412" t="s">
        <v>1358</v>
      </c>
      <c r="K19412" t="s">
        <v>1358</v>
      </c>
      <c r="L19412" t="s">
        <v>1358</v>
      </c>
    </row>
    <row r="19413" spans="8:12">
      <c r="H19413" t="s">
        <v>26810</v>
      </c>
      <c r="I19413" t="s">
        <v>1358</v>
      </c>
      <c r="J19413" t="s">
        <v>1358</v>
      </c>
      <c r="K19413" t="s">
        <v>1358</v>
      </c>
      <c r="L19413" t="s">
        <v>1358</v>
      </c>
    </row>
    <row r="19414" spans="8:12">
      <c r="H19414" t="s">
        <v>26811</v>
      </c>
      <c r="I19414" t="s">
        <v>1358</v>
      </c>
      <c r="J19414" t="s">
        <v>1358</v>
      </c>
      <c r="K19414" t="s">
        <v>1358</v>
      </c>
      <c r="L19414" t="s">
        <v>1358</v>
      </c>
    </row>
    <row r="19415" spans="8:12">
      <c r="H19415" t="s">
        <v>26812</v>
      </c>
      <c r="I19415" t="s">
        <v>1358</v>
      </c>
      <c r="J19415" t="s">
        <v>1358</v>
      </c>
      <c r="K19415" t="s">
        <v>1358</v>
      </c>
      <c r="L19415" t="s">
        <v>1358</v>
      </c>
    </row>
    <row r="19416" spans="8:12">
      <c r="H19416" t="s">
        <v>26813</v>
      </c>
      <c r="I19416" t="s">
        <v>1358</v>
      </c>
      <c r="J19416" t="s">
        <v>1358</v>
      </c>
      <c r="K19416" t="s">
        <v>1358</v>
      </c>
      <c r="L19416" t="s">
        <v>1358</v>
      </c>
    </row>
    <row r="19417" spans="8:12">
      <c r="H19417" t="s">
        <v>26814</v>
      </c>
      <c r="I19417" t="s">
        <v>1358</v>
      </c>
      <c r="J19417" t="s">
        <v>1358</v>
      </c>
      <c r="K19417" t="s">
        <v>1358</v>
      </c>
      <c r="L19417" t="s">
        <v>1358</v>
      </c>
    </row>
    <row r="19418" spans="8:12">
      <c r="H19418" t="s">
        <v>26815</v>
      </c>
      <c r="I19418" t="s">
        <v>1358</v>
      </c>
      <c r="J19418" t="s">
        <v>1358</v>
      </c>
      <c r="K19418" t="s">
        <v>1358</v>
      </c>
      <c r="L19418" t="s">
        <v>1358</v>
      </c>
    </row>
    <row r="19419" spans="8:12">
      <c r="H19419" t="s">
        <v>26816</v>
      </c>
      <c r="I19419" t="s">
        <v>1358</v>
      </c>
      <c r="J19419" t="s">
        <v>1358</v>
      </c>
      <c r="K19419" t="s">
        <v>1358</v>
      </c>
      <c r="L19419" t="s">
        <v>1358</v>
      </c>
    </row>
    <row r="19420" spans="8:12">
      <c r="H19420" t="s">
        <v>26817</v>
      </c>
      <c r="I19420" t="s">
        <v>1358</v>
      </c>
      <c r="J19420" t="s">
        <v>1358</v>
      </c>
      <c r="K19420" t="s">
        <v>1358</v>
      </c>
      <c r="L19420" t="s">
        <v>1358</v>
      </c>
    </row>
    <row r="19421" spans="8:12">
      <c r="H19421" t="s">
        <v>26818</v>
      </c>
      <c r="I19421" t="s">
        <v>1358</v>
      </c>
      <c r="J19421" t="s">
        <v>1358</v>
      </c>
      <c r="K19421" t="s">
        <v>1358</v>
      </c>
      <c r="L19421" t="s">
        <v>1358</v>
      </c>
    </row>
    <row r="19422" spans="8:12">
      <c r="H19422" t="s">
        <v>26819</v>
      </c>
      <c r="I19422" t="s">
        <v>1358</v>
      </c>
      <c r="J19422" t="s">
        <v>1358</v>
      </c>
      <c r="K19422" t="s">
        <v>1358</v>
      </c>
      <c r="L19422" t="s">
        <v>1358</v>
      </c>
    </row>
    <row r="19423" spans="8:12">
      <c r="H19423" t="s">
        <v>26820</v>
      </c>
      <c r="I19423" t="s">
        <v>1358</v>
      </c>
      <c r="J19423" t="s">
        <v>1358</v>
      </c>
      <c r="K19423" t="s">
        <v>1358</v>
      </c>
      <c r="L19423" t="s">
        <v>1358</v>
      </c>
    </row>
    <row r="19424" spans="8:12">
      <c r="H19424" t="s">
        <v>26821</v>
      </c>
      <c r="I19424" t="s">
        <v>1358</v>
      </c>
      <c r="J19424" t="s">
        <v>1358</v>
      </c>
      <c r="K19424" t="s">
        <v>1358</v>
      </c>
      <c r="L19424" t="s">
        <v>1358</v>
      </c>
    </row>
    <row r="19425" spans="8:12">
      <c r="H19425" t="s">
        <v>26822</v>
      </c>
      <c r="I19425" t="s">
        <v>1358</v>
      </c>
      <c r="J19425" t="s">
        <v>1358</v>
      </c>
      <c r="K19425" t="s">
        <v>1358</v>
      </c>
      <c r="L19425" t="s">
        <v>1358</v>
      </c>
    </row>
    <row r="19426" spans="8:12">
      <c r="H19426" t="s">
        <v>26823</v>
      </c>
      <c r="I19426" t="s">
        <v>1358</v>
      </c>
      <c r="J19426" t="s">
        <v>1358</v>
      </c>
      <c r="K19426" t="s">
        <v>1358</v>
      </c>
      <c r="L19426" t="s">
        <v>1358</v>
      </c>
    </row>
    <row r="19427" spans="8:12">
      <c r="H19427" t="s">
        <v>26824</v>
      </c>
      <c r="I19427" t="s">
        <v>1358</v>
      </c>
      <c r="J19427" t="s">
        <v>1358</v>
      </c>
      <c r="K19427" t="s">
        <v>1358</v>
      </c>
      <c r="L19427" t="s">
        <v>1358</v>
      </c>
    </row>
    <row r="19428" spans="8:12">
      <c r="H19428" t="s">
        <v>26825</v>
      </c>
      <c r="I19428" t="s">
        <v>1358</v>
      </c>
      <c r="J19428" t="s">
        <v>1358</v>
      </c>
      <c r="K19428" t="s">
        <v>1358</v>
      </c>
      <c r="L19428" t="s">
        <v>1358</v>
      </c>
    </row>
    <row r="19429" spans="8:12">
      <c r="H19429" t="s">
        <v>26826</v>
      </c>
      <c r="I19429" t="s">
        <v>1358</v>
      </c>
      <c r="J19429" t="s">
        <v>1358</v>
      </c>
      <c r="K19429" t="s">
        <v>1358</v>
      </c>
      <c r="L19429" t="s">
        <v>1358</v>
      </c>
    </row>
    <row r="19430" spans="8:12">
      <c r="H19430" t="s">
        <v>26827</v>
      </c>
      <c r="I19430" t="s">
        <v>1358</v>
      </c>
      <c r="J19430" t="s">
        <v>1358</v>
      </c>
      <c r="K19430" t="s">
        <v>1358</v>
      </c>
      <c r="L19430" t="s">
        <v>1358</v>
      </c>
    </row>
    <row r="19431" spans="8:12">
      <c r="H19431" t="s">
        <v>26828</v>
      </c>
      <c r="I19431" t="s">
        <v>1358</v>
      </c>
      <c r="J19431" t="s">
        <v>1358</v>
      </c>
      <c r="K19431" t="s">
        <v>1358</v>
      </c>
      <c r="L19431" t="s">
        <v>1358</v>
      </c>
    </row>
    <row r="19432" spans="8:12">
      <c r="H19432" t="s">
        <v>26829</v>
      </c>
      <c r="I19432" t="s">
        <v>1358</v>
      </c>
      <c r="J19432" t="s">
        <v>1358</v>
      </c>
      <c r="K19432" t="s">
        <v>1358</v>
      </c>
      <c r="L19432" t="s">
        <v>1358</v>
      </c>
    </row>
    <row r="19433" spans="8:12">
      <c r="H19433" t="s">
        <v>26830</v>
      </c>
      <c r="I19433" t="s">
        <v>1358</v>
      </c>
      <c r="J19433" t="s">
        <v>1358</v>
      </c>
      <c r="K19433" t="s">
        <v>1358</v>
      </c>
      <c r="L19433" t="s">
        <v>1358</v>
      </c>
    </row>
    <row r="19434" spans="8:12">
      <c r="H19434" t="s">
        <v>26831</v>
      </c>
      <c r="I19434" t="s">
        <v>1358</v>
      </c>
      <c r="J19434" t="s">
        <v>1358</v>
      </c>
      <c r="K19434" t="s">
        <v>1358</v>
      </c>
      <c r="L19434" t="s">
        <v>1358</v>
      </c>
    </row>
    <row r="19435" spans="8:12">
      <c r="H19435" t="s">
        <v>26832</v>
      </c>
      <c r="I19435" t="s">
        <v>1358</v>
      </c>
      <c r="J19435" t="s">
        <v>1358</v>
      </c>
      <c r="K19435" t="s">
        <v>1358</v>
      </c>
      <c r="L19435" t="s">
        <v>1358</v>
      </c>
    </row>
    <row r="19436" spans="8:12">
      <c r="H19436" t="s">
        <v>26833</v>
      </c>
      <c r="I19436" t="s">
        <v>1358</v>
      </c>
      <c r="J19436" t="s">
        <v>1358</v>
      </c>
      <c r="K19436" t="s">
        <v>1358</v>
      </c>
      <c r="L19436" t="s">
        <v>1358</v>
      </c>
    </row>
    <row r="19437" spans="8:12">
      <c r="H19437" t="s">
        <v>26834</v>
      </c>
      <c r="I19437" t="s">
        <v>1358</v>
      </c>
      <c r="J19437" t="s">
        <v>1358</v>
      </c>
      <c r="K19437" t="s">
        <v>1358</v>
      </c>
      <c r="L19437" t="s">
        <v>1358</v>
      </c>
    </row>
    <row r="19438" spans="8:12">
      <c r="H19438" t="s">
        <v>26835</v>
      </c>
      <c r="I19438" t="s">
        <v>1358</v>
      </c>
      <c r="J19438" t="s">
        <v>1358</v>
      </c>
      <c r="K19438" t="s">
        <v>1358</v>
      </c>
      <c r="L19438" t="s">
        <v>1358</v>
      </c>
    </row>
    <row r="19439" spans="8:12">
      <c r="H19439" t="s">
        <v>26836</v>
      </c>
      <c r="I19439" t="s">
        <v>1358</v>
      </c>
      <c r="J19439" t="s">
        <v>1358</v>
      </c>
      <c r="K19439" t="s">
        <v>1358</v>
      </c>
      <c r="L19439" t="s">
        <v>1358</v>
      </c>
    </row>
    <row r="19440" spans="8:12">
      <c r="H19440" t="s">
        <v>26837</v>
      </c>
      <c r="I19440" t="s">
        <v>1358</v>
      </c>
      <c r="J19440" t="s">
        <v>1358</v>
      </c>
      <c r="K19440" t="s">
        <v>1358</v>
      </c>
      <c r="L19440" t="s">
        <v>1358</v>
      </c>
    </row>
    <row r="19441" spans="1:13">
      <c r="H19441" t="s">
        <v>26838</v>
      </c>
      <c r="I19441" t="s">
        <v>1358</v>
      </c>
      <c r="J19441" t="s">
        <v>1358</v>
      </c>
      <c r="K19441" t="s">
        <v>1358</v>
      </c>
      <c r="L19441" t="s">
        <v>1358</v>
      </c>
    </row>
    <row r="19442" spans="1:13">
      <c r="H19442" t="s">
        <v>26839</v>
      </c>
      <c r="I19442" t="s">
        <v>1358</v>
      </c>
      <c r="J19442" t="s">
        <v>1358</v>
      </c>
      <c r="K19442" t="s">
        <v>1358</v>
      </c>
      <c r="L19442" t="s">
        <v>1358</v>
      </c>
    </row>
    <row r="19443" spans="1:13">
      <c r="A19443" t="s">
        <v>11831</v>
      </c>
      <c r="B19443">
        <f>HYPERLINK("https://android.googlesource.com/platform/cts/+/da263dfbf808a7c38322e0b430e98521f40b31bc", "da263dfbf808a7c38322e0b430e98521f40b31bc")</f>
        <v>0</v>
      </c>
      <c r="C19443">
        <f>HYPERLINK("https://android.googlesource.com/platform/cts/+/1cf3cbe51d0f2f0fdb21ec613192d68ec77d6d36", "1cf3cbe51d0f2f0fdb21ec613192d68ec77d6d36")</f>
        <v>0</v>
      </c>
      <c r="D19443" t="s">
        <v>12393</v>
      </c>
      <c r="E19443" t="s">
        <v>14331</v>
      </c>
      <c r="F19443" t="s">
        <v>17198</v>
      </c>
      <c r="G19443" t="s">
        <v>19780</v>
      </c>
      <c r="H19443" t="s">
        <v>26840</v>
      </c>
      <c r="I19443" t="s">
        <v>1357</v>
      </c>
      <c r="J19443" t="s">
        <v>1357</v>
      </c>
      <c r="K19443" t="s">
        <v>1357</v>
      </c>
      <c r="L19443" t="s">
        <v>1357</v>
      </c>
    </row>
    <row r="19444" spans="1:13">
      <c r="A19444" t="s">
        <v>11832</v>
      </c>
      <c r="B19444">
        <f>HYPERLINK("https://android.googlesource.com/platform/cts/+/d66107ddfaf1f02b4aff53522a29bdfc95d8d3ff", "d66107ddfaf1f02b4aff53522a29bdfc95d8d3ff")</f>
        <v>0</v>
      </c>
      <c r="C19444">
        <f>HYPERLINK("https://android.googlesource.com/platform/cts/+/80002ce9344238935804504482448046337cf8bb", "80002ce9344238935804504482448046337cf8bb")</f>
        <v>0</v>
      </c>
      <c r="D19444" t="s">
        <v>12490</v>
      </c>
      <c r="E19444" t="s">
        <v>14332</v>
      </c>
      <c r="F19444" t="s">
        <v>17199</v>
      </c>
      <c r="G19444" t="s">
        <v>19781</v>
      </c>
      <c r="H19444" t="s">
        <v>26841</v>
      </c>
      <c r="I19444" t="s">
        <v>1357</v>
      </c>
      <c r="J19444" t="s">
        <v>1357</v>
      </c>
      <c r="K19444" t="s">
        <v>1357</v>
      </c>
      <c r="L19444" t="s">
        <v>1357</v>
      </c>
    </row>
    <row r="19445" spans="1:13">
      <c r="A19445" t="s">
        <v>11833</v>
      </c>
      <c r="B19445">
        <f>HYPERLINK("https://android.googlesource.com/platform/cts/+/544fdc824095b625b6fc0efecf7a6bd31e6fe92f", "544fdc824095b625b6fc0efecf7a6bd31e6fe92f")</f>
        <v>0</v>
      </c>
      <c r="C19445">
        <f>HYPERLINK("https://android.googlesource.com/platform/cts/+/5b2835f16dc6e21362ee52d99e3386239a3293b6", "5b2835f16dc6e21362ee52d99e3386239a3293b6")</f>
        <v>0</v>
      </c>
      <c r="D19445" t="s">
        <v>12103</v>
      </c>
      <c r="E19445" t="s">
        <v>14333</v>
      </c>
      <c r="F19445" t="s">
        <v>16294</v>
      </c>
      <c r="G19445" t="s">
        <v>18965</v>
      </c>
      <c r="H19445" t="s">
        <v>26078</v>
      </c>
      <c r="I19445" t="s">
        <v>1357</v>
      </c>
      <c r="J19445" t="s">
        <v>1357</v>
      </c>
      <c r="K19445" t="s">
        <v>1357</v>
      </c>
      <c r="L19445" t="s">
        <v>1357</v>
      </c>
      <c r="M19445" t="s">
        <v>27499</v>
      </c>
    </row>
    <row r="19446" spans="1:13">
      <c r="A19446" t="s">
        <v>11834</v>
      </c>
      <c r="B19446">
        <f>HYPERLINK("https://android.googlesource.com/platform/cts/+/2948cd38ac8d82413ca2f9f890a32b6f6d2b8e9c", "2948cd38ac8d82413ca2f9f890a32b6f6d2b8e9c")</f>
        <v>0</v>
      </c>
      <c r="C19446">
        <f>HYPERLINK("https://android.googlesource.com/platform/cts/+/a2048601bb93881f5767655ea8647631f0a15588", "a2048601bb93881f5767655ea8647631f0a15588")</f>
        <v>0</v>
      </c>
      <c r="D19446" t="s">
        <v>12103</v>
      </c>
      <c r="E19446" t="s">
        <v>14334</v>
      </c>
      <c r="F19446" t="s">
        <v>16294</v>
      </c>
      <c r="G19446" t="s">
        <v>18965</v>
      </c>
      <c r="H19446" t="s">
        <v>26078</v>
      </c>
      <c r="I19446" t="s">
        <v>1357</v>
      </c>
      <c r="J19446" t="s">
        <v>1357</v>
      </c>
      <c r="K19446" t="s">
        <v>1357</v>
      </c>
      <c r="L19446" t="s">
        <v>1357</v>
      </c>
      <c r="M19446" t="s">
        <v>27499</v>
      </c>
    </row>
    <row r="19447" spans="1:13">
      <c r="A19447" t="s">
        <v>11835</v>
      </c>
      <c r="B19447">
        <f>HYPERLINK("https://android.googlesource.com/platform/cts/+/8efd3bb91838d0d0a70ac367e9e17f890cb004bd", "8efd3bb91838d0d0a70ac367e9e17f890cb004bd")</f>
        <v>0</v>
      </c>
      <c r="C19447">
        <f>HYPERLINK("https://android.googlesource.com/platform/cts/+/2cccd985a8b973c9dc0af4e44f9ef4f11a7b5707", "2cccd985a8b973c9dc0af4e44f9ef4f11a7b5707")</f>
        <v>0</v>
      </c>
      <c r="D19447" t="s">
        <v>12103</v>
      </c>
      <c r="E19447" t="s">
        <v>14335</v>
      </c>
      <c r="F19447" t="s">
        <v>16294</v>
      </c>
      <c r="G19447" t="s">
        <v>18965</v>
      </c>
      <c r="H19447" t="s">
        <v>26078</v>
      </c>
      <c r="I19447" t="s">
        <v>1357</v>
      </c>
      <c r="J19447" t="s">
        <v>1357</v>
      </c>
      <c r="K19447" t="s">
        <v>1357</v>
      </c>
      <c r="L19447" t="s">
        <v>1357</v>
      </c>
      <c r="M19447" t="s">
        <v>27499</v>
      </c>
    </row>
    <row r="19448" spans="1:13">
      <c r="A19448" t="s">
        <v>11836</v>
      </c>
      <c r="B19448">
        <f>HYPERLINK("https://android.googlesource.com/platform/cts/+/593c2f9052170f50c55647de89cfdcc92dca8e32", "593c2f9052170f50c55647de89cfdcc92dca8e32")</f>
        <v>0</v>
      </c>
      <c r="C19448">
        <f>HYPERLINK("https://android.googlesource.com/platform/cts/+/41be8f7274a2ecac18ed30e3d00a7a4d91988d8d", "41be8f7274a2ecac18ed30e3d00a7a4d91988d8d")</f>
        <v>0</v>
      </c>
      <c r="D19448" t="s">
        <v>12331</v>
      </c>
      <c r="E19448" t="s">
        <v>14336</v>
      </c>
      <c r="F19448" t="s">
        <v>17200</v>
      </c>
      <c r="G19448" t="s">
        <v>19782</v>
      </c>
      <c r="H19448" t="s">
        <v>26842</v>
      </c>
      <c r="I19448" t="s">
        <v>1359</v>
      </c>
      <c r="J19448" t="s">
        <v>1358</v>
      </c>
      <c r="K19448" t="s">
        <v>1357</v>
      </c>
      <c r="L19448" t="s">
        <v>1358</v>
      </c>
    </row>
    <row r="19449" spans="1:13">
      <c r="A19449" t="s">
        <v>11837</v>
      </c>
      <c r="B19449">
        <f>HYPERLINK("https://android.googlesource.com/platform/cts/+/beea8a3f8faa3d8103a233908dc9dffbfdec33c1", "beea8a3f8faa3d8103a233908dc9dffbfdec33c1")</f>
        <v>0</v>
      </c>
      <c r="C19449">
        <f>HYPERLINK("https://android.googlesource.com/platform/cts/+/b620e85d0c87d87891ae1809dba11bb360784bab", "b620e85d0c87d87891ae1809dba11bb360784bab")</f>
        <v>0</v>
      </c>
      <c r="D19449" t="s">
        <v>12493</v>
      </c>
      <c r="E19449" t="s">
        <v>14337</v>
      </c>
      <c r="F19449" t="s">
        <v>17128</v>
      </c>
      <c r="G19449" t="s">
        <v>19717</v>
      </c>
      <c r="H19449" t="s">
        <v>26843</v>
      </c>
      <c r="I19449" t="s">
        <v>1357</v>
      </c>
      <c r="J19449" t="s">
        <v>1357</v>
      </c>
      <c r="K19449" t="s">
        <v>1357</v>
      </c>
      <c r="L19449" t="s">
        <v>1357</v>
      </c>
    </row>
    <row r="19450" spans="1:13">
      <c r="A19450" t="s">
        <v>11838</v>
      </c>
      <c r="B19450">
        <f>HYPERLINK("https://android.googlesource.com/platform/cts/+/a56ba0f83f0bde017249b787a51e69c3deac7f74", "a56ba0f83f0bde017249b787a51e69c3deac7f74")</f>
        <v>0</v>
      </c>
      <c r="C19450">
        <f>HYPERLINK("https://android.googlesource.com/platform/cts/+/fe29dcef0dc47151ef90278e57e503607cfe66a8", "fe29dcef0dc47151ef90278e57e503607cfe66a8")</f>
        <v>0</v>
      </c>
      <c r="D19450" t="s">
        <v>12494</v>
      </c>
      <c r="E19450" t="s">
        <v>14338</v>
      </c>
      <c r="F19450" t="s">
        <v>17201</v>
      </c>
      <c r="G19450" t="s">
        <v>19783</v>
      </c>
      <c r="H19450" t="s">
        <v>26844</v>
      </c>
      <c r="I19450" t="s">
        <v>1359</v>
      </c>
      <c r="J19450" t="s">
        <v>1357</v>
      </c>
      <c r="K19450" t="s">
        <v>1357</v>
      </c>
      <c r="L19450" t="s">
        <v>1358</v>
      </c>
    </row>
    <row r="19451" spans="1:13">
      <c r="A19451" t="s">
        <v>11839</v>
      </c>
      <c r="B19451">
        <f>HYPERLINK("https://android.googlesource.com/platform/cts/+/06a970b73b949dc413450c7ac465d270697544d3", "06a970b73b949dc413450c7ac465d270697544d3")</f>
        <v>0</v>
      </c>
      <c r="C19451">
        <f>HYPERLINK("https://android.googlesource.com/platform/cts/+/ef4c34a8b3ef5ed75649d3f8101dfab9f335b7c7", "ef4c34a8b3ef5ed75649d3f8101dfab9f335b7c7")</f>
        <v>0</v>
      </c>
      <c r="D19451" t="s">
        <v>12102</v>
      </c>
      <c r="E19451" t="s">
        <v>14339</v>
      </c>
      <c r="F19451" t="s">
        <v>16682</v>
      </c>
      <c r="G19451" t="s">
        <v>19314</v>
      </c>
      <c r="H19451" t="s">
        <v>25707</v>
      </c>
      <c r="I19451" t="s">
        <v>1357</v>
      </c>
      <c r="J19451" t="s">
        <v>1357</v>
      </c>
      <c r="K19451" t="s">
        <v>1357</v>
      </c>
      <c r="L19451" t="s">
        <v>1357</v>
      </c>
    </row>
    <row r="19452" spans="1:13">
      <c r="H19452" t="s">
        <v>25708</v>
      </c>
      <c r="I19452" t="s">
        <v>1357</v>
      </c>
      <c r="J19452" t="s">
        <v>1357</v>
      </c>
      <c r="K19452" t="s">
        <v>1357</v>
      </c>
      <c r="L19452" t="s">
        <v>1357</v>
      </c>
    </row>
    <row r="19453" spans="1:13">
      <c r="H19453" t="s">
        <v>25709</v>
      </c>
      <c r="I19453" t="s">
        <v>1357</v>
      </c>
      <c r="J19453" t="s">
        <v>1357</v>
      </c>
      <c r="K19453" t="s">
        <v>1357</v>
      </c>
      <c r="L19453" t="s">
        <v>1357</v>
      </c>
    </row>
    <row r="19454" spans="1:13">
      <c r="H19454" t="s">
        <v>25710</v>
      </c>
      <c r="I19454" t="s">
        <v>1357</v>
      </c>
      <c r="J19454" t="s">
        <v>1357</v>
      </c>
      <c r="K19454" t="s">
        <v>1357</v>
      </c>
      <c r="L19454" t="s">
        <v>1357</v>
      </c>
    </row>
    <row r="19455" spans="1:13">
      <c r="H19455" t="s">
        <v>25711</v>
      </c>
      <c r="I19455" t="s">
        <v>1357</v>
      </c>
      <c r="J19455" t="s">
        <v>1357</v>
      </c>
      <c r="K19455" t="s">
        <v>1357</v>
      </c>
      <c r="L19455" t="s">
        <v>1357</v>
      </c>
    </row>
    <row r="19456" spans="1:13">
      <c r="A19456" t="s">
        <v>11840</v>
      </c>
      <c r="B19456">
        <f>HYPERLINK("https://android.googlesource.com/platform/cts/+/f12ac476f00e90e804948617127f2af0a134c5b6", "f12ac476f00e90e804948617127f2af0a134c5b6")</f>
        <v>0</v>
      </c>
      <c r="C19456">
        <f>HYPERLINK("https://android.googlesource.com/platform/cts/+/c72b442cf7f9a6090d861fa2e40dfa06eaec46cf", "c72b442cf7f9a6090d861fa2e40dfa06eaec46cf")</f>
        <v>0</v>
      </c>
      <c r="D19456" t="s">
        <v>12495</v>
      </c>
      <c r="E19456" t="s">
        <v>14340</v>
      </c>
      <c r="F19456" t="s">
        <v>17202</v>
      </c>
      <c r="G19456" t="s">
        <v>19784</v>
      </c>
      <c r="H19456" t="s">
        <v>26845</v>
      </c>
      <c r="I19456" t="s">
        <v>1357</v>
      </c>
      <c r="J19456" t="s">
        <v>1357</v>
      </c>
      <c r="K19456" t="s">
        <v>1357</v>
      </c>
      <c r="L19456" t="s">
        <v>1357</v>
      </c>
    </row>
    <row r="19457" spans="1:13">
      <c r="A19457" t="s">
        <v>11841</v>
      </c>
      <c r="B19457">
        <f>HYPERLINK("https://android.googlesource.com/platform/cts/+/d9bafa9ae1627d954cd1c73b0971c2fc26b0cdd6", "d9bafa9ae1627d954cd1c73b0971c2fc26b0cdd6")</f>
        <v>0</v>
      </c>
      <c r="C19457">
        <f>HYPERLINK("https://android.googlesource.com/platform/cts/+/ef4c34a8b3ef5ed75649d3f8101dfab9f335b7c7", "ef4c34a8b3ef5ed75649d3f8101dfab9f335b7c7")</f>
        <v>0</v>
      </c>
      <c r="D19457" t="s">
        <v>12102</v>
      </c>
      <c r="E19457" t="s">
        <v>14341</v>
      </c>
      <c r="F19457" t="s">
        <v>16138</v>
      </c>
      <c r="G19457" t="s">
        <v>18822</v>
      </c>
      <c r="H19457" t="s">
        <v>26028</v>
      </c>
      <c r="I19457" t="s">
        <v>1357</v>
      </c>
      <c r="J19457" t="s">
        <v>1357</v>
      </c>
      <c r="K19457" t="s">
        <v>1357</v>
      </c>
      <c r="L19457" t="s">
        <v>1357</v>
      </c>
    </row>
    <row r="19458" spans="1:13">
      <c r="H19458" t="s">
        <v>26029</v>
      </c>
      <c r="I19458" t="s">
        <v>1357</v>
      </c>
      <c r="J19458" t="s">
        <v>1357</v>
      </c>
      <c r="K19458" t="s">
        <v>1357</v>
      </c>
      <c r="L19458" t="s">
        <v>1357</v>
      </c>
    </row>
    <row r="19459" spans="1:13">
      <c r="H19459" t="s">
        <v>26030</v>
      </c>
      <c r="I19459" t="s">
        <v>1357</v>
      </c>
      <c r="J19459" t="s">
        <v>1357</v>
      </c>
      <c r="K19459" t="s">
        <v>1357</v>
      </c>
      <c r="L19459" t="s">
        <v>1357</v>
      </c>
    </row>
    <row r="19460" spans="1:13">
      <c r="H19460" t="s">
        <v>26031</v>
      </c>
      <c r="I19460" t="s">
        <v>1357</v>
      </c>
      <c r="J19460" t="s">
        <v>1357</v>
      </c>
      <c r="K19460" t="s">
        <v>1357</v>
      </c>
      <c r="L19460" t="s">
        <v>1357</v>
      </c>
    </row>
    <row r="19461" spans="1:13">
      <c r="F19461" t="s">
        <v>16682</v>
      </c>
      <c r="G19461" t="s">
        <v>19314</v>
      </c>
      <c r="H19461" t="s">
        <v>26028</v>
      </c>
      <c r="I19461" t="s">
        <v>1357</v>
      </c>
      <c r="J19461" t="s">
        <v>1357</v>
      </c>
      <c r="K19461" t="s">
        <v>1357</v>
      </c>
      <c r="L19461" t="s">
        <v>1357</v>
      </c>
    </row>
    <row r="19462" spans="1:13">
      <c r="H19462" t="s">
        <v>26029</v>
      </c>
      <c r="I19462" t="s">
        <v>1357</v>
      </c>
      <c r="J19462" t="s">
        <v>1357</v>
      </c>
      <c r="K19462" t="s">
        <v>1357</v>
      </c>
      <c r="L19462" t="s">
        <v>1357</v>
      </c>
    </row>
    <row r="19463" spans="1:13">
      <c r="A19463" t="s">
        <v>11842</v>
      </c>
      <c r="B19463">
        <f>HYPERLINK("https://android.googlesource.com/platform/cts/+/5e1aadb605c0058dc29ce4f5f57b253d8f2c764b", "5e1aadb605c0058dc29ce4f5f57b253d8f2c764b")</f>
        <v>0</v>
      </c>
      <c r="C19463">
        <f>HYPERLINK("https://android.googlesource.com/platform/cts/+/e1d4136e4b0eba8b728cd1516c3e8f259a1d0fc6", "e1d4136e4b0eba8b728cd1516c3e8f259a1d0fc6")</f>
        <v>0</v>
      </c>
      <c r="D19463" t="s">
        <v>12321</v>
      </c>
      <c r="E19463" t="s">
        <v>14342</v>
      </c>
      <c r="F19463" t="s">
        <v>17203</v>
      </c>
      <c r="G19463" t="s">
        <v>19785</v>
      </c>
      <c r="H19463" t="s">
        <v>26846</v>
      </c>
      <c r="I19463" t="s">
        <v>1357</v>
      </c>
      <c r="J19463" t="s">
        <v>1357</v>
      </c>
      <c r="K19463" t="s">
        <v>1357</v>
      </c>
      <c r="L19463" t="s">
        <v>1357</v>
      </c>
    </row>
    <row r="19464" spans="1:13">
      <c r="A19464" t="s">
        <v>11843</v>
      </c>
      <c r="B19464">
        <f>HYPERLINK("https://android.googlesource.com/platform/cts/+/1babb54ac8a4d0bbd2264e230d7869ba425fdfa6", "1babb54ac8a4d0bbd2264e230d7869ba425fdfa6")</f>
        <v>0</v>
      </c>
      <c r="C19464">
        <f>HYPERLINK("https://android.googlesource.com/platform/cts/+/31c77e979172a1510c5d3fea58f7df42466703a6", "31c77e979172a1510c5d3fea58f7df42466703a6")</f>
        <v>0</v>
      </c>
      <c r="D19464" t="s">
        <v>12385</v>
      </c>
      <c r="E19464" t="s">
        <v>14343</v>
      </c>
      <c r="F19464" t="s">
        <v>17204</v>
      </c>
      <c r="G19464" t="s">
        <v>19786</v>
      </c>
      <c r="H19464" t="s">
        <v>26847</v>
      </c>
      <c r="I19464" t="s">
        <v>1358</v>
      </c>
      <c r="J19464" t="s">
        <v>1358</v>
      </c>
      <c r="K19464" t="s">
        <v>1358</v>
      </c>
      <c r="L19464" t="s">
        <v>1358</v>
      </c>
    </row>
    <row r="19465" spans="1:13">
      <c r="H19465" t="s">
        <v>26848</v>
      </c>
      <c r="I19465" t="s">
        <v>1358</v>
      </c>
      <c r="J19465" t="s">
        <v>1358</v>
      </c>
      <c r="K19465" t="s">
        <v>1358</v>
      </c>
      <c r="L19465" t="s">
        <v>1358</v>
      </c>
    </row>
    <row r="19466" spans="1:13">
      <c r="H19466" t="s">
        <v>26849</v>
      </c>
      <c r="I19466" t="s">
        <v>1358</v>
      </c>
      <c r="J19466" t="s">
        <v>1358</v>
      </c>
      <c r="K19466" t="s">
        <v>1358</v>
      </c>
      <c r="L19466" t="s">
        <v>1358</v>
      </c>
    </row>
    <row r="19467" spans="1:13">
      <c r="A19467" t="s">
        <v>11844</v>
      </c>
      <c r="B19467">
        <f>HYPERLINK("https://android.googlesource.com/platform/cts/+/c4e5c8930716902464f25f929177ce27b9840651", "c4e5c8930716902464f25f929177ce27b9840651")</f>
        <v>0</v>
      </c>
      <c r="C19467">
        <f>HYPERLINK("https://android.googlesource.com/platform/cts/+/5e1411ed4474d19631643ac4b65be0be8d8f6bc4", "5e1411ed4474d19631643ac4b65be0be8d8f6bc4")</f>
        <v>0</v>
      </c>
      <c r="D19467" t="s">
        <v>12496</v>
      </c>
      <c r="E19467" t="s">
        <v>14344</v>
      </c>
      <c r="F19467" t="s">
        <v>17205</v>
      </c>
      <c r="G19467" t="s">
        <v>19787</v>
      </c>
      <c r="H19467" t="s">
        <v>26850</v>
      </c>
      <c r="I19467" t="s">
        <v>1357</v>
      </c>
      <c r="J19467" t="s">
        <v>1357</v>
      </c>
      <c r="K19467" t="s">
        <v>1357</v>
      </c>
      <c r="L19467" t="s">
        <v>1357</v>
      </c>
    </row>
    <row r="19468" spans="1:13">
      <c r="A19468" t="s">
        <v>11845</v>
      </c>
      <c r="B19468">
        <f>HYPERLINK("https://android.googlesource.com/platform/cts/+/d9620aa1d4de39d19871d40755ea2ad6fd669fb0", "d9620aa1d4de39d19871d40755ea2ad6fd669fb0")</f>
        <v>0</v>
      </c>
      <c r="C19468">
        <f>HYPERLINK("https://android.googlesource.com/platform/cts/+/cc2d206957ec380485d5fa0714a08e6fc32ecc31", "cc2d206957ec380485d5fa0714a08e6fc32ecc31")</f>
        <v>0</v>
      </c>
      <c r="D19468" t="s">
        <v>12448</v>
      </c>
      <c r="E19468" t="s">
        <v>14345</v>
      </c>
      <c r="F19468" t="s">
        <v>17205</v>
      </c>
      <c r="G19468" t="s">
        <v>19787</v>
      </c>
      <c r="H19468" t="s">
        <v>26850</v>
      </c>
      <c r="I19468" t="s">
        <v>1357</v>
      </c>
      <c r="J19468" t="s">
        <v>1357</v>
      </c>
      <c r="K19468" t="s">
        <v>1357</v>
      </c>
      <c r="L19468" t="s">
        <v>1357</v>
      </c>
      <c r="M19468" t="s">
        <v>27499</v>
      </c>
    </row>
    <row r="19469" spans="1:13">
      <c r="A19469" t="s">
        <v>11846</v>
      </c>
      <c r="B19469">
        <f>HYPERLINK("https://android.googlesource.com/platform/cts/+/b63d3ad2a2c99e11f0d539f6131506a742c4fd0f", "b63d3ad2a2c99e11f0d539f6131506a742c4fd0f")</f>
        <v>0</v>
      </c>
      <c r="C19469">
        <f>HYPERLINK("https://android.googlesource.com/platform/cts/+/03a1d6e187ebc9636010fa0e2ba9890a50f49ec9", "03a1d6e187ebc9636010fa0e2ba9890a50f49ec9")</f>
        <v>0</v>
      </c>
      <c r="D19469" t="s">
        <v>12448</v>
      </c>
      <c r="E19469" t="s">
        <v>14345</v>
      </c>
      <c r="F19469" t="s">
        <v>17205</v>
      </c>
      <c r="G19469" t="s">
        <v>19787</v>
      </c>
      <c r="H19469" t="s">
        <v>26850</v>
      </c>
      <c r="I19469" t="s">
        <v>1357</v>
      </c>
      <c r="J19469" t="s">
        <v>1357</v>
      </c>
      <c r="K19469" t="s">
        <v>1357</v>
      </c>
      <c r="L19469" t="s">
        <v>1357</v>
      </c>
      <c r="M19469" t="s">
        <v>27499</v>
      </c>
    </row>
    <row r="19470" spans="1:13">
      <c r="A19470" t="s">
        <v>11847</v>
      </c>
      <c r="B19470">
        <f>HYPERLINK("https://android.googlesource.com/platform/cts/+/df73c24eda54194f4195c85e7cd2d2519d5fac2f", "df73c24eda54194f4195c85e7cd2d2519d5fac2f")</f>
        <v>0</v>
      </c>
      <c r="C19470">
        <f>HYPERLINK("https://android.googlesource.com/platform/cts/+/520e3a66ee5d1b9b4fc6fcd701671c79ff92d932", "520e3a66ee5d1b9b4fc6fcd701671c79ff92d932")</f>
        <v>0</v>
      </c>
      <c r="D19470" t="s">
        <v>12448</v>
      </c>
      <c r="E19470" t="s">
        <v>14345</v>
      </c>
      <c r="F19470" t="s">
        <v>17205</v>
      </c>
      <c r="G19470" t="s">
        <v>19787</v>
      </c>
      <c r="H19470" t="s">
        <v>26850</v>
      </c>
      <c r="I19470" t="s">
        <v>1357</v>
      </c>
      <c r="J19470" t="s">
        <v>1357</v>
      </c>
      <c r="K19470" t="s">
        <v>1357</v>
      </c>
      <c r="L19470" t="s">
        <v>1357</v>
      </c>
      <c r="M19470" t="s">
        <v>27499</v>
      </c>
    </row>
    <row r="19471" spans="1:13">
      <c r="A19471" t="s">
        <v>11848</v>
      </c>
      <c r="B19471">
        <f>HYPERLINK("https://android.googlesource.com/platform/cts/+/dc19e4de6b77cdcef67b5eec49eddbc0d896c963", "dc19e4de6b77cdcef67b5eec49eddbc0d896c963")</f>
        <v>0</v>
      </c>
      <c r="C19471">
        <f>HYPERLINK("https://android.googlesource.com/platform/cts/+/dda6933b8476190e4a8b4fdf63125dda5c7f0726", "dda6933b8476190e4a8b4fdf63125dda5c7f0726")</f>
        <v>0</v>
      </c>
      <c r="D19471" t="s">
        <v>12493</v>
      </c>
      <c r="E19471" t="s">
        <v>14346</v>
      </c>
      <c r="F19471" t="s">
        <v>17206</v>
      </c>
      <c r="G19471" t="s">
        <v>19788</v>
      </c>
      <c r="H19471" t="s">
        <v>20087</v>
      </c>
      <c r="I19471" t="s">
        <v>1357</v>
      </c>
      <c r="J19471" t="s">
        <v>1357</v>
      </c>
      <c r="K19471" t="s">
        <v>1357</v>
      </c>
      <c r="L19471" t="s">
        <v>1357</v>
      </c>
    </row>
    <row r="19472" spans="1:13">
      <c r="A19472" t="s">
        <v>11849</v>
      </c>
      <c r="B19472">
        <f>HYPERLINK("https://android.googlesource.com/platform/cts/+/ea396918a4d920673ef8e38d724ddc80191933c4", "ea396918a4d920673ef8e38d724ddc80191933c4")</f>
        <v>0</v>
      </c>
      <c r="C19472">
        <f>HYPERLINK("https://android.googlesource.com/platform/cts/+/21200410f67a2cda0fd81a6582f8992fc6e8b1c7", "21200410f67a2cda0fd81a6582f8992fc6e8b1c7")</f>
        <v>0</v>
      </c>
      <c r="D19472" t="s">
        <v>12385</v>
      </c>
      <c r="E19472" t="s">
        <v>14347</v>
      </c>
      <c r="F19472" t="s">
        <v>17207</v>
      </c>
      <c r="G19472" t="s">
        <v>19789</v>
      </c>
      <c r="H19472" t="s">
        <v>26851</v>
      </c>
      <c r="I19472" t="s">
        <v>1358</v>
      </c>
      <c r="J19472" t="s">
        <v>1358</v>
      </c>
      <c r="K19472" t="s">
        <v>1358</v>
      </c>
      <c r="L19472" t="s">
        <v>1358</v>
      </c>
    </row>
    <row r="19473" spans="1:12">
      <c r="H19473" t="s">
        <v>26852</v>
      </c>
      <c r="I19473" t="s">
        <v>1358</v>
      </c>
      <c r="J19473" t="s">
        <v>1358</v>
      </c>
      <c r="K19473" t="s">
        <v>1358</v>
      </c>
      <c r="L19473" t="s">
        <v>1358</v>
      </c>
    </row>
    <row r="19474" spans="1:12">
      <c r="A19474" t="s">
        <v>11850</v>
      </c>
      <c r="B19474">
        <f>HYPERLINK("https://android.googlesource.com/platform/cts/+/ff2f108af4fe6ad980d7d346f3785588f31e56f2", "ff2f108af4fe6ad980d7d346f3785588f31e56f2")</f>
        <v>0</v>
      </c>
      <c r="C19474">
        <f>HYPERLINK("https://android.googlesource.com/platform/cts/+/486b3ec36384521da9940f46905fa3e7cc3a7cbe", "486b3ec36384521da9940f46905fa3e7cc3a7cbe")</f>
        <v>0</v>
      </c>
      <c r="D19474" t="s">
        <v>12497</v>
      </c>
      <c r="E19474" t="s">
        <v>14348</v>
      </c>
      <c r="F19474" t="s">
        <v>17208</v>
      </c>
      <c r="G19474" t="s">
        <v>19790</v>
      </c>
      <c r="H19474" t="s">
        <v>26853</v>
      </c>
      <c r="I19474" t="s">
        <v>1358</v>
      </c>
      <c r="J19474" t="s">
        <v>1358</v>
      </c>
      <c r="K19474" t="s">
        <v>1358</v>
      </c>
      <c r="L19474" t="s">
        <v>1358</v>
      </c>
    </row>
    <row r="19475" spans="1:12">
      <c r="A19475" t="s">
        <v>11851</v>
      </c>
      <c r="B19475">
        <f>HYPERLINK("https://android.googlesource.com/platform/cts/+/c415858845f62ec0ab4d8bd51b95340f24aa9aef", "c415858845f62ec0ab4d8bd51b95340f24aa9aef")</f>
        <v>0</v>
      </c>
      <c r="C19475">
        <f>HYPERLINK("https://android.googlesource.com/platform/cts/+/46124d4b74141ba908658fd8decf7bfa77571da0", "46124d4b74141ba908658fd8decf7bfa77571da0")</f>
        <v>0</v>
      </c>
      <c r="D19475" t="s">
        <v>12414</v>
      </c>
      <c r="E19475" t="s">
        <v>14349</v>
      </c>
      <c r="F19475" t="s">
        <v>17209</v>
      </c>
      <c r="G19475" t="s">
        <v>19791</v>
      </c>
      <c r="H19475" t="s">
        <v>26854</v>
      </c>
      <c r="I19475" t="s">
        <v>1357</v>
      </c>
      <c r="J19475" t="s">
        <v>1357</v>
      </c>
      <c r="K19475" t="s">
        <v>1357</v>
      </c>
      <c r="L19475" t="s">
        <v>1357</v>
      </c>
    </row>
    <row r="19476" spans="1:12">
      <c r="A19476" t="s">
        <v>11852</v>
      </c>
      <c r="B19476">
        <f>HYPERLINK("https://android.googlesource.com/platform/cts/+/241e7bc1ebb77bcd158f7d23f56722c03125a5fa", "241e7bc1ebb77bcd158f7d23f56722c03125a5fa")</f>
        <v>0</v>
      </c>
      <c r="C19476">
        <f>HYPERLINK("https://android.googlesource.com/platform/cts/+/9aa5abe84f36637ec37d5900d84308b176ef4ee2", "9aa5abe84f36637ec37d5900d84308b176ef4ee2")</f>
        <v>0</v>
      </c>
      <c r="D19476" t="s">
        <v>12498</v>
      </c>
      <c r="E19476" t="s">
        <v>14350</v>
      </c>
      <c r="F19476" t="s">
        <v>17210</v>
      </c>
      <c r="G19476" t="s">
        <v>19792</v>
      </c>
      <c r="H19476" t="s">
        <v>26855</v>
      </c>
      <c r="I19476" t="s">
        <v>1358</v>
      </c>
      <c r="J19476" t="s">
        <v>1358</v>
      </c>
      <c r="K19476" t="s">
        <v>1358</v>
      </c>
      <c r="L19476" t="s">
        <v>1358</v>
      </c>
    </row>
    <row r="19477" spans="1:12">
      <c r="A19477" t="s">
        <v>11853</v>
      </c>
      <c r="B19477">
        <f>HYPERLINK("https://android.googlesource.com/platform/cts/+/a8ba0474df932993db2898a6fce810411e6fcaa1", "a8ba0474df932993db2898a6fce810411e6fcaa1")</f>
        <v>0</v>
      </c>
      <c r="C19477">
        <f>HYPERLINK("https://android.googlesource.com/platform/cts/+/648d820065bacef57cee3015f01991fbc0ae7122", "648d820065bacef57cee3015f01991fbc0ae7122")</f>
        <v>0</v>
      </c>
      <c r="D19477" t="s">
        <v>12333</v>
      </c>
      <c r="E19477" t="s">
        <v>14351</v>
      </c>
      <c r="F19477" t="s">
        <v>17138</v>
      </c>
      <c r="G19477" t="s">
        <v>17894</v>
      </c>
      <c r="H19477" t="s">
        <v>26856</v>
      </c>
      <c r="I19477" t="s">
        <v>1357</v>
      </c>
      <c r="J19477" t="s">
        <v>1357</v>
      </c>
      <c r="K19477" t="s">
        <v>1357</v>
      </c>
      <c r="L19477" t="s">
        <v>1357</v>
      </c>
    </row>
    <row r="19478" spans="1:12">
      <c r="A19478" t="s">
        <v>11854</v>
      </c>
      <c r="B19478">
        <f>HYPERLINK("https://android.googlesource.com/platform/cts/+/e114243e1991fc169f07bd6a3db815b21265e6de", "e114243e1991fc169f07bd6a3db815b21265e6de")</f>
        <v>0</v>
      </c>
      <c r="C19478">
        <f>HYPERLINK("https://android.googlesource.com/platform/cts/+/d52568d1d940cadf5d08b3e700210333e5d2d083", "d52568d1d940cadf5d08b3e700210333e5d2d083")</f>
        <v>0</v>
      </c>
      <c r="D19478" t="s">
        <v>12494</v>
      </c>
      <c r="E19478" t="s">
        <v>14352</v>
      </c>
      <c r="F19478" t="s">
        <v>17211</v>
      </c>
      <c r="G19478" t="s">
        <v>19793</v>
      </c>
      <c r="H19478" t="s">
        <v>26857</v>
      </c>
      <c r="I19478" t="s">
        <v>1357</v>
      </c>
      <c r="J19478" t="s">
        <v>1357</v>
      </c>
      <c r="K19478" t="s">
        <v>1357</v>
      </c>
      <c r="L19478" t="s">
        <v>1357</v>
      </c>
    </row>
    <row r="19479" spans="1:12">
      <c r="H19479" t="s">
        <v>26858</v>
      </c>
      <c r="I19479" t="s">
        <v>1357</v>
      </c>
      <c r="J19479" t="s">
        <v>1357</v>
      </c>
      <c r="K19479" t="s">
        <v>1357</v>
      </c>
      <c r="L19479" t="s">
        <v>1357</v>
      </c>
    </row>
    <row r="19480" spans="1:12">
      <c r="H19480" t="s">
        <v>26859</v>
      </c>
      <c r="I19480" t="s">
        <v>1357</v>
      </c>
      <c r="J19480" t="s">
        <v>1357</v>
      </c>
      <c r="K19480" t="s">
        <v>1357</v>
      </c>
      <c r="L19480" t="s">
        <v>1357</v>
      </c>
    </row>
    <row r="19481" spans="1:12">
      <c r="A19481" t="s">
        <v>11855</v>
      </c>
      <c r="B19481">
        <f>HYPERLINK("https://android.googlesource.com/platform/cts/+/5a408a8b37b9953a37a8b05e84cbe25ed77ef369", "5a408a8b37b9953a37a8b05e84cbe25ed77ef369")</f>
        <v>0</v>
      </c>
      <c r="C19481">
        <f>HYPERLINK("https://android.googlesource.com/platform/cts/+/5722906555bccd1f17f0e056ca26e413fa2fbbee", "5722906555bccd1f17f0e056ca26e413fa2fbbee")</f>
        <v>0</v>
      </c>
      <c r="D19481" t="s">
        <v>12321</v>
      </c>
      <c r="E19481" t="s">
        <v>14353</v>
      </c>
      <c r="F19481" t="s">
        <v>17212</v>
      </c>
      <c r="G19481" t="s">
        <v>19794</v>
      </c>
      <c r="H19481" t="s">
        <v>26860</v>
      </c>
      <c r="I19481" t="s">
        <v>1357</v>
      </c>
      <c r="J19481" t="s">
        <v>1357</v>
      </c>
      <c r="K19481" t="s">
        <v>1357</v>
      </c>
      <c r="L19481" t="s">
        <v>1357</v>
      </c>
    </row>
    <row r="19482" spans="1:12">
      <c r="A19482" t="s">
        <v>11856</v>
      </c>
      <c r="B19482">
        <f>HYPERLINK("https://android.googlesource.com/platform/cts/+/f53d93a09cfbcdce88aa9c3ae7d4bebbb9f12339", "f53d93a09cfbcdce88aa9c3ae7d4bebbb9f12339")</f>
        <v>0</v>
      </c>
      <c r="C19482">
        <f>HYPERLINK("https://android.googlesource.com/platform/cts/+/ec1f01c815081d785fb53f08db91c6cfc1d8bdcd", "ec1f01c815081d785fb53f08db91c6cfc1d8bdcd")</f>
        <v>0</v>
      </c>
      <c r="D19482" t="s">
        <v>12499</v>
      </c>
      <c r="E19482" t="s">
        <v>14354</v>
      </c>
      <c r="F19482" t="s">
        <v>17213</v>
      </c>
      <c r="G19482" t="s">
        <v>18597</v>
      </c>
      <c r="H19482" t="s">
        <v>26861</v>
      </c>
      <c r="I19482" t="s">
        <v>1357</v>
      </c>
      <c r="J19482" t="s">
        <v>1357</v>
      </c>
      <c r="K19482" t="s">
        <v>1357</v>
      </c>
      <c r="L19482" t="s">
        <v>1357</v>
      </c>
    </row>
    <row r="19483" spans="1:12">
      <c r="A19483" t="s">
        <v>11857</v>
      </c>
      <c r="B19483">
        <f>HYPERLINK("https://android.googlesource.com/platform/cts/+/87963bd9590b142e4f90bb0e3199f066e2d96308", "87963bd9590b142e4f90bb0e3199f066e2d96308")</f>
        <v>0</v>
      </c>
      <c r="C19483">
        <f>HYPERLINK("https://android.googlesource.com/platform/cts/+/4ad20d3a4fabcb292b90b24896120b83a9da8271", "4ad20d3a4fabcb292b90b24896120b83a9da8271")</f>
        <v>0</v>
      </c>
      <c r="D19483" t="s">
        <v>12500</v>
      </c>
      <c r="E19483" t="s">
        <v>14355</v>
      </c>
      <c r="F19483" t="s">
        <v>17214</v>
      </c>
      <c r="G19483" t="s">
        <v>19795</v>
      </c>
      <c r="H19483" t="s">
        <v>26862</v>
      </c>
      <c r="I19483" t="s">
        <v>1358</v>
      </c>
      <c r="J19483" t="s">
        <v>1358</v>
      </c>
      <c r="K19483" t="s">
        <v>1358</v>
      </c>
      <c r="L19483" t="s">
        <v>1358</v>
      </c>
    </row>
    <row r="19484" spans="1:12">
      <c r="A19484" t="s">
        <v>11858</v>
      </c>
      <c r="B19484">
        <f>HYPERLINK("https://android.googlesource.com/platform/cts/+/882dd354ba260f9360e8e11cb02132db6efd76c9", "882dd354ba260f9360e8e11cb02132db6efd76c9")</f>
        <v>0</v>
      </c>
      <c r="C19484">
        <f>HYPERLINK("https://android.googlesource.com/platform/cts/+/59d1899ae7939c584e7d7bf1f4cac9e3478c087d", "59d1899ae7939c584e7d7bf1f4cac9e3478c087d")</f>
        <v>0</v>
      </c>
      <c r="D19484" t="s">
        <v>12501</v>
      </c>
      <c r="E19484" t="s">
        <v>14356</v>
      </c>
      <c r="F19484" t="s">
        <v>17215</v>
      </c>
      <c r="G19484" t="s">
        <v>19796</v>
      </c>
      <c r="H19484" t="s">
        <v>26863</v>
      </c>
      <c r="I19484" t="s">
        <v>1357</v>
      </c>
      <c r="J19484" t="s">
        <v>1357</v>
      </c>
      <c r="K19484" t="s">
        <v>1357</v>
      </c>
      <c r="L19484" t="s">
        <v>1357</v>
      </c>
    </row>
    <row r="19485" spans="1:12">
      <c r="H19485" t="s">
        <v>26864</v>
      </c>
      <c r="I19485" t="s">
        <v>1357</v>
      </c>
      <c r="J19485" t="s">
        <v>1357</v>
      </c>
      <c r="K19485" t="s">
        <v>1357</v>
      </c>
      <c r="L19485" t="s">
        <v>1357</v>
      </c>
    </row>
    <row r="19486" spans="1:12">
      <c r="H19486" t="s">
        <v>26865</v>
      </c>
      <c r="I19486" t="s">
        <v>1357</v>
      </c>
      <c r="J19486" t="s">
        <v>1357</v>
      </c>
      <c r="K19486" t="s">
        <v>1357</v>
      </c>
      <c r="L19486" t="s">
        <v>1357</v>
      </c>
    </row>
    <row r="19487" spans="1:12">
      <c r="F19487" t="s">
        <v>17216</v>
      </c>
      <c r="G19487" t="s">
        <v>19797</v>
      </c>
      <c r="H19487" t="s">
        <v>26866</v>
      </c>
      <c r="I19487" t="s">
        <v>1357</v>
      </c>
      <c r="J19487" t="s">
        <v>1357</v>
      </c>
      <c r="K19487" t="s">
        <v>1357</v>
      </c>
      <c r="L19487" t="s">
        <v>1357</v>
      </c>
    </row>
    <row r="19488" spans="1:12">
      <c r="A19488" t="s">
        <v>11859</v>
      </c>
      <c r="B19488">
        <f>HYPERLINK("https://android.googlesource.com/platform/cts/+/236ddb95248fff927dcdad6f900dcc0915179441", "236ddb95248fff927dcdad6f900dcc0915179441")</f>
        <v>0</v>
      </c>
      <c r="C19488">
        <f>HYPERLINK("https://android.googlesource.com/platform/cts/+/97ce2a65d7d5b128a998a334720170753d674cc2", "97ce2a65d7d5b128a998a334720170753d674cc2")</f>
        <v>0</v>
      </c>
      <c r="D19488" t="s">
        <v>12502</v>
      </c>
      <c r="E19488" t="s">
        <v>14357</v>
      </c>
      <c r="F19488" t="s">
        <v>15184</v>
      </c>
      <c r="G19488" t="s">
        <v>17886</v>
      </c>
      <c r="H19488" t="s">
        <v>26867</v>
      </c>
      <c r="I19488" t="s">
        <v>1358</v>
      </c>
      <c r="J19488" t="s">
        <v>1358</v>
      </c>
      <c r="K19488" t="s">
        <v>1358</v>
      </c>
      <c r="L19488" t="s">
        <v>1358</v>
      </c>
    </row>
    <row r="19489" spans="1:12">
      <c r="A19489" t="s">
        <v>11860</v>
      </c>
      <c r="B19489">
        <f>HYPERLINK("https://android.googlesource.com/platform/cts/+/46bc074a1a06f7949ece808769433d18eaba70ba", "46bc074a1a06f7949ece808769433d18eaba70ba")</f>
        <v>0</v>
      </c>
      <c r="C19489">
        <f>HYPERLINK("https://android.googlesource.com/platform/cts/+/c48a92b480d71692b81560bf0a94b2775e9755e7", "c48a92b480d71692b81560bf0a94b2775e9755e7")</f>
        <v>0</v>
      </c>
      <c r="D19489" t="s">
        <v>12503</v>
      </c>
      <c r="E19489" t="s">
        <v>14358</v>
      </c>
      <c r="F19489" t="s">
        <v>17217</v>
      </c>
      <c r="G19489" t="s">
        <v>19798</v>
      </c>
      <c r="H19489" t="s">
        <v>26868</v>
      </c>
      <c r="I19489" t="s">
        <v>1357</v>
      </c>
      <c r="J19489" t="s">
        <v>1357</v>
      </c>
      <c r="K19489" t="s">
        <v>1357</v>
      </c>
      <c r="L19489" t="s">
        <v>1357</v>
      </c>
    </row>
    <row r="19490" spans="1:12">
      <c r="A19490" t="s">
        <v>11861</v>
      </c>
      <c r="B19490">
        <f>HYPERLINK("https://android.googlesource.com/platform/cts/+/deaebcace87bf09c26e075a17fc5c0c96b3e6cd0", "deaebcace87bf09c26e075a17fc5c0c96b3e6cd0")</f>
        <v>0</v>
      </c>
      <c r="C19490">
        <f>HYPERLINK("https://android.googlesource.com/platform/cts/+/ecfb8a0dda9d97e262cf8edb4b4613ba06289141", "ecfb8a0dda9d97e262cf8edb4b4613ba06289141")</f>
        <v>0</v>
      </c>
      <c r="D19490" t="s">
        <v>12306</v>
      </c>
      <c r="E19490" t="s">
        <v>14359</v>
      </c>
      <c r="F19490" t="s">
        <v>17218</v>
      </c>
      <c r="G19490" t="s">
        <v>19799</v>
      </c>
      <c r="H19490" t="s">
        <v>25689</v>
      </c>
      <c r="I19490" t="s">
        <v>1357</v>
      </c>
      <c r="J19490" t="s">
        <v>1357</v>
      </c>
      <c r="K19490" t="s">
        <v>1357</v>
      </c>
      <c r="L19490" t="s">
        <v>1357</v>
      </c>
    </row>
    <row r="19491" spans="1:12">
      <c r="H19491" t="s">
        <v>25989</v>
      </c>
      <c r="I19491" t="s">
        <v>1357</v>
      </c>
      <c r="J19491" t="s">
        <v>1357</v>
      </c>
      <c r="K19491" t="s">
        <v>1357</v>
      </c>
      <c r="L19491" t="s">
        <v>1357</v>
      </c>
    </row>
    <row r="19492" spans="1:12">
      <c r="F19492" t="s">
        <v>16861</v>
      </c>
      <c r="G19492" t="s">
        <v>19474</v>
      </c>
      <c r="H19492" t="s">
        <v>26869</v>
      </c>
      <c r="I19492" t="s">
        <v>1357</v>
      </c>
      <c r="J19492" t="s">
        <v>1357</v>
      </c>
      <c r="K19492" t="s">
        <v>1357</v>
      </c>
      <c r="L19492" t="s">
        <v>1357</v>
      </c>
    </row>
    <row r="19493" spans="1:12">
      <c r="F19493" t="s">
        <v>16138</v>
      </c>
      <c r="G19493" t="s">
        <v>18822</v>
      </c>
      <c r="H19493" t="s">
        <v>26869</v>
      </c>
      <c r="I19493" t="s">
        <v>1357</v>
      </c>
      <c r="J19493" t="s">
        <v>1357</v>
      </c>
      <c r="K19493" t="s">
        <v>1357</v>
      </c>
      <c r="L19493" t="s">
        <v>1357</v>
      </c>
    </row>
    <row r="19494" spans="1:12">
      <c r="F19494" t="s">
        <v>16147</v>
      </c>
      <c r="G19494" t="s">
        <v>17894</v>
      </c>
      <c r="H19494" t="s">
        <v>26870</v>
      </c>
      <c r="I19494" t="s">
        <v>1357</v>
      </c>
      <c r="J19494" t="s">
        <v>1357</v>
      </c>
      <c r="K19494" t="s">
        <v>1357</v>
      </c>
      <c r="L19494" t="s">
        <v>1357</v>
      </c>
    </row>
    <row r="19495" spans="1:12">
      <c r="H19495" t="s">
        <v>26871</v>
      </c>
      <c r="I19495" t="s">
        <v>1357</v>
      </c>
      <c r="J19495" t="s">
        <v>1357</v>
      </c>
      <c r="K19495" t="s">
        <v>1357</v>
      </c>
      <c r="L19495" t="s">
        <v>1357</v>
      </c>
    </row>
    <row r="19496" spans="1:12">
      <c r="A19496" t="s">
        <v>11862</v>
      </c>
      <c r="B19496">
        <f>HYPERLINK("https://android.googlesource.com/platform/cts/+/c74278489ff0d2b488fef4740f17371b2ff02e7e", "c74278489ff0d2b488fef4740f17371b2ff02e7e")</f>
        <v>0</v>
      </c>
      <c r="C19496">
        <f>HYPERLINK("https://android.googlesource.com/platform/cts/+/deaebcace87bf09c26e075a17fc5c0c96b3e6cd0", "deaebcace87bf09c26e075a17fc5c0c96b3e6cd0")</f>
        <v>0</v>
      </c>
      <c r="D19496" t="s">
        <v>12306</v>
      </c>
      <c r="E19496" t="s">
        <v>14360</v>
      </c>
      <c r="F19496" t="s">
        <v>17219</v>
      </c>
      <c r="G19496" t="s">
        <v>19800</v>
      </c>
      <c r="H19496" t="s">
        <v>25689</v>
      </c>
      <c r="I19496" t="s">
        <v>1357</v>
      </c>
      <c r="J19496" t="s">
        <v>1357</v>
      </c>
      <c r="K19496" t="s">
        <v>1357</v>
      </c>
      <c r="L19496" t="s">
        <v>1357</v>
      </c>
    </row>
    <row r="19497" spans="1:12">
      <c r="H19497" t="s">
        <v>25989</v>
      </c>
      <c r="I19497" t="s">
        <v>1357</v>
      </c>
      <c r="J19497" t="s">
        <v>1357</v>
      </c>
      <c r="K19497" t="s">
        <v>1357</v>
      </c>
      <c r="L19497" t="s">
        <v>1357</v>
      </c>
    </row>
    <row r="19498" spans="1:12">
      <c r="A19498" t="s">
        <v>11863</v>
      </c>
      <c r="B19498">
        <f>HYPERLINK("https://android.googlesource.com/platform/cts/+/3bea4bfc427b1d5f5415bedec5ee05467c874da0", "3bea4bfc427b1d5f5415bedec5ee05467c874da0")</f>
        <v>0</v>
      </c>
      <c r="C19498">
        <f>HYPERLINK("https://android.googlesource.com/platform/cts/+/c74278489ff0d2b488fef4740f17371b2ff02e7e", "c74278489ff0d2b488fef4740f17371b2ff02e7e")</f>
        <v>0</v>
      </c>
      <c r="D19498" t="s">
        <v>12306</v>
      </c>
      <c r="E19498" t="s">
        <v>14361</v>
      </c>
      <c r="F19498" t="s">
        <v>17220</v>
      </c>
      <c r="G19498" t="s">
        <v>19801</v>
      </c>
      <c r="H19498" t="s">
        <v>25689</v>
      </c>
      <c r="I19498" t="s">
        <v>1357</v>
      </c>
      <c r="J19498" t="s">
        <v>1357</v>
      </c>
      <c r="K19498" t="s">
        <v>1357</v>
      </c>
      <c r="L19498" t="s">
        <v>1357</v>
      </c>
    </row>
    <row r="19499" spans="1:12">
      <c r="H19499" t="s">
        <v>25989</v>
      </c>
      <c r="I19499" t="s">
        <v>1357</v>
      </c>
      <c r="J19499" t="s">
        <v>1357</v>
      </c>
      <c r="K19499" t="s">
        <v>1357</v>
      </c>
      <c r="L19499" t="s">
        <v>1357</v>
      </c>
    </row>
    <row r="19500" spans="1:12">
      <c r="A19500" t="s">
        <v>11864</v>
      </c>
      <c r="B19500">
        <f>HYPERLINK("https://android.googlesource.com/platform/cts/+/98695cb8832a794f106c1a5523455fb9cbfe406b", "98695cb8832a794f106c1a5523455fb9cbfe406b")</f>
        <v>0</v>
      </c>
      <c r="C19500">
        <f>HYPERLINK("https://android.googlesource.com/platform/cts/+/3bea4bfc427b1d5f5415bedec5ee05467c874da0", "3bea4bfc427b1d5f5415bedec5ee05467c874da0")</f>
        <v>0</v>
      </c>
      <c r="D19500" t="s">
        <v>12306</v>
      </c>
      <c r="E19500" t="s">
        <v>14362</v>
      </c>
      <c r="F19500" t="s">
        <v>17221</v>
      </c>
      <c r="G19500" t="s">
        <v>19802</v>
      </c>
      <c r="H19500" t="s">
        <v>25689</v>
      </c>
      <c r="I19500" t="s">
        <v>1357</v>
      </c>
      <c r="J19500" t="s">
        <v>1357</v>
      </c>
      <c r="K19500" t="s">
        <v>1357</v>
      </c>
      <c r="L19500" t="s">
        <v>1357</v>
      </c>
    </row>
    <row r="19501" spans="1:12">
      <c r="H19501" t="s">
        <v>25989</v>
      </c>
      <c r="I19501" t="s">
        <v>1357</v>
      </c>
      <c r="J19501" t="s">
        <v>1357</v>
      </c>
      <c r="K19501" t="s">
        <v>1357</v>
      </c>
      <c r="L19501" t="s">
        <v>1357</v>
      </c>
    </row>
    <row r="19502" spans="1:12">
      <c r="A19502" t="s">
        <v>11865</v>
      </c>
      <c r="B19502">
        <f>HYPERLINK("https://android.googlesource.com/platform/cts/+/bf3d7b260019d78e1309ea83e83b7f3724b4480d", "bf3d7b260019d78e1309ea83e83b7f3724b4480d")</f>
        <v>0</v>
      </c>
      <c r="C19502">
        <f>HYPERLINK("https://android.googlesource.com/platform/cts/+/98695cb8832a794f106c1a5523455fb9cbfe406b", "98695cb8832a794f106c1a5523455fb9cbfe406b")</f>
        <v>0</v>
      </c>
      <c r="D19502" t="s">
        <v>12306</v>
      </c>
      <c r="E19502" t="s">
        <v>14363</v>
      </c>
      <c r="F19502" t="s">
        <v>17222</v>
      </c>
      <c r="G19502" t="s">
        <v>19803</v>
      </c>
      <c r="H19502" t="s">
        <v>25989</v>
      </c>
      <c r="I19502" t="s">
        <v>1357</v>
      </c>
      <c r="J19502" t="s">
        <v>1357</v>
      </c>
      <c r="K19502" t="s">
        <v>1357</v>
      </c>
      <c r="L19502" t="s">
        <v>1357</v>
      </c>
    </row>
    <row r="19503" spans="1:12">
      <c r="H19503" t="s">
        <v>25689</v>
      </c>
      <c r="I19503" t="s">
        <v>1357</v>
      </c>
      <c r="J19503" t="s">
        <v>1357</v>
      </c>
      <c r="K19503" t="s">
        <v>1357</v>
      </c>
      <c r="L19503" t="s">
        <v>1357</v>
      </c>
    </row>
    <row r="19504" spans="1:12">
      <c r="H19504" t="s">
        <v>26872</v>
      </c>
      <c r="I19504" t="s">
        <v>1357</v>
      </c>
      <c r="J19504" t="s">
        <v>1357</v>
      </c>
      <c r="K19504" t="s">
        <v>1357</v>
      </c>
      <c r="L19504" t="s">
        <v>1357</v>
      </c>
    </row>
    <row r="19505" spans="1:13">
      <c r="F19505" t="s">
        <v>16138</v>
      </c>
      <c r="G19505" t="s">
        <v>18822</v>
      </c>
      <c r="H19505" t="s">
        <v>4476</v>
      </c>
      <c r="I19505" t="s">
        <v>1357</v>
      </c>
      <c r="J19505" t="s">
        <v>1357</v>
      </c>
      <c r="K19505" t="s">
        <v>1357</v>
      </c>
      <c r="L19505" t="s">
        <v>1357</v>
      </c>
    </row>
    <row r="19506" spans="1:13">
      <c r="A19506" t="s">
        <v>11866</v>
      </c>
      <c r="B19506">
        <f>HYPERLINK("https://android.googlesource.com/platform/cts/+/757388264180d3aa1644d1b3ca85042b57e01a00", "757388264180d3aa1644d1b3ca85042b57e01a00")</f>
        <v>0</v>
      </c>
      <c r="C19506">
        <f>HYPERLINK("https://android.googlesource.com/platform/cts/+/2429645f9b99ab7c635a00d546c8764db9bc4a92", "2429645f9b99ab7c635a00d546c8764db9bc4a92")</f>
        <v>0</v>
      </c>
      <c r="D19506" t="s">
        <v>12306</v>
      </c>
      <c r="E19506" t="s">
        <v>14364</v>
      </c>
      <c r="F19506" t="s">
        <v>16682</v>
      </c>
      <c r="G19506" t="s">
        <v>19314</v>
      </c>
      <c r="H19506" t="s">
        <v>4476</v>
      </c>
      <c r="I19506" t="s">
        <v>1357</v>
      </c>
      <c r="J19506" t="s">
        <v>1357</v>
      </c>
      <c r="K19506" t="s">
        <v>1357</v>
      </c>
      <c r="L19506" t="s">
        <v>1357</v>
      </c>
    </row>
    <row r="19507" spans="1:13">
      <c r="F19507" t="s">
        <v>17223</v>
      </c>
      <c r="G19507" t="s">
        <v>19804</v>
      </c>
      <c r="H19507" t="s">
        <v>26873</v>
      </c>
      <c r="I19507" t="s">
        <v>1357</v>
      </c>
      <c r="J19507" t="s">
        <v>1357</v>
      </c>
      <c r="K19507" t="s">
        <v>1357</v>
      </c>
      <c r="L19507" t="s">
        <v>1357</v>
      </c>
    </row>
    <row r="19508" spans="1:13">
      <c r="H19508" t="s">
        <v>26874</v>
      </c>
      <c r="I19508" t="s">
        <v>1357</v>
      </c>
      <c r="J19508" t="s">
        <v>1357</v>
      </c>
      <c r="K19508" t="s">
        <v>1357</v>
      </c>
      <c r="L19508" t="s">
        <v>1357</v>
      </c>
    </row>
    <row r="19509" spans="1:13">
      <c r="A19509" t="s">
        <v>11867</v>
      </c>
      <c r="B19509">
        <f>HYPERLINK("https://android.googlesource.com/platform/cts/+/943f97b48c4c3111cd479216ea508af9f8763186", "943f97b48c4c3111cd479216ea508af9f8763186")</f>
        <v>0</v>
      </c>
      <c r="C19509">
        <f>HYPERLINK("https://android.googlesource.com/platform/cts/+/959a69e68c5842efc1ccdd923f2b8646695d15ac", "959a69e68c5842efc1ccdd923f2b8646695d15ac")</f>
        <v>0</v>
      </c>
      <c r="D19509" t="s">
        <v>12372</v>
      </c>
      <c r="E19509" t="s">
        <v>14365</v>
      </c>
      <c r="F19509" t="s">
        <v>16769</v>
      </c>
      <c r="G19509" t="s">
        <v>19396</v>
      </c>
      <c r="H19509" t="s">
        <v>26875</v>
      </c>
      <c r="I19509" t="s">
        <v>1359</v>
      </c>
      <c r="J19509" t="s">
        <v>1358</v>
      </c>
      <c r="K19509" t="s">
        <v>1357</v>
      </c>
      <c r="L19509" t="s">
        <v>1358</v>
      </c>
    </row>
    <row r="19510" spans="1:13">
      <c r="H19510" t="s">
        <v>26876</v>
      </c>
      <c r="I19510" t="s">
        <v>1359</v>
      </c>
      <c r="J19510" t="s">
        <v>1358</v>
      </c>
      <c r="K19510" t="s">
        <v>1357</v>
      </c>
      <c r="L19510" t="s">
        <v>1358</v>
      </c>
    </row>
    <row r="19511" spans="1:13">
      <c r="A19511" t="s">
        <v>11868</v>
      </c>
      <c r="B19511">
        <f>HYPERLINK("https://android.googlesource.com/platform/cts/+/4adbe6c4ad7cb35259f0fc0d4d5956dc8a9c5ea8", "4adbe6c4ad7cb35259f0fc0d4d5956dc8a9c5ea8")</f>
        <v>0</v>
      </c>
      <c r="C19511">
        <f>HYPERLINK("https://android.googlesource.com/platform/cts/+/ac11e53be1100a0aece27ebb12dbf3bf3b9f8253", "ac11e53be1100a0aece27ebb12dbf3bf3b9f8253")</f>
        <v>0</v>
      </c>
      <c r="D19511" t="s">
        <v>12504</v>
      </c>
      <c r="E19511" t="s">
        <v>14366</v>
      </c>
      <c r="F19511" t="s">
        <v>17224</v>
      </c>
      <c r="G19511" t="s">
        <v>19805</v>
      </c>
      <c r="H19511" t="s">
        <v>26877</v>
      </c>
      <c r="I19511" t="s">
        <v>1357</v>
      </c>
      <c r="J19511" t="s">
        <v>1357</v>
      </c>
      <c r="K19511" t="s">
        <v>1357</v>
      </c>
      <c r="L19511" t="s">
        <v>1357</v>
      </c>
    </row>
    <row r="19512" spans="1:13">
      <c r="A19512" t="s">
        <v>11869</v>
      </c>
      <c r="B19512">
        <f>HYPERLINK("https://android.googlesource.com/platform/cts/+/e021f8843d4acef9c89b3b8de0be44edd9af5d29", "e021f8843d4acef9c89b3b8de0be44edd9af5d29")</f>
        <v>0</v>
      </c>
      <c r="C19512">
        <f>HYPERLINK("https://android.googlesource.com/platform/cts/+/c14e4ca61427126f35c92ca60dfad753b08dbdd6", "c14e4ca61427126f35c92ca60dfad753b08dbdd6")</f>
        <v>0</v>
      </c>
      <c r="D19512" t="s">
        <v>12504</v>
      </c>
      <c r="E19512" t="s">
        <v>14367</v>
      </c>
      <c r="F19512" t="s">
        <v>17224</v>
      </c>
      <c r="G19512" t="s">
        <v>19805</v>
      </c>
      <c r="H19512" t="s">
        <v>26877</v>
      </c>
      <c r="I19512" t="s">
        <v>1357</v>
      </c>
      <c r="J19512" t="s">
        <v>1357</v>
      </c>
      <c r="K19512" t="s">
        <v>1357</v>
      </c>
      <c r="L19512" t="s">
        <v>1357</v>
      </c>
      <c r="M19512" t="s">
        <v>27499</v>
      </c>
    </row>
    <row r="19513" spans="1:13">
      <c r="A19513" t="s">
        <v>11870</v>
      </c>
      <c r="B19513">
        <f>HYPERLINK("https://android.googlesource.com/platform/cts/+/a99fc8fdfee1535f1d4bd649a8d254d0828523f4", "a99fc8fdfee1535f1d4bd649a8d254d0828523f4")</f>
        <v>0</v>
      </c>
      <c r="C19513">
        <f>HYPERLINK("https://android.googlesource.com/platform/cts/+/b21f993a18adc928519ff0278a1b4c3bac9be5a4", "b21f993a18adc928519ff0278a1b4c3bac9be5a4")</f>
        <v>0</v>
      </c>
      <c r="D19513" t="s">
        <v>12505</v>
      </c>
      <c r="E19513" t="s">
        <v>14368</v>
      </c>
      <c r="F19513" t="s">
        <v>17225</v>
      </c>
      <c r="G19513" t="s">
        <v>19806</v>
      </c>
      <c r="H19513" t="s">
        <v>26878</v>
      </c>
      <c r="I19513" t="s">
        <v>1357</v>
      </c>
      <c r="J19513" t="s">
        <v>1357</v>
      </c>
      <c r="K19513" t="s">
        <v>1357</v>
      </c>
      <c r="L19513" t="s">
        <v>1357</v>
      </c>
    </row>
    <row r="19514" spans="1:13">
      <c r="A19514" t="s">
        <v>11871</v>
      </c>
      <c r="B19514">
        <f>HYPERLINK("https://android.googlesource.com/platform/cts/+/4f1fb1a13ed0626c0d474db66529bb8c7802ccc9", "4f1fb1a13ed0626c0d474db66529bb8c7802ccc9")</f>
        <v>0</v>
      </c>
      <c r="C19514">
        <f>HYPERLINK("https://android.googlesource.com/platform/cts/+/0d4194218598431217cb5bf2037115670039e2c6", "0d4194218598431217cb5bf2037115670039e2c6")</f>
        <v>0</v>
      </c>
      <c r="D19514" t="s">
        <v>12506</v>
      </c>
      <c r="E19514" t="s">
        <v>14369</v>
      </c>
      <c r="F19514" t="s">
        <v>17226</v>
      </c>
      <c r="G19514" t="s">
        <v>19807</v>
      </c>
      <c r="H19514" t="s">
        <v>26879</v>
      </c>
      <c r="I19514" t="s">
        <v>1357</v>
      </c>
      <c r="J19514" t="s">
        <v>1357</v>
      </c>
      <c r="K19514" t="s">
        <v>1357</v>
      </c>
      <c r="L19514" t="s">
        <v>1357</v>
      </c>
    </row>
    <row r="19515" spans="1:13">
      <c r="H19515" t="s">
        <v>26880</v>
      </c>
      <c r="I19515" t="s">
        <v>1357</v>
      </c>
      <c r="J19515" t="s">
        <v>1357</v>
      </c>
      <c r="K19515" t="s">
        <v>1357</v>
      </c>
      <c r="L19515" t="s">
        <v>1357</v>
      </c>
    </row>
    <row r="19516" spans="1:13">
      <c r="A19516" t="s">
        <v>11872</v>
      </c>
      <c r="B19516">
        <f>HYPERLINK("https://android.googlesource.com/platform/cts/+/ecb536c1f8de1fc6823e6249c6a3e374310dfd46", "ecb536c1f8de1fc6823e6249c6a3e374310dfd46")</f>
        <v>0</v>
      </c>
      <c r="C19516">
        <f>HYPERLINK("https://android.googlesource.com/platform/cts/+/75c79a7cfeb03fd38d71b316e5a3924b481a5d35", "75c79a7cfeb03fd38d71b316e5a3924b481a5d35")</f>
        <v>0</v>
      </c>
      <c r="D19516" t="s">
        <v>12423</v>
      </c>
      <c r="E19516" t="s">
        <v>14370</v>
      </c>
      <c r="F19516" t="s">
        <v>16746</v>
      </c>
      <c r="G19516" t="s">
        <v>19375</v>
      </c>
      <c r="H19516" t="s">
        <v>26881</v>
      </c>
      <c r="I19516" t="s">
        <v>1357</v>
      </c>
      <c r="J19516" t="s">
        <v>1357</v>
      </c>
      <c r="K19516" t="s">
        <v>1357</v>
      </c>
      <c r="L19516" t="s">
        <v>1357</v>
      </c>
    </row>
    <row r="19517" spans="1:13">
      <c r="H19517" t="s">
        <v>26882</v>
      </c>
      <c r="I19517" t="s">
        <v>1357</v>
      </c>
      <c r="J19517" t="s">
        <v>1357</v>
      </c>
      <c r="K19517" t="s">
        <v>1357</v>
      </c>
      <c r="L19517" t="s">
        <v>1357</v>
      </c>
    </row>
    <row r="19518" spans="1:13">
      <c r="A19518" t="s">
        <v>11873</v>
      </c>
      <c r="B19518">
        <f>HYPERLINK("https://android.googlesource.com/platform/cts/+/45619dd1e1a58a174f1b698c3385ba55b30ecad4", "45619dd1e1a58a174f1b698c3385ba55b30ecad4")</f>
        <v>0</v>
      </c>
      <c r="C19518">
        <f>HYPERLINK("https://android.googlesource.com/platform/cts/+/f4aee7c37dff7f132ff14c9c68fddc3feede5ab6", "f4aee7c37dff7f132ff14c9c68fddc3feede5ab6")</f>
        <v>0</v>
      </c>
      <c r="D19518" t="s">
        <v>12423</v>
      </c>
      <c r="E19518" t="s">
        <v>14371</v>
      </c>
      <c r="F19518" t="s">
        <v>16746</v>
      </c>
      <c r="G19518" t="s">
        <v>19375</v>
      </c>
      <c r="H19518" t="s">
        <v>26881</v>
      </c>
      <c r="I19518" t="s">
        <v>1357</v>
      </c>
      <c r="J19518" t="s">
        <v>1357</v>
      </c>
      <c r="K19518" t="s">
        <v>1357</v>
      </c>
      <c r="L19518" t="s">
        <v>1357</v>
      </c>
    </row>
    <row r="19519" spans="1:13">
      <c r="H19519" t="s">
        <v>26882</v>
      </c>
      <c r="I19519" t="s">
        <v>1357</v>
      </c>
      <c r="J19519" t="s">
        <v>1357</v>
      </c>
      <c r="K19519" t="s">
        <v>1357</v>
      </c>
      <c r="L19519" t="s">
        <v>1357</v>
      </c>
    </row>
    <row r="19520" spans="1:13">
      <c r="A19520" t="s">
        <v>11874</v>
      </c>
      <c r="B19520">
        <f>HYPERLINK("https://android.googlesource.com/platform/cts/+/ff96594ffbe0626cc9ea2ec283658316e3ba885d", "ff96594ffbe0626cc9ea2ec283658316e3ba885d")</f>
        <v>0</v>
      </c>
      <c r="C19520">
        <f>HYPERLINK("https://android.googlesource.com/platform/cts/+/c2bff056326fce47283bdd87c32f2ea51a34b497", "c2bff056326fce47283bdd87c32f2ea51a34b497")</f>
        <v>0</v>
      </c>
      <c r="D19520" t="s">
        <v>12423</v>
      </c>
      <c r="E19520" t="s">
        <v>14372</v>
      </c>
      <c r="F19520" t="s">
        <v>16746</v>
      </c>
      <c r="G19520" t="s">
        <v>19375</v>
      </c>
      <c r="H19520" t="s">
        <v>26881</v>
      </c>
      <c r="I19520" t="s">
        <v>1357</v>
      </c>
      <c r="J19520" t="s">
        <v>1357</v>
      </c>
      <c r="K19520" t="s">
        <v>1357</v>
      </c>
      <c r="L19520" t="s">
        <v>1357</v>
      </c>
    </row>
    <row r="19521" spans="1:13">
      <c r="H19521" t="s">
        <v>26882</v>
      </c>
      <c r="I19521" t="s">
        <v>1357</v>
      </c>
      <c r="J19521" t="s">
        <v>1357</v>
      </c>
      <c r="K19521" t="s">
        <v>1357</v>
      </c>
      <c r="L19521" t="s">
        <v>1357</v>
      </c>
      <c r="M19521" t="s">
        <v>27499</v>
      </c>
    </row>
    <row r="19522" spans="1:13">
      <c r="A19522" t="s">
        <v>11875</v>
      </c>
      <c r="B19522">
        <f>HYPERLINK("https://android.googlesource.com/platform/cts/+/051ca344b76793b0337b2be3afe07aea77fc0682", "051ca344b76793b0337b2be3afe07aea77fc0682")</f>
        <v>0</v>
      </c>
      <c r="C19522">
        <f>HYPERLINK("https://android.googlesource.com/platform/cts/+/3cba47e902c392f02af32bc812bfe996a3b95859", "3cba47e902c392f02af32bc812bfe996a3b95859")</f>
        <v>0</v>
      </c>
      <c r="D19522" t="s">
        <v>12423</v>
      </c>
      <c r="E19522" t="s">
        <v>14372</v>
      </c>
      <c r="F19522" t="s">
        <v>16746</v>
      </c>
      <c r="G19522" t="s">
        <v>19375</v>
      </c>
      <c r="H19522" t="s">
        <v>26881</v>
      </c>
      <c r="I19522" t="s">
        <v>1357</v>
      </c>
      <c r="J19522" t="s">
        <v>1357</v>
      </c>
      <c r="K19522" t="s">
        <v>1357</v>
      </c>
      <c r="L19522" t="s">
        <v>1357</v>
      </c>
    </row>
    <row r="19523" spans="1:13">
      <c r="H19523" t="s">
        <v>26882</v>
      </c>
      <c r="I19523" t="s">
        <v>1357</v>
      </c>
      <c r="J19523" t="s">
        <v>1357</v>
      </c>
      <c r="K19523" t="s">
        <v>1357</v>
      </c>
      <c r="L19523" t="s">
        <v>1357</v>
      </c>
      <c r="M19523" t="s">
        <v>27499</v>
      </c>
    </row>
    <row r="19524" spans="1:13">
      <c r="A19524" t="s">
        <v>11876</v>
      </c>
      <c r="B19524">
        <f>HYPERLINK("https://android.googlesource.com/platform/cts/+/cad912720663f17b6cd7f355d111c93990d5a0b1", "cad912720663f17b6cd7f355d111c93990d5a0b1")</f>
        <v>0</v>
      </c>
      <c r="C19524">
        <f>HYPERLINK("https://android.googlesource.com/platform/cts/+/a6cb7ba3b7360f8399db3498149b1780862d1890", "a6cb7ba3b7360f8399db3498149b1780862d1890")</f>
        <v>0</v>
      </c>
      <c r="D19524" t="s">
        <v>12339</v>
      </c>
      <c r="E19524" t="s">
        <v>14373</v>
      </c>
      <c r="F19524" t="s">
        <v>17227</v>
      </c>
      <c r="G19524" t="s">
        <v>19808</v>
      </c>
      <c r="H19524" t="s">
        <v>26883</v>
      </c>
      <c r="I19524" t="s">
        <v>1357</v>
      </c>
      <c r="J19524" t="s">
        <v>1357</v>
      </c>
      <c r="K19524" t="s">
        <v>1357</v>
      </c>
      <c r="L19524" t="s">
        <v>1357</v>
      </c>
    </row>
    <row r="19525" spans="1:13">
      <c r="A19525" t="s">
        <v>11877</v>
      </c>
      <c r="B19525">
        <f>HYPERLINK("https://android.googlesource.com/platform/cts/+/3907a2e40a113baab238f8ed89d102f5248c286a", "3907a2e40a113baab238f8ed89d102f5248c286a")</f>
        <v>0</v>
      </c>
      <c r="C19525">
        <f>HYPERLINK("https://android.googlesource.com/platform/cts/+/1255471170d3db25e2014e11a628304ae236c80f", "1255471170d3db25e2014e11a628304ae236c80f")</f>
        <v>0</v>
      </c>
      <c r="D19525" t="s">
        <v>12464</v>
      </c>
      <c r="E19525" t="s">
        <v>14374</v>
      </c>
      <c r="F19525" t="s">
        <v>17228</v>
      </c>
      <c r="G19525" t="s">
        <v>19809</v>
      </c>
      <c r="H19525" t="s">
        <v>26884</v>
      </c>
      <c r="I19525" t="s">
        <v>1357</v>
      </c>
      <c r="J19525" t="s">
        <v>1357</v>
      </c>
      <c r="K19525" t="s">
        <v>1357</v>
      </c>
      <c r="L19525" t="s">
        <v>1357</v>
      </c>
    </row>
    <row r="19526" spans="1:13">
      <c r="H19526" t="s">
        <v>26885</v>
      </c>
      <c r="I19526" t="s">
        <v>1357</v>
      </c>
      <c r="J19526" t="s">
        <v>1357</v>
      </c>
      <c r="K19526" t="s">
        <v>1357</v>
      </c>
      <c r="L19526" t="s">
        <v>1357</v>
      </c>
    </row>
    <row r="19527" spans="1:13">
      <c r="H19527" t="s">
        <v>26886</v>
      </c>
      <c r="I19527" t="s">
        <v>1357</v>
      </c>
      <c r="J19527" t="s">
        <v>1357</v>
      </c>
      <c r="K19527" t="s">
        <v>1357</v>
      </c>
      <c r="L19527" t="s">
        <v>1357</v>
      </c>
    </row>
    <row r="19528" spans="1:13">
      <c r="H19528" t="s">
        <v>26887</v>
      </c>
      <c r="I19528" t="s">
        <v>1357</v>
      </c>
      <c r="J19528" t="s">
        <v>1357</v>
      </c>
      <c r="K19528" t="s">
        <v>1357</v>
      </c>
      <c r="L19528" t="s">
        <v>1357</v>
      </c>
    </row>
    <row r="19529" spans="1:13">
      <c r="H19529" t="s">
        <v>26888</v>
      </c>
      <c r="I19529" t="s">
        <v>1357</v>
      </c>
      <c r="J19529" t="s">
        <v>1357</v>
      </c>
      <c r="K19529" t="s">
        <v>1357</v>
      </c>
      <c r="L19529" t="s">
        <v>1357</v>
      </c>
    </row>
    <row r="19530" spans="1:13">
      <c r="A19530" t="s">
        <v>11878</v>
      </c>
      <c r="B19530">
        <f>HYPERLINK("https://android.googlesource.com/platform/cts/+/63c4911e244060d55f15698ff9fef0de41402679", "63c4911e244060d55f15698ff9fef0de41402679")</f>
        <v>0</v>
      </c>
      <c r="C19530">
        <f>HYPERLINK("https://android.googlesource.com/platform/cts/+/714a64d3c1264fe3cf75a6ebc2930530a6acd21a", "714a64d3c1264fe3cf75a6ebc2930530a6acd21a")</f>
        <v>0</v>
      </c>
      <c r="D19530" t="s">
        <v>12507</v>
      </c>
      <c r="E19530" t="s">
        <v>14375</v>
      </c>
      <c r="F19530" t="s">
        <v>17229</v>
      </c>
      <c r="G19530" t="s">
        <v>19810</v>
      </c>
      <c r="H19530" t="s">
        <v>26889</v>
      </c>
      <c r="I19530" t="s">
        <v>1357</v>
      </c>
      <c r="J19530" t="s">
        <v>1357</v>
      </c>
      <c r="K19530" t="s">
        <v>1357</v>
      </c>
      <c r="L19530" t="s">
        <v>1357</v>
      </c>
    </row>
    <row r="19531" spans="1:13">
      <c r="H19531" t="s">
        <v>26890</v>
      </c>
      <c r="I19531" t="s">
        <v>1357</v>
      </c>
      <c r="J19531" t="s">
        <v>1357</v>
      </c>
      <c r="K19531" t="s">
        <v>1357</v>
      </c>
      <c r="L19531" t="s">
        <v>1357</v>
      </c>
    </row>
    <row r="19532" spans="1:13">
      <c r="H19532" t="s">
        <v>23298</v>
      </c>
      <c r="I19532" t="s">
        <v>1357</v>
      </c>
      <c r="J19532" t="s">
        <v>1357</v>
      </c>
      <c r="K19532" t="s">
        <v>1357</v>
      </c>
      <c r="L19532" t="s">
        <v>1357</v>
      </c>
    </row>
    <row r="19533" spans="1:13">
      <c r="F19533" t="s">
        <v>17230</v>
      </c>
      <c r="G19533" t="s">
        <v>19764</v>
      </c>
      <c r="H19533" t="s">
        <v>26891</v>
      </c>
      <c r="I19533" t="s">
        <v>1357</v>
      </c>
      <c r="J19533" t="s">
        <v>1357</v>
      </c>
      <c r="K19533" t="s">
        <v>1357</v>
      </c>
      <c r="L19533" t="s">
        <v>1357</v>
      </c>
    </row>
    <row r="19534" spans="1:13">
      <c r="H19534" t="s">
        <v>26892</v>
      </c>
      <c r="I19534" t="s">
        <v>1357</v>
      </c>
      <c r="J19534" t="s">
        <v>1357</v>
      </c>
      <c r="K19534" t="s">
        <v>1357</v>
      </c>
      <c r="L19534" t="s">
        <v>1357</v>
      </c>
    </row>
    <row r="19535" spans="1:13">
      <c r="A19535" t="s">
        <v>11879</v>
      </c>
      <c r="B19535">
        <f>HYPERLINK("https://android.googlesource.com/platform/cts/+/380166093d5c034b8ef611a4270d8a05b615511f", "380166093d5c034b8ef611a4270d8a05b615511f")</f>
        <v>0</v>
      </c>
      <c r="C19535">
        <f>HYPERLINK("https://android.googlesource.com/platform/cts/+/0482d3cf980bf113c58b421bdf7fd090a0d3000e", "0482d3cf980bf113c58b421bdf7fd090a0d3000e")</f>
        <v>0</v>
      </c>
      <c r="D19535" t="s">
        <v>12369</v>
      </c>
      <c r="E19535" t="s">
        <v>14376</v>
      </c>
      <c r="F19535" t="s">
        <v>17231</v>
      </c>
      <c r="G19535" t="s">
        <v>19811</v>
      </c>
      <c r="H19535" t="s">
        <v>23247</v>
      </c>
      <c r="I19535" t="s">
        <v>1357</v>
      </c>
      <c r="J19535" t="s">
        <v>1357</v>
      </c>
      <c r="K19535" t="s">
        <v>1357</v>
      </c>
      <c r="L19535" t="s">
        <v>1357</v>
      </c>
    </row>
    <row r="19536" spans="1:13">
      <c r="A19536" t="s">
        <v>11880</v>
      </c>
      <c r="B19536">
        <f>HYPERLINK("https://android.googlesource.com/platform/cts/+/8af1bba717594aa77eaba29dc68fded93d542e6a", "8af1bba717594aa77eaba29dc68fded93d542e6a")</f>
        <v>0</v>
      </c>
      <c r="C19536">
        <f>HYPERLINK("https://android.googlesource.com/platform/cts/+/edc861f6b18df5ea068585660323b32668877a28", "edc861f6b18df5ea068585660323b32668877a28")</f>
        <v>0</v>
      </c>
      <c r="D19536" t="s">
        <v>12385</v>
      </c>
      <c r="E19536" t="s">
        <v>14377</v>
      </c>
      <c r="F19536" t="s">
        <v>17186</v>
      </c>
      <c r="G19536" t="s">
        <v>19769</v>
      </c>
      <c r="H19536" t="s">
        <v>26893</v>
      </c>
      <c r="I19536" t="s">
        <v>1359</v>
      </c>
      <c r="J19536" t="s">
        <v>1358</v>
      </c>
      <c r="K19536" t="s">
        <v>1357</v>
      </c>
      <c r="L19536" t="s">
        <v>1358</v>
      </c>
    </row>
    <row r="19537" spans="1:14">
      <c r="H19537" t="s">
        <v>26894</v>
      </c>
      <c r="I19537" t="s">
        <v>1359</v>
      </c>
      <c r="J19537" t="s">
        <v>1358</v>
      </c>
      <c r="K19537" t="s">
        <v>1357</v>
      </c>
      <c r="L19537" t="s">
        <v>1358</v>
      </c>
    </row>
    <row r="19538" spans="1:14">
      <c r="A19538" t="s">
        <v>11881</v>
      </c>
      <c r="B19538">
        <f>HYPERLINK("https://android.googlesource.com/platform/cts/+/a513986fb37acba539c8378bf65afead792d7e47", "a513986fb37acba539c8378bf65afead792d7e47")</f>
        <v>0</v>
      </c>
      <c r="C19538">
        <f>HYPERLINK("https://android.googlesource.com/platform/cts/+/663b8a55610773972d69d56a3f9e5e4c644b25e5", "663b8a55610773972d69d56a3f9e5e4c644b25e5")</f>
        <v>0</v>
      </c>
      <c r="D19538" t="s">
        <v>12438</v>
      </c>
      <c r="E19538" t="s">
        <v>14378</v>
      </c>
      <c r="F19538" t="s">
        <v>17070</v>
      </c>
      <c r="G19538" t="s">
        <v>19667</v>
      </c>
      <c r="H19538" t="s">
        <v>25683</v>
      </c>
      <c r="I19538" t="s">
        <v>1357</v>
      </c>
      <c r="J19538" t="s">
        <v>1357</v>
      </c>
      <c r="K19538" t="s">
        <v>1357</v>
      </c>
      <c r="L19538" t="s">
        <v>1357</v>
      </c>
    </row>
    <row r="19539" spans="1:14">
      <c r="H19539" t="s">
        <v>25684</v>
      </c>
      <c r="I19539" t="s">
        <v>1357</v>
      </c>
      <c r="J19539" t="s">
        <v>1357</v>
      </c>
      <c r="K19539" t="s">
        <v>1357</v>
      </c>
      <c r="L19539" t="s">
        <v>1357</v>
      </c>
    </row>
    <row r="19540" spans="1:14">
      <c r="H19540" t="s">
        <v>25685</v>
      </c>
      <c r="I19540" t="s">
        <v>1357</v>
      </c>
      <c r="J19540" t="s">
        <v>1357</v>
      </c>
      <c r="K19540" t="s">
        <v>1357</v>
      </c>
      <c r="L19540" t="s">
        <v>1357</v>
      </c>
    </row>
    <row r="19541" spans="1:14">
      <c r="F19541" t="s">
        <v>17071</v>
      </c>
      <c r="G19541" t="s">
        <v>19668</v>
      </c>
      <c r="H19541" t="s">
        <v>25686</v>
      </c>
      <c r="I19541" t="s">
        <v>1357</v>
      </c>
      <c r="J19541" t="s">
        <v>1357</v>
      </c>
      <c r="K19541" t="s">
        <v>1357</v>
      </c>
      <c r="L19541" t="s">
        <v>1357</v>
      </c>
    </row>
    <row r="19542" spans="1:14">
      <c r="A19542" t="s">
        <v>11882</v>
      </c>
      <c r="B19542">
        <f>HYPERLINK("https://android.googlesource.com/platform/cts/+/28f4cb3894b6e5d3fe29debd3244bd3a35068cff", "28f4cb3894b6e5d3fe29debd3244bd3a35068cff")</f>
        <v>0</v>
      </c>
      <c r="C19542">
        <f>HYPERLINK("https://android.googlesource.com/platform/cts/+/d78faea11707a5bd305394fcb6bbceb37675d12f", "d78faea11707a5bd305394fcb6bbceb37675d12f")</f>
        <v>0</v>
      </c>
      <c r="D19542" t="s">
        <v>12508</v>
      </c>
      <c r="E19542" t="s">
        <v>14379</v>
      </c>
      <c r="F19542" t="s">
        <v>17216</v>
      </c>
      <c r="G19542" t="s">
        <v>19797</v>
      </c>
      <c r="H19542" t="s">
        <v>26895</v>
      </c>
      <c r="I19542" t="s">
        <v>1357</v>
      </c>
      <c r="J19542" t="s">
        <v>1357</v>
      </c>
      <c r="K19542" t="s">
        <v>1357</v>
      </c>
      <c r="L19542" t="s">
        <v>1357</v>
      </c>
    </row>
    <row r="19543" spans="1:14">
      <c r="H19543" t="s">
        <v>26896</v>
      </c>
      <c r="I19543" t="s">
        <v>1359</v>
      </c>
      <c r="J19543" t="s">
        <v>1358</v>
      </c>
      <c r="K19543" t="s">
        <v>1358</v>
      </c>
      <c r="L19543" t="s">
        <v>1357</v>
      </c>
    </row>
    <row r="19544" spans="1:14">
      <c r="A19544" t="s">
        <v>11883</v>
      </c>
      <c r="B19544">
        <f>HYPERLINK("https://android.googlesource.com/platform/cts/+/3a879a2ae2b683c09766ab988d1d1e036d0d55a4", "3a879a2ae2b683c09766ab988d1d1e036d0d55a4")</f>
        <v>0</v>
      </c>
      <c r="C19544">
        <f>HYPERLINK("https://android.googlesource.com/platform/cts/+/3a4715e3af44cbc505c5ff37fd8067c4f231ef84", "3a4715e3af44cbc505c5ff37fd8067c4f231ef84")</f>
        <v>0</v>
      </c>
      <c r="D19544" t="s">
        <v>12500</v>
      </c>
      <c r="E19544" t="s">
        <v>14380</v>
      </c>
      <c r="F19544" t="s">
        <v>17214</v>
      </c>
      <c r="G19544" t="s">
        <v>19795</v>
      </c>
      <c r="H19544" t="s">
        <v>26862</v>
      </c>
      <c r="I19544" t="s">
        <v>1358</v>
      </c>
      <c r="J19544" t="s">
        <v>1358</v>
      </c>
      <c r="K19544" t="s">
        <v>1358</v>
      </c>
      <c r="L19544" t="s">
        <v>1358</v>
      </c>
    </row>
    <row r="19545" spans="1:14">
      <c r="A19545" t="s">
        <v>11884</v>
      </c>
      <c r="B19545">
        <f>HYPERLINK("https://android.googlesource.com/platform/cts/+/5336f74a012f2143a258b71ed40624fc142efd3d", "5336f74a012f2143a258b71ed40624fc142efd3d")</f>
        <v>0</v>
      </c>
      <c r="C19545">
        <f>HYPERLINK("https://android.googlesource.com/platform/cts/+/a249eac2a1cce84b757141b126937db55886f540", "a249eac2a1cce84b757141b126937db55886f540")</f>
        <v>0</v>
      </c>
      <c r="D19545" t="s">
        <v>12375</v>
      </c>
      <c r="E19545" t="s">
        <v>14381</v>
      </c>
      <c r="F19545" t="s">
        <v>17138</v>
      </c>
      <c r="G19545" t="s">
        <v>17894</v>
      </c>
      <c r="H19545" t="s">
        <v>26897</v>
      </c>
      <c r="I19545" t="s">
        <v>1359</v>
      </c>
      <c r="J19545" t="s">
        <v>1358</v>
      </c>
      <c r="K19545" t="s">
        <v>1357</v>
      </c>
      <c r="L19545" t="s">
        <v>1358</v>
      </c>
      <c r="M19545" t="s">
        <v>1365</v>
      </c>
    </row>
    <row r="19546" spans="1:14">
      <c r="A19546" t="s">
        <v>11885</v>
      </c>
      <c r="B19546">
        <f>HYPERLINK("https://android.googlesource.com/platform/cts/+/8e09e0e1dfd2e88f6fcb2e68c01176c2bc36fa66", "8e09e0e1dfd2e88f6fcb2e68c01176c2bc36fa66")</f>
        <v>0</v>
      </c>
      <c r="C19546">
        <f>HYPERLINK("https://android.googlesource.com/platform/cts/+/54d3ae15b7dd72e2664dc928e98e8645b7eeab68", "54d3ae15b7dd72e2664dc928e98e8645b7eeab68")</f>
        <v>0</v>
      </c>
      <c r="D19546" t="s">
        <v>12509</v>
      </c>
      <c r="E19546" t="s">
        <v>14382</v>
      </c>
      <c r="F19546" t="s">
        <v>17232</v>
      </c>
      <c r="G19546" t="s">
        <v>19812</v>
      </c>
      <c r="H19546" t="s">
        <v>26898</v>
      </c>
      <c r="I19546" t="s">
        <v>1359</v>
      </c>
      <c r="J19546" t="s">
        <v>1357</v>
      </c>
      <c r="K19546" t="s">
        <v>1357</v>
      </c>
      <c r="L19546" t="s">
        <v>1358</v>
      </c>
    </row>
    <row r="19547" spans="1:14">
      <c r="H19547" t="s">
        <v>26899</v>
      </c>
      <c r="I19547" t="s">
        <v>1358</v>
      </c>
      <c r="J19547" t="s">
        <v>1358</v>
      </c>
      <c r="K19547" t="s">
        <v>1358</v>
      </c>
      <c r="L19547" t="s">
        <v>1358</v>
      </c>
    </row>
    <row r="19548" spans="1:14">
      <c r="H19548" t="s">
        <v>26900</v>
      </c>
      <c r="I19548" t="s">
        <v>1358</v>
      </c>
      <c r="J19548" t="s">
        <v>1358</v>
      </c>
      <c r="K19548" t="s">
        <v>1358</v>
      </c>
      <c r="L19548" t="s">
        <v>1358</v>
      </c>
    </row>
    <row r="19549" spans="1:14">
      <c r="H19549" t="s">
        <v>26901</v>
      </c>
      <c r="I19549" t="s">
        <v>1358</v>
      </c>
      <c r="J19549" t="s">
        <v>1358</v>
      </c>
      <c r="K19549" t="s">
        <v>1358</v>
      </c>
      <c r="L19549" t="s">
        <v>1358</v>
      </c>
    </row>
    <row r="19550" spans="1:14">
      <c r="H19550" t="s">
        <v>26902</v>
      </c>
      <c r="I19550" t="s">
        <v>1358</v>
      </c>
      <c r="J19550" t="s">
        <v>1358</v>
      </c>
      <c r="K19550" t="s">
        <v>1358</v>
      </c>
      <c r="L19550" t="s">
        <v>1358</v>
      </c>
    </row>
    <row r="19551" spans="1:14">
      <c r="H19551" t="s">
        <v>26903</v>
      </c>
      <c r="I19551" t="s">
        <v>1358</v>
      </c>
      <c r="J19551" t="s">
        <v>1358</v>
      </c>
      <c r="K19551" t="s">
        <v>1358</v>
      </c>
      <c r="L19551" t="s">
        <v>1358</v>
      </c>
    </row>
    <row r="19552" spans="1:14">
      <c r="A19552" t="s">
        <v>11886</v>
      </c>
      <c r="B19552">
        <f>HYPERLINK("https://android.googlesource.com/platform/cts/+/a4a7fee64da605c444c8c04be1bb0741747dcad1", "a4a7fee64da605c444c8c04be1bb0741747dcad1")</f>
        <v>0</v>
      </c>
      <c r="C19552">
        <f>HYPERLINK("https://android.googlesource.com/platform/cts/+/0de19f421200e80706e501bc09c780672eaaa507", "0de19f421200e80706e501bc09c780672eaaa507")</f>
        <v>0</v>
      </c>
      <c r="D19552" t="s">
        <v>12510</v>
      </c>
      <c r="E19552" t="s">
        <v>14383</v>
      </c>
      <c r="F19552" t="s">
        <v>17233</v>
      </c>
      <c r="G19552" t="s">
        <v>19813</v>
      </c>
      <c r="H19552" t="s">
        <v>26904</v>
      </c>
      <c r="I19552" t="s">
        <v>1358</v>
      </c>
      <c r="J19552" t="s">
        <v>1358</v>
      </c>
      <c r="K19552" t="s">
        <v>1358</v>
      </c>
      <c r="L19552" t="s">
        <v>1358</v>
      </c>
      <c r="N19552" t="s">
        <v>27545</v>
      </c>
    </row>
    <row r="19553" spans="1:14">
      <c r="H19553" t="s">
        <v>26905</v>
      </c>
      <c r="I19553" t="s">
        <v>1358</v>
      </c>
      <c r="J19553" t="s">
        <v>1358</v>
      </c>
      <c r="K19553" t="s">
        <v>1358</v>
      </c>
      <c r="L19553" t="s">
        <v>1358</v>
      </c>
      <c r="N19553" t="s">
        <v>27546</v>
      </c>
    </row>
    <row r="19554" spans="1:14">
      <c r="A19554" t="s">
        <v>11887</v>
      </c>
      <c r="B19554">
        <f>HYPERLINK("https://android.googlesource.com/platform/cts/+/b3dcbf4d50c20953c151393422ca37ad05b1168a", "b3dcbf4d50c20953c151393422ca37ad05b1168a")</f>
        <v>0</v>
      </c>
      <c r="C19554">
        <f>HYPERLINK("https://android.googlesource.com/platform/cts/+/f2c57f544dc83591e95d2938c59af93a3a837807", "f2c57f544dc83591e95d2938c59af93a3a837807")</f>
        <v>0</v>
      </c>
      <c r="D19554" t="s">
        <v>12509</v>
      </c>
      <c r="E19554" t="s">
        <v>14384</v>
      </c>
      <c r="F19554" t="s">
        <v>17234</v>
      </c>
      <c r="G19554" t="s">
        <v>19814</v>
      </c>
      <c r="H19554" t="s">
        <v>26906</v>
      </c>
      <c r="I19554" t="s">
        <v>1357</v>
      </c>
      <c r="J19554" t="s">
        <v>1357</v>
      </c>
      <c r="K19554" t="s">
        <v>1357</v>
      </c>
      <c r="L19554" t="s">
        <v>1357</v>
      </c>
    </row>
    <row r="19555" spans="1:14">
      <c r="H19555" t="s">
        <v>26907</v>
      </c>
      <c r="I19555" t="s">
        <v>1357</v>
      </c>
      <c r="J19555" t="s">
        <v>1357</v>
      </c>
      <c r="K19555" t="s">
        <v>1357</v>
      </c>
      <c r="L19555" t="s">
        <v>1357</v>
      </c>
    </row>
    <row r="19556" spans="1:14">
      <c r="H19556" t="s">
        <v>26908</v>
      </c>
      <c r="I19556" t="s">
        <v>1357</v>
      </c>
      <c r="J19556" t="s">
        <v>1357</v>
      </c>
      <c r="K19556" t="s">
        <v>1357</v>
      </c>
      <c r="L19556" t="s">
        <v>1357</v>
      </c>
    </row>
    <row r="19557" spans="1:14">
      <c r="A19557" t="s">
        <v>11888</v>
      </c>
      <c r="B19557">
        <f>HYPERLINK("https://android.googlesource.com/platform/cts/+/7b5d3525f8fcd297f8ba207ea97b7b7a16624383", "7b5d3525f8fcd297f8ba207ea97b7b7a16624383")</f>
        <v>0</v>
      </c>
      <c r="C19557">
        <f>HYPERLINK("https://android.googlesource.com/platform/cts/+/b031a99c625f9e7bbef356acee98aedae018f44e", "b031a99c625f9e7bbef356acee98aedae018f44e")</f>
        <v>0</v>
      </c>
      <c r="D19557" t="s">
        <v>12511</v>
      </c>
      <c r="E19557" t="s">
        <v>14385</v>
      </c>
      <c r="F19557" t="s">
        <v>17235</v>
      </c>
      <c r="G19557" t="s">
        <v>19815</v>
      </c>
      <c r="H19557" t="s">
        <v>26909</v>
      </c>
      <c r="I19557" t="s">
        <v>1357</v>
      </c>
      <c r="J19557" t="s">
        <v>1357</v>
      </c>
      <c r="K19557" t="s">
        <v>1357</v>
      </c>
      <c r="L19557" t="s">
        <v>1357</v>
      </c>
    </row>
    <row r="19558" spans="1:14">
      <c r="H19558" t="s">
        <v>26910</v>
      </c>
      <c r="I19558" t="s">
        <v>1357</v>
      </c>
      <c r="J19558" t="s">
        <v>1357</v>
      </c>
      <c r="K19558" t="s">
        <v>1357</v>
      </c>
      <c r="L19558" t="s">
        <v>1357</v>
      </c>
    </row>
    <row r="19559" spans="1:14">
      <c r="A19559" t="s">
        <v>11889</v>
      </c>
      <c r="B19559">
        <f>HYPERLINK("https://android.googlesource.com/platform/cts/+/3b9ca0de773b43f742ebf7117f56cca779d1dad5", "3b9ca0de773b43f742ebf7117f56cca779d1dad5")</f>
        <v>0</v>
      </c>
      <c r="C19559">
        <f>HYPERLINK("https://android.googlesource.com/platform/cts/+/e647a87ab4b3518c9e1e602e6807913924b81345", "e647a87ab4b3518c9e1e602e6807913924b81345")</f>
        <v>0</v>
      </c>
      <c r="D19559" t="s">
        <v>12506</v>
      </c>
      <c r="E19559" t="s">
        <v>14386</v>
      </c>
      <c r="F19559" t="s">
        <v>17226</v>
      </c>
      <c r="G19559" t="s">
        <v>19807</v>
      </c>
      <c r="H19559" t="s">
        <v>26911</v>
      </c>
      <c r="I19559" t="s">
        <v>1357</v>
      </c>
      <c r="J19559" t="s">
        <v>1357</v>
      </c>
      <c r="K19559" t="s">
        <v>1357</v>
      </c>
      <c r="L19559" t="s">
        <v>1357</v>
      </c>
    </row>
    <row r="19560" spans="1:14">
      <c r="A19560" t="s">
        <v>11890</v>
      </c>
      <c r="B19560">
        <f>HYPERLINK("https://android.googlesource.com/platform/cts/+/b086d0ce101a703c9e7d37c2d4650327ad125619", "b086d0ce101a703c9e7d37c2d4650327ad125619")</f>
        <v>0</v>
      </c>
      <c r="C19560">
        <f>HYPERLINK("https://android.googlesource.com/platform/cts/+/b3c54c05d0b3aa00374644f8f389a562214dd09e", "b3c54c05d0b3aa00374644f8f389a562214dd09e")</f>
        <v>0</v>
      </c>
      <c r="D19560" t="s">
        <v>12434</v>
      </c>
      <c r="E19560" t="s">
        <v>14387</v>
      </c>
      <c r="F19560" t="s">
        <v>17236</v>
      </c>
      <c r="G19560" t="s">
        <v>19816</v>
      </c>
      <c r="H19560" t="s">
        <v>26912</v>
      </c>
      <c r="I19560" t="s">
        <v>1358</v>
      </c>
      <c r="J19560" t="s">
        <v>1358</v>
      </c>
      <c r="K19560" t="s">
        <v>1358</v>
      </c>
      <c r="L19560" t="s">
        <v>1358</v>
      </c>
    </row>
    <row r="19561" spans="1:14">
      <c r="H19561" t="s">
        <v>26913</v>
      </c>
      <c r="I19561" t="s">
        <v>1359</v>
      </c>
      <c r="J19561" t="s">
        <v>1358</v>
      </c>
      <c r="K19561" t="s">
        <v>1358</v>
      </c>
      <c r="L19561" t="s">
        <v>1357</v>
      </c>
    </row>
    <row r="19562" spans="1:14">
      <c r="H19562" t="s">
        <v>26914</v>
      </c>
      <c r="I19562" t="s">
        <v>1359</v>
      </c>
      <c r="J19562" t="s">
        <v>1357</v>
      </c>
      <c r="K19562" t="s">
        <v>1358</v>
      </c>
      <c r="L19562" t="s">
        <v>1357</v>
      </c>
    </row>
    <row r="19563" spans="1:14">
      <c r="A19563" t="s">
        <v>11891</v>
      </c>
      <c r="B19563">
        <f>HYPERLINK("https://android.googlesource.com/platform/cts/+/c3d1d1fede665eaaf736127aef9d6e4295244f31", "c3d1d1fede665eaaf736127aef9d6e4295244f31")</f>
        <v>0</v>
      </c>
      <c r="C19563">
        <f>HYPERLINK("https://android.googlesource.com/platform/cts/+/64ead08b13ecad35b1a074601d67ca9a52875167", "64ead08b13ecad35b1a074601d67ca9a52875167")</f>
        <v>0</v>
      </c>
      <c r="D19563" t="s">
        <v>12499</v>
      </c>
      <c r="E19563" t="s">
        <v>14388</v>
      </c>
      <c r="F19563" t="s">
        <v>17213</v>
      </c>
      <c r="G19563" t="s">
        <v>18597</v>
      </c>
      <c r="H19563" t="s">
        <v>26915</v>
      </c>
      <c r="I19563" t="s">
        <v>1358</v>
      </c>
      <c r="J19563" t="s">
        <v>1358</v>
      </c>
      <c r="K19563" t="s">
        <v>1358</v>
      </c>
      <c r="L19563" t="s">
        <v>1358</v>
      </c>
    </row>
    <row r="19564" spans="1:14">
      <c r="A19564" t="s">
        <v>11892</v>
      </c>
      <c r="B19564">
        <f>HYPERLINK("https://android.googlesource.com/platform/cts/+/d701e94678a1077ffa44c9119c8536607013e21e", "d701e94678a1077ffa44c9119c8536607013e21e")</f>
        <v>0</v>
      </c>
      <c r="C19564">
        <f>HYPERLINK("https://android.googlesource.com/platform/cts/+/8b6bb30795d9b6bcefc74d218721d84dbe32da7a", "8b6bb30795d9b6bcefc74d218721d84dbe32da7a")</f>
        <v>0</v>
      </c>
      <c r="D19564" t="s">
        <v>12460</v>
      </c>
      <c r="E19564" t="s">
        <v>14389</v>
      </c>
      <c r="F19564" t="s">
        <v>17158</v>
      </c>
      <c r="G19564" t="s">
        <v>19744</v>
      </c>
      <c r="H19564" t="s">
        <v>26916</v>
      </c>
      <c r="I19564" t="s">
        <v>1357</v>
      </c>
      <c r="J19564" t="s">
        <v>1357</v>
      </c>
      <c r="K19564" t="s">
        <v>1357</v>
      </c>
      <c r="L19564" t="s">
        <v>1357</v>
      </c>
    </row>
    <row r="19565" spans="1:14">
      <c r="H19565" t="s">
        <v>26917</v>
      </c>
      <c r="I19565" t="s">
        <v>1357</v>
      </c>
      <c r="J19565" t="s">
        <v>1357</v>
      </c>
      <c r="K19565" t="s">
        <v>1357</v>
      </c>
      <c r="L19565" t="s">
        <v>1357</v>
      </c>
    </row>
    <row r="19566" spans="1:14">
      <c r="H19566" t="s">
        <v>26918</v>
      </c>
      <c r="I19566" t="s">
        <v>1357</v>
      </c>
      <c r="J19566" t="s">
        <v>1357</v>
      </c>
      <c r="K19566" t="s">
        <v>1357</v>
      </c>
      <c r="L19566" t="s">
        <v>1357</v>
      </c>
    </row>
    <row r="19567" spans="1:14">
      <c r="A19567" t="s">
        <v>11893</v>
      </c>
      <c r="B19567">
        <f>HYPERLINK("https://android.googlesource.com/platform/cts/+/adf1cabbb66bbb034ba81cae648b3939b23a328e", "adf1cabbb66bbb034ba81cae648b3939b23a328e")</f>
        <v>0</v>
      </c>
      <c r="C19567">
        <f>HYPERLINK("https://android.googlesource.com/platform/cts/+/b351226f3c3dd8a592eb4b9fadd7e3712611a65a", "b351226f3c3dd8a592eb4b9fadd7e3712611a65a")</f>
        <v>0</v>
      </c>
      <c r="D19567" t="s">
        <v>12355</v>
      </c>
      <c r="E19567" t="s">
        <v>14390</v>
      </c>
      <c r="F19567" t="s">
        <v>17237</v>
      </c>
      <c r="G19567" t="s">
        <v>19817</v>
      </c>
      <c r="H19567" t="s">
        <v>24336</v>
      </c>
      <c r="I19567" t="s">
        <v>1357</v>
      </c>
      <c r="J19567" t="s">
        <v>1357</v>
      </c>
      <c r="K19567" t="s">
        <v>1357</v>
      </c>
      <c r="L19567" t="s">
        <v>1357</v>
      </c>
    </row>
    <row r="19568" spans="1:14">
      <c r="F19568" t="s">
        <v>17238</v>
      </c>
      <c r="G19568" t="s">
        <v>19818</v>
      </c>
      <c r="H19568" t="s">
        <v>26919</v>
      </c>
      <c r="I19568" t="s">
        <v>1357</v>
      </c>
      <c r="J19568" t="s">
        <v>1357</v>
      </c>
      <c r="K19568" t="s">
        <v>1357</v>
      </c>
      <c r="L19568" t="s">
        <v>1357</v>
      </c>
    </row>
    <row r="19569" spans="1:12">
      <c r="H19569" t="s">
        <v>26920</v>
      </c>
      <c r="I19569" t="s">
        <v>1357</v>
      </c>
      <c r="J19569" t="s">
        <v>1357</v>
      </c>
      <c r="K19569" t="s">
        <v>1357</v>
      </c>
      <c r="L19569" t="s">
        <v>1357</v>
      </c>
    </row>
    <row r="19570" spans="1:12">
      <c r="A19570" t="s">
        <v>11894</v>
      </c>
      <c r="B19570">
        <f>HYPERLINK("https://android.googlesource.com/platform/cts/+/69953912ae107a510145f3668228ca88975b86d6", "69953912ae107a510145f3668228ca88975b86d6")</f>
        <v>0</v>
      </c>
      <c r="C19570">
        <f>HYPERLINK("https://android.googlesource.com/platform/cts/+/eb4a719122fcc05073102084212e8a151f8b7708", "eb4a719122fcc05073102084212e8a151f8b7708")</f>
        <v>0</v>
      </c>
      <c r="D19570" t="s">
        <v>12385</v>
      </c>
      <c r="E19570" t="s">
        <v>14391</v>
      </c>
      <c r="F19570" t="s">
        <v>17186</v>
      </c>
      <c r="G19570" t="s">
        <v>19769</v>
      </c>
      <c r="H19570" t="s">
        <v>26921</v>
      </c>
      <c r="I19570" t="s">
        <v>1358</v>
      </c>
      <c r="J19570" t="s">
        <v>1358</v>
      </c>
      <c r="K19570" t="s">
        <v>1358</v>
      </c>
      <c r="L19570" t="s">
        <v>1358</v>
      </c>
    </row>
    <row r="19571" spans="1:12">
      <c r="H19571" t="s">
        <v>26922</v>
      </c>
      <c r="I19571" t="s">
        <v>1358</v>
      </c>
      <c r="J19571" t="s">
        <v>1358</v>
      </c>
      <c r="K19571" t="s">
        <v>1358</v>
      </c>
      <c r="L19571" t="s">
        <v>1358</v>
      </c>
    </row>
    <row r="19572" spans="1:12">
      <c r="H19572" t="s">
        <v>26923</v>
      </c>
      <c r="I19572" t="s">
        <v>1358</v>
      </c>
      <c r="J19572" t="s">
        <v>1358</v>
      </c>
      <c r="K19572" t="s">
        <v>1358</v>
      </c>
      <c r="L19572" t="s">
        <v>1358</v>
      </c>
    </row>
    <row r="19573" spans="1:12">
      <c r="H19573" t="s">
        <v>26924</v>
      </c>
      <c r="I19573" t="s">
        <v>1358</v>
      </c>
      <c r="J19573" t="s">
        <v>1358</v>
      </c>
      <c r="K19573" t="s">
        <v>1358</v>
      </c>
      <c r="L19573" t="s">
        <v>1358</v>
      </c>
    </row>
    <row r="19574" spans="1:12">
      <c r="H19574" t="s">
        <v>26925</v>
      </c>
      <c r="I19574" t="s">
        <v>1358</v>
      </c>
      <c r="J19574" t="s">
        <v>1358</v>
      </c>
      <c r="K19574" t="s">
        <v>1358</v>
      </c>
      <c r="L19574" t="s">
        <v>1358</v>
      </c>
    </row>
    <row r="19575" spans="1:12">
      <c r="H19575" t="s">
        <v>26926</v>
      </c>
      <c r="I19575" t="s">
        <v>1358</v>
      </c>
      <c r="J19575" t="s">
        <v>1358</v>
      </c>
      <c r="K19575" t="s">
        <v>1358</v>
      </c>
      <c r="L19575" t="s">
        <v>1358</v>
      </c>
    </row>
    <row r="19576" spans="1:12">
      <c r="H19576" t="s">
        <v>26927</v>
      </c>
      <c r="I19576" t="s">
        <v>1358</v>
      </c>
      <c r="J19576" t="s">
        <v>1358</v>
      </c>
      <c r="K19576" t="s">
        <v>1358</v>
      </c>
      <c r="L19576" t="s">
        <v>1358</v>
      </c>
    </row>
    <row r="19577" spans="1:12">
      <c r="H19577" t="s">
        <v>26928</v>
      </c>
      <c r="I19577" t="s">
        <v>1358</v>
      </c>
      <c r="J19577" t="s">
        <v>1358</v>
      </c>
      <c r="K19577" t="s">
        <v>1358</v>
      </c>
      <c r="L19577" t="s">
        <v>1358</v>
      </c>
    </row>
    <row r="19578" spans="1:12">
      <c r="H19578" t="s">
        <v>26929</v>
      </c>
      <c r="I19578" t="s">
        <v>1358</v>
      </c>
      <c r="J19578" t="s">
        <v>1358</v>
      </c>
      <c r="K19578" t="s">
        <v>1358</v>
      </c>
      <c r="L19578" t="s">
        <v>1358</v>
      </c>
    </row>
    <row r="19579" spans="1:12">
      <c r="H19579" t="s">
        <v>26930</v>
      </c>
      <c r="I19579" t="s">
        <v>1358</v>
      </c>
      <c r="J19579" t="s">
        <v>1358</v>
      </c>
      <c r="K19579" t="s">
        <v>1358</v>
      </c>
      <c r="L19579" t="s">
        <v>1358</v>
      </c>
    </row>
    <row r="19580" spans="1:12">
      <c r="H19580" t="s">
        <v>26931</v>
      </c>
      <c r="I19580" t="s">
        <v>1358</v>
      </c>
      <c r="J19580" t="s">
        <v>1358</v>
      </c>
      <c r="K19580" t="s">
        <v>1358</v>
      </c>
      <c r="L19580" t="s">
        <v>1358</v>
      </c>
    </row>
    <row r="19581" spans="1:12">
      <c r="H19581" t="s">
        <v>26932</v>
      </c>
      <c r="I19581" t="s">
        <v>1358</v>
      </c>
      <c r="J19581" t="s">
        <v>1358</v>
      </c>
      <c r="K19581" t="s">
        <v>1358</v>
      </c>
      <c r="L19581" t="s">
        <v>1358</v>
      </c>
    </row>
    <row r="19582" spans="1:12">
      <c r="H19582" t="s">
        <v>26933</v>
      </c>
      <c r="I19582" t="s">
        <v>1358</v>
      </c>
      <c r="J19582" t="s">
        <v>1358</v>
      </c>
      <c r="K19582" t="s">
        <v>1358</v>
      </c>
      <c r="L19582" t="s">
        <v>1358</v>
      </c>
    </row>
    <row r="19583" spans="1:12">
      <c r="H19583" t="s">
        <v>26934</v>
      </c>
      <c r="I19583" t="s">
        <v>1358</v>
      </c>
      <c r="J19583" t="s">
        <v>1358</v>
      </c>
      <c r="K19583" t="s">
        <v>1358</v>
      </c>
      <c r="L19583" t="s">
        <v>1358</v>
      </c>
    </row>
    <row r="19584" spans="1:12">
      <c r="H19584" t="s">
        <v>26935</v>
      </c>
      <c r="I19584" t="s">
        <v>1358</v>
      </c>
      <c r="J19584" t="s">
        <v>1358</v>
      </c>
      <c r="K19584" t="s">
        <v>1358</v>
      </c>
      <c r="L19584" t="s">
        <v>1358</v>
      </c>
    </row>
    <row r="19585" spans="8:12">
      <c r="H19585" t="s">
        <v>26936</v>
      </c>
      <c r="I19585" t="s">
        <v>1358</v>
      </c>
      <c r="J19585" t="s">
        <v>1358</v>
      </c>
      <c r="K19585" t="s">
        <v>1358</v>
      </c>
      <c r="L19585" t="s">
        <v>1358</v>
      </c>
    </row>
    <row r="19586" spans="8:12">
      <c r="H19586" t="s">
        <v>26937</v>
      </c>
      <c r="I19586" t="s">
        <v>1358</v>
      </c>
      <c r="J19586" t="s">
        <v>1358</v>
      </c>
      <c r="K19586" t="s">
        <v>1358</v>
      </c>
      <c r="L19586" t="s">
        <v>1358</v>
      </c>
    </row>
    <row r="19587" spans="8:12">
      <c r="H19587" t="s">
        <v>26938</v>
      </c>
      <c r="I19587" t="s">
        <v>1358</v>
      </c>
      <c r="J19587" t="s">
        <v>1358</v>
      </c>
      <c r="K19587" t="s">
        <v>1358</v>
      </c>
      <c r="L19587" t="s">
        <v>1358</v>
      </c>
    </row>
    <row r="19588" spans="8:12">
      <c r="H19588" t="s">
        <v>26939</v>
      </c>
      <c r="I19588" t="s">
        <v>1358</v>
      </c>
      <c r="J19588" t="s">
        <v>1358</v>
      </c>
      <c r="K19588" t="s">
        <v>1358</v>
      </c>
      <c r="L19588" t="s">
        <v>1358</v>
      </c>
    </row>
    <row r="19589" spans="8:12">
      <c r="H19589" t="s">
        <v>26940</v>
      </c>
      <c r="I19589" t="s">
        <v>1358</v>
      </c>
      <c r="J19589" t="s">
        <v>1358</v>
      </c>
      <c r="K19589" t="s">
        <v>1358</v>
      </c>
      <c r="L19589" t="s">
        <v>1358</v>
      </c>
    </row>
    <row r="19590" spans="8:12">
      <c r="H19590" t="s">
        <v>26941</v>
      </c>
      <c r="I19590" t="s">
        <v>1358</v>
      </c>
      <c r="J19590" t="s">
        <v>1358</v>
      </c>
      <c r="K19590" t="s">
        <v>1358</v>
      </c>
      <c r="L19590" t="s">
        <v>1358</v>
      </c>
    </row>
    <row r="19591" spans="8:12">
      <c r="H19591" t="s">
        <v>26942</v>
      </c>
      <c r="I19591" t="s">
        <v>1358</v>
      </c>
      <c r="J19591" t="s">
        <v>1358</v>
      </c>
      <c r="K19591" t="s">
        <v>1358</v>
      </c>
      <c r="L19591" t="s">
        <v>1358</v>
      </c>
    </row>
    <row r="19592" spans="8:12">
      <c r="H19592" t="s">
        <v>26943</v>
      </c>
      <c r="I19592" t="s">
        <v>1358</v>
      </c>
      <c r="J19592" t="s">
        <v>1358</v>
      </c>
      <c r="K19592" t="s">
        <v>1358</v>
      </c>
      <c r="L19592" t="s">
        <v>1358</v>
      </c>
    </row>
    <row r="19593" spans="8:12">
      <c r="H19593" t="s">
        <v>26944</v>
      </c>
      <c r="I19593" t="s">
        <v>1358</v>
      </c>
      <c r="J19593" t="s">
        <v>1358</v>
      </c>
      <c r="K19593" t="s">
        <v>1358</v>
      </c>
      <c r="L19593" t="s">
        <v>1358</v>
      </c>
    </row>
    <row r="19594" spans="8:12">
      <c r="H19594" t="s">
        <v>26945</v>
      </c>
      <c r="I19594" t="s">
        <v>1358</v>
      </c>
      <c r="J19594" t="s">
        <v>1358</v>
      </c>
      <c r="K19594" t="s">
        <v>1358</v>
      </c>
      <c r="L19594" t="s">
        <v>1358</v>
      </c>
    </row>
    <row r="19595" spans="8:12">
      <c r="H19595" t="s">
        <v>26946</v>
      </c>
      <c r="I19595" t="s">
        <v>1358</v>
      </c>
      <c r="J19595" t="s">
        <v>1358</v>
      </c>
      <c r="K19595" t="s">
        <v>1358</v>
      </c>
      <c r="L19595" t="s">
        <v>1358</v>
      </c>
    </row>
    <row r="19596" spans="8:12">
      <c r="H19596" t="s">
        <v>26947</v>
      </c>
      <c r="I19596" t="s">
        <v>1358</v>
      </c>
      <c r="J19596" t="s">
        <v>1358</v>
      </c>
      <c r="K19596" t="s">
        <v>1358</v>
      </c>
      <c r="L19596" t="s">
        <v>1358</v>
      </c>
    </row>
    <row r="19597" spans="8:12">
      <c r="H19597" t="s">
        <v>26948</v>
      </c>
      <c r="I19597" t="s">
        <v>1358</v>
      </c>
      <c r="J19597" t="s">
        <v>1358</v>
      </c>
      <c r="K19597" t="s">
        <v>1358</v>
      </c>
      <c r="L19597" t="s">
        <v>1358</v>
      </c>
    </row>
    <row r="19598" spans="8:12">
      <c r="H19598" t="s">
        <v>26949</v>
      </c>
      <c r="I19598" t="s">
        <v>1358</v>
      </c>
      <c r="J19598" t="s">
        <v>1358</v>
      </c>
      <c r="K19598" t="s">
        <v>1358</v>
      </c>
      <c r="L19598" t="s">
        <v>1358</v>
      </c>
    </row>
    <row r="19599" spans="8:12">
      <c r="H19599" t="s">
        <v>26950</v>
      </c>
      <c r="I19599" t="s">
        <v>1358</v>
      </c>
      <c r="J19599" t="s">
        <v>1358</v>
      </c>
      <c r="K19599" t="s">
        <v>1358</v>
      </c>
      <c r="L19599" t="s">
        <v>1358</v>
      </c>
    </row>
    <row r="19600" spans="8:12">
      <c r="H19600" t="s">
        <v>26951</v>
      </c>
      <c r="I19600" t="s">
        <v>1358</v>
      </c>
      <c r="J19600" t="s">
        <v>1358</v>
      </c>
      <c r="K19600" t="s">
        <v>1358</v>
      </c>
      <c r="L19600" t="s">
        <v>1358</v>
      </c>
    </row>
    <row r="19601" spans="1:13">
      <c r="H19601" t="s">
        <v>26952</v>
      </c>
      <c r="I19601" t="s">
        <v>1358</v>
      </c>
      <c r="J19601" t="s">
        <v>1358</v>
      </c>
      <c r="K19601" t="s">
        <v>1358</v>
      </c>
      <c r="L19601" t="s">
        <v>1358</v>
      </c>
    </row>
    <row r="19602" spans="1:13">
      <c r="H19602" t="s">
        <v>26953</v>
      </c>
      <c r="I19602" t="s">
        <v>1358</v>
      </c>
      <c r="J19602" t="s">
        <v>1358</v>
      </c>
      <c r="K19602" t="s">
        <v>1358</v>
      </c>
      <c r="L19602" t="s">
        <v>1358</v>
      </c>
    </row>
    <row r="19603" spans="1:13">
      <c r="H19603" t="s">
        <v>26954</v>
      </c>
      <c r="I19603" t="s">
        <v>1358</v>
      </c>
      <c r="J19603" t="s">
        <v>1358</v>
      </c>
      <c r="K19603" t="s">
        <v>1358</v>
      </c>
      <c r="L19603" t="s">
        <v>1358</v>
      </c>
    </row>
    <row r="19604" spans="1:13">
      <c r="H19604" t="s">
        <v>26955</v>
      </c>
      <c r="I19604" t="s">
        <v>1358</v>
      </c>
      <c r="J19604" t="s">
        <v>1358</v>
      </c>
      <c r="K19604" t="s">
        <v>1358</v>
      </c>
      <c r="L19604" t="s">
        <v>1358</v>
      </c>
    </row>
    <row r="19605" spans="1:13">
      <c r="H19605" t="s">
        <v>26956</v>
      </c>
      <c r="I19605" t="s">
        <v>1358</v>
      </c>
      <c r="J19605" t="s">
        <v>1358</v>
      </c>
      <c r="K19605" t="s">
        <v>1358</v>
      </c>
      <c r="L19605" t="s">
        <v>1358</v>
      </c>
    </row>
    <row r="19606" spans="1:13">
      <c r="H19606" t="s">
        <v>26957</v>
      </c>
      <c r="I19606" t="s">
        <v>1358</v>
      </c>
      <c r="J19606" t="s">
        <v>1358</v>
      </c>
      <c r="K19606" t="s">
        <v>1358</v>
      </c>
      <c r="L19606" t="s">
        <v>1358</v>
      </c>
    </row>
    <row r="19607" spans="1:13">
      <c r="A19607" t="s">
        <v>11895</v>
      </c>
      <c r="B19607">
        <f>HYPERLINK("https://android.googlesource.com/platform/cts/+/fab06b5658edd4b4a4a1f571fc5267954ceba853", "fab06b5658edd4b4a4a1f571fc5267954ceba853")</f>
        <v>0</v>
      </c>
      <c r="C19607">
        <f>HYPERLINK("https://android.googlesource.com/platform/cts/+/5340edfe0915e02d2542795fba35b03b9dac372a", "5340edfe0915e02d2542795fba35b03b9dac372a")</f>
        <v>0</v>
      </c>
      <c r="D19607" t="s">
        <v>12161</v>
      </c>
      <c r="E19607" t="s">
        <v>14392</v>
      </c>
      <c r="F19607" t="s">
        <v>17239</v>
      </c>
      <c r="G19607" t="s">
        <v>19819</v>
      </c>
      <c r="H19607" t="s">
        <v>26958</v>
      </c>
      <c r="I19607" t="s">
        <v>1358</v>
      </c>
      <c r="J19607" t="s">
        <v>1358</v>
      </c>
      <c r="K19607" t="s">
        <v>1358</v>
      </c>
      <c r="L19607" t="s">
        <v>1358</v>
      </c>
    </row>
    <row r="19608" spans="1:13">
      <c r="H19608" t="s">
        <v>26959</v>
      </c>
      <c r="I19608" t="s">
        <v>1358</v>
      </c>
      <c r="J19608" t="s">
        <v>1358</v>
      </c>
      <c r="K19608" t="s">
        <v>1358</v>
      </c>
      <c r="L19608" t="s">
        <v>1358</v>
      </c>
      <c r="M19608" t="s">
        <v>27501</v>
      </c>
    </row>
    <row r="19609" spans="1:13">
      <c r="A19609" t="s">
        <v>11896</v>
      </c>
      <c r="B19609">
        <f>HYPERLINK("https://android.googlesource.com/platform/cts/+/9d4ace5126efa6b30f0d7bb18c7f71eeb46b8ad8", "9d4ace5126efa6b30f0d7bb18c7f71eeb46b8ad8")</f>
        <v>0</v>
      </c>
      <c r="C19609">
        <f>HYPERLINK("https://android.googlesource.com/platform/cts/+/3419be71126100322c5198b5f4f37b3776ec5031", "3419be71126100322c5198b5f4f37b3776ec5031")</f>
        <v>0</v>
      </c>
      <c r="D19609" t="s">
        <v>12355</v>
      </c>
      <c r="E19609" t="s">
        <v>14393</v>
      </c>
      <c r="F19609" t="s">
        <v>17237</v>
      </c>
      <c r="G19609" t="s">
        <v>19817</v>
      </c>
      <c r="H19609" t="s">
        <v>24336</v>
      </c>
      <c r="I19609" t="s">
        <v>1357</v>
      </c>
      <c r="J19609" t="s">
        <v>1357</v>
      </c>
      <c r="K19609" t="s">
        <v>1357</v>
      </c>
      <c r="L19609" t="s">
        <v>1357</v>
      </c>
    </row>
    <row r="19610" spans="1:13">
      <c r="F19610" t="s">
        <v>17238</v>
      </c>
      <c r="G19610" t="s">
        <v>19818</v>
      </c>
      <c r="H19610" t="s">
        <v>26919</v>
      </c>
      <c r="I19610" t="s">
        <v>1357</v>
      </c>
      <c r="J19610" t="s">
        <v>1357</v>
      </c>
      <c r="K19610" t="s">
        <v>1357</v>
      </c>
      <c r="L19610" t="s">
        <v>1357</v>
      </c>
    </row>
    <row r="19611" spans="1:13">
      <c r="H19611" t="s">
        <v>26920</v>
      </c>
      <c r="I19611" t="s">
        <v>1357</v>
      </c>
      <c r="J19611" t="s">
        <v>1357</v>
      </c>
      <c r="K19611" t="s">
        <v>1357</v>
      </c>
      <c r="L19611" t="s">
        <v>1357</v>
      </c>
    </row>
    <row r="19612" spans="1:13">
      <c r="A19612" t="s">
        <v>11897</v>
      </c>
      <c r="B19612">
        <f>HYPERLINK("https://android.googlesource.com/platform/cts/+/2e763a69f91f24e1d694d22b47e19be591a7a313", "2e763a69f91f24e1d694d22b47e19be591a7a313")</f>
        <v>0</v>
      </c>
      <c r="C19612">
        <f>HYPERLINK("https://android.googlesource.com/platform/cts/+/ed80e62fa5f9d3f4074235f6f7f0a78107f026d8", "ed80e62fa5f9d3f4074235f6f7f0a78107f026d8")</f>
        <v>0</v>
      </c>
      <c r="D19612" t="s">
        <v>12045</v>
      </c>
      <c r="E19612" t="s">
        <v>14394</v>
      </c>
      <c r="F19612" t="s">
        <v>17240</v>
      </c>
      <c r="G19612" t="s">
        <v>19820</v>
      </c>
      <c r="H19612" t="s">
        <v>26960</v>
      </c>
      <c r="I19612" t="s">
        <v>1357</v>
      </c>
      <c r="J19612" t="s">
        <v>1357</v>
      </c>
      <c r="K19612" t="s">
        <v>1357</v>
      </c>
      <c r="L19612" t="s">
        <v>1357</v>
      </c>
    </row>
    <row r="19613" spans="1:13">
      <c r="A19613" t="s">
        <v>11898</v>
      </c>
      <c r="B19613">
        <f>HYPERLINK("https://android.googlesource.com/platform/cts/+/6de3c1cfdb62119e61f0c7d56b32b2fad338eb84", "6de3c1cfdb62119e61f0c7d56b32b2fad338eb84")</f>
        <v>0</v>
      </c>
      <c r="C19613">
        <f>HYPERLINK("https://android.googlesource.com/platform/cts/+/13625dd2dcdcf7f6c6e9fa5041e920f288ecb94b", "13625dd2dcdcf7f6c6e9fa5041e920f288ecb94b")</f>
        <v>0</v>
      </c>
      <c r="D19613" t="s">
        <v>12512</v>
      </c>
      <c r="E19613" t="s">
        <v>14395</v>
      </c>
      <c r="F19613" t="s">
        <v>17241</v>
      </c>
      <c r="G19613" t="s">
        <v>19821</v>
      </c>
      <c r="H19613" t="s">
        <v>26961</v>
      </c>
      <c r="I19613" t="s">
        <v>1357</v>
      </c>
      <c r="J19613" t="s">
        <v>1357</v>
      </c>
      <c r="K19613" t="s">
        <v>1357</v>
      </c>
      <c r="L19613" t="s">
        <v>1357</v>
      </c>
    </row>
    <row r="19614" spans="1:13">
      <c r="H19614" t="s">
        <v>26962</v>
      </c>
      <c r="I19614" t="s">
        <v>1357</v>
      </c>
      <c r="J19614" t="s">
        <v>1357</v>
      </c>
      <c r="K19614" t="s">
        <v>1357</v>
      </c>
      <c r="L19614" t="s">
        <v>1357</v>
      </c>
    </row>
    <row r="19615" spans="1:13">
      <c r="H19615" t="s">
        <v>26963</v>
      </c>
      <c r="I19615" t="s">
        <v>1357</v>
      </c>
      <c r="J19615" t="s">
        <v>1357</v>
      </c>
      <c r="K19615" t="s">
        <v>1357</v>
      </c>
      <c r="L19615" t="s">
        <v>1357</v>
      </c>
    </row>
    <row r="19616" spans="1:13">
      <c r="H19616" t="s">
        <v>26964</v>
      </c>
      <c r="I19616" t="s">
        <v>1357</v>
      </c>
      <c r="J19616" t="s">
        <v>1357</v>
      </c>
      <c r="K19616" t="s">
        <v>1357</v>
      </c>
      <c r="L19616" t="s">
        <v>1357</v>
      </c>
    </row>
    <row r="19617" spans="1:14">
      <c r="H19617" t="s">
        <v>26965</v>
      </c>
      <c r="I19617" t="s">
        <v>1357</v>
      </c>
      <c r="J19617" t="s">
        <v>1357</v>
      </c>
      <c r="K19617" t="s">
        <v>1357</v>
      </c>
      <c r="L19617" t="s">
        <v>1357</v>
      </c>
    </row>
    <row r="19618" spans="1:14">
      <c r="H19618" t="s">
        <v>24060</v>
      </c>
      <c r="I19618" t="s">
        <v>1357</v>
      </c>
      <c r="J19618" t="s">
        <v>1357</v>
      </c>
      <c r="K19618" t="s">
        <v>1357</v>
      </c>
      <c r="L19618" t="s">
        <v>1357</v>
      </c>
    </row>
    <row r="19619" spans="1:14">
      <c r="H19619" t="s">
        <v>26966</v>
      </c>
      <c r="I19619" t="s">
        <v>1357</v>
      </c>
      <c r="J19619" t="s">
        <v>1357</v>
      </c>
      <c r="K19619" t="s">
        <v>1357</v>
      </c>
      <c r="L19619" t="s">
        <v>1357</v>
      </c>
    </row>
    <row r="19620" spans="1:14">
      <c r="H19620" t="s">
        <v>26967</v>
      </c>
      <c r="I19620" t="s">
        <v>1357</v>
      </c>
      <c r="J19620" t="s">
        <v>1357</v>
      </c>
      <c r="K19620" t="s">
        <v>1357</v>
      </c>
      <c r="L19620" t="s">
        <v>1357</v>
      </c>
    </row>
    <row r="19621" spans="1:14">
      <c r="A19621" t="s">
        <v>11899</v>
      </c>
      <c r="B19621">
        <f>HYPERLINK("https://android.googlesource.com/platform/cts/+/e9faaf6094445df7b5d1da37619daead34831acd", "e9faaf6094445df7b5d1da37619daead34831acd")</f>
        <v>0</v>
      </c>
      <c r="C19621">
        <f>HYPERLINK("https://android.googlesource.com/platform/cts/+/3375e00adf501e6895ea6c617f2f7e68b43ffce8", "3375e00adf501e6895ea6c617f2f7e68b43ffce8")</f>
        <v>0</v>
      </c>
      <c r="D19621" t="s">
        <v>12513</v>
      </c>
      <c r="E19621" t="s">
        <v>14396</v>
      </c>
      <c r="F19621" t="s">
        <v>17073</v>
      </c>
      <c r="G19621" t="s">
        <v>19633</v>
      </c>
      <c r="H19621" t="s">
        <v>26968</v>
      </c>
      <c r="I19621" t="s">
        <v>1357</v>
      </c>
      <c r="J19621" t="s">
        <v>1357</v>
      </c>
      <c r="K19621" t="s">
        <v>1357</v>
      </c>
      <c r="L19621" t="s">
        <v>1357</v>
      </c>
    </row>
    <row r="19622" spans="1:14">
      <c r="A19622" t="s">
        <v>11900</v>
      </c>
      <c r="B19622">
        <f>HYPERLINK("https://android.googlesource.com/platform/cts/+/981a84a72d7253aa71d4be0e7e544a04da3ee4a0", "981a84a72d7253aa71d4be0e7e544a04da3ee4a0")</f>
        <v>0</v>
      </c>
      <c r="C19622">
        <f>HYPERLINK("https://android.googlesource.com/platform/cts/+/fab06b5658edd4b4a4a1f571fc5267954ceba853", "fab06b5658edd4b4a4a1f571fc5267954ceba853")</f>
        <v>0</v>
      </c>
      <c r="D19622" t="s">
        <v>12161</v>
      </c>
      <c r="E19622" t="s">
        <v>14397</v>
      </c>
      <c r="F19622" t="s">
        <v>17239</v>
      </c>
      <c r="G19622" t="s">
        <v>19819</v>
      </c>
      <c r="H19622" t="s">
        <v>26969</v>
      </c>
      <c r="I19622" t="s">
        <v>1359</v>
      </c>
      <c r="J19622" t="s">
        <v>1358</v>
      </c>
      <c r="K19622" t="s">
        <v>1357</v>
      </c>
      <c r="L19622" t="s">
        <v>1358</v>
      </c>
    </row>
    <row r="19623" spans="1:14">
      <c r="H19623" t="s">
        <v>26970</v>
      </c>
      <c r="I19623" t="s">
        <v>1359</v>
      </c>
      <c r="J19623" t="s">
        <v>1358</v>
      </c>
      <c r="K19623" t="s">
        <v>1357</v>
      </c>
      <c r="L19623" t="s">
        <v>1358</v>
      </c>
    </row>
    <row r="19624" spans="1:14">
      <c r="H19624" t="s">
        <v>26971</v>
      </c>
      <c r="I19624" t="s">
        <v>1358</v>
      </c>
      <c r="J19624" t="s">
        <v>1358</v>
      </c>
      <c r="K19624" t="s">
        <v>1358</v>
      </c>
      <c r="L19624" t="s">
        <v>1358</v>
      </c>
    </row>
    <row r="19625" spans="1:14">
      <c r="A19625" t="s">
        <v>11901</v>
      </c>
      <c r="B19625">
        <f>HYPERLINK("https://android.googlesource.com/platform/cts/+/b67456050cb55793f026ae5b5de42631b21b9f5d", "b67456050cb55793f026ae5b5de42631b21b9f5d")</f>
        <v>0</v>
      </c>
      <c r="C19625">
        <f>HYPERLINK("https://android.googlesource.com/platform/cts/+/ea0f4db4a70a6a21d13c00ce9f9c272311ec1b4d", "ea0f4db4a70a6a21d13c00ce9f9c272311ec1b4d")</f>
        <v>0</v>
      </c>
      <c r="D19625" t="s">
        <v>12200</v>
      </c>
      <c r="E19625" t="s">
        <v>14398</v>
      </c>
      <c r="F19625" t="s">
        <v>17242</v>
      </c>
      <c r="G19625" t="s">
        <v>19822</v>
      </c>
      <c r="H19625" t="s">
        <v>26972</v>
      </c>
      <c r="I19625" t="s">
        <v>1359</v>
      </c>
      <c r="J19625" t="s">
        <v>1358</v>
      </c>
      <c r="K19625" t="s">
        <v>1357</v>
      </c>
      <c r="L19625" t="s">
        <v>1358</v>
      </c>
      <c r="N19625" t="s">
        <v>27547</v>
      </c>
    </row>
    <row r="19626" spans="1:14">
      <c r="H19626" t="s">
        <v>26973</v>
      </c>
      <c r="I19626" t="s">
        <v>1359</v>
      </c>
      <c r="J19626" t="s">
        <v>1358</v>
      </c>
      <c r="K19626" t="s">
        <v>1357</v>
      </c>
      <c r="L19626" t="s">
        <v>1358</v>
      </c>
      <c r="N19626" t="s">
        <v>27547</v>
      </c>
    </row>
    <row r="19627" spans="1:14">
      <c r="A19627" t="s">
        <v>11902</v>
      </c>
      <c r="B19627">
        <f>HYPERLINK("https://android.googlesource.com/platform/cts/+/e261a36c97cefe31ff6a7b9055a2e1e321b696db", "e261a36c97cefe31ff6a7b9055a2e1e321b696db")</f>
        <v>0</v>
      </c>
      <c r="C19627">
        <f>HYPERLINK("https://android.googlesource.com/platform/cts/+/566b74f2a5a89675044cee37086ecc592a814326", "566b74f2a5a89675044cee37086ecc592a814326")</f>
        <v>0</v>
      </c>
      <c r="D19627" t="s">
        <v>12514</v>
      </c>
      <c r="E19627" t="s">
        <v>14399</v>
      </c>
      <c r="F19627" t="s">
        <v>17243</v>
      </c>
      <c r="G19627" t="s">
        <v>19823</v>
      </c>
      <c r="H19627" t="s">
        <v>26974</v>
      </c>
      <c r="I19627" t="s">
        <v>1359</v>
      </c>
      <c r="J19627" t="s">
        <v>1358</v>
      </c>
      <c r="K19627" t="s">
        <v>1357</v>
      </c>
      <c r="L19627" t="s">
        <v>1358</v>
      </c>
    </row>
    <row r="19628" spans="1:14">
      <c r="H19628" t="s">
        <v>26975</v>
      </c>
      <c r="I19628" t="s">
        <v>1359</v>
      </c>
      <c r="J19628" t="s">
        <v>1358</v>
      </c>
      <c r="K19628" t="s">
        <v>1357</v>
      </c>
      <c r="L19628" t="s">
        <v>1358</v>
      </c>
    </row>
    <row r="19629" spans="1:14">
      <c r="H19629" t="s">
        <v>26976</v>
      </c>
      <c r="I19629" t="s">
        <v>1359</v>
      </c>
      <c r="J19629" t="s">
        <v>1358</v>
      </c>
      <c r="K19629" t="s">
        <v>1357</v>
      </c>
      <c r="L19629" t="s">
        <v>1358</v>
      </c>
    </row>
    <row r="19630" spans="1:14">
      <c r="H19630" t="s">
        <v>26977</v>
      </c>
      <c r="I19630" t="s">
        <v>1359</v>
      </c>
      <c r="J19630" t="s">
        <v>1358</v>
      </c>
      <c r="K19630" t="s">
        <v>1357</v>
      </c>
      <c r="L19630" t="s">
        <v>1358</v>
      </c>
    </row>
    <row r="19631" spans="1:14">
      <c r="H19631" t="s">
        <v>26978</v>
      </c>
      <c r="I19631" t="s">
        <v>1359</v>
      </c>
      <c r="J19631" t="s">
        <v>1358</v>
      </c>
      <c r="K19631" t="s">
        <v>1357</v>
      </c>
      <c r="L19631" t="s">
        <v>1358</v>
      </c>
    </row>
    <row r="19632" spans="1:14">
      <c r="H19632" t="s">
        <v>26979</v>
      </c>
      <c r="I19632" t="s">
        <v>1359</v>
      </c>
      <c r="J19632" t="s">
        <v>1358</v>
      </c>
      <c r="K19632" t="s">
        <v>1357</v>
      </c>
      <c r="L19632" t="s">
        <v>1358</v>
      </c>
    </row>
    <row r="19633" spans="1:14">
      <c r="F19633" t="s">
        <v>17244</v>
      </c>
      <c r="G19633" t="s">
        <v>19824</v>
      </c>
      <c r="H19633" t="s">
        <v>26980</v>
      </c>
      <c r="I19633" t="s">
        <v>1358</v>
      </c>
      <c r="J19633" t="s">
        <v>1358</v>
      </c>
      <c r="K19633" t="s">
        <v>1358</v>
      </c>
      <c r="L19633" t="s">
        <v>1358</v>
      </c>
    </row>
    <row r="19634" spans="1:14">
      <c r="H19634" t="s">
        <v>26981</v>
      </c>
      <c r="I19634" t="s">
        <v>1358</v>
      </c>
      <c r="J19634" t="s">
        <v>1358</v>
      </c>
      <c r="K19634" t="s">
        <v>1358</v>
      </c>
      <c r="L19634" t="s">
        <v>1358</v>
      </c>
    </row>
    <row r="19635" spans="1:14">
      <c r="A19635" t="s">
        <v>11903</v>
      </c>
      <c r="B19635">
        <f>HYPERLINK("https://android.googlesource.com/platform/cts/+/c3f1124f4e7775fce5cc2883ba6d888a30250892", "c3f1124f4e7775fce5cc2883ba6d888a30250892")</f>
        <v>0</v>
      </c>
      <c r="C19635">
        <f>HYPERLINK("https://android.googlesource.com/platform/cts/+/7fefb4cd3449e4e827a0ed89000148751a69829e", "7fefb4cd3449e4e827a0ed89000148751a69829e")</f>
        <v>0</v>
      </c>
      <c r="D19635" t="s">
        <v>12434</v>
      </c>
      <c r="E19635" t="s">
        <v>14400</v>
      </c>
      <c r="F19635" t="s">
        <v>17245</v>
      </c>
      <c r="G19635" t="s">
        <v>19825</v>
      </c>
      <c r="H19635" t="s">
        <v>22868</v>
      </c>
      <c r="I19635" t="s">
        <v>1358</v>
      </c>
      <c r="J19635" t="s">
        <v>1358</v>
      </c>
      <c r="K19635" t="s">
        <v>1358</v>
      </c>
      <c r="L19635" t="s">
        <v>1358</v>
      </c>
    </row>
    <row r="19636" spans="1:14">
      <c r="A19636" t="s">
        <v>11904</v>
      </c>
      <c r="B19636">
        <f>HYPERLINK("https://android.googlesource.com/platform/cts/+/26884f2d333c2cbc622c8cd8de45acf9b4b889ce", "26884f2d333c2cbc622c8cd8de45acf9b4b889ce")</f>
        <v>0</v>
      </c>
      <c r="C19636">
        <f>HYPERLINK("https://android.googlesource.com/platform/cts/+/eda95c8b387d821dfdd92e6feccae6f77e3a5c75", "eda95c8b387d821dfdd92e6feccae6f77e3a5c75")</f>
        <v>0</v>
      </c>
      <c r="D19636" t="s">
        <v>12333</v>
      </c>
      <c r="E19636" t="s">
        <v>14401</v>
      </c>
      <c r="F19636" t="s">
        <v>17138</v>
      </c>
      <c r="G19636" t="s">
        <v>17894</v>
      </c>
      <c r="H19636" t="s">
        <v>26982</v>
      </c>
      <c r="I19636" t="s">
        <v>1358</v>
      </c>
      <c r="J19636" t="s">
        <v>1358</v>
      </c>
      <c r="K19636" t="s">
        <v>1358</v>
      </c>
      <c r="L19636" t="s">
        <v>1358</v>
      </c>
    </row>
    <row r="19637" spans="1:14">
      <c r="H19637" t="s">
        <v>26983</v>
      </c>
      <c r="I19637" t="s">
        <v>1358</v>
      </c>
      <c r="J19637" t="s">
        <v>1358</v>
      </c>
      <c r="K19637" t="s">
        <v>1358</v>
      </c>
      <c r="L19637" t="s">
        <v>1358</v>
      </c>
    </row>
    <row r="19638" spans="1:14">
      <c r="H19638" t="s">
        <v>26984</v>
      </c>
      <c r="I19638" t="s">
        <v>1358</v>
      </c>
      <c r="J19638" t="s">
        <v>1358</v>
      </c>
      <c r="K19638" t="s">
        <v>1358</v>
      </c>
      <c r="L19638" t="s">
        <v>1358</v>
      </c>
    </row>
    <row r="19639" spans="1:14">
      <c r="A19639" t="s">
        <v>11905</v>
      </c>
      <c r="B19639">
        <f>HYPERLINK("https://android.googlesource.com/platform/cts/+/e98c2545ce2db68e37228f6c9a6b8f03790982c5", "e98c2545ce2db68e37228f6c9a6b8f03790982c5")</f>
        <v>0</v>
      </c>
      <c r="C19639">
        <f>HYPERLINK("https://android.googlesource.com/platform/cts/+/2c1213ebe06a48876da62f75062800a96571d871", "2c1213ebe06a48876da62f75062800a96571d871")</f>
        <v>0</v>
      </c>
      <c r="D19639" t="s">
        <v>12482</v>
      </c>
      <c r="E19639" t="s">
        <v>14402</v>
      </c>
      <c r="F19639" t="s">
        <v>17246</v>
      </c>
      <c r="G19639" t="s">
        <v>19826</v>
      </c>
      <c r="H19639" t="s">
        <v>26985</v>
      </c>
      <c r="I19639" t="s">
        <v>1359</v>
      </c>
      <c r="J19639" t="s">
        <v>1358</v>
      </c>
      <c r="K19639" t="s">
        <v>1358</v>
      </c>
      <c r="L19639" t="s">
        <v>1357</v>
      </c>
    </row>
    <row r="19640" spans="1:14">
      <c r="H19640" t="s">
        <v>26986</v>
      </c>
      <c r="I19640" t="s">
        <v>1359</v>
      </c>
      <c r="J19640" t="s">
        <v>1358</v>
      </c>
      <c r="K19640" t="s">
        <v>1358</v>
      </c>
      <c r="L19640" t="s">
        <v>1357</v>
      </c>
    </row>
    <row r="19641" spans="1:14">
      <c r="H19641" t="s">
        <v>26987</v>
      </c>
      <c r="I19641" t="s">
        <v>1359</v>
      </c>
      <c r="J19641" t="s">
        <v>1358</v>
      </c>
      <c r="K19641" t="s">
        <v>1358</v>
      </c>
      <c r="L19641" t="s">
        <v>1357</v>
      </c>
    </row>
    <row r="19642" spans="1:14">
      <c r="A19642" t="s">
        <v>11906</v>
      </c>
      <c r="B19642">
        <f>HYPERLINK("https://android.googlesource.com/platform/cts/+/36bb40bf558dd34586fab0461ff4f55d7abf8234", "36bb40bf558dd34586fab0461ff4f55d7abf8234")</f>
        <v>0</v>
      </c>
      <c r="C19642">
        <f>HYPERLINK("https://android.googlesource.com/platform/cts/+/a77917c271d1245e4ed227f661a2eb3c401a153e", "a77917c271d1245e4ed227f661a2eb3c401a153e")</f>
        <v>0</v>
      </c>
      <c r="D19642" t="s">
        <v>12515</v>
      </c>
      <c r="E19642" t="s">
        <v>14403</v>
      </c>
      <c r="F19642" t="s">
        <v>17247</v>
      </c>
      <c r="G19642" t="s">
        <v>19827</v>
      </c>
      <c r="H19642" t="s">
        <v>26988</v>
      </c>
      <c r="I19642" t="s">
        <v>1357</v>
      </c>
      <c r="J19642" t="s">
        <v>1357</v>
      </c>
      <c r="K19642" t="s">
        <v>1357</v>
      </c>
      <c r="L19642" t="s">
        <v>1357</v>
      </c>
      <c r="N19642" t="s">
        <v>27521</v>
      </c>
    </row>
    <row r="19643" spans="1:14">
      <c r="H19643" t="s">
        <v>26989</v>
      </c>
      <c r="I19643" t="s">
        <v>1357</v>
      </c>
      <c r="J19643" t="s">
        <v>1357</v>
      </c>
      <c r="K19643" t="s">
        <v>1357</v>
      </c>
      <c r="L19643" t="s">
        <v>1357</v>
      </c>
      <c r="M19643" t="s">
        <v>1361</v>
      </c>
    </row>
    <row r="19644" spans="1:14">
      <c r="H19644" t="s">
        <v>26990</v>
      </c>
      <c r="I19644" t="s">
        <v>1357</v>
      </c>
      <c r="J19644" t="s">
        <v>1357</v>
      </c>
      <c r="K19644" t="s">
        <v>1357</v>
      </c>
      <c r="L19644" t="s">
        <v>1357</v>
      </c>
    </row>
    <row r="19645" spans="1:14">
      <c r="H19645" t="s">
        <v>26991</v>
      </c>
      <c r="I19645" t="s">
        <v>1357</v>
      </c>
      <c r="J19645" t="s">
        <v>1357</v>
      </c>
      <c r="K19645" t="s">
        <v>1357</v>
      </c>
      <c r="L19645" t="s">
        <v>1357</v>
      </c>
    </row>
    <row r="19646" spans="1:14">
      <c r="H19646" t="s">
        <v>26992</v>
      </c>
      <c r="I19646" t="s">
        <v>1357</v>
      </c>
      <c r="J19646" t="s">
        <v>1357</v>
      </c>
      <c r="K19646" t="s">
        <v>1357</v>
      </c>
      <c r="L19646" t="s">
        <v>1357</v>
      </c>
    </row>
    <row r="19647" spans="1:14">
      <c r="A19647" t="s">
        <v>11907</v>
      </c>
      <c r="B19647">
        <f>HYPERLINK("https://android.googlesource.com/platform/cts/+/eb3220b60b267c22c4d9659cbd4a6be24ef54a33", "eb3220b60b267c22c4d9659cbd4a6be24ef54a33")</f>
        <v>0</v>
      </c>
      <c r="C19647">
        <f>HYPERLINK("https://android.googlesource.com/platform/cts/+/34503934bca4d873313067c2ba4b82e2fd06d52f", "34503934bca4d873313067c2ba4b82e2fd06d52f")</f>
        <v>0</v>
      </c>
      <c r="D19647" t="s">
        <v>12482</v>
      </c>
      <c r="E19647" t="s">
        <v>14404</v>
      </c>
      <c r="F19647" t="s">
        <v>17246</v>
      </c>
      <c r="G19647" t="s">
        <v>19826</v>
      </c>
      <c r="H19647" t="s">
        <v>26985</v>
      </c>
      <c r="I19647" t="s">
        <v>1359</v>
      </c>
      <c r="J19647" t="s">
        <v>1358</v>
      </c>
      <c r="K19647" t="s">
        <v>1358</v>
      </c>
      <c r="L19647" t="s">
        <v>1357</v>
      </c>
      <c r="M19647" t="s">
        <v>27499</v>
      </c>
    </row>
    <row r="19648" spans="1:14">
      <c r="H19648" t="s">
        <v>26986</v>
      </c>
      <c r="I19648" t="s">
        <v>1359</v>
      </c>
      <c r="J19648" t="s">
        <v>1358</v>
      </c>
      <c r="K19648" t="s">
        <v>1358</v>
      </c>
      <c r="L19648" t="s">
        <v>1357</v>
      </c>
    </row>
    <row r="19649" spans="1:13">
      <c r="H19649" t="s">
        <v>26987</v>
      </c>
      <c r="I19649" t="s">
        <v>1359</v>
      </c>
      <c r="J19649" t="s">
        <v>1358</v>
      </c>
      <c r="K19649" t="s">
        <v>1358</v>
      </c>
      <c r="L19649" t="s">
        <v>1357</v>
      </c>
    </row>
    <row r="19650" spans="1:13">
      <c r="A19650" t="s">
        <v>11908</v>
      </c>
      <c r="B19650">
        <f>HYPERLINK("https://android.googlesource.com/platform/cts/+/79444c01647dbd2ec5658216e5a68693933e0177", "79444c01647dbd2ec5658216e5a68693933e0177")</f>
        <v>0</v>
      </c>
      <c r="C19650">
        <f>HYPERLINK("https://android.googlesource.com/platform/cts/+/a420bbaba9f1283a67a1c3416c2d1cf231cf07fe", "a420bbaba9f1283a67a1c3416c2d1cf231cf07fe")</f>
        <v>0</v>
      </c>
      <c r="D19650" t="s">
        <v>12516</v>
      </c>
      <c r="E19650" t="s">
        <v>14405</v>
      </c>
      <c r="F19650" t="s">
        <v>17248</v>
      </c>
      <c r="G19650" t="s">
        <v>19828</v>
      </c>
      <c r="H19650" t="s">
        <v>26993</v>
      </c>
      <c r="I19650" t="s">
        <v>1357</v>
      </c>
      <c r="J19650" t="s">
        <v>1357</v>
      </c>
      <c r="K19650" t="s">
        <v>1357</v>
      </c>
      <c r="L19650" t="s">
        <v>1357</v>
      </c>
    </row>
    <row r="19651" spans="1:13">
      <c r="H19651" t="s">
        <v>26994</v>
      </c>
      <c r="I19651" t="s">
        <v>1357</v>
      </c>
      <c r="J19651" t="s">
        <v>1357</v>
      </c>
      <c r="K19651" t="s">
        <v>1357</v>
      </c>
      <c r="L19651" t="s">
        <v>1357</v>
      </c>
    </row>
    <row r="19652" spans="1:13">
      <c r="A19652" t="s">
        <v>11909</v>
      </c>
      <c r="B19652">
        <f>HYPERLINK("https://android.googlesource.com/platform/cts/+/b7b274b49fdfc8c40205bbfee3cd191015263a56", "b7b274b49fdfc8c40205bbfee3cd191015263a56")</f>
        <v>0</v>
      </c>
      <c r="C19652">
        <f>HYPERLINK("https://android.googlesource.com/platform/cts/+/f7679a054c594286f0b2692e69a2d7ebe2831685", "f7679a054c594286f0b2692e69a2d7ebe2831685")</f>
        <v>0</v>
      </c>
      <c r="D19652" t="s">
        <v>12103</v>
      </c>
      <c r="E19652" t="s">
        <v>14406</v>
      </c>
      <c r="F19652" t="s">
        <v>16308</v>
      </c>
      <c r="G19652" t="s">
        <v>18979</v>
      </c>
      <c r="H19652" t="s">
        <v>26995</v>
      </c>
      <c r="I19652" t="s">
        <v>1357</v>
      </c>
      <c r="J19652" t="s">
        <v>1357</v>
      </c>
      <c r="K19652" t="s">
        <v>1357</v>
      </c>
      <c r="L19652" t="s">
        <v>1357</v>
      </c>
    </row>
    <row r="19653" spans="1:13">
      <c r="A19653" t="s">
        <v>11910</v>
      </c>
      <c r="B19653">
        <f>HYPERLINK("https://android.googlesource.com/platform/cts/+/c9f95d3975115132df73b96c7370cb45efbe64c5", "c9f95d3975115132df73b96c7370cb45efbe64c5")</f>
        <v>0</v>
      </c>
      <c r="C19653">
        <f>HYPERLINK("https://android.googlesource.com/platform/cts/+/896dabb199ae349ddaa0a81acacb22913be1d301", "896dabb199ae349ddaa0a81acacb22913be1d301")</f>
        <v>0</v>
      </c>
      <c r="D19653" t="s">
        <v>12517</v>
      </c>
      <c r="E19653" t="s">
        <v>14407</v>
      </c>
      <c r="F19653" t="s">
        <v>17249</v>
      </c>
      <c r="G19653" t="s">
        <v>19829</v>
      </c>
      <c r="H19653" t="s">
        <v>26996</v>
      </c>
      <c r="I19653" t="s">
        <v>1357</v>
      </c>
      <c r="J19653" t="s">
        <v>1357</v>
      </c>
      <c r="K19653" t="s">
        <v>1357</v>
      </c>
      <c r="L19653" t="s">
        <v>1357</v>
      </c>
    </row>
    <row r="19654" spans="1:13">
      <c r="H19654" t="s">
        <v>26997</v>
      </c>
      <c r="I19654" t="s">
        <v>1357</v>
      </c>
      <c r="J19654" t="s">
        <v>1357</v>
      </c>
      <c r="K19654" t="s">
        <v>1357</v>
      </c>
      <c r="L19654" t="s">
        <v>1357</v>
      </c>
    </row>
    <row r="19655" spans="1:13">
      <c r="H19655" t="s">
        <v>26998</v>
      </c>
      <c r="I19655" t="s">
        <v>1357</v>
      </c>
      <c r="J19655" t="s">
        <v>1357</v>
      </c>
      <c r="K19655" t="s">
        <v>1357</v>
      </c>
      <c r="L19655" t="s">
        <v>1357</v>
      </c>
    </row>
    <row r="19656" spans="1:13">
      <c r="H19656" t="s">
        <v>26999</v>
      </c>
      <c r="I19656" t="s">
        <v>1357</v>
      </c>
      <c r="J19656" t="s">
        <v>1357</v>
      </c>
      <c r="K19656" t="s">
        <v>1357</v>
      </c>
      <c r="L19656" t="s">
        <v>1357</v>
      </c>
    </row>
    <row r="19657" spans="1:13">
      <c r="H19657" t="s">
        <v>27000</v>
      </c>
      <c r="I19657" t="s">
        <v>1357</v>
      </c>
      <c r="J19657" t="s">
        <v>1357</v>
      </c>
      <c r="K19657" t="s">
        <v>1357</v>
      </c>
      <c r="L19657" t="s">
        <v>1357</v>
      </c>
    </row>
    <row r="19658" spans="1:13">
      <c r="H19658" t="s">
        <v>27001</v>
      </c>
      <c r="I19658" t="s">
        <v>1357</v>
      </c>
      <c r="J19658" t="s">
        <v>1357</v>
      </c>
      <c r="K19658" t="s">
        <v>1357</v>
      </c>
      <c r="L19658" t="s">
        <v>1357</v>
      </c>
    </row>
    <row r="19659" spans="1:13">
      <c r="A19659" t="s">
        <v>11911</v>
      </c>
      <c r="B19659">
        <f>HYPERLINK("https://android.googlesource.com/platform/cts/+/e0e77cfc11e748dae78816942ef64b140fca8f91", "e0e77cfc11e748dae78816942ef64b140fca8f91")</f>
        <v>0</v>
      </c>
      <c r="C19659">
        <f>HYPERLINK("https://android.googlesource.com/platform/cts/+/1d65d64d19469ce35159aa7e9b2ecd793b50d3a9", "1d65d64d19469ce35159aa7e9b2ecd793b50d3a9")</f>
        <v>0</v>
      </c>
      <c r="D19659" t="s">
        <v>12398</v>
      </c>
      <c r="E19659" t="s">
        <v>14408</v>
      </c>
      <c r="F19659" t="s">
        <v>17247</v>
      </c>
      <c r="G19659" t="s">
        <v>19827</v>
      </c>
      <c r="H19659" t="s">
        <v>26988</v>
      </c>
      <c r="I19659" t="s">
        <v>1357</v>
      </c>
      <c r="J19659" t="s">
        <v>1357</v>
      </c>
      <c r="K19659" t="s">
        <v>1357</v>
      </c>
      <c r="L19659" t="s">
        <v>1357</v>
      </c>
      <c r="M19659" t="s">
        <v>9957</v>
      </c>
    </row>
    <row r="19660" spans="1:13">
      <c r="H19660" t="s">
        <v>26989</v>
      </c>
      <c r="I19660" t="s">
        <v>1357</v>
      </c>
      <c r="J19660" t="s">
        <v>1357</v>
      </c>
      <c r="K19660" t="s">
        <v>1357</v>
      </c>
      <c r="L19660" t="s">
        <v>1357</v>
      </c>
      <c r="M19660" t="s">
        <v>27502</v>
      </c>
    </row>
    <row r="19661" spans="1:13">
      <c r="H19661" t="s">
        <v>26990</v>
      </c>
      <c r="I19661" t="s">
        <v>1357</v>
      </c>
      <c r="J19661" t="s">
        <v>1357</v>
      </c>
      <c r="K19661" t="s">
        <v>1357</v>
      </c>
      <c r="L19661" t="s">
        <v>1357</v>
      </c>
    </row>
    <row r="19662" spans="1:13">
      <c r="H19662" t="s">
        <v>26991</v>
      </c>
      <c r="I19662" t="s">
        <v>1357</v>
      </c>
      <c r="J19662" t="s">
        <v>1357</v>
      </c>
      <c r="K19662" t="s">
        <v>1357</v>
      </c>
      <c r="L19662" t="s">
        <v>1357</v>
      </c>
    </row>
    <row r="19663" spans="1:13">
      <c r="H19663" t="s">
        <v>26992</v>
      </c>
      <c r="I19663" t="s">
        <v>1357</v>
      </c>
      <c r="J19663" t="s">
        <v>1357</v>
      </c>
      <c r="K19663" t="s">
        <v>1357</v>
      </c>
      <c r="L19663" t="s">
        <v>1357</v>
      </c>
    </row>
    <row r="19664" spans="1:13">
      <c r="A19664" t="s">
        <v>11912</v>
      </c>
      <c r="B19664">
        <f>HYPERLINK("https://android.googlesource.com/platform/cts/+/8ae831bebba660d342c00a935918f0d38d8915ce", "8ae831bebba660d342c00a935918f0d38d8915ce")</f>
        <v>0</v>
      </c>
      <c r="C19664">
        <f>HYPERLINK("https://android.googlesource.com/platform/cts/+/4b7d8d4223eae0559866493a9cf74b727834d49f", "4b7d8d4223eae0559866493a9cf74b727834d49f")</f>
        <v>0</v>
      </c>
      <c r="D19664" t="s">
        <v>12463</v>
      </c>
      <c r="E19664" t="s">
        <v>14409</v>
      </c>
      <c r="F19664" t="s">
        <v>14533</v>
      </c>
      <c r="G19664" t="s">
        <v>17378</v>
      </c>
      <c r="H19664" t="s">
        <v>25951</v>
      </c>
      <c r="I19664" t="s">
        <v>1357</v>
      </c>
      <c r="J19664" t="s">
        <v>1357</v>
      </c>
      <c r="K19664" t="s">
        <v>1357</v>
      </c>
      <c r="L19664" t="s">
        <v>1357</v>
      </c>
    </row>
    <row r="19665" spans="1:12">
      <c r="A19665" t="s">
        <v>11913</v>
      </c>
      <c r="B19665">
        <f>HYPERLINK("https://android.googlesource.com/platform/cts/+/b2d0bd152176509b2793f0ce9ab5c3f858b2a97b", "b2d0bd152176509b2793f0ce9ab5c3f858b2a97b")</f>
        <v>0</v>
      </c>
      <c r="C19665">
        <f>HYPERLINK("https://android.googlesource.com/platform/cts/+/4123ca3d3422df5b3f7f3bbd43f0fab158cf251e", "4123ca3d3422df5b3f7f3bbd43f0fab158cf251e")</f>
        <v>0</v>
      </c>
      <c r="D19665" t="s">
        <v>12357</v>
      </c>
      <c r="E19665" t="s">
        <v>14410</v>
      </c>
      <c r="F19665" t="s">
        <v>17158</v>
      </c>
      <c r="G19665" t="s">
        <v>19744</v>
      </c>
      <c r="H19665" t="s">
        <v>26114</v>
      </c>
      <c r="I19665" t="s">
        <v>1358</v>
      </c>
      <c r="J19665" t="s">
        <v>1358</v>
      </c>
      <c r="K19665" t="s">
        <v>1358</v>
      </c>
      <c r="L19665" t="s">
        <v>1358</v>
      </c>
    </row>
    <row r="19666" spans="1:12">
      <c r="A19666" t="s">
        <v>11914</v>
      </c>
      <c r="B19666">
        <f>HYPERLINK("https://android.googlesource.com/platform/cts/+/023b2fd7401bc56efd86f3af9cbeff0560e5577d", "023b2fd7401bc56efd86f3af9cbeff0560e5577d")</f>
        <v>0</v>
      </c>
      <c r="C19666">
        <f>HYPERLINK("https://android.googlesource.com/platform/cts/+/e49c4260fbe6de61e96343999e471b83347c50a5", "e49c4260fbe6de61e96343999e471b83347c50a5")</f>
        <v>0</v>
      </c>
      <c r="D19666" t="s">
        <v>12425</v>
      </c>
      <c r="E19666" t="s">
        <v>14411</v>
      </c>
      <c r="F19666" t="s">
        <v>17250</v>
      </c>
      <c r="G19666" t="s">
        <v>19830</v>
      </c>
      <c r="H19666" t="s">
        <v>27002</v>
      </c>
      <c r="I19666" t="s">
        <v>1357</v>
      </c>
      <c r="J19666" t="s">
        <v>1357</v>
      </c>
      <c r="K19666" t="s">
        <v>1357</v>
      </c>
      <c r="L19666" t="s">
        <v>1357</v>
      </c>
    </row>
    <row r="19667" spans="1:12">
      <c r="A19667" t="s">
        <v>11915</v>
      </c>
      <c r="B19667">
        <f>HYPERLINK("https://android.googlesource.com/platform/cts/+/2b256dab0280ec8e13daf1872c239370365d0f70", "2b256dab0280ec8e13daf1872c239370365d0f70")</f>
        <v>0</v>
      </c>
      <c r="C19667">
        <f>HYPERLINK("https://android.googlesource.com/platform/cts/+/7f9716d28b0fe1aa7362b02a85c082af1b6b0cc9", "7f9716d28b0fe1aa7362b02a85c082af1b6b0cc9")</f>
        <v>0</v>
      </c>
      <c r="D19667" t="s">
        <v>12438</v>
      </c>
      <c r="E19667" t="s">
        <v>14412</v>
      </c>
      <c r="F19667" t="s">
        <v>17251</v>
      </c>
      <c r="G19667" t="s">
        <v>19090</v>
      </c>
      <c r="H19667" t="s">
        <v>27003</v>
      </c>
      <c r="I19667" t="s">
        <v>1357</v>
      </c>
      <c r="J19667" t="s">
        <v>1357</v>
      </c>
      <c r="K19667" t="s">
        <v>1357</v>
      </c>
      <c r="L19667" t="s">
        <v>1357</v>
      </c>
    </row>
    <row r="19668" spans="1:12">
      <c r="A19668" t="s">
        <v>11916</v>
      </c>
      <c r="B19668">
        <f>HYPERLINK("https://android.googlesource.com/platform/cts/+/ba91da5cfc514a65eb4aeaf7b7e9219af5fb6d31", "ba91da5cfc514a65eb4aeaf7b7e9219af5fb6d31")</f>
        <v>0</v>
      </c>
      <c r="C19668">
        <f>HYPERLINK("https://android.googlesource.com/platform/cts/+/574da0a5945c088d345e17894c242faa9bccf66b", "574da0a5945c088d345e17894c242faa9bccf66b")</f>
        <v>0</v>
      </c>
      <c r="D19668" t="s">
        <v>12385</v>
      </c>
      <c r="E19668" t="s">
        <v>14413</v>
      </c>
      <c r="F19668" t="s">
        <v>17252</v>
      </c>
      <c r="G19668" t="s">
        <v>19831</v>
      </c>
      <c r="H19668" t="s">
        <v>27004</v>
      </c>
      <c r="I19668" t="s">
        <v>1358</v>
      </c>
      <c r="J19668" t="s">
        <v>1358</v>
      </c>
      <c r="K19668" t="s">
        <v>1358</v>
      </c>
      <c r="L19668" t="s">
        <v>1358</v>
      </c>
    </row>
    <row r="19669" spans="1:12">
      <c r="H19669" t="s">
        <v>27005</v>
      </c>
      <c r="I19669" t="s">
        <v>1358</v>
      </c>
      <c r="J19669" t="s">
        <v>1358</v>
      </c>
      <c r="K19669" t="s">
        <v>1358</v>
      </c>
      <c r="L19669" t="s">
        <v>1358</v>
      </c>
    </row>
    <row r="19670" spans="1:12">
      <c r="F19670" t="s">
        <v>17253</v>
      </c>
      <c r="G19670" t="s">
        <v>19832</v>
      </c>
      <c r="H19670" t="s">
        <v>27006</v>
      </c>
      <c r="I19670" t="s">
        <v>1358</v>
      </c>
      <c r="J19670" t="s">
        <v>1358</v>
      </c>
      <c r="K19670" t="s">
        <v>1358</v>
      </c>
      <c r="L19670" t="s">
        <v>1358</v>
      </c>
    </row>
    <row r="19671" spans="1:12">
      <c r="A19671" t="s">
        <v>11917</v>
      </c>
      <c r="B19671">
        <f>HYPERLINK("https://android.googlesource.com/platform/cts/+/1aedebaa21449282ba559dac9becae26d90c6895", "1aedebaa21449282ba559dac9becae26d90c6895")</f>
        <v>0</v>
      </c>
      <c r="C19671">
        <f>HYPERLINK("https://android.googlesource.com/platform/cts/+/9d328bb1816862803ec81b61b65aa76990386994", "9d328bb1816862803ec81b61b65aa76990386994")</f>
        <v>0</v>
      </c>
      <c r="D19671" t="s">
        <v>12518</v>
      </c>
      <c r="E19671" t="s">
        <v>14414</v>
      </c>
      <c r="F19671" t="s">
        <v>17254</v>
      </c>
      <c r="G19671" t="s">
        <v>19833</v>
      </c>
      <c r="H19671" t="s">
        <v>27007</v>
      </c>
      <c r="I19671" t="s">
        <v>1359</v>
      </c>
      <c r="J19671" t="s">
        <v>1358</v>
      </c>
      <c r="K19671" t="s">
        <v>1358</v>
      </c>
      <c r="L19671" t="s">
        <v>1357</v>
      </c>
    </row>
    <row r="19672" spans="1:12">
      <c r="A19672" t="s">
        <v>11918</v>
      </c>
      <c r="B19672">
        <f>HYPERLINK("https://android.googlesource.com/platform/cts/+/e3618725cc0e2639652f0058273d9bfc96d87329", "e3618725cc0e2639652f0058273d9bfc96d87329")</f>
        <v>0</v>
      </c>
      <c r="C19672">
        <f>HYPERLINK("https://android.googlesource.com/platform/cts/+/57677d95c4dff0c37126fa1c24ec43016facb607", "57677d95c4dff0c37126fa1c24ec43016facb607")</f>
        <v>0</v>
      </c>
      <c r="D19672" t="s">
        <v>12519</v>
      </c>
      <c r="E19672" t="s">
        <v>14415</v>
      </c>
      <c r="F19672" t="s">
        <v>17255</v>
      </c>
      <c r="G19672" t="s">
        <v>19834</v>
      </c>
      <c r="H19672" t="s">
        <v>27008</v>
      </c>
      <c r="I19672" t="s">
        <v>1358</v>
      </c>
      <c r="J19672" t="s">
        <v>1358</v>
      </c>
      <c r="K19672" t="s">
        <v>1358</v>
      </c>
      <c r="L19672" t="s">
        <v>1358</v>
      </c>
    </row>
    <row r="19673" spans="1:12">
      <c r="H19673" t="s">
        <v>27009</v>
      </c>
      <c r="I19673" t="s">
        <v>1358</v>
      </c>
      <c r="J19673" t="s">
        <v>1358</v>
      </c>
      <c r="K19673" t="s">
        <v>1358</v>
      </c>
      <c r="L19673" t="s">
        <v>1358</v>
      </c>
    </row>
    <row r="19674" spans="1:12">
      <c r="H19674" t="s">
        <v>27010</v>
      </c>
      <c r="I19674" t="s">
        <v>1358</v>
      </c>
      <c r="J19674" t="s">
        <v>1358</v>
      </c>
      <c r="K19674" t="s">
        <v>1358</v>
      </c>
      <c r="L19674" t="s">
        <v>1358</v>
      </c>
    </row>
    <row r="19675" spans="1:12">
      <c r="F19675" t="s">
        <v>17256</v>
      </c>
      <c r="G19675" t="s">
        <v>19835</v>
      </c>
      <c r="H19675" t="s">
        <v>27011</v>
      </c>
      <c r="I19675" t="s">
        <v>1357</v>
      </c>
      <c r="J19675" t="s">
        <v>1357</v>
      </c>
      <c r="K19675" t="s">
        <v>1357</v>
      </c>
      <c r="L19675" t="s">
        <v>1357</v>
      </c>
    </row>
    <row r="19676" spans="1:12">
      <c r="H19676" t="s">
        <v>27012</v>
      </c>
      <c r="I19676" t="s">
        <v>1357</v>
      </c>
      <c r="J19676" t="s">
        <v>1357</v>
      </c>
      <c r="K19676" t="s">
        <v>1357</v>
      </c>
      <c r="L19676" t="s">
        <v>1357</v>
      </c>
    </row>
    <row r="19677" spans="1:12">
      <c r="H19677" t="s">
        <v>27013</v>
      </c>
      <c r="I19677" t="s">
        <v>1357</v>
      </c>
      <c r="J19677" t="s">
        <v>1357</v>
      </c>
      <c r="K19677" t="s">
        <v>1357</v>
      </c>
      <c r="L19677" t="s">
        <v>1357</v>
      </c>
    </row>
    <row r="19678" spans="1:12">
      <c r="H19678" t="s">
        <v>27014</v>
      </c>
      <c r="I19678" t="s">
        <v>1357</v>
      </c>
      <c r="J19678" t="s">
        <v>1357</v>
      </c>
      <c r="K19678" t="s">
        <v>1357</v>
      </c>
      <c r="L19678" t="s">
        <v>1357</v>
      </c>
    </row>
    <row r="19679" spans="1:12">
      <c r="A19679" t="s">
        <v>11919</v>
      </c>
      <c r="B19679">
        <f>HYPERLINK("https://android.googlesource.com/platform/cts/+/929549ac3669a9374e3e4ff0154cc94a5acce563", "929549ac3669a9374e3e4ff0154cc94a5acce563")</f>
        <v>0</v>
      </c>
      <c r="C19679">
        <f>HYPERLINK("https://android.googlesource.com/platform/cts/+/02d1a82dd9c5ba9d9d12fe9ac0cafb87385cdab0", "02d1a82dd9c5ba9d9d12fe9ac0cafb87385cdab0")</f>
        <v>0</v>
      </c>
      <c r="D19679" t="s">
        <v>12520</v>
      </c>
      <c r="E19679" t="s">
        <v>14416</v>
      </c>
      <c r="F19679" t="s">
        <v>17252</v>
      </c>
      <c r="G19679" t="s">
        <v>19831</v>
      </c>
      <c r="H19679" t="s">
        <v>27004</v>
      </c>
      <c r="I19679" t="s">
        <v>1358</v>
      </c>
      <c r="J19679" t="s">
        <v>1358</v>
      </c>
      <c r="K19679" t="s">
        <v>1358</v>
      </c>
      <c r="L19679" t="s">
        <v>1358</v>
      </c>
    </row>
    <row r="19680" spans="1:12">
      <c r="H19680" t="s">
        <v>27005</v>
      </c>
      <c r="I19680" t="s">
        <v>1358</v>
      </c>
      <c r="J19680" t="s">
        <v>1358</v>
      </c>
      <c r="K19680" t="s">
        <v>1358</v>
      </c>
      <c r="L19680" t="s">
        <v>1358</v>
      </c>
    </row>
    <row r="19681" spans="1:13">
      <c r="F19681" t="s">
        <v>17253</v>
      </c>
      <c r="G19681" t="s">
        <v>19832</v>
      </c>
      <c r="H19681" t="s">
        <v>27006</v>
      </c>
      <c r="I19681" t="s">
        <v>1358</v>
      </c>
      <c r="J19681" t="s">
        <v>1358</v>
      </c>
      <c r="K19681" t="s">
        <v>1358</v>
      </c>
      <c r="L19681" t="s">
        <v>1358</v>
      </c>
    </row>
    <row r="19682" spans="1:13">
      <c r="A19682" t="s">
        <v>11920</v>
      </c>
      <c r="B19682">
        <f>HYPERLINK("https://android.googlesource.com/platform/cts/+/638f10f4bd2c764cf1fc7d9f5a39368b22eda899", "638f10f4bd2c764cf1fc7d9f5a39368b22eda899")</f>
        <v>0</v>
      </c>
      <c r="C19682">
        <f>HYPERLINK("https://android.googlesource.com/platform/cts/+/96dfbbe5394345cd537f671e084a0d0041125e60", "96dfbbe5394345cd537f671e084a0d0041125e60")</f>
        <v>0</v>
      </c>
      <c r="D19682" t="s">
        <v>12385</v>
      </c>
      <c r="E19682" t="s">
        <v>14417</v>
      </c>
      <c r="F19682" t="s">
        <v>17048</v>
      </c>
      <c r="G19682" t="s">
        <v>19647</v>
      </c>
      <c r="H19682" t="s">
        <v>27015</v>
      </c>
      <c r="I19682" t="s">
        <v>1359</v>
      </c>
      <c r="J19682" t="s">
        <v>1358</v>
      </c>
      <c r="K19682" t="s">
        <v>1358</v>
      </c>
      <c r="L19682" t="s">
        <v>1357</v>
      </c>
    </row>
    <row r="19683" spans="1:13">
      <c r="A19683" t="s">
        <v>11921</v>
      </c>
      <c r="B19683">
        <f>HYPERLINK("https://android.googlesource.com/platform/cts/+/bcee39af4f687050418e20c8e9afd69d1df7c434", "bcee39af4f687050418e20c8e9afd69d1df7c434")</f>
        <v>0</v>
      </c>
      <c r="C19683">
        <f>HYPERLINK("https://android.googlesource.com/platform/cts/+/9e9211376cb78a772d47f5fd9fee0c992b95b223", "9e9211376cb78a772d47f5fd9fee0c992b95b223")</f>
        <v>0</v>
      </c>
      <c r="D19683" t="s">
        <v>12520</v>
      </c>
      <c r="E19683" t="s">
        <v>14418</v>
      </c>
      <c r="F19683" t="s">
        <v>17048</v>
      </c>
      <c r="G19683" t="s">
        <v>19647</v>
      </c>
      <c r="H19683" t="s">
        <v>27015</v>
      </c>
      <c r="I19683" t="s">
        <v>1359</v>
      </c>
      <c r="J19683" t="s">
        <v>1358</v>
      </c>
      <c r="K19683" t="s">
        <v>1358</v>
      </c>
      <c r="L19683" t="s">
        <v>1357</v>
      </c>
      <c r="M19683" t="s">
        <v>27499</v>
      </c>
    </row>
    <row r="19684" spans="1:13">
      <c r="A19684" t="s">
        <v>11922</v>
      </c>
      <c r="B19684">
        <f>HYPERLINK("https://android.googlesource.com/platform/cts/+/25e472e906c6387fd0be74273e418c594010ddf4", "25e472e906c6387fd0be74273e418c594010ddf4")</f>
        <v>0</v>
      </c>
      <c r="C19684">
        <f>HYPERLINK("https://android.googlesource.com/platform/cts/+/41095a79333dc8bc163b8ade2289fc913396b9a1", "41095a79333dc8bc163b8ade2289fc913396b9a1")</f>
        <v>0</v>
      </c>
      <c r="D19684" t="s">
        <v>12521</v>
      </c>
      <c r="E19684" t="s">
        <v>14419</v>
      </c>
      <c r="F19684" t="s">
        <v>16486</v>
      </c>
      <c r="G19684" t="s">
        <v>19001</v>
      </c>
      <c r="H19684" t="s">
        <v>27016</v>
      </c>
      <c r="I19684" t="s">
        <v>1357</v>
      </c>
      <c r="J19684" t="s">
        <v>1357</v>
      </c>
      <c r="K19684" t="s">
        <v>1357</v>
      </c>
      <c r="L19684" t="s">
        <v>1357</v>
      </c>
    </row>
    <row r="19685" spans="1:13">
      <c r="A19685" t="s">
        <v>11923</v>
      </c>
      <c r="B19685">
        <f>HYPERLINK("https://android.googlesource.com/platform/cts/+/fe4217b822b3241017cb212273080e23c8f24783", "fe4217b822b3241017cb212273080e23c8f24783")</f>
        <v>0</v>
      </c>
      <c r="C19685">
        <f>HYPERLINK("https://android.googlesource.com/platform/cts/+/e2523757f289f625f21eeb58df03eb8e1eacb3fe", "e2523757f289f625f21eeb58df03eb8e1eacb3fe")</f>
        <v>0</v>
      </c>
      <c r="D19685" t="s">
        <v>12522</v>
      </c>
      <c r="E19685" t="s">
        <v>14420</v>
      </c>
      <c r="F19685" t="s">
        <v>17079</v>
      </c>
      <c r="G19685" t="s">
        <v>19674</v>
      </c>
      <c r="H19685" t="s">
        <v>27017</v>
      </c>
      <c r="I19685" t="s">
        <v>1357</v>
      </c>
      <c r="J19685" t="s">
        <v>1357</v>
      </c>
      <c r="K19685" t="s">
        <v>1357</v>
      </c>
      <c r="L19685" t="s">
        <v>1357</v>
      </c>
    </row>
    <row r="19686" spans="1:13">
      <c r="A19686" t="s">
        <v>11924</v>
      </c>
      <c r="B19686">
        <f>HYPERLINK("https://android.googlesource.com/platform/cts/+/f28ef499cb253b5d8dc8ad19a65429dfb77ab9e2", "f28ef499cb253b5d8dc8ad19a65429dfb77ab9e2")</f>
        <v>0</v>
      </c>
      <c r="C19686">
        <f>HYPERLINK("https://android.googlesource.com/platform/cts/+/285a633164ca873d857c87f7e87f8831428bd50a", "285a633164ca873d857c87f7e87f8831428bd50a")</f>
        <v>0</v>
      </c>
      <c r="D19686" t="s">
        <v>12222</v>
      </c>
      <c r="E19686" t="s">
        <v>14421</v>
      </c>
      <c r="F19686" t="s">
        <v>17257</v>
      </c>
      <c r="G19686" t="s">
        <v>19836</v>
      </c>
      <c r="H19686" t="s">
        <v>27018</v>
      </c>
      <c r="I19686" t="s">
        <v>1357</v>
      </c>
      <c r="J19686" t="s">
        <v>1357</v>
      </c>
      <c r="K19686" t="s">
        <v>1357</v>
      </c>
      <c r="L19686" t="s">
        <v>1357</v>
      </c>
    </row>
    <row r="19687" spans="1:13">
      <c r="A19687" t="s">
        <v>11925</v>
      </c>
      <c r="B19687">
        <f>HYPERLINK("https://android.googlesource.com/platform/cts/+/ff0ea53ffb5594d6ac35ed3c2a21c7c1c8549464", "ff0ea53ffb5594d6ac35ed3c2a21c7c1c8549464")</f>
        <v>0</v>
      </c>
      <c r="C19687">
        <f>HYPERLINK("https://android.googlesource.com/platform/cts/+/898083518b58493227278eab2a9b035c9fcff62f", "898083518b58493227278eab2a9b035c9fcff62f")</f>
        <v>0</v>
      </c>
      <c r="D19687" t="s">
        <v>12523</v>
      </c>
      <c r="E19687" t="s">
        <v>14422</v>
      </c>
      <c r="F19687" t="s">
        <v>16875</v>
      </c>
      <c r="G19687" t="s">
        <v>19488</v>
      </c>
      <c r="H19687" t="s">
        <v>27019</v>
      </c>
      <c r="I19687" t="s">
        <v>1357</v>
      </c>
      <c r="J19687" t="s">
        <v>1357</v>
      </c>
      <c r="K19687" t="s">
        <v>1357</v>
      </c>
      <c r="L19687" t="s">
        <v>1357</v>
      </c>
    </row>
    <row r="19688" spans="1:13">
      <c r="H19688" t="s">
        <v>27020</v>
      </c>
      <c r="I19688" t="s">
        <v>1357</v>
      </c>
      <c r="J19688" t="s">
        <v>1357</v>
      </c>
      <c r="K19688" t="s">
        <v>1357</v>
      </c>
      <c r="L19688" t="s">
        <v>1357</v>
      </c>
    </row>
    <row r="19689" spans="1:13">
      <c r="H19689" t="s">
        <v>27021</v>
      </c>
      <c r="I19689" t="s">
        <v>1357</v>
      </c>
      <c r="J19689" t="s">
        <v>1357</v>
      </c>
      <c r="K19689" t="s">
        <v>1357</v>
      </c>
      <c r="L19689" t="s">
        <v>1357</v>
      </c>
    </row>
    <row r="19690" spans="1:13">
      <c r="A19690" t="s">
        <v>11926</v>
      </c>
      <c r="B19690">
        <f>HYPERLINK("https://android.googlesource.com/platform/cts/+/6740e3ed7234d0a2723aaa350fd3f2413b564b0b", "6740e3ed7234d0a2723aaa350fd3f2413b564b0b")</f>
        <v>0</v>
      </c>
      <c r="C19690">
        <f>HYPERLINK("https://android.googlesource.com/platform/cts/+/b167775c551d0bd06452c5362d576a5e223312b5", "b167775c551d0bd06452c5362d576a5e223312b5")</f>
        <v>0</v>
      </c>
      <c r="D19690" t="s">
        <v>12524</v>
      </c>
      <c r="E19690" t="s">
        <v>14423</v>
      </c>
      <c r="F19690" t="s">
        <v>17258</v>
      </c>
      <c r="G19690" t="s">
        <v>19837</v>
      </c>
      <c r="H19690" t="s">
        <v>27022</v>
      </c>
      <c r="I19690" t="s">
        <v>1357</v>
      </c>
      <c r="J19690" t="s">
        <v>1357</v>
      </c>
      <c r="K19690" t="s">
        <v>1357</v>
      </c>
      <c r="L19690" t="s">
        <v>1357</v>
      </c>
    </row>
    <row r="19691" spans="1:13">
      <c r="H19691" t="s">
        <v>27023</v>
      </c>
      <c r="I19691" t="s">
        <v>1357</v>
      </c>
      <c r="J19691" t="s">
        <v>1357</v>
      </c>
      <c r="K19691" t="s">
        <v>1357</v>
      </c>
      <c r="L19691" t="s">
        <v>1357</v>
      </c>
    </row>
    <row r="19692" spans="1:13">
      <c r="H19692" t="s">
        <v>27024</v>
      </c>
      <c r="I19692" t="s">
        <v>1357</v>
      </c>
      <c r="J19692" t="s">
        <v>1357</v>
      </c>
      <c r="K19692" t="s">
        <v>1357</v>
      </c>
      <c r="L19692" t="s">
        <v>1357</v>
      </c>
    </row>
    <row r="19693" spans="1:13">
      <c r="H19693" t="s">
        <v>27025</v>
      </c>
      <c r="I19693" t="s">
        <v>1357</v>
      </c>
      <c r="J19693" t="s">
        <v>1357</v>
      </c>
      <c r="K19693" t="s">
        <v>1357</v>
      </c>
      <c r="L19693" t="s">
        <v>1357</v>
      </c>
    </row>
    <row r="19694" spans="1:13">
      <c r="H19694" t="s">
        <v>27026</v>
      </c>
      <c r="I19694" t="s">
        <v>1357</v>
      </c>
      <c r="J19694" t="s">
        <v>1357</v>
      </c>
      <c r="K19694" t="s">
        <v>1357</v>
      </c>
      <c r="L19694" t="s">
        <v>1357</v>
      </c>
    </row>
    <row r="19695" spans="1:13">
      <c r="H19695" t="s">
        <v>27027</v>
      </c>
      <c r="I19695" t="s">
        <v>1357</v>
      </c>
      <c r="J19695" t="s">
        <v>1357</v>
      </c>
      <c r="K19695" t="s">
        <v>1357</v>
      </c>
      <c r="L19695" t="s">
        <v>1357</v>
      </c>
    </row>
    <row r="19696" spans="1:13">
      <c r="H19696" t="s">
        <v>27028</v>
      </c>
      <c r="I19696" t="s">
        <v>1357</v>
      </c>
      <c r="J19696" t="s">
        <v>1357</v>
      </c>
      <c r="K19696" t="s">
        <v>1357</v>
      </c>
      <c r="L19696" t="s">
        <v>1357</v>
      </c>
    </row>
    <row r="19697" spans="8:12">
      <c r="H19697" t="s">
        <v>27029</v>
      </c>
      <c r="I19697" t="s">
        <v>1357</v>
      </c>
      <c r="J19697" t="s">
        <v>1357</v>
      </c>
      <c r="K19697" t="s">
        <v>1357</v>
      </c>
      <c r="L19697" t="s">
        <v>1357</v>
      </c>
    </row>
    <row r="19698" spans="8:12">
      <c r="H19698" t="s">
        <v>27030</v>
      </c>
      <c r="I19698" t="s">
        <v>1357</v>
      </c>
      <c r="J19698" t="s">
        <v>1357</v>
      </c>
      <c r="K19698" t="s">
        <v>1357</v>
      </c>
      <c r="L19698" t="s">
        <v>1357</v>
      </c>
    </row>
    <row r="19699" spans="8:12">
      <c r="H19699" t="s">
        <v>27031</v>
      </c>
      <c r="I19699" t="s">
        <v>1357</v>
      </c>
      <c r="J19699" t="s">
        <v>1357</v>
      </c>
      <c r="K19699" t="s">
        <v>1357</v>
      </c>
      <c r="L19699" t="s">
        <v>1357</v>
      </c>
    </row>
    <row r="19700" spans="8:12">
      <c r="H19700" t="s">
        <v>27032</v>
      </c>
      <c r="I19700" t="s">
        <v>1357</v>
      </c>
      <c r="J19700" t="s">
        <v>1357</v>
      </c>
      <c r="K19700" t="s">
        <v>1357</v>
      </c>
      <c r="L19700" t="s">
        <v>1357</v>
      </c>
    </row>
    <row r="19701" spans="8:12">
      <c r="H19701" t="s">
        <v>27033</v>
      </c>
      <c r="I19701" t="s">
        <v>1357</v>
      </c>
      <c r="J19701" t="s">
        <v>1357</v>
      </c>
      <c r="K19701" t="s">
        <v>1357</v>
      </c>
      <c r="L19701" t="s">
        <v>1357</v>
      </c>
    </row>
    <row r="19702" spans="8:12">
      <c r="H19702" t="s">
        <v>27034</v>
      </c>
      <c r="I19702" t="s">
        <v>1357</v>
      </c>
      <c r="J19702" t="s">
        <v>1357</v>
      </c>
      <c r="K19702" t="s">
        <v>1357</v>
      </c>
      <c r="L19702" t="s">
        <v>1357</v>
      </c>
    </row>
    <row r="19703" spans="8:12">
      <c r="H19703" t="s">
        <v>27035</v>
      </c>
      <c r="I19703" t="s">
        <v>1357</v>
      </c>
      <c r="J19703" t="s">
        <v>1357</v>
      </c>
      <c r="K19703" t="s">
        <v>1357</v>
      </c>
      <c r="L19703" t="s">
        <v>1357</v>
      </c>
    </row>
    <row r="19704" spans="8:12">
      <c r="H19704" t="s">
        <v>27036</v>
      </c>
      <c r="I19704" t="s">
        <v>1357</v>
      </c>
      <c r="J19704" t="s">
        <v>1357</v>
      </c>
      <c r="K19704" t="s">
        <v>1357</v>
      </c>
      <c r="L19704" t="s">
        <v>1357</v>
      </c>
    </row>
    <row r="19705" spans="8:12">
      <c r="H19705" t="s">
        <v>27037</v>
      </c>
      <c r="I19705" t="s">
        <v>1357</v>
      </c>
      <c r="J19705" t="s">
        <v>1357</v>
      </c>
      <c r="K19705" t="s">
        <v>1357</v>
      </c>
      <c r="L19705" t="s">
        <v>1357</v>
      </c>
    </row>
    <row r="19706" spans="8:12">
      <c r="H19706" t="s">
        <v>27038</v>
      </c>
      <c r="I19706" t="s">
        <v>1357</v>
      </c>
      <c r="J19706" t="s">
        <v>1357</v>
      </c>
      <c r="K19706" t="s">
        <v>1357</v>
      </c>
      <c r="L19706" t="s">
        <v>1357</v>
      </c>
    </row>
    <row r="19707" spans="8:12">
      <c r="H19707" t="s">
        <v>27039</v>
      </c>
      <c r="I19707" t="s">
        <v>1357</v>
      </c>
      <c r="J19707" t="s">
        <v>1357</v>
      </c>
      <c r="K19707" t="s">
        <v>1357</v>
      </c>
      <c r="L19707" t="s">
        <v>1357</v>
      </c>
    </row>
    <row r="19708" spans="8:12">
      <c r="H19708" t="s">
        <v>27040</v>
      </c>
      <c r="I19708" t="s">
        <v>1357</v>
      </c>
      <c r="J19708" t="s">
        <v>1357</v>
      </c>
      <c r="K19708" t="s">
        <v>1357</v>
      </c>
      <c r="L19708" t="s">
        <v>1357</v>
      </c>
    </row>
    <row r="19709" spans="8:12">
      <c r="H19709" t="s">
        <v>27041</v>
      </c>
      <c r="I19709" t="s">
        <v>1357</v>
      </c>
      <c r="J19709" t="s">
        <v>1357</v>
      </c>
      <c r="K19709" t="s">
        <v>1357</v>
      </c>
      <c r="L19709" t="s">
        <v>1357</v>
      </c>
    </row>
    <row r="19710" spans="8:12">
      <c r="H19710" t="s">
        <v>27042</v>
      </c>
      <c r="I19710" t="s">
        <v>1357</v>
      </c>
      <c r="J19710" t="s">
        <v>1357</v>
      </c>
      <c r="K19710" t="s">
        <v>1357</v>
      </c>
      <c r="L19710" t="s">
        <v>1357</v>
      </c>
    </row>
    <row r="19711" spans="8:12">
      <c r="H19711" t="s">
        <v>27043</v>
      </c>
      <c r="I19711" t="s">
        <v>1357</v>
      </c>
      <c r="J19711" t="s">
        <v>1357</v>
      </c>
      <c r="K19711" t="s">
        <v>1357</v>
      </c>
      <c r="L19711" t="s">
        <v>1357</v>
      </c>
    </row>
    <row r="19712" spans="8:12">
      <c r="H19712" t="s">
        <v>27044</v>
      </c>
      <c r="I19712" t="s">
        <v>1357</v>
      </c>
      <c r="J19712" t="s">
        <v>1357</v>
      </c>
      <c r="K19712" t="s">
        <v>1357</v>
      </c>
      <c r="L19712" t="s">
        <v>1357</v>
      </c>
    </row>
    <row r="19713" spans="1:12">
      <c r="H19713" t="s">
        <v>27045</v>
      </c>
      <c r="I19713" t="s">
        <v>1357</v>
      </c>
      <c r="J19713" t="s">
        <v>1357</v>
      </c>
      <c r="K19713" t="s">
        <v>1357</v>
      </c>
      <c r="L19713" t="s">
        <v>1357</v>
      </c>
    </row>
    <row r="19714" spans="1:12">
      <c r="A19714" t="s">
        <v>11927</v>
      </c>
      <c r="B19714">
        <f>HYPERLINK("https://android.googlesource.com/platform/cts/+/a7a959f780cfad1a516ae4e586eb65545d873c09", "a7a959f780cfad1a516ae4e586eb65545d873c09")</f>
        <v>0</v>
      </c>
      <c r="C19714">
        <f>HYPERLINK("https://android.googlesource.com/platform/cts/+/0af934d8b036620e2df481bf181fcb3228f6d1d9", "0af934d8b036620e2df481bf181fcb3228f6d1d9")</f>
        <v>0</v>
      </c>
      <c r="D19714" t="s">
        <v>12525</v>
      </c>
      <c r="E19714" t="s">
        <v>14424</v>
      </c>
      <c r="F19714" t="s">
        <v>17259</v>
      </c>
      <c r="G19714" t="s">
        <v>19805</v>
      </c>
      <c r="H19714" t="s">
        <v>27046</v>
      </c>
      <c r="I19714" t="s">
        <v>1358</v>
      </c>
      <c r="J19714" t="s">
        <v>1358</v>
      </c>
      <c r="K19714" t="s">
        <v>1358</v>
      </c>
      <c r="L19714" t="s">
        <v>1358</v>
      </c>
    </row>
    <row r="19715" spans="1:12">
      <c r="A19715" t="s">
        <v>11928</v>
      </c>
      <c r="B19715">
        <f>HYPERLINK("https://android.googlesource.com/platform/cts/+/941802f090caaed5f8e133ba5592c472a36262b5", "941802f090caaed5f8e133ba5592c472a36262b5")</f>
        <v>0</v>
      </c>
      <c r="C19715">
        <f>HYPERLINK("https://android.googlesource.com/platform/cts/+/509570b209623133796ee7818110816a95895d31", "509570b209623133796ee7818110816a95895d31")</f>
        <v>0</v>
      </c>
      <c r="D19715" t="s">
        <v>12526</v>
      </c>
      <c r="E19715" t="s">
        <v>14425</v>
      </c>
      <c r="F19715" t="s">
        <v>17260</v>
      </c>
      <c r="G19715" t="s">
        <v>19838</v>
      </c>
      <c r="H19715" t="s">
        <v>27047</v>
      </c>
      <c r="I19715" t="s">
        <v>1357</v>
      </c>
      <c r="J19715" t="s">
        <v>1357</v>
      </c>
      <c r="K19715" t="s">
        <v>1357</v>
      </c>
      <c r="L19715" t="s">
        <v>1357</v>
      </c>
    </row>
    <row r="19716" spans="1:12">
      <c r="A19716" t="s">
        <v>11929</v>
      </c>
      <c r="B19716">
        <f>HYPERLINK("https://android.googlesource.com/platform/cts/+/17c590b92beacd1b50fbe8d571e003003c819c52", "17c590b92beacd1b50fbe8d571e003003c819c52")</f>
        <v>0</v>
      </c>
      <c r="C19716">
        <f>HYPERLINK("https://android.googlesource.com/platform/cts/+/37452f5883d928446f949121374200820eb9e73d", "37452f5883d928446f949121374200820eb9e73d")</f>
        <v>0</v>
      </c>
      <c r="D19716" t="s">
        <v>12527</v>
      </c>
      <c r="E19716" t="s">
        <v>14426</v>
      </c>
      <c r="F19716" t="s">
        <v>17261</v>
      </c>
      <c r="G19716" t="s">
        <v>19839</v>
      </c>
      <c r="H19716" t="s">
        <v>27048</v>
      </c>
      <c r="I19716" t="s">
        <v>1357</v>
      </c>
      <c r="J19716" t="s">
        <v>1357</v>
      </c>
      <c r="K19716" t="s">
        <v>1357</v>
      </c>
      <c r="L19716" t="s">
        <v>1357</v>
      </c>
    </row>
    <row r="19717" spans="1:12">
      <c r="A19717" t="s">
        <v>11930</v>
      </c>
      <c r="B19717">
        <f>HYPERLINK("https://android.googlesource.com/platform/cts/+/02ff08fd13eb7156c564056bdf5966fb11e6b00f", "02ff08fd13eb7156c564056bdf5966fb11e6b00f")</f>
        <v>0</v>
      </c>
      <c r="C19717">
        <f>HYPERLINK("https://android.googlesource.com/platform/cts/+/c6ed0ad07c0fad9d86e21dd5b3b29203f790a2d2", "c6ed0ad07c0fad9d86e21dd5b3b29203f790a2d2")</f>
        <v>0</v>
      </c>
      <c r="D19717" t="s">
        <v>12412</v>
      </c>
      <c r="E19717" t="s">
        <v>14427</v>
      </c>
      <c r="F19717" t="s">
        <v>17004</v>
      </c>
      <c r="G19717" t="s">
        <v>19606</v>
      </c>
      <c r="H19717" t="s">
        <v>25491</v>
      </c>
      <c r="I19717" t="s">
        <v>1357</v>
      </c>
      <c r="J19717" t="s">
        <v>1357</v>
      </c>
      <c r="K19717" t="s">
        <v>1357</v>
      </c>
      <c r="L19717" t="s">
        <v>1357</v>
      </c>
    </row>
    <row r="19718" spans="1:12">
      <c r="H19718" t="s">
        <v>25492</v>
      </c>
      <c r="I19718" t="s">
        <v>1357</v>
      </c>
      <c r="J19718" t="s">
        <v>1357</v>
      </c>
      <c r="K19718" t="s">
        <v>1357</v>
      </c>
      <c r="L19718" t="s">
        <v>1357</v>
      </c>
    </row>
    <row r="19719" spans="1:12">
      <c r="A19719" t="s">
        <v>11931</v>
      </c>
      <c r="B19719">
        <f>HYPERLINK("https://android.googlesource.com/platform/cts/+/06c709dddef8f5d21eff0a83117ab04a4be93aa0", "06c709dddef8f5d21eff0a83117ab04a4be93aa0")</f>
        <v>0</v>
      </c>
      <c r="C19719">
        <f>HYPERLINK("https://android.googlesource.com/platform/cts/+/83cc2c57e618247d676f1922a859888cadb2fcf5", "83cc2c57e618247d676f1922a859888cadb2fcf5")</f>
        <v>0</v>
      </c>
      <c r="D19719" t="s">
        <v>12528</v>
      </c>
      <c r="E19719" t="s">
        <v>14428</v>
      </c>
      <c r="F19719" t="s">
        <v>17262</v>
      </c>
      <c r="G19719" t="s">
        <v>18745</v>
      </c>
      <c r="H19719" t="s">
        <v>27049</v>
      </c>
      <c r="I19719" t="s">
        <v>1358</v>
      </c>
      <c r="J19719" t="s">
        <v>1358</v>
      </c>
      <c r="K19719" t="s">
        <v>1358</v>
      </c>
      <c r="L19719" t="s">
        <v>1358</v>
      </c>
    </row>
    <row r="19720" spans="1:12">
      <c r="H19720" t="s">
        <v>27050</v>
      </c>
      <c r="I19720" t="s">
        <v>1358</v>
      </c>
      <c r="J19720" t="s">
        <v>1358</v>
      </c>
      <c r="K19720" t="s">
        <v>1358</v>
      </c>
      <c r="L19720" t="s">
        <v>1358</v>
      </c>
    </row>
    <row r="19721" spans="1:12">
      <c r="H19721" t="s">
        <v>25898</v>
      </c>
      <c r="I19721" t="s">
        <v>1358</v>
      </c>
      <c r="J19721" t="s">
        <v>1358</v>
      </c>
      <c r="K19721" t="s">
        <v>1358</v>
      </c>
      <c r="L19721" t="s">
        <v>1358</v>
      </c>
    </row>
    <row r="19722" spans="1:12">
      <c r="H19722" t="s">
        <v>25899</v>
      </c>
      <c r="I19722" t="s">
        <v>1358</v>
      </c>
      <c r="J19722" t="s">
        <v>1358</v>
      </c>
      <c r="K19722" t="s">
        <v>1358</v>
      </c>
      <c r="L19722" t="s">
        <v>1358</v>
      </c>
    </row>
    <row r="19723" spans="1:12">
      <c r="H19723" t="s">
        <v>25900</v>
      </c>
      <c r="I19723" t="s">
        <v>1358</v>
      </c>
      <c r="J19723" t="s">
        <v>1358</v>
      </c>
      <c r="K19723" t="s">
        <v>1358</v>
      </c>
      <c r="L19723" t="s">
        <v>1358</v>
      </c>
    </row>
    <row r="19724" spans="1:12">
      <c r="A19724" t="s">
        <v>11932</v>
      </c>
      <c r="B19724">
        <f>HYPERLINK("https://android.googlesource.com/platform/cts/+/bb16c6856ab5b87c1292c01b70fffc158c515b72", "bb16c6856ab5b87c1292c01b70fffc158c515b72")</f>
        <v>0</v>
      </c>
      <c r="C19724">
        <f>HYPERLINK("https://android.googlesource.com/platform/cts/+/b9e4899889af5e08aba23c06506a5d14ef73c816", "b9e4899889af5e08aba23c06506a5d14ef73c816")</f>
        <v>0</v>
      </c>
      <c r="D19724" t="s">
        <v>12529</v>
      </c>
      <c r="E19724" t="s">
        <v>14429</v>
      </c>
      <c r="F19724" t="s">
        <v>17263</v>
      </c>
      <c r="G19724" t="s">
        <v>19840</v>
      </c>
      <c r="H19724" t="s">
        <v>27051</v>
      </c>
      <c r="I19724" t="s">
        <v>1357</v>
      </c>
      <c r="J19724" t="s">
        <v>1357</v>
      </c>
      <c r="K19724" t="s">
        <v>1357</v>
      </c>
      <c r="L19724" t="s">
        <v>1357</v>
      </c>
    </row>
    <row r="19725" spans="1:12">
      <c r="A19725" t="s">
        <v>11933</v>
      </c>
      <c r="B19725">
        <f>HYPERLINK("https://android.googlesource.com/platform/cts/+/1b5565481792cec88afc0cc62b9e042b1b533ec3", "1b5565481792cec88afc0cc62b9e042b1b533ec3")</f>
        <v>0</v>
      </c>
      <c r="C19725">
        <f>HYPERLINK("https://android.googlesource.com/platform/cts/+/f0ba81a3e629921a2286c25f35c3efa3124f762c", "f0ba81a3e629921a2286c25f35c3efa3124f762c")</f>
        <v>0</v>
      </c>
      <c r="D19725" t="s">
        <v>12385</v>
      </c>
      <c r="E19725" t="s">
        <v>14430</v>
      </c>
      <c r="F19725" t="s">
        <v>17264</v>
      </c>
      <c r="G19725" t="s">
        <v>19841</v>
      </c>
      <c r="H19725" t="s">
        <v>27052</v>
      </c>
      <c r="I19725" t="s">
        <v>1358</v>
      </c>
      <c r="J19725" t="s">
        <v>1358</v>
      </c>
      <c r="K19725" t="s">
        <v>1358</v>
      </c>
      <c r="L19725" t="s">
        <v>1358</v>
      </c>
    </row>
    <row r="19726" spans="1:12">
      <c r="H19726" t="s">
        <v>27053</v>
      </c>
      <c r="I19726" t="s">
        <v>1358</v>
      </c>
      <c r="J19726" t="s">
        <v>1358</v>
      </c>
      <c r="K19726" t="s">
        <v>1358</v>
      </c>
      <c r="L19726" t="s">
        <v>1358</v>
      </c>
    </row>
    <row r="19727" spans="1:12">
      <c r="H19727" t="s">
        <v>27054</v>
      </c>
      <c r="I19727" t="s">
        <v>1358</v>
      </c>
      <c r="J19727" t="s">
        <v>1358</v>
      </c>
      <c r="K19727" t="s">
        <v>1358</v>
      </c>
      <c r="L19727" t="s">
        <v>1358</v>
      </c>
    </row>
    <row r="19728" spans="1:12">
      <c r="H19728" t="s">
        <v>27055</v>
      </c>
      <c r="I19728" t="s">
        <v>1358</v>
      </c>
      <c r="J19728" t="s">
        <v>1358</v>
      </c>
      <c r="K19728" t="s">
        <v>1358</v>
      </c>
      <c r="L19728" t="s">
        <v>1358</v>
      </c>
    </row>
    <row r="19729" spans="1:13">
      <c r="H19729" t="s">
        <v>27056</v>
      </c>
      <c r="I19729" t="s">
        <v>1358</v>
      </c>
      <c r="J19729" t="s">
        <v>1358</v>
      </c>
      <c r="K19729" t="s">
        <v>1358</v>
      </c>
      <c r="L19729" t="s">
        <v>1358</v>
      </c>
    </row>
    <row r="19730" spans="1:13">
      <c r="H19730" t="s">
        <v>27057</v>
      </c>
      <c r="I19730" t="s">
        <v>1358</v>
      </c>
      <c r="J19730" t="s">
        <v>1358</v>
      </c>
      <c r="K19730" t="s">
        <v>1358</v>
      </c>
      <c r="L19730" t="s">
        <v>1358</v>
      </c>
    </row>
    <row r="19731" spans="1:13">
      <c r="H19731" t="s">
        <v>27058</v>
      </c>
      <c r="I19731" t="s">
        <v>1358</v>
      </c>
      <c r="J19731" t="s">
        <v>1358</v>
      </c>
      <c r="K19731" t="s">
        <v>1358</v>
      </c>
      <c r="L19731" t="s">
        <v>1358</v>
      </c>
    </row>
    <row r="19732" spans="1:13">
      <c r="H19732" t="s">
        <v>27059</v>
      </c>
      <c r="I19732" t="s">
        <v>1358</v>
      </c>
      <c r="J19732" t="s">
        <v>1358</v>
      </c>
      <c r="K19732" t="s">
        <v>1358</v>
      </c>
      <c r="L19732" t="s">
        <v>1358</v>
      </c>
    </row>
    <row r="19733" spans="1:13">
      <c r="H19733" t="s">
        <v>27060</v>
      </c>
      <c r="I19733" t="s">
        <v>1358</v>
      </c>
      <c r="J19733" t="s">
        <v>1358</v>
      </c>
      <c r="K19733" t="s">
        <v>1358</v>
      </c>
      <c r="L19733" t="s">
        <v>1358</v>
      </c>
    </row>
    <row r="19734" spans="1:13">
      <c r="H19734" t="s">
        <v>27061</v>
      </c>
      <c r="I19734" t="s">
        <v>1358</v>
      </c>
      <c r="J19734" t="s">
        <v>1358</v>
      </c>
      <c r="K19734" t="s">
        <v>1358</v>
      </c>
      <c r="L19734" t="s">
        <v>1358</v>
      </c>
    </row>
    <row r="19735" spans="1:13">
      <c r="A19735" t="s">
        <v>11934</v>
      </c>
      <c r="B19735">
        <f>HYPERLINK("https://android.googlesource.com/platform/cts/+/21df2b7e1a5b338dc0de421a09cd6c462ad76ac5", "21df2b7e1a5b338dc0de421a09cd6c462ad76ac5")</f>
        <v>0</v>
      </c>
      <c r="C19735">
        <f>HYPERLINK("https://android.googlesource.com/platform/cts/+/c8a8d5e01103bcdd2e675a02c5b2c56644bfbc85", "c8a8d5e01103bcdd2e675a02c5b2c56644bfbc85")</f>
        <v>0</v>
      </c>
      <c r="D19735" t="s">
        <v>12385</v>
      </c>
      <c r="E19735" t="s">
        <v>14431</v>
      </c>
      <c r="F19735" t="s">
        <v>17265</v>
      </c>
      <c r="G19735" t="s">
        <v>19842</v>
      </c>
      <c r="H19735" t="s">
        <v>27062</v>
      </c>
      <c r="I19735" t="s">
        <v>1358</v>
      </c>
      <c r="J19735" t="s">
        <v>1358</v>
      </c>
      <c r="K19735" t="s">
        <v>1358</v>
      </c>
      <c r="L19735" t="s">
        <v>1358</v>
      </c>
    </row>
    <row r="19736" spans="1:13">
      <c r="A19736" t="s">
        <v>11935</v>
      </c>
      <c r="B19736">
        <f>HYPERLINK("https://android.googlesource.com/platform/cts/+/ab9c6ce3df5f7aa4865f6f6835ff2a32a36d734f", "ab9c6ce3df5f7aa4865f6f6835ff2a32a36d734f")</f>
        <v>0</v>
      </c>
      <c r="C19736">
        <f>HYPERLINK("https://android.googlesource.com/platform/cts/+/03a52d7ec45303cc44889a6bd3201ae0b34c6b79", "03a52d7ec45303cc44889a6bd3201ae0b34c6b79")</f>
        <v>0</v>
      </c>
      <c r="D19736" t="s">
        <v>12530</v>
      </c>
      <c r="E19736" t="s">
        <v>14432</v>
      </c>
      <c r="F19736" t="s">
        <v>17266</v>
      </c>
      <c r="G19736" t="s">
        <v>19843</v>
      </c>
      <c r="H19736" t="s">
        <v>27063</v>
      </c>
      <c r="I19736" t="s">
        <v>1357</v>
      </c>
      <c r="J19736" t="s">
        <v>1357</v>
      </c>
      <c r="K19736" t="s">
        <v>1357</v>
      </c>
      <c r="L19736" t="s">
        <v>1357</v>
      </c>
    </row>
    <row r="19737" spans="1:13">
      <c r="H19737" t="s">
        <v>27064</v>
      </c>
      <c r="I19737" t="s">
        <v>1357</v>
      </c>
      <c r="J19737" t="s">
        <v>1357</v>
      </c>
      <c r="K19737" t="s">
        <v>1357</v>
      </c>
      <c r="L19737" t="s">
        <v>1357</v>
      </c>
    </row>
    <row r="19738" spans="1:13">
      <c r="A19738" t="s">
        <v>11936</v>
      </c>
      <c r="B19738">
        <f>HYPERLINK("https://android.googlesource.com/platform/cts/+/2b0be2ff69b93ec81830a17733cd2cf25aea7468", "2b0be2ff69b93ec81830a17733cd2cf25aea7468")</f>
        <v>0</v>
      </c>
      <c r="C19738">
        <f>HYPERLINK("https://android.googlesource.com/platform/cts/+/ebe211e9a280b5594d7f7a292f8077aa580f2ceb", "ebe211e9a280b5594d7f7a292f8077aa580f2ceb")</f>
        <v>0</v>
      </c>
      <c r="D19738" t="s">
        <v>12531</v>
      </c>
      <c r="E19738" t="s">
        <v>14433</v>
      </c>
      <c r="F19738" t="s">
        <v>17267</v>
      </c>
      <c r="G19738" t="s">
        <v>19844</v>
      </c>
      <c r="H19738" t="s">
        <v>27065</v>
      </c>
      <c r="I19738" t="s">
        <v>1357</v>
      </c>
      <c r="J19738" t="s">
        <v>1357</v>
      </c>
      <c r="K19738" t="s">
        <v>1357</v>
      </c>
      <c r="L19738" t="s">
        <v>1357</v>
      </c>
    </row>
    <row r="19739" spans="1:13">
      <c r="A19739" t="s">
        <v>11937</v>
      </c>
      <c r="B19739">
        <f>HYPERLINK("https://android.googlesource.com/platform/cts/+/0c8c80fecd981aa70237a7c0eeae8165e8c37cce", "0c8c80fecd981aa70237a7c0eeae8165e8c37cce")</f>
        <v>0</v>
      </c>
      <c r="C19739">
        <f>HYPERLINK("https://android.googlesource.com/platform/cts/+/7153054c2b49afe5650a2ff2910d3f47d69cc81a", "7153054c2b49afe5650a2ff2910d3f47d69cc81a")</f>
        <v>0</v>
      </c>
      <c r="D19739" t="s">
        <v>12531</v>
      </c>
      <c r="E19739" t="s">
        <v>14434</v>
      </c>
      <c r="F19739" t="s">
        <v>17267</v>
      </c>
      <c r="G19739" t="s">
        <v>19844</v>
      </c>
      <c r="H19739" t="s">
        <v>27065</v>
      </c>
      <c r="I19739" t="s">
        <v>1357</v>
      </c>
      <c r="J19739" t="s">
        <v>1357</v>
      </c>
      <c r="K19739" t="s">
        <v>1357</v>
      </c>
      <c r="L19739" t="s">
        <v>1357</v>
      </c>
      <c r="M19739" t="s">
        <v>27499</v>
      </c>
    </row>
    <row r="19740" spans="1:13">
      <c r="A19740" t="s">
        <v>11938</v>
      </c>
      <c r="B19740">
        <f>HYPERLINK("https://android.googlesource.com/platform/cts/+/185d45a7784406393b1522c1231521b97eaf9ef6", "185d45a7784406393b1522c1231521b97eaf9ef6")</f>
        <v>0</v>
      </c>
      <c r="C19740">
        <f>HYPERLINK("https://android.googlesource.com/platform/cts/+/b46b1248d41e62f41f4206468ca0518ddae01af9", "b46b1248d41e62f41f4206468ca0518ddae01af9")</f>
        <v>0</v>
      </c>
      <c r="D19740" t="s">
        <v>12088</v>
      </c>
      <c r="E19740" t="s">
        <v>14435</v>
      </c>
      <c r="F19740" t="s">
        <v>17268</v>
      </c>
      <c r="G19740" t="s">
        <v>19845</v>
      </c>
      <c r="H19740" t="s">
        <v>27066</v>
      </c>
      <c r="I19740" t="s">
        <v>1357</v>
      </c>
      <c r="J19740" t="s">
        <v>1357</v>
      </c>
      <c r="K19740" t="s">
        <v>1357</v>
      </c>
      <c r="L19740" t="s">
        <v>1357</v>
      </c>
    </row>
    <row r="19741" spans="1:13">
      <c r="H19741" t="s">
        <v>27067</v>
      </c>
      <c r="I19741" t="s">
        <v>1357</v>
      </c>
      <c r="J19741" t="s">
        <v>1357</v>
      </c>
      <c r="K19741" t="s">
        <v>1357</v>
      </c>
      <c r="L19741" t="s">
        <v>1357</v>
      </c>
    </row>
    <row r="19742" spans="1:13">
      <c r="H19742" t="s">
        <v>27068</v>
      </c>
      <c r="I19742" t="s">
        <v>1357</v>
      </c>
      <c r="J19742" t="s">
        <v>1357</v>
      </c>
      <c r="K19742" t="s">
        <v>1357</v>
      </c>
      <c r="L19742" t="s">
        <v>1357</v>
      </c>
    </row>
    <row r="19743" spans="1:13">
      <c r="H19743" t="s">
        <v>27069</v>
      </c>
      <c r="I19743" t="s">
        <v>1357</v>
      </c>
      <c r="J19743" t="s">
        <v>1357</v>
      </c>
      <c r="K19743" t="s">
        <v>1357</v>
      </c>
      <c r="L19743" t="s">
        <v>1357</v>
      </c>
    </row>
    <row r="19744" spans="1:13">
      <c r="H19744" t="s">
        <v>27070</v>
      </c>
      <c r="I19744" t="s">
        <v>1357</v>
      </c>
      <c r="J19744" t="s">
        <v>1357</v>
      </c>
      <c r="K19744" t="s">
        <v>1357</v>
      </c>
      <c r="L19744" t="s">
        <v>1357</v>
      </c>
    </row>
    <row r="19745" spans="1:12">
      <c r="H19745" t="s">
        <v>27071</v>
      </c>
      <c r="I19745" t="s">
        <v>1357</v>
      </c>
      <c r="J19745" t="s">
        <v>1357</v>
      </c>
      <c r="K19745" t="s">
        <v>1357</v>
      </c>
      <c r="L19745" t="s">
        <v>1357</v>
      </c>
    </row>
    <row r="19746" spans="1:12">
      <c r="H19746" t="s">
        <v>27072</v>
      </c>
      <c r="I19746" t="s">
        <v>1357</v>
      </c>
      <c r="J19746" t="s">
        <v>1357</v>
      </c>
      <c r="K19746" t="s">
        <v>1357</v>
      </c>
      <c r="L19746" t="s">
        <v>1357</v>
      </c>
    </row>
    <row r="19747" spans="1:12">
      <c r="H19747" t="s">
        <v>27073</v>
      </c>
      <c r="I19747" t="s">
        <v>1357</v>
      </c>
      <c r="J19747" t="s">
        <v>1357</v>
      </c>
      <c r="K19747" t="s">
        <v>1357</v>
      </c>
      <c r="L19747" t="s">
        <v>1357</v>
      </c>
    </row>
    <row r="19748" spans="1:12">
      <c r="H19748" t="s">
        <v>27074</v>
      </c>
      <c r="I19748" t="s">
        <v>1357</v>
      </c>
      <c r="J19748" t="s">
        <v>1357</v>
      </c>
      <c r="K19748" t="s">
        <v>1357</v>
      </c>
      <c r="L19748" t="s">
        <v>1357</v>
      </c>
    </row>
    <row r="19749" spans="1:12">
      <c r="H19749" t="s">
        <v>27075</v>
      </c>
      <c r="I19749" t="s">
        <v>1357</v>
      </c>
      <c r="J19749" t="s">
        <v>1357</v>
      </c>
      <c r="K19749" t="s">
        <v>1357</v>
      </c>
      <c r="L19749" t="s">
        <v>1357</v>
      </c>
    </row>
    <row r="19750" spans="1:12">
      <c r="H19750" t="s">
        <v>27076</v>
      </c>
      <c r="I19750" t="s">
        <v>1357</v>
      </c>
      <c r="J19750" t="s">
        <v>1357</v>
      </c>
      <c r="K19750" t="s">
        <v>1357</v>
      </c>
      <c r="L19750" t="s">
        <v>1357</v>
      </c>
    </row>
    <row r="19751" spans="1:12">
      <c r="H19751" t="s">
        <v>27077</v>
      </c>
      <c r="I19751" t="s">
        <v>1357</v>
      </c>
      <c r="J19751" t="s">
        <v>1357</v>
      </c>
      <c r="K19751" t="s">
        <v>1357</v>
      </c>
      <c r="L19751" t="s">
        <v>1357</v>
      </c>
    </row>
    <row r="19752" spans="1:12">
      <c r="H19752" t="s">
        <v>27078</v>
      </c>
      <c r="I19752" t="s">
        <v>1357</v>
      </c>
      <c r="J19752" t="s">
        <v>1357</v>
      </c>
      <c r="K19752" t="s">
        <v>1357</v>
      </c>
      <c r="L19752" t="s">
        <v>1357</v>
      </c>
    </row>
    <row r="19753" spans="1:12">
      <c r="H19753" t="s">
        <v>27079</v>
      </c>
      <c r="I19753" t="s">
        <v>1357</v>
      </c>
      <c r="J19753" t="s">
        <v>1357</v>
      </c>
      <c r="K19753" t="s">
        <v>1357</v>
      </c>
      <c r="L19753" t="s">
        <v>1357</v>
      </c>
    </row>
    <row r="19754" spans="1:12">
      <c r="H19754" t="s">
        <v>27080</v>
      </c>
      <c r="I19754" t="s">
        <v>1357</v>
      </c>
      <c r="J19754" t="s">
        <v>1357</v>
      </c>
      <c r="K19754" t="s">
        <v>1357</v>
      </c>
      <c r="L19754" t="s">
        <v>1357</v>
      </c>
    </row>
    <row r="19755" spans="1:12">
      <c r="F19755" t="s">
        <v>17269</v>
      </c>
      <c r="G19755" t="s">
        <v>19846</v>
      </c>
      <c r="H19755" t="s">
        <v>8337</v>
      </c>
      <c r="I19755" t="s">
        <v>1357</v>
      </c>
      <c r="J19755" t="s">
        <v>1357</v>
      </c>
      <c r="K19755" t="s">
        <v>1357</v>
      </c>
      <c r="L19755" t="s">
        <v>1357</v>
      </c>
    </row>
    <row r="19756" spans="1:12">
      <c r="H19756" t="s">
        <v>25082</v>
      </c>
      <c r="I19756" t="s">
        <v>1357</v>
      </c>
      <c r="J19756" t="s">
        <v>1357</v>
      </c>
      <c r="K19756" t="s">
        <v>1357</v>
      </c>
      <c r="L19756" t="s">
        <v>1357</v>
      </c>
    </row>
    <row r="19757" spans="1:12">
      <c r="A19757" t="s">
        <v>11939</v>
      </c>
      <c r="B19757">
        <f>HYPERLINK("https://android.googlesource.com/platform/cts/+/752cb7b2874195c9997eab3cb6797b2664a7073b", "752cb7b2874195c9997eab3cb6797b2664a7073b")</f>
        <v>0</v>
      </c>
      <c r="C19757">
        <f>HYPERLINK("https://android.googlesource.com/platform/cts/+/e9b482e3505c00147ce6ac53ce8fdc196c53d91b", "e9b482e3505c00147ce6ac53ce8fdc196c53d91b")</f>
        <v>0</v>
      </c>
      <c r="D19757" t="s">
        <v>12530</v>
      </c>
      <c r="E19757" t="s">
        <v>14436</v>
      </c>
      <c r="F19757" t="s">
        <v>17266</v>
      </c>
      <c r="G19757" t="s">
        <v>19843</v>
      </c>
      <c r="H19757" t="s">
        <v>27063</v>
      </c>
      <c r="I19757" t="s">
        <v>1357</v>
      </c>
      <c r="J19757" t="s">
        <v>1357</v>
      </c>
      <c r="K19757" t="s">
        <v>1357</v>
      </c>
      <c r="L19757" t="s">
        <v>1357</v>
      </c>
    </row>
    <row r="19758" spans="1:12">
      <c r="A19758" t="s">
        <v>11940</v>
      </c>
      <c r="B19758">
        <f>HYPERLINK("https://android.googlesource.com/platform/cts/+/eadd9425a182a586dfba43c7600c54134bf1e1f7", "eadd9425a182a586dfba43c7600c54134bf1e1f7")</f>
        <v>0</v>
      </c>
      <c r="C19758">
        <f>HYPERLINK("https://android.googlesource.com/platform/cts/+/591bf009797df5b28efd75a3b9dd5b71b19787fc", "591bf009797df5b28efd75a3b9dd5b71b19787fc")</f>
        <v>0</v>
      </c>
      <c r="D19758" t="s">
        <v>12326</v>
      </c>
      <c r="E19758" t="s">
        <v>14437</v>
      </c>
      <c r="F19758" t="s">
        <v>16900</v>
      </c>
      <c r="G19758" t="s">
        <v>19512</v>
      </c>
      <c r="H19758" t="s">
        <v>27081</v>
      </c>
      <c r="I19758" t="s">
        <v>1357</v>
      </c>
      <c r="J19758" t="s">
        <v>1357</v>
      </c>
      <c r="K19758" t="s">
        <v>1357</v>
      </c>
      <c r="L19758" t="s">
        <v>1357</v>
      </c>
    </row>
    <row r="19759" spans="1:12">
      <c r="A19759" t="s">
        <v>11941</v>
      </c>
      <c r="B19759">
        <f>HYPERLINK("https://android.googlesource.com/platform/cts/+/75cc14ecd91def3cf7c58b0a458894d9078bf2d1", "75cc14ecd91def3cf7c58b0a458894d9078bf2d1")</f>
        <v>0</v>
      </c>
      <c r="C19759">
        <f>HYPERLINK("https://android.googlesource.com/platform/cts/+/711962bc725fb40f1804ba11c53406305993e8a7", "711962bc725fb40f1804ba11c53406305993e8a7")</f>
        <v>0</v>
      </c>
      <c r="D19759" t="s">
        <v>12326</v>
      </c>
      <c r="E19759" t="s">
        <v>14437</v>
      </c>
      <c r="F19759" t="s">
        <v>16900</v>
      </c>
      <c r="G19759" t="s">
        <v>19512</v>
      </c>
      <c r="H19759" t="s">
        <v>27081</v>
      </c>
      <c r="I19759" t="s">
        <v>1357</v>
      </c>
      <c r="J19759" t="s">
        <v>1357</v>
      </c>
      <c r="K19759" t="s">
        <v>1357</v>
      </c>
      <c r="L19759" t="s">
        <v>1357</v>
      </c>
    </row>
    <row r="19760" spans="1:12">
      <c r="A19760" t="s">
        <v>11942</v>
      </c>
      <c r="B19760">
        <f>HYPERLINK("https://android.googlesource.com/platform/cts/+/38747f0c51699f5ffeaa239a16dcc85ad73d84a9", "38747f0c51699f5ffeaa239a16dcc85ad73d84a9")</f>
        <v>0</v>
      </c>
      <c r="C19760">
        <f>HYPERLINK("https://android.googlesource.com/platform/cts/+/71f53fbce32845d5a839f93ddf8b28dd432dd827", "71f53fbce32845d5a839f93ddf8b28dd432dd827")</f>
        <v>0</v>
      </c>
      <c r="D19760" t="s">
        <v>12385</v>
      </c>
      <c r="E19760" t="s">
        <v>14438</v>
      </c>
      <c r="F19760" t="s">
        <v>17262</v>
      </c>
      <c r="G19760" t="s">
        <v>18745</v>
      </c>
      <c r="H19760" t="s">
        <v>27049</v>
      </c>
      <c r="I19760" t="s">
        <v>1358</v>
      </c>
      <c r="J19760" t="s">
        <v>1358</v>
      </c>
      <c r="K19760" t="s">
        <v>1358</v>
      </c>
      <c r="L19760" t="s">
        <v>1358</v>
      </c>
    </row>
    <row r="19761" spans="1:13">
      <c r="H19761" t="s">
        <v>27050</v>
      </c>
      <c r="I19761" t="s">
        <v>1358</v>
      </c>
      <c r="J19761" t="s">
        <v>1358</v>
      </c>
      <c r="K19761" t="s">
        <v>1358</v>
      </c>
      <c r="L19761" t="s">
        <v>1358</v>
      </c>
    </row>
    <row r="19762" spans="1:13">
      <c r="H19762" t="s">
        <v>25898</v>
      </c>
      <c r="I19762" t="s">
        <v>1358</v>
      </c>
      <c r="J19762" t="s">
        <v>1358</v>
      </c>
      <c r="K19762" t="s">
        <v>1358</v>
      </c>
      <c r="L19762" t="s">
        <v>1358</v>
      </c>
      <c r="M19762" t="s">
        <v>27499</v>
      </c>
    </row>
    <row r="19763" spans="1:13">
      <c r="H19763" t="s">
        <v>25899</v>
      </c>
      <c r="I19763" t="s">
        <v>1358</v>
      </c>
      <c r="J19763" t="s">
        <v>1358</v>
      </c>
      <c r="K19763" t="s">
        <v>1358</v>
      </c>
      <c r="L19763" t="s">
        <v>1358</v>
      </c>
    </row>
    <row r="19764" spans="1:13">
      <c r="H19764" t="s">
        <v>25900</v>
      </c>
      <c r="I19764" t="s">
        <v>1358</v>
      </c>
      <c r="J19764" t="s">
        <v>1358</v>
      </c>
      <c r="K19764" t="s">
        <v>1358</v>
      </c>
      <c r="L19764" t="s">
        <v>1358</v>
      </c>
    </row>
    <row r="19765" spans="1:13">
      <c r="A19765" t="s">
        <v>11943</v>
      </c>
      <c r="B19765">
        <f>HYPERLINK("https://android.googlesource.com/platform/cts/+/aa24dbbc34a6303309633d26cbdd8a4c15cda538", "aa24dbbc34a6303309633d26cbdd8a4c15cda538")</f>
        <v>0</v>
      </c>
      <c r="C19765">
        <f>HYPERLINK("https://android.googlesource.com/platform/cts/+/dae05fd867e0b5f82a1d514a89f34ef1a6ca9f25", "dae05fd867e0b5f82a1d514a89f34ef1a6ca9f25")</f>
        <v>0</v>
      </c>
      <c r="D19765" t="s">
        <v>12532</v>
      </c>
      <c r="E19765" t="s">
        <v>14439</v>
      </c>
      <c r="F19765" t="s">
        <v>17217</v>
      </c>
      <c r="G19765" t="s">
        <v>19798</v>
      </c>
      <c r="H19765" t="s">
        <v>27082</v>
      </c>
      <c r="I19765" t="s">
        <v>1357</v>
      </c>
      <c r="J19765" t="s">
        <v>1357</v>
      </c>
      <c r="K19765" t="s">
        <v>1357</v>
      </c>
      <c r="L19765" t="s">
        <v>1357</v>
      </c>
    </row>
    <row r="19766" spans="1:13">
      <c r="A19766" t="s">
        <v>11944</v>
      </c>
      <c r="B19766">
        <f>HYPERLINK("https://android.googlesource.com/platform/cts/+/1442dfde53b38baf9e07a443ffcee51cd0df5c63", "1442dfde53b38baf9e07a443ffcee51cd0df5c63")</f>
        <v>0</v>
      </c>
      <c r="C19766">
        <f>HYPERLINK("https://android.googlesource.com/platform/cts/+/d4ab0afefdf79d406097a73ac5ecd54e61e1caae", "d4ab0afefdf79d406097a73ac5ecd54e61e1caae")</f>
        <v>0</v>
      </c>
      <c r="D19766" t="s">
        <v>12088</v>
      </c>
      <c r="E19766" t="s">
        <v>14440</v>
      </c>
      <c r="F19766" t="s">
        <v>17268</v>
      </c>
      <c r="G19766" t="s">
        <v>19845</v>
      </c>
      <c r="H19766" t="s">
        <v>27066</v>
      </c>
      <c r="I19766" t="s">
        <v>1357</v>
      </c>
      <c r="J19766" t="s">
        <v>1357</v>
      </c>
      <c r="K19766" t="s">
        <v>1357</v>
      </c>
      <c r="L19766" t="s">
        <v>1357</v>
      </c>
    </row>
    <row r="19767" spans="1:13">
      <c r="H19767" t="s">
        <v>27067</v>
      </c>
      <c r="I19767" t="s">
        <v>1357</v>
      </c>
      <c r="J19767" t="s">
        <v>1357</v>
      </c>
      <c r="K19767" t="s">
        <v>1357</v>
      </c>
      <c r="L19767" t="s">
        <v>1357</v>
      </c>
    </row>
    <row r="19768" spans="1:13">
      <c r="H19768" t="s">
        <v>27068</v>
      </c>
      <c r="I19768" t="s">
        <v>1357</v>
      </c>
      <c r="J19768" t="s">
        <v>1357</v>
      </c>
      <c r="K19768" t="s">
        <v>1357</v>
      </c>
      <c r="L19768" t="s">
        <v>1357</v>
      </c>
    </row>
    <row r="19769" spans="1:13">
      <c r="H19769" t="s">
        <v>27069</v>
      </c>
      <c r="I19769" t="s">
        <v>1357</v>
      </c>
      <c r="J19769" t="s">
        <v>1357</v>
      </c>
      <c r="K19769" t="s">
        <v>1357</v>
      </c>
      <c r="L19769" t="s">
        <v>1357</v>
      </c>
    </row>
    <row r="19770" spans="1:13">
      <c r="H19770" t="s">
        <v>27070</v>
      </c>
      <c r="I19770" t="s">
        <v>1357</v>
      </c>
      <c r="J19770" t="s">
        <v>1357</v>
      </c>
      <c r="K19770" t="s">
        <v>1357</v>
      </c>
      <c r="L19770" t="s">
        <v>1357</v>
      </c>
    </row>
    <row r="19771" spans="1:13">
      <c r="H19771" t="s">
        <v>27071</v>
      </c>
      <c r="I19771" t="s">
        <v>1357</v>
      </c>
      <c r="J19771" t="s">
        <v>1357</v>
      </c>
      <c r="K19771" t="s">
        <v>1357</v>
      </c>
      <c r="L19771" t="s">
        <v>1357</v>
      </c>
      <c r="M19771" t="s">
        <v>27499</v>
      </c>
    </row>
    <row r="19772" spans="1:13">
      <c r="H19772" t="s">
        <v>27072</v>
      </c>
      <c r="I19772" t="s">
        <v>1357</v>
      </c>
      <c r="J19772" t="s">
        <v>1357</v>
      </c>
      <c r="K19772" t="s">
        <v>1357</v>
      </c>
      <c r="L19772" t="s">
        <v>1357</v>
      </c>
    </row>
    <row r="19773" spans="1:13">
      <c r="H19773" t="s">
        <v>27073</v>
      </c>
      <c r="I19773" t="s">
        <v>1357</v>
      </c>
      <c r="J19773" t="s">
        <v>1357</v>
      </c>
      <c r="K19773" t="s">
        <v>1357</v>
      </c>
      <c r="L19773" t="s">
        <v>1357</v>
      </c>
    </row>
    <row r="19774" spans="1:13">
      <c r="H19774" t="s">
        <v>27074</v>
      </c>
      <c r="I19774" t="s">
        <v>1357</v>
      </c>
      <c r="J19774" t="s">
        <v>1357</v>
      </c>
      <c r="K19774" t="s">
        <v>1357</v>
      </c>
      <c r="L19774" t="s">
        <v>1357</v>
      </c>
    </row>
    <row r="19775" spans="1:13">
      <c r="H19775" t="s">
        <v>27075</v>
      </c>
      <c r="I19775" t="s">
        <v>1357</v>
      </c>
      <c r="J19775" t="s">
        <v>1357</v>
      </c>
      <c r="K19775" t="s">
        <v>1357</v>
      </c>
      <c r="L19775" t="s">
        <v>1357</v>
      </c>
    </row>
    <row r="19776" spans="1:13">
      <c r="H19776" t="s">
        <v>27076</v>
      </c>
      <c r="I19776" t="s">
        <v>1357</v>
      </c>
      <c r="J19776" t="s">
        <v>1357</v>
      </c>
      <c r="K19776" t="s">
        <v>1357</v>
      </c>
      <c r="L19776" t="s">
        <v>1357</v>
      </c>
    </row>
    <row r="19777" spans="1:13">
      <c r="H19777" t="s">
        <v>27077</v>
      </c>
      <c r="I19777" t="s">
        <v>1357</v>
      </c>
      <c r="J19777" t="s">
        <v>1357</v>
      </c>
      <c r="K19777" t="s">
        <v>1357</v>
      </c>
      <c r="L19777" t="s">
        <v>1357</v>
      </c>
    </row>
    <row r="19778" spans="1:13">
      <c r="H19778" t="s">
        <v>27078</v>
      </c>
      <c r="I19778" t="s">
        <v>1357</v>
      </c>
      <c r="J19778" t="s">
        <v>1357</v>
      </c>
      <c r="K19778" t="s">
        <v>1357</v>
      </c>
      <c r="L19778" t="s">
        <v>1357</v>
      </c>
    </row>
    <row r="19779" spans="1:13">
      <c r="H19779" t="s">
        <v>27079</v>
      </c>
      <c r="I19779" t="s">
        <v>1357</v>
      </c>
      <c r="J19779" t="s">
        <v>1357</v>
      </c>
      <c r="K19779" t="s">
        <v>1357</v>
      </c>
      <c r="L19779" t="s">
        <v>1357</v>
      </c>
    </row>
    <row r="19780" spans="1:13">
      <c r="H19780" t="s">
        <v>27080</v>
      </c>
      <c r="I19780" t="s">
        <v>1357</v>
      </c>
      <c r="J19780" t="s">
        <v>1357</v>
      </c>
      <c r="K19780" t="s">
        <v>1357</v>
      </c>
      <c r="L19780" t="s">
        <v>1357</v>
      </c>
    </row>
    <row r="19781" spans="1:13">
      <c r="F19781" t="s">
        <v>17269</v>
      </c>
      <c r="G19781" t="s">
        <v>19846</v>
      </c>
      <c r="H19781" t="s">
        <v>8337</v>
      </c>
      <c r="I19781" t="s">
        <v>1357</v>
      </c>
      <c r="J19781" t="s">
        <v>1357</v>
      </c>
      <c r="K19781" t="s">
        <v>1357</v>
      </c>
      <c r="L19781" t="s">
        <v>1357</v>
      </c>
    </row>
    <row r="19782" spans="1:13">
      <c r="H19782" t="s">
        <v>25082</v>
      </c>
      <c r="I19782" t="s">
        <v>1357</v>
      </c>
      <c r="J19782" t="s">
        <v>1357</v>
      </c>
      <c r="K19782" t="s">
        <v>1357</v>
      </c>
      <c r="L19782" t="s">
        <v>1357</v>
      </c>
    </row>
    <row r="19783" spans="1:13">
      <c r="A19783" t="s">
        <v>11945</v>
      </c>
      <c r="B19783">
        <f>HYPERLINK("https://android.googlesource.com/platform/cts/+/0507aeb8dc545a123ce9a097f6439a39e94f24ba", "0507aeb8dc545a123ce9a097f6439a39e94f24ba")</f>
        <v>0</v>
      </c>
      <c r="C19783">
        <f>HYPERLINK("https://android.googlesource.com/platform/cts/+/354cacf730dd88d56c1830a95423d71ec976f9ff", "354cacf730dd88d56c1830a95423d71ec976f9ff")</f>
        <v>0</v>
      </c>
      <c r="D19783" t="s">
        <v>12088</v>
      </c>
      <c r="E19783" t="s">
        <v>14441</v>
      </c>
      <c r="F19783" t="s">
        <v>17268</v>
      </c>
      <c r="G19783" t="s">
        <v>19845</v>
      </c>
      <c r="H19783" t="s">
        <v>27066</v>
      </c>
      <c r="I19783" t="s">
        <v>1357</v>
      </c>
      <c r="J19783" t="s">
        <v>1357</v>
      </c>
      <c r="K19783" t="s">
        <v>1357</v>
      </c>
      <c r="L19783" t="s">
        <v>1357</v>
      </c>
    </row>
    <row r="19784" spans="1:13">
      <c r="H19784" t="s">
        <v>27067</v>
      </c>
      <c r="I19784" t="s">
        <v>1357</v>
      </c>
      <c r="J19784" t="s">
        <v>1357</v>
      </c>
      <c r="K19784" t="s">
        <v>1357</v>
      </c>
      <c r="L19784" t="s">
        <v>1357</v>
      </c>
    </row>
    <row r="19785" spans="1:13">
      <c r="H19785" t="s">
        <v>27068</v>
      </c>
      <c r="I19785" t="s">
        <v>1357</v>
      </c>
      <c r="J19785" t="s">
        <v>1357</v>
      </c>
      <c r="K19785" t="s">
        <v>1357</v>
      </c>
      <c r="L19785" t="s">
        <v>1357</v>
      </c>
    </row>
    <row r="19786" spans="1:13">
      <c r="H19786" t="s">
        <v>27069</v>
      </c>
      <c r="I19786" t="s">
        <v>1357</v>
      </c>
      <c r="J19786" t="s">
        <v>1357</v>
      </c>
      <c r="K19786" t="s">
        <v>1357</v>
      </c>
      <c r="L19786" t="s">
        <v>1357</v>
      </c>
    </row>
    <row r="19787" spans="1:13">
      <c r="H19787" t="s">
        <v>27070</v>
      </c>
      <c r="I19787" t="s">
        <v>1357</v>
      </c>
      <c r="J19787" t="s">
        <v>1357</v>
      </c>
      <c r="K19787" t="s">
        <v>1357</v>
      </c>
      <c r="L19787" t="s">
        <v>1357</v>
      </c>
    </row>
    <row r="19788" spans="1:13">
      <c r="H19788" t="s">
        <v>27071</v>
      </c>
      <c r="I19788" t="s">
        <v>1357</v>
      </c>
      <c r="J19788" t="s">
        <v>1357</v>
      </c>
      <c r="K19788" t="s">
        <v>1357</v>
      </c>
      <c r="L19788" t="s">
        <v>1357</v>
      </c>
      <c r="M19788" t="s">
        <v>27499</v>
      </c>
    </row>
    <row r="19789" spans="1:13">
      <c r="H19789" t="s">
        <v>27072</v>
      </c>
      <c r="I19789" t="s">
        <v>1357</v>
      </c>
      <c r="J19789" t="s">
        <v>1357</v>
      </c>
      <c r="K19789" t="s">
        <v>1357</v>
      </c>
      <c r="L19789" t="s">
        <v>1357</v>
      </c>
    </row>
    <row r="19790" spans="1:13">
      <c r="H19790" t="s">
        <v>27073</v>
      </c>
      <c r="I19790" t="s">
        <v>1357</v>
      </c>
      <c r="J19790" t="s">
        <v>1357</v>
      </c>
      <c r="K19790" t="s">
        <v>1357</v>
      </c>
      <c r="L19790" t="s">
        <v>1357</v>
      </c>
    </row>
    <row r="19791" spans="1:13">
      <c r="H19791" t="s">
        <v>27074</v>
      </c>
      <c r="I19791" t="s">
        <v>1357</v>
      </c>
      <c r="J19791" t="s">
        <v>1357</v>
      </c>
      <c r="K19791" t="s">
        <v>1357</v>
      </c>
      <c r="L19791" t="s">
        <v>1357</v>
      </c>
    </row>
    <row r="19792" spans="1:13">
      <c r="H19792" t="s">
        <v>27075</v>
      </c>
      <c r="I19792" t="s">
        <v>1357</v>
      </c>
      <c r="J19792" t="s">
        <v>1357</v>
      </c>
      <c r="K19792" t="s">
        <v>1357</v>
      </c>
      <c r="L19792" t="s">
        <v>1357</v>
      </c>
    </row>
    <row r="19793" spans="1:12">
      <c r="H19793" t="s">
        <v>27076</v>
      </c>
      <c r="I19793" t="s">
        <v>1357</v>
      </c>
      <c r="J19793" t="s">
        <v>1357</v>
      </c>
      <c r="K19793" t="s">
        <v>1357</v>
      </c>
      <c r="L19793" t="s">
        <v>1357</v>
      </c>
    </row>
    <row r="19794" spans="1:12">
      <c r="H19794" t="s">
        <v>27077</v>
      </c>
      <c r="I19794" t="s">
        <v>1357</v>
      </c>
      <c r="J19794" t="s">
        <v>1357</v>
      </c>
      <c r="K19794" t="s">
        <v>1357</v>
      </c>
      <c r="L19794" t="s">
        <v>1357</v>
      </c>
    </row>
    <row r="19795" spans="1:12">
      <c r="H19795" t="s">
        <v>27078</v>
      </c>
      <c r="I19795" t="s">
        <v>1357</v>
      </c>
      <c r="J19795" t="s">
        <v>1357</v>
      </c>
      <c r="K19795" t="s">
        <v>1357</v>
      </c>
      <c r="L19795" t="s">
        <v>1357</v>
      </c>
    </row>
    <row r="19796" spans="1:12">
      <c r="H19796" t="s">
        <v>27079</v>
      </c>
      <c r="I19796" t="s">
        <v>1357</v>
      </c>
      <c r="J19796" t="s">
        <v>1357</v>
      </c>
      <c r="K19796" t="s">
        <v>1357</v>
      </c>
      <c r="L19796" t="s">
        <v>1357</v>
      </c>
    </row>
    <row r="19797" spans="1:12">
      <c r="H19797" t="s">
        <v>27080</v>
      </c>
      <c r="I19797" t="s">
        <v>1357</v>
      </c>
      <c r="J19797" t="s">
        <v>1357</v>
      </c>
      <c r="K19797" t="s">
        <v>1357</v>
      </c>
      <c r="L19797" t="s">
        <v>1357</v>
      </c>
    </row>
    <row r="19798" spans="1:12">
      <c r="F19798" t="s">
        <v>17269</v>
      </c>
      <c r="G19798" t="s">
        <v>19846</v>
      </c>
      <c r="H19798" t="s">
        <v>8337</v>
      </c>
      <c r="I19798" t="s">
        <v>1357</v>
      </c>
      <c r="J19798" t="s">
        <v>1357</v>
      </c>
      <c r="K19798" t="s">
        <v>1357</v>
      </c>
      <c r="L19798" t="s">
        <v>1357</v>
      </c>
    </row>
    <row r="19799" spans="1:12">
      <c r="H19799" t="s">
        <v>25082</v>
      </c>
      <c r="I19799" t="s">
        <v>1357</v>
      </c>
      <c r="J19799" t="s">
        <v>1357</v>
      </c>
      <c r="K19799" t="s">
        <v>1357</v>
      </c>
      <c r="L19799" t="s">
        <v>1357</v>
      </c>
    </row>
    <row r="19800" spans="1:12">
      <c r="A19800" t="s">
        <v>11946</v>
      </c>
      <c r="B19800">
        <f>HYPERLINK("https://android.googlesource.com/platform/cts/+/ffffeb23be8f113263650fcffed6d30e163ef122", "ffffeb23be8f113263650fcffed6d30e163ef122")</f>
        <v>0</v>
      </c>
      <c r="C19800">
        <f>HYPERLINK("https://android.googlesource.com/platform/cts/+/af39c40ee5199c1eeb3dd94fcdb727d4ce2fcf45", "af39c40ee5199c1eeb3dd94fcdb727d4ce2fcf45")</f>
        <v>0</v>
      </c>
      <c r="D19800" t="s">
        <v>12533</v>
      </c>
      <c r="E19800" t="s">
        <v>14442</v>
      </c>
      <c r="F19800" t="s">
        <v>17270</v>
      </c>
      <c r="G19800" t="s">
        <v>19847</v>
      </c>
      <c r="H19800" t="s">
        <v>27083</v>
      </c>
      <c r="I19800" t="s">
        <v>1357</v>
      </c>
      <c r="J19800" t="s">
        <v>1357</v>
      </c>
      <c r="K19800" t="s">
        <v>1357</v>
      </c>
      <c r="L19800" t="s">
        <v>1357</v>
      </c>
    </row>
    <row r="19801" spans="1:12">
      <c r="A19801" t="s">
        <v>11947</v>
      </c>
      <c r="B19801">
        <f>HYPERLINK("https://android.googlesource.com/platform/cts/+/553f235d852e023722ea87ded7667bfb662ff1d0", "553f235d852e023722ea87ded7667bfb662ff1d0")</f>
        <v>0</v>
      </c>
      <c r="C19801">
        <f>HYPERLINK("https://android.googlesource.com/platform/cts/+/beb3bb71fbab2fcce5c61a59bf191e88afe9434f", "beb3bb71fbab2fcce5c61a59bf191e88afe9434f")</f>
        <v>0</v>
      </c>
      <c r="D19801" t="s">
        <v>12534</v>
      </c>
      <c r="E19801" t="s">
        <v>14443</v>
      </c>
      <c r="F19801" t="s">
        <v>17271</v>
      </c>
      <c r="G19801" t="s">
        <v>19848</v>
      </c>
      <c r="H19801" t="s">
        <v>27084</v>
      </c>
      <c r="I19801" t="s">
        <v>1357</v>
      </c>
      <c r="J19801" t="s">
        <v>1357</v>
      </c>
      <c r="K19801" t="s">
        <v>1357</v>
      </c>
      <c r="L19801" t="s">
        <v>1357</v>
      </c>
    </row>
    <row r="19802" spans="1:12">
      <c r="A19802" t="s">
        <v>11948</v>
      </c>
      <c r="B19802">
        <f>HYPERLINK("https://android.googlesource.com/platform/cts/+/63d186ca77805675f77c1dfe9c962b16a8aa48f7", "63d186ca77805675f77c1dfe9c962b16a8aa48f7")</f>
        <v>0</v>
      </c>
      <c r="C19802">
        <f>HYPERLINK("https://android.googlesource.com/platform/cts/+/cd258637b1be3230174e0a52044898ff7ab0aa1a", "cd258637b1be3230174e0a52044898ff7ab0aa1a")</f>
        <v>0</v>
      </c>
      <c r="D19802" t="s">
        <v>12487</v>
      </c>
      <c r="E19802" t="s">
        <v>14444</v>
      </c>
      <c r="F19802" t="s">
        <v>17272</v>
      </c>
      <c r="G19802" t="s">
        <v>19849</v>
      </c>
      <c r="H19802" t="s">
        <v>27085</v>
      </c>
      <c r="I19802" t="s">
        <v>1357</v>
      </c>
      <c r="J19802" t="s">
        <v>1357</v>
      </c>
      <c r="K19802" t="s">
        <v>1357</v>
      </c>
      <c r="L19802" t="s">
        <v>1357</v>
      </c>
    </row>
    <row r="19803" spans="1:12">
      <c r="A19803" t="s">
        <v>11949</v>
      </c>
      <c r="B19803">
        <f>HYPERLINK("https://android.googlesource.com/platform/cts/+/4a23b0199cb0f34499905f60461dc836d2a49cce", "4a23b0199cb0f34499905f60461dc836d2a49cce")</f>
        <v>0</v>
      </c>
      <c r="C19803">
        <f>HYPERLINK("https://android.googlesource.com/platform/cts/+/7146a3d61add08da111df4d408f399bcbbb4b1d2", "7146a3d61add08da111df4d408f399bcbbb4b1d2")</f>
        <v>0</v>
      </c>
      <c r="D19803" t="s">
        <v>12535</v>
      </c>
      <c r="E19803" t="s">
        <v>14445</v>
      </c>
      <c r="F19803" t="s">
        <v>17273</v>
      </c>
      <c r="G19803" t="s">
        <v>18822</v>
      </c>
      <c r="H19803" t="s">
        <v>25707</v>
      </c>
      <c r="I19803" t="s">
        <v>1357</v>
      </c>
      <c r="J19803" t="s">
        <v>1357</v>
      </c>
      <c r="K19803" t="s">
        <v>1357</v>
      </c>
      <c r="L19803" t="s">
        <v>1357</v>
      </c>
    </row>
    <row r="19804" spans="1:12">
      <c r="F19804" t="s">
        <v>17274</v>
      </c>
      <c r="G19804" t="s">
        <v>19314</v>
      </c>
      <c r="H19804" t="s">
        <v>25707</v>
      </c>
      <c r="I19804" t="s">
        <v>1357</v>
      </c>
      <c r="J19804" t="s">
        <v>1357</v>
      </c>
      <c r="K19804" t="s">
        <v>1357</v>
      </c>
      <c r="L19804" t="s">
        <v>1357</v>
      </c>
    </row>
    <row r="19805" spans="1:12">
      <c r="A19805" t="s">
        <v>11950</v>
      </c>
      <c r="B19805">
        <f>HYPERLINK("https://android.googlesource.com/platform/cts/+/2bdf737a3f697e394d5a5ee53c17180ac4d81ca5", "2bdf737a3f697e394d5a5ee53c17180ac4d81ca5")</f>
        <v>0</v>
      </c>
      <c r="C19805">
        <f>HYPERLINK("https://android.googlesource.com/platform/cts/+/12d861ce749ea2c78e7fbe3c9db756d04a1e0ae7", "12d861ce749ea2c78e7fbe3c9db756d04a1e0ae7")</f>
        <v>0</v>
      </c>
      <c r="D19805" t="s">
        <v>12439</v>
      </c>
      <c r="E19805" t="s">
        <v>14446</v>
      </c>
      <c r="F19805" t="s">
        <v>16868</v>
      </c>
      <c r="G19805" t="s">
        <v>19481</v>
      </c>
      <c r="H19805" t="s">
        <v>27086</v>
      </c>
      <c r="I19805" t="s">
        <v>1357</v>
      </c>
      <c r="J19805" t="s">
        <v>1357</v>
      </c>
      <c r="K19805" t="s">
        <v>1357</v>
      </c>
      <c r="L19805" t="s">
        <v>1357</v>
      </c>
    </row>
    <row r="19806" spans="1:12">
      <c r="H19806" t="s">
        <v>27087</v>
      </c>
      <c r="I19806" t="s">
        <v>1357</v>
      </c>
      <c r="J19806" t="s">
        <v>1357</v>
      </c>
      <c r="K19806" t="s">
        <v>1357</v>
      </c>
      <c r="L19806" t="s">
        <v>1357</v>
      </c>
    </row>
    <row r="19807" spans="1:12">
      <c r="A19807" t="s">
        <v>11951</v>
      </c>
      <c r="B19807">
        <f>HYPERLINK("https://android.googlesource.com/platform/cts/+/1975fdffb112c8e074f9cc2fa0cac6521d237f7f", "1975fdffb112c8e074f9cc2fa0cac6521d237f7f")</f>
        <v>0</v>
      </c>
      <c r="C19807">
        <f>HYPERLINK("https://android.googlesource.com/platform/cts/+/212b209bcbce8ab012d1734f283de74850a5ad9d", "212b209bcbce8ab012d1734f283de74850a5ad9d")</f>
        <v>0</v>
      </c>
      <c r="D19807" t="s">
        <v>12536</v>
      </c>
      <c r="E19807" t="s">
        <v>14447</v>
      </c>
      <c r="F19807" t="s">
        <v>17205</v>
      </c>
      <c r="G19807" t="s">
        <v>19787</v>
      </c>
      <c r="H19807" t="s">
        <v>27088</v>
      </c>
      <c r="I19807" t="s">
        <v>1357</v>
      </c>
      <c r="J19807" t="s">
        <v>1357</v>
      </c>
      <c r="K19807" t="s">
        <v>1357</v>
      </c>
      <c r="L19807" t="s">
        <v>1357</v>
      </c>
    </row>
    <row r="19808" spans="1:12">
      <c r="H19808" t="s">
        <v>27089</v>
      </c>
      <c r="I19808" t="s">
        <v>1357</v>
      </c>
      <c r="J19808" t="s">
        <v>1357</v>
      </c>
      <c r="K19808" t="s">
        <v>1357</v>
      </c>
      <c r="L19808" t="s">
        <v>1357</v>
      </c>
    </row>
    <row r="19809" spans="1:13">
      <c r="H19809" t="s">
        <v>27090</v>
      </c>
      <c r="I19809" t="s">
        <v>1357</v>
      </c>
      <c r="J19809" t="s">
        <v>1357</v>
      </c>
      <c r="K19809" t="s">
        <v>1357</v>
      </c>
      <c r="L19809" t="s">
        <v>1357</v>
      </c>
    </row>
    <row r="19810" spans="1:13">
      <c r="H19810" t="s">
        <v>26850</v>
      </c>
      <c r="I19810" t="s">
        <v>1357</v>
      </c>
      <c r="J19810" t="s">
        <v>1357</v>
      </c>
      <c r="K19810" t="s">
        <v>1357</v>
      </c>
      <c r="L19810" t="s">
        <v>1357</v>
      </c>
    </row>
    <row r="19811" spans="1:13">
      <c r="H19811" t="s">
        <v>27091</v>
      </c>
      <c r="I19811" t="s">
        <v>1357</v>
      </c>
      <c r="J19811" t="s">
        <v>1357</v>
      </c>
      <c r="K19811" t="s">
        <v>1357</v>
      </c>
      <c r="L19811" t="s">
        <v>1357</v>
      </c>
    </row>
    <row r="19812" spans="1:13">
      <c r="H19812" t="s">
        <v>27092</v>
      </c>
      <c r="I19812" t="s">
        <v>1357</v>
      </c>
      <c r="J19812" t="s">
        <v>1357</v>
      </c>
      <c r="K19812" t="s">
        <v>1357</v>
      </c>
      <c r="L19812" t="s">
        <v>1357</v>
      </c>
    </row>
    <row r="19813" spans="1:13">
      <c r="F19813" t="s">
        <v>17275</v>
      </c>
      <c r="G19813" t="s">
        <v>19850</v>
      </c>
      <c r="H19813" t="s">
        <v>27093</v>
      </c>
      <c r="I19813" t="s">
        <v>1357</v>
      </c>
      <c r="J19813" t="s">
        <v>1357</v>
      </c>
      <c r="K19813" t="s">
        <v>1357</v>
      </c>
      <c r="L19813" t="s">
        <v>1357</v>
      </c>
    </row>
    <row r="19814" spans="1:13">
      <c r="F19814" t="s">
        <v>17276</v>
      </c>
      <c r="G19814" t="s">
        <v>19851</v>
      </c>
      <c r="H19814" t="s">
        <v>27094</v>
      </c>
      <c r="I19814" t="s">
        <v>1357</v>
      </c>
      <c r="J19814" t="s">
        <v>1357</v>
      </c>
      <c r="K19814" t="s">
        <v>1357</v>
      </c>
      <c r="L19814" t="s">
        <v>1357</v>
      </c>
    </row>
    <row r="19815" spans="1:13">
      <c r="F19815" t="s">
        <v>17277</v>
      </c>
      <c r="G19815" t="s">
        <v>19852</v>
      </c>
      <c r="H19815" t="s">
        <v>27095</v>
      </c>
      <c r="I19815" t="s">
        <v>1357</v>
      </c>
      <c r="J19815" t="s">
        <v>1357</v>
      </c>
      <c r="K19815" t="s">
        <v>1357</v>
      </c>
      <c r="L19815" t="s">
        <v>1357</v>
      </c>
    </row>
    <row r="19816" spans="1:13">
      <c r="A19816" t="s">
        <v>11952</v>
      </c>
      <c r="B19816">
        <f>HYPERLINK("https://android.googlesource.com/platform/cts/+/59692afee25bb600ce2c1825ab8b87cde232d314", "59692afee25bb600ce2c1825ab8b87cde232d314")</f>
        <v>0</v>
      </c>
      <c r="C19816">
        <f>HYPERLINK("https://android.googlesource.com/platform/cts/+/4b57f8d6f02f05585c414285308144f52286a239", "4b57f8d6f02f05585c414285308144f52286a239")</f>
        <v>0</v>
      </c>
      <c r="D19816" t="s">
        <v>12537</v>
      </c>
      <c r="E19816" t="s">
        <v>14448</v>
      </c>
      <c r="F19816" t="s">
        <v>17278</v>
      </c>
      <c r="G19816" t="s">
        <v>19853</v>
      </c>
      <c r="H19816" t="s">
        <v>27096</v>
      </c>
      <c r="I19816" t="s">
        <v>1357</v>
      </c>
      <c r="J19816" t="s">
        <v>1357</v>
      </c>
      <c r="K19816" t="s">
        <v>1357</v>
      </c>
      <c r="L19816" t="s">
        <v>1357</v>
      </c>
    </row>
    <row r="19817" spans="1:13">
      <c r="H19817" t="s">
        <v>27097</v>
      </c>
      <c r="I19817" t="s">
        <v>1357</v>
      </c>
      <c r="J19817" t="s">
        <v>1357</v>
      </c>
      <c r="K19817" t="s">
        <v>1357</v>
      </c>
      <c r="L19817" t="s">
        <v>1357</v>
      </c>
    </row>
    <row r="19818" spans="1:13">
      <c r="H19818" t="s">
        <v>27098</v>
      </c>
      <c r="I19818" t="s">
        <v>1357</v>
      </c>
      <c r="J19818" t="s">
        <v>1357</v>
      </c>
      <c r="K19818" t="s">
        <v>1357</v>
      </c>
      <c r="L19818" t="s">
        <v>1357</v>
      </c>
    </row>
    <row r="19819" spans="1:13">
      <c r="A19819" t="s">
        <v>11953</v>
      </c>
      <c r="B19819">
        <f>HYPERLINK("https://android.googlesource.com/platform/cts/+/794d1bc77887216cc065ec56a23c6ce5075f09c4", "794d1bc77887216cc065ec56a23c6ce5075f09c4")</f>
        <v>0</v>
      </c>
      <c r="C19819">
        <f>HYPERLINK("https://android.googlesource.com/platform/cts/+/412589a65c830025ca0eb25be1082b4bedbc2d44", "412589a65c830025ca0eb25be1082b4bedbc2d44")</f>
        <v>0</v>
      </c>
      <c r="D19819" t="s">
        <v>12536</v>
      </c>
      <c r="E19819" t="s">
        <v>14449</v>
      </c>
      <c r="F19819" t="s">
        <v>17205</v>
      </c>
      <c r="G19819" t="s">
        <v>19787</v>
      </c>
      <c r="H19819" t="s">
        <v>27088</v>
      </c>
      <c r="I19819" t="s">
        <v>1357</v>
      </c>
      <c r="J19819" t="s">
        <v>1357</v>
      </c>
      <c r="K19819" t="s">
        <v>1357</v>
      </c>
      <c r="L19819" t="s">
        <v>1357</v>
      </c>
    </row>
    <row r="19820" spans="1:13">
      <c r="H19820" t="s">
        <v>27089</v>
      </c>
      <c r="I19820" t="s">
        <v>1357</v>
      </c>
      <c r="J19820" t="s">
        <v>1357</v>
      </c>
      <c r="K19820" t="s">
        <v>1357</v>
      </c>
      <c r="L19820" t="s">
        <v>1357</v>
      </c>
    </row>
    <row r="19821" spans="1:13">
      <c r="H19821" t="s">
        <v>27090</v>
      </c>
      <c r="I19821" t="s">
        <v>1357</v>
      </c>
      <c r="J19821" t="s">
        <v>1357</v>
      </c>
      <c r="K19821" t="s">
        <v>1357</v>
      </c>
      <c r="L19821" t="s">
        <v>1357</v>
      </c>
    </row>
    <row r="19822" spans="1:13">
      <c r="H19822" t="s">
        <v>26850</v>
      </c>
      <c r="I19822" t="s">
        <v>1357</v>
      </c>
      <c r="J19822" t="s">
        <v>1357</v>
      </c>
      <c r="K19822" t="s">
        <v>1357</v>
      </c>
      <c r="L19822" t="s">
        <v>1357</v>
      </c>
    </row>
    <row r="19823" spans="1:13">
      <c r="H19823" t="s">
        <v>27091</v>
      </c>
      <c r="I19823" t="s">
        <v>1357</v>
      </c>
      <c r="J19823" t="s">
        <v>1357</v>
      </c>
      <c r="K19823" t="s">
        <v>1357</v>
      </c>
      <c r="L19823" t="s">
        <v>1357</v>
      </c>
    </row>
    <row r="19824" spans="1:13">
      <c r="H19824" t="s">
        <v>27092</v>
      </c>
      <c r="I19824" t="s">
        <v>1357</v>
      </c>
      <c r="J19824" t="s">
        <v>1357</v>
      </c>
      <c r="K19824" t="s">
        <v>1357</v>
      </c>
      <c r="L19824" t="s">
        <v>1357</v>
      </c>
      <c r="M19824" t="s">
        <v>27499</v>
      </c>
    </row>
    <row r="19825" spans="1:12">
      <c r="F19825" t="s">
        <v>17275</v>
      </c>
      <c r="G19825" t="s">
        <v>19850</v>
      </c>
      <c r="H19825" t="s">
        <v>27093</v>
      </c>
      <c r="I19825" t="s">
        <v>1357</v>
      </c>
      <c r="J19825" t="s">
        <v>1357</v>
      </c>
      <c r="K19825" t="s">
        <v>1357</v>
      </c>
      <c r="L19825" t="s">
        <v>1357</v>
      </c>
    </row>
    <row r="19826" spans="1:12">
      <c r="F19826" t="s">
        <v>17276</v>
      </c>
      <c r="G19826" t="s">
        <v>19851</v>
      </c>
      <c r="H19826" t="s">
        <v>27094</v>
      </c>
      <c r="I19826" t="s">
        <v>1357</v>
      </c>
      <c r="J19826" t="s">
        <v>1357</v>
      </c>
      <c r="K19826" t="s">
        <v>1357</v>
      </c>
      <c r="L19826" t="s">
        <v>1357</v>
      </c>
    </row>
    <row r="19827" spans="1:12">
      <c r="F19827" t="s">
        <v>17277</v>
      </c>
      <c r="G19827" t="s">
        <v>19852</v>
      </c>
      <c r="H19827" t="s">
        <v>27095</v>
      </c>
      <c r="I19827" t="s">
        <v>1357</v>
      </c>
      <c r="J19827" t="s">
        <v>1357</v>
      </c>
      <c r="K19827" t="s">
        <v>1357</v>
      </c>
      <c r="L19827" t="s">
        <v>1357</v>
      </c>
    </row>
    <row r="19828" spans="1:12">
      <c r="A19828" t="s">
        <v>11954</v>
      </c>
      <c r="B19828">
        <f>HYPERLINK("https://android.googlesource.com/platform/cts/+/211641656c26ea9576a5bb3c5a7ce4a6fd0a44e4", "211641656c26ea9576a5bb3c5a7ce4a6fd0a44e4")</f>
        <v>0</v>
      </c>
      <c r="C19828">
        <f>HYPERLINK("https://android.googlesource.com/platform/cts/+/381b557779fcecce0d7ce5e20a1c25ba093985bb", "381b557779fcecce0d7ce5e20a1c25ba093985bb")</f>
        <v>0</v>
      </c>
      <c r="D19828" t="s">
        <v>12538</v>
      </c>
      <c r="E19828" t="s">
        <v>14450</v>
      </c>
      <c r="F19828" t="s">
        <v>16171</v>
      </c>
      <c r="G19828" t="s">
        <v>18734</v>
      </c>
      <c r="H19828" t="s">
        <v>27099</v>
      </c>
      <c r="I19828" t="s">
        <v>1357</v>
      </c>
      <c r="J19828" t="s">
        <v>1357</v>
      </c>
      <c r="K19828" t="s">
        <v>1357</v>
      </c>
      <c r="L19828" t="s">
        <v>1357</v>
      </c>
    </row>
    <row r="19829" spans="1:12">
      <c r="H19829" t="s">
        <v>27100</v>
      </c>
      <c r="I19829" t="s">
        <v>1357</v>
      </c>
      <c r="J19829" t="s">
        <v>1357</v>
      </c>
      <c r="K19829" t="s">
        <v>1357</v>
      </c>
      <c r="L19829" t="s">
        <v>1357</v>
      </c>
    </row>
    <row r="19830" spans="1:12">
      <c r="A19830" t="s">
        <v>11955</v>
      </c>
      <c r="B19830">
        <f>HYPERLINK("https://android.googlesource.com/platform/cts/+/fc8ea55042eb95f116b5be31d7cfb6cf0d19f0fa", "fc8ea55042eb95f116b5be31d7cfb6cf0d19f0fa")</f>
        <v>0</v>
      </c>
      <c r="C19830">
        <f>HYPERLINK("https://android.googlesource.com/platform/cts/+/ad15d78d2462c8f3423cf6a34c929ab013215998", "ad15d78d2462c8f3423cf6a34c929ab013215998")</f>
        <v>0</v>
      </c>
      <c r="D19830" t="s">
        <v>12419</v>
      </c>
      <c r="E19830" t="s">
        <v>14451</v>
      </c>
      <c r="F19830" t="s">
        <v>17279</v>
      </c>
      <c r="G19830" t="s">
        <v>19854</v>
      </c>
      <c r="H19830" t="s">
        <v>27101</v>
      </c>
      <c r="I19830" t="s">
        <v>1357</v>
      </c>
      <c r="J19830" t="s">
        <v>1357</v>
      </c>
      <c r="K19830" t="s">
        <v>1357</v>
      </c>
      <c r="L19830" t="s">
        <v>1357</v>
      </c>
    </row>
    <row r="19831" spans="1:12">
      <c r="H19831" t="s">
        <v>27102</v>
      </c>
      <c r="I19831" t="s">
        <v>1357</v>
      </c>
      <c r="J19831" t="s">
        <v>1357</v>
      </c>
      <c r="K19831" t="s">
        <v>1357</v>
      </c>
      <c r="L19831" t="s">
        <v>1357</v>
      </c>
    </row>
    <row r="19832" spans="1:12">
      <c r="F19832" t="s">
        <v>16409</v>
      </c>
      <c r="G19832" t="s">
        <v>19075</v>
      </c>
      <c r="H19832" t="s">
        <v>27103</v>
      </c>
      <c r="I19832" t="s">
        <v>1357</v>
      </c>
      <c r="J19832" t="s">
        <v>1357</v>
      </c>
      <c r="K19832" t="s">
        <v>1357</v>
      </c>
      <c r="L19832" t="s">
        <v>1357</v>
      </c>
    </row>
    <row r="19833" spans="1:12">
      <c r="A19833" t="s">
        <v>11956</v>
      </c>
      <c r="B19833">
        <f>HYPERLINK("https://android.googlesource.com/platform/cts/+/443d2001aaeaae28a293b79e6260b98c88e3da17", "443d2001aaeaae28a293b79e6260b98c88e3da17")</f>
        <v>0</v>
      </c>
      <c r="C19833">
        <f>HYPERLINK("https://android.googlesource.com/platform/cts/+/86682abf2a60b5878cf3e7e1263dc77ab1145057", "86682abf2a60b5878cf3e7e1263dc77ab1145057")</f>
        <v>0</v>
      </c>
      <c r="D19833" t="s">
        <v>12448</v>
      </c>
      <c r="E19833" t="s">
        <v>14452</v>
      </c>
      <c r="F19833" t="s">
        <v>17280</v>
      </c>
      <c r="G19833" t="s">
        <v>19855</v>
      </c>
      <c r="H19833" t="s">
        <v>27104</v>
      </c>
      <c r="I19833" t="s">
        <v>1357</v>
      </c>
      <c r="J19833" t="s">
        <v>1357</v>
      </c>
      <c r="K19833" t="s">
        <v>1357</v>
      </c>
      <c r="L19833" t="s">
        <v>1357</v>
      </c>
    </row>
    <row r="19834" spans="1:12">
      <c r="F19834" t="s">
        <v>17281</v>
      </c>
      <c r="G19834" t="s">
        <v>19856</v>
      </c>
      <c r="H19834" t="s">
        <v>27104</v>
      </c>
      <c r="I19834" t="s">
        <v>1357</v>
      </c>
      <c r="J19834" t="s">
        <v>1357</v>
      </c>
      <c r="K19834" t="s">
        <v>1357</v>
      </c>
      <c r="L19834" t="s">
        <v>1357</v>
      </c>
    </row>
    <row r="19835" spans="1:12">
      <c r="F19835" t="s">
        <v>17282</v>
      </c>
      <c r="G19835" t="s">
        <v>19857</v>
      </c>
      <c r="H19835" t="s">
        <v>27105</v>
      </c>
      <c r="I19835" t="s">
        <v>1357</v>
      </c>
      <c r="J19835" t="s">
        <v>1357</v>
      </c>
      <c r="K19835" t="s">
        <v>1357</v>
      </c>
      <c r="L19835" t="s">
        <v>1357</v>
      </c>
    </row>
    <row r="19836" spans="1:12">
      <c r="F19836" t="s">
        <v>17163</v>
      </c>
      <c r="G19836" t="s">
        <v>19749</v>
      </c>
      <c r="H19836" t="s">
        <v>27104</v>
      </c>
      <c r="I19836" t="s">
        <v>1357</v>
      </c>
      <c r="J19836" t="s">
        <v>1357</v>
      </c>
      <c r="K19836" t="s">
        <v>1357</v>
      </c>
      <c r="L19836" t="s">
        <v>1357</v>
      </c>
    </row>
    <row r="19837" spans="1:12">
      <c r="F19837" t="s">
        <v>17283</v>
      </c>
      <c r="G19837" t="s">
        <v>19858</v>
      </c>
      <c r="H19837" t="s">
        <v>27104</v>
      </c>
      <c r="I19837" t="s">
        <v>1357</v>
      </c>
      <c r="J19837" t="s">
        <v>1357</v>
      </c>
      <c r="K19837" t="s">
        <v>1357</v>
      </c>
      <c r="L19837" t="s">
        <v>1357</v>
      </c>
    </row>
    <row r="19838" spans="1:12">
      <c r="F19838" t="s">
        <v>17284</v>
      </c>
      <c r="G19838" t="s">
        <v>19859</v>
      </c>
      <c r="H19838" t="s">
        <v>27104</v>
      </c>
      <c r="I19838" t="s">
        <v>1357</v>
      </c>
      <c r="J19838" t="s">
        <v>1357</v>
      </c>
      <c r="K19838" t="s">
        <v>1357</v>
      </c>
      <c r="L19838" t="s">
        <v>1357</v>
      </c>
    </row>
    <row r="19839" spans="1:12">
      <c r="F19839" t="s">
        <v>17285</v>
      </c>
      <c r="G19839" t="s">
        <v>19860</v>
      </c>
      <c r="H19839" t="s">
        <v>27104</v>
      </c>
      <c r="I19839" t="s">
        <v>1357</v>
      </c>
      <c r="J19839" t="s">
        <v>1357</v>
      </c>
      <c r="K19839" t="s">
        <v>1357</v>
      </c>
      <c r="L19839" t="s">
        <v>1357</v>
      </c>
    </row>
    <row r="19840" spans="1:12">
      <c r="F19840" t="s">
        <v>17286</v>
      </c>
      <c r="G19840" t="s">
        <v>19861</v>
      </c>
      <c r="H19840" t="s">
        <v>27104</v>
      </c>
      <c r="I19840" t="s">
        <v>1357</v>
      </c>
      <c r="J19840" t="s">
        <v>1357</v>
      </c>
      <c r="K19840" t="s">
        <v>1357</v>
      </c>
      <c r="L19840" t="s">
        <v>1357</v>
      </c>
    </row>
    <row r="19841" spans="1:13">
      <c r="F19841" t="s">
        <v>17211</v>
      </c>
      <c r="G19841" t="s">
        <v>19793</v>
      </c>
      <c r="H19841" t="s">
        <v>27104</v>
      </c>
      <c r="I19841" t="s">
        <v>1357</v>
      </c>
      <c r="J19841" t="s">
        <v>1357</v>
      </c>
      <c r="K19841" t="s">
        <v>1357</v>
      </c>
      <c r="L19841" t="s">
        <v>1357</v>
      </c>
    </row>
    <row r="19842" spans="1:13">
      <c r="F19842" t="s">
        <v>17246</v>
      </c>
      <c r="G19842" t="s">
        <v>19826</v>
      </c>
      <c r="H19842" t="s">
        <v>27105</v>
      </c>
      <c r="I19842" t="s">
        <v>1357</v>
      </c>
      <c r="J19842" t="s">
        <v>1357</v>
      </c>
      <c r="K19842" t="s">
        <v>1357</v>
      </c>
      <c r="L19842" t="s">
        <v>1357</v>
      </c>
    </row>
    <row r="19843" spans="1:13">
      <c r="F19843" t="s">
        <v>17287</v>
      </c>
      <c r="G19843" t="s">
        <v>19862</v>
      </c>
      <c r="H19843" t="s">
        <v>27105</v>
      </c>
      <c r="I19843" t="s">
        <v>1357</v>
      </c>
      <c r="J19843" t="s">
        <v>1357</v>
      </c>
      <c r="K19843" t="s">
        <v>1357</v>
      </c>
      <c r="L19843" t="s">
        <v>1357</v>
      </c>
    </row>
    <row r="19844" spans="1:13">
      <c r="F19844" t="s">
        <v>17288</v>
      </c>
      <c r="G19844" t="s">
        <v>19863</v>
      </c>
      <c r="H19844" t="s">
        <v>27104</v>
      </c>
      <c r="I19844" t="s">
        <v>1357</v>
      </c>
      <c r="J19844" t="s">
        <v>1357</v>
      </c>
      <c r="K19844" t="s">
        <v>1357</v>
      </c>
      <c r="L19844" t="s">
        <v>1357</v>
      </c>
    </row>
    <row r="19845" spans="1:13">
      <c r="F19845" t="s">
        <v>17289</v>
      </c>
      <c r="G19845" t="s">
        <v>19864</v>
      </c>
      <c r="H19845" t="s">
        <v>27104</v>
      </c>
      <c r="I19845" t="s">
        <v>1357</v>
      </c>
      <c r="J19845" t="s">
        <v>1357</v>
      </c>
      <c r="K19845" t="s">
        <v>1357</v>
      </c>
      <c r="L19845" t="s">
        <v>1357</v>
      </c>
    </row>
    <row r="19846" spans="1:13">
      <c r="F19846" t="s">
        <v>17290</v>
      </c>
      <c r="G19846" t="s">
        <v>19865</v>
      </c>
      <c r="H19846" t="s">
        <v>27104</v>
      </c>
      <c r="I19846" t="s">
        <v>1357</v>
      </c>
      <c r="J19846" t="s">
        <v>1357</v>
      </c>
      <c r="K19846" t="s">
        <v>1357</v>
      </c>
      <c r="L19846" t="s">
        <v>1357</v>
      </c>
    </row>
    <row r="19847" spans="1:13">
      <c r="F19847" t="s">
        <v>17291</v>
      </c>
      <c r="G19847" t="s">
        <v>19866</v>
      </c>
      <c r="H19847" t="s">
        <v>27104</v>
      </c>
      <c r="I19847" t="s">
        <v>1357</v>
      </c>
      <c r="J19847" t="s">
        <v>1357</v>
      </c>
      <c r="K19847" t="s">
        <v>1357</v>
      </c>
      <c r="L19847" t="s">
        <v>1357</v>
      </c>
    </row>
    <row r="19848" spans="1:13">
      <c r="F19848" t="s">
        <v>17292</v>
      </c>
      <c r="G19848" t="s">
        <v>19867</v>
      </c>
      <c r="H19848" t="s">
        <v>27104</v>
      </c>
      <c r="I19848" t="s">
        <v>1357</v>
      </c>
      <c r="J19848" t="s">
        <v>1357</v>
      </c>
      <c r="K19848" t="s">
        <v>1357</v>
      </c>
      <c r="L19848" t="s">
        <v>1357</v>
      </c>
    </row>
    <row r="19849" spans="1:13">
      <c r="F19849" t="s">
        <v>17293</v>
      </c>
      <c r="G19849" t="s">
        <v>19868</v>
      </c>
      <c r="H19849" t="s">
        <v>27104</v>
      </c>
      <c r="I19849" t="s">
        <v>1357</v>
      </c>
      <c r="J19849" t="s">
        <v>1357</v>
      </c>
      <c r="K19849" t="s">
        <v>1357</v>
      </c>
      <c r="L19849" t="s">
        <v>1357</v>
      </c>
    </row>
    <row r="19850" spans="1:13">
      <c r="F19850" t="s">
        <v>17294</v>
      </c>
      <c r="G19850" t="s">
        <v>19869</v>
      </c>
      <c r="H19850" t="s">
        <v>27105</v>
      </c>
      <c r="I19850" t="s">
        <v>1357</v>
      </c>
      <c r="J19850" t="s">
        <v>1357</v>
      </c>
      <c r="K19850" t="s">
        <v>1357</v>
      </c>
      <c r="L19850" t="s">
        <v>1357</v>
      </c>
    </row>
    <row r="19851" spans="1:13">
      <c r="F19851" t="s">
        <v>17295</v>
      </c>
      <c r="G19851" t="s">
        <v>19870</v>
      </c>
      <c r="H19851" t="s">
        <v>27104</v>
      </c>
      <c r="I19851" t="s">
        <v>1357</v>
      </c>
      <c r="J19851" t="s">
        <v>1357</v>
      </c>
      <c r="K19851" t="s">
        <v>1357</v>
      </c>
      <c r="L19851" t="s">
        <v>1357</v>
      </c>
    </row>
    <row r="19852" spans="1:13">
      <c r="A19852" t="s">
        <v>11957</v>
      </c>
      <c r="B19852">
        <f>HYPERLINK("https://android.googlesource.com/platform/cts/+/cb7a8edc9b545489b8e7ebeb895d857e2b1a267a", "cb7a8edc9b545489b8e7ebeb895d857e2b1a267a")</f>
        <v>0</v>
      </c>
      <c r="C19852">
        <f>HYPERLINK("https://android.googlesource.com/platform/cts/+/790fc53c20a5e453fff550a5298e2414812bdb49", "790fc53c20a5e453fff550a5298e2414812bdb49")</f>
        <v>0</v>
      </c>
      <c r="D19852" t="s">
        <v>12270</v>
      </c>
      <c r="E19852" t="s">
        <v>14453</v>
      </c>
      <c r="F19852" t="s">
        <v>17157</v>
      </c>
      <c r="G19852" t="s">
        <v>19743</v>
      </c>
      <c r="H19852" t="s">
        <v>27106</v>
      </c>
      <c r="I19852" t="s">
        <v>1357</v>
      </c>
      <c r="J19852" t="s">
        <v>1357</v>
      </c>
      <c r="K19852" t="s">
        <v>1357</v>
      </c>
      <c r="L19852" t="s">
        <v>1357</v>
      </c>
    </row>
    <row r="19853" spans="1:13">
      <c r="A19853" t="s">
        <v>11958</v>
      </c>
      <c r="B19853">
        <f>HYPERLINK("https://android.googlesource.com/platform/cts/+/cb981c7dd66fdcd3b6f2cc96cc34301c5d356ed0", "cb981c7dd66fdcd3b6f2cc96cc34301c5d356ed0")</f>
        <v>0</v>
      </c>
      <c r="C19853">
        <f>HYPERLINK("https://android.googlesource.com/platform/cts/+/b36ba2beb82b0f27b69eddc0ce6b2d3224c06246", "b36ba2beb82b0f27b69eddc0ce6b2d3224c06246")</f>
        <v>0</v>
      </c>
      <c r="D19853" t="s">
        <v>12270</v>
      </c>
      <c r="E19853" t="s">
        <v>14454</v>
      </c>
      <c r="F19853" t="s">
        <v>17157</v>
      </c>
      <c r="G19853" t="s">
        <v>19743</v>
      </c>
      <c r="H19853" t="s">
        <v>27106</v>
      </c>
      <c r="I19853" t="s">
        <v>1357</v>
      </c>
      <c r="J19853" t="s">
        <v>1357</v>
      </c>
      <c r="K19853" t="s">
        <v>1357</v>
      </c>
      <c r="L19853" t="s">
        <v>1357</v>
      </c>
      <c r="M19853" t="s">
        <v>27499</v>
      </c>
    </row>
    <row r="19854" spans="1:13">
      <c r="A19854" t="s">
        <v>11959</v>
      </c>
      <c r="B19854">
        <f>HYPERLINK("https://android.googlesource.com/platform/cts/+/09ecd6a4f7e7b3fbcfb59a1b298766ad41987ac1", "09ecd6a4f7e7b3fbcfb59a1b298766ad41987ac1")</f>
        <v>0</v>
      </c>
      <c r="C19854">
        <f>HYPERLINK("https://android.googlesource.com/platform/cts/+/09b17d13eba22d7d3b8fc00c7f6c83324367975e", "09b17d13eba22d7d3b8fc00c7f6c83324367975e")</f>
        <v>0</v>
      </c>
      <c r="D19854" t="s">
        <v>12270</v>
      </c>
      <c r="E19854" t="s">
        <v>14455</v>
      </c>
      <c r="F19854" t="s">
        <v>17157</v>
      </c>
      <c r="G19854" t="s">
        <v>19743</v>
      </c>
      <c r="H19854" t="s">
        <v>27106</v>
      </c>
      <c r="I19854" t="s">
        <v>1357</v>
      </c>
      <c r="J19854" t="s">
        <v>1357</v>
      </c>
      <c r="K19854" t="s">
        <v>1357</v>
      </c>
      <c r="L19854" t="s">
        <v>1357</v>
      </c>
      <c r="M19854" t="s">
        <v>27499</v>
      </c>
    </row>
    <row r="19855" spans="1:13">
      <c r="A19855" t="s">
        <v>11960</v>
      </c>
      <c r="B19855">
        <f>HYPERLINK("https://android.googlesource.com/platform/cts/+/d95a2a22253dde7c52f9d0ffa9bae28cec5ec56f", "d95a2a22253dde7c52f9d0ffa9bae28cec5ec56f")</f>
        <v>0</v>
      </c>
      <c r="C19855">
        <f>HYPERLINK("https://android.googlesource.com/platform/cts/+/b36ba2beb82b0f27b69eddc0ce6b2d3224c06246", "b36ba2beb82b0f27b69eddc0ce6b2d3224c06246")</f>
        <v>0</v>
      </c>
      <c r="D19855" t="s">
        <v>12539</v>
      </c>
      <c r="E19855" t="s">
        <v>14456</v>
      </c>
      <c r="F19855" t="s">
        <v>17183</v>
      </c>
      <c r="G19855" t="s">
        <v>19767</v>
      </c>
      <c r="H19855" t="s">
        <v>26256</v>
      </c>
      <c r="I19855" t="s">
        <v>1357</v>
      </c>
      <c r="J19855" t="s">
        <v>1357</v>
      </c>
      <c r="K19855" t="s">
        <v>1357</v>
      </c>
      <c r="L19855" t="s">
        <v>1357</v>
      </c>
    </row>
    <row r="19856" spans="1:13">
      <c r="A19856" t="s">
        <v>11961</v>
      </c>
      <c r="B19856">
        <f>HYPERLINK("https://android.googlesource.com/platform/cts/+/06f273bbd089f31a7c7f371c496444ccc8a922a0", "06f273bbd089f31a7c7f371c496444ccc8a922a0")</f>
        <v>0</v>
      </c>
      <c r="C19856">
        <f>HYPERLINK("https://android.googlesource.com/platform/cts/+/cf5599369e130cd4bde550556a81dba433df13a5", "cf5599369e130cd4bde550556a81dba433df13a5")</f>
        <v>0</v>
      </c>
      <c r="D19856" t="s">
        <v>12367</v>
      </c>
      <c r="E19856" t="s">
        <v>14457</v>
      </c>
      <c r="F19856" t="s">
        <v>17279</v>
      </c>
      <c r="G19856" t="s">
        <v>19854</v>
      </c>
      <c r="H19856" t="s">
        <v>27101</v>
      </c>
      <c r="I19856" t="s">
        <v>1357</v>
      </c>
      <c r="J19856" t="s">
        <v>1357</v>
      </c>
      <c r="K19856" t="s">
        <v>1357</v>
      </c>
      <c r="L19856" t="s">
        <v>1357</v>
      </c>
    </row>
    <row r="19857" spans="1:12">
      <c r="H19857" t="s">
        <v>27102</v>
      </c>
      <c r="I19857" t="s">
        <v>1357</v>
      </c>
      <c r="J19857" t="s">
        <v>1357</v>
      </c>
      <c r="K19857" t="s">
        <v>1357</v>
      </c>
      <c r="L19857" t="s">
        <v>1357</v>
      </c>
    </row>
    <row r="19858" spans="1:12">
      <c r="F19858" t="s">
        <v>16409</v>
      </c>
      <c r="G19858" t="s">
        <v>19075</v>
      </c>
      <c r="H19858" t="s">
        <v>27103</v>
      </c>
      <c r="I19858" t="s">
        <v>1357</v>
      </c>
      <c r="J19858" t="s">
        <v>1357</v>
      </c>
      <c r="K19858" t="s">
        <v>1357</v>
      </c>
      <c r="L19858" t="s">
        <v>1357</v>
      </c>
    </row>
    <row r="19859" spans="1:12">
      <c r="A19859" t="s">
        <v>11962</v>
      </c>
      <c r="B19859">
        <f>HYPERLINK("https://android.googlesource.com/platform/cts/+/2ad3512b597be6caa2eb4f6f51585538e5b33e83", "2ad3512b597be6caa2eb4f6f51585538e5b33e83")</f>
        <v>0</v>
      </c>
      <c r="C19859">
        <f>HYPERLINK("https://android.googlesource.com/platform/cts/+/7d07155e53cbe455b79bce3ce8dd01ed043476c4", "7d07155e53cbe455b79bce3ce8dd01ed043476c4")</f>
        <v>0</v>
      </c>
      <c r="D19859" t="s">
        <v>12540</v>
      </c>
      <c r="E19859" t="s">
        <v>14458</v>
      </c>
      <c r="F19859" t="s">
        <v>17296</v>
      </c>
      <c r="G19859" t="s">
        <v>19871</v>
      </c>
      <c r="H19859" t="s">
        <v>25186</v>
      </c>
      <c r="I19859" t="s">
        <v>1357</v>
      </c>
      <c r="J19859" t="s">
        <v>1357</v>
      </c>
      <c r="K19859" t="s">
        <v>1357</v>
      </c>
      <c r="L19859" t="s">
        <v>1357</v>
      </c>
    </row>
    <row r="19860" spans="1:12">
      <c r="H19860" t="s">
        <v>27107</v>
      </c>
      <c r="I19860" t="s">
        <v>1357</v>
      </c>
      <c r="J19860" t="s">
        <v>1357</v>
      </c>
      <c r="K19860" t="s">
        <v>1357</v>
      </c>
      <c r="L19860" t="s">
        <v>1357</v>
      </c>
    </row>
    <row r="19861" spans="1:12">
      <c r="A19861" t="s">
        <v>11963</v>
      </c>
      <c r="B19861">
        <f>HYPERLINK("https://android.googlesource.com/platform/cts/+/6e7dcd0862e931cab542fb097bc567bfc40f840b", "6e7dcd0862e931cab542fb097bc567bfc40f840b")</f>
        <v>0</v>
      </c>
      <c r="C19861">
        <f>HYPERLINK("https://android.googlesource.com/platform/cts/+/3b3581ec4f3acff221129319abf35bd46520e037", "3b3581ec4f3acff221129319abf35bd46520e037")</f>
        <v>0</v>
      </c>
      <c r="D19861" t="s">
        <v>12541</v>
      </c>
      <c r="E19861" t="s">
        <v>14459</v>
      </c>
      <c r="F19861" t="s">
        <v>16217</v>
      </c>
      <c r="G19861" t="s">
        <v>18606</v>
      </c>
      <c r="H19861" t="s">
        <v>26685</v>
      </c>
      <c r="I19861" t="s">
        <v>1358</v>
      </c>
      <c r="J19861" t="s">
        <v>1358</v>
      </c>
      <c r="K19861" t="s">
        <v>1358</v>
      </c>
      <c r="L19861" t="s">
        <v>1358</v>
      </c>
    </row>
    <row r="19862" spans="1:12">
      <c r="H19862" t="s">
        <v>27108</v>
      </c>
      <c r="I19862" t="s">
        <v>1358</v>
      </c>
      <c r="J19862" t="s">
        <v>1358</v>
      </c>
      <c r="K19862" t="s">
        <v>1358</v>
      </c>
      <c r="L19862" t="s">
        <v>1358</v>
      </c>
    </row>
    <row r="19863" spans="1:12">
      <c r="H19863" t="s">
        <v>27109</v>
      </c>
      <c r="I19863" t="s">
        <v>1358</v>
      </c>
      <c r="J19863" t="s">
        <v>1358</v>
      </c>
      <c r="K19863" t="s">
        <v>1358</v>
      </c>
      <c r="L19863" t="s">
        <v>1358</v>
      </c>
    </row>
    <row r="19864" spans="1:12">
      <c r="H19864" t="s">
        <v>27110</v>
      </c>
      <c r="I19864" t="s">
        <v>1358</v>
      </c>
      <c r="J19864" t="s">
        <v>1358</v>
      </c>
      <c r="K19864" t="s">
        <v>1358</v>
      </c>
      <c r="L19864" t="s">
        <v>1358</v>
      </c>
    </row>
    <row r="19865" spans="1:12">
      <c r="H19865" t="s">
        <v>26686</v>
      </c>
      <c r="I19865" t="s">
        <v>1358</v>
      </c>
      <c r="J19865" t="s">
        <v>1358</v>
      </c>
      <c r="K19865" t="s">
        <v>1358</v>
      </c>
      <c r="L19865" t="s">
        <v>1358</v>
      </c>
    </row>
    <row r="19866" spans="1:12">
      <c r="H19866" t="s">
        <v>27111</v>
      </c>
      <c r="I19866" t="s">
        <v>1358</v>
      </c>
      <c r="J19866" t="s">
        <v>1358</v>
      </c>
      <c r="K19866" t="s">
        <v>1358</v>
      </c>
      <c r="L19866" t="s">
        <v>1358</v>
      </c>
    </row>
    <row r="19867" spans="1:12">
      <c r="H19867" t="s">
        <v>26687</v>
      </c>
      <c r="I19867" t="s">
        <v>1358</v>
      </c>
      <c r="J19867" t="s">
        <v>1358</v>
      </c>
      <c r="K19867" t="s">
        <v>1358</v>
      </c>
      <c r="L19867" t="s">
        <v>1358</v>
      </c>
    </row>
    <row r="19868" spans="1:12">
      <c r="H19868" t="s">
        <v>27112</v>
      </c>
      <c r="I19868" t="s">
        <v>1358</v>
      </c>
      <c r="J19868" t="s">
        <v>1358</v>
      </c>
      <c r="K19868" t="s">
        <v>1358</v>
      </c>
      <c r="L19868" t="s">
        <v>1358</v>
      </c>
    </row>
    <row r="19869" spans="1:12">
      <c r="H19869" t="s">
        <v>26688</v>
      </c>
      <c r="I19869" t="s">
        <v>1358</v>
      </c>
      <c r="J19869" t="s">
        <v>1358</v>
      </c>
      <c r="K19869" t="s">
        <v>1358</v>
      </c>
      <c r="L19869" t="s">
        <v>1358</v>
      </c>
    </row>
    <row r="19870" spans="1:12">
      <c r="H19870" t="s">
        <v>27113</v>
      </c>
      <c r="I19870" t="s">
        <v>1358</v>
      </c>
      <c r="J19870" t="s">
        <v>1358</v>
      </c>
      <c r="K19870" t="s">
        <v>1358</v>
      </c>
      <c r="L19870" t="s">
        <v>1358</v>
      </c>
    </row>
    <row r="19871" spans="1:12">
      <c r="H19871" t="s">
        <v>26689</v>
      </c>
      <c r="I19871" t="s">
        <v>1358</v>
      </c>
      <c r="J19871" t="s">
        <v>1358</v>
      </c>
      <c r="K19871" t="s">
        <v>1358</v>
      </c>
      <c r="L19871" t="s">
        <v>1358</v>
      </c>
    </row>
    <row r="19872" spans="1:12">
      <c r="H19872" t="s">
        <v>27114</v>
      </c>
      <c r="I19872" t="s">
        <v>1358</v>
      </c>
      <c r="J19872" t="s">
        <v>1358</v>
      </c>
      <c r="K19872" t="s">
        <v>1358</v>
      </c>
      <c r="L19872" t="s">
        <v>1358</v>
      </c>
    </row>
    <row r="19873" spans="8:12">
      <c r="H19873" t="s">
        <v>26690</v>
      </c>
      <c r="I19873" t="s">
        <v>1358</v>
      </c>
      <c r="J19873" t="s">
        <v>1358</v>
      </c>
      <c r="K19873" t="s">
        <v>1358</v>
      </c>
      <c r="L19873" t="s">
        <v>1358</v>
      </c>
    </row>
    <row r="19874" spans="8:12">
      <c r="H19874" t="s">
        <v>26691</v>
      </c>
      <c r="I19874" t="s">
        <v>1358</v>
      </c>
      <c r="J19874" t="s">
        <v>1358</v>
      </c>
      <c r="K19874" t="s">
        <v>1358</v>
      </c>
      <c r="L19874" t="s">
        <v>1358</v>
      </c>
    </row>
    <row r="19875" spans="8:12">
      <c r="H19875" t="s">
        <v>27115</v>
      </c>
      <c r="I19875" t="s">
        <v>1358</v>
      </c>
      <c r="J19875" t="s">
        <v>1358</v>
      </c>
      <c r="K19875" t="s">
        <v>1358</v>
      </c>
      <c r="L19875" t="s">
        <v>1358</v>
      </c>
    </row>
    <row r="19876" spans="8:12">
      <c r="H19876" t="s">
        <v>26692</v>
      </c>
      <c r="I19876" t="s">
        <v>1358</v>
      </c>
      <c r="J19876" t="s">
        <v>1358</v>
      </c>
      <c r="K19876" t="s">
        <v>1358</v>
      </c>
      <c r="L19876" t="s">
        <v>1358</v>
      </c>
    </row>
    <row r="19877" spans="8:12">
      <c r="H19877" t="s">
        <v>27116</v>
      </c>
      <c r="I19877" t="s">
        <v>1358</v>
      </c>
      <c r="J19877" t="s">
        <v>1358</v>
      </c>
      <c r="K19877" t="s">
        <v>1358</v>
      </c>
      <c r="L19877" t="s">
        <v>1358</v>
      </c>
    </row>
    <row r="19878" spans="8:12">
      <c r="H19878" t="s">
        <v>26693</v>
      </c>
      <c r="I19878" t="s">
        <v>1358</v>
      </c>
      <c r="J19878" t="s">
        <v>1358</v>
      </c>
      <c r="K19878" t="s">
        <v>1358</v>
      </c>
      <c r="L19878" t="s">
        <v>1358</v>
      </c>
    </row>
    <row r="19879" spans="8:12">
      <c r="H19879" t="s">
        <v>27117</v>
      </c>
      <c r="I19879" t="s">
        <v>1358</v>
      </c>
      <c r="J19879" t="s">
        <v>1358</v>
      </c>
      <c r="K19879" t="s">
        <v>1358</v>
      </c>
      <c r="L19879" t="s">
        <v>1358</v>
      </c>
    </row>
    <row r="19880" spans="8:12">
      <c r="H19880" t="s">
        <v>26694</v>
      </c>
      <c r="I19880" t="s">
        <v>1358</v>
      </c>
      <c r="J19880" t="s">
        <v>1358</v>
      </c>
      <c r="K19880" t="s">
        <v>1358</v>
      </c>
      <c r="L19880" t="s">
        <v>1358</v>
      </c>
    </row>
    <row r="19881" spans="8:12">
      <c r="H19881" t="s">
        <v>27118</v>
      </c>
      <c r="I19881" t="s">
        <v>1358</v>
      </c>
      <c r="J19881" t="s">
        <v>1358</v>
      </c>
      <c r="K19881" t="s">
        <v>1358</v>
      </c>
      <c r="L19881" t="s">
        <v>1358</v>
      </c>
    </row>
    <row r="19882" spans="8:12">
      <c r="H19882" t="s">
        <v>26695</v>
      </c>
      <c r="I19882" t="s">
        <v>1358</v>
      </c>
      <c r="J19882" t="s">
        <v>1358</v>
      </c>
      <c r="K19882" t="s">
        <v>1358</v>
      </c>
      <c r="L19882" t="s">
        <v>1358</v>
      </c>
    </row>
    <row r="19883" spans="8:12">
      <c r="H19883" t="s">
        <v>27119</v>
      </c>
      <c r="I19883" t="s">
        <v>1358</v>
      </c>
      <c r="J19883" t="s">
        <v>1358</v>
      </c>
      <c r="K19883" t="s">
        <v>1358</v>
      </c>
      <c r="L19883" t="s">
        <v>1358</v>
      </c>
    </row>
    <row r="19884" spans="8:12">
      <c r="H19884" t="s">
        <v>26696</v>
      </c>
      <c r="I19884" t="s">
        <v>1358</v>
      </c>
      <c r="J19884" t="s">
        <v>1358</v>
      </c>
      <c r="K19884" t="s">
        <v>1358</v>
      </c>
      <c r="L19884" t="s">
        <v>1358</v>
      </c>
    </row>
    <row r="19885" spans="8:12">
      <c r="H19885" t="s">
        <v>27120</v>
      </c>
      <c r="I19885" t="s">
        <v>1358</v>
      </c>
      <c r="J19885" t="s">
        <v>1358</v>
      </c>
      <c r="K19885" t="s">
        <v>1358</v>
      </c>
      <c r="L19885" t="s">
        <v>1358</v>
      </c>
    </row>
    <row r="19886" spans="8:12">
      <c r="H19886" t="s">
        <v>26697</v>
      </c>
      <c r="I19886" t="s">
        <v>1358</v>
      </c>
      <c r="J19886" t="s">
        <v>1358</v>
      </c>
      <c r="K19886" t="s">
        <v>1358</v>
      </c>
      <c r="L19886" t="s">
        <v>1358</v>
      </c>
    </row>
    <row r="19887" spans="8:12">
      <c r="H19887" t="s">
        <v>26698</v>
      </c>
      <c r="I19887" t="s">
        <v>1358</v>
      </c>
      <c r="J19887" t="s">
        <v>1358</v>
      </c>
      <c r="K19887" t="s">
        <v>1358</v>
      </c>
      <c r="L19887" t="s">
        <v>1358</v>
      </c>
    </row>
    <row r="19888" spans="8:12">
      <c r="H19888" t="s">
        <v>27121</v>
      </c>
      <c r="I19888" t="s">
        <v>1358</v>
      </c>
      <c r="J19888" t="s">
        <v>1358</v>
      </c>
      <c r="K19888" t="s">
        <v>1358</v>
      </c>
      <c r="L19888" t="s">
        <v>1358</v>
      </c>
    </row>
    <row r="19889" spans="8:12">
      <c r="H19889" t="s">
        <v>26699</v>
      </c>
      <c r="I19889" t="s">
        <v>1358</v>
      </c>
      <c r="J19889" t="s">
        <v>1358</v>
      </c>
      <c r="K19889" t="s">
        <v>1358</v>
      </c>
      <c r="L19889" t="s">
        <v>1358</v>
      </c>
    </row>
    <row r="19890" spans="8:12">
      <c r="H19890" t="s">
        <v>27122</v>
      </c>
      <c r="I19890" t="s">
        <v>1358</v>
      </c>
      <c r="J19890" t="s">
        <v>1358</v>
      </c>
      <c r="K19890" t="s">
        <v>1358</v>
      </c>
      <c r="L19890" t="s">
        <v>1358</v>
      </c>
    </row>
    <row r="19891" spans="8:12">
      <c r="H19891" t="s">
        <v>26700</v>
      </c>
      <c r="I19891" t="s">
        <v>1358</v>
      </c>
      <c r="J19891" t="s">
        <v>1358</v>
      </c>
      <c r="K19891" t="s">
        <v>1358</v>
      </c>
      <c r="L19891" t="s">
        <v>1358</v>
      </c>
    </row>
    <row r="19892" spans="8:12">
      <c r="H19892" t="s">
        <v>27123</v>
      </c>
      <c r="I19892" t="s">
        <v>1358</v>
      </c>
      <c r="J19892" t="s">
        <v>1358</v>
      </c>
      <c r="K19892" t="s">
        <v>1358</v>
      </c>
      <c r="L19892" t="s">
        <v>1358</v>
      </c>
    </row>
    <row r="19893" spans="8:12">
      <c r="H19893" t="s">
        <v>26701</v>
      </c>
      <c r="I19893" t="s">
        <v>1358</v>
      </c>
      <c r="J19893" t="s">
        <v>1358</v>
      </c>
      <c r="K19893" t="s">
        <v>1358</v>
      </c>
      <c r="L19893" t="s">
        <v>1358</v>
      </c>
    </row>
    <row r="19894" spans="8:12">
      <c r="H19894" t="s">
        <v>27124</v>
      </c>
      <c r="I19894" t="s">
        <v>1358</v>
      </c>
      <c r="J19894" t="s">
        <v>1358</v>
      </c>
      <c r="K19894" t="s">
        <v>1358</v>
      </c>
      <c r="L19894" t="s">
        <v>1358</v>
      </c>
    </row>
    <row r="19895" spans="8:12">
      <c r="H19895" t="s">
        <v>26702</v>
      </c>
      <c r="I19895" t="s">
        <v>1358</v>
      </c>
      <c r="J19895" t="s">
        <v>1358</v>
      </c>
      <c r="K19895" t="s">
        <v>1358</v>
      </c>
      <c r="L19895" t="s">
        <v>1358</v>
      </c>
    </row>
    <row r="19896" spans="8:12">
      <c r="H19896" t="s">
        <v>27125</v>
      </c>
      <c r="I19896" t="s">
        <v>1358</v>
      </c>
      <c r="J19896" t="s">
        <v>1358</v>
      </c>
      <c r="K19896" t="s">
        <v>1358</v>
      </c>
      <c r="L19896" t="s">
        <v>1358</v>
      </c>
    </row>
    <row r="19897" spans="8:12">
      <c r="H19897" t="s">
        <v>26703</v>
      </c>
      <c r="I19897" t="s">
        <v>1358</v>
      </c>
      <c r="J19897" t="s">
        <v>1358</v>
      </c>
      <c r="K19897" t="s">
        <v>1358</v>
      </c>
      <c r="L19897" t="s">
        <v>1358</v>
      </c>
    </row>
    <row r="19898" spans="8:12">
      <c r="H19898" t="s">
        <v>27126</v>
      </c>
      <c r="I19898" t="s">
        <v>1358</v>
      </c>
      <c r="J19898" t="s">
        <v>1358</v>
      </c>
      <c r="K19898" t="s">
        <v>1358</v>
      </c>
      <c r="L19898" t="s">
        <v>1358</v>
      </c>
    </row>
    <row r="19899" spans="8:12">
      <c r="H19899" t="s">
        <v>26704</v>
      </c>
      <c r="I19899" t="s">
        <v>1358</v>
      </c>
      <c r="J19899" t="s">
        <v>1358</v>
      </c>
      <c r="K19899" t="s">
        <v>1358</v>
      </c>
      <c r="L19899" t="s">
        <v>1358</v>
      </c>
    </row>
    <row r="19900" spans="8:12">
      <c r="H19900" t="s">
        <v>26705</v>
      </c>
      <c r="I19900" t="s">
        <v>1358</v>
      </c>
      <c r="J19900" t="s">
        <v>1358</v>
      </c>
      <c r="K19900" t="s">
        <v>1358</v>
      </c>
      <c r="L19900" t="s">
        <v>1358</v>
      </c>
    </row>
    <row r="19901" spans="8:12">
      <c r="H19901" t="s">
        <v>27127</v>
      </c>
      <c r="I19901" t="s">
        <v>1358</v>
      </c>
      <c r="J19901" t="s">
        <v>1358</v>
      </c>
      <c r="K19901" t="s">
        <v>1358</v>
      </c>
      <c r="L19901" t="s">
        <v>1358</v>
      </c>
    </row>
    <row r="19902" spans="8:12">
      <c r="H19902" t="s">
        <v>26706</v>
      </c>
      <c r="I19902" t="s">
        <v>1358</v>
      </c>
      <c r="J19902" t="s">
        <v>1358</v>
      </c>
      <c r="K19902" t="s">
        <v>1358</v>
      </c>
      <c r="L19902" t="s">
        <v>1358</v>
      </c>
    </row>
    <row r="19903" spans="8:12">
      <c r="H19903" t="s">
        <v>27128</v>
      </c>
      <c r="I19903" t="s">
        <v>1358</v>
      </c>
      <c r="J19903" t="s">
        <v>1358</v>
      </c>
      <c r="K19903" t="s">
        <v>1358</v>
      </c>
      <c r="L19903" t="s">
        <v>1358</v>
      </c>
    </row>
    <row r="19904" spans="8:12">
      <c r="H19904" t="s">
        <v>26707</v>
      </c>
      <c r="I19904" t="s">
        <v>1358</v>
      </c>
      <c r="J19904" t="s">
        <v>1358</v>
      </c>
      <c r="K19904" t="s">
        <v>1358</v>
      </c>
      <c r="L19904" t="s">
        <v>1358</v>
      </c>
    </row>
    <row r="19905" spans="8:12">
      <c r="H19905" t="s">
        <v>27129</v>
      </c>
      <c r="I19905" t="s">
        <v>1358</v>
      </c>
      <c r="J19905" t="s">
        <v>1358</v>
      </c>
      <c r="K19905" t="s">
        <v>1358</v>
      </c>
      <c r="L19905" t="s">
        <v>1358</v>
      </c>
    </row>
    <row r="19906" spans="8:12">
      <c r="H19906" t="s">
        <v>26708</v>
      </c>
      <c r="I19906" t="s">
        <v>1358</v>
      </c>
      <c r="J19906" t="s">
        <v>1358</v>
      </c>
      <c r="K19906" t="s">
        <v>1358</v>
      </c>
      <c r="L19906" t="s">
        <v>1358</v>
      </c>
    </row>
    <row r="19907" spans="8:12">
      <c r="H19907" t="s">
        <v>27130</v>
      </c>
      <c r="I19907" t="s">
        <v>1358</v>
      </c>
      <c r="J19907" t="s">
        <v>1358</v>
      </c>
      <c r="K19907" t="s">
        <v>1358</v>
      </c>
      <c r="L19907" t="s">
        <v>1358</v>
      </c>
    </row>
    <row r="19908" spans="8:12">
      <c r="H19908" t="s">
        <v>26709</v>
      </c>
      <c r="I19908" t="s">
        <v>1358</v>
      </c>
      <c r="J19908" t="s">
        <v>1358</v>
      </c>
      <c r="K19908" t="s">
        <v>1358</v>
      </c>
      <c r="L19908" t="s">
        <v>1358</v>
      </c>
    </row>
    <row r="19909" spans="8:12">
      <c r="H19909" t="s">
        <v>27131</v>
      </c>
      <c r="I19909" t="s">
        <v>1358</v>
      </c>
      <c r="J19909" t="s">
        <v>1358</v>
      </c>
      <c r="K19909" t="s">
        <v>1358</v>
      </c>
      <c r="L19909" t="s">
        <v>1358</v>
      </c>
    </row>
    <row r="19910" spans="8:12">
      <c r="H19910" t="s">
        <v>26710</v>
      </c>
      <c r="I19910" t="s">
        <v>1358</v>
      </c>
      <c r="J19910" t="s">
        <v>1358</v>
      </c>
      <c r="K19910" t="s">
        <v>1358</v>
      </c>
      <c r="L19910" t="s">
        <v>1358</v>
      </c>
    </row>
    <row r="19911" spans="8:12">
      <c r="H19911" t="s">
        <v>27132</v>
      </c>
      <c r="I19911" t="s">
        <v>1358</v>
      </c>
      <c r="J19911" t="s">
        <v>1358</v>
      </c>
      <c r="K19911" t="s">
        <v>1358</v>
      </c>
      <c r="L19911" t="s">
        <v>1358</v>
      </c>
    </row>
    <row r="19912" spans="8:12">
      <c r="H19912" t="s">
        <v>26711</v>
      </c>
      <c r="I19912" t="s">
        <v>1358</v>
      </c>
      <c r="J19912" t="s">
        <v>1358</v>
      </c>
      <c r="K19912" t="s">
        <v>1358</v>
      </c>
      <c r="L19912" t="s">
        <v>1358</v>
      </c>
    </row>
    <row r="19913" spans="8:12">
      <c r="H19913" t="s">
        <v>26712</v>
      </c>
      <c r="I19913" t="s">
        <v>1358</v>
      </c>
      <c r="J19913" t="s">
        <v>1358</v>
      </c>
      <c r="K19913" t="s">
        <v>1358</v>
      </c>
      <c r="L19913" t="s">
        <v>1358</v>
      </c>
    </row>
    <row r="19914" spans="8:12">
      <c r="H19914" t="s">
        <v>27133</v>
      </c>
      <c r="I19914" t="s">
        <v>1358</v>
      </c>
      <c r="J19914" t="s">
        <v>1358</v>
      </c>
      <c r="K19914" t="s">
        <v>1358</v>
      </c>
      <c r="L19914" t="s">
        <v>1358</v>
      </c>
    </row>
    <row r="19915" spans="8:12">
      <c r="H19915" t="s">
        <v>26713</v>
      </c>
      <c r="I19915" t="s">
        <v>1358</v>
      </c>
      <c r="J19915" t="s">
        <v>1358</v>
      </c>
      <c r="K19915" t="s">
        <v>1358</v>
      </c>
      <c r="L19915" t="s">
        <v>1358</v>
      </c>
    </row>
    <row r="19916" spans="8:12">
      <c r="H19916" t="s">
        <v>27134</v>
      </c>
      <c r="I19916" t="s">
        <v>1358</v>
      </c>
      <c r="J19916" t="s">
        <v>1358</v>
      </c>
      <c r="K19916" t="s">
        <v>1358</v>
      </c>
      <c r="L19916" t="s">
        <v>1358</v>
      </c>
    </row>
    <row r="19917" spans="8:12">
      <c r="H19917" t="s">
        <v>26714</v>
      </c>
      <c r="I19917" t="s">
        <v>1358</v>
      </c>
      <c r="J19917" t="s">
        <v>1358</v>
      </c>
      <c r="K19917" t="s">
        <v>1358</v>
      </c>
      <c r="L19917" t="s">
        <v>1358</v>
      </c>
    </row>
    <row r="19918" spans="8:12">
      <c r="H19918" t="s">
        <v>27135</v>
      </c>
      <c r="I19918" t="s">
        <v>1358</v>
      </c>
      <c r="J19918" t="s">
        <v>1358</v>
      </c>
      <c r="K19918" t="s">
        <v>1358</v>
      </c>
      <c r="L19918" t="s">
        <v>1358</v>
      </c>
    </row>
    <row r="19919" spans="8:12">
      <c r="H19919" t="s">
        <v>26715</v>
      </c>
      <c r="I19919" t="s">
        <v>1358</v>
      </c>
      <c r="J19919" t="s">
        <v>1358</v>
      </c>
      <c r="K19919" t="s">
        <v>1358</v>
      </c>
      <c r="L19919" t="s">
        <v>1358</v>
      </c>
    </row>
    <row r="19920" spans="8:12">
      <c r="H19920" t="s">
        <v>27136</v>
      </c>
      <c r="I19920" t="s">
        <v>1358</v>
      </c>
      <c r="J19920" t="s">
        <v>1358</v>
      </c>
      <c r="K19920" t="s">
        <v>1358</v>
      </c>
      <c r="L19920" t="s">
        <v>1358</v>
      </c>
    </row>
    <row r="19921" spans="8:12">
      <c r="H19921" t="s">
        <v>26716</v>
      </c>
      <c r="I19921" t="s">
        <v>1358</v>
      </c>
      <c r="J19921" t="s">
        <v>1358</v>
      </c>
      <c r="K19921" t="s">
        <v>1358</v>
      </c>
      <c r="L19921" t="s">
        <v>1358</v>
      </c>
    </row>
    <row r="19922" spans="8:12">
      <c r="H19922" t="s">
        <v>26717</v>
      </c>
      <c r="I19922" t="s">
        <v>1358</v>
      </c>
      <c r="J19922" t="s">
        <v>1358</v>
      </c>
      <c r="K19922" t="s">
        <v>1358</v>
      </c>
      <c r="L19922" t="s">
        <v>1358</v>
      </c>
    </row>
    <row r="19923" spans="8:12">
      <c r="H19923" t="s">
        <v>27137</v>
      </c>
      <c r="I19923" t="s">
        <v>1358</v>
      </c>
      <c r="J19923" t="s">
        <v>1358</v>
      </c>
      <c r="K19923" t="s">
        <v>1358</v>
      </c>
      <c r="L19923" t="s">
        <v>1358</v>
      </c>
    </row>
    <row r="19924" spans="8:12">
      <c r="H19924" t="s">
        <v>26718</v>
      </c>
      <c r="I19924" t="s">
        <v>1358</v>
      </c>
      <c r="J19924" t="s">
        <v>1358</v>
      </c>
      <c r="K19924" t="s">
        <v>1358</v>
      </c>
      <c r="L19924" t="s">
        <v>1358</v>
      </c>
    </row>
    <row r="19925" spans="8:12">
      <c r="H19925" t="s">
        <v>27138</v>
      </c>
      <c r="I19925" t="s">
        <v>1358</v>
      </c>
      <c r="J19925" t="s">
        <v>1358</v>
      </c>
      <c r="K19925" t="s">
        <v>1358</v>
      </c>
      <c r="L19925" t="s">
        <v>1358</v>
      </c>
    </row>
    <row r="19926" spans="8:12">
      <c r="H19926" t="s">
        <v>26719</v>
      </c>
      <c r="I19926" t="s">
        <v>1358</v>
      </c>
      <c r="J19926" t="s">
        <v>1358</v>
      </c>
      <c r="K19926" t="s">
        <v>1358</v>
      </c>
      <c r="L19926" t="s">
        <v>1358</v>
      </c>
    </row>
    <row r="19927" spans="8:12">
      <c r="H19927" t="s">
        <v>27139</v>
      </c>
      <c r="I19927" t="s">
        <v>1358</v>
      </c>
      <c r="J19927" t="s">
        <v>1358</v>
      </c>
      <c r="K19927" t="s">
        <v>1358</v>
      </c>
      <c r="L19927" t="s">
        <v>1358</v>
      </c>
    </row>
    <row r="19928" spans="8:12">
      <c r="H19928" t="s">
        <v>26720</v>
      </c>
      <c r="I19928" t="s">
        <v>1358</v>
      </c>
      <c r="J19928" t="s">
        <v>1358</v>
      </c>
      <c r="K19928" t="s">
        <v>1358</v>
      </c>
      <c r="L19928" t="s">
        <v>1358</v>
      </c>
    </row>
    <row r="19929" spans="8:12">
      <c r="H19929" t="s">
        <v>27140</v>
      </c>
      <c r="I19929" t="s">
        <v>1358</v>
      </c>
      <c r="J19929" t="s">
        <v>1358</v>
      </c>
      <c r="K19929" t="s">
        <v>1358</v>
      </c>
      <c r="L19929" t="s">
        <v>1358</v>
      </c>
    </row>
    <row r="19930" spans="8:12">
      <c r="H19930" t="s">
        <v>26721</v>
      </c>
      <c r="I19930" t="s">
        <v>1358</v>
      </c>
      <c r="J19930" t="s">
        <v>1358</v>
      </c>
      <c r="K19930" t="s">
        <v>1358</v>
      </c>
      <c r="L19930" t="s">
        <v>1358</v>
      </c>
    </row>
    <row r="19931" spans="8:12">
      <c r="H19931" t="s">
        <v>27141</v>
      </c>
      <c r="I19931" t="s">
        <v>1358</v>
      </c>
      <c r="J19931" t="s">
        <v>1358</v>
      </c>
      <c r="K19931" t="s">
        <v>1358</v>
      </c>
      <c r="L19931" t="s">
        <v>1358</v>
      </c>
    </row>
    <row r="19932" spans="8:12">
      <c r="H19932" t="s">
        <v>27142</v>
      </c>
      <c r="I19932" t="s">
        <v>1358</v>
      </c>
      <c r="J19932" t="s">
        <v>1358</v>
      </c>
      <c r="K19932" t="s">
        <v>1358</v>
      </c>
      <c r="L19932" t="s">
        <v>1358</v>
      </c>
    </row>
    <row r="19933" spans="8:12">
      <c r="H19933" t="s">
        <v>27143</v>
      </c>
      <c r="I19933" t="s">
        <v>1358</v>
      </c>
      <c r="J19933" t="s">
        <v>1358</v>
      </c>
      <c r="K19933" t="s">
        <v>1358</v>
      </c>
      <c r="L19933" t="s">
        <v>1358</v>
      </c>
    </row>
    <row r="19934" spans="8:12">
      <c r="H19934" t="s">
        <v>27144</v>
      </c>
      <c r="I19934" t="s">
        <v>1358</v>
      </c>
      <c r="J19934" t="s">
        <v>1358</v>
      </c>
      <c r="K19934" t="s">
        <v>1358</v>
      </c>
      <c r="L19934" t="s">
        <v>1358</v>
      </c>
    </row>
    <row r="19935" spans="8:12">
      <c r="H19935" t="s">
        <v>27145</v>
      </c>
      <c r="I19935" t="s">
        <v>1358</v>
      </c>
      <c r="J19935" t="s">
        <v>1358</v>
      </c>
      <c r="K19935" t="s">
        <v>1358</v>
      </c>
      <c r="L19935" t="s">
        <v>1358</v>
      </c>
    </row>
    <row r="19936" spans="8:12">
      <c r="H19936" t="s">
        <v>27146</v>
      </c>
      <c r="I19936" t="s">
        <v>1358</v>
      </c>
      <c r="J19936" t="s">
        <v>1358</v>
      </c>
      <c r="K19936" t="s">
        <v>1358</v>
      </c>
      <c r="L19936" t="s">
        <v>1358</v>
      </c>
    </row>
    <row r="19937" spans="8:12">
      <c r="H19937" t="s">
        <v>27147</v>
      </c>
      <c r="I19937" t="s">
        <v>1358</v>
      </c>
      <c r="J19937" t="s">
        <v>1358</v>
      </c>
      <c r="K19937" t="s">
        <v>1358</v>
      </c>
      <c r="L19937" t="s">
        <v>1358</v>
      </c>
    </row>
    <row r="19938" spans="8:12">
      <c r="H19938" t="s">
        <v>27148</v>
      </c>
      <c r="I19938" t="s">
        <v>1358</v>
      </c>
      <c r="J19938" t="s">
        <v>1358</v>
      </c>
      <c r="K19938" t="s">
        <v>1358</v>
      </c>
      <c r="L19938" t="s">
        <v>1358</v>
      </c>
    </row>
    <row r="19939" spans="8:12">
      <c r="H19939" t="s">
        <v>27149</v>
      </c>
      <c r="I19939" t="s">
        <v>1358</v>
      </c>
      <c r="J19939" t="s">
        <v>1358</v>
      </c>
      <c r="K19939" t="s">
        <v>1358</v>
      </c>
      <c r="L19939" t="s">
        <v>1358</v>
      </c>
    </row>
    <row r="19940" spans="8:12">
      <c r="H19940" t="s">
        <v>27150</v>
      </c>
      <c r="I19940" t="s">
        <v>1358</v>
      </c>
      <c r="J19940" t="s">
        <v>1358</v>
      </c>
      <c r="K19940" t="s">
        <v>1358</v>
      </c>
      <c r="L19940" t="s">
        <v>1358</v>
      </c>
    </row>
    <row r="19941" spans="8:12">
      <c r="H19941" t="s">
        <v>27151</v>
      </c>
      <c r="I19941" t="s">
        <v>1358</v>
      </c>
      <c r="J19941" t="s">
        <v>1358</v>
      </c>
      <c r="K19941" t="s">
        <v>1358</v>
      </c>
      <c r="L19941" t="s">
        <v>1358</v>
      </c>
    </row>
    <row r="19942" spans="8:12">
      <c r="H19942" t="s">
        <v>27152</v>
      </c>
      <c r="I19942" t="s">
        <v>1358</v>
      </c>
      <c r="J19942" t="s">
        <v>1358</v>
      </c>
      <c r="K19942" t="s">
        <v>1358</v>
      </c>
      <c r="L19942" t="s">
        <v>1358</v>
      </c>
    </row>
    <row r="19943" spans="8:12">
      <c r="H19943" t="s">
        <v>27153</v>
      </c>
      <c r="I19943" t="s">
        <v>1358</v>
      </c>
      <c r="J19943" t="s">
        <v>1358</v>
      </c>
      <c r="K19943" t="s">
        <v>1358</v>
      </c>
      <c r="L19943" t="s">
        <v>1358</v>
      </c>
    </row>
    <row r="19944" spans="8:12">
      <c r="H19944" t="s">
        <v>27154</v>
      </c>
      <c r="I19944" t="s">
        <v>1358</v>
      </c>
      <c r="J19944" t="s">
        <v>1358</v>
      </c>
      <c r="K19944" t="s">
        <v>1358</v>
      </c>
      <c r="L19944" t="s">
        <v>1358</v>
      </c>
    </row>
    <row r="19945" spans="8:12">
      <c r="H19945" t="s">
        <v>27155</v>
      </c>
      <c r="I19945" t="s">
        <v>1358</v>
      </c>
      <c r="J19945" t="s">
        <v>1358</v>
      </c>
      <c r="K19945" t="s">
        <v>1358</v>
      </c>
      <c r="L19945" t="s">
        <v>1358</v>
      </c>
    </row>
    <row r="19946" spans="8:12">
      <c r="H19946" t="s">
        <v>27156</v>
      </c>
      <c r="I19946" t="s">
        <v>1358</v>
      </c>
      <c r="J19946" t="s">
        <v>1358</v>
      </c>
      <c r="K19946" t="s">
        <v>1358</v>
      </c>
      <c r="L19946" t="s">
        <v>1358</v>
      </c>
    </row>
    <row r="19947" spans="8:12">
      <c r="H19947" t="s">
        <v>27157</v>
      </c>
      <c r="I19947" t="s">
        <v>1358</v>
      </c>
      <c r="J19947" t="s">
        <v>1358</v>
      </c>
      <c r="K19947" t="s">
        <v>1358</v>
      </c>
      <c r="L19947" t="s">
        <v>1358</v>
      </c>
    </row>
    <row r="19948" spans="8:12">
      <c r="H19948" t="s">
        <v>27158</v>
      </c>
      <c r="I19948" t="s">
        <v>1358</v>
      </c>
      <c r="J19948" t="s">
        <v>1358</v>
      </c>
      <c r="K19948" t="s">
        <v>1358</v>
      </c>
      <c r="L19948" t="s">
        <v>1358</v>
      </c>
    </row>
    <row r="19949" spans="8:12">
      <c r="H19949" t="s">
        <v>27159</v>
      </c>
      <c r="I19949" t="s">
        <v>1358</v>
      </c>
      <c r="J19949" t="s">
        <v>1358</v>
      </c>
      <c r="K19949" t="s">
        <v>1358</v>
      </c>
      <c r="L19949" t="s">
        <v>1358</v>
      </c>
    </row>
    <row r="19950" spans="8:12">
      <c r="H19950" t="s">
        <v>27160</v>
      </c>
      <c r="I19950" t="s">
        <v>1358</v>
      </c>
      <c r="J19950" t="s">
        <v>1358</v>
      </c>
      <c r="K19950" t="s">
        <v>1358</v>
      </c>
      <c r="L19950" t="s">
        <v>1358</v>
      </c>
    </row>
    <row r="19951" spans="8:12">
      <c r="H19951" t="s">
        <v>27161</v>
      </c>
      <c r="I19951" t="s">
        <v>1358</v>
      </c>
      <c r="J19951" t="s">
        <v>1358</v>
      </c>
      <c r="K19951" t="s">
        <v>1358</v>
      </c>
      <c r="L19951" t="s">
        <v>1358</v>
      </c>
    </row>
    <row r="19952" spans="8:12">
      <c r="H19952" t="s">
        <v>27162</v>
      </c>
      <c r="I19952" t="s">
        <v>1358</v>
      </c>
      <c r="J19952" t="s">
        <v>1358</v>
      </c>
      <c r="K19952" t="s">
        <v>1358</v>
      </c>
      <c r="L19952" t="s">
        <v>1358</v>
      </c>
    </row>
    <row r="19953" spans="8:12">
      <c r="H19953" t="s">
        <v>27163</v>
      </c>
      <c r="I19953" t="s">
        <v>1358</v>
      </c>
      <c r="J19953" t="s">
        <v>1358</v>
      </c>
      <c r="K19953" t="s">
        <v>1358</v>
      </c>
      <c r="L19953" t="s">
        <v>1358</v>
      </c>
    </row>
    <row r="19954" spans="8:12">
      <c r="H19954" t="s">
        <v>27164</v>
      </c>
      <c r="I19954" t="s">
        <v>1358</v>
      </c>
      <c r="J19954" t="s">
        <v>1358</v>
      </c>
      <c r="K19954" t="s">
        <v>1358</v>
      </c>
      <c r="L19954" t="s">
        <v>1358</v>
      </c>
    </row>
    <row r="19955" spans="8:12">
      <c r="H19955" t="s">
        <v>27165</v>
      </c>
      <c r="I19955" t="s">
        <v>1358</v>
      </c>
      <c r="J19955" t="s">
        <v>1358</v>
      </c>
      <c r="K19955" t="s">
        <v>1358</v>
      </c>
      <c r="L19955" t="s">
        <v>1358</v>
      </c>
    </row>
    <row r="19956" spans="8:12">
      <c r="H19956" t="s">
        <v>27166</v>
      </c>
      <c r="I19956" t="s">
        <v>1358</v>
      </c>
      <c r="J19956" t="s">
        <v>1358</v>
      </c>
      <c r="K19956" t="s">
        <v>1358</v>
      </c>
      <c r="L19956" t="s">
        <v>1358</v>
      </c>
    </row>
    <row r="19957" spans="8:12">
      <c r="H19957" t="s">
        <v>27167</v>
      </c>
      <c r="I19957" t="s">
        <v>1358</v>
      </c>
      <c r="J19957" t="s">
        <v>1358</v>
      </c>
      <c r="K19957" t="s">
        <v>1358</v>
      </c>
      <c r="L19957" t="s">
        <v>1358</v>
      </c>
    </row>
    <row r="19958" spans="8:12">
      <c r="H19958" t="s">
        <v>26736</v>
      </c>
      <c r="I19958" t="s">
        <v>1358</v>
      </c>
      <c r="J19958" t="s">
        <v>1358</v>
      </c>
      <c r="K19958" t="s">
        <v>1358</v>
      </c>
      <c r="L19958" t="s">
        <v>1358</v>
      </c>
    </row>
    <row r="19959" spans="8:12">
      <c r="H19959" t="s">
        <v>27168</v>
      </c>
      <c r="I19959" t="s">
        <v>1358</v>
      </c>
      <c r="J19959" t="s">
        <v>1358</v>
      </c>
      <c r="K19959" t="s">
        <v>1358</v>
      </c>
      <c r="L19959" t="s">
        <v>1358</v>
      </c>
    </row>
    <row r="19960" spans="8:12">
      <c r="H19960" t="s">
        <v>26737</v>
      </c>
      <c r="I19960" t="s">
        <v>1358</v>
      </c>
      <c r="J19960" t="s">
        <v>1358</v>
      </c>
      <c r="K19960" t="s">
        <v>1358</v>
      </c>
      <c r="L19960" t="s">
        <v>1358</v>
      </c>
    </row>
    <row r="19961" spans="8:12">
      <c r="H19961" t="s">
        <v>27169</v>
      </c>
      <c r="I19961" t="s">
        <v>1358</v>
      </c>
      <c r="J19961" t="s">
        <v>1358</v>
      </c>
      <c r="K19961" t="s">
        <v>1358</v>
      </c>
      <c r="L19961" t="s">
        <v>1358</v>
      </c>
    </row>
    <row r="19962" spans="8:12">
      <c r="H19962" t="s">
        <v>26738</v>
      </c>
      <c r="I19962" t="s">
        <v>1358</v>
      </c>
      <c r="J19962" t="s">
        <v>1358</v>
      </c>
      <c r="K19962" t="s">
        <v>1358</v>
      </c>
      <c r="L19962" t="s">
        <v>1358</v>
      </c>
    </row>
    <row r="19963" spans="8:12">
      <c r="H19963" t="s">
        <v>27170</v>
      </c>
      <c r="I19963" t="s">
        <v>1358</v>
      </c>
      <c r="J19963" t="s">
        <v>1358</v>
      </c>
      <c r="K19963" t="s">
        <v>1358</v>
      </c>
      <c r="L19963" t="s">
        <v>1358</v>
      </c>
    </row>
    <row r="19964" spans="8:12">
      <c r="H19964" t="s">
        <v>26739</v>
      </c>
      <c r="I19964" t="s">
        <v>1358</v>
      </c>
      <c r="J19964" t="s">
        <v>1358</v>
      </c>
      <c r="K19964" t="s">
        <v>1358</v>
      </c>
      <c r="L19964" t="s">
        <v>1358</v>
      </c>
    </row>
    <row r="19965" spans="8:12">
      <c r="H19965" t="s">
        <v>27171</v>
      </c>
      <c r="I19965" t="s">
        <v>1358</v>
      </c>
      <c r="J19965" t="s">
        <v>1358</v>
      </c>
      <c r="K19965" t="s">
        <v>1358</v>
      </c>
      <c r="L19965" t="s">
        <v>1358</v>
      </c>
    </row>
    <row r="19966" spans="8:12">
      <c r="H19966" t="s">
        <v>26740</v>
      </c>
      <c r="I19966" t="s">
        <v>1358</v>
      </c>
      <c r="J19966" t="s">
        <v>1358</v>
      </c>
      <c r="K19966" t="s">
        <v>1358</v>
      </c>
      <c r="L19966" t="s">
        <v>1358</v>
      </c>
    </row>
    <row r="19967" spans="8:12">
      <c r="H19967" t="s">
        <v>27172</v>
      </c>
      <c r="I19967" t="s">
        <v>1358</v>
      </c>
      <c r="J19967" t="s">
        <v>1358</v>
      </c>
      <c r="K19967" t="s">
        <v>1358</v>
      </c>
      <c r="L19967" t="s">
        <v>1358</v>
      </c>
    </row>
    <row r="19968" spans="8:12">
      <c r="H19968" t="s">
        <v>26741</v>
      </c>
      <c r="I19968" t="s">
        <v>1358</v>
      </c>
      <c r="J19968" t="s">
        <v>1358</v>
      </c>
      <c r="K19968" t="s">
        <v>1358</v>
      </c>
      <c r="L19968" t="s">
        <v>1358</v>
      </c>
    </row>
    <row r="19969" spans="8:12">
      <c r="H19969" t="s">
        <v>27173</v>
      </c>
      <c r="I19969" t="s">
        <v>1358</v>
      </c>
      <c r="J19969" t="s">
        <v>1358</v>
      </c>
      <c r="K19969" t="s">
        <v>1358</v>
      </c>
      <c r="L19969" t="s">
        <v>1358</v>
      </c>
    </row>
    <row r="19970" spans="8:12">
      <c r="H19970" t="s">
        <v>26742</v>
      </c>
      <c r="I19970" t="s">
        <v>1358</v>
      </c>
      <c r="J19970" t="s">
        <v>1358</v>
      </c>
      <c r="K19970" t="s">
        <v>1358</v>
      </c>
      <c r="L19970" t="s">
        <v>1358</v>
      </c>
    </row>
    <row r="19971" spans="8:12">
      <c r="H19971" t="s">
        <v>26743</v>
      </c>
      <c r="I19971" t="s">
        <v>1358</v>
      </c>
      <c r="J19971" t="s">
        <v>1358</v>
      </c>
      <c r="K19971" t="s">
        <v>1358</v>
      </c>
      <c r="L19971" t="s">
        <v>1358</v>
      </c>
    </row>
    <row r="19972" spans="8:12">
      <c r="H19972" t="s">
        <v>27174</v>
      </c>
      <c r="I19972" t="s">
        <v>1358</v>
      </c>
      <c r="J19972" t="s">
        <v>1358</v>
      </c>
      <c r="K19972" t="s">
        <v>1358</v>
      </c>
      <c r="L19972" t="s">
        <v>1358</v>
      </c>
    </row>
    <row r="19973" spans="8:12">
      <c r="H19973" t="s">
        <v>26744</v>
      </c>
      <c r="I19973" t="s">
        <v>1358</v>
      </c>
      <c r="J19973" t="s">
        <v>1358</v>
      </c>
      <c r="K19973" t="s">
        <v>1358</v>
      </c>
      <c r="L19973" t="s">
        <v>1358</v>
      </c>
    </row>
    <row r="19974" spans="8:12">
      <c r="H19974" t="s">
        <v>27175</v>
      </c>
      <c r="I19974" t="s">
        <v>1358</v>
      </c>
      <c r="J19974" t="s">
        <v>1358</v>
      </c>
      <c r="K19974" t="s">
        <v>1358</v>
      </c>
      <c r="L19974" t="s">
        <v>1358</v>
      </c>
    </row>
    <row r="19975" spans="8:12">
      <c r="H19975" t="s">
        <v>26745</v>
      </c>
      <c r="I19975" t="s">
        <v>1358</v>
      </c>
      <c r="J19975" t="s">
        <v>1358</v>
      </c>
      <c r="K19975" t="s">
        <v>1358</v>
      </c>
      <c r="L19975" t="s">
        <v>1358</v>
      </c>
    </row>
    <row r="19976" spans="8:12">
      <c r="H19976" t="s">
        <v>27176</v>
      </c>
      <c r="I19976" t="s">
        <v>1358</v>
      </c>
      <c r="J19976" t="s">
        <v>1358</v>
      </c>
      <c r="K19976" t="s">
        <v>1358</v>
      </c>
      <c r="L19976" t="s">
        <v>1358</v>
      </c>
    </row>
    <row r="19977" spans="8:12">
      <c r="H19977" t="s">
        <v>26746</v>
      </c>
      <c r="I19977" t="s">
        <v>1358</v>
      </c>
      <c r="J19977" t="s">
        <v>1358</v>
      </c>
      <c r="K19977" t="s">
        <v>1358</v>
      </c>
      <c r="L19977" t="s">
        <v>1358</v>
      </c>
    </row>
    <row r="19978" spans="8:12">
      <c r="H19978" t="s">
        <v>27177</v>
      </c>
      <c r="I19978" t="s">
        <v>1358</v>
      </c>
      <c r="J19978" t="s">
        <v>1358</v>
      </c>
      <c r="K19978" t="s">
        <v>1358</v>
      </c>
      <c r="L19978" t="s">
        <v>1358</v>
      </c>
    </row>
    <row r="19979" spans="8:12">
      <c r="H19979" t="s">
        <v>26747</v>
      </c>
      <c r="I19979" t="s">
        <v>1358</v>
      </c>
      <c r="J19979" t="s">
        <v>1358</v>
      </c>
      <c r="K19979" t="s">
        <v>1358</v>
      </c>
      <c r="L19979" t="s">
        <v>1358</v>
      </c>
    </row>
    <row r="19980" spans="8:12">
      <c r="H19980" t="s">
        <v>27178</v>
      </c>
      <c r="I19980" t="s">
        <v>1358</v>
      </c>
      <c r="J19980" t="s">
        <v>1358</v>
      </c>
      <c r="K19980" t="s">
        <v>1358</v>
      </c>
      <c r="L19980" t="s">
        <v>1358</v>
      </c>
    </row>
    <row r="19981" spans="8:12">
      <c r="H19981" t="s">
        <v>26748</v>
      </c>
      <c r="I19981" t="s">
        <v>1358</v>
      </c>
      <c r="J19981" t="s">
        <v>1358</v>
      </c>
      <c r="K19981" t="s">
        <v>1358</v>
      </c>
      <c r="L19981" t="s">
        <v>1358</v>
      </c>
    </row>
    <row r="19982" spans="8:12">
      <c r="H19982" t="s">
        <v>27179</v>
      </c>
      <c r="I19982" t="s">
        <v>1358</v>
      </c>
      <c r="J19982" t="s">
        <v>1358</v>
      </c>
      <c r="K19982" t="s">
        <v>1358</v>
      </c>
      <c r="L19982" t="s">
        <v>1358</v>
      </c>
    </row>
    <row r="19983" spans="8:12">
      <c r="H19983" t="s">
        <v>26749</v>
      </c>
      <c r="I19983" t="s">
        <v>1358</v>
      </c>
      <c r="J19983" t="s">
        <v>1358</v>
      </c>
      <c r="K19983" t="s">
        <v>1358</v>
      </c>
      <c r="L19983" t="s">
        <v>1358</v>
      </c>
    </row>
    <row r="19984" spans="8:12">
      <c r="H19984" t="s">
        <v>26750</v>
      </c>
      <c r="I19984" t="s">
        <v>1358</v>
      </c>
      <c r="J19984" t="s">
        <v>1358</v>
      </c>
      <c r="K19984" t="s">
        <v>1358</v>
      </c>
      <c r="L19984" t="s">
        <v>1358</v>
      </c>
    </row>
    <row r="19985" spans="8:12">
      <c r="H19985" t="s">
        <v>27180</v>
      </c>
      <c r="I19985" t="s">
        <v>1358</v>
      </c>
      <c r="J19985" t="s">
        <v>1358</v>
      </c>
      <c r="K19985" t="s">
        <v>1358</v>
      </c>
      <c r="L19985" t="s">
        <v>1358</v>
      </c>
    </row>
    <row r="19986" spans="8:12">
      <c r="H19986" t="s">
        <v>26751</v>
      </c>
      <c r="I19986" t="s">
        <v>1358</v>
      </c>
      <c r="J19986" t="s">
        <v>1358</v>
      </c>
      <c r="K19986" t="s">
        <v>1358</v>
      </c>
      <c r="L19986" t="s">
        <v>1358</v>
      </c>
    </row>
    <row r="19987" spans="8:12">
      <c r="H19987" t="s">
        <v>27181</v>
      </c>
      <c r="I19987" t="s">
        <v>1358</v>
      </c>
      <c r="J19987" t="s">
        <v>1358</v>
      </c>
      <c r="K19987" t="s">
        <v>1358</v>
      </c>
      <c r="L19987" t="s">
        <v>1358</v>
      </c>
    </row>
    <row r="19988" spans="8:12">
      <c r="H19988" t="s">
        <v>26752</v>
      </c>
      <c r="I19988" t="s">
        <v>1358</v>
      </c>
      <c r="J19988" t="s">
        <v>1358</v>
      </c>
      <c r="K19988" t="s">
        <v>1358</v>
      </c>
      <c r="L19988" t="s">
        <v>1358</v>
      </c>
    </row>
    <row r="19989" spans="8:12">
      <c r="H19989" t="s">
        <v>27182</v>
      </c>
      <c r="I19989" t="s">
        <v>1358</v>
      </c>
      <c r="J19989" t="s">
        <v>1358</v>
      </c>
      <c r="K19989" t="s">
        <v>1358</v>
      </c>
      <c r="L19989" t="s">
        <v>1358</v>
      </c>
    </row>
    <row r="19990" spans="8:12">
      <c r="H19990" t="s">
        <v>26753</v>
      </c>
      <c r="I19990" t="s">
        <v>1358</v>
      </c>
      <c r="J19990" t="s">
        <v>1358</v>
      </c>
      <c r="K19990" t="s">
        <v>1358</v>
      </c>
      <c r="L19990" t="s">
        <v>1358</v>
      </c>
    </row>
    <row r="19991" spans="8:12">
      <c r="H19991" t="s">
        <v>27183</v>
      </c>
      <c r="I19991" t="s">
        <v>1358</v>
      </c>
      <c r="J19991" t="s">
        <v>1358</v>
      </c>
      <c r="K19991" t="s">
        <v>1358</v>
      </c>
      <c r="L19991" t="s">
        <v>1358</v>
      </c>
    </row>
    <row r="19992" spans="8:12">
      <c r="H19992" t="s">
        <v>26754</v>
      </c>
      <c r="I19992" t="s">
        <v>1358</v>
      </c>
      <c r="J19992" t="s">
        <v>1358</v>
      </c>
      <c r="K19992" t="s">
        <v>1358</v>
      </c>
      <c r="L19992" t="s">
        <v>1358</v>
      </c>
    </row>
    <row r="19993" spans="8:12">
      <c r="H19993" t="s">
        <v>27184</v>
      </c>
      <c r="I19993" t="s">
        <v>1358</v>
      </c>
      <c r="J19993" t="s">
        <v>1358</v>
      </c>
      <c r="K19993" t="s">
        <v>1358</v>
      </c>
      <c r="L19993" t="s">
        <v>1358</v>
      </c>
    </row>
    <row r="19994" spans="8:12">
      <c r="H19994" t="s">
        <v>26755</v>
      </c>
      <c r="I19994" t="s">
        <v>1358</v>
      </c>
      <c r="J19994" t="s">
        <v>1358</v>
      </c>
      <c r="K19994" t="s">
        <v>1358</v>
      </c>
      <c r="L19994" t="s">
        <v>1358</v>
      </c>
    </row>
    <row r="19995" spans="8:12">
      <c r="H19995" t="s">
        <v>27185</v>
      </c>
      <c r="I19995" t="s">
        <v>1358</v>
      </c>
      <c r="J19995" t="s">
        <v>1358</v>
      </c>
      <c r="K19995" t="s">
        <v>1358</v>
      </c>
      <c r="L19995" t="s">
        <v>1358</v>
      </c>
    </row>
    <row r="19996" spans="8:12">
      <c r="H19996" t="s">
        <v>26756</v>
      </c>
      <c r="I19996" t="s">
        <v>1358</v>
      </c>
      <c r="J19996" t="s">
        <v>1358</v>
      </c>
      <c r="K19996" t="s">
        <v>1358</v>
      </c>
      <c r="L19996" t="s">
        <v>1358</v>
      </c>
    </row>
    <row r="19997" spans="8:12">
      <c r="H19997" t="s">
        <v>26757</v>
      </c>
      <c r="I19997" t="s">
        <v>1358</v>
      </c>
      <c r="J19997" t="s">
        <v>1358</v>
      </c>
      <c r="K19997" t="s">
        <v>1358</v>
      </c>
      <c r="L19997" t="s">
        <v>1358</v>
      </c>
    </row>
    <row r="19998" spans="8:12">
      <c r="H19998" t="s">
        <v>27186</v>
      </c>
      <c r="I19998" t="s">
        <v>1358</v>
      </c>
      <c r="J19998" t="s">
        <v>1358</v>
      </c>
      <c r="K19998" t="s">
        <v>1358</v>
      </c>
      <c r="L19998" t="s">
        <v>1358</v>
      </c>
    </row>
    <row r="19999" spans="8:12">
      <c r="H19999" t="s">
        <v>26758</v>
      </c>
      <c r="I19999" t="s">
        <v>1358</v>
      </c>
      <c r="J19999" t="s">
        <v>1358</v>
      </c>
      <c r="K19999" t="s">
        <v>1358</v>
      </c>
      <c r="L19999" t="s">
        <v>1358</v>
      </c>
    </row>
    <row r="20000" spans="8:12">
      <c r="H20000" t="s">
        <v>27187</v>
      </c>
      <c r="I20000" t="s">
        <v>1358</v>
      </c>
      <c r="J20000" t="s">
        <v>1358</v>
      </c>
      <c r="K20000" t="s">
        <v>1358</v>
      </c>
      <c r="L20000" t="s">
        <v>1358</v>
      </c>
    </row>
    <row r="20001" spans="8:12">
      <c r="H20001" t="s">
        <v>26759</v>
      </c>
      <c r="I20001" t="s">
        <v>1358</v>
      </c>
      <c r="J20001" t="s">
        <v>1358</v>
      </c>
      <c r="K20001" t="s">
        <v>1358</v>
      </c>
      <c r="L20001" t="s">
        <v>1358</v>
      </c>
    </row>
    <row r="20002" spans="8:12">
      <c r="H20002" t="s">
        <v>27188</v>
      </c>
      <c r="I20002" t="s">
        <v>1358</v>
      </c>
      <c r="J20002" t="s">
        <v>1358</v>
      </c>
      <c r="K20002" t="s">
        <v>1358</v>
      </c>
      <c r="L20002" t="s">
        <v>1358</v>
      </c>
    </row>
    <row r="20003" spans="8:12">
      <c r="H20003" t="s">
        <v>26760</v>
      </c>
      <c r="I20003" t="s">
        <v>1358</v>
      </c>
      <c r="J20003" t="s">
        <v>1358</v>
      </c>
      <c r="K20003" t="s">
        <v>1358</v>
      </c>
      <c r="L20003" t="s">
        <v>1358</v>
      </c>
    </row>
    <row r="20004" spans="8:12">
      <c r="H20004" t="s">
        <v>27189</v>
      </c>
      <c r="I20004" t="s">
        <v>1358</v>
      </c>
      <c r="J20004" t="s">
        <v>1358</v>
      </c>
      <c r="K20004" t="s">
        <v>1358</v>
      </c>
      <c r="L20004" t="s">
        <v>1358</v>
      </c>
    </row>
    <row r="20005" spans="8:12">
      <c r="H20005" t="s">
        <v>26761</v>
      </c>
      <c r="I20005" t="s">
        <v>1358</v>
      </c>
      <c r="J20005" t="s">
        <v>1358</v>
      </c>
      <c r="K20005" t="s">
        <v>1358</v>
      </c>
      <c r="L20005" t="s">
        <v>1358</v>
      </c>
    </row>
    <row r="20006" spans="8:12">
      <c r="H20006" t="s">
        <v>27190</v>
      </c>
      <c r="I20006" t="s">
        <v>1358</v>
      </c>
      <c r="J20006" t="s">
        <v>1358</v>
      </c>
      <c r="K20006" t="s">
        <v>1358</v>
      </c>
      <c r="L20006" t="s">
        <v>1358</v>
      </c>
    </row>
    <row r="20007" spans="8:12">
      <c r="H20007" t="s">
        <v>26762</v>
      </c>
      <c r="I20007" t="s">
        <v>1358</v>
      </c>
      <c r="J20007" t="s">
        <v>1358</v>
      </c>
      <c r="K20007" t="s">
        <v>1358</v>
      </c>
      <c r="L20007" t="s">
        <v>1358</v>
      </c>
    </row>
    <row r="20008" spans="8:12">
      <c r="H20008" t="s">
        <v>27191</v>
      </c>
      <c r="I20008" t="s">
        <v>1358</v>
      </c>
      <c r="J20008" t="s">
        <v>1358</v>
      </c>
      <c r="K20008" t="s">
        <v>1358</v>
      </c>
      <c r="L20008" t="s">
        <v>1358</v>
      </c>
    </row>
    <row r="20009" spans="8:12">
      <c r="H20009" t="s">
        <v>26763</v>
      </c>
      <c r="I20009" t="s">
        <v>1358</v>
      </c>
      <c r="J20009" t="s">
        <v>1358</v>
      </c>
      <c r="K20009" t="s">
        <v>1358</v>
      </c>
      <c r="L20009" t="s">
        <v>1358</v>
      </c>
    </row>
    <row r="20010" spans="8:12">
      <c r="H20010" t="s">
        <v>27192</v>
      </c>
      <c r="I20010" t="s">
        <v>1358</v>
      </c>
      <c r="J20010" t="s">
        <v>1358</v>
      </c>
      <c r="K20010" t="s">
        <v>1358</v>
      </c>
      <c r="L20010" t="s">
        <v>1358</v>
      </c>
    </row>
    <row r="20011" spans="8:12">
      <c r="H20011" t="s">
        <v>27193</v>
      </c>
      <c r="I20011" t="s">
        <v>1358</v>
      </c>
      <c r="J20011" t="s">
        <v>1358</v>
      </c>
      <c r="K20011" t="s">
        <v>1358</v>
      </c>
      <c r="L20011" t="s">
        <v>1358</v>
      </c>
    </row>
    <row r="20012" spans="8:12">
      <c r="H20012" t="s">
        <v>27194</v>
      </c>
      <c r="I20012" t="s">
        <v>1358</v>
      </c>
      <c r="J20012" t="s">
        <v>1358</v>
      </c>
      <c r="K20012" t="s">
        <v>1358</v>
      </c>
      <c r="L20012" t="s">
        <v>1358</v>
      </c>
    </row>
    <row r="20013" spans="8:12">
      <c r="H20013" t="s">
        <v>27195</v>
      </c>
      <c r="I20013" t="s">
        <v>1358</v>
      </c>
      <c r="J20013" t="s">
        <v>1358</v>
      </c>
      <c r="K20013" t="s">
        <v>1358</v>
      </c>
      <c r="L20013" t="s">
        <v>1358</v>
      </c>
    </row>
    <row r="20014" spans="8:12">
      <c r="H20014" t="s">
        <v>27196</v>
      </c>
      <c r="I20014" t="s">
        <v>1358</v>
      </c>
      <c r="J20014" t="s">
        <v>1358</v>
      </c>
      <c r="K20014" t="s">
        <v>1358</v>
      </c>
      <c r="L20014" t="s">
        <v>1358</v>
      </c>
    </row>
    <row r="20015" spans="8:12">
      <c r="H20015" t="s">
        <v>27197</v>
      </c>
      <c r="I20015" t="s">
        <v>1358</v>
      </c>
      <c r="J20015" t="s">
        <v>1358</v>
      </c>
      <c r="K20015" t="s">
        <v>1358</v>
      </c>
      <c r="L20015" t="s">
        <v>1358</v>
      </c>
    </row>
    <row r="20016" spans="8:12">
      <c r="H20016" t="s">
        <v>27198</v>
      </c>
      <c r="I20016" t="s">
        <v>1358</v>
      </c>
      <c r="J20016" t="s">
        <v>1358</v>
      </c>
      <c r="K20016" t="s">
        <v>1358</v>
      </c>
      <c r="L20016" t="s">
        <v>1358</v>
      </c>
    </row>
    <row r="20017" spans="8:12">
      <c r="H20017" t="s">
        <v>27199</v>
      </c>
      <c r="I20017" t="s">
        <v>1358</v>
      </c>
      <c r="J20017" t="s">
        <v>1358</v>
      </c>
      <c r="K20017" t="s">
        <v>1358</v>
      </c>
      <c r="L20017" t="s">
        <v>1358</v>
      </c>
    </row>
    <row r="20018" spans="8:12">
      <c r="H20018" t="s">
        <v>27200</v>
      </c>
      <c r="I20018" t="s">
        <v>1358</v>
      </c>
      <c r="J20018" t="s">
        <v>1358</v>
      </c>
      <c r="K20018" t="s">
        <v>1358</v>
      </c>
      <c r="L20018" t="s">
        <v>1358</v>
      </c>
    </row>
    <row r="20019" spans="8:12">
      <c r="H20019" t="s">
        <v>27201</v>
      </c>
      <c r="I20019" t="s">
        <v>1358</v>
      </c>
      <c r="J20019" t="s">
        <v>1358</v>
      </c>
      <c r="K20019" t="s">
        <v>1358</v>
      </c>
      <c r="L20019" t="s">
        <v>1358</v>
      </c>
    </row>
    <row r="20020" spans="8:12">
      <c r="H20020" t="s">
        <v>27202</v>
      </c>
      <c r="I20020" t="s">
        <v>1358</v>
      </c>
      <c r="J20020" t="s">
        <v>1358</v>
      </c>
      <c r="K20020" t="s">
        <v>1358</v>
      </c>
      <c r="L20020" t="s">
        <v>1358</v>
      </c>
    </row>
    <row r="20021" spans="8:12">
      <c r="H20021" t="s">
        <v>27203</v>
      </c>
      <c r="I20021" t="s">
        <v>1358</v>
      </c>
      <c r="J20021" t="s">
        <v>1358</v>
      </c>
      <c r="K20021" t="s">
        <v>1358</v>
      </c>
      <c r="L20021" t="s">
        <v>1358</v>
      </c>
    </row>
    <row r="20022" spans="8:12">
      <c r="H20022" t="s">
        <v>27204</v>
      </c>
      <c r="I20022" t="s">
        <v>1358</v>
      </c>
      <c r="J20022" t="s">
        <v>1358</v>
      </c>
      <c r="K20022" t="s">
        <v>1358</v>
      </c>
      <c r="L20022" t="s">
        <v>1358</v>
      </c>
    </row>
    <row r="20023" spans="8:12">
      <c r="H20023" t="s">
        <v>27205</v>
      </c>
      <c r="I20023" t="s">
        <v>1358</v>
      </c>
      <c r="J20023" t="s">
        <v>1358</v>
      </c>
      <c r="K20023" t="s">
        <v>1358</v>
      </c>
      <c r="L20023" t="s">
        <v>1358</v>
      </c>
    </row>
    <row r="20024" spans="8:12">
      <c r="H20024" t="s">
        <v>27206</v>
      </c>
      <c r="I20024" t="s">
        <v>1358</v>
      </c>
      <c r="J20024" t="s">
        <v>1358</v>
      </c>
      <c r="K20024" t="s">
        <v>1358</v>
      </c>
      <c r="L20024" t="s">
        <v>1358</v>
      </c>
    </row>
    <row r="20025" spans="8:12">
      <c r="H20025" t="s">
        <v>27207</v>
      </c>
      <c r="I20025" t="s">
        <v>1358</v>
      </c>
      <c r="J20025" t="s">
        <v>1358</v>
      </c>
      <c r="K20025" t="s">
        <v>1358</v>
      </c>
      <c r="L20025" t="s">
        <v>1358</v>
      </c>
    </row>
    <row r="20026" spans="8:12">
      <c r="H20026" t="s">
        <v>27208</v>
      </c>
      <c r="I20026" t="s">
        <v>1358</v>
      </c>
      <c r="J20026" t="s">
        <v>1358</v>
      </c>
      <c r="K20026" t="s">
        <v>1358</v>
      </c>
      <c r="L20026" t="s">
        <v>1358</v>
      </c>
    </row>
    <row r="20027" spans="8:12">
      <c r="H20027" t="s">
        <v>27209</v>
      </c>
      <c r="I20027" t="s">
        <v>1358</v>
      </c>
      <c r="J20027" t="s">
        <v>1358</v>
      </c>
      <c r="K20027" t="s">
        <v>1358</v>
      </c>
      <c r="L20027" t="s">
        <v>1358</v>
      </c>
    </row>
    <row r="20028" spans="8:12">
      <c r="H20028" t="s">
        <v>27210</v>
      </c>
      <c r="I20028" t="s">
        <v>1358</v>
      </c>
      <c r="J20028" t="s">
        <v>1358</v>
      </c>
      <c r="K20028" t="s">
        <v>1358</v>
      </c>
      <c r="L20028" t="s">
        <v>1358</v>
      </c>
    </row>
    <row r="20029" spans="8:12">
      <c r="H20029" t="s">
        <v>27211</v>
      </c>
      <c r="I20029" t="s">
        <v>1358</v>
      </c>
      <c r="J20029" t="s">
        <v>1358</v>
      </c>
      <c r="K20029" t="s">
        <v>1358</v>
      </c>
      <c r="L20029" t="s">
        <v>1358</v>
      </c>
    </row>
    <row r="20030" spans="8:12">
      <c r="H20030" t="s">
        <v>27212</v>
      </c>
      <c r="I20030" t="s">
        <v>1358</v>
      </c>
      <c r="J20030" t="s">
        <v>1358</v>
      </c>
      <c r="K20030" t="s">
        <v>1358</v>
      </c>
      <c r="L20030" t="s">
        <v>1358</v>
      </c>
    </row>
    <row r="20031" spans="8:12">
      <c r="H20031" t="s">
        <v>27213</v>
      </c>
      <c r="I20031" t="s">
        <v>1358</v>
      </c>
      <c r="J20031" t="s">
        <v>1358</v>
      </c>
      <c r="K20031" t="s">
        <v>1358</v>
      </c>
      <c r="L20031" t="s">
        <v>1358</v>
      </c>
    </row>
    <row r="20032" spans="8:12">
      <c r="H20032" t="s">
        <v>27214</v>
      </c>
      <c r="I20032" t="s">
        <v>1358</v>
      </c>
      <c r="J20032" t="s">
        <v>1358</v>
      </c>
      <c r="K20032" t="s">
        <v>1358</v>
      </c>
      <c r="L20032" t="s">
        <v>1358</v>
      </c>
    </row>
    <row r="20033" spans="8:12">
      <c r="H20033" t="s">
        <v>27215</v>
      </c>
      <c r="I20033" t="s">
        <v>1358</v>
      </c>
      <c r="J20033" t="s">
        <v>1358</v>
      </c>
      <c r="K20033" t="s">
        <v>1358</v>
      </c>
      <c r="L20033" t="s">
        <v>1358</v>
      </c>
    </row>
    <row r="20034" spans="8:12">
      <c r="H20034" t="s">
        <v>27216</v>
      </c>
      <c r="I20034" t="s">
        <v>1358</v>
      </c>
      <c r="J20034" t="s">
        <v>1358</v>
      </c>
      <c r="K20034" t="s">
        <v>1358</v>
      </c>
      <c r="L20034" t="s">
        <v>1358</v>
      </c>
    </row>
    <row r="20035" spans="8:12">
      <c r="H20035" t="s">
        <v>27217</v>
      </c>
      <c r="I20035" t="s">
        <v>1358</v>
      </c>
      <c r="J20035" t="s">
        <v>1358</v>
      </c>
      <c r="K20035" t="s">
        <v>1358</v>
      </c>
      <c r="L20035" t="s">
        <v>1358</v>
      </c>
    </row>
    <row r="20036" spans="8:12">
      <c r="H20036" t="s">
        <v>27218</v>
      </c>
      <c r="I20036" t="s">
        <v>1358</v>
      </c>
      <c r="J20036" t="s">
        <v>1358</v>
      </c>
      <c r="K20036" t="s">
        <v>1358</v>
      </c>
      <c r="L20036" t="s">
        <v>1358</v>
      </c>
    </row>
    <row r="20037" spans="8:12">
      <c r="H20037" t="s">
        <v>27219</v>
      </c>
      <c r="I20037" t="s">
        <v>1358</v>
      </c>
      <c r="J20037" t="s">
        <v>1358</v>
      </c>
      <c r="K20037" t="s">
        <v>1358</v>
      </c>
      <c r="L20037" t="s">
        <v>1358</v>
      </c>
    </row>
    <row r="20038" spans="8:12">
      <c r="H20038" t="s">
        <v>27220</v>
      </c>
      <c r="I20038" t="s">
        <v>1358</v>
      </c>
      <c r="J20038" t="s">
        <v>1358</v>
      </c>
      <c r="K20038" t="s">
        <v>1358</v>
      </c>
      <c r="L20038" t="s">
        <v>1358</v>
      </c>
    </row>
    <row r="20039" spans="8:12">
      <c r="H20039" t="s">
        <v>27221</v>
      </c>
      <c r="I20039" t="s">
        <v>1358</v>
      </c>
      <c r="J20039" t="s">
        <v>1358</v>
      </c>
      <c r="K20039" t="s">
        <v>1358</v>
      </c>
      <c r="L20039" t="s">
        <v>1358</v>
      </c>
    </row>
    <row r="20040" spans="8:12">
      <c r="H20040" t="s">
        <v>27222</v>
      </c>
      <c r="I20040" t="s">
        <v>1358</v>
      </c>
      <c r="J20040" t="s">
        <v>1358</v>
      </c>
      <c r="K20040" t="s">
        <v>1358</v>
      </c>
      <c r="L20040" t="s">
        <v>1358</v>
      </c>
    </row>
    <row r="20041" spans="8:12">
      <c r="H20041" t="s">
        <v>27223</v>
      </c>
      <c r="I20041" t="s">
        <v>1358</v>
      </c>
      <c r="J20041" t="s">
        <v>1358</v>
      </c>
      <c r="K20041" t="s">
        <v>1358</v>
      </c>
      <c r="L20041" t="s">
        <v>1358</v>
      </c>
    </row>
    <row r="20042" spans="8:12">
      <c r="H20042" t="s">
        <v>27224</v>
      </c>
      <c r="I20042" t="s">
        <v>1358</v>
      </c>
      <c r="J20042" t="s">
        <v>1358</v>
      </c>
      <c r="K20042" t="s">
        <v>1358</v>
      </c>
      <c r="L20042" t="s">
        <v>1358</v>
      </c>
    </row>
    <row r="20043" spans="8:12">
      <c r="H20043" t="s">
        <v>27225</v>
      </c>
      <c r="I20043" t="s">
        <v>1358</v>
      </c>
      <c r="J20043" t="s">
        <v>1358</v>
      </c>
      <c r="K20043" t="s">
        <v>1358</v>
      </c>
      <c r="L20043" t="s">
        <v>1358</v>
      </c>
    </row>
    <row r="20044" spans="8:12">
      <c r="H20044" t="s">
        <v>27226</v>
      </c>
      <c r="I20044" t="s">
        <v>1358</v>
      </c>
      <c r="J20044" t="s">
        <v>1358</v>
      </c>
      <c r="K20044" t="s">
        <v>1358</v>
      </c>
      <c r="L20044" t="s">
        <v>1358</v>
      </c>
    </row>
    <row r="20045" spans="8:12">
      <c r="H20045" t="s">
        <v>27227</v>
      </c>
      <c r="I20045" t="s">
        <v>1358</v>
      </c>
      <c r="J20045" t="s">
        <v>1358</v>
      </c>
      <c r="K20045" t="s">
        <v>1358</v>
      </c>
      <c r="L20045" t="s">
        <v>1358</v>
      </c>
    </row>
    <row r="20046" spans="8:12">
      <c r="H20046" t="s">
        <v>27228</v>
      </c>
      <c r="I20046" t="s">
        <v>1358</v>
      </c>
      <c r="J20046" t="s">
        <v>1358</v>
      </c>
      <c r="K20046" t="s">
        <v>1358</v>
      </c>
      <c r="L20046" t="s">
        <v>1358</v>
      </c>
    </row>
    <row r="20047" spans="8:12">
      <c r="H20047" t="s">
        <v>27229</v>
      </c>
      <c r="I20047" t="s">
        <v>1358</v>
      </c>
      <c r="J20047" t="s">
        <v>1358</v>
      </c>
      <c r="K20047" t="s">
        <v>1358</v>
      </c>
      <c r="L20047" t="s">
        <v>1358</v>
      </c>
    </row>
    <row r="20048" spans="8:12">
      <c r="H20048" t="s">
        <v>27230</v>
      </c>
      <c r="I20048" t="s">
        <v>1358</v>
      </c>
      <c r="J20048" t="s">
        <v>1358</v>
      </c>
      <c r="K20048" t="s">
        <v>1358</v>
      </c>
      <c r="L20048" t="s">
        <v>1358</v>
      </c>
    </row>
    <row r="20049" spans="8:12">
      <c r="H20049" t="s">
        <v>27231</v>
      </c>
      <c r="I20049" t="s">
        <v>1358</v>
      </c>
      <c r="J20049" t="s">
        <v>1358</v>
      </c>
      <c r="K20049" t="s">
        <v>1358</v>
      </c>
      <c r="L20049" t="s">
        <v>1358</v>
      </c>
    </row>
    <row r="20050" spans="8:12">
      <c r="H20050" t="s">
        <v>27232</v>
      </c>
      <c r="I20050" t="s">
        <v>1358</v>
      </c>
      <c r="J20050" t="s">
        <v>1358</v>
      </c>
      <c r="K20050" t="s">
        <v>1358</v>
      </c>
      <c r="L20050" t="s">
        <v>1358</v>
      </c>
    </row>
    <row r="20051" spans="8:12">
      <c r="H20051" t="s">
        <v>27233</v>
      </c>
      <c r="I20051" t="s">
        <v>1358</v>
      </c>
      <c r="J20051" t="s">
        <v>1358</v>
      </c>
      <c r="K20051" t="s">
        <v>1358</v>
      </c>
      <c r="L20051" t="s">
        <v>1358</v>
      </c>
    </row>
    <row r="20052" spans="8:12">
      <c r="H20052" t="s">
        <v>27234</v>
      </c>
      <c r="I20052" t="s">
        <v>1358</v>
      </c>
      <c r="J20052" t="s">
        <v>1358</v>
      </c>
      <c r="K20052" t="s">
        <v>1358</v>
      </c>
      <c r="L20052" t="s">
        <v>1358</v>
      </c>
    </row>
    <row r="20053" spans="8:12">
      <c r="H20053" t="s">
        <v>27235</v>
      </c>
      <c r="I20053" t="s">
        <v>1358</v>
      </c>
      <c r="J20053" t="s">
        <v>1358</v>
      </c>
      <c r="K20053" t="s">
        <v>1358</v>
      </c>
      <c r="L20053" t="s">
        <v>1358</v>
      </c>
    </row>
    <row r="20054" spans="8:12">
      <c r="H20054" t="s">
        <v>27236</v>
      </c>
      <c r="I20054" t="s">
        <v>1358</v>
      </c>
      <c r="J20054" t="s">
        <v>1358</v>
      </c>
      <c r="K20054" t="s">
        <v>1358</v>
      </c>
      <c r="L20054" t="s">
        <v>1358</v>
      </c>
    </row>
    <row r="20055" spans="8:12">
      <c r="H20055" t="s">
        <v>27237</v>
      </c>
      <c r="I20055" t="s">
        <v>1358</v>
      </c>
      <c r="J20055" t="s">
        <v>1358</v>
      </c>
      <c r="K20055" t="s">
        <v>1358</v>
      </c>
      <c r="L20055" t="s">
        <v>1358</v>
      </c>
    </row>
    <row r="20056" spans="8:12">
      <c r="H20056" t="s">
        <v>27238</v>
      </c>
      <c r="I20056" t="s">
        <v>1358</v>
      </c>
      <c r="J20056" t="s">
        <v>1358</v>
      </c>
      <c r="K20056" t="s">
        <v>1358</v>
      </c>
      <c r="L20056" t="s">
        <v>1358</v>
      </c>
    </row>
    <row r="20057" spans="8:12">
      <c r="H20057" t="s">
        <v>27239</v>
      </c>
      <c r="I20057" t="s">
        <v>1358</v>
      </c>
      <c r="J20057" t="s">
        <v>1358</v>
      </c>
      <c r="K20057" t="s">
        <v>1358</v>
      </c>
      <c r="L20057" t="s">
        <v>1358</v>
      </c>
    </row>
    <row r="20058" spans="8:12">
      <c r="H20058" t="s">
        <v>27240</v>
      </c>
      <c r="I20058" t="s">
        <v>1358</v>
      </c>
      <c r="J20058" t="s">
        <v>1358</v>
      </c>
      <c r="K20058" t="s">
        <v>1358</v>
      </c>
      <c r="L20058" t="s">
        <v>1358</v>
      </c>
    </row>
    <row r="20059" spans="8:12">
      <c r="H20059" t="s">
        <v>27241</v>
      </c>
      <c r="I20059" t="s">
        <v>1358</v>
      </c>
      <c r="J20059" t="s">
        <v>1358</v>
      </c>
      <c r="K20059" t="s">
        <v>1358</v>
      </c>
      <c r="L20059" t="s">
        <v>1358</v>
      </c>
    </row>
    <row r="20060" spans="8:12">
      <c r="H20060" t="s">
        <v>27242</v>
      </c>
      <c r="I20060" t="s">
        <v>1358</v>
      </c>
      <c r="J20060" t="s">
        <v>1358</v>
      </c>
      <c r="K20060" t="s">
        <v>1358</v>
      </c>
      <c r="L20060" t="s">
        <v>1358</v>
      </c>
    </row>
    <row r="20061" spans="8:12">
      <c r="H20061" t="s">
        <v>27243</v>
      </c>
      <c r="I20061" t="s">
        <v>1358</v>
      </c>
      <c r="J20061" t="s">
        <v>1358</v>
      </c>
      <c r="K20061" t="s">
        <v>1358</v>
      </c>
      <c r="L20061" t="s">
        <v>1358</v>
      </c>
    </row>
    <row r="20062" spans="8:12">
      <c r="H20062" t="s">
        <v>27244</v>
      </c>
      <c r="I20062" t="s">
        <v>1358</v>
      </c>
      <c r="J20062" t="s">
        <v>1358</v>
      </c>
      <c r="K20062" t="s">
        <v>1358</v>
      </c>
      <c r="L20062" t="s">
        <v>1358</v>
      </c>
    </row>
    <row r="20063" spans="8:12">
      <c r="H20063" t="s">
        <v>27245</v>
      </c>
      <c r="I20063" t="s">
        <v>1358</v>
      </c>
      <c r="J20063" t="s">
        <v>1358</v>
      </c>
      <c r="K20063" t="s">
        <v>1358</v>
      </c>
      <c r="L20063" t="s">
        <v>1358</v>
      </c>
    </row>
    <row r="20064" spans="8:12">
      <c r="H20064" t="s">
        <v>27246</v>
      </c>
      <c r="I20064" t="s">
        <v>1358</v>
      </c>
      <c r="J20064" t="s">
        <v>1358</v>
      </c>
      <c r="K20064" t="s">
        <v>1358</v>
      </c>
      <c r="L20064" t="s">
        <v>1358</v>
      </c>
    </row>
    <row r="20065" spans="8:12">
      <c r="H20065" t="s">
        <v>27247</v>
      </c>
      <c r="I20065" t="s">
        <v>1358</v>
      </c>
      <c r="J20065" t="s">
        <v>1358</v>
      </c>
      <c r="K20065" t="s">
        <v>1358</v>
      </c>
      <c r="L20065" t="s">
        <v>1358</v>
      </c>
    </row>
    <row r="20066" spans="8:12">
      <c r="H20066" t="s">
        <v>27248</v>
      </c>
      <c r="I20066" t="s">
        <v>1358</v>
      </c>
      <c r="J20066" t="s">
        <v>1358</v>
      </c>
      <c r="K20066" t="s">
        <v>1358</v>
      </c>
      <c r="L20066" t="s">
        <v>1358</v>
      </c>
    </row>
    <row r="20067" spans="8:12">
      <c r="H20067" t="s">
        <v>27249</v>
      </c>
      <c r="I20067" t="s">
        <v>1358</v>
      </c>
      <c r="J20067" t="s">
        <v>1358</v>
      </c>
      <c r="K20067" t="s">
        <v>1358</v>
      </c>
      <c r="L20067" t="s">
        <v>1358</v>
      </c>
    </row>
    <row r="20068" spans="8:12">
      <c r="H20068" t="s">
        <v>27250</v>
      </c>
      <c r="I20068" t="s">
        <v>1358</v>
      </c>
      <c r="J20068" t="s">
        <v>1358</v>
      </c>
      <c r="K20068" t="s">
        <v>1358</v>
      </c>
      <c r="L20068" t="s">
        <v>1358</v>
      </c>
    </row>
    <row r="20069" spans="8:12">
      <c r="H20069" t="s">
        <v>27251</v>
      </c>
      <c r="I20069" t="s">
        <v>1358</v>
      </c>
      <c r="J20069" t="s">
        <v>1358</v>
      </c>
      <c r="K20069" t="s">
        <v>1358</v>
      </c>
      <c r="L20069" t="s">
        <v>1358</v>
      </c>
    </row>
    <row r="20070" spans="8:12">
      <c r="H20070" t="s">
        <v>27252</v>
      </c>
      <c r="I20070" t="s">
        <v>1358</v>
      </c>
      <c r="J20070" t="s">
        <v>1358</v>
      </c>
      <c r="K20070" t="s">
        <v>1358</v>
      </c>
      <c r="L20070" t="s">
        <v>1358</v>
      </c>
    </row>
    <row r="20071" spans="8:12">
      <c r="H20071" t="s">
        <v>27253</v>
      </c>
      <c r="I20071" t="s">
        <v>1358</v>
      </c>
      <c r="J20071" t="s">
        <v>1358</v>
      </c>
      <c r="K20071" t="s">
        <v>1358</v>
      </c>
      <c r="L20071" t="s">
        <v>1358</v>
      </c>
    </row>
    <row r="20072" spans="8:12">
      <c r="H20072" t="s">
        <v>27254</v>
      </c>
      <c r="I20072" t="s">
        <v>1358</v>
      </c>
      <c r="J20072" t="s">
        <v>1358</v>
      </c>
      <c r="K20072" t="s">
        <v>1358</v>
      </c>
      <c r="L20072" t="s">
        <v>1358</v>
      </c>
    </row>
    <row r="20073" spans="8:12">
      <c r="H20073" t="s">
        <v>27255</v>
      </c>
      <c r="I20073" t="s">
        <v>1358</v>
      </c>
      <c r="J20073" t="s">
        <v>1358</v>
      </c>
      <c r="K20073" t="s">
        <v>1358</v>
      </c>
      <c r="L20073" t="s">
        <v>1358</v>
      </c>
    </row>
    <row r="20074" spans="8:12">
      <c r="H20074" t="s">
        <v>27256</v>
      </c>
      <c r="I20074" t="s">
        <v>1358</v>
      </c>
      <c r="J20074" t="s">
        <v>1358</v>
      </c>
      <c r="K20074" t="s">
        <v>1358</v>
      </c>
      <c r="L20074" t="s">
        <v>1358</v>
      </c>
    </row>
    <row r="20075" spans="8:12">
      <c r="H20075" t="s">
        <v>26764</v>
      </c>
      <c r="I20075" t="s">
        <v>1358</v>
      </c>
      <c r="J20075" t="s">
        <v>1358</v>
      </c>
      <c r="K20075" t="s">
        <v>1358</v>
      </c>
      <c r="L20075" t="s">
        <v>1358</v>
      </c>
    </row>
    <row r="20076" spans="8:12">
      <c r="H20076" t="s">
        <v>27257</v>
      </c>
      <c r="I20076" t="s">
        <v>1358</v>
      </c>
      <c r="J20076" t="s">
        <v>1358</v>
      </c>
      <c r="K20076" t="s">
        <v>1358</v>
      </c>
      <c r="L20076" t="s">
        <v>1358</v>
      </c>
    </row>
    <row r="20077" spans="8:12">
      <c r="H20077" t="s">
        <v>26765</v>
      </c>
      <c r="I20077" t="s">
        <v>1358</v>
      </c>
      <c r="J20077" t="s">
        <v>1358</v>
      </c>
      <c r="K20077" t="s">
        <v>1358</v>
      </c>
      <c r="L20077" t="s">
        <v>1358</v>
      </c>
    </row>
    <row r="20078" spans="8:12">
      <c r="H20078" t="s">
        <v>27258</v>
      </c>
      <c r="I20078" t="s">
        <v>1358</v>
      </c>
      <c r="J20078" t="s">
        <v>1358</v>
      </c>
      <c r="K20078" t="s">
        <v>1358</v>
      </c>
      <c r="L20078" t="s">
        <v>1358</v>
      </c>
    </row>
    <row r="20079" spans="8:12">
      <c r="H20079" t="s">
        <v>26766</v>
      </c>
      <c r="I20079" t="s">
        <v>1358</v>
      </c>
      <c r="J20079" t="s">
        <v>1358</v>
      </c>
      <c r="K20079" t="s">
        <v>1358</v>
      </c>
      <c r="L20079" t="s">
        <v>1358</v>
      </c>
    </row>
    <row r="20080" spans="8:12">
      <c r="H20080" t="s">
        <v>27259</v>
      </c>
      <c r="I20080" t="s">
        <v>1358</v>
      </c>
      <c r="J20080" t="s">
        <v>1358</v>
      </c>
      <c r="K20080" t="s">
        <v>1358</v>
      </c>
      <c r="L20080" t="s">
        <v>1358</v>
      </c>
    </row>
    <row r="20081" spans="8:12">
      <c r="H20081" t="s">
        <v>26767</v>
      </c>
      <c r="I20081" t="s">
        <v>1358</v>
      </c>
      <c r="J20081" t="s">
        <v>1358</v>
      </c>
      <c r="K20081" t="s">
        <v>1358</v>
      </c>
      <c r="L20081" t="s">
        <v>1358</v>
      </c>
    </row>
    <row r="20082" spans="8:12">
      <c r="H20082" t="s">
        <v>27260</v>
      </c>
      <c r="I20082" t="s">
        <v>1358</v>
      </c>
      <c r="J20082" t="s">
        <v>1358</v>
      </c>
      <c r="K20082" t="s">
        <v>1358</v>
      </c>
      <c r="L20082" t="s">
        <v>1358</v>
      </c>
    </row>
    <row r="20083" spans="8:12">
      <c r="H20083" t="s">
        <v>26768</v>
      </c>
      <c r="I20083" t="s">
        <v>1358</v>
      </c>
      <c r="J20083" t="s">
        <v>1358</v>
      </c>
      <c r="K20083" t="s">
        <v>1358</v>
      </c>
      <c r="L20083" t="s">
        <v>1358</v>
      </c>
    </row>
    <row r="20084" spans="8:12">
      <c r="H20084" t="s">
        <v>27261</v>
      </c>
      <c r="I20084" t="s">
        <v>1358</v>
      </c>
      <c r="J20084" t="s">
        <v>1358</v>
      </c>
      <c r="K20084" t="s">
        <v>1358</v>
      </c>
      <c r="L20084" t="s">
        <v>1358</v>
      </c>
    </row>
    <row r="20085" spans="8:12">
      <c r="H20085" t="s">
        <v>26769</v>
      </c>
      <c r="I20085" t="s">
        <v>1358</v>
      </c>
      <c r="J20085" t="s">
        <v>1358</v>
      </c>
      <c r="K20085" t="s">
        <v>1358</v>
      </c>
      <c r="L20085" t="s">
        <v>1358</v>
      </c>
    </row>
    <row r="20086" spans="8:12">
      <c r="H20086" t="s">
        <v>27262</v>
      </c>
      <c r="I20086" t="s">
        <v>1358</v>
      </c>
      <c r="J20086" t="s">
        <v>1358</v>
      </c>
      <c r="K20086" t="s">
        <v>1358</v>
      </c>
      <c r="L20086" t="s">
        <v>1358</v>
      </c>
    </row>
    <row r="20087" spans="8:12">
      <c r="H20087" t="s">
        <v>26770</v>
      </c>
      <c r="I20087" t="s">
        <v>1358</v>
      </c>
      <c r="J20087" t="s">
        <v>1358</v>
      </c>
      <c r="K20087" t="s">
        <v>1358</v>
      </c>
      <c r="L20087" t="s">
        <v>1358</v>
      </c>
    </row>
    <row r="20088" spans="8:12">
      <c r="H20088" t="s">
        <v>27263</v>
      </c>
      <c r="I20088" t="s">
        <v>1358</v>
      </c>
      <c r="J20088" t="s">
        <v>1358</v>
      </c>
      <c r="K20088" t="s">
        <v>1358</v>
      </c>
      <c r="L20088" t="s">
        <v>1358</v>
      </c>
    </row>
    <row r="20089" spans="8:12">
      <c r="H20089" t="s">
        <v>27264</v>
      </c>
      <c r="I20089" t="s">
        <v>1358</v>
      </c>
      <c r="J20089" t="s">
        <v>1358</v>
      </c>
      <c r="K20089" t="s">
        <v>1358</v>
      </c>
      <c r="L20089" t="s">
        <v>1358</v>
      </c>
    </row>
    <row r="20090" spans="8:12">
      <c r="H20090" t="s">
        <v>27265</v>
      </c>
      <c r="I20090" t="s">
        <v>1358</v>
      </c>
      <c r="J20090" t="s">
        <v>1358</v>
      </c>
      <c r="K20090" t="s">
        <v>1358</v>
      </c>
      <c r="L20090" t="s">
        <v>1358</v>
      </c>
    </row>
    <row r="20091" spans="8:12">
      <c r="H20091" t="s">
        <v>27266</v>
      </c>
      <c r="I20091" t="s">
        <v>1358</v>
      </c>
      <c r="J20091" t="s">
        <v>1358</v>
      </c>
      <c r="K20091" t="s">
        <v>1358</v>
      </c>
      <c r="L20091" t="s">
        <v>1358</v>
      </c>
    </row>
    <row r="20092" spans="8:12">
      <c r="H20092" t="s">
        <v>27267</v>
      </c>
      <c r="I20092" t="s">
        <v>1358</v>
      </c>
      <c r="J20092" t="s">
        <v>1358</v>
      </c>
      <c r="K20092" t="s">
        <v>1358</v>
      </c>
      <c r="L20092" t="s">
        <v>1358</v>
      </c>
    </row>
    <row r="20093" spans="8:12">
      <c r="H20093" t="s">
        <v>27268</v>
      </c>
      <c r="I20093" t="s">
        <v>1358</v>
      </c>
      <c r="J20093" t="s">
        <v>1358</v>
      </c>
      <c r="K20093" t="s">
        <v>1358</v>
      </c>
      <c r="L20093" t="s">
        <v>1358</v>
      </c>
    </row>
    <row r="20094" spans="8:12">
      <c r="H20094" t="s">
        <v>27269</v>
      </c>
      <c r="I20094" t="s">
        <v>1358</v>
      </c>
      <c r="J20094" t="s">
        <v>1358</v>
      </c>
      <c r="K20094" t="s">
        <v>1358</v>
      </c>
      <c r="L20094" t="s">
        <v>1358</v>
      </c>
    </row>
    <row r="20095" spans="8:12">
      <c r="H20095" t="s">
        <v>27270</v>
      </c>
      <c r="I20095" t="s">
        <v>1358</v>
      </c>
      <c r="J20095" t="s">
        <v>1358</v>
      </c>
      <c r="K20095" t="s">
        <v>1358</v>
      </c>
      <c r="L20095" t="s">
        <v>1358</v>
      </c>
    </row>
    <row r="20096" spans="8:12">
      <c r="H20096" t="s">
        <v>27271</v>
      </c>
      <c r="I20096" t="s">
        <v>1358</v>
      </c>
      <c r="J20096" t="s">
        <v>1358</v>
      </c>
      <c r="K20096" t="s">
        <v>1358</v>
      </c>
      <c r="L20096" t="s">
        <v>1358</v>
      </c>
    </row>
    <row r="20097" spans="8:12">
      <c r="H20097" t="s">
        <v>27272</v>
      </c>
      <c r="I20097" t="s">
        <v>1358</v>
      </c>
      <c r="J20097" t="s">
        <v>1358</v>
      </c>
      <c r="K20097" t="s">
        <v>1358</v>
      </c>
      <c r="L20097" t="s">
        <v>1358</v>
      </c>
    </row>
    <row r="20098" spans="8:12">
      <c r="H20098" t="s">
        <v>27273</v>
      </c>
      <c r="I20098" t="s">
        <v>1358</v>
      </c>
      <c r="J20098" t="s">
        <v>1358</v>
      </c>
      <c r="K20098" t="s">
        <v>1358</v>
      </c>
      <c r="L20098" t="s">
        <v>1358</v>
      </c>
    </row>
    <row r="20099" spans="8:12">
      <c r="H20099" t="s">
        <v>27274</v>
      </c>
      <c r="I20099" t="s">
        <v>1358</v>
      </c>
      <c r="J20099" t="s">
        <v>1358</v>
      </c>
      <c r="K20099" t="s">
        <v>1358</v>
      </c>
      <c r="L20099" t="s">
        <v>1358</v>
      </c>
    </row>
    <row r="20100" spans="8:12">
      <c r="H20100" t="s">
        <v>27275</v>
      </c>
      <c r="I20100" t="s">
        <v>1358</v>
      </c>
      <c r="J20100" t="s">
        <v>1358</v>
      </c>
      <c r="K20100" t="s">
        <v>1358</v>
      </c>
      <c r="L20100" t="s">
        <v>1358</v>
      </c>
    </row>
    <row r="20101" spans="8:12">
      <c r="H20101" t="s">
        <v>27276</v>
      </c>
      <c r="I20101" t="s">
        <v>1358</v>
      </c>
      <c r="J20101" t="s">
        <v>1358</v>
      </c>
      <c r="K20101" t="s">
        <v>1358</v>
      </c>
      <c r="L20101" t="s">
        <v>1358</v>
      </c>
    </row>
    <row r="20102" spans="8:12">
      <c r="H20102" t="s">
        <v>27277</v>
      </c>
      <c r="I20102" t="s">
        <v>1358</v>
      </c>
      <c r="J20102" t="s">
        <v>1358</v>
      </c>
      <c r="K20102" t="s">
        <v>1358</v>
      </c>
      <c r="L20102" t="s">
        <v>1358</v>
      </c>
    </row>
    <row r="20103" spans="8:12">
      <c r="H20103" t="s">
        <v>27278</v>
      </c>
      <c r="I20103" t="s">
        <v>1358</v>
      </c>
      <c r="J20103" t="s">
        <v>1358</v>
      </c>
      <c r="K20103" t="s">
        <v>1358</v>
      </c>
      <c r="L20103" t="s">
        <v>1358</v>
      </c>
    </row>
    <row r="20104" spans="8:12">
      <c r="H20104" t="s">
        <v>27279</v>
      </c>
      <c r="I20104" t="s">
        <v>1358</v>
      </c>
      <c r="J20104" t="s">
        <v>1358</v>
      </c>
      <c r="K20104" t="s">
        <v>1358</v>
      </c>
      <c r="L20104" t="s">
        <v>1358</v>
      </c>
    </row>
    <row r="20105" spans="8:12">
      <c r="H20105" t="s">
        <v>27280</v>
      </c>
      <c r="I20105" t="s">
        <v>1358</v>
      </c>
      <c r="J20105" t="s">
        <v>1358</v>
      </c>
      <c r="K20105" t="s">
        <v>1358</v>
      </c>
      <c r="L20105" t="s">
        <v>1358</v>
      </c>
    </row>
    <row r="20106" spans="8:12">
      <c r="H20106" t="s">
        <v>27281</v>
      </c>
      <c r="I20106" t="s">
        <v>1358</v>
      </c>
      <c r="J20106" t="s">
        <v>1358</v>
      </c>
      <c r="K20106" t="s">
        <v>1358</v>
      </c>
      <c r="L20106" t="s">
        <v>1358</v>
      </c>
    </row>
    <row r="20107" spans="8:12">
      <c r="H20107" t="s">
        <v>27282</v>
      </c>
      <c r="I20107" t="s">
        <v>1358</v>
      </c>
      <c r="J20107" t="s">
        <v>1358</v>
      </c>
      <c r="K20107" t="s">
        <v>1358</v>
      </c>
      <c r="L20107" t="s">
        <v>1358</v>
      </c>
    </row>
    <row r="20108" spans="8:12">
      <c r="H20108" t="s">
        <v>27283</v>
      </c>
      <c r="I20108" t="s">
        <v>1358</v>
      </c>
      <c r="J20108" t="s">
        <v>1358</v>
      </c>
      <c r="K20108" t="s">
        <v>1358</v>
      </c>
      <c r="L20108" t="s">
        <v>1358</v>
      </c>
    </row>
    <row r="20109" spans="8:12">
      <c r="H20109" t="s">
        <v>27284</v>
      </c>
      <c r="I20109" t="s">
        <v>1358</v>
      </c>
      <c r="J20109" t="s">
        <v>1358</v>
      </c>
      <c r="K20109" t="s">
        <v>1358</v>
      </c>
      <c r="L20109" t="s">
        <v>1358</v>
      </c>
    </row>
    <row r="20110" spans="8:12">
      <c r="H20110" t="s">
        <v>27285</v>
      </c>
      <c r="I20110" t="s">
        <v>1358</v>
      </c>
      <c r="J20110" t="s">
        <v>1358</v>
      </c>
      <c r="K20110" t="s">
        <v>1358</v>
      </c>
      <c r="L20110" t="s">
        <v>1358</v>
      </c>
    </row>
    <row r="20111" spans="8:12">
      <c r="H20111" t="s">
        <v>27286</v>
      </c>
      <c r="I20111" t="s">
        <v>1358</v>
      </c>
      <c r="J20111" t="s">
        <v>1358</v>
      </c>
      <c r="K20111" t="s">
        <v>1358</v>
      </c>
      <c r="L20111" t="s">
        <v>1358</v>
      </c>
    </row>
    <row r="20112" spans="8:12">
      <c r="H20112" t="s">
        <v>27287</v>
      </c>
      <c r="I20112" t="s">
        <v>1358</v>
      </c>
      <c r="J20112" t="s">
        <v>1358</v>
      </c>
      <c r="K20112" t="s">
        <v>1358</v>
      </c>
      <c r="L20112" t="s">
        <v>1358</v>
      </c>
    </row>
    <row r="20113" spans="8:12">
      <c r="H20113" t="s">
        <v>27288</v>
      </c>
      <c r="I20113" t="s">
        <v>1358</v>
      </c>
      <c r="J20113" t="s">
        <v>1358</v>
      </c>
      <c r="K20113" t="s">
        <v>1358</v>
      </c>
      <c r="L20113" t="s">
        <v>1358</v>
      </c>
    </row>
    <row r="20114" spans="8:12">
      <c r="H20114" t="s">
        <v>26778</v>
      </c>
      <c r="I20114" t="s">
        <v>1358</v>
      </c>
      <c r="J20114" t="s">
        <v>1358</v>
      </c>
      <c r="K20114" t="s">
        <v>1358</v>
      </c>
      <c r="L20114" t="s">
        <v>1358</v>
      </c>
    </row>
    <row r="20115" spans="8:12">
      <c r="H20115" t="s">
        <v>27289</v>
      </c>
      <c r="I20115" t="s">
        <v>1358</v>
      </c>
      <c r="J20115" t="s">
        <v>1358</v>
      </c>
      <c r="K20115" t="s">
        <v>1358</v>
      </c>
      <c r="L20115" t="s">
        <v>1358</v>
      </c>
    </row>
    <row r="20116" spans="8:12">
      <c r="H20116" t="s">
        <v>26779</v>
      </c>
      <c r="I20116" t="s">
        <v>1358</v>
      </c>
      <c r="J20116" t="s">
        <v>1358</v>
      </c>
      <c r="K20116" t="s">
        <v>1358</v>
      </c>
      <c r="L20116" t="s">
        <v>1358</v>
      </c>
    </row>
    <row r="20117" spans="8:12">
      <c r="H20117" t="s">
        <v>27290</v>
      </c>
      <c r="I20117" t="s">
        <v>1358</v>
      </c>
      <c r="J20117" t="s">
        <v>1358</v>
      </c>
      <c r="K20117" t="s">
        <v>1358</v>
      </c>
      <c r="L20117" t="s">
        <v>1358</v>
      </c>
    </row>
    <row r="20118" spans="8:12">
      <c r="H20118" t="s">
        <v>26780</v>
      </c>
      <c r="I20118" t="s">
        <v>1358</v>
      </c>
      <c r="J20118" t="s">
        <v>1358</v>
      </c>
      <c r="K20118" t="s">
        <v>1358</v>
      </c>
      <c r="L20118" t="s">
        <v>1358</v>
      </c>
    </row>
    <row r="20119" spans="8:12">
      <c r="H20119" t="s">
        <v>27291</v>
      </c>
      <c r="I20119" t="s">
        <v>1358</v>
      </c>
      <c r="J20119" t="s">
        <v>1358</v>
      </c>
      <c r="K20119" t="s">
        <v>1358</v>
      </c>
      <c r="L20119" t="s">
        <v>1358</v>
      </c>
    </row>
    <row r="20120" spans="8:12">
      <c r="H20120" t="s">
        <v>26781</v>
      </c>
      <c r="I20120" t="s">
        <v>1358</v>
      </c>
      <c r="J20120" t="s">
        <v>1358</v>
      </c>
      <c r="K20120" t="s">
        <v>1358</v>
      </c>
      <c r="L20120" t="s">
        <v>1358</v>
      </c>
    </row>
    <row r="20121" spans="8:12">
      <c r="H20121" t="s">
        <v>27292</v>
      </c>
      <c r="I20121" t="s">
        <v>1358</v>
      </c>
      <c r="J20121" t="s">
        <v>1358</v>
      </c>
      <c r="K20121" t="s">
        <v>1358</v>
      </c>
      <c r="L20121" t="s">
        <v>1358</v>
      </c>
    </row>
    <row r="20122" spans="8:12">
      <c r="H20122" t="s">
        <v>26782</v>
      </c>
      <c r="I20122" t="s">
        <v>1358</v>
      </c>
      <c r="J20122" t="s">
        <v>1358</v>
      </c>
      <c r="K20122" t="s">
        <v>1358</v>
      </c>
      <c r="L20122" t="s">
        <v>1358</v>
      </c>
    </row>
    <row r="20123" spans="8:12">
      <c r="H20123" t="s">
        <v>27293</v>
      </c>
      <c r="I20123" t="s">
        <v>1358</v>
      </c>
      <c r="J20123" t="s">
        <v>1358</v>
      </c>
      <c r="K20123" t="s">
        <v>1358</v>
      </c>
      <c r="L20123" t="s">
        <v>1358</v>
      </c>
    </row>
    <row r="20124" spans="8:12">
      <c r="H20124" t="s">
        <v>26783</v>
      </c>
      <c r="I20124" t="s">
        <v>1358</v>
      </c>
      <c r="J20124" t="s">
        <v>1358</v>
      </c>
      <c r="K20124" t="s">
        <v>1358</v>
      </c>
      <c r="L20124" t="s">
        <v>1358</v>
      </c>
    </row>
    <row r="20125" spans="8:12">
      <c r="H20125" t="s">
        <v>27294</v>
      </c>
      <c r="I20125" t="s">
        <v>1358</v>
      </c>
      <c r="J20125" t="s">
        <v>1358</v>
      </c>
      <c r="K20125" t="s">
        <v>1358</v>
      </c>
      <c r="L20125" t="s">
        <v>1358</v>
      </c>
    </row>
    <row r="20126" spans="8:12">
      <c r="H20126" t="s">
        <v>26784</v>
      </c>
      <c r="I20126" t="s">
        <v>1358</v>
      </c>
      <c r="J20126" t="s">
        <v>1358</v>
      </c>
      <c r="K20126" t="s">
        <v>1358</v>
      </c>
      <c r="L20126" t="s">
        <v>1358</v>
      </c>
    </row>
    <row r="20127" spans="8:12">
      <c r="H20127" t="s">
        <v>26785</v>
      </c>
      <c r="I20127" t="s">
        <v>1358</v>
      </c>
      <c r="J20127" t="s">
        <v>1358</v>
      </c>
      <c r="K20127" t="s">
        <v>1358</v>
      </c>
      <c r="L20127" t="s">
        <v>1358</v>
      </c>
    </row>
    <row r="20128" spans="8:12">
      <c r="H20128" t="s">
        <v>27295</v>
      </c>
      <c r="I20128" t="s">
        <v>1358</v>
      </c>
      <c r="J20128" t="s">
        <v>1358</v>
      </c>
      <c r="K20128" t="s">
        <v>1358</v>
      </c>
      <c r="L20128" t="s">
        <v>1358</v>
      </c>
    </row>
    <row r="20129" spans="8:12">
      <c r="H20129" t="s">
        <v>26786</v>
      </c>
      <c r="I20129" t="s">
        <v>1358</v>
      </c>
      <c r="J20129" t="s">
        <v>1358</v>
      </c>
      <c r="K20129" t="s">
        <v>1358</v>
      </c>
      <c r="L20129" t="s">
        <v>1358</v>
      </c>
    </row>
    <row r="20130" spans="8:12">
      <c r="H20130" t="s">
        <v>27296</v>
      </c>
      <c r="I20130" t="s">
        <v>1358</v>
      </c>
      <c r="J20130" t="s">
        <v>1358</v>
      </c>
      <c r="K20130" t="s">
        <v>1358</v>
      </c>
      <c r="L20130" t="s">
        <v>1358</v>
      </c>
    </row>
    <row r="20131" spans="8:12">
      <c r="H20131" t="s">
        <v>26787</v>
      </c>
      <c r="I20131" t="s">
        <v>1358</v>
      </c>
      <c r="J20131" t="s">
        <v>1358</v>
      </c>
      <c r="K20131" t="s">
        <v>1358</v>
      </c>
      <c r="L20131" t="s">
        <v>1358</v>
      </c>
    </row>
    <row r="20132" spans="8:12">
      <c r="H20132" t="s">
        <v>27297</v>
      </c>
      <c r="I20132" t="s">
        <v>1358</v>
      </c>
      <c r="J20132" t="s">
        <v>1358</v>
      </c>
      <c r="K20132" t="s">
        <v>1358</v>
      </c>
      <c r="L20132" t="s">
        <v>1358</v>
      </c>
    </row>
    <row r="20133" spans="8:12">
      <c r="H20133" t="s">
        <v>26788</v>
      </c>
      <c r="I20133" t="s">
        <v>1358</v>
      </c>
      <c r="J20133" t="s">
        <v>1358</v>
      </c>
      <c r="K20133" t="s">
        <v>1358</v>
      </c>
      <c r="L20133" t="s">
        <v>1358</v>
      </c>
    </row>
    <row r="20134" spans="8:12">
      <c r="H20134" t="s">
        <v>27298</v>
      </c>
      <c r="I20134" t="s">
        <v>1358</v>
      </c>
      <c r="J20134" t="s">
        <v>1358</v>
      </c>
      <c r="K20134" t="s">
        <v>1358</v>
      </c>
      <c r="L20134" t="s">
        <v>1358</v>
      </c>
    </row>
    <row r="20135" spans="8:12">
      <c r="H20135" t="s">
        <v>26789</v>
      </c>
      <c r="I20135" t="s">
        <v>1358</v>
      </c>
      <c r="J20135" t="s">
        <v>1358</v>
      </c>
      <c r="K20135" t="s">
        <v>1358</v>
      </c>
      <c r="L20135" t="s">
        <v>1358</v>
      </c>
    </row>
    <row r="20136" spans="8:12">
      <c r="H20136" t="s">
        <v>26790</v>
      </c>
      <c r="I20136" t="s">
        <v>1358</v>
      </c>
      <c r="J20136" t="s">
        <v>1358</v>
      </c>
      <c r="K20136" t="s">
        <v>1358</v>
      </c>
      <c r="L20136" t="s">
        <v>1358</v>
      </c>
    </row>
    <row r="20137" spans="8:12">
      <c r="H20137" t="s">
        <v>27299</v>
      </c>
      <c r="I20137" t="s">
        <v>1358</v>
      </c>
      <c r="J20137" t="s">
        <v>1358</v>
      </c>
      <c r="K20137" t="s">
        <v>1358</v>
      </c>
      <c r="L20137" t="s">
        <v>1358</v>
      </c>
    </row>
    <row r="20138" spans="8:12">
      <c r="H20138" t="s">
        <v>26791</v>
      </c>
      <c r="I20138" t="s">
        <v>1358</v>
      </c>
      <c r="J20138" t="s">
        <v>1358</v>
      </c>
      <c r="K20138" t="s">
        <v>1358</v>
      </c>
      <c r="L20138" t="s">
        <v>1358</v>
      </c>
    </row>
    <row r="20139" spans="8:12">
      <c r="H20139" t="s">
        <v>27300</v>
      </c>
      <c r="I20139" t="s">
        <v>1358</v>
      </c>
      <c r="J20139" t="s">
        <v>1358</v>
      </c>
      <c r="K20139" t="s">
        <v>1358</v>
      </c>
      <c r="L20139" t="s">
        <v>1358</v>
      </c>
    </row>
    <row r="20140" spans="8:12">
      <c r="H20140" t="s">
        <v>26792</v>
      </c>
      <c r="I20140" t="s">
        <v>1358</v>
      </c>
      <c r="J20140" t="s">
        <v>1358</v>
      </c>
      <c r="K20140" t="s">
        <v>1358</v>
      </c>
      <c r="L20140" t="s">
        <v>1358</v>
      </c>
    </row>
    <row r="20141" spans="8:12">
      <c r="H20141" t="s">
        <v>27301</v>
      </c>
      <c r="I20141" t="s">
        <v>1358</v>
      </c>
      <c r="J20141" t="s">
        <v>1358</v>
      </c>
      <c r="K20141" t="s">
        <v>1358</v>
      </c>
      <c r="L20141" t="s">
        <v>1358</v>
      </c>
    </row>
    <row r="20142" spans="8:12">
      <c r="H20142" t="s">
        <v>26793</v>
      </c>
      <c r="I20142" t="s">
        <v>1358</v>
      </c>
      <c r="J20142" t="s">
        <v>1358</v>
      </c>
      <c r="K20142" t="s">
        <v>1358</v>
      </c>
      <c r="L20142" t="s">
        <v>1358</v>
      </c>
    </row>
    <row r="20143" spans="8:12">
      <c r="H20143" t="s">
        <v>27302</v>
      </c>
      <c r="I20143" t="s">
        <v>1358</v>
      </c>
      <c r="J20143" t="s">
        <v>1358</v>
      </c>
      <c r="K20143" t="s">
        <v>1358</v>
      </c>
      <c r="L20143" t="s">
        <v>1358</v>
      </c>
    </row>
    <row r="20144" spans="8:12">
      <c r="H20144" t="s">
        <v>26794</v>
      </c>
      <c r="I20144" t="s">
        <v>1358</v>
      </c>
      <c r="J20144" t="s">
        <v>1358</v>
      </c>
      <c r="K20144" t="s">
        <v>1358</v>
      </c>
      <c r="L20144" t="s">
        <v>1358</v>
      </c>
    </row>
    <row r="20145" spans="8:12">
      <c r="H20145" t="s">
        <v>26795</v>
      </c>
      <c r="I20145" t="s">
        <v>1358</v>
      </c>
      <c r="J20145" t="s">
        <v>1358</v>
      </c>
      <c r="K20145" t="s">
        <v>1358</v>
      </c>
      <c r="L20145" t="s">
        <v>1358</v>
      </c>
    </row>
    <row r="20146" spans="8:12">
      <c r="H20146" t="s">
        <v>27303</v>
      </c>
      <c r="I20146" t="s">
        <v>1358</v>
      </c>
      <c r="J20146" t="s">
        <v>1358</v>
      </c>
      <c r="K20146" t="s">
        <v>1358</v>
      </c>
      <c r="L20146" t="s">
        <v>1358</v>
      </c>
    </row>
    <row r="20147" spans="8:12">
      <c r="H20147" t="s">
        <v>26796</v>
      </c>
      <c r="I20147" t="s">
        <v>1358</v>
      </c>
      <c r="J20147" t="s">
        <v>1358</v>
      </c>
      <c r="K20147" t="s">
        <v>1358</v>
      </c>
      <c r="L20147" t="s">
        <v>1358</v>
      </c>
    </row>
    <row r="20148" spans="8:12">
      <c r="H20148" t="s">
        <v>27304</v>
      </c>
      <c r="I20148" t="s">
        <v>1358</v>
      </c>
      <c r="J20148" t="s">
        <v>1358</v>
      </c>
      <c r="K20148" t="s">
        <v>1358</v>
      </c>
      <c r="L20148" t="s">
        <v>1358</v>
      </c>
    </row>
    <row r="20149" spans="8:12">
      <c r="H20149" t="s">
        <v>26797</v>
      </c>
      <c r="I20149" t="s">
        <v>1358</v>
      </c>
      <c r="J20149" t="s">
        <v>1358</v>
      </c>
      <c r="K20149" t="s">
        <v>1358</v>
      </c>
      <c r="L20149" t="s">
        <v>1358</v>
      </c>
    </row>
    <row r="20150" spans="8:12">
      <c r="H20150" t="s">
        <v>27305</v>
      </c>
      <c r="I20150" t="s">
        <v>1358</v>
      </c>
      <c r="J20150" t="s">
        <v>1358</v>
      </c>
      <c r="K20150" t="s">
        <v>1358</v>
      </c>
      <c r="L20150" t="s">
        <v>1358</v>
      </c>
    </row>
    <row r="20151" spans="8:12">
      <c r="H20151" t="s">
        <v>26798</v>
      </c>
      <c r="I20151" t="s">
        <v>1358</v>
      </c>
      <c r="J20151" t="s">
        <v>1358</v>
      </c>
      <c r="K20151" t="s">
        <v>1358</v>
      </c>
      <c r="L20151" t="s">
        <v>1358</v>
      </c>
    </row>
    <row r="20152" spans="8:12">
      <c r="H20152" t="s">
        <v>27306</v>
      </c>
      <c r="I20152" t="s">
        <v>1358</v>
      </c>
      <c r="J20152" t="s">
        <v>1358</v>
      </c>
      <c r="K20152" t="s">
        <v>1358</v>
      </c>
      <c r="L20152" t="s">
        <v>1358</v>
      </c>
    </row>
    <row r="20153" spans="8:12">
      <c r="H20153" t="s">
        <v>26799</v>
      </c>
      <c r="I20153" t="s">
        <v>1358</v>
      </c>
      <c r="J20153" t="s">
        <v>1358</v>
      </c>
      <c r="K20153" t="s">
        <v>1358</v>
      </c>
      <c r="L20153" t="s">
        <v>1358</v>
      </c>
    </row>
    <row r="20154" spans="8:12">
      <c r="H20154" t="s">
        <v>26800</v>
      </c>
      <c r="I20154" t="s">
        <v>1358</v>
      </c>
      <c r="J20154" t="s">
        <v>1358</v>
      </c>
      <c r="K20154" t="s">
        <v>1358</v>
      </c>
      <c r="L20154" t="s">
        <v>1358</v>
      </c>
    </row>
    <row r="20155" spans="8:12">
      <c r="H20155" t="s">
        <v>27307</v>
      </c>
      <c r="I20155" t="s">
        <v>1358</v>
      </c>
      <c r="J20155" t="s">
        <v>1358</v>
      </c>
      <c r="K20155" t="s">
        <v>1358</v>
      </c>
      <c r="L20155" t="s">
        <v>1358</v>
      </c>
    </row>
    <row r="20156" spans="8:12">
      <c r="H20156" t="s">
        <v>26801</v>
      </c>
      <c r="I20156" t="s">
        <v>1358</v>
      </c>
      <c r="J20156" t="s">
        <v>1358</v>
      </c>
      <c r="K20156" t="s">
        <v>1358</v>
      </c>
      <c r="L20156" t="s">
        <v>1358</v>
      </c>
    </row>
    <row r="20157" spans="8:12">
      <c r="H20157" t="s">
        <v>27308</v>
      </c>
      <c r="I20157" t="s">
        <v>1358</v>
      </c>
      <c r="J20157" t="s">
        <v>1358</v>
      </c>
      <c r="K20157" t="s">
        <v>1358</v>
      </c>
      <c r="L20157" t="s">
        <v>1358</v>
      </c>
    </row>
    <row r="20158" spans="8:12">
      <c r="H20158" t="s">
        <v>26802</v>
      </c>
      <c r="I20158" t="s">
        <v>1358</v>
      </c>
      <c r="J20158" t="s">
        <v>1358</v>
      </c>
      <c r="K20158" t="s">
        <v>1358</v>
      </c>
      <c r="L20158" t="s">
        <v>1358</v>
      </c>
    </row>
    <row r="20159" spans="8:12">
      <c r="H20159" t="s">
        <v>27309</v>
      </c>
      <c r="I20159" t="s">
        <v>1358</v>
      </c>
      <c r="J20159" t="s">
        <v>1358</v>
      </c>
      <c r="K20159" t="s">
        <v>1358</v>
      </c>
      <c r="L20159" t="s">
        <v>1358</v>
      </c>
    </row>
    <row r="20160" spans="8:12">
      <c r="H20160" t="s">
        <v>26803</v>
      </c>
      <c r="I20160" t="s">
        <v>1358</v>
      </c>
      <c r="J20160" t="s">
        <v>1358</v>
      </c>
      <c r="K20160" t="s">
        <v>1358</v>
      </c>
      <c r="L20160" t="s">
        <v>1358</v>
      </c>
    </row>
    <row r="20161" spans="8:12">
      <c r="H20161" t="s">
        <v>27310</v>
      </c>
      <c r="I20161" t="s">
        <v>1358</v>
      </c>
      <c r="J20161" t="s">
        <v>1358</v>
      </c>
      <c r="K20161" t="s">
        <v>1358</v>
      </c>
      <c r="L20161" t="s">
        <v>1358</v>
      </c>
    </row>
    <row r="20162" spans="8:12">
      <c r="H20162" t="s">
        <v>26804</v>
      </c>
      <c r="I20162" t="s">
        <v>1358</v>
      </c>
      <c r="J20162" t="s">
        <v>1358</v>
      </c>
      <c r="K20162" t="s">
        <v>1358</v>
      </c>
      <c r="L20162" t="s">
        <v>1358</v>
      </c>
    </row>
    <row r="20163" spans="8:12">
      <c r="H20163" t="s">
        <v>26805</v>
      </c>
      <c r="I20163" t="s">
        <v>1358</v>
      </c>
      <c r="J20163" t="s">
        <v>1358</v>
      </c>
      <c r="K20163" t="s">
        <v>1358</v>
      </c>
      <c r="L20163" t="s">
        <v>1358</v>
      </c>
    </row>
    <row r="20164" spans="8:12">
      <c r="H20164" t="s">
        <v>27311</v>
      </c>
      <c r="I20164" t="s">
        <v>1358</v>
      </c>
      <c r="J20164" t="s">
        <v>1358</v>
      </c>
      <c r="K20164" t="s">
        <v>1358</v>
      </c>
      <c r="L20164" t="s">
        <v>1358</v>
      </c>
    </row>
    <row r="20165" spans="8:12">
      <c r="H20165" t="s">
        <v>26806</v>
      </c>
      <c r="I20165" t="s">
        <v>1358</v>
      </c>
      <c r="J20165" t="s">
        <v>1358</v>
      </c>
      <c r="K20165" t="s">
        <v>1358</v>
      </c>
      <c r="L20165" t="s">
        <v>1358</v>
      </c>
    </row>
    <row r="20166" spans="8:12">
      <c r="H20166" t="s">
        <v>27312</v>
      </c>
      <c r="I20166" t="s">
        <v>1358</v>
      </c>
      <c r="J20166" t="s">
        <v>1358</v>
      </c>
      <c r="K20166" t="s">
        <v>1358</v>
      </c>
      <c r="L20166" t="s">
        <v>1358</v>
      </c>
    </row>
    <row r="20167" spans="8:12">
      <c r="H20167" t="s">
        <v>26807</v>
      </c>
      <c r="I20167" t="s">
        <v>1358</v>
      </c>
      <c r="J20167" t="s">
        <v>1358</v>
      </c>
      <c r="K20167" t="s">
        <v>1358</v>
      </c>
      <c r="L20167" t="s">
        <v>1358</v>
      </c>
    </row>
    <row r="20168" spans="8:12">
      <c r="H20168" t="s">
        <v>27313</v>
      </c>
      <c r="I20168" t="s">
        <v>1358</v>
      </c>
      <c r="J20168" t="s">
        <v>1358</v>
      </c>
      <c r="K20168" t="s">
        <v>1358</v>
      </c>
      <c r="L20168" t="s">
        <v>1358</v>
      </c>
    </row>
    <row r="20169" spans="8:12">
      <c r="H20169" t="s">
        <v>26808</v>
      </c>
      <c r="I20169" t="s">
        <v>1358</v>
      </c>
      <c r="J20169" t="s">
        <v>1358</v>
      </c>
      <c r="K20169" t="s">
        <v>1358</v>
      </c>
      <c r="L20169" t="s">
        <v>1358</v>
      </c>
    </row>
    <row r="20170" spans="8:12">
      <c r="H20170" t="s">
        <v>27314</v>
      </c>
      <c r="I20170" t="s">
        <v>1358</v>
      </c>
      <c r="J20170" t="s">
        <v>1358</v>
      </c>
      <c r="K20170" t="s">
        <v>1358</v>
      </c>
      <c r="L20170" t="s">
        <v>1358</v>
      </c>
    </row>
    <row r="20171" spans="8:12">
      <c r="H20171" t="s">
        <v>26809</v>
      </c>
      <c r="I20171" t="s">
        <v>1358</v>
      </c>
      <c r="J20171" t="s">
        <v>1358</v>
      </c>
      <c r="K20171" t="s">
        <v>1358</v>
      </c>
      <c r="L20171" t="s">
        <v>1358</v>
      </c>
    </row>
    <row r="20172" spans="8:12">
      <c r="H20172" t="s">
        <v>27315</v>
      </c>
      <c r="I20172" t="s">
        <v>1358</v>
      </c>
      <c r="J20172" t="s">
        <v>1358</v>
      </c>
      <c r="K20172" t="s">
        <v>1358</v>
      </c>
      <c r="L20172" t="s">
        <v>1358</v>
      </c>
    </row>
    <row r="20173" spans="8:12">
      <c r="H20173" t="s">
        <v>26810</v>
      </c>
      <c r="I20173" t="s">
        <v>1358</v>
      </c>
      <c r="J20173" t="s">
        <v>1358</v>
      </c>
      <c r="K20173" t="s">
        <v>1358</v>
      </c>
      <c r="L20173" t="s">
        <v>1358</v>
      </c>
    </row>
    <row r="20174" spans="8:12">
      <c r="H20174" t="s">
        <v>27316</v>
      </c>
      <c r="I20174" t="s">
        <v>1358</v>
      </c>
      <c r="J20174" t="s">
        <v>1358</v>
      </c>
      <c r="K20174" t="s">
        <v>1358</v>
      </c>
      <c r="L20174" t="s">
        <v>1358</v>
      </c>
    </row>
    <row r="20175" spans="8:12">
      <c r="H20175" t="s">
        <v>26811</v>
      </c>
      <c r="I20175" t="s">
        <v>1358</v>
      </c>
      <c r="J20175" t="s">
        <v>1358</v>
      </c>
      <c r="K20175" t="s">
        <v>1358</v>
      </c>
      <c r="L20175" t="s">
        <v>1358</v>
      </c>
    </row>
    <row r="20176" spans="8:12">
      <c r="H20176" t="s">
        <v>26812</v>
      </c>
      <c r="I20176" t="s">
        <v>1358</v>
      </c>
      <c r="J20176" t="s">
        <v>1358</v>
      </c>
      <c r="K20176" t="s">
        <v>1358</v>
      </c>
      <c r="L20176" t="s">
        <v>1358</v>
      </c>
    </row>
    <row r="20177" spans="8:12">
      <c r="H20177" t="s">
        <v>27317</v>
      </c>
      <c r="I20177" t="s">
        <v>1358</v>
      </c>
      <c r="J20177" t="s">
        <v>1358</v>
      </c>
      <c r="K20177" t="s">
        <v>1358</v>
      </c>
      <c r="L20177" t="s">
        <v>1358</v>
      </c>
    </row>
    <row r="20178" spans="8:12">
      <c r="H20178" t="s">
        <v>26813</v>
      </c>
      <c r="I20178" t="s">
        <v>1358</v>
      </c>
      <c r="J20178" t="s">
        <v>1358</v>
      </c>
      <c r="K20178" t="s">
        <v>1358</v>
      </c>
      <c r="L20178" t="s">
        <v>1358</v>
      </c>
    </row>
    <row r="20179" spans="8:12">
      <c r="H20179" t="s">
        <v>27318</v>
      </c>
      <c r="I20179" t="s">
        <v>1358</v>
      </c>
      <c r="J20179" t="s">
        <v>1358</v>
      </c>
      <c r="K20179" t="s">
        <v>1358</v>
      </c>
      <c r="L20179" t="s">
        <v>1358</v>
      </c>
    </row>
    <row r="20180" spans="8:12">
      <c r="H20180" t="s">
        <v>26814</v>
      </c>
      <c r="I20180" t="s">
        <v>1358</v>
      </c>
      <c r="J20180" t="s">
        <v>1358</v>
      </c>
      <c r="K20180" t="s">
        <v>1358</v>
      </c>
      <c r="L20180" t="s">
        <v>1358</v>
      </c>
    </row>
    <row r="20181" spans="8:12">
      <c r="H20181" t="s">
        <v>27319</v>
      </c>
      <c r="I20181" t="s">
        <v>1358</v>
      </c>
      <c r="J20181" t="s">
        <v>1358</v>
      </c>
      <c r="K20181" t="s">
        <v>1358</v>
      </c>
      <c r="L20181" t="s">
        <v>1358</v>
      </c>
    </row>
    <row r="20182" spans="8:12">
      <c r="H20182" t="s">
        <v>26815</v>
      </c>
      <c r="I20182" t="s">
        <v>1358</v>
      </c>
      <c r="J20182" t="s">
        <v>1358</v>
      </c>
      <c r="K20182" t="s">
        <v>1358</v>
      </c>
      <c r="L20182" t="s">
        <v>1358</v>
      </c>
    </row>
    <row r="20183" spans="8:12">
      <c r="H20183" t="s">
        <v>27320</v>
      </c>
      <c r="I20183" t="s">
        <v>1358</v>
      </c>
      <c r="J20183" t="s">
        <v>1358</v>
      </c>
      <c r="K20183" t="s">
        <v>1358</v>
      </c>
      <c r="L20183" t="s">
        <v>1358</v>
      </c>
    </row>
    <row r="20184" spans="8:12">
      <c r="H20184" t="s">
        <v>26816</v>
      </c>
      <c r="I20184" t="s">
        <v>1358</v>
      </c>
      <c r="J20184" t="s">
        <v>1358</v>
      </c>
      <c r="K20184" t="s">
        <v>1358</v>
      </c>
      <c r="L20184" t="s">
        <v>1358</v>
      </c>
    </row>
    <row r="20185" spans="8:12">
      <c r="H20185" t="s">
        <v>27321</v>
      </c>
      <c r="I20185" t="s">
        <v>1358</v>
      </c>
      <c r="J20185" t="s">
        <v>1358</v>
      </c>
      <c r="K20185" t="s">
        <v>1358</v>
      </c>
      <c r="L20185" t="s">
        <v>1358</v>
      </c>
    </row>
    <row r="20186" spans="8:12">
      <c r="H20186" t="s">
        <v>26817</v>
      </c>
      <c r="I20186" t="s">
        <v>1358</v>
      </c>
      <c r="J20186" t="s">
        <v>1358</v>
      </c>
      <c r="K20186" t="s">
        <v>1358</v>
      </c>
      <c r="L20186" t="s">
        <v>1358</v>
      </c>
    </row>
    <row r="20187" spans="8:12">
      <c r="H20187" t="s">
        <v>27322</v>
      </c>
      <c r="I20187" t="s">
        <v>1358</v>
      </c>
      <c r="J20187" t="s">
        <v>1358</v>
      </c>
      <c r="K20187" t="s">
        <v>1358</v>
      </c>
      <c r="L20187" t="s">
        <v>1358</v>
      </c>
    </row>
    <row r="20188" spans="8:12">
      <c r="H20188" t="s">
        <v>26818</v>
      </c>
      <c r="I20188" t="s">
        <v>1358</v>
      </c>
      <c r="J20188" t="s">
        <v>1358</v>
      </c>
      <c r="K20188" t="s">
        <v>1358</v>
      </c>
      <c r="L20188" t="s">
        <v>1358</v>
      </c>
    </row>
    <row r="20189" spans="8:12">
      <c r="H20189" t="s">
        <v>26819</v>
      </c>
      <c r="I20189" t="s">
        <v>1358</v>
      </c>
      <c r="J20189" t="s">
        <v>1358</v>
      </c>
      <c r="K20189" t="s">
        <v>1358</v>
      </c>
      <c r="L20189" t="s">
        <v>1358</v>
      </c>
    </row>
    <row r="20190" spans="8:12">
      <c r="H20190" t="s">
        <v>27323</v>
      </c>
      <c r="I20190" t="s">
        <v>1358</v>
      </c>
      <c r="J20190" t="s">
        <v>1358</v>
      </c>
      <c r="K20190" t="s">
        <v>1358</v>
      </c>
      <c r="L20190" t="s">
        <v>1358</v>
      </c>
    </row>
    <row r="20191" spans="8:12">
      <c r="H20191" t="s">
        <v>26820</v>
      </c>
      <c r="I20191" t="s">
        <v>1358</v>
      </c>
      <c r="J20191" t="s">
        <v>1358</v>
      </c>
      <c r="K20191" t="s">
        <v>1358</v>
      </c>
      <c r="L20191" t="s">
        <v>1358</v>
      </c>
    </row>
    <row r="20192" spans="8:12">
      <c r="H20192" t="s">
        <v>27324</v>
      </c>
      <c r="I20192" t="s">
        <v>1358</v>
      </c>
      <c r="J20192" t="s">
        <v>1358</v>
      </c>
      <c r="K20192" t="s">
        <v>1358</v>
      </c>
      <c r="L20192" t="s">
        <v>1358</v>
      </c>
    </row>
    <row r="20193" spans="8:12">
      <c r="H20193" t="s">
        <v>26821</v>
      </c>
      <c r="I20193" t="s">
        <v>1358</v>
      </c>
      <c r="J20193" t="s">
        <v>1358</v>
      </c>
      <c r="K20193" t="s">
        <v>1358</v>
      </c>
      <c r="L20193" t="s">
        <v>1358</v>
      </c>
    </row>
    <row r="20194" spans="8:12">
      <c r="H20194" t="s">
        <v>27325</v>
      </c>
      <c r="I20194" t="s">
        <v>1358</v>
      </c>
      <c r="J20194" t="s">
        <v>1358</v>
      </c>
      <c r="K20194" t="s">
        <v>1358</v>
      </c>
      <c r="L20194" t="s">
        <v>1358</v>
      </c>
    </row>
    <row r="20195" spans="8:12">
      <c r="H20195" t="s">
        <v>26822</v>
      </c>
      <c r="I20195" t="s">
        <v>1358</v>
      </c>
      <c r="J20195" t="s">
        <v>1358</v>
      </c>
      <c r="K20195" t="s">
        <v>1358</v>
      </c>
      <c r="L20195" t="s">
        <v>1358</v>
      </c>
    </row>
    <row r="20196" spans="8:12">
      <c r="H20196" t="s">
        <v>27326</v>
      </c>
      <c r="I20196" t="s">
        <v>1358</v>
      </c>
      <c r="J20196" t="s">
        <v>1358</v>
      </c>
      <c r="K20196" t="s">
        <v>1358</v>
      </c>
      <c r="L20196" t="s">
        <v>1358</v>
      </c>
    </row>
    <row r="20197" spans="8:12">
      <c r="H20197" t="s">
        <v>26823</v>
      </c>
      <c r="I20197" t="s">
        <v>1358</v>
      </c>
      <c r="J20197" t="s">
        <v>1358</v>
      </c>
      <c r="K20197" t="s">
        <v>1358</v>
      </c>
      <c r="L20197" t="s">
        <v>1358</v>
      </c>
    </row>
    <row r="20198" spans="8:12">
      <c r="H20198" t="s">
        <v>27327</v>
      </c>
      <c r="I20198" t="s">
        <v>1358</v>
      </c>
      <c r="J20198" t="s">
        <v>1358</v>
      </c>
      <c r="K20198" t="s">
        <v>1358</v>
      </c>
      <c r="L20198" t="s">
        <v>1358</v>
      </c>
    </row>
    <row r="20199" spans="8:12">
      <c r="H20199" t="s">
        <v>26824</v>
      </c>
      <c r="I20199" t="s">
        <v>1358</v>
      </c>
      <c r="J20199" t="s">
        <v>1358</v>
      </c>
      <c r="K20199" t="s">
        <v>1358</v>
      </c>
      <c r="L20199" t="s">
        <v>1358</v>
      </c>
    </row>
    <row r="20200" spans="8:12">
      <c r="H20200" t="s">
        <v>27328</v>
      </c>
      <c r="I20200" t="s">
        <v>1358</v>
      </c>
      <c r="J20200" t="s">
        <v>1358</v>
      </c>
      <c r="K20200" t="s">
        <v>1358</v>
      </c>
      <c r="L20200" t="s">
        <v>1358</v>
      </c>
    </row>
    <row r="20201" spans="8:12">
      <c r="H20201" t="s">
        <v>26825</v>
      </c>
      <c r="I20201" t="s">
        <v>1358</v>
      </c>
      <c r="J20201" t="s">
        <v>1358</v>
      </c>
      <c r="K20201" t="s">
        <v>1358</v>
      </c>
      <c r="L20201" t="s">
        <v>1358</v>
      </c>
    </row>
    <row r="20202" spans="8:12">
      <c r="H20202" t="s">
        <v>26826</v>
      </c>
      <c r="I20202" t="s">
        <v>1358</v>
      </c>
      <c r="J20202" t="s">
        <v>1358</v>
      </c>
      <c r="K20202" t="s">
        <v>1358</v>
      </c>
      <c r="L20202" t="s">
        <v>1358</v>
      </c>
    </row>
    <row r="20203" spans="8:12">
      <c r="H20203" t="s">
        <v>27329</v>
      </c>
      <c r="I20203" t="s">
        <v>1358</v>
      </c>
      <c r="J20203" t="s">
        <v>1358</v>
      </c>
      <c r="K20203" t="s">
        <v>1358</v>
      </c>
      <c r="L20203" t="s">
        <v>1358</v>
      </c>
    </row>
    <row r="20204" spans="8:12">
      <c r="H20204" t="s">
        <v>26827</v>
      </c>
      <c r="I20204" t="s">
        <v>1358</v>
      </c>
      <c r="J20204" t="s">
        <v>1358</v>
      </c>
      <c r="K20204" t="s">
        <v>1358</v>
      </c>
      <c r="L20204" t="s">
        <v>1358</v>
      </c>
    </row>
    <row r="20205" spans="8:12">
      <c r="H20205" t="s">
        <v>27330</v>
      </c>
      <c r="I20205" t="s">
        <v>1358</v>
      </c>
      <c r="J20205" t="s">
        <v>1358</v>
      </c>
      <c r="K20205" t="s">
        <v>1358</v>
      </c>
      <c r="L20205" t="s">
        <v>1358</v>
      </c>
    </row>
    <row r="20206" spans="8:12">
      <c r="H20206" t="s">
        <v>26828</v>
      </c>
      <c r="I20206" t="s">
        <v>1358</v>
      </c>
      <c r="J20206" t="s">
        <v>1358</v>
      </c>
      <c r="K20206" t="s">
        <v>1358</v>
      </c>
      <c r="L20206" t="s">
        <v>1358</v>
      </c>
    </row>
    <row r="20207" spans="8:12">
      <c r="H20207" t="s">
        <v>27331</v>
      </c>
      <c r="I20207" t="s">
        <v>1358</v>
      </c>
      <c r="J20207" t="s">
        <v>1358</v>
      </c>
      <c r="K20207" t="s">
        <v>1358</v>
      </c>
      <c r="L20207" t="s">
        <v>1358</v>
      </c>
    </row>
    <row r="20208" spans="8:12">
      <c r="H20208" t="s">
        <v>26829</v>
      </c>
      <c r="I20208" t="s">
        <v>1358</v>
      </c>
      <c r="J20208" t="s">
        <v>1358</v>
      </c>
      <c r="K20208" t="s">
        <v>1358</v>
      </c>
      <c r="L20208" t="s">
        <v>1358</v>
      </c>
    </row>
    <row r="20209" spans="8:12">
      <c r="H20209" t="s">
        <v>27332</v>
      </c>
      <c r="I20209" t="s">
        <v>1358</v>
      </c>
      <c r="J20209" t="s">
        <v>1358</v>
      </c>
      <c r="K20209" t="s">
        <v>1358</v>
      </c>
      <c r="L20209" t="s">
        <v>1358</v>
      </c>
    </row>
    <row r="20210" spans="8:12">
      <c r="H20210" t="s">
        <v>26830</v>
      </c>
      <c r="I20210" t="s">
        <v>1358</v>
      </c>
      <c r="J20210" t="s">
        <v>1358</v>
      </c>
      <c r="K20210" t="s">
        <v>1358</v>
      </c>
      <c r="L20210" t="s">
        <v>1358</v>
      </c>
    </row>
    <row r="20211" spans="8:12">
      <c r="H20211" t="s">
        <v>27333</v>
      </c>
      <c r="I20211" t="s">
        <v>1358</v>
      </c>
      <c r="J20211" t="s">
        <v>1358</v>
      </c>
      <c r="K20211" t="s">
        <v>1358</v>
      </c>
      <c r="L20211" t="s">
        <v>1358</v>
      </c>
    </row>
    <row r="20212" spans="8:12">
      <c r="H20212" t="s">
        <v>26831</v>
      </c>
      <c r="I20212" t="s">
        <v>1358</v>
      </c>
      <c r="J20212" t="s">
        <v>1358</v>
      </c>
      <c r="K20212" t="s">
        <v>1358</v>
      </c>
      <c r="L20212" t="s">
        <v>1358</v>
      </c>
    </row>
    <row r="20213" spans="8:12">
      <c r="H20213" t="s">
        <v>27334</v>
      </c>
      <c r="I20213" t="s">
        <v>1358</v>
      </c>
      <c r="J20213" t="s">
        <v>1358</v>
      </c>
      <c r="K20213" t="s">
        <v>1358</v>
      </c>
      <c r="L20213" t="s">
        <v>1358</v>
      </c>
    </row>
    <row r="20214" spans="8:12">
      <c r="H20214" t="s">
        <v>26832</v>
      </c>
      <c r="I20214" t="s">
        <v>1358</v>
      </c>
      <c r="J20214" t="s">
        <v>1358</v>
      </c>
      <c r="K20214" t="s">
        <v>1358</v>
      </c>
      <c r="L20214" t="s">
        <v>1358</v>
      </c>
    </row>
    <row r="20215" spans="8:12">
      <c r="H20215" t="s">
        <v>26833</v>
      </c>
      <c r="I20215" t="s">
        <v>1358</v>
      </c>
      <c r="J20215" t="s">
        <v>1358</v>
      </c>
      <c r="K20215" t="s">
        <v>1358</v>
      </c>
      <c r="L20215" t="s">
        <v>1358</v>
      </c>
    </row>
    <row r="20216" spans="8:12">
      <c r="H20216" t="s">
        <v>27335</v>
      </c>
      <c r="I20216" t="s">
        <v>1358</v>
      </c>
      <c r="J20216" t="s">
        <v>1358</v>
      </c>
      <c r="K20216" t="s">
        <v>1358</v>
      </c>
      <c r="L20216" t="s">
        <v>1358</v>
      </c>
    </row>
    <row r="20217" spans="8:12">
      <c r="H20217" t="s">
        <v>26834</v>
      </c>
      <c r="I20217" t="s">
        <v>1358</v>
      </c>
      <c r="J20217" t="s">
        <v>1358</v>
      </c>
      <c r="K20217" t="s">
        <v>1358</v>
      </c>
      <c r="L20217" t="s">
        <v>1358</v>
      </c>
    </row>
    <row r="20218" spans="8:12">
      <c r="H20218" t="s">
        <v>27336</v>
      </c>
      <c r="I20218" t="s">
        <v>1358</v>
      </c>
      <c r="J20218" t="s">
        <v>1358</v>
      </c>
      <c r="K20218" t="s">
        <v>1358</v>
      </c>
      <c r="L20218" t="s">
        <v>1358</v>
      </c>
    </row>
    <row r="20219" spans="8:12">
      <c r="H20219" t="s">
        <v>26835</v>
      </c>
      <c r="I20219" t="s">
        <v>1358</v>
      </c>
      <c r="J20219" t="s">
        <v>1358</v>
      </c>
      <c r="K20219" t="s">
        <v>1358</v>
      </c>
      <c r="L20219" t="s">
        <v>1358</v>
      </c>
    </row>
    <row r="20220" spans="8:12">
      <c r="H20220" t="s">
        <v>27337</v>
      </c>
      <c r="I20220" t="s">
        <v>1358</v>
      </c>
      <c r="J20220" t="s">
        <v>1358</v>
      </c>
      <c r="K20220" t="s">
        <v>1358</v>
      </c>
      <c r="L20220" t="s">
        <v>1358</v>
      </c>
    </row>
    <row r="20221" spans="8:12">
      <c r="H20221" t="s">
        <v>26836</v>
      </c>
      <c r="I20221" t="s">
        <v>1358</v>
      </c>
      <c r="J20221" t="s">
        <v>1358</v>
      </c>
      <c r="K20221" t="s">
        <v>1358</v>
      </c>
      <c r="L20221" t="s">
        <v>1358</v>
      </c>
    </row>
    <row r="20222" spans="8:12">
      <c r="H20222" t="s">
        <v>27338</v>
      </c>
      <c r="I20222" t="s">
        <v>1358</v>
      </c>
      <c r="J20222" t="s">
        <v>1358</v>
      </c>
      <c r="K20222" t="s">
        <v>1358</v>
      </c>
      <c r="L20222" t="s">
        <v>1358</v>
      </c>
    </row>
    <row r="20223" spans="8:12">
      <c r="H20223" t="s">
        <v>26837</v>
      </c>
      <c r="I20223" t="s">
        <v>1358</v>
      </c>
      <c r="J20223" t="s">
        <v>1358</v>
      </c>
      <c r="K20223" t="s">
        <v>1358</v>
      </c>
      <c r="L20223" t="s">
        <v>1358</v>
      </c>
    </row>
    <row r="20224" spans="8:12">
      <c r="H20224" t="s">
        <v>27339</v>
      </c>
      <c r="I20224" t="s">
        <v>1358</v>
      </c>
      <c r="J20224" t="s">
        <v>1358</v>
      </c>
      <c r="K20224" t="s">
        <v>1358</v>
      </c>
      <c r="L20224" t="s">
        <v>1358</v>
      </c>
    </row>
    <row r="20225" spans="1:12">
      <c r="H20225" t="s">
        <v>26838</v>
      </c>
      <c r="I20225" t="s">
        <v>1358</v>
      </c>
      <c r="J20225" t="s">
        <v>1358</v>
      </c>
      <c r="K20225" t="s">
        <v>1358</v>
      </c>
      <c r="L20225" t="s">
        <v>1358</v>
      </c>
    </row>
    <row r="20226" spans="1:12">
      <c r="H20226" t="s">
        <v>27340</v>
      </c>
      <c r="I20226" t="s">
        <v>1358</v>
      </c>
      <c r="J20226" t="s">
        <v>1358</v>
      </c>
      <c r="K20226" t="s">
        <v>1358</v>
      </c>
      <c r="L20226" t="s">
        <v>1358</v>
      </c>
    </row>
    <row r="20227" spans="1:12">
      <c r="H20227" t="s">
        <v>26839</v>
      </c>
      <c r="I20227" t="s">
        <v>1358</v>
      </c>
      <c r="J20227" t="s">
        <v>1358</v>
      </c>
      <c r="K20227" t="s">
        <v>1358</v>
      </c>
      <c r="L20227" t="s">
        <v>1358</v>
      </c>
    </row>
    <row r="20228" spans="1:12">
      <c r="A20228" t="s">
        <v>11964</v>
      </c>
      <c r="B20228">
        <f>HYPERLINK("https://android.googlesource.com/platform/cts/+/21849f871d414d75426b33d2c790c8578032a17e", "21849f871d414d75426b33d2c790c8578032a17e")</f>
        <v>0</v>
      </c>
      <c r="C20228">
        <f>HYPERLINK("https://android.googlesource.com/platform/cts/+/befdfc5ae1214a6bf7e7390fb8fae57818d51310", "befdfc5ae1214a6bf7e7390fb8fae57818d51310")</f>
        <v>0</v>
      </c>
      <c r="D20228" t="s">
        <v>12394</v>
      </c>
      <c r="E20228" t="s">
        <v>14460</v>
      </c>
      <c r="F20228" t="s">
        <v>17020</v>
      </c>
      <c r="G20228" t="s">
        <v>19621</v>
      </c>
      <c r="H20228" t="s">
        <v>27341</v>
      </c>
      <c r="I20228" t="s">
        <v>1357</v>
      </c>
      <c r="J20228" t="s">
        <v>1357</v>
      </c>
      <c r="K20228" t="s">
        <v>1357</v>
      </c>
      <c r="L20228" t="s">
        <v>1357</v>
      </c>
    </row>
    <row r="20229" spans="1:12">
      <c r="H20229" t="s">
        <v>27342</v>
      </c>
      <c r="I20229" t="s">
        <v>1357</v>
      </c>
      <c r="J20229" t="s">
        <v>1357</v>
      </c>
      <c r="K20229" t="s">
        <v>1357</v>
      </c>
      <c r="L20229" t="s">
        <v>1357</v>
      </c>
    </row>
    <row r="20230" spans="1:12">
      <c r="H20230" t="s">
        <v>27343</v>
      </c>
      <c r="I20230" t="s">
        <v>1357</v>
      </c>
      <c r="J20230" t="s">
        <v>1357</v>
      </c>
      <c r="K20230" t="s">
        <v>1357</v>
      </c>
      <c r="L20230" t="s">
        <v>1357</v>
      </c>
    </row>
    <row r="20231" spans="1:12">
      <c r="H20231" t="s">
        <v>27344</v>
      </c>
      <c r="I20231" t="s">
        <v>1357</v>
      </c>
      <c r="J20231" t="s">
        <v>1357</v>
      </c>
      <c r="K20231" t="s">
        <v>1357</v>
      </c>
      <c r="L20231" t="s">
        <v>1357</v>
      </c>
    </row>
    <row r="20232" spans="1:12">
      <c r="H20232" t="s">
        <v>25082</v>
      </c>
      <c r="I20232" t="s">
        <v>1357</v>
      </c>
      <c r="J20232" t="s">
        <v>1357</v>
      </c>
      <c r="K20232" t="s">
        <v>1357</v>
      </c>
      <c r="L20232" t="s">
        <v>1357</v>
      </c>
    </row>
    <row r="20233" spans="1:12">
      <c r="F20233" t="s">
        <v>17297</v>
      </c>
      <c r="G20233" t="s">
        <v>19872</v>
      </c>
      <c r="H20233" t="s">
        <v>23282</v>
      </c>
      <c r="I20233" t="s">
        <v>1357</v>
      </c>
      <c r="J20233" t="s">
        <v>1357</v>
      </c>
      <c r="K20233" t="s">
        <v>1357</v>
      </c>
      <c r="L20233" t="s">
        <v>1357</v>
      </c>
    </row>
    <row r="20234" spans="1:12">
      <c r="H20234" t="s">
        <v>25082</v>
      </c>
      <c r="I20234" t="s">
        <v>1357</v>
      </c>
      <c r="J20234" t="s">
        <v>1357</v>
      </c>
      <c r="K20234" t="s">
        <v>1357</v>
      </c>
      <c r="L20234" t="s">
        <v>1357</v>
      </c>
    </row>
    <row r="20235" spans="1:12">
      <c r="F20235" t="s">
        <v>17298</v>
      </c>
      <c r="G20235" t="s">
        <v>19873</v>
      </c>
      <c r="H20235" t="s">
        <v>23282</v>
      </c>
      <c r="I20235" t="s">
        <v>1357</v>
      </c>
      <c r="J20235" t="s">
        <v>1357</v>
      </c>
      <c r="K20235" t="s">
        <v>1357</v>
      </c>
      <c r="L20235" t="s">
        <v>1357</v>
      </c>
    </row>
    <row r="20236" spans="1:12">
      <c r="H20236" t="s">
        <v>25082</v>
      </c>
      <c r="I20236" t="s">
        <v>1357</v>
      </c>
      <c r="J20236" t="s">
        <v>1357</v>
      </c>
      <c r="K20236" t="s">
        <v>1357</v>
      </c>
      <c r="L20236" t="s">
        <v>1357</v>
      </c>
    </row>
    <row r="20237" spans="1:12">
      <c r="F20237" t="s">
        <v>17299</v>
      </c>
      <c r="G20237" t="s">
        <v>19874</v>
      </c>
      <c r="H20237" t="s">
        <v>23282</v>
      </c>
      <c r="I20237" t="s">
        <v>1357</v>
      </c>
      <c r="J20237" t="s">
        <v>1357</v>
      </c>
      <c r="K20237" t="s">
        <v>1357</v>
      </c>
      <c r="L20237" t="s">
        <v>1357</v>
      </c>
    </row>
    <row r="20238" spans="1:12">
      <c r="H20238" t="s">
        <v>27345</v>
      </c>
      <c r="I20238" t="s">
        <v>1357</v>
      </c>
      <c r="J20238" t="s">
        <v>1357</v>
      </c>
      <c r="K20238" t="s">
        <v>1357</v>
      </c>
      <c r="L20238" t="s">
        <v>1357</v>
      </c>
    </row>
    <row r="20239" spans="1:12">
      <c r="H20239" t="s">
        <v>25082</v>
      </c>
      <c r="I20239" t="s">
        <v>1357</v>
      </c>
      <c r="J20239" t="s">
        <v>1357</v>
      </c>
      <c r="K20239" t="s">
        <v>1357</v>
      </c>
      <c r="L20239" t="s">
        <v>1357</v>
      </c>
    </row>
    <row r="20240" spans="1:12">
      <c r="F20240" t="s">
        <v>17300</v>
      </c>
      <c r="G20240" t="s">
        <v>19875</v>
      </c>
      <c r="H20240" t="s">
        <v>23282</v>
      </c>
      <c r="I20240" t="s">
        <v>1357</v>
      </c>
      <c r="J20240" t="s">
        <v>1357</v>
      </c>
      <c r="K20240" t="s">
        <v>1357</v>
      </c>
      <c r="L20240" t="s">
        <v>1357</v>
      </c>
    </row>
    <row r="20241" spans="6:12">
      <c r="H20241" t="s">
        <v>25082</v>
      </c>
      <c r="I20241" t="s">
        <v>1357</v>
      </c>
      <c r="J20241" t="s">
        <v>1357</v>
      </c>
      <c r="K20241" t="s">
        <v>1357</v>
      </c>
      <c r="L20241" t="s">
        <v>1357</v>
      </c>
    </row>
    <row r="20242" spans="6:12">
      <c r="F20242" t="s">
        <v>17301</v>
      </c>
      <c r="G20242" t="s">
        <v>19876</v>
      </c>
      <c r="H20242" t="s">
        <v>27346</v>
      </c>
      <c r="I20242" t="s">
        <v>1357</v>
      </c>
      <c r="J20242" t="s">
        <v>1357</v>
      </c>
      <c r="K20242" t="s">
        <v>1357</v>
      </c>
      <c r="L20242" t="s">
        <v>1357</v>
      </c>
    </row>
    <row r="20243" spans="6:12">
      <c r="H20243" t="s">
        <v>27347</v>
      </c>
      <c r="I20243" t="s">
        <v>1357</v>
      </c>
      <c r="J20243" t="s">
        <v>1357</v>
      </c>
      <c r="K20243" t="s">
        <v>1357</v>
      </c>
      <c r="L20243" t="s">
        <v>1357</v>
      </c>
    </row>
    <row r="20244" spans="6:12">
      <c r="H20244" t="s">
        <v>27348</v>
      </c>
      <c r="I20244" t="s">
        <v>1357</v>
      </c>
      <c r="J20244" t="s">
        <v>1357</v>
      </c>
      <c r="K20244" t="s">
        <v>1357</v>
      </c>
      <c r="L20244" t="s">
        <v>1357</v>
      </c>
    </row>
    <row r="20245" spans="6:12">
      <c r="H20245" t="s">
        <v>27349</v>
      </c>
      <c r="I20245" t="s">
        <v>1357</v>
      </c>
      <c r="J20245" t="s">
        <v>1357</v>
      </c>
      <c r="K20245" t="s">
        <v>1357</v>
      </c>
      <c r="L20245" t="s">
        <v>1357</v>
      </c>
    </row>
    <row r="20246" spans="6:12">
      <c r="F20246" t="s">
        <v>17302</v>
      </c>
      <c r="G20246" t="s">
        <v>19877</v>
      </c>
      <c r="H20246" t="s">
        <v>27350</v>
      </c>
      <c r="I20246" t="s">
        <v>1357</v>
      </c>
      <c r="J20246" t="s">
        <v>1357</v>
      </c>
      <c r="K20246" t="s">
        <v>1357</v>
      </c>
      <c r="L20246" t="s">
        <v>1357</v>
      </c>
    </row>
    <row r="20247" spans="6:12">
      <c r="F20247" t="s">
        <v>17058</v>
      </c>
      <c r="G20247" t="s">
        <v>19657</v>
      </c>
      <c r="H20247" t="s">
        <v>27351</v>
      </c>
      <c r="I20247" t="s">
        <v>1357</v>
      </c>
      <c r="J20247" t="s">
        <v>1357</v>
      </c>
      <c r="K20247" t="s">
        <v>1357</v>
      </c>
      <c r="L20247" t="s">
        <v>1357</v>
      </c>
    </row>
    <row r="20248" spans="6:12">
      <c r="H20248" t="s">
        <v>27352</v>
      </c>
      <c r="I20248" t="s">
        <v>1357</v>
      </c>
      <c r="J20248" t="s">
        <v>1357</v>
      </c>
      <c r="K20248" t="s">
        <v>1357</v>
      </c>
      <c r="L20248" t="s">
        <v>1357</v>
      </c>
    </row>
    <row r="20249" spans="6:12">
      <c r="H20249" t="s">
        <v>27353</v>
      </c>
      <c r="I20249" t="s">
        <v>1357</v>
      </c>
      <c r="J20249" t="s">
        <v>1357</v>
      </c>
      <c r="K20249" t="s">
        <v>1357</v>
      </c>
      <c r="L20249" t="s">
        <v>1357</v>
      </c>
    </row>
    <row r="20250" spans="6:12">
      <c r="H20250" t="s">
        <v>27354</v>
      </c>
      <c r="I20250" t="s">
        <v>1357</v>
      </c>
      <c r="J20250" t="s">
        <v>1357</v>
      </c>
      <c r="K20250" t="s">
        <v>1357</v>
      </c>
      <c r="L20250" t="s">
        <v>1357</v>
      </c>
    </row>
    <row r="20251" spans="6:12">
      <c r="H20251" t="s">
        <v>27355</v>
      </c>
      <c r="I20251" t="s">
        <v>1357</v>
      </c>
      <c r="J20251" t="s">
        <v>1357</v>
      </c>
      <c r="K20251" t="s">
        <v>1357</v>
      </c>
      <c r="L20251" t="s">
        <v>1357</v>
      </c>
    </row>
    <row r="20252" spans="6:12">
      <c r="H20252" t="s">
        <v>27356</v>
      </c>
      <c r="I20252" t="s">
        <v>1357</v>
      </c>
      <c r="J20252" t="s">
        <v>1357</v>
      </c>
      <c r="K20252" t="s">
        <v>1357</v>
      </c>
      <c r="L20252" t="s">
        <v>1357</v>
      </c>
    </row>
    <row r="20253" spans="6:12">
      <c r="H20253" t="s">
        <v>27357</v>
      </c>
      <c r="I20253" t="s">
        <v>1357</v>
      </c>
      <c r="J20253" t="s">
        <v>1357</v>
      </c>
      <c r="K20253" t="s">
        <v>1357</v>
      </c>
      <c r="L20253" t="s">
        <v>1357</v>
      </c>
    </row>
    <row r="20254" spans="6:12">
      <c r="H20254" t="s">
        <v>27358</v>
      </c>
      <c r="I20254" t="s">
        <v>1357</v>
      </c>
      <c r="J20254" t="s">
        <v>1357</v>
      </c>
      <c r="K20254" t="s">
        <v>1357</v>
      </c>
      <c r="L20254" t="s">
        <v>1357</v>
      </c>
    </row>
    <row r="20255" spans="6:12">
      <c r="H20255" t="s">
        <v>27359</v>
      </c>
      <c r="I20255" t="s">
        <v>1357</v>
      </c>
      <c r="J20255" t="s">
        <v>1357</v>
      </c>
      <c r="K20255" t="s">
        <v>1357</v>
      </c>
      <c r="L20255" t="s">
        <v>1357</v>
      </c>
    </row>
    <row r="20256" spans="6:12">
      <c r="H20256" t="s">
        <v>27360</v>
      </c>
      <c r="I20256" t="s">
        <v>1357</v>
      </c>
      <c r="J20256" t="s">
        <v>1357</v>
      </c>
      <c r="K20256" t="s">
        <v>1357</v>
      </c>
      <c r="L20256" t="s">
        <v>1357</v>
      </c>
    </row>
    <row r="20257" spans="8:12">
      <c r="H20257" t="s">
        <v>27361</v>
      </c>
      <c r="I20257" t="s">
        <v>1357</v>
      </c>
      <c r="J20257" t="s">
        <v>1357</v>
      </c>
      <c r="K20257" t="s">
        <v>1357</v>
      </c>
      <c r="L20257" t="s">
        <v>1357</v>
      </c>
    </row>
    <row r="20258" spans="8:12">
      <c r="H20258" t="s">
        <v>27362</v>
      </c>
      <c r="I20258" t="s">
        <v>1357</v>
      </c>
      <c r="J20258" t="s">
        <v>1357</v>
      </c>
      <c r="K20258" t="s">
        <v>1357</v>
      </c>
      <c r="L20258" t="s">
        <v>1357</v>
      </c>
    </row>
    <row r="20259" spans="8:12">
      <c r="H20259" t="s">
        <v>27363</v>
      </c>
      <c r="I20259" t="s">
        <v>1357</v>
      </c>
      <c r="J20259" t="s">
        <v>1357</v>
      </c>
      <c r="K20259" t="s">
        <v>1357</v>
      </c>
      <c r="L20259" t="s">
        <v>1357</v>
      </c>
    </row>
    <row r="20260" spans="8:12">
      <c r="H20260" t="s">
        <v>27364</v>
      </c>
      <c r="I20260" t="s">
        <v>1357</v>
      </c>
      <c r="J20260" t="s">
        <v>1357</v>
      </c>
      <c r="K20260" t="s">
        <v>1357</v>
      </c>
      <c r="L20260" t="s">
        <v>1357</v>
      </c>
    </row>
    <row r="20261" spans="8:12">
      <c r="H20261" t="s">
        <v>27365</v>
      </c>
      <c r="I20261" t="s">
        <v>1357</v>
      </c>
      <c r="J20261" t="s">
        <v>1357</v>
      </c>
      <c r="K20261" t="s">
        <v>1357</v>
      </c>
      <c r="L20261" t="s">
        <v>1357</v>
      </c>
    </row>
    <row r="20262" spans="8:12">
      <c r="H20262" t="s">
        <v>27366</v>
      </c>
      <c r="I20262" t="s">
        <v>1357</v>
      </c>
      <c r="J20262" t="s">
        <v>1357</v>
      </c>
      <c r="K20262" t="s">
        <v>1357</v>
      </c>
      <c r="L20262" t="s">
        <v>1357</v>
      </c>
    </row>
    <row r="20263" spans="8:12">
      <c r="H20263" t="s">
        <v>27367</v>
      </c>
      <c r="I20263" t="s">
        <v>1357</v>
      </c>
      <c r="J20263" t="s">
        <v>1357</v>
      </c>
      <c r="K20263" t="s">
        <v>1357</v>
      </c>
      <c r="L20263" t="s">
        <v>1357</v>
      </c>
    </row>
    <row r="20264" spans="8:12">
      <c r="H20264" t="s">
        <v>27368</v>
      </c>
      <c r="I20264" t="s">
        <v>1357</v>
      </c>
      <c r="J20264" t="s">
        <v>1357</v>
      </c>
      <c r="K20264" t="s">
        <v>1357</v>
      </c>
      <c r="L20264" t="s">
        <v>1357</v>
      </c>
    </row>
    <row r="20265" spans="8:12">
      <c r="H20265" t="s">
        <v>27369</v>
      </c>
      <c r="I20265" t="s">
        <v>1357</v>
      </c>
      <c r="J20265" t="s">
        <v>1357</v>
      </c>
      <c r="K20265" t="s">
        <v>1357</v>
      </c>
      <c r="L20265" t="s">
        <v>1357</v>
      </c>
    </row>
    <row r="20266" spans="8:12">
      <c r="H20266" t="s">
        <v>27370</v>
      </c>
      <c r="I20266" t="s">
        <v>1357</v>
      </c>
      <c r="J20266" t="s">
        <v>1357</v>
      </c>
      <c r="K20266" t="s">
        <v>1357</v>
      </c>
      <c r="L20266" t="s">
        <v>1357</v>
      </c>
    </row>
    <row r="20267" spans="8:12">
      <c r="H20267" t="s">
        <v>27371</v>
      </c>
      <c r="I20267" t="s">
        <v>1357</v>
      </c>
      <c r="J20267" t="s">
        <v>1357</v>
      </c>
      <c r="K20267" t="s">
        <v>1357</v>
      </c>
      <c r="L20267" t="s">
        <v>1357</v>
      </c>
    </row>
    <row r="20268" spans="8:12">
      <c r="H20268" t="s">
        <v>27372</v>
      </c>
      <c r="I20268" t="s">
        <v>1357</v>
      </c>
      <c r="J20268" t="s">
        <v>1357</v>
      </c>
      <c r="K20268" t="s">
        <v>1357</v>
      </c>
      <c r="L20268" t="s">
        <v>1357</v>
      </c>
    </row>
    <row r="20269" spans="8:12">
      <c r="H20269" t="s">
        <v>27373</v>
      </c>
      <c r="I20269" t="s">
        <v>1357</v>
      </c>
      <c r="J20269" t="s">
        <v>1357</v>
      </c>
      <c r="K20269" t="s">
        <v>1357</v>
      </c>
      <c r="L20269" t="s">
        <v>1357</v>
      </c>
    </row>
    <row r="20270" spans="8:12">
      <c r="H20270" t="s">
        <v>27374</v>
      </c>
      <c r="I20270" t="s">
        <v>1357</v>
      </c>
      <c r="J20270" t="s">
        <v>1357</v>
      </c>
      <c r="K20270" t="s">
        <v>1357</v>
      </c>
      <c r="L20270" t="s">
        <v>1357</v>
      </c>
    </row>
    <row r="20271" spans="8:12">
      <c r="H20271" t="s">
        <v>27375</v>
      </c>
      <c r="I20271" t="s">
        <v>1357</v>
      </c>
      <c r="J20271" t="s">
        <v>1357</v>
      </c>
      <c r="K20271" t="s">
        <v>1357</v>
      </c>
      <c r="L20271" t="s">
        <v>1357</v>
      </c>
    </row>
    <row r="20272" spans="8:12">
      <c r="H20272" t="s">
        <v>27376</v>
      </c>
      <c r="I20272" t="s">
        <v>1357</v>
      </c>
      <c r="J20272" t="s">
        <v>1357</v>
      </c>
      <c r="K20272" t="s">
        <v>1357</v>
      </c>
      <c r="L20272" t="s">
        <v>1357</v>
      </c>
    </row>
    <row r="20273" spans="1:14">
      <c r="H20273" t="s">
        <v>27377</v>
      </c>
      <c r="I20273" t="s">
        <v>1357</v>
      </c>
      <c r="J20273" t="s">
        <v>1357</v>
      </c>
      <c r="K20273" t="s">
        <v>1357</v>
      </c>
      <c r="L20273" t="s">
        <v>1357</v>
      </c>
    </row>
    <row r="20274" spans="1:14">
      <c r="H20274" t="s">
        <v>27378</v>
      </c>
      <c r="I20274" t="s">
        <v>1357</v>
      </c>
      <c r="J20274" t="s">
        <v>1357</v>
      </c>
      <c r="K20274" t="s">
        <v>1357</v>
      </c>
      <c r="L20274" t="s">
        <v>1357</v>
      </c>
    </row>
    <row r="20275" spans="1:14">
      <c r="H20275" t="s">
        <v>27379</v>
      </c>
      <c r="I20275" t="s">
        <v>1357</v>
      </c>
      <c r="J20275" t="s">
        <v>1357</v>
      </c>
      <c r="K20275" t="s">
        <v>1357</v>
      </c>
      <c r="L20275" t="s">
        <v>1357</v>
      </c>
    </row>
    <row r="20276" spans="1:14">
      <c r="H20276" t="s">
        <v>27380</v>
      </c>
      <c r="I20276" t="s">
        <v>1357</v>
      </c>
      <c r="J20276" t="s">
        <v>1357</v>
      </c>
      <c r="K20276" t="s">
        <v>1357</v>
      </c>
      <c r="L20276" t="s">
        <v>1357</v>
      </c>
    </row>
    <row r="20277" spans="1:14">
      <c r="H20277" t="s">
        <v>27381</v>
      </c>
      <c r="I20277" t="s">
        <v>1357</v>
      </c>
      <c r="J20277" t="s">
        <v>1357</v>
      </c>
      <c r="K20277" t="s">
        <v>1357</v>
      </c>
      <c r="L20277" t="s">
        <v>1357</v>
      </c>
    </row>
    <row r="20278" spans="1:14">
      <c r="H20278" t="s">
        <v>27382</v>
      </c>
      <c r="I20278" t="s">
        <v>1357</v>
      </c>
      <c r="J20278" t="s">
        <v>1357</v>
      </c>
      <c r="K20278" t="s">
        <v>1357</v>
      </c>
      <c r="L20278" t="s">
        <v>1357</v>
      </c>
    </row>
    <row r="20279" spans="1:14">
      <c r="H20279" t="s">
        <v>27383</v>
      </c>
      <c r="I20279" t="s">
        <v>1357</v>
      </c>
      <c r="J20279" t="s">
        <v>1357</v>
      </c>
      <c r="K20279" t="s">
        <v>1357</v>
      </c>
      <c r="L20279" t="s">
        <v>1357</v>
      </c>
    </row>
    <row r="20280" spans="1:14">
      <c r="H20280" t="s">
        <v>27384</v>
      </c>
      <c r="I20280" t="s">
        <v>1357</v>
      </c>
      <c r="J20280" t="s">
        <v>1357</v>
      </c>
      <c r="K20280" t="s">
        <v>1357</v>
      </c>
      <c r="L20280" t="s">
        <v>1357</v>
      </c>
    </row>
    <row r="20281" spans="1:14">
      <c r="H20281" t="s">
        <v>27385</v>
      </c>
      <c r="I20281" t="s">
        <v>1357</v>
      </c>
      <c r="J20281" t="s">
        <v>1357</v>
      </c>
      <c r="K20281" t="s">
        <v>1357</v>
      </c>
      <c r="L20281" t="s">
        <v>1357</v>
      </c>
    </row>
    <row r="20282" spans="1:14">
      <c r="H20282" t="s">
        <v>27386</v>
      </c>
      <c r="I20282" t="s">
        <v>1357</v>
      </c>
      <c r="J20282" t="s">
        <v>1357</v>
      </c>
      <c r="K20282" t="s">
        <v>1357</v>
      </c>
      <c r="L20282" t="s">
        <v>1357</v>
      </c>
    </row>
    <row r="20283" spans="1:14">
      <c r="A20283" t="s">
        <v>11965</v>
      </c>
      <c r="B20283">
        <f>HYPERLINK("https://android.googlesource.com/platform/cts/+/615edc2898ee26f3583cb74a4a4ac5958f7e87a7", "615edc2898ee26f3583cb74a4a4ac5958f7e87a7")</f>
        <v>0</v>
      </c>
      <c r="C20283">
        <f>HYPERLINK("https://android.googlesource.com/platform/cts/+/ab4b09f0e3bb97d3ddef637317c4ad2da055748d", "ab4b09f0e3bb97d3ddef637317c4ad2da055748d")</f>
        <v>0</v>
      </c>
      <c r="D20283" t="s">
        <v>12306</v>
      </c>
      <c r="E20283" t="s">
        <v>14461</v>
      </c>
      <c r="F20283" t="s">
        <v>17303</v>
      </c>
      <c r="G20283" t="s">
        <v>19878</v>
      </c>
      <c r="H20283" t="s">
        <v>27387</v>
      </c>
      <c r="I20283" t="s">
        <v>1357</v>
      </c>
      <c r="J20283" t="s">
        <v>1357</v>
      </c>
      <c r="K20283" t="s">
        <v>1357</v>
      </c>
      <c r="L20283" t="s">
        <v>1357</v>
      </c>
      <c r="N20283" t="s">
        <v>27548</v>
      </c>
    </row>
    <row r="20284" spans="1:14">
      <c r="H20284" t="s">
        <v>27388</v>
      </c>
      <c r="I20284" t="s">
        <v>1359</v>
      </c>
      <c r="J20284" t="s">
        <v>1358</v>
      </c>
      <c r="K20284" t="s">
        <v>1357</v>
      </c>
      <c r="L20284" t="s">
        <v>1358</v>
      </c>
    </row>
    <row r="20285" spans="1:14">
      <c r="H20285" t="s">
        <v>27389</v>
      </c>
      <c r="I20285" t="s">
        <v>1359</v>
      </c>
      <c r="J20285" t="s">
        <v>1358</v>
      </c>
      <c r="K20285" t="s">
        <v>1357</v>
      </c>
      <c r="L20285" t="s">
        <v>1358</v>
      </c>
      <c r="M20285" t="s">
        <v>1365</v>
      </c>
    </row>
    <row r="20286" spans="1:14">
      <c r="F20286" t="s">
        <v>16861</v>
      </c>
      <c r="G20286" t="s">
        <v>19474</v>
      </c>
      <c r="H20286" t="s">
        <v>27390</v>
      </c>
      <c r="I20286" t="s">
        <v>1359</v>
      </c>
      <c r="J20286" t="s">
        <v>1358</v>
      </c>
      <c r="K20286" t="s">
        <v>1357</v>
      </c>
      <c r="L20286" t="s">
        <v>1358</v>
      </c>
    </row>
    <row r="20287" spans="1:14">
      <c r="H20287" t="s">
        <v>27391</v>
      </c>
      <c r="I20287" t="s">
        <v>1359</v>
      </c>
      <c r="J20287" t="s">
        <v>1358</v>
      </c>
      <c r="K20287" t="s">
        <v>1357</v>
      </c>
      <c r="L20287" t="s">
        <v>1358</v>
      </c>
    </row>
    <row r="20288" spans="1:14">
      <c r="F20288" t="s">
        <v>17304</v>
      </c>
      <c r="G20288" t="s">
        <v>19879</v>
      </c>
      <c r="H20288" t="s">
        <v>27392</v>
      </c>
      <c r="I20288" t="s">
        <v>1359</v>
      </c>
      <c r="J20288" t="s">
        <v>1358</v>
      </c>
      <c r="K20288" t="s">
        <v>1357</v>
      </c>
      <c r="L20288" t="s">
        <v>1358</v>
      </c>
    </row>
    <row r="20289" spans="6:12">
      <c r="H20289" t="s">
        <v>27393</v>
      </c>
      <c r="I20289" t="s">
        <v>1359</v>
      </c>
      <c r="J20289" t="s">
        <v>1358</v>
      </c>
      <c r="K20289" t="s">
        <v>1357</v>
      </c>
      <c r="L20289" t="s">
        <v>1358</v>
      </c>
    </row>
    <row r="20290" spans="6:12">
      <c r="H20290" t="s">
        <v>27394</v>
      </c>
      <c r="I20290" t="s">
        <v>1359</v>
      </c>
      <c r="J20290" t="s">
        <v>1358</v>
      </c>
      <c r="K20290" t="s">
        <v>1357</v>
      </c>
      <c r="L20290" t="s">
        <v>1358</v>
      </c>
    </row>
    <row r="20291" spans="6:12">
      <c r="H20291" t="s">
        <v>5638</v>
      </c>
      <c r="I20291" t="s">
        <v>1359</v>
      </c>
      <c r="J20291" t="s">
        <v>1358</v>
      </c>
      <c r="K20291" t="s">
        <v>1357</v>
      </c>
      <c r="L20291" t="s">
        <v>1358</v>
      </c>
    </row>
    <row r="20292" spans="6:12">
      <c r="H20292" t="s">
        <v>27395</v>
      </c>
      <c r="I20292" t="s">
        <v>1359</v>
      </c>
      <c r="J20292" t="s">
        <v>1358</v>
      </c>
      <c r="K20292" t="s">
        <v>1357</v>
      </c>
      <c r="L20292" t="s">
        <v>1358</v>
      </c>
    </row>
    <row r="20293" spans="6:12">
      <c r="F20293" t="s">
        <v>17305</v>
      </c>
      <c r="G20293" t="s">
        <v>19880</v>
      </c>
      <c r="H20293" t="s">
        <v>27396</v>
      </c>
      <c r="I20293" t="s">
        <v>1359</v>
      </c>
      <c r="J20293" t="s">
        <v>1358</v>
      </c>
      <c r="K20293" t="s">
        <v>1357</v>
      </c>
      <c r="L20293" t="s">
        <v>1358</v>
      </c>
    </row>
    <row r="20294" spans="6:12">
      <c r="F20294" t="s">
        <v>17306</v>
      </c>
      <c r="G20294" t="s">
        <v>19881</v>
      </c>
      <c r="H20294" t="s">
        <v>27397</v>
      </c>
      <c r="I20294" t="s">
        <v>1359</v>
      </c>
      <c r="J20294" t="s">
        <v>1358</v>
      </c>
      <c r="K20294" t="s">
        <v>1357</v>
      </c>
      <c r="L20294" t="s">
        <v>1358</v>
      </c>
    </row>
    <row r="20295" spans="6:12">
      <c r="H20295" t="s">
        <v>27398</v>
      </c>
      <c r="I20295" t="s">
        <v>1359</v>
      </c>
      <c r="J20295" t="s">
        <v>1358</v>
      </c>
      <c r="K20295" t="s">
        <v>1357</v>
      </c>
      <c r="L20295" t="s">
        <v>1358</v>
      </c>
    </row>
    <row r="20296" spans="6:12">
      <c r="H20296" t="s">
        <v>27399</v>
      </c>
      <c r="I20296" t="s">
        <v>1359</v>
      </c>
      <c r="J20296" t="s">
        <v>1358</v>
      </c>
      <c r="K20296" t="s">
        <v>1357</v>
      </c>
      <c r="L20296" t="s">
        <v>1358</v>
      </c>
    </row>
    <row r="20297" spans="6:12">
      <c r="H20297" t="s">
        <v>27400</v>
      </c>
      <c r="I20297" t="s">
        <v>1359</v>
      </c>
      <c r="J20297" t="s">
        <v>1358</v>
      </c>
      <c r="K20297" t="s">
        <v>1357</v>
      </c>
      <c r="L20297" t="s">
        <v>1358</v>
      </c>
    </row>
    <row r="20298" spans="6:12">
      <c r="H20298" t="s">
        <v>27401</v>
      </c>
      <c r="I20298" t="s">
        <v>1359</v>
      </c>
      <c r="J20298" t="s">
        <v>1358</v>
      </c>
      <c r="K20298" t="s">
        <v>1357</v>
      </c>
      <c r="L20298" t="s">
        <v>1358</v>
      </c>
    </row>
    <row r="20299" spans="6:12">
      <c r="H20299" t="s">
        <v>27402</v>
      </c>
      <c r="I20299" t="s">
        <v>1359</v>
      </c>
      <c r="J20299" t="s">
        <v>1358</v>
      </c>
      <c r="K20299" t="s">
        <v>1357</v>
      </c>
      <c r="L20299" t="s">
        <v>1358</v>
      </c>
    </row>
    <row r="20300" spans="6:12">
      <c r="H20300" t="s">
        <v>27403</v>
      </c>
      <c r="I20300" t="s">
        <v>1359</v>
      </c>
      <c r="J20300" t="s">
        <v>1358</v>
      </c>
      <c r="K20300" t="s">
        <v>1357</v>
      </c>
      <c r="L20300" t="s">
        <v>1358</v>
      </c>
    </row>
    <row r="20301" spans="6:12">
      <c r="H20301" t="s">
        <v>27404</v>
      </c>
      <c r="I20301" t="s">
        <v>1359</v>
      </c>
      <c r="J20301" t="s">
        <v>1358</v>
      </c>
      <c r="K20301" t="s">
        <v>1357</v>
      </c>
      <c r="L20301" t="s">
        <v>1358</v>
      </c>
    </row>
    <row r="20302" spans="6:12">
      <c r="H20302" t="s">
        <v>27405</v>
      </c>
      <c r="I20302" t="s">
        <v>1359</v>
      </c>
      <c r="J20302" t="s">
        <v>1358</v>
      </c>
      <c r="K20302" t="s">
        <v>1357</v>
      </c>
      <c r="L20302" t="s">
        <v>1358</v>
      </c>
    </row>
    <row r="20303" spans="6:12">
      <c r="H20303" t="s">
        <v>27406</v>
      </c>
      <c r="I20303" t="s">
        <v>1359</v>
      </c>
      <c r="J20303" t="s">
        <v>1358</v>
      </c>
      <c r="K20303" t="s">
        <v>1357</v>
      </c>
      <c r="L20303" t="s">
        <v>1358</v>
      </c>
    </row>
    <row r="20304" spans="6:12">
      <c r="H20304" t="s">
        <v>27407</v>
      </c>
      <c r="I20304" t="s">
        <v>1359</v>
      </c>
      <c r="J20304" t="s">
        <v>1358</v>
      </c>
      <c r="K20304" t="s">
        <v>1357</v>
      </c>
      <c r="L20304" t="s">
        <v>1358</v>
      </c>
    </row>
    <row r="20305" spans="6:12">
      <c r="H20305" t="s">
        <v>27408</v>
      </c>
      <c r="I20305" t="s">
        <v>1359</v>
      </c>
      <c r="J20305" t="s">
        <v>1358</v>
      </c>
      <c r="K20305" t="s">
        <v>1357</v>
      </c>
      <c r="L20305" t="s">
        <v>1358</v>
      </c>
    </row>
    <row r="20306" spans="6:12">
      <c r="H20306" t="s">
        <v>27409</v>
      </c>
      <c r="I20306" t="s">
        <v>1359</v>
      </c>
      <c r="J20306" t="s">
        <v>1358</v>
      </c>
      <c r="K20306" t="s">
        <v>1357</v>
      </c>
      <c r="L20306" t="s">
        <v>1358</v>
      </c>
    </row>
    <row r="20307" spans="6:12">
      <c r="H20307" t="s">
        <v>27410</v>
      </c>
      <c r="I20307" t="s">
        <v>1359</v>
      </c>
      <c r="J20307" t="s">
        <v>1358</v>
      </c>
      <c r="K20307" t="s">
        <v>1357</v>
      </c>
      <c r="L20307" t="s">
        <v>1358</v>
      </c>
    </row>
    <row r="20308" spans="6:12">
      <c r="F20308" t="s">
        <v>16138</v>
      </c>
      <c r="G20308" t="s">
        <v>18822</v>
      </c>
      <c r="H20308" t="s">
        <v>27411</v>
      </c>
      <c r="I20308" t="s">
        <v>1359</v>
      </c>
      <c r="J20308" t="s">
        <v>1358</v>
      </c>
      <c r="K20308" t="s">
        <v>1357</v>
      </c>
      <c r="L20308" t="s">
        <v>1358</v>
      </c>
    </row>
    <row r="20309" spans="6:12">
      <c r="H20309" t="s">
        <v>27412</v>
      </c>
      <c r="I20309" t="s">
        <v>1359</v>
      </c>
      <c r="J20309" t="s">
        <v>1358</v>
      </c>
      <c r="K20309" t="s">
        <v>1357</v>
      </c>
      <c r="L20309" t="s">
        <v>1358</v>
      </c>
    </row>
    <row r="20310" spans="6:12">
      <c r="H20310" t="s">
        <v>27390</v>
      </c>
      <c r="I20310" t="s">
        <v>1359</v>
      </c>
      <c r="J20310" t="s">
        <v>1358</v>
      </c>
      <c r="K20310" t="s">
        <v>1357</v>
      </c>
      <c r="L20310" t="s">
        <v>1358</v>
      </c>
    </row>
    <row r="20311" spans="6:12">
      <c r="H20311" t="s">
        <v>27391</v>
      </c>
      <c r="I20311" t="s">
        <v>1359</v>
      </c>
      <c r="J20311" t="s">
        <v>1358</v>
      </c>
      <c r="K20311" t="s">
        <v>1357</v>
      </c>
      <c r="L20311" t="s">
        <v>1358</v>
      </c>
    </row>
    <row r="20312" spans="6:12">
      <c r="H20312" t="s">
        <v>27392</v>
      </c>
      <c r="I20312" t="s">
        <v>1359</v>
      </c>
      <c r="J20312" t="s">
        <v>1358</v>
      </c>
      <c r="K20312" t="s">
        <v>1357</v>
      </c>
      <c r="L20312" t="s">
        <v>1358</v>
      </c>
    </row>
    <row r="20313" spans="6:12">
      <c r="F20313" t="s">
        <v>17307</v>
      </c>
      <c r="G20313" t="s">
        <v>19882</v>
      </c>
      <c r="H20313" t="s">
        <v>27413</v>
      </c>
      <c r="I20313" t="s">
        <v>1359</v>
      </c>
      <c r="J20313" t="s">
        <v>1358</v>
      </c>
      <c r="K20313" t="s">
        <v>1357</v>
      </c>
      <c r="L20313" t="s">
        <v>1358</v>
      </c>
    </row>
    <row r="20314" spans="6:12">
      <c r="F20314" t="s">
        <v>17308</v>
      </c>
      <c r="G20314" t="s">
        <v>19883</v>
      </c>
      <c r="H20314" t="s">
        <v>27414</v>
      </c>
      <c r="I20314" t="s">
        <v>1359</v>
      </c>
      <c r="J20314" t="s">
        <v>1358</v>
      </c>
      <c r="K20314" t="s">
        <v>1357</v>
      </c>
      <c r="L20314" t="s">
        <v>1358</v>
      </c>
    </row>
    <row r="20315" spans="6:12">
      <c r="H20315" t="s">
        <v>27415</v>
      </c>
      <c r="I20315" t="s">
        <v>1359</v>
      </c>
      <c r="J20315" t="s">
        <v>1358</v>
      </c>
      <c r="K20315" t="s">
        <v>1357</v>
      </c>
      <c r="L20315" t="s">
        <v>1358</v>
      </c>
    </row>
    <row r="20316" spans="6:12">
      <c r="F20316" t="s">
        <v>16682</v>
      </c>
      <c r="G20316" t="s">
        <v>19314</v>
      </c>
      <c r="H20316" t="s">
        <v>27393</v>
      </c>
      <c r="I20316" t="s">
        <v>1359</v>
      </c>
      <c r="J20316" t="s">
        <v>1358</v>
      </c>
      <c r="K20316" t="s">
        <v>1357</v>
      </c>
      <c r="L20316" t="s">
        <v>1358</v>
      </c>
    </row>
    <row r="20317" spans="6:12">
      <c r="H20317" t="s">
        <v>5638</v>
      </c>
      <c r="I20317" t="s">
        <v>1359</v>
      </c>
      <c r="J20317" t="s">
        <v>1358</v>
      </c>
      <c r="K20317" t="s">
        <v>1357</v>
      </c>
      <c r="L20317" t="s">
        <v>1358</v>
      </c>
    </row>
    <row r="20318" spans="6:12">
      <c r="H20318" t="s">
        <v>27411</v>
      </c>
      <c r="I20318" t="s">
        <v>1359</v>
      </c>
      <c r="J20318" t="s">
        <v>1358</v>
      </c>
      <c r="K20318" t="s">
        <v>1357</v>
      </c>
      <c r="L20318" t="s">
        <v>1358</v>
      </c>
    </row>
    <row r="20319" spans="6:12">
      <c r="F20319" t="s">
        <v>16292</v>
      </c>
      <c r="G20319" t="s">
        <v>18963</v>
      </c>
      <c r="H20319" t="s">
        <v>27390</v>
      </c>
      <c r="I20319" t="s">
        <v>1359</v>
      </c>
      <c r="J20319" t="s">
        <v>1358</v>
      </c>
      <c r="K20319" t="s">
        <v>1357</v>
      </c>
      <c r="L20319" t="s">
        <v>1358</v>
      </c>
    </row>
    <row r="20320" spans="6:12">
      <c r="H20320" t="s">
        <v>27391</v>
      </c>
      <c r="I20320" t="s">
        <v>1359</v>
      </c>
      <c r="J20320" t="s">
        <v>1358</v>
      </c>
      <c r="K20320" t="s">
        <v>1357</v>
      </c>
      <c r="L20320" t="s">
        <v>1358</v>
      </c>
    </row>
    <row r="20321" spans="1:13">
      <c r="H20321" t="s">
        <v>27392</v>
      </c>
      <c r="I20321" t="s">
        <v>1359</v>
      </c>
      <c r="J20321" t="s">
        <v>1358</v>
      </c>
      <c r="K20321" t="s">
        <v>1357</v>
      </c>
      <c r="L20321" t="s">
        <v>1358</v>
      </c>
    </row>
    <row r="20322" spans="1:13">
      <c r="F20322" t="s">
        <v>16151</v>
      </c>
      <c r="G20322" t="s">
        <v>18832</v>
      </c>
      <c r="H20322" t="s">
        <v>27392</v>
      </c>
      <c r="I20322" t="s">
        <v>1359</v>
      </c>
      <c r="J20322" t="s">
        <v>1358</v>
      </c>
      <c r="K20322" t="s">
        <v>1357</v>
      </c>
      <c r="L20322" t="s">
        <v>1358</v>
      </c>
    </row>
    <row r="20323" spans="1:13">
      <c r="H20323" t="s">
        <v>27391</v>
      </c>
      <c r="I20323" t="s">
        <v>1359</v>
      </c>
      <c r="J20323" t="s">
        <v>1358</v>
      </c>
      <c r="K20323" t="s">
        <v>1357</v>
      </c>
      <c r="L20323" t="s">
        <v>1358</v>
      </c>
    </row>
    <row r="20324" spans="1:13">
      <c r="F20324" t="s">
        <v>16849</v>
      </c>
      <c r="G20324" t="s">
        <v>19464</v>
      </c>
      <c r="H20324" t="s">
        <v>27393</v>
      </c>
      <c r="I20324" t="s">
        <v>1359</v>
      </c>
      <c r="J20324" t="s">
        <v>1358</v>
      </c>
      <c r="K20324" t="s">
        <v>1357</v>
      </c>
      <c r="L20324" t="s">
        <v>1358</v>
      </c>
    </row>
    <row r="20325" spans="1:13">
      <c r="H20325" t="s">
        <v>5638</v>
      </c>
      <c r="I20325" t="s">
        <v>1359</v>
      </c>
      <c r="J20325" t="s">
        <v>1358</v>
      </c>
      <c r="K20325" t="s">
        <v>1357</v>
      </c>
      <c r="L20325" t="s">
        <v>1358</v>
      </c>
    </row>
    <row r="20326" spans="1:13">
      <c r="H20326" t="s">
        <v>27416</v>
      </c>
      <c r="I20326" t="s">
        <v>1359</v>
      </c>
      <c r="J20326" t="s">
        <v>1358</v>
      </c>
      <c r="K20326" t="s">
        <v>1357</v>
      </c>
      <c r="L20326" t="s">
        <v>1358</v>
      </c>
    </row>
    <row r="20327" spans="1:13">
      <c r="A20327" t="s">
        <v>11966</v>
      </c>
      <c r="B20327">
        <f>HYPERLINK("https://android.googlesource.com/platform/cts/+/22dfbae5c5abf4979c39b1b6b1d081da635d4db9", "22dfbae5c5abf4979c39b1b6b1d081da635d4db9")</f>
        <v>0</v>
      </c>
      <c r="C20327">
        <f>HYPERLINK("https://android.googlesource.com/platform/cts/+/6ec225e65d165677efbc08a9323630f2f1371ee8", "6ec225e65d165677efbc08a9323630f2f1371ee8")</f>
        <v>0</v>
      </c>
      <c r="D20327" t="s">
        <v>12306</v>
      </c>
      <c r="E20327" t="s">
        <v>14462</v>
      </c>
      <c r="F20327" t="s">
        <v>17309</v>
      </c>
      <c r="G20327" t="s">
        <v>19884</v>
      </c>
      <c r="H20327" t="s">
        <v>27417</v>
      </c>
      <c r="I20327" t="s">
        <v>1359</v>
      </c>
      <c r="J20327" t="s">
        <v>1358</v>
      </c>
      <c r="K20327" t="s">
        <v>1357</v>
      </c>
      <c r="L20327" t="s">
        <v>1358</v>
      </c>
    </row>
    <row r="20328" spans="1:13">
      <c r="H20328" t="s">
        <v>27418</v>
      </c>
      <c r="I20328" t="s">
        <v>1359</v>
      </c>
      <c r="J20328" t="s">
        <v>1358</v>
      </c>
      <c r="K20328" t="s">
        <v>1357</v>
      </c>
      <c r="L20328" t="s">
        <v>1358</v>
      </c>
    </row>
    <row r="20329" spans="1:13">
      <c r="H20329" t="s">
        <v>27419</v>
      </c>
      <c r="I20329" t="s">
        <v>1359</v>
      </c>
      <c r="J20329" t="s">
        <v>1358</v>
      </c>
      <c r="K20329" t="s">
        <v>1357</v>
      </c>
      <c r="L20329" t="s">
        <v>1358</v>
      </c>
      <c r="M20329" t="s">
        <v>1365</v>
      </c>
    </row>
    <row r="20330" spans="1:13">
      <c r="F20330" t="s">
        <v>17310</v>
      </c>
      <c r="G20330" t="s">
        <v>19885</v>
      </c>
      <c r="H20330" t="s">
        <v>27417</v>
      </c>
      <c r="I20330" t="s">
        <v>1359</v>
      </c>
      <c r="J20330" t="s">
        <v>1358</v>
      </c>
      <c r="K20330" t="s">
        <v>1357</v>
      </c>
      <c r="L20330" t="s">
        <v>1358</v>
      </c>
    </row>
    <row r="20331" spans="1:13">
      <c r="H20331" t="s">
        <v>27418</v>
      </c>
      <c r="I20331" t="s">
        <v>1359</v>
      </c>
      <c r="J20331" t="s">
        <v>1358</v>
      </c>
      <c r="K20331" t="s">
        <v>1357</v>
      </c>
      <c r="L20331" t="s">
        <v>1358</v>
      </c>
    </row>
    <row r="20332" spans="1:13">
      <c r="H20332" t="s">
        <v>27420</v>
      </c>
      <c r="I20332" t="s">
        <v>1359</v>
      </c>
      <c r="J20332" t="s">
        <v>1358</v>
      </c>
      <c r="K20332" t="s">
        <v>1357</v>
      </c>
      <c r="L20332" t="s">
        <v>1358</v>
      </c>
    </row>
    <row r="20333" spans="1:13">
      <c r="F20333" t="s">
        <v>16893</v>
      </c>
      <c r="G20333" t="s">
        <v>19505</v>
      </c>
      <c r="H20333" t="s">
        <v>27421</v>
      </c>
      <c r="I20333" t="s">
        <v>1359</v>
      </c>
      <c r="J20333" t="s">
        <v>1358</v>
      </c>
      <c r="K20333" t="s">
        <v>1357</v>
      </c>
      <c r="L20333" t="s">
        <v>1358</v>
      </c>
    </row>
    <row r="20334" spans="1:13">
      <c r="A20334" t="s">
        <v>11967</v>
      </c>
      <c r="B20334">
        <f>HYPERLINK("https://android.googlesource.com/platform/cts/+/a703d7806a6b90a705fce5da33f5d898a51c62cc", "a703d7806a6b90a705fce5da33f5d898a51c62cc")</f>
        <v>0</v>
      </c>
      <c r="C20334">
        <f>HYPERLINK("https://android.googlesource.com/platform/cts/+/4663f22b9ccb5f51400522897128a11e2b0350bf", "4663f22b9ccb5f51400522897128a11e2b0350bf")</f>
        <v>0</v>
      </c>
      <c r="D20334" t="s">
        <v>12542</v>
      </c>
      <c r="E20334" t="s">
        <v>14463</v>
      </c>
      <c r="F20334" t="s">
        <v>16818</v>
      </c>
      <c r="G20334" t="s">
        <v>19437</v>
      </c>
      <c r="H20334" t="s">
        <v>27422</v>
      </c>
      <c r="I20334" t="s">
        <v>1359</v>
      </c>
      <c r="J20334" t="s">
        <v>1358</v>
      </c>
      <c r="K20334" t="s">
        <v>1357</v>
      </c>
      <c r="L20334" t="s">
        <v>1358</v>
      </c>
    </row>
    <row r="20335" spans="1:13">
      <c r="H20335" t="s">
        <v>27423</v>
      </c>
      <c r="I20335" t="s">
        <v>1359</v>
      </c>
      <c r="J20335" t="s">
        <v>1358</v>
      </c>
      <c r="K20335" t="s">
        <v>1357</v>
      </c>
      <c r="L20335" t="s">
        <v>1358</v>
      </c>
    </row>
    <row r="20336" spans="1:13">
      <c r="F20336" t="s">
        <v>16138</v>
      </c>
      <c r="G20336" t="s">
        <v>18822</v>
      </c>
      <c r="H20336" t="s">
        <v>24906</v>
      </c>
      <c r="I20336" t="s">
        <v>1359</v>
      </c>
      <c r="J20336" t="s">
        <v>1358</v>
      </c>
      <c r="K20336" t="s">
        <v>1357</v>
      </c>
      <c r="L20336" t="s">
        <v>1358</v>
      </c>
    </row>
    <row r="20337" spans="1:12">
      <c r="F20337" t="s">
        <v>16682</v>
      </c>
      <c r="G20337" t="s">
        <v>19314</v>
      </c>
      <c r="H20337" t="s">
        <v>24906</v>
      </c>
      <c r="I20337" t="s">
        <v>1359</v>
      </c>
      <c r="J20337" t="s">
        <v>1358</v>
      </c>
      <c r="K20337" t="s">
        <v>1357</v>
      </c>
      <c r="L20337" t="s">
        <v>1358</v>
      </c>
    </row>
    <row r="20338" spans="1:12">
      <c r="F20338" t="s">
        <v>16292</v>
      </c>
      <c r="G20338" t="s">
        <v>18963</v>
      </c>
      <c r="H20338" t="s">
        <v>24906</v>
      </c>
      <c r="I20338" t="s">
        <v>1359</v>
      </c>
      <c r="J20338" t="s">
        <v>1358</v>
      </c>
      <c r="K20338" t="s">
        <v>1357</v>
      </c>
      <c r="L20338" t="s">
        <v>1358</v>
      </c>
    </row>
    <row r="20339" spans="1:12">
      <c r="A20339" t="s">
        <v>11968</v>
      </c>
      <c r="B20339">
        <f>HYPERLINK("https://android.googlesource.com/platform/cts/+/2fe132ff8f318ee564ff611e052148f0f1a68555", "2fe132ff8f318ee564ff611e052148f0f1a68555")</f>
        <v>0</v>
      </c>
      <c r="C20339">
        <f>HYPERLINK("https://android.googlesource.com/platform/cts/+/fa540923ebffc8504157d436e15f3a605f453345", "fa540923ebffc8504157d436e15f3a605f453345")</f>
        <v>0</v>
      </c>
      <c r="D20339" t="s">
        <v>12385</v>
      </c>
      <c r="E20339" t="s">
        <v>14464</v>
      </c>
      <c r="F20339" t="s">
        <v>14558</v>
      </c>
      <c r="G20339" t="s">
        <v>17402</v>
      </c>
      <c r="H20339" t="s">
        <v>27424</v>
      </c>
      <c r="I20339" t="s">
        <v>1357</v>
      </c>
      <c r="J20339" t="s">
        <v>1357</v>
      </c>
      <c r="K20339" t="s">
        <v>1357</v>
      </c>
      <c r="L20339" t="s">
        <v>1357</v>
      </c>
    </row>
    <row r="20340" spans="1:12">
      <c r="H20340" t="s">
        <v>27425</v>
      </c>
      <c r="I20340" t="s">
        <v>1357</v>
      </c>
      <c r="J20340" t="s">
        <v>1357</v>
      </c>
      <c r="K20340" t="s">
        <v>1357</v>
      </c>
      <c r="L20340" t="s">
        <v>1357</v>
      </c>
    </row>
    <row r="20341" spans="1:12">
      <c r="H20341" t="s">
        <v>27426</v>
      </c>
      <c r="I20341" t="s">
        <v>1357</v>
      </c>
      <c r="J20341" t="s">
        <v>1357</v>
      </c>
      <c r="K20341" t="s">
        <v>1357</v>
      </c>
      <c r="L20341" t="s">
        <v>1357</v>
      </c>
    </row>
    <row r="20342" spans="1:12">
      <c r="H20342" t="s">
        <v>27427</v>
      </c>
      <c r="I20342" t="s">
        <v>1357</v>
      </c>
      <c r="J20342" t="s">
        <v>1357</v>
      </c>
      <c r="K20342" t="s">
        <v>1357</v>
      </c>
      <c r="L20342" t="s">
        <v>1357</v>
      </c>
    </row>
    <row r="20343" spans="1:12">
      <c r="H20343" t="s">
        <v>27428</v>
      </c>
      <c r="I20343" t="s">
        <v>1357</v>
      </c>
      <c r="J20343" t="s">
        <v>1357</v>
      </c>
      <c r="K20343" t="s">
        <v>1357</v>
      </c>
      <c r="L20343" t="s">
        <v>1357</v>
      </c>
    </row>
    <row r="20344" spans="1:12">
      <c r="H20344" t="s">
        <v>27429</v>
      </c>
      <c r="I20344" t="s">
        <v>1357</v>
      </c>
      <c r="J20344" t="s">
        <v>1357</v>
      </c>
      <c r="K20344" t="s">
        <v>1357</v>
      </c>
      <c r="L20344" t="s">
        <v>1357</v>
      </c>
    </row>
    <row r="20345" spans="1:12">
      <c r="H20345" t="s">
        <v>27430</v>
      </c>
      <c r="I20345" t="s">
        <v>1357</v>
      </c>
      <c r="J20345" t="s">
        <v>1357</v>
      </c>
      <c r="K20345" t="s">
        <v>1357</v>
      </c>
      <c r="L20345" t="s">
        <v>1357</v>
      </c>
    </row>
    <row r="20346" spans="1:12">
      <c r="H20346" t="s">
        <v>27431</v>
      </c>
      <c r="I20346" t="s">
        <v>1357</v>
      </c>
      <c r="J20346" t="s">
        <v>1357</v>
      </c>
      <c r="K20346" t="s">
        <v>1357</v>
      </c>
      <c r="L20346" t="s">
        <v>1357</v>
      </c>
    </row>
    <row r="20347" spans="1:12">
      <c r="H20347" t="s">
        <v>27432</v>
      </c>
      <c r="I20347" t="s">
        <v>1357</v>
      </c>
      <c r="J20347" t="s">
        <v>1357</v>
      </c>
      <c r="K20347" t="s">
        <v>1357</v>
      </c>
      <c r="L20347" t="s">
        <v>1357</v>
      </c>
    </row>
    <row r="20348" spans="1:12">
      <c r="H20348" t="s">
        <v>27433</v>
      </c>
      <c r="I20348" t="s">
        <v>1357</v>
      </c>
      <c r="J20348" t="s">
        <v>1357</v>
      </c>
      <c r="K20348" t="s">
        <v>1357</v>
      </c>
      <c r="L20348" t="s">
        <v>1357</v>
      </c>
    </row>
    <row r="20349" spans="1:12">
      <c r="H20349" t="s">
        <v>27434</v>
      </c>
      <c r="I20349" t="s">
        <v>1357</v>
      </c>
      <c r="J20349" t="s">
        <v>1357</v>
      </c>
      <c r="K20349" t="s">
        <v>1357</v>
      </c>
      <c r="L20349" t="s">
        <v>1357</v>
      </c>
    </row>
    <row r="20350" spans="1:12">
      <c r="H20350" t="s">
        <v>27435</v>
      </c>
      <c r="I20350" t="s">
        <v>1357</v>
      </c>
      <c r="J20350" t="s">
        <v>1357</v>
      </c>
      <c r="K20350" t="s">
        <v>1357</v>
      </c>
      <c r="L20350" t="s">
        <v>1357</v>
      </c>
    </row>
    <row r="20351" spans="1:12">
      <c r="H20351" t="s">
        <v>27436</v>
      </c>
      <c r="I20351" t="s">
        <v>1357</v>
      </c>
      <c r="J20351" t="s">
        <v>1357</v>
      </c>
      <c r="K20351" t="s">
        <v>1357</v>
      </c>
      <c r="L20351" t="s">
        <v>1357</v>
      </c>
    </row>
    <row r="20352" spans="1:12">
      <c r="H20352" t="s">
        <v>27437</v>
      </c>
      <c r="I20352" t="s">
        <v>1357</v>
      </c>
      <c r="J20352" t="s">
        <v>1357</v>
      </c>
      <c r="K20352" t="s">
        <v>1357</v>
      </c>
      <c r="L20352" t="s">
        <v>1357</v>
      </c>
    </row>
    <row r="20353" spans="8:12">
      <c r="H20353" t="s">
        <v>27438</v>
      </c>
      <c r="I20353" t="s">
        <v>1357</v>
      </c>
      <c r="J20353" t="s">
        <v>1357</v>
      </c>
      <c r="K20353" t="s">
        <v>1357</v>
      </c>
      <c r="L20353" t="s">
        <v>1357</v>
      </c>
    </row>
    <row r="20354" spans="8:12">
      <c r="H20354" t="s">
        <v>27439</v>
      </c>
      <c r="I20354" t="s">
        <v>1357</v>
      </c>
      <c r="J20354" t="s">
        <v>1357</v>
      </c>
      <c r="K20354" t="s">
        <v>1357</v>
      </c>
      <c r="L20354" t="s">
        <v>1357</v>
      </c>
    </row>
    <row r="20355" spans="8:12">
      <c r="H20355" t="s">
        <v>27440</v>
      </c>
      <c r="I20355" t="s">
        <v>1357</v>
      </c>
      <c r="J20355" t="s">
        <v>1357</v>
      </c>
      <c r="K20355" t="s">
        <v>1357</v>
      </c>
      <c r="L20355" t="s">
        <v>1357</v>
      </c>
    </row>
    <row r="20356" spans="8:12">
      <c r="H20356" t="s">
        <v>27441</v>
      </c>
      <c r="I20356" t="s">
        <v>1357</v>
      </c>
      <c r="J20356" t="s">
        <v>1357</v>
      </c>
      <c r="K20356" t="s">
        <v>1357</v>
      </c>
      <c r="L20356" t="s">
        <v>1357</v>
      </c>
    </row>
    <row r="20357" spans="8:12">
      <c r="H20357" t="s">
        <v>22063</v>
      </c>
      <c r="I20357" t="s">
        <v>1357</v>
      </c>
      <c r="J20357" t="s">
        <v>1357</v>
      </c>
      <c r="K20357" t="s">
        <v>1357</v>
      </c>
      <c r="L20357" t="s">
        <v>1357</v>
      </c>
    </row>
    <row r="20358" spans="8:12">
      <c r="H20358" t="s">
        <v>27442</v>
      </c>
      <c r="I20358" t="s">
        <v>1357</v>
      </c>
      <c r="J20358" t="s">
        <v>1357</v>
      </c>
      <c r="K20358" t="s">
        <v>1357</v>
      </c>
      <c r="L20358" t="s">
        <v>1357</v>
      </c>
    </row>
    <row r="20359" spans="8:12">
      <c r="H20359" t="s">
        <v>27443</v>
      </c>
      <c r="I20359" t="s">
        <v>1357</v>
      </c>
      <c r="J20359" t="s">
        <v>1357</v>
      </c>
      <c r="K20359" t="s">
        <v>1357</v>
      </c>
      <c r="L20359" t="s">
        <v>1357</v>
      </c>
    </row>
    <row r="20360" spans="8:12">
      <c r="H20360" t="s">
        <v>27444</v>
      </c>
      <c r="I20360" t="s">
        <v>1357</v>
      </c>
      <c r="J20360" t="s">
        <v>1357</v>
      </c>
      <c r="K20360" t="s">
        <v>1357</v>
      </c>
      <c r="L20360" t="s">
        <v>1357</v>
      </c>
    </row>
    <row r="20361" spans="8:12">
      <c r="H20361" t="s">
        <v>27445</v>
      </c>
      <c r="I20361" t="s">
        <v>1357</v>
      </c>
      <c r="J20361" t="s">
        <v>1357</v>
      </c>
      <c r="K20361" t="s">
        <v>1357</v>
      </c>
      <c r="L20361" t="s">
        <v>1357</v>
      </c>
    </row>
    <row r="20362" spans="8:12">
      <c r="H20362" t="s">
        <v>27446</v>
      </c>
      <c r="I20362" t="s">
        <v>1357</v>
      </c>
      <c r="J20362" t="s">
        <v>1357</v>
      </c>
      <c r="K20362" t="s">
        <v>1357</v>
      </c>
      <c r="L20362" t="s">
        <v>1357</v>
      </c>
    </row>
    <row r="20363" spans="8:12">
      <c r="H20363" t="s">
        <v>27447</v>
      </c>
      <c r="I20363" t="s">
        <v>1357</v>
      </c>
      <c r="J20363" t="s">
        <v>1357</v>
      </c>
      <c r="K20363" t="s">
        <v>1357</v>
      </c>
      <c r="L20363" t="s">
        <v>1357</v>
      </c>
    </row>
    <row r="20364" spans="8:12">
      <c r="H20364" t="s">
        <v>27448</v>
      </c>
      <c r="I20364" t="s">
        <v>1357</v>
      </c>
      <c r="J20364" t="s">
        <v>1357</v>
      </c>
      <c r="K20364" t="s">
        <v>1357</v>
      </c>
      <c r="L20364" t="s">
        <v>1357</v>
      </c>
    </row>
    <row r="20365" spans="8:12">
      <c r="H20365" t="s">
        <v>27449</v>
      </c>
      <c r="I20365" t="s">
        <v>1357</v>
      </c>
      <c r="J20365" t="s">
        <v>1357</v>
      </c>
      <c r="K20365" t="s">
        <v>1357</v>
      </c>
      <c r="L20365" t="s">
        <v>1357</v>
      </c>
    </row>
    <row r="20366" spans="8:12">
      <c r="H20366" t="s">
        <v>27450</v>
      </c>
      <c r="I20366" t="s">
        <v>1357</v>
      </c>
      <c r="J20366" t="s">
        <v>1357</v>
      </c>
      <c r="K20366" t="s">
        <v>1357</v>
      </c>
      <c r="L20366" t="s">
        <v>1357</v>
      </c>
    </row>
    <row r="20367" spans="8:12">
      <c r="H20367" t="s">
        <v>27451</v>
      </c>
      <c r="I20367" t="s">
        <v>1357</v>
      </c>
      <c r="J20367" t="s">
        <v>1357</v>
      </c>
      <c r="K20367" t="s">
        <v>1357</v>
      </c>
      <c r="L20367" t="s">
        <v>1357</v>
      </c>
    </row>
    <row r="20368" spans="8:12">
      <c r="H20368" t="s">
        <v>27452</v>
      </c>
      <c r="I20368" t="s">
        <v>1357</v>
      </c>
      <c r="J20368" t="s">
        <v>1357</v>
      </c>
      <c r="K20368" t="s">
        <v>1357</v>
      </c>
      <c r="L20368" t="s">
        <v>1357</v>
      </c>
    </row>
    <row r="20369" spans="8:12">
      <c r="H20369" t="s">
        <v>27453</v>
      </c>
      <c r="I20369" t="s">
        <v>1357</v>
      </c>
      <c r="J20369" t="s">
        <v>1357</v>
      </c>
      <c r="K20369" t="s">
        <v>1357</v>
      </c>
      <c r="L20369" t="s">
        <v>1357</v>
      </c>
    </row>
    <row r="20370" spans="8:12">
      <c r="H20370" t="s">
        <v>27454</v>
      </c>
      <c r="I20370" t="s">
        <v>1357</v>
      </c>
      <c r="J20370" t="s">
        <v>1357</v>
      </c>
      <c r="K20370" t="s">
        <v>1357</v>
      </c>
      <c r="L20370" t="s">
        <v>1357</v>
      </c>
    </row>
    <row r="20371" spans="8:12">
      <c r="H20371" t="s">
        <v>27455</v>
      </c>
      <c r="I20371" t="s">
        <v>1357</v>
      </c>
      <c r="J20371" t="s">
        <v>1357</v>
      </c>
      <c r="K20371" t="s">
        <v>1357</v>
      </c>
      <c r="L20371" t="s">
        <v>1357</v>
      </c>
    </row>
    <row r="20372" spans="8:12">
      <c r="H20372" t="s">
        <v>27456</v>
      </c>
      <c r="I20372" t="s">
        <v>1357</v>
      </c>
      <c r="J20372" t="s">
        <v>1357</v>
      </c>
      <c r="K20372" t="s">
        <v>1357</v>
      </c>
      <c r="L20372" t="s">
        <v>1357</v>
      </c>
    </row>
    <row r="20373" spans="8:12">
      <c r="H20373" t="s">
        <v>27457</v>
      </c>
      <c r="I20373" t="s">
        <v>1357</v>
      </c>
      <c r="J20373" t="s">
        <v>1357</v>
      </c>
      <c r="K20373" t="s">
        <v>1357</v>
      </c>
      <c r="L20373" t="s">
        <v>1357</v>
      </c>
    </row>
    <row r="20374" spans="8:12">
      <c r="H20374" t="s">
        <v>27458</v>
      </c>
      <c r="I20374" t="s">
        <v>1357</v>
      </c>
      <c r="J20374" t="s">
        <v>1357</v>
      </c>
      <c r="K20374" t="s">
        <v>1357</v>
      </c>
      <c r="L20374" t="s">
        <v>1357</v>
      </c>
    </row>
    <row r="20375" spans="8:12">
      <c r="H20375" t="s">
        <v>27459</v>
      </c>
      <c r="I20375" t="s">
        <v>1357</v>
      </c>
      <c r="J20375" t="s">
        <v>1357</v>
      </c>
      <c r="K20375" t="s">
        <v>1357</v>
      </c>
      <c r="L20375" t="s">
        <v>1357</v>
      </c>
    </row>
    <row r="20376" spans="8:12">
      <c r="H20376" t="s">
        <v>27460</v>
      </c>
      <c r="I20376" t="s">
        <v>1357</v>
      </c>
      <c r="J20376" t="s">
        <v>1357</v>
      </c>
      <c r="K20376" t="s">
        <v>1357</v>
      </c>
      <c r="L20376" t="s">
        <v>1357</v>
      </c>
    </row>
    <row r="20377" spans="8:12">
      <c r="H20377" t="s">
        <v>27461</v>
      </c>
      <c r="I20377" t="s">
        <v>1357</v>
      </c>
      <c r="J20377" t="s">
        <v>1357</v>
      </c>
      <c r="K20377" t="s">
        <v>1357</v>
      </c>
      <c r="L20377" t="s">
        <v>1357</v>
      </c>
    </row>
    <row r="20378" spans="8:12">
      <c r="H20378" t="s">
        <v>27462</v>
      </c>
      <c r="I20378" t="s">
        <v>1357</v>
      </c>
      <c r="J20378" t="s">
        <v>1357</v>
      </c>
      <c r="K20378" t="s">
        <v>1357</v>
      </c>
      <c r="L20378" t="s">
        <v>1357</v>
      </c>
    </row>
    <row r="20379" spans="8:12">
      <c r="H20379" t="s">
        <v>27463</v>
      </c>
      <c r="I20379" t="s">
        <v>1357</v>
      </c>
      <c r="J20379" t="s">
        <v>1357</v>
      </c>
      <c r="K20379" t="s">
        <v>1357</v>
      </c>
      <c r="L20379" t="s">
        <v>1357</v>
      </c>
    </row>
    <row r="20380" spans="8:12">
      <c r="H20380" t="s">
        <v>27464</v>
      </c>
      <c r="I20380" t="s">
        <v>1357</v>
      </c>
      <c r="J20380" t="s">
        <v>1357</v>
      </c>
      <c r="K20380" t="s">
        <v>1357</v>
      </c>
      <c r="L20380" t="s">
        <v>1357</v>
      </c>
    </row>
    <row r="20381" spans="8:12">
      <c r="H20381" t="s">
        <v>27465</v>
      </c>
      <c r="I20381" t="s">
        <v>1357</v>
      </c>
      <c r="J20381" t="s">
        <v>1357</v>
      </c>
      <c r="K20381" t="s">
        <v>1357</v>
      </c>
      <c r="L20381" t="s">
        <v>1357</v>
      </c>
    </row>
    <row r="20382" spans="8:12">
      <c r="H20382" t="s">
        <v>27466</v>
      </c>
      <c r="I20382" t="s">
        <v>1357</v>
      </c>
      <c r="J20382" t="s">
        <v>1357</v>
      </c>
      <c r="K20382" t="s">
        <v>1357</v>
      </c>
      <c r="L20382" t="s">
        <v>1357</v>
      </c>
    </row>
    <row r="20383" spans="8:12">
      <c r="H20383" t="s">
        <v>27467</v>
      </c>
      <c r="I20383" t="s">
        <v>1357</v>
      </c>
      <c r="J20383" t="s">
        <v>1357</v>
      </c>
      <c r="K20383" t="s">
        <v>1357</v>
      </c>
      <c r="L20383" t="s">
        <v>1357</v>
      </c>
    </row>
    <row r="20384" spans="8:12">
      <c r="H20384" t="s">
        <v>27468</v>
      </c>
      <c r="I20384" t="s">
        <v>1357</v>
      </c>
      <c r="J20384" t="s">
        <v>1357</v>
      </c>
      <c r="K20384" t="s">
        <v>1357</v>
      </c>
      <c r="L20384" t="s">
        <v>1357</v>
      </c>
    </row>
    <row r="20385" spans="1:12">
      <c r="H20385" t="s">
        <v>27469</v>
      </c>
      <c r="I20385" t="s">
        <v>1357</v>
      </c>
      <c r="J20385" t="s">
        <v>1357</v>
      </c>
      <c r="K20385" t="s">
        <v>1357</v>
      </c>
      <c r="L20385" t="s">
        <v>1357</v>
      </c>
    </row>
    <row r="20386" spans="1:12">
      <c r="H20386" t="s">
        <v>27470</v>
      </c>
      <c r="I20386" t="s">
        <v>1357</v>
      </c>
      <c r="J20386" t="s">
        <v>1357</v>
      </c>
      <c r="K20386" t="s">
        <v>1357</v>
      </c>
      <c r="L20386" t="s">
        <v>1357</v>
      </c>
    </row>
    <row r="20387" spans="1:12">
      <c r="H20387" t="s">
        <v>27471</v>
      </c>
      <c r="I20387" t="s">
        <v>1357</v>
      </c>
      <c r="J20387" t="s">
        <v>1357</v>
      </c>
      <c r="K20387" t="s">
        <v>1357</v>
      </c>
      <c r="L20387" t="s">
        <v>1357</v>
      </c>
    </row>
    <row r="20388" spans="1:12">
      <c r="H20388" t="s">
        <v>27472</v>
      </c>
      <c r="I20388" t="s">
        <v>1357</v>
      </c>
      <c r="J20388" t="s">
        <v>1357</v>
      </c>
      <c r="K20388" t="s">
        <v>1357</v>
      </c>
      <c r="L20388" t="s">
        <v>1357</v>
      </c>
    </row>
    <row r="20389" spans="1:12">
      <c r="A20389" t="s">
        <v>11969</v>
      </c>
      <c r="B20389">
        <f>HYPERLINK("https://android.googlesource.com/platform/cts/+/90a783823e7ede91f486f760499c04fd7744b35f", "90a783823e7ede91f486f760499c04fd7744b35f")</f>
        <v>0</v>
      </c>
      <c r="C20389">
        <f>HYPERLINK("https://android.googlesource.com/platform/cts/+/ba912b1574ed9407132c69e18dcbbc57bc44dcc7", "ba912b1574ed9407132c69e18dcbbc57bc44dcc7")</f>
        <v>0</v>
      </c>
      <c r="D20389" t="s">
        <v>12543</v>
      </c>
      <c r="E20389" t="s">
        <v>14465</v>
      </c>
      <c r="F20389" t="s">
        <v>17311</v>
      </c>
      <c r="G20389" t="s">
        <v>19886</v>
      </c>
      <c r="H20389" t="s">
        <v>27473</v>
      </c>
      <c r="I20389" t="s">
        <v>1357</v>
      </c>
      <c r="J20389" t="s">
        <v>1357</v>
      </c>
      <c r="K20389" t="s">
        <v>1357</v>
      </c>
      <c r="L20389" t="s">
        <v>1357</v>
      </c>
    </row>
    <row r="20390" spans="1:12">
      <c r="H20390" t="s">
        <v>24897</v>
      </c>
      <c r="I20390" t="s">
        <v>1357</v>
      </c>
      <c r="J20390" t="s">
        <v>1357</v>
      </c>
      <c r="K20390" t="s">
        <v>1357</v>
      </c>
      <c r="L20390" t="s">
        <v>1357</v>
      </c>
    </row>
    <row r="20391" spans="1:12">
      <c r="H20391" t="s">
        <v>24898</v>
      </c>
      <c r="I20391" t="s">
        <v>1357</v>
      </c>
      <c r="J20391" t="s">
        <v>1357</v>
      </c>
      <c r="K20391" t="s">
        <v>1357</v>
      </c>
      <c r="L20391" t="s">
        <v>1357</v>
      </c>
    </row>
    <row r="20392" spans="1:12">
      <c r="H20392" t="s">
        <v>27474</v>
      </c>
      <c r="I20392" t="s">
        <v>1357</v>
      </c>
      <c r="J20392" t="s">
        <v>1357</v>
      </c>
      <c r="K20392" t="s">
        <v>1357</v>
      </c>
      <c r="L20392" t="s">
        <v>1357</v>
      </c>
    </row>
    <row r="20393" spans="1:12">
      <c r="F20393" t="s">
        <v>17312</v>
      </c>
      <c r="G20393" t="s">
        <v>19887</v>
      </c>
      <c r="H20393" t="s">
        <v>24897</v>
      </c>
      <c r="I20393" t="s">
        <v>1357</v>
      </c>
      <c r="J20393" t="s">
        <v>1357</v>
      </c>
      <c r="K20393" t="s">
        <v>1357</v>
      </c>
      <c r="L20393" t="s">
        <v>1357</v>
      </c>
    </row>
    <row r="20394" spans="1:12">
      <c r="H20394" t="s">
        <v>24898</v>
      </c>
      <c r="I20394" t="s">
        <v>1357</v>
      </c>
      <c r="J20394" t="s">
        <v>1357</v>
      </c>
      <c r="K20394" t="s">
        <v>1357</v>
      </c>
      <c r="L20394" t="s">
        <v>1357</v>
      </c>
    </row>
    <row r="20395" spans="1:12">
      <c r="H20395" t="s">
        <v>27474</v>
      </c>
      <c r="I20395" t="s">
        <v>1357</v>
      </c>
      <c r="J20395" t="s">
        <v>1357</v>
      </c>
      <c r="K20395" t="s">
        <v>1357</v>
      </c>
      <c r="L20395" t="s">
        <v>1357</v>
      </c>
    </row>
    <row r="20396" spans="1:12">
      <c r="A20396" t="s">
        <v>11970</v>
      </c>
      <c r="B20396">
        <f>HYPERLINK("https://android.googlesource.com/platform/cts/+/6db759483ffd5dade57d242128bca1fa0214cf28", "6db759483ffd5dade57d242128bca1fa0214cf28")</f>
        <v>0</v>
      </c>
      <c r="C20396">
        <f>HYPERLINK("https://android.googlesource.com/platform/cts/+/0a32949379ba71c7730f4d5a9568d7dd24f64026", "0a32949379ba71c7730f4d5a9568d7dd24f64026")</f>
        <v>0</v>
      </c>
      <c r="D20396" t="s">
        <v>12544</v>
      </c>
      <c r="E20396" t="s">
        <v>14466</v>
      </c>
      <c r="F20396" t="s">
        <v>17313</v>
      </c>
      <c r="G20396" t="s">
        <v>19743</v>
      </c>
      <c r="H20396" t="s">
        <v>27106</v>
      </c>
      <c r="I20396" t="s">
        <v>1357</v>
      </c>
      <c r="J20396" t="s">
        <v>1357</v>
      </c>
      <c r="K20396" t="s">
        <v>1357</v>
      </c>
      <c r="L20396" t="s">
        <v>1357</v>
      </c>
    </row>
  </sheetData>
  <hyperlinks>
    <hyperlink ref="M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commons-lang</vt:lpstr>
      <vt:lpstr>gson</vt:lpstr>
      <vt:lpstr>commons-math</vt:lpstr>
      <vt:lpstr>jfreechart</vt:lpstr>
      <vt:lpstr>joda-time</vt:lpstr>
      <vt:lpstr>pmd</vt:lpstr>
      <vt:lpstr>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2023-09-02T15:13:18Z</dcterms:created>
  <dcterms:modified xsi:type="dcterms:W3CDTF">2023-09-02T15:13:18Z</dcterms:modified>
</cp:coreProperties>
</file>